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drawings/drawing1.xml" ContentType="application/vnd.openxmlformats-officedocument.drawing+xml"/>
  <Override PartName="/xl/comments8.xml" ContentType="application/vnd.openxmlformats-officedocument.spreadsheetml.comments+xml"/>
  <Override PartName="/xl/threadedComments/threadedComment7.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9.xml" ContentType="application/vnd.openxmlformats-officedocument.spreadsheetml.comments+xml"/>
  <Override PartName="/xl/comments10.xml" ContentType="application/vnd.openxmlformats-officedocument.spreadsheetml.comments+xml"/>
  <Override PartName="/xl/threadedComments/threadedComment8.xml" ContentType="application/vnd.ms-excel.threadedcomments+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threadedComments/threadedComment11.xml" ContentType="application/vnd.ms-excel.threadedcomments+xml"/>
  <Override PartName="/xl/comments14.xml" ContentType="application/vnd.openxmlformats-officedocument.spreadsheetml.comments+xml"/>
  <Override PartName="/xl/pivotTables/pivotTable1.xml" ContentType="application/vnd.openxmlformats-officedocument.spreadsheetml.pivotTable+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C:\Users\mj\Desktop\doc.jarosoft.at\jarosoft\finanz_und_rechnungswesen\Finanzbuchhaltung\"/>
    </mc:Choice>
  </mc:AlternateContent>
  <xr:revisionPtr revIDLastSave="0" documentId="13_ncr:1_{3E739CD4-BB59-4259-ADB2-139D89F306D4}" xr6:coauthVersionLast="47" xr6:coauthVersionMax="47" xr10:uidLastSave="{00000000-0000-0000-0000-000000000000}"/>
  <bookViews>
    <workbookView xWindow="-120" yWindow="-120" windowWidth="29040" windowHeight="17520" tabRatio="910" activeTab="2" xr2:uid="{00000000-000D-0000-FFFF-FFFF00000000}"/>
  </bookViews>
  <sheets>
    <sheet name="Info" sheetId="8" r:id="rId1"/>
    <sheet name="Rechnung_Ausgang" sheetId="1" r:id="rId2"/>
    <sheet name="Journal_ab_2024" sheetId="32" r:id="rId3"/>
    <sheet name="UVA-M" sheetId="30" r:id="rId4"/>
    <sheet name="Vorschau JA" sheetId="9" r:id="rId5"/>
    <sheet name="JA Endgültig" sheetId="35" r:id="rId6"/>
    <sheet name="GFB" sheetId="34" r:id="rId7"/>
    <sheet name="A+E Export StB 2024" sheetId="36" r:id="rId8"/>
    <sheet name="AV" sheetId="3" r:id="rId9"/>
    <sheet name="FB" sheetId="23" r:id="rId10"/>
    <sheet name="UVA" sheetId="7" r:id="rId11"/>
    <sheet name="AfA" sheetId="11" r:id="rId12"/>
    <sheet name="SVS2" sheetId="28" r:id="rId13"/>
    <sheet name="SVS" sheetId="24" r:id="rId14"/>
    <sheet name="Journal_ab_2019" sheetId="17" r:id="rId15"/>
    <sheet name="Ausgaben_bis_2018" sheetId="2" r:id="rId16"/>
    <sheet name="2021-KBG-Abgrenzung" sheetId="25" r:id="rId17"/>
    <sheet name="2021-Covid-Foerder-EntschHilf" sheetId="27" r:id="rId18"/>
    <sheet name="A+E Export StB 2023" sheetId="33" r:id="rId19"/>
    <sheet name="A+E Export StB 2022" sheetId="31" r:id="rId20"/>
    <sheet name="A+E Export StB 2021" sheetId="29" r:id="rId21"/>
    <sheet name="A+E Export StB 2020" sheetId="26" r:id="rId22"/>
    <sheet name="A+E Export StB 2019" sheetId="22" r:id="rId23"/>
    <sheet name="Best Customers" sheetId="21" r:id="rId24"/>
    <sheet name="A_Export_Fuer_StB_2018" sheetId="18" r:id="rId25"/>
    <sheet name="E_Export_Fuer_StB_2018" sheetId="19" r:id="rId26"/>
    <sheet name="Gesamt_Export_Fuer_StB_2018" sheetId="20" r:id="rId27"/>
    <sheet name="A_Export_Fuer_StB_2017" sheetId="14" r:id="rId28"/>
    <sheet name="E_Export_Fuer_StB_2017" sheetId="15" r:id="rId29"/>
    <sheet name="Gesamt_Export_Fuer_StB_2017" sheetId="16" r:id="rId30"/>
    <sheet name="Steuersatz" sheetId="12" r:id="rId31"/>
    <sheet name="Wareneingangsbuch" sheetId="4" r:id="rId32"/>
    <sheet name="Arbeitszimmer" sheetId="5" r:id="rId33"/>
    <sheet name="Spesenart" sheetId="13" r:id="rId34"/>
  </sheets>
  <functionGroups builtInGroupCount="19"/>
  <definedNames>
    <definedName name="_xlnm._FilterDatabase" localSheetId="22" hidden="1">'A+E Export StB 2019'!$A$1:$G$239</definedName>
    <definedName name="_xlnm._FilterDatabase" localSheetId="21" hidden="1">'A+E Export StB 2020'!$A$1:$G$239</definedName>
    <definedName name="_xlnm._FilterDatabase" localSheetId="20" hidden="1">'A+E Export StB 2021'!$A$1:$G$197</definedName>
    <definedName name="_xlnm._FilterDatabase" localSheetId="19" hidden="1">'A+E Export StB 2022'!$A$1:$XEK$221</definedName>
    <definedName name="_xlnm._FilterDatabase" localSheetId="18" hidden="1">'A+E Export StB 2023'!$A$1:$XEK$221</definedName>
    <definedName name="_xlnm._FilterDatabase" localSheetId="7" hidden="1">'A+E Export StB 2024'!$A$1:$XEJ$221</definedName>
    <definedName name="_xlnm._FilterDatabase" localSheetId="15" hidden="1">Ausgaben_bis_2018!$D$1:$Y$418</definedName>
    <definedName name="_xlnm._FilterDatabase" localSheetId="26" hidden="1">Gesamt_Export_Fuer_StB_2018!$A$1:$AA$126</definedName>
    <definedName name="_xlnm._FilterDatabase" localSheetId="14" hidden="1">Journal_ab_2019!$A$1:$Y$1225</definedName>
    <definedName name="_xlnm._FilterDatabase" localSheetId="2" hidden="1">Journal_ab_2024!$A$1:$Z$767</definedName>
    <definedName name="_xlnm._FilterDatabase" localSheetId="1" hidden="1">Rechnung_Ausgang!$A$1:$M$256</definedName>
    <definedName name="Spesenart">Spesenart!$C$2:$C$27</definedName>
  </definedNames>
  <calcPr calcId="191029"/>
  <pivotCaches>
    <pivotCache cacheId="0" r:id="rId3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337" i="32" l="1"/>
  <c r="V336" i="32"/>
  <c r="V335" i="32"/>
  <c r="V334" i="32"/>
  <c r="V333" i="32"/>
  <c r="V332" i="32"/>
  <c r="V331" i="32"/>
  <c r="V330" i="32"/>
  <c r="V329" i="32"/>
  <c r="C41" i="30"/>
  <c r="D41" i="30" s="1"/>
  <c r="C40" i="30"/>
  <c r="E40" i="30" s="1"/>
  <c r="P352" i="32"/>
  <c r="N352" i="32" s="1"/>
  <c r="L352" i="32"/>
  <c r="L351" i="32"/>
  <c r="K351" i="32" s="1"/>
  <c r="U351" i="32" s="1"/>
  <c r="P351" i="32"/>
  <c r="P350" i="32"/>
  <c r="Q350" i="32" s="1"/>
  <c r="T350" i="32" s="1"/>
  <c r="K350" i="32"/>
  <c r="U350" i="32" s="1"/>
  <c r="P349" i="32"/>
  <c r="Q349" i="32" s="1"/>
  <c r="T349" i="32" s="1"/>
  <c r="K349" i="32"/>
  <c r="U349" i="32" s="1"/>
  <c r="P348" i="32"/>
  <c r="N348" i="32" s="1"/>
  <c r="O348" i="32" s="1"/>
  <c r="K348" i="32"/>
  <c r="U348" i="32" s="1"/>
  <c r="P347" i="32"/>
  <c r="Q347" i="32" s="1"/>
  <c r="T347" i="32" s="1"/>
  <c r="K347" i="32"/>
  <c r="U347" i="32" s="1"/>
  <c r="P346" i="32"/>
  <c r="Q346" i="32" s="1"/>
  <c r="T346" i="32" s="1"/>
  <c r="K346" i="32"/>
  <c r="U346" i="32" s="1"/>
  <c r="P345" i="32"/>
  <c r="Q345" i="32" s="1"/>
  <c r="T345" i="32" s="1"/>
  <c r="K345" i="32"/>
  <c r="U345" i="32" s="1"/>
  <c r="P344" i="32"/>
  <c r="N344" i="32" s="1"/>
  <c r="O344" i="32" s="1"/>
  <c r="K344" i="32"/>
  <c r="U344" i="32" s="1"/>
  <c r="P343" i="32"/>
  <c r="N343" i="32" s="1"/>
  <c r="O343" i="32" s="1"/>
  <c r="K343" i="32"/>
  <c r="U343" i="32" s="1"/>
  <c r="P342" i="32"/>
  <c r="Q342" i="32" s="1"/>
  <c r="T342" i="32" s="1"/>
  <c r="K342" i="32"/>
  <c r="U342" i="32" s="1"/>
  <c r="P341" i="32"/>
  <c r="Q341" i="32" s="1"/>
  <c r="T341" i="32" s="1"/>
  <c r="K341" i="32"/>
  <c r="U341" i="32" s="1"/>
  <c r="P340" i="32"/>
  <c r="N340" i="32" s="1"/>
  <c r="O340" i="32" s="1"/>
  <c r="K340" i="32"/>
  <c r="U340" i="32" s="1"/>
  <c r="P339" i="32"/>
  <c r="Q339" i="32" s="1"/>
  <c r="T339" i="32" s="1"/>
  <c r="K339" i="32"/>
  <c r="U339" i="32" s="1"/>
  <c r="P338" i="32"/>
  <c r="N338" i="32" s="1"/>
  <c r="O338" i="32" s="1"/>
  <c r="K338" i="32"/>
  <c r="U338" i="32" s="1"/>
  <c r="P337" i="32"/>
  <c r="Q337" i="32" s="1"/>
  <c r="T337" i="32" s="1"/>
  <c r="K337" i="32"/>
  <c r="U337" i="32" s="1"/>
  <c r="P336" i="32"/>
  <c r="N336" i="32" s="1"/>
  <c r="O336" i="32" s="1"/>
  <c r="K336" i="32"/>
  <c r="U336" i="32" s="1"/>
  <c r="P335" i="32"/>
  <c r="Q335" i="32" s="1"/>
  <c r="T335" i="32" s="1"/>
  <c r="K335" i="32"/>
  <c r="U335" i="32" s="1"/>
  <c r="P334" i="32"/>
  <c r="Q334" i="32" s="1"/>
  <c r="K334" i="32"/>
  <c r="U334" i="32" s="1"/>
  <c r="P333" i="32"/>
  <c r="Q333" i="32" s="1"/>
  <c r="T333" i="32" s="1"/>
  <c r="K333" i="32"/>
  <c r="U333" i="32" s="1"/>
  <c r="P332" i="32"/>
  <c r="Q332" i="32" s="1"/>
  <c r="T332" i="32" s="1"/>
  <c r="K332" i="32"/>
  <c r="U332" i="32" s="1"/>
  <c r="P331" i="32"/>
  <c r="Q331" i="32" s="1"/>
  <c r="T331" i="32" s="1"/>
  <c r="K331" i="32"/>
  <c r="U331" i="32" s="1"/>
  <c r="J264" i="1"/>
  <c r="K264" i="1" s="1"/>
  <c r="C265" i="1"/>
  <c r="C264" i="1"/>
  <c r="J265" i="1"/>
  <c r="K265" i="1" s="1"/>
  <c r="J266" i="1"/>
  <c r="K266" i="1" s="1"/>
  <c r="C266" i="1"/>
  <c r="C263" i="1"/>
  <c r="J263" i="1"/>
  <c r="K263" i="1" s="1"/>
  <c r="C39" i="30"/>
  <c r="E39" i="30" s="1"/>
  <c r="C38" i="30"/>
  <c r="D38" i="30" s="1"/>
  <c r="C37" i="30"/>
  <c r="E37" i="30" s="1"/>
  <c r="P330" i="32"/>
  <c r="Q330" i="32" s="1"/>
  <c r="T330" i="32" s="1"/>
  <c r="K330" i="32"/>
  <c r="U330" i="32" s="1"/>
  <c r="P329" i="32"/>
  <c r="Q329" i="32" s="1"/>
  <c r="T329" i="32" s="1"/>
  <c r="K329" i="32"/>
  <c r="U329" i="32" s="1"/>
  <c r="P328" i="32"/>
  <c r="Q328" i="32" s="1"/>
  <c r="T328" i="32" s="1"/>
  <c r="K328" i="32"/>
  <c r="U328" i="32" s="1"/>
  <c r="P327" i="32"/>
  <c r="Q327" i="32" s="1"/>
  <c r="T327" i="32" s="1"/>
  <c r="K327" i="32"/>
  <c r="U327" i="32" s="1"/>
  <c r="P326" i="32"/>
  <c r="Q326" i="32" s="1"/>
  <c r="T326" i="32" s="1"/>
  <c r="K326" i="32"/>
  <c r="U326" i="32" s="1"/>
  <c r="P325" i="32"/>
  <c r="N325" i="32" s="1"/>
  <c r="O325" i="32" s="1"/>
  <c r="K325" i="32"/>
  <c r="U325" i="32" s="1"/>
  <c r="Q324" i="32"/>
  <c r="T324" i="32" s="1"/>
  <c r="N324" i="32"/>
  <c r="O324" i="32" s="1"/>
  <c r="K324" i="32"/>
  <c r="U324" i="32" s="1"/>
  <c r="P323" i="32"/>
  <c r="Q323" i="32" s="1"/>
  <c r="T323" i="32" s="1"/>
  <c r="K323" i="32"/>
  <c r="U323" i="32" s="1"/>
  <c r="P322" i="32"/>
  <c r="Q322" i="32" s="1"/>
  <c r="T322" i="32" s="1"/>
  <c r="K322" i="32"/>
  <c r="U322" i="32" s="1"/>
  <c r="P321" i="32"/>
  <c r="N321" i="32" s="1"/>
  <c r="O321" i="32" s="1"/>
  <c r="K321" i="32"/>
  <c r="U321" i="32" s="1"/>
  <c r="P320" i="32"/>
  <c r="N320" i="32" s="1"/>
  <c r="O320" i="32" s="1"/>
  <c r="K320" i="32"/>
  <c r="U320" i="32" s="1"/>
  <c r="P319" i="32"/>
  <c r="Q319" i="32" s="1"/>
  <c r="T319" i="32" s="1"/>
  <c r="K319" i="32"/>
  <c r="U319" i="32" s="1"/>
  <c r="P318" i="32"/>
  <c r="Q318" i="32" s="1"/>
  <c r="T318" i="32" s="1"/>
  <c r="K318" i="32"/>
  <c r="U318" i="32" s="1"/>
  <c r="P317" i="32"/>
  <c r="N317" i="32" s="1"/>
  <c r="O317" i="32" s="1"/>
  <c r="K317" i="32"/>
  <c r="U317" i="32" s="1"/>
  <c r="P316" i="32"/>
  <c r="Q316" i="32" s="1"/>
  <c r="T316" i="32" s="1"/>
  <c r="K316" i="32"/>
  <c r="U316" i="32" s="1"/>
  <c r="P315" i="32"/>
  <c r="Q315" i="32" s="1"/>
  <c r="T315" i="32" s="1"/>
  <c r="N315" i="32"/>
  <c r="O315" i="32" s="1"/>
  <c r="K315" i="32"/>
  <c r="U315" i="32" s="1"/>
  <c r="P314" i="32"/>
  <c r="N314" i="32" s="1"/>
  <c r="O314" i="32" s="1"/>
  <c r="K314" i="32"/>
  <c r="U314" i="32" s="1"/>
  <c r="P313" i="32"/>
  <c r="Q313" i="32" s="1"/>
  <c r="T313" i="32" s="1"/>
  <c r="K313" i="32"/>
  <c r="U313" i="32" s="1"/>
  <c r="Q312" i="32"/>
  <c r="T312" i="32" s="1"/>
  <c r="N312" i="32"/>
  <c r="O312" i="32" s="1"/>
  <c r="K312" i="32"/>
  <c r="U312" i="32" s="1"/>
  <c r="P311" i="32"/>
  <c r="Q311" i="32" s="1"/>
  <c r="T311" i="32" s="1"/>
  <c r="K311" i="32"/>
  <c r="U311" i="32" s="1"/>
  <c r="P310" i="32"/>
  <c r="Q310" i="32" s="1"/>
  <c r="T310" i="32" s="1"/>
  <c r="K310" i="32"/>
  <c r="U310" i="32" s="1"/>
  <c r="J261" i="1"/>
  <c r="K261" i="1" s="1"/>
  <c r="C261" i="1"/>
  <c r="N261" i="1" s="1"/>
  <c r="J258" i="1"/>
  <c r="K258" i="1" s="1"/>
  <c r="C258" i="1"/>
  <c r="N258" i="1" s="1"/>
  <c r="C262" i="1"/>
  <c r="N262" i="1" s="1"/>
  <c r="J262" i="1"/>
  <c r="K262" i="1" s="1"/>
  <c r="C36" i="30"/>
  <c r="D36" i="30" s="1"/>
  <c r="J260" i="1"/>
  <c r="K260" i="1" s="1"/>
  <c r="J259" i="1"/>
  <c r="K259" i="1" s="1"/>
  <c r="C260" i="1"/>
  <c r="N260" i="1" s="1"/>
  <c r="C259" i="1"/>
  <c r="N259" i="1" s="1"/>
  <c r="C257" i="1"/>
  <c r="J257" i="1"/>
  <c r="K257" i="1" s="1"/>
  <c r="N257" i="1"/>
  <c r="C35" i="30"/>
  <c r="E35" i="30" s="1"/>
  <c r="P308" i="32"/>
  <c r="N308" i="32" s="1"/>
  <c r="O308" i="32" s="1"/>
  <c r="K308" i="32"/>
  <c r="U308" i="32" s="1"/>
  <c r="P309" i="32"/>
  <c r="N309" i="32" s="1"/>
  <c r="L309" i="32"/>
  <c r="K309" i="32" s="1"/>
  <c r="U309" i="32" s="1"/>
  <c r="P307" i="32"/>
  <c r="N307" i="32" s="1"/>
  <c r="O307" i="32" s="1"/>
  <c r="K307" i="32"/>
  <c r="U307" i="32" s="1"/>
  <c r="P306" i="32"/>
  <c r="N306" i="32" s="1"/>
  <c r="O306" i="32" s="1"/>
  <c r="K306" i="32"/>
  <c r="U306" i="32" s="1"/>
  <c r="P305" i="32"/>
  <c r="N305" i="32" s="1"/>
  <c r="O305" i="32" s="1"/>
  <c r="K305" i="32"/>
  <c r="U305" i="32" s="1"/>
  <c r="P304" i="32"/>
  <c r="N304" i="32" s="1"/>
  <c r="O304" i="32" s="1"/>
  <c r="K304" i="32"/>
  <c r="U304" i="32" s="1"/>
  <c r="P303" i="32"/>
  <c r="Q303" i="32" s="1"/>
  <c r="T303" i="32" s="1"/>
  <c r="K303" i="32"/>
  <c r="U303" i="32" s="1"/>
  <c r="Q302" i="32"/>
  <c r="T302" i="32" s="1"/>
  <c r="N302" i="32"/>
  <c r="O302" i="32" s="1"/>
  <c r="K302" i="32"/>
  <c r="U302" i="32" s="1"/>
  <c r="P301" i="32"/>
  <c r="Q301" i="32" s="1"/>
  <c r="T301" i="32" s="1"/>
  <c r="K301" i="32"/>
  <c r="U301" i="32" s="1"/>
  <c r="P300" i="32"/>
  <c r="N300" i="32" s="1"/>
  <c r="O300" i="32" s="1"/>
  <c r="K300" i="32"/>
  <c r="U300" i="32" s="1"/>
  <c r="P299" i="32"/>
  <c r="Q299" i="32" s="1"/>
  <c r="T299" i="32" s="1"/>
  <c r="K299" i="32"/>
  <c r="U299" i="32" s="1"/>
  <c r="P298" i="32"/>
  <c r="Q298" i="32" s="1"/>
  <c r="T298" i="32" s="1"/>
  <c r="K298" i="32"/>
  <c r="U298" i="32" s="1"/>
  <c r="P297" i="32"/>
  <c r="Q297" i="32" s="1"/>
  <c r="T297" i="32" s="1"/>
  <c r="K297" i="32"/>
  <c r="U297" i="32" s="1"/>
  <c r="P296" i="32"/>
  <c r="N296" i="32" s="1"/>
  <c r="O296" i="32" s="1"/>
  <c r="K296" i="32"/>
  <c r="U296" i="32" s="1"/>
  <c r="P295" i="32"/>
  <c r="Q295" i="32" s="1"/>
  <c r="T295" i="32" s="1"/>
  <c r="N295" i="32"/>
  <c r="O295" i="32" s="1"/>
  <c r="K295" i="32"/>
  <c r="U295" i="32" s="1"/>
  <c r="L294" i="32"/>
  <c r="K294" i="32" s="1"/>
  <c r="U294" i="32" s="1"/>
  <c r="P293" i="32"/>
  <c r="Q293" i="32" s="1"/>
  <c r="T293" i="32" s="1"/>
  <c r="K293" i="32"/>
  <c r="U293" i="32" s="1"/>
  <c r="P292" i="32"/>
  <c r="N292" i="32" s="1"/>
  <c r="O292" i="32" s="1"/>
  <c r="K292" i="32"/>
  <c r="U292" i="32" s="1"/>
  <c r="P291" i="32"/>
  <c r="Q291" i="32" s="1"/>
  <c r="T291" i="32" s="1"/>
  <c r="K291" i="32"/>
  <c r="U291" i="32" s="1"/>
  <c r="P290" i="32"/>
  <c r="N290" i="32" s="1"/>
  <c r="O290" i="32" s="1"/>
  <c r="K290" i="32"/>
  <c r="U290" i="32" s="1"/>
  <c r="Q289" i="32"/>
  <c r="T289" i="32" s="1"/>
  <c r="N289" i="32"/>
  <c r="O289" i="32" s="1"/>
  <c r="K289" i="32"/>
  <c r="U289" i="32" s="1"/>
  <c r="P288" i="32"/>
  <c r="Q288" i="32" s="1"/>
  <c r="K288" i="32"/>
  <c r="U288" i="32" s="1"/>
  <c r="P287" i="32"/>
  <c r="Q287" i="32" s="1"/>
  <c r="K287" i="32"/>
  <c r="U287" i="32" s="1"/>
  <c r="J256" i="1"/>
  <c r="K256" i="1" s="1"/>
  <c r="C256" i="1"/>
  <c r="J255" i="1"/>
  <c r="K255" i="1" s="1"/>
  <c r="C255" i="1"/>
  <c r="C34" i="30"/>
  <c r="D34" i="30"/>
  <c r="E34" i="30"/>
  <c r="C33" i="30"/>
  <c r="E33" i="30" s="1"/>
  <c r="P286" i="32"/>
  <c r="Q286" i="32" s="1"/>
  <c r="T286" i="32" s="1"/>
  <c r="K286" i="32"/>
  <c r="U286" i="32" s="1"/>
  <c r="P285" i="32"/>
  <c r="Q285" i="32" s="1"/>
  <c r="T285" i="32" s="1"/>
  <c r="K285" i="32"/>
  <c r="U285" i="32" s="1"/>
  <c r="P284" i="32"/>
  <c r="Q284" i="32" s="1"/>
  <c r="T284" i="32" s="1"/>
  <c r="K284" i="32"/>
  <c r="U284" i="32" s="1"/>
  <c r="P283" i="32"/>
  <c r="N283" i="32" s="1"/>
  <c r="O283" i="32" s="1"/>
  <c r="K283" i="32"/>
  <c r="U283" i="32" s="1"/>
  <c r="P282" i="32"/>
  <c r="Q282" i="32" s="1"/>
  <c r="T282" i="32" s="1"/>
  <c r="K282" i="32"/>
  <c r="U282" i="32" s="1"/>
  <c r="P281" i="32"/>
  <c r="Q281" i="32" s="1"/>
  <c r="T281" i="32" s="1"/>
  <c r="K281" i="32"/>
  <c r="U281" i="32" s="1"/>
  <c r="P280" i="32"/>
  <c r="Q280" i="32" s="1"/>
  <c r="T280" i="32" s="1"/>
  <c r="K280" i="32"/>
  <c r="U280" i="32" s="1"/>
  <c r="P279" i="32"/>
  <c r="Q279" i="32" s="1"/>
  <c r="T279" i="32" s="1"/>
  <c r="K279" i="32"/>
  <c r="U279" i="32" s="1"/>
  <c r="P278" i="32"/>
  <c r="Q278" i="32" s="1"/>
  <c r="T278" i="32" s="1"/>
  <c r="K278" i="32"/>
  <c r="U278" i="32" s="1"/>
  <c r="P277" i="32"/>
  <c r="N277" i="32" s="1"/>
  <c r="O277" i="32" s="1"/>
  <c r="K277" i="32"/>
  <c r="U277" i="32" s="1"/>
  <c r="Q276" i="32"/>
  <c r="T276" i="32" s="1"/>
  <c r="N276" i="32"/>
  <c r="O276" i="32" s="1"/>
  <c r="K276" i="32"/>
  <c r="U276" i="32" s="1"/>
  <c r="P275" i="32"/>
  <c r="Q275" i="32" s="1"/>
  <c r="T275" i="32" s="1"/>
  <c r="K275" i="32"/>
  <c r="U275" i="32" s="1"/>
  <c r="P274" i="32"/>
  <c r="Q274" i="32" s="1"/>
  <c r="T274" i="32" s="1"/>
  <c r="K274" i="32"/>
  <c r="U274" i="32" s="1"/>
  <c r="P273" i="32"/>
  <c r="N273" i="32" s="1"/>
  <c r="L273" i="32"/>
  <c r="P272" i="32"/>
  <c r="N272" i="32" s="1"/>
  <c r="L272" i="32"/>
  <c r="K272" i="32"/>
  <c r="U272" i="32" s="1"/>
  <c r="P271" i="32"/>
  <c r="Q271" i="32" s="1"/>
  <c r="T271" i="32" s="1"/>
  <c r="K271" i="32"/>
  <c r="U271" i="32" s="1"/>
  <c r="P270" i="32"/>
  <c r="Q270" i="32" s="1"/>
  <c r="T270" i="32" s="1"/>
  <c r="K270" i="32"/>
  <c r="U270" i="32" s="1"/>
  <c r="P269" i="32"/>
  <c r="Q269" i="32" s="1"/>
  <c r="T269" i="32" s="1"/>
  <c r="K269" i="32"/>
  <c r="U269" i="32" s="1"/>
  <c r="P268" i="32"/>
  <c r="Q268" i="32" s="1"/>
  <c r="T268" i="32" s="1"/>
  <c r="K268" i="32"/>
  <c r="U268" i="32" s="1"/>
  <c r="P267" i="32"/>
  <c r="Q267" i="32" s="1"/>
  <c r="T267" i="32" s="1"/>
  <c r="K267" i="32"/>
  <c r="U267" i="32" s="1"/>
  <c r="P266" i="32"/>
  <c r="Q266" i="32" s="1"/>
  <c r="T266" i="32" s="1"/>
  <c r="K266" i="32"/>
  <c r="U266" i="32" s="1"/>
  <c r="P265" i="32"/>
  <c r="Q265" i="32" s="1"/>
  <c r="T265" i="32" s="1"/>
  <c r="K265" i="32"/>
  <c r="U265" i="32" s="1"/>
  <c r="H250" i="1"/>
  <c r="J254" i="1"/>
  <c r="K254" i="1" s="1"/>
  <c r="J253" i="1"/>
  <c r="K253" i="1" s="1"/>
  <c r="J252" i="1"/>
  <c r="K252" i="1" s="1"/>
  <c r="C254" i="1"/>
  <c r="C253" i="1"/>
  <c r="C252" i="1"/>
  <c r="E11" i="35"/>
  <c r="L261" i="1"/>
  <c r="L259" i="1"/>
  <c r="L260" i="1"/>
  <c r="L258" i="1"/>
  <c r="L257" i="1"/>
  <c r="L262" i="1"/>
  <c r="L263" i="1"/>
  <c r="L264" i="1"/>
  <c r="R317" i="32"/>
  <c r="R298" i="32"/>
  <c r="R340" i="32"/>
  <c r="R338" i="32"/>
  <c r="R349" i="32"/>
  <c r="R286" i="32"/>
  <c r="R273" i="32"/>
  <c r="R352" i="32"/>
  <c r="R333" i="32"/>
  <c r="R327" i="32"/>
  <c r="R331" i="32"/>
  <c r="R310" i="32"/>
  <c r="R305" i="32"/>
  <c r="R350" i="32"/>
  <c r="R319" i="32"/>
  <c r="R312" i="32"/>
  <c r="R314" i="32"/>
  <c r="R309" i="32"/>
  <c r="R326" i="32"/>
  <c r="R282" i="32"/>
  <c r="R278" i="32"/>
  <c r="R285" i="32"/>
  <c r="R276" i="32"/>
  <c r="R347" i="32"/>
  <c r="R301" i="32"/>
  <c r="R324" i="32"/>
  <c r="R292" i="32"/>
  <c r="R270" i="32"/>
  <c r="R339" i="32"/>
  <c r="R294" i="32"/>
  <c r="R337" i="32"/>
  <c r="R303" i="32"/>
  <c r="R320" i="32"/>
  <c r="R335" i="32"/>
  <c r="R266" i="32"/>
  <c r="R334" i="32"/>
  <c r="R307" i="32"/>
  <c r="R329" i="32"/>
  <c r="R341" i="32"/>
  <c r="R304" i="32"/>
  <c r="R316" i="32"/>
  <c r="R265" i="32"/>
  <c r="R325" i="32"/>
  <c r="R328" i="32"/>
  <c r="R348" i="32"/>
  <c r="R318" i="32"/>
  <c r="R332" i="32"/>
  <c r="R322" i="32"/>
  <c r="R295" i="32"/>
  <c r="R272" i="32"/>
  <c r="R351" i="32"/>
  <c r="R343" i="32"/>
  <c r="R323" i="32"/>
  <c r="R267" i="32"/>
  <c r="R291" i="32"/>
  <c r="R288" i="32"/>
  <c r="R344" i="32"/>
  <c r="R300" i="32"/>
  <c r="R296" i="32"/>
  <c r="R269" i="32"/>
  <c r="R336" i="32"/>
  <c r="R321" i="32"/>
  <c r="R280" i="32"/>
  <c r="R277" i="32"/>
  <c r="R275" i="32"/>
  <c r="R308" i="32"/>
  <c r="R313" i="32"/>
  <c r="R299" i="32"/>
  <c r="R279" i="32"/>
  <c r="R271" i="32"/>
  <c r="R302" i="32"/>
  <c r="R297" i="32"/>
  <c r="R345" i="32"/>
  <c r="R311" i="32"/>
  <c r="R306" i="32"/>
  <c r="R284" i="32"/>
  <c r="R274" i="32"/>
  <c r="R346" i="32"/>
  <c r="R283" i="32"/>
  <c r="R342" i="32"/>
  <c r="R289" i="32"/>
  <c r="R330" i="32"/>
  <c r="R281" i="32"/>
  <c r="R293" i="32"/>
  <c r="R315" i="32"/>
  <c r="R287" i="32"/>
  <c r="R290" i="32"/>
  <c r="R268" i="32"/>
  <c r="N270" i="32" l="1"/>
  <c r="O270" i="32" s="1"/>
  <c r="N310" i="32"/>
  <c r="O310" i="32" s="1"/>
  <c r="N285" i="32"/>
  <c r="O285" i="32" s="1"/>
  <c r="Q352" i="32"/>
  <c r="T352" i="32" s="1"/>
  <c r="N301" i="32"/>
  <c r="O301" i="32" s="1"/>
  <c r="N265" i="32"/>
  <c r="O265" i="32" s="1"/>
  <c r="N345" i="32"/>
  <c r="O345" i="32" s="1"/>
  <c r="N266" i="32"/>
  <c r="O266" i="32" s="1"/>
  <c r="N313" i="32"/>
  <c r="O313" i="32" s="1"/>
  <c r="O352" i="32"/>
  <c r="Q272" i="32"/>
  <c r="T272" i="32" s="1"/>
  <c r="N274" i="32"/>
  <c r="O274" i="32" s="1"/>
  <c r="N298" i="32"/>
  <c r="O298" i="32" s="1"/>
  <c r="N275" i="32"/>
  <c r="O275" i="32" s="1"/>
  <c r="N346" i="32"/>
  <c r="N287" i="32"/>
  <c r="O287" i="32" s="1"/>
  <c r="N281" i="32"/>
  <c r="O281" i="32" s="1"/>
  <c r="N267" i="32"/>
  <c r="O267" i="32" s="1"/>
  <c r="N279" i="32"/>
  <c r="O279" i="32" s="1"/>
  <c r="N280" i="32"/>
  <c r="O280" i="32" s="1"/>
  <c r="K352" i="32"/>
  <c r="U352" i="32" s="1"/>
  <c r="Q340" i="32"/>
  <c r="T340" i="32" s="1"/>
  <c r="N286" i="32"/>
  <c r="O286" i="32" s="1"/>
  <c r="N331" i="32"/>
  <c r="O331" i="32" s="1"/>
  <c r="Q283" i="32"/>
  <c r="T283" i="32" s="1"/>
  <c r="O272" i="32"/>
  <c r="N291" i="32"/>
  <c r="O291" i="32" s="1"/>
  <c r="N268" i="32"/>
  <c r="O268" i="32" s="1"/>
  <c r="N284" i="32"/>
  <c r="O284" i="32" s="1"/>
  <c r="N333" i="32"/>
  <c r="O333" i="32" s="1"/>
  <c r="Q321" i="32"/>
  <c r="T321" i="32" s="1"/>
  <c r="N326" i="32"/>
  <c r="O326" i="32" s="1"/>
  <c r="N349" i="32"/>
  <c r="Q336" i="32"/>
  <c r="T336" i="32" s="1"/>
  <c r="N350" i="32"/>
  <c r="N278" i="32"/>
  <c r="O278" i="32" s="1"/>
  <c r="N318" i="32"/>
  <c r="O318" i="32" s="1"/>
  <c r="D40" i="30"/>
  <c r="O40" i="30" s="1"/>
  <c r="O41" i="30"/>
  <c r="J41" i="30"/>
  <c r="F41" i="30"/>
  <c r="N41" i="30"/>
  <c r="M41" i="30"/>
  <c r="K41" i="30"/>
  <c r="I41" i="30"/>
  <c r="E41" i="30"/>
  <c r="F40" i="30"/>
  <c r="I40" i="30"/>
  <c r="J40" i="30"/>
  <c r="K40" i="30"/>
  <c r="M40" i="30"/>
  <c r="N40" i="30"/>
  <c r="Q351" i="32"/>
  <c r="T351" i="32" s="1"/>
  <c r="N351" i="32"/>
  <c r="O351" i="32" s="1"/>
  <c r="Q348" i="32"/>
  <c r="T348" i="32" s="1"/>
  <c r="N347" i="32"/>
  <c r="Q344" i="32"/>
  <c r="T344" i="32" s="1"/>
  <c r="Q343" i="32"/>
  <c r="T343" i="32" s="1"/>
  <c r="N342" i="32"/>
  <c r="O342" i="32" s="1"/>
  <c r="N341" i="32"/>
  <c r="O341" i="32" s="1"/>
  <c r="N339" i="32"/>
  <c r="O339" i="32" s="1"/>
  <c r="Q338" i="32"/>
  <c r="N337" i="32"/>
  <c r="O337" i="32" s="1"/>
  <c r="M38" i="30"/>
  <c r="N335" i="32"/>
  <c r="O335" i="32" s="1"/>
  <c r="L37" i="30" s="1"/>
  <c r="N334" i="32"/>
  <c r="O334" i="32" s="1"/>
  <c r="F38" i="30" s="1"/>
  <c r="J38" i="30"/>
  <c r="T334" i="32"/>
  <c r="K38" i="30"/>
  <c r="I38" i="30"/>
  <c r="N332" i="32"/>
  <c r="O332" i="32" s="1"/>
  <c r="L38" i="30"/>
  <c r="G38" i="30"/>
  <c r="D39" i="30"/>
  <c r="O39" i="30" s="1"/>
  <c r="J39" i="30"/>
  <c r="K39" i="30"/>
  <c r="L39" i="30"/>
  <c r="F39" i="30"/>
  <c r="M39" i="30"/>
  <c r="N39" i="30"/>
  <c r="E38" i="30"/>
  <c r="D37" i="30"/>
  <c r="K37" i="30"/>
  <c r="F37" i="30"/>
  <c r="M37" i="30"/>
  <c r="I37" i="30"/>
  <c r="N330" i="32"/>
  <c r="O330" i="32" s="1"/>
  <c r="N329" i="32"/>
  <c r="O329" i="32" s="1"/>
  <c r="N328" i="32"/>
  <c r="O328" i="32" s="1"/>
  <c r="N327" i="32"/>
  <c r="O327" i="32" s="1"/>
  <c r="Q325" i="32"/>
  <c r="T325" i="32" s="1"/>
  <c r="N323" i="32"/>
  <c r="O323" i="32" s="1"/>
  <c r="N322" i="32"/>
  <c r="O322" i="32" s="1"/>
  <c r="Q320" i="32"/>
  <c r="T320" i="32" s="1"/>
  <c r="N319" i="32"/>
  <c r="O319" i="32" s="1"/>
  <c r="Q317" i="32"/>
  <c r="T317" i="32" s="1"/>
  <c r="N316" i="32"/>
  <c r="O316" i="32" s="1"/>
  <c r="Q314" i="32"/>
  <c r="T314" i="32" s="1"/>
  <c r="L36" i="30"/>
  <c r="N311" i="32"/>
  <c r="O311" i="32" s="1"/>
  <c r="O36" i="30"/>
  <c r="I36" i="30"/>
  <c r="F36" i="30"/>
  <c r="N36" i="30"/>
  <c r="K36" i="30"/>
  <c r="M36" i="30"/>
  <c r="J36" i="30"/>
  <c r="G36" i="30"/>
  <c r="E36" i="30"/>
  <c r="D35" i="30"/>
  <c r="O35" i="30" s="1"/>
  <c r="F35" i="30"/>
  <c r="G35" i="30"/>
  <c r="I35" i="30"/>
  <c r="J35" i="30"/>
  <c r="K35" i="30"/>
  <c r="M35" i="30"/>
  <c r="Q308" i="32"/>
  <c r="T308" i="32" s="1"/>
  <c r="Q309" i="32"/>
  <c r="T309" i="32" s="1"/>
  <c r="O309" i="32"/>
  <c r="Q307" i="32"/>
  <c r="T307" i="32" s="1"/>
  <c r="Q306" i="32"/>
  <c r="T306" i="32" s="1"/>
  <c r="Q305" i="32"/>
  <c r="T305" i="32" s="1"/>
  <c r="Q304" i="32"/>
  <c r="T304" i="32" s="1"/>
  <c r="N303" i="32"/>
  <c r="O303" i="32" s="1"/>
  <c r="Q300" i="32"/>
  <c r="T300" i="32" s="1"/>
  <c r="N299" i="32"/>
  <c r="O299" i="32" s="1"/>
  <c r="N297" i="32"/>
  <c r="O297" i="32" s="1"/>
  <c r="Q296" i="32"/>
  <c r="T296" i="32" s="1"/>
  <c r="O294" i="32"/>
  <c r="Q294" i="32"/>
  <c r="T294" i="32" s="1"/>
  <c r="N293" i="32"/>
  <c r="O293" i="32" s="1"/>
  <c r="Q292" i="32"/>
  <c r="T292" i="32" s="1"/>
  <c r="Q290" i="32"/>
  <c r="T290" i="32" s="1"/>
  <c r="M34" i="30"/>
  <c r="T288" i="32"/>
  <c r="I34" i="30"/>
  <c r="K34" i="30"/>
  <c r="J34" i="30"/>
  <c r="N288" i="32"/>
  <c r="O288" i="32" s="1"/>
  <c r="F34" i="30" s="1"/>
  <c r="T287" i="32"/>
  <c r="O34" i="30"/>
  <c r="N34" i="30"/>
  <c r="D33" i="30"/>
  <c r="N282" i="32"/>
  <c r="O282" i="32" s="1"/>
  <c r="Q277" i="32"/>
  <c r="T277" i="32" s="1"/>
  <c r="O273" i="32"/>
  <c r="K273" i="32"/>
  <c r="U273" i="32" s="1"/>
  <c r="Q273" i="32"/>
  <c r="T273" i="32" s="1"/>
  <c r="N271" i="32"/>
  <c r="O271" i="32" s="1"/>
  <c r="N269" i="32"/>
  <c r="O269" i="32" s="1"/>
  <c r="C32" i="30"/>
  <c r="E32" i="30" s="1"/>
  <c r="P264" i="32"/>
  <c r="Q264" i="32" s="1"/>
  <c r="K264" i="32"/>
  <c r="P263" i="32"/>
  <c r="Q263" i="32" s="1"/>
  <c r="T263" i="32" s="1"/>
  <c r="K263" i="32"/>
  <c r="U263" i="32" s="1"/>
  <c r="P262" i="32"/>
  <c r="Q262" i="32" s="1"/>
  <c r="K262" i="32"/>
  <c r="U262" i="32" s="1"/>
  <c r="L261" i="32"/>
  <c r="Q261" i="32" s="1"/>
  <c r="T261" i="32" s="1"/>
  <c r="P260" i="32"/>
  <c r="Q260" i="32" s="1"/>
  <c r="T260" i="32" s="1"/>
  <c r="K260" i="32"/>
  <c r="U260" i="32" s="1"/>
  <c r="P259" i="32"/>
  <c r="Q259" i="32" s="1"/>
  <c r="T259" i="32" s="1"/>
  <c r="K259" i="32"/>
  <c r="U259" i="32" s="1"/>
  <c r="P258" i="32"/>
  <c r="Q258" i="32" s="1"/>
  <c r="T258" i="32" s="1"/>
  <c r="K258" i="32"/>
  <c r="U258" i="32" s="1"/>
  <c r="P257" i="32"/>
  <c r="N257" i="32" s="1"/>
  <c r="O257" i="32" s="1"/>
  <c r="K257" i="32"/>
  <c r="U257" i="32" s="1"/>
  <c r="P256" i="32"/>
  <c r="Q256" i="32" s="1"/>
  <c r="K256" i="32"/>
  <c r="P255" i="32"/>
  <c r="Q255" i="32" s="1"/>
  <c r="T255" i="32" s="1"/>
  <c r="K255" i="32"/>
  <c r="U255" i="32" s="1"/>
  <c r="P254" i="32"/>
  <c r="Q254" i="32" s="1"/>
  <c r="T254" i="32" s="1"/>
  <c r="K254" i="32"/>
  <c r="U254" i="32" s="1"/>
  <c r="P253" i="32"/>
  <c r="Q253" i="32" s="1"/>
  <c r="T253" i="32" s="1"/>
  <c r="K253" i="32"/>
  <c r="U253" i="32" s="1"/>
  <c r="Q252" i="32"/>
  <c r="T252" i="32" s="1"/>
  <c r="N252" i="32"/>
  <c r="O252" i="32" s="1"/>
  <c r="K252" i="32"/>
  <c r="U252" i="32" s="1"/>
  <c r="P251" i="32"/>
  <c r="N251" i="32" s="1"/>
  <c r="O251" i="32" s="1"/>
  <c r="K251" i="32"/>
  <c r="U251" i="32" s="1"/>
  <c r="P250" i="32"/>
  <c r="Q250" i="32" s="1"/>
  <c r="K250" i="32"/>
  <c r="P249" i="32"/>
  <c r="Q249" i="32" s="1"/>
  <c r="T249" i="32" s="1"/>
  <c r="K249" i="32"/>
  <c r="U249" i="32" s="1"/>
  <c r="P248" i="32"/>
  <c r="Q248" i="32" s="1"/>
  <c r="T248" i="32" s="1"/>
  <c r="K248" i="32"/>
  <c r="U248" i="32" s="1"/>
  <c r="P247" i="32"/>
  <c r="N247" i="32" s="1"/>
  <c r="O247" i="32" s="1"/>
  <c r="K247" i="32"/>
  <c r="U247" i="32" s="1"/>
  <c r="P246" i="32"/>
  <c r="N246" i="32" s="1"/>
  <c r="L246" i="32"/>
  <c r="K246" i="32" s="1"/>
  <c r="U246" i="32" s="1"/>
  <c r="P245" i="32"/>
  <c r="Q245" i="32" s="1"/>
  <c r="T245" i="32" s="1"/>
  <c r="K245" i="32"/>
  <c r="U245" i="32" s="1"/>
  <c r="P244" i="32"/>
  <c r="Q244" i="32" s="1"/>
  <c r="K244" i="32"/>
  <c r="P243" i="32"/>
  <c r="Q243" i="32" s="1"/>
  <c r="T243" i="32" s="1"/>
  <c r="K243" i="32"/>
  <c r="U243" i="32" s="1"/>
  <c r="P242" i="32"/>
  <c r="Q242" i="32" s="1"/>
  <c r="T242" i="32" s="1"/>
  <c r="K242" i="32"/>
  <c r="U242" i="32" s="1"/>
  <c r="Q241" i="32"/>
  <c r="T241" i="32" s="1"/>
  <c r="N241" i="32"/>
  <c r="O241" i="32" s="1"/>
  <c r="K241" i="32"/>
  <c r="U241" i="32" s="1"/>
  <c r="P240" i="32"/>
  <c r="Q240" i="32" s="1"/>
  <c r="T240" i="32" s="1"/>
  <c r="K240" i="32"/>
  <c r="U240" i="32" s="1"/>
  <c r="P239" i="32"/>
  <c r="Q239" i="32" s="1"/>
  <c r="T239" i="32" s="1"/>
  <c r="K239" i="32"/>
  <c r="U239" i="32" s="1"/>
  <c r="P238" i="32"/>
  <c r="N238" i="32" s="1"/>
  <c r="L238" i="32"/>
  <c r="E31" i="30"/>
  <c r="D31" i="30"/>
  <c r="C31" i="30"/>
  <c r="C250" i="1"/>
  <c r="J251" i="1"/>
  <c r="K251" i="1" s="1"/>
  <c r="C251" i="1"/>
  <c r="J250" i="1"/>
  <c r="K250" i="1" s="1"/>
  <c r="N250" i="1"/>
  <c r="C30" i="30"/>
  <c r="E30" i="30" s="1"/>
  <c r="A178" i="36"/>
  <c r="B178" i="36"/>
  <c r="C178" i="36"/>
  <c r="D178" i="36"/>
  <c r="E178" i="36"/>
  <c r="F178" i="36"/>
  <c r="G178" i="36"/>
  <c r="P178" i="32"/>
  <c r="N178" i="32" s="1"/>
  <c r="L178" i="32"/>
  <c r="L250" i="1"/>
  <c r="R253" i="32"/>
  <c r="R255" i="32"/>
  <c r="R244" i="32"/>
  <c r="R243" i="32"/>
  <c r="R247" i="32"/>
  <c r="R245" i="32"/>
  <c r="R178" i="32"/>
  <c r="R249" i="32"/>
  <c r="R261" i="32"/>
  <c r="R262" i="32"/>
  <c r="R238" i="32"/>
  <c r="R260" i="32"/>
  <c r="R254" i="32"/>
  <c r="R252" i="32"/>
  <c r="R246" i="32"/>
  <c r="R239" i="32"/>
  <c r="R259" i="32"/>
  <c r="R250" i="32"/>
  <c r="R257" i="32"/>
  <c r="R242" i="32"/>
  <c r="R263" i="32"/>
  <c r="R251" i="32"/>
  <c r="R258" i="32"/>
  <c r="R264" i="32"/>
  <c r="R240" i="32"/>
  <c r="R241" i="32"/>
  <c r="R248" i="32"/>
  <c r="R256" i="32"/>
  <c r="O37" i="30" l="1"/>
  <c r="O347" i="32"/>
  <c r="L35" i="30"/>
  <c r="N248" i="32"/>
  <c r="O248" i="32" s="1"/>
  <c r="T338" i="32"/>
  <c r="G41" i="30"/>
  <c r="H41" i="30" s="1"/>
  <c r="O350" i="32"/>
  <c r="O349" i="32"/>
  <c r="K261" i="32"/>
  <c r="U261" i="32" s="1"/>
  <c r="G34" i="30"/>
  <c r="H34" i="30" s="1"/>
  <c r="O346" i="32"/>
  <c r="L41" i="30"/>
  <c r="L34" i="30"/>
  <c r="N37" i="30"/>
  <c r="H38" i="30"/>
  <c r="N38" i="30"/>
  <c r="O38" i="30"/>
  <c r="I39" i="30"/>
  <c r="G39" i="30"/>
  <c r="H39" i="30" s="1"/>
  <c r="J37" i="30"/>
  <c r="G37" i="30"/>
  <c r="H37" i="30" s="1"/>
  <c r="H36" i="30"/>
  <c r="N35" i="30"/>
  <c r="H35" i="30"/>
  <c r="O33" i="30"/>
  <c r="N33" i="30"/>
  <c r="M33" i="30"/>
  <c r="K33" i="30"/>
  <c r="J33" i="30"/>
  <c r="I33" i="30"/>
  <c r="Q238" i="32"/>
  <c r="T238" i="32" s="1"/>
  <c r="N258" i="32"/>
  <c r="O258" i="32" s="1"/>
  <c r="N243" i="32"/>
  <c r="O243" i="32" s="1"/>
  <c r="N262" i="32"/>
  <c r="O262" i="32" s="1"/>
  <c r="Q246" i="32"/>
  <c r="T246" i="32" s="1"/>
  <c r="N249" i="32"/>
  <c r="O249" i="32" s="1"/>
  <c r="N254" i="32"/>
  <c r="O254" i="32" s="1"/>
  <c r="D32" i="30"/>
  <c r="N264" i="32"/>
  <c r="O264" i="32" s="1"/>
  <c r="N263" i="32"/>
  <c r="O263" i="32" s="1"/>
  <c r="O261" i="32"/>
  <c r="N260" i="32"/>
  <c r="O260" i="32" s="1"/>
  <c r="N259" i="32"/>
  <c r="O259" i="32" s="1"/>
  <c r="F33" i="30" s="1"/>
  <c r="Q257" i="32"/>
  <c r="T257" i="32" s="1"/>
  <c r="N256" i="32"/>
  <c r="O256" i="32" s="1"/>
  <c r="N255" i="32"/>
  <c r="O255" i="32" s="1"/>
  <c r="N253" i="32"/>
  <c r="O253" i="32" s="1"/>
  <c r="Q251" i="32"/>
  <c r="T251" i="32" s="1"/>
  <c r="N250" i="32"/>
  <c r="O250" i="32" s="1"/>
  <c r="Q247" i="32"/>
  <c r="T247" i="32" s="1"/>
  <c r="O246" i="32"/>
  <c r="N245" i="32"/>
  <c r="O245" i="32" s="1"/>
  <c r="N244" i="32"/>
  <c r="O244" i="32" s="1"/>
  <c r="N242" i="32"/>
  <c r="O242" i="32" s="1"/>
  <c r="N240" i="32"/>
  <c r="O240" i="32" s="1"/>
  <c r="F31" i="30" s="1"/>
  <c r="N239" i="32"/>
  <c r="O239" i="32" s="1"/>
  <c r="K238" i="32"/>
  <c r="U238" i="32" s="1"/>
  <c r="O238" i="32"/>
  <c r="J31" i="30"/>
  <c r="K31" i="30"/>
  <c r="I31" i="30"/>
  <c r="D30" i="30"/>
  <c r="Q178" i="32"/>
  <c r="T178" i="32" s="1"/>
  <c r="O178" i="32"/>
  <c r="K178" i="32"/>
  <c r="U178" i="32" s="1"/>
  <c r="G33" i="30" l="1"/>
  <c r="G40" i="30"/>
  <c r="H40" i="30" s="1"/>
  <c r="L40" i="30"/>
  <c r="L33" i="30"/>
  <c r="O32" i="30"/>
  <c r="H33" i="30"/>
  <c r="L32" i="30"/>
  <c r="K32" i="30"/>
  <c r="N32" i="30"/>
  <c r="J32" i="30"/>
  <c r="I32" i="30"/>
  <c r="G32" i="30"/>
  <c r="M32" i="30"/>
  <c r="F32" i="30"/>
  <c r="G177" i="36"/>
  <c r="F177" i="36"/>
  <c r="E177" i="36"/>
  <c r="D177" i="36"/>
  <c r="C177" i="36"/>
  <c r="B177" i="36"/>
  <c r="A177" i="36"/>
  <c r="G176" i="36"/>
  <c r="F176" i="36"/>
  <c r="E176" i="36"/>
  <c r="D176" i="36"/>
  <c r="C176" i="36"/>
  <c r="B176" i="36"/>
  <c r="A176" i="36"/>
  <c r="G175" i="36"/>
  <c r="F175" i="36"/>
  <c r="E175" i="36"/>
  <c r="D175" i="36"/>
  <c r="C175" i="36"/>
  <c r="B175" i="36"/>
  <c r="A175" i="36"/>
  <c r="G174" i="36"/>
  <c r="F174" i="36"/>
  <c r="E174" i="36"/>
  <c r="D174" i="36"/>
  <c r="C174" i="36"/>
  <c r="B174" i="36"/>
  <c r="A174" i="36"/>
  <c r="L177" i="32"/>
  <c r="J177" i="32"/>
  <c r="P177" i="32" s="1"/>
  <c r="N177" i="32" s="1"/>
  <c r="P176" i="32"/>
  <c r="P175" i="32"/>
  <c r="Q175" i="32" s="1"/>
  <c r="T175" i="32" s="1"/>
  <c r="K175" i="32"/>
  <c r="L176" i="32"/>
  <c r="K176" i="32" s="1"/>
  <c r="K174" i="32"/>
  <c r="P174" i="32"/>
  <c r="Q174" i="32" s="1"/>
  <c r="T174" i="32" s="1"/>
  <c r="F125" i="36"/>
  <c r="F173" i="36"/>
  <c r="F172" i="36"/>
  <c r="F171" i="36"/>
  <c r="F170" i="36"/>
  <c r="F169" i="36"/>
  <c r="F168" i="36"/>
  <c r="F167" i="36"/>
  <c r="F166" i="36"/>
  <c r="F165" i="36"/>
  <c r="F164" i="36"/>
  <c r="F163" i="36"/>
  <c r="F162" i="36"/>
  <c r="F161" i="36"/>
  <c r="F160" i="36"/>
  <c r="F159" i="36"/>
  <c r="F158" i="36"/>
  <c r="F157" i="36"/>
  <c r="F156" i="36"/>
  <c r="F155" i="36"/>
  <c r="F154" i="36"/>
  <c r="F153" i="36"/>
  <c r="F152" i="36"/>
  <c r="F151" i="36"/>
  <c r="F150" i="36"/>
  <c r="F149" i="36"/>
  <c r="F148" i="36"/>
  <c r="F147" i="36"/>
  <c r="F146" i="36"/>
  <c r="F145" i="36"/>
  <c r="F144" i="36"/>
  <c r="F143" i="36"/>
  <c r="F142" i="36"/>
  <c r="F141" i="36"/>
  <c r="F140" i="36"/>
  <c r="F139" i="36"/>
  <c r="F138" i="36"/>
  <c r="F137" i="36"/>
  <c r="F136" i="36"/>
  <c r="F135" i="36"/>
  <c r="F134" i="36"/>
  <c r="F133" i="36"/>
  <c r="F132" i="36"/>
  <c r="F131" i="36"/>
  <c r="F130" i="36"/>
  <c r="F129" i="36"/>
  <c r="F128" i="36"/>
  <c r="F127" i="36"/>
  <c r="F126" i="36"/>
  <c r="F124" i="36"/>
  <c r="F123" i="36"/>
  <c r="F122" i="36"/>
  <c r="F121" i="36"/>
  <c r="F120" i="36"/>
  <c r="F119" i="36"/>
  <c r="F118" i="36"/>
  <c r="F117" i="36"/>
  <c r="F116" i="36"/>
  <c r="F115" i="36"/>
  <c r="F114" i="36"/>
  <c r="F113" i="36"/>
  <c r="F112" i="36"/>
  <c r="F111" i="36"/>
  <c r="F110" i="36"/>
  <c r="F109" i="36"/>
  <c r="F108" i="36"/>
  <c r="F107" i="36"/>
  <c r="F106" i="36"/>
  <c r="F105" i="36"/>
  <c r="F104" i="36"/>
  <c r="F103" i="36"/>
  <c r="F102" i="36"/>
  <c r="F101" i="36"/>
  <c r="F100" i="36"/>
  <c r="F99" i="36"/>
  <c r="F98" i="36"/>
  <c r="F97" i="36"/>
  <c r="F96" i="36"/>
  <c r="F95" i="36"/>
  <c r="F94" i="36"/>
  <c r="F93" i="36"/>
  <c r="F92" i="36"/>
  <c r="F91" i="36"/>
  <c r="F90" i="36"/>
  <c r="F89" i="36"/>
  <c r="F88" i="36"/>
  <c r="F87" i="36"/>
  <c r="F86" i="36"/>
  <c r="F85" i="36"/>
  <c r="F84" i="36"/>
  <c r="F83" i="36"/>
  <c r="F82" i="36"/>
  <c r="F81" i="36"/>
  <c r="F80" i="36"/>
  <c r="F79" i="36"/>
  <c r="F78" i="36"/>
  <c r="F77" i="36"/>
  <c r="F76" i="36"/>
  <c r="F75" i="36"/>
  <c r="F74" i="36"/>
  <c r="F73" i="36"/>
  <c r="F72" i="36"/>
  <c r="F71" i="36"/>
  <c r="F70" i="36"/>
  <c r="F69" i="36"/>
  <c r="F68" i="36"/>
  <c r="F67" i="36"/>
  <c r="F66" i="36"/>
  <c r="F65" i="36"/>
  <c r="F64" i="36"/>
  <c r="F63" i="36"/>
  <c r="F62" i="36"/>
  <c r="F61" i="36"/>
  <c r="F60" i="36"/>
  <c r="F59" i="36"/>
  <c r="F58" i="36"/>
  <c r="F57" i="36"/>
  <c r="F56" i="36"/>
  <c r="F55" i="36"/>
  <c r="F54" i="36"/>
  <c r="F53" i="36"/>
  <c r="F52" i="36"/>
  <c r="F51" i="36"/>
  <c r="F50" i="36"/>
  <c r="F49" i="36"/>
  <c r="F48" i="36"/>
  <c r="F47" i="36"/>
  <c r="F46" i="36"/>
  <c r="F45" i="36"/>
  <c r="F44" i="36"/>
  <c r="F43" i="36"/>
  <c r="F42" i="36"/>
  <c r="F41" i="36"/>
  <c r="F40" i="36"/>
  <c r="F39" i="36"/>
  <c r="F38" i="36"/>
  <c r="F37" i="36"/>
  <c r="F36" i="36"/>
  <c r="F35" i="36"/>
  <c r="F34" i="36"/>
  <c r="F33" i="36"/>
  <c r="F32" i="36"/>
  <c r="F31" i="36"/>
  <c r="F30" i="36"/>
  <c r="F29" i="36"/>
  <c r="F28" i="36"/>
  <c r="F27" i="36"/>
  <c r="F26" i="36"/>
  <c r="F25" i="36"/>
  <c r="F24" i="36"/>
  <c r="F23" i="36"/>
  <c r="F22" i="36"/>
  <c r="F21" i="36"/>
  <c r="F20" i="36"/>
  <c r="F19" i="36"/>
  <c r="F18" i="36"/>
  <c r="F17" i="36"/>
  <c r="F16" i="36"/>
  <c r="F15" i="36"/>
  <c r="F14" i="36"/>
  <c r="F13" i="36"/>
  <c r="F12" i="36"/>
  <c r="F11" i="36"/>
  <c r="F10" i="36"/>
  <c r="F9" i="36"/>
  <c r="F8" i="36"/>
  <c r="F7" i="36"/>
  <c r="F6" i="36"/>
  <c r="F5" i="36"/>
  <c r="F4" i="36"/>
  <c r="F3" i="36"/>
  <c r="F2" i="36"/>
  <c r="G156" i="36"/>
  <c r="G150" i="36"/>
  <c r="G111" i="36"/>
  <c r="G99" i="36"/>
  <c r="P166" i="32"/>
  <c r="Q166" i="32" s="1"/>
  <c r="T166" i="32" s="1"/>
  <c r="P156" i="32"/>
  <c r="Q156" i="32" s="1"/>
  <c r="T156" i="32" s="1"/>
  <c r="P141" i="32"/>
  <c r="Q141" i="32" s="1"/>
  <c r="T141" i="32" s="1"/>
  <c r="P129" i="32"/>
  <c r="Q129" i="32" s="1"/>
  <c r="T129" i="32" s="1"/>
  <c r="P111" i="32"/>
  <c r="Q111" i="32" s="1"/>
  <c r="T111" i="32" s="1"/>
  <c r="P99" i="32"/>
  <c r="N67" i="32"/>
  <c r="P67" i="32"/>
  <c r="J67" i="32"/>
  <c r="P82" i="32"/>
  <c r="N99" i="32"/>
  <c r="P112" i="32"/>
  <c r="N112" i="32"/>
  <c r="N111" i="32"/>
  <c r="N129" i="32"/>
  <c r="O129" i="32" s="1"/>
  <c r="N141" i="32"/>
  <c r="O141" i="32" s="1"/>
  <c r="N156" i="32"/>
  <c r="O156" i="32" s="1"/>
  <c r="N166" i="32"/>
  <c r="O166" i="32" s="1"/>
  <c r="M150" i="32"/>
  <c r="G173" i="36"/>
  <c r="G172" i="36"/>
  <c r="G171" i="36"/>
  <c r="G170" i="36"/>
  <c r="G169" i="36"/>
  <c r="G168" i="36"/>
  <c r="G167" i="36"/>
  <c r="G166" i="36"/>
  <c r="G165" i="36"/>
  <c r="G164" i="36"/>
  <c r="G163" i="36"/>
  <c r="G162" i="36"/>
  <c r="G161" i="36"/>
  <c r="G160" i="36"/>
  <c r="G159" i="36"/>
  <c r="G158" i="36"/>
  <c r="G157" i="36"/>
  <c r="G155" i="36"/>
  <c r="G154" i="36"/>
  <c r="G153" i="36"/>
  <c r="G152" i="36"/>
  <c r="G151" i="36"/>
  <c r="G149" i="36"/>
  <c r="G148" i="36"/>
  <c r="G147" i="36"/>
  <c r="G146" i="36"/>
  <c r="G145" i="36"/>
  <c r="G144" i="36"/>
  <c r="G143" i="36"/>
  <c r="G142" i="36"/>
  <c r="G141" i="36"/>
  <c r="G140" i="36"/>
  <c r="G139" i="36"/>
  <c r="G138" i="36"/>
  <c r="G137" i="36"/>
  <c r="G136"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0" i="36"/>
  <c r="G109" i="36"/>
  <c r="G108" i="36"/>
  <c r="G107" i="36"/>
  <c r="G106" i="36"/>
  <c r="G105" i="36"/>
  <c r="G104" i="36"/>
  <c r="G103" i="36"/>
  <c r="G102" i="36"/>
  <c r="G101" i="36"/>
  <c r="G100" i="36"/>
  <c r="G98" i="36"/>
  <c r="G97" i="36"/>
  <c r="G96" i="36"/>
  <c r="G95"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4"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3" i="36"/>
  <c r="G12" i="36"/>
  <c r="G11" i="36"/>
  <c r="G10" i="36"/>
  <c r="G9" i="36"/>
  <c r="G8" i="36"/>
  <c r="G7" i="36"/>
  <c r="G6" i="36"/>
  <c r="G5" i="36"/>
  <c r="G4" i="36"/>
  <c r="G3" i="36"/>
  <c r="G2" i="36"/>
  <c r="C173" i="36"/>
  <c r="C172" i="36"/>
  <c r="C171" i="36"/>
  <c r="C170" i="36"/>
  <c r="C169" i="36"/>
  <c r="C168" i="36"/>
  <c r="C167" i="36"/>
  <c r="C166" i="36"/>
  <c r="C165" i="36"/>
  <c r="C164" i="36"/>
  <c r="C163" i="36"/>
  <c r="C162" i="36"/>
  <c r="C161" i="36"/>
  <c r="C160" i="36"/>
  <c r="C159" i="36"/>
  <c r="C158" i="36"/>
  <c r="C157" i="36"/>
  <c r="C156" i="36"/>
  <c r="C155" i="36"/>
  <c r="C154" i="36"/>
  <c r="C153" i="36"/>
  <c r="C152" i="36"/>
  <c r="C151" i="36"/>
  <c r="C150" i="36"/>
  <c r="C149" i="36"/>
  <c r="C148" i="36"/>
  <c r="C147" i="36"/>
  <c r="C146" i="36"/>
  <c r="C145" i="36"/>
  <c r="C144" i="36"/>
  <c r="C143" i="36"/>
  <c r="C142" i="36"/>
  <c r="C141" i="36"/>
  <c r="C140" i="36"/>
  <c r="C139" i="36"/>
  <c r="C138" i="36"/>
  <c r="C137" i="36"/>
  <c r="C136" i="36"/>
  <c r="C135" i="36"/>
  <c r="C134" i="36"/>
  <c r="C133" i="36"/>
  <c r="C132" i="36"/>
  <c r="C131" i="36"/>
  <c r="C130" i="36"/>
  <c r="C129" i="36"/>
  <c r="C128" i="36"/>
  <c r="C127" i="36"/>
  <c r="C126" i="36"/>
  <c r="C125" i="36"/>
  <c r="C124" i="36"/>
  <c r="C123" i="36"/>
  <c r="C122" i="36"/>
  <c r="C121" i="36"/>
  <c r="C120" i="36"/>
  <c r="C119" i="36"/>
  <c r="C118" i="36"/>
  <c r="C117" i="36"/>
  <c r="C116" i="36"/>
  <c r="C115" i="36"/>
  <c r="C114" i="36"/>
  <c r="C113" i="36"/>
  <c r="C112" i="36"/>
  <c r="C111" i="36"/>
  <c r="C110" i="36"/>
  <c r="C109" i="36"/>
  <c r="C108" i="36"/>
  <c r="C107" i="36"/>
  <c r="C106" i="36"/>
  <c r="C105" i="36"/>
  <c r="C104" i="36"/>
  <c r="C103" i="36"/>
  <c r="C102" i="36"/>
  <c r="C101" i="36"/>
  <c r="C100" i="36"/>
  <c r="C99" i="36"/>
  <c r="C98" i="36"/>
  <c r="C97" i="36"/>
  <c r="C96" i="36"/>
  <c r="C95" i="36"/>
  <c r="C94" i="36"/>
  <c r="C93" i="36"/>
  <c r="C92" i="36"/>
  <c r="C91" i="36"/>
  <c r="C90" i="36"/>
  <c r="C89" i="36"/>
  <c r="C88" i="36"/>
  <c r="C87" i="36"/>
  <c r="C86" i="36"/>
  <c r="C85" i="36"/>
  <c r="C84" i="36"/>
  <c r="C83" i="36"/>
  <c r="C82" i="36"/>
  <c r="C81" i="36"/>
  <c r="C80" i="36"/>
  <c r="C79" i="36"/>
  <c r="C78" i="36"/>
  <c r="C77" i="36"/>
  <c r="C76" i="36"/>
  <c r="C75" i="36"/>
  <c r="C74" i="36"/>
  <c r="C73" i="36"/>
  <c r="C72" i="36"/>
  <c r="C71" i="36"/>
  <c r="C70" i="36"/>
  <c r="C69" i="36"/>
  <c r="C68" i="36"/>
  <c r="C67" i="36"/>
  <c r="C66" i="36"/>
  <c r="C65" i="36"/>
  <c r="C64" i="36"/>
  <c r="C63" i="36"/>
  <c r="C62" i="36"/>
  <c r="C61" i="36"/>
  <c r="C60" i="36"/>
  <c r="C59" i="36"/>
  <c r="C58" i="36"/>
  <c r="C57" i="36"/>
  <c r="C56" i="36"/>
  <c r="C55" i="36"/>
  <c r="C54" i="36"/>
  <c r="C53" i="36"/>
  <c r="C52" i="36"/>
  <c r="C51" i="36"/>
  <c r="C50" i="36"/>
  <c r="C49" i="36"/>
  <c r="C48" i="36"/>
  <c r="C47" i="36"/>
  <c r="C46" i="36"/>
  <c r="C45" i="36"/>
  <c r="C44" i="36"/>
  <c r="C43" i="36"/>
  <c r="C42" i="36"/>
  <c r="C41" i="36"/>
  <c r="C40" i="36"/>
  <c r="C39" i="36"/>
  <c r="C38" i="36"/>
  <c r="C37" i="36"/>
  <c r="C36" i="36"/>
  <c r="C35" i="36"/>
  <c r="C34" i="36"/>
  <c r="C33" i="36"/>
  <c r="C32" i="36"/>
  <c r="C31" i="36"/>
  <c r="C30" i="36"/>
  <c r="C29" i="36"/>
  <c r="C28" i="36"/>
  <c r="C27" i="36"/>
  <c r="C26" i="36"/>
  <c r="C25" i="36"/>
  <c r="C24" i="36"/>
  <c r="C23" i="36"/>
  <c r="C22" i="36"/>
  <c r="C21" i="36"/>
  <c r="C20" i="36"/>
  <c r="C19" i="36"/>
  <c r="C18" i="36"/>
  <c r="C17" i="36"/>
  <c r="C16" i="36"/>
  <c r="C15" i="36"/>
  <c r="C14" i="36"/>
  <c r="C13" i="36"/>
  <c r="C12" i="36"/>
  <c r="C11" i="36"/>
  <c r="C10" i="36"/>
  <c r="C9" i="36"/>
  <c r="C8" i="36"/>
  <c r="C7" i="36"/>
  <c r="C6" i="36"/>
  <c r="C5" i="36"/>
  <c r="C4" i="36"/>
  <c r="C3" i="36"/>
  <c r="C2" i="36"/>
  <c r="E173" i="36"/>
  <c r="D173" i="36"/>
  <c r="B173" i="36"/>
  <c r="A173" i="36"/>
  <c r="E172" i="36"/>
  <c r="D172" i="36"/>
  <c r="B172" i="36"/>
  <c r="A172" i="36"/>
  <c r="E171" i="36"/>
  <c r="D171" i="36"/>
  <c r="B171" i="36"/>
  <c r="A171" i="36"/>
  <c r="E170" i="36"/>
  <c r="D170" i="36"/>
  <c r="B170" i="36"/>
  <c r="A170" i="36"/>
  <c r="E169" i="36"/>
  <c r="D169" i="36"/>
  <c r="B169" i="36"/>
  <c r="A169" i="36"/>
  <c r="E168" i="36"/>
  <c r="D168" i="36"/>
  <c r="B168" i="36"/>
  <c r="A168" i="36"/>
  <c r="E167" i="36"/>
  <c r="D167" i="36"/>
  <c r="B167" i="36"/>
  <c r="A167" i="36"/>
  <c r="E166" i="36"/>
  <c r="D166" i="36"/>
  <c r="B166" i="36"/>
  <c r="A166" i="36"/>
  <c r="E165" i="36"/>
  <c r="D165" i="36"/>
  <c r="B165" i="36"/>
  <c r="A165" i="36"/>
  <c r="E164" i="36"/>
  <c r="D164" i="36"/>
  <c r="B164" i="36"/>
  <c r="A164" i="36"/>
  <c r="E163" i="36"/>
  <c r="D163" i="36"/>
  <c r="B163" i="36"/>
  <c r="A163" i="36"/>
  <c r="E162" i="36"/>
  <c r="D162" i="36"/>
  <c r="B162" i="36"/>
  <c r="A162" i="36"/>
  <c r="E161" i="36"/>
  <c r="D161" i="36"/>
  <c r="B161" i="36"/>
  <c r="A161" i="36"/>
  <c r="E160" i="36"/>
  <c r="D160" i="36"/>
  <c r="B160" i="36"/>
  <c r="A160" i="36"/>
  <c r="E159" i="36"/>
  <c r="D159" i="36"/>
  <c r="B159" i="36"/>
  <c r="A159" i="36"/>
  <c r="E158" i="36"/>
  <c r="D158" i="36"/>
  <c r="B158" i="36"/>
  <c r="A158" i="36"/>
  <c r="E157" i="36"/>
  <c r="D157" i="36"/>
  <c r="B157" i="36"/>
  <c r="A157" i="36"/>
  <c r="E156" i="36"/>
  <c r="D156" i="36"/>
  <c r="B156" i="36"/>
  <c r="A156" i="36"/>
  <c r="E155" i="36"/>
  <c r="D155" i="36"/>
  <c r="B155" i="36"/>
  <c r="A155" i="36"/>
  <c r="E154" i="36"/>
  <c r="D154" i="36"/>
  <c r="B154" i="36"/>
  <c r="A154" i="36"/>
  <c r="E153" i="36"/>
  <c r="D153" i="36"/>
  <c r="B153" i="36"/>
  <c r="A153" i="36"/>
  <c r="E152" i="36"/>
  <c r="D152" i="36"/>
  <c r="B152" i="36"/>
  <c r="A152" i="36"/>
  <c r="E151" i="36"/>
  <c r="D151" i="36"/>
  <c r="B151" i="36"/>
  <c r="A151" i="36"/>
  <c r="E150" i="36"/>
  <c r="D150" i="36"/>
  <c r="B150" i="36"/>
  <c r="A150" i="36"/>
  <c r="E149" i="36"/>
  <c r="D149" i="36"/>
  <c r="B149" i="36"/>
  <c r="A149" i="36"/>
  <c r="E148" i="36"/>
  <c r="D148" i="36"/>
  <c r="B148" i="36"/>
  <c r="A148" i="36"/>
  <c r="E147" i="36"/>
  <c r="D147" i="36"/>
  <c r="B147" i="36"/>
  <c r="A147" i="36"/>
  <c r="E146" i="36"/>
  <c r="D146" i="36"/>
  <c r="B146" i="36"/>
  <c r="A146" i="36"/>
  <c r="E145" i="36"/>
  <c r="D145" i="36"/>
  <c r="B145" i="36"/>
  <c r="A145" i="36"/>
  <c r="E144" i="36"/>
  <c r="D144" i="36"/>
  <c r="B144" i="36"/>
  <c r="A144" i="36"/>
  <c r="E143" i="36"/>
  <c r="D143" i="36"/>
  <c r="B143" i="36"/>
  <c r="A143" i="36"/>
  <c r="E142" i="36"/>
  <c r="D142" i="36"/>
  <c r="B142" i="36"/>
  <c r="A142" i="36"/>
  <c r="E141" i="36"/>
  <c r="D141" i="36"/>
  <c r="B141" i="36"/>
  <c r="A141" i="36"/>
  <c r="E140" i="36"/>
  <c r="D140" i="36"/>
  <c r="B140" i="36"/>
  <c r="A140" i="36"/>
  <c r="E139" i="36"/>
  <c r="D139" i="36"/>
  <c r="B139" i="36"/>
  <c r="A139" i="36"/>
  <c r="E138" i="36"/>
  <c r="D138" i="36"/>
  <c r="B138" i="36"/>
  <c r="A138" i="36"/>
  <c r="E137" i="36"/>
  <c r="D137" i="36"/>
  <c r="B137" i="36"/>
  <c r="A137" i="36"/>
  <c r="E136" i="36"/>
  <c r="D136" i="36"/>
  <c r="B136" i="36"/>
  <c r="A136" i="36"/>
  <c r="E135" i="36"/>
  <c r="D135" i="36"/>
  <c r="B135" i="36"/>
  <c r="A135" i="36"/>
  <c r="E134" i="36"/>
  <c r="D134" i="36"/>
  <c r="B134" i="36"/>
  <c r="A134" i="36"/>
  <c r="E133" i="36"/>
  <c r="D133" i="36"/>
  <c r="B133" i="36"/>
  <c r="A133" i="36"/>
  <c r="E132" i="36"/>
  <c r="D132" i="36"/>
  <c r="B132" i="36"/>
  <c r="A132" i="36"/>
  <c r="E131" i="36"/>
  <c r="D131" i="36"/>
  <c r="B131" i="36"/>
  <c r="A131" i="36"/>
  <c r="E130" i="36"/>
  <c r="D130" i="36"/>
  <c r="B130" i="36"/>
  <c r="A130" i="36"/>
  <c r="E129" i="36"/>
  <c r="D129" i="36"/>
  <c r="B129" i="36"/>
  <c r="A129" i="36"/>
  <c r="E128" i="36"/>
  <c r="D128" i="36"/>
  <c r="B128" i="36"/>
  <c r="A128" i="36"/>
  <c r="E127" i="36"/>
  <c r="D127" i="36"/>
  <c r="B127" i="36"/>
  <c r="A127" i="36"/>
  <c r="E126" i="36"/>
  <c r="D126" i="36"/>
  <c r="B126" i="36"/>
  <c r="A126" i="36"/>
  <c r="E125" i="36"/>
  <c r="D125" i="36"/>
  <c r="B125" i="36"/>
  <c r="A125" i="36"/>
  <c r="E124" i="36"/>
  <c r="D124" i="36"/>
  <c r="B124" i="36"/>
  <c r="A124" i="36"/>
  <c r="E123" i="36"/>
  <c r="D123" i="36"/>
  <c r="B123" i="36"/>
  <c r="A123" i="36"/>
  <c r="E122" i="36"/>
  <c r="D122" i="36"/>
  <c r="B122" i="36"/>
  <c r="A122" i="36"/>
  <c r="E121" i="36"/>
  <c r="D121" i="36"/>
  <c r="B121" i="36"/>
  <c r="A121" i="36"/>
  <c r="E120" i="36"/>
  <c r="D120" i="36"/>
  <c r="B120" i="36"/>
  <c r="A120" i="36"/>
  <c r="E119" i="36"/>
  <c r="D119" i="36"/>
  <c r="B119" i="36"/>
  <c r="A119" i="36"/>
  <c r="E118" i="36"/>
  <c r="D118" i="36"/>
  <c r="B118" i="36"/>
  <c r="A118" i="36"/>
  <c r="E117" i="36"/>
  <c r="D117" i="36"/>
  <c r="B117" i="36"/>
  <c r="A117" i="36"/>
  <c r="E116" i="36"/>
  <c r="D116" i="36"/>
  <c r="B116" i="36"/>
  <c r="A116" i="36"/>
  <c r="E115" i="36"/>
  <c r="D115" i="36"/>
  <c r="B115" i="36"/>
  <c r="A115" i="36"/>
  <c r="E114" i="36"/>
  <c r="D114" i="36"/>
  <c r="B114" i="36"/>
  <c r="A114" i="36"/>
  <c r="E113" i="36"/>
  <c r="D113" i="36"/>
  <c r="B113" i="36"/>
  <c r="A113" i="36"/>
  <c r="E112" i="36"/>
  <c r="D112" i="36"/>
  <c r="B112" i="36"/>
  <c r="A112" i="36"/>
  <c r="E111" i="36"/>
  <c r="D111" i="36"/>
  <c r="B111" i="36"/>
  <c r="A111" i="36"/>
  <c r="E110" i="36"/>
  <c r="D110" i="36"/>
  <c r="B110" i="36"/>
  <c r="A110" i="36"/>
  <c r="E109" i="36"/>
  <c r="D109" i="36"/>
  <c r="B109" i="36"/>
  <c r="A109" i="36"/>
  <c r="E108" i="36"/>
  <c r="D108" i="36"/>
  <c r="B108" i="36"/>
  <c r="A108" i="36"/>
  <c r="E107" i="36"/>
  <c r="D107" i="36"/>
  <c r="B107" i="36"/>
  <c r="A107" i="36"/>
  <c r="E106" i="36"/>
  <c r="D106" i="36"/>
  <c r="B106" i="36"/>
  <c r="A106" i="36"/>
  <c r="E105" i="36"/>
  <c r="D105" i="36"/>
  <c r="B105" i="36"/>
  <c r="A105" i="36"/>
  <c r="E104" i="36"/>
  <c r="D104" i="36"/>
  <c r="B104" i="36"/>
  <c r="A104" i="36"/>
  <c r="E103" i="36"/>
  <c r="D103" i="36"/>
  <c r="B103" i="36"/>
  <c r="A103" i="36"/>
  <c r="E102" i="36"/>
  <c r="D102" i="36"/>
  <c r="B102" i="36"/>
  <c r="A102" i="36"/>
  <c r="E101" i="36"/>
  <c r="D101" i="36"/>
  <c r="B101" i="36"/>
  <c r="A101" i="36"/>
  <c r="E100" i="36"/>
  <c r="D100" i="36"/>
  <c r="B100" i="36"/>
  <c r="A100" i="36"/>
  <c r="E99" i="36"/>
  <c r="D99" i="36"/>
  <c r="B99" i="36"/>
  <c r="A99" i="36"/>
  <c r="E98" i="36"/>
  <c r="D98" i="36"/>
  <c r="B98" i="36"/>
  <c r="A98" i="36"/>
  <c r="E97" i="36"/>
  <c r="D97" i="36"/>
  <c r="B97" i="36"/>
  <c r="A97" i="36"/>
  <c r="E96" i="36"/>
  <c r="D96" i="36"/>
  <c r="B96" i="36"/>
  <c r="A96" i="36"/>
  <c r="E95" i="36"/>
  <c r="D95" i="36"/>
  <c r="B95" i="36"/>
  <c r="A95" i="36"/>
  <c r="E94" i="36"/>
  <c r="D94" i="36"/>
  <c r="B94" i="36"/>
  <c r="A94" i="36"/>
  <c r="E93" i="36"/>
  <c r="D93" i="36"/>
  <c r="B93" i="36"/>
  <c r="A93" i="36"/>
  <c r="E92" i="36"/>
  <c r="D92" i="36"/>
  <c r="B92" i="36"/>
  <c r="A92" i="36"/>
  <c r="E91" i="36"/>
  <c r="D91" i="36"/>
  <c r="B91" i="36"/>
  <c r="A91" i="36"/>
  <c r="E90" i="36"/>
  <c r="D90" i="36"/>
  <c r="B90" i="36"/>
  <c r="A90" i="36"/>
  <c r="E89" i="36"/>
  <c r="D89" i="36"/>
  <c r="B89" i="36"/>
  <c r="A89" i="36"/>
  <c r="E88" i="36"/>
  <c r="D88" i="36"/>
  <c r="B88" i="36"/>
  <c r="A88" i="36"/>
  <c r="E87" i="36"/>
  <c r="D87" i="36"/>
  <c r="B87" i="36"/>
  <c r="A87" i="36"/>
  <c r="E86" i="36"/>
  <c r="D86" i="36"/>
  <c r="B86" i="36"/>
  <c r="A86" i="36"/>
  <c r="E85" i="36"/>
  <c r="D85" i="36"/>
  <c r="B85" i="36"/>
  <c r="A85" i="36"/>
  <c r="E84" i="36"/>
  <c r="D84" i="36"/>
  <c r="B84" i="36"/>
  <c r="A84" i="36"/>
  <c r="E83" i="36"/>
  <c r="D83" i="36"/>
  <c r="B83" i="36"/>
  <c r="A83" i="36"/>
  <c r="E82" i="36"/>
  <c r="D82" i="36"/>
  <c r="B82" i="36"/>
  <c r="A82" i="36"/>
  <c r="E81" i="36"/>
  <c r="D81" i="36"/>
  <c r="B81" i="36"/>
  <c r="A81" i="36"/>
  <c r="E80" i="36"/>
  <c r="D80" i="36"/>
  <c r="B80" i="36"/>
  <c r="A80" i="36"/>
  <c r="E79" i="36"/>
  <c r="D79" i="36"/>
  <c r="B79" i="36"/>
  <c r="A79" i="36"/>
  <c r="E78" i="36"/>
  <c r="D78" i="36"/>
  <c r="B78" i="36"/>
  <c r="A78" i="36"/>
  <c r="E77" i="36"/>
  <c r="D77" i="36"/>
  <c r="B77" i="36"/>
  <c r="A77" i="36"/>
  <c r="E76" i="36"/>
  <c r="D76" i="36"/>
  <c r="B76" i="36"/>
  <c r="A76" i="36"/>
  <c r="E75" i="36"/>
  <c r="D75" i="36"/>
  <c r="B75" i="36"/>
  <c r="A75" i="36"/>
  <c r="E74" i="36"/>
  <c r="D74" i="36"/>
  <c r="B74" i="36"/>
  <c r="A74" i="36"/>
  <c r="E73" i="36"/>
  <c r="D73" i="36"/>
  <c r="B73" i="36"/>
  <c r="A73" i="36"/>
  <c r="E72" i="36"/>
  <c r="D72" i="36"/>
  <c r="B72" i="36"/>
  <c r="A72" i="36"/>
  <c r="E71" i="36"/>
  <c r="D71" i="36"/>
  <c r="B71" i="36"/>
  <c r="A71" i="36"/>
  <c r="E70" i="36"/>
  <c r="D70" i="36"/>
  <c r="B70" i="36"/>
  <c r="A70" i="36"/>
  <c r="E69" i="36"/>
  <c r="D69" i="36"/>
  <c r="B69" i="36"/>
  <c r="A69" i="36"/>
  <c r="E68" i="36"/>
  <c r="D68" i="36"/>
  <c r="B68" i="36"/>
  <c r="A68" i="36"/>
  <c r="E67" i="36"/>
  <c r="D67" i="36"/>
  <c r="B67" i="36"/>
  <c r="A67" i="36"/>
  <c r="E66" i="36"/>
  <c r="D66" i="36"/>
  <c r="B66" i="36"/>
  <c r="A66" i="36"/>
  <c r="E65" i="36"/>
  <c r="D65" i="36"/>
  <c r="B65" i="36"/>
  <c r="A65" i="36"/>
  <c r="E64" i="36"/>
  <c r="D64" i="36"/>
  <c r="B64" i="36"/>
  <c r="A64" i="36"/>
  <c r="E63" i="36"/>
  <c r="D63" i="36"/>
  <c r="B63" i="36"/>
  <c r="A63" i="36"/>
  <c r="E62" i="36"/>
  <c r="D62" i="36"/>
  <c r="B62" i="36"/>
  <c r="A62" i="36"/>
  <c r="E61" i="36"/>
  <c r="D61" i="36"/>
  <c r="B61" i="36"/>
  <c r="A61" i="36"/>
  <c r="E60" i="36"/>
  <c r="D60" i="36"/>
  <c r="B60" i="36"/>
  <c r="A60" i="36"/>
  <c r="E59" i="36"/>
  <c r="D59" i="36"/>
  <c r="B59" i="36"/>
  <c r="A59" i="36"/>
  <c r="E58" i="36"/>
  <c r="D58" i="36"/>
  <c r="B58" i="36"/>
  <c r="A58" i="36"/>
  <c r="E57" i="36"/>
  <c r="D57" i="36"/>
  <c r="B57" i="36"/>
  <c r="A57" i="36"/>
  <c r="E56" i="36"/>
  <c r="D56" i="36"/>
  <c r="B56" i="36"/>
  <c r="A56" i="36"/>
  <c r="E55" i="36"/>
  <c r="D55" i="36"/>
  <c r="B55" i="36"/>
  <c r="A55" i="36"/>
  <c r="E54" i="36"/>
  <c r="D54" i="36"/>
  <c r="B54" i="36"/>
  <c r="A54" i="36"/>
  <c r="E53" i="36"/>
  <c r="D53" i="36"/>
  <c r="B53" i="36"/>
  <c r="A53" i="36"/>
  <c r="E52" i="36"/>
  <c r="D52" i="36"/>
  <c r="B52" i="36"/>
  <c r="A52" i="36"/>
  <c r="E51" i="36"/>
  <c r="D51" i="36"/>
  <c r="B51" i="36"/>
  <c r="A51" i="36"/>
  <c r="E50" i="36"/>
  <c r="D50" i="36"/>
  <c r="B50" i="36"/>
  <c r="A50" i="36"/>
  <c r="E49" i="36"/>
  <c r="D49" i="36"/>
  <c r="B49" i="36"/>
  <c r="A49" i="36"/>
  <c r="E48" i="36"/>
  <c r="D48" i="36"/>
  <c r="B48" i="36"/>
  <c r="A48" i="36"/>
  <c r="E47" i="36"/>
  <c r="D47" i="36"/>
  <c r="B47" i="36"/>
  <c r="A47" i="36"/>
  <c r="E46" i="36"/>
  <c r="D46" i="36"/>
  <c r="B46" i="36"/>
  <c r="A46" i="36"/>
  <c r="E45" i="36"/>
  <c r="D45" i="36"/>
  <c r="B45" i="36"/>
  <c r="A45" i="36"/>
  <c r="E44" i="36"/>
  <c r="D44" i="36"/>
  <c r="B44" i="36"/>
  <c r="A44" i="36"/>
  <c r="E43" i="36"/>
  <c r="D43" i="36"/>
  <c r="B43" i="36"/>
  <c r="A43" i="36"/>
  <c r="E42" i="36"/>
  <c r="D42" i="36"/>
  <c r="B42" i="36"/>
  <c r="A42" i="36"/>
  <c r="E41" i="36"/>
  <c r="D41" i="36"/>
  <c r="B41" i="36"/>
  <c r="A41" i="36"/>
  <c r="E40" i="36"/>
  <c r="D40" i="36"/>
  <c r="B40" i="36"/>
  <c r="A40" i="36"/>
  <c r="E39" i="36"/>
  <c r="D39" i="36"/>
  <c r="B39" i="36"/>
  <c r="A39" i="36"/>
  <c r="E38" i="36"/>
  <c r="D38" i="36"/>
  <c r="B38" i="36"/>
  <c r="A38" i="36"/>
  <c r="E37" i="36"/>
  <c r="D37" i="36"/>
  <c r="B37" i="36"/>
  <c r="A37" i="36"/>
  <c r="E36" i="36"/>
  <c r="D36" i="36"/>
  <c r="B36" i="36"/>
  <c r="A36" i="36"/>
  <c r="E35" i="36"/>
  <c r="D35" i="36"/>
  <c r="B35" i="36"/>
  <c r="A35" i="36"/>
  <c r="E34" i="36"/>
  <c r="D34" i="36"/>
  <c r="B34" i="36"/>
  <c r="A34" i="36"/>
  <c r="E33" i="36"/>
  <c r="D33" i="36"/>
  <c r="B33" i="36"/>
  <c r="A33" i="36"/>
  <c r="E32" i="36"/>
  <c r="D32" i="36"/>
  <c r="B32" i="36"/>
  <c r="A32" i="36"/>
  <c r="E31" i="36"/>
  <c r="D31" i="36"/>
  <c r="B31" i="36"/>
  <c r="A31" i="36"/>
  <c r="E30" i="36"/>
  <c r="D30" i="36"/>
  <c r="B30" i="36"/>
  <c r="A30" i="36"/>
  <c r="E29" i="36"/>
  <c r="D29" i="36"/>
  <c r="B29" i="36"/>
  <c r="A29" i="36"/>
  <c r="E28" i="36"/>
  <c r="D28" i="36"/>
  <c r="B28" i="36"/>
  <c r="A28" i="36"/>
  <c r="E27" i="36"/>
  <c r="D27" i="36"/>
  <c r="B27" i="36"/>
  <c r="A27" i="36"/>
  <c r="E26" i="36"/>
  <c r="D26" i="36"/>
  <c r="B26" i="36"/>
  <c r="A26" i="36"/>
  <c r="E25" i="36"/>
  <c r="D25" i="36"/>
  <c r="B25" i="36"/>
  <c r="A25" i="36"/>
  <c r="E24" i="36"/>
  <c r="D24" i="36"/>
  <c r="B24" i="36"/>
  <c r="A24" i="36"/>
  <c r="E23" i="36"/>
  <c r="D23" i="36"/>
  <c r="B23" i="36"/>
  <c r="A23" i="36"/>
  <c r="E22" i="36"/>
  <c r="D22" i="36"/>
  <c r="B22" i="36"/>
  <c r="A22" i="36"/>
  <c r="E21" i="36"/>
  <c r="D21" i="36"/>
  <c r="B21" i="36"/>
  <c r="A21" i="36"/>
  <c r="E20" i="36"/>
  <c r="D20" i="36"/>
  <c r="B20" i="36"/>
  <c r="A20" i="36"/>
  <c r="E19" i="36"/>
  <c r="D19" i="36"/>
  <c r="B19" i="36"/>
  <c r="A19" i="36"/>
  <c r="E18" i="36"/>
  <c r="D18" i="36"/>
  <c r="B18" i="36"/>
  <c r="A18" i="36"/>
  <c r="E17" i="36"/>
  <c r="D17" i="36"/>
  <c r="B17" i="36"/>
  <c r="A17" i="36"/>
  <c r="E16" i="36"/>
  <c r="D16" i="36"/>
  <c r="B16" i="36"/>
  <c r="A16" i="36"/>
  <c r="E15" i="36"/>
  <c r="D15" i="36"/>
  <c r="B15" i="36"/>
  <c r="A15" i="36"/>
  <c r="E14" i="36"/>
  <c r="D14" i="36"/>
  <c r="B14" i="36"/>
  <c r="A14" i="36"/>
  <c r="E13" i="36"/>
  <c r="D13" i="36"/>
  <c r="B13" i="36"/>
  <c r="A13" i="36"/>
  <c r="E12" i="36"/>
  <c r="D12" i="36"/>
  <c r="B12" i="36"/>
  <c r="A12" i="36"/>
  <c r="E11" i="36"/>
  <c r="D11" i="36"/>
  <c r="B11" i="36"/>
  <c r="A11" i="36"/>
  <c r="E10" i="36"/>
  <c r="D10" i="36"/>
  <c r="B10" i="36"/>
  <c r="A10" i="36"/>
  <c r="E9" i="36"/>
  <c r="D9" i="36"/>
  <c r="B9" i="36"/>
  <c r="A9" i="36"/>
  <c r="E8" i="36"/>
  <c r="D8" i="36"/>
  <c r="B8" i="36"/>
  <c r="A8" i="36"/>
  <c r="E7" i="36"/>
  <c r="D7" i="36"/>
  <c r="B7" i="36"/>
  <c r="A7" i="36"/>
  <c r="E6" i="36"/>
  <c r="D6" i="36"/>
  <c r="B6" i="36"/>
  <c r="A6" i="36"/>
  <c r="E5" i="36"/>
  <c r="D5" i="36"/>
  <c r="B5" i="36"/>
  <c r="A5" i="36"/>
  <c r="E4" i="36"/>
  <c r="D4" i="36"/>
  <c r="B4" i="36"/>
  <c r="A4" i="36"/>
  <c r="E3" i="36"/>
  <c r="D3" i="36"/>
  <c r="B3" i="36"/>
  <c r="A3" i="36"/>
  <c r="E2" i="36"/>
  <c r="D2" i="36"/>
  <c r="B2" i="36"/>
  <c r="A2" i="36"/>
  <c r="P237" i="32"/>
  <c r="Q237" i="32" s="1"/>
  <c r="K237" i="32"/>
  <c r="U237" i="32" s="1"/>
  <c r="P236" i="32"/>
  <c r="Q236" i="32" s="1"/>
  <c r="T236" i="32" s="1"/>
  <c r="K236" i="32"/>
  <c r="U236" i="32" s="1"/>
  <c r="L235" i="32"/>
  <c r="Q235" i="32" s="1"/>
  <c r="T235" i="32" s="1"/>
  <c r="P234" i="32"/>
  <c r="Q234" i="32" s="1"/>
  <c r="T234" i="32" s="1"/>
  <c r="K234" i="32"/>
  <c r="U234" i="32" s="1"/>
  <c r="P233" i="32"/>
  <c r="Q233" i="32" s="1"/>
  <c r="T233" i="32" s="1"/>
  <c r="K233" i="32"/>
  <c r="U233" i="32" s="1"/>
  <c r="P232" i="32"/>
  <c r="N232" i="32" s="1"/>
  <c r="O232" i="32" s="1"/>
  <c r="K232" i="32"/>
  <c r="U232" i="32" s="1"/>
  <c r="Q231" i="32"/>
  <c r="T231" i="32" s="1"/>
  <c r="N231" i="32"/>
  <c r="O231" i="32" s="1"/>
  <c r="K231" i="32"/>
  <c r="U231" i="32" s="1"/>
  <c r="P230" i="32"/>
  <c r="Q230" i="32" s="1"/>
  <c r="T230" i="32" s="1"/>
  <c r="K230" i="32"/>
  <c r="U230" i="32" s="1"/>
  <c r="P229" i="32"/>
  <c r="Q229" i="32" s="1"/>
  <c r="T229" i="32" s="1"/>
  <c r="K229" i="32"/>
  <c r="U229" i="32" s="1"/>
  <c r="P228" i="32"/>
  <c r="N228" i="32" s="1"/>
  <c r="O228" i="32" s="1"/>
  <c r="K228" i="32"/>
  <c r="U228" i="32" s="1"/>
  <c r="P227" i="32"/>
  <c r="Q227" i="32" s="1"/>
  <c r="T227" i="32" s="1"/>
  <c r="K227" i="32"/>
  <c r="U227" i="32" s="1"/>
  <c r="P226" i="32"/>
  <c r="Q226" i="32" s="1"/>
  <c r="T226" i="32" s="1"/>
  <c r="K226" i="32"/>
  <c r="U226" i="32" s="1"/>
  <c r="P225" i="32"/>
  <c r="Q225" i="32" s="1"/>
  <c r="T225" i="32" s="1"/>
  <c r="K225" i="32"/>
  <c r="U225" i="32" s="1"/>
  <c r="P224" i="32"/>
  <c r="Q224" i="32" s="1"/>
  <c r="T224" i="32" s="1"/>
  <c r="K224" i="32"/>
  <c r="U224" i="32" s="1"/>
  <c r="P158" i="32"/>
  <c r="N158" i="32" s="1"/>
  <c r="O158" i="32" s="1"/>
  <c r="P147" i="32"/>
  <c r="Q147" i="32" s="1"/>
  <c r="T147" i="32" s="1"/>
  <c r="P134" i="32"/>
  <c r="Q134" i="32" s="1"/>
  <c r="T134" i="32" s="1"/>
  <c r="P118" i="32"/>
  <c r="N118" i="32" s="1"/>
  <c r="O118" i="32" s="1"/>
  <c r="P105" i="32"/>
  <c r="P91" i="32"/>
  <c r="P74" i="32"/>
  <c r="P63" i="32"/>
  <c r="P47" i="32"/>
  <c r="P34" i="32"/>
  <c r="P173" i="32"/>
  <c r="Q173" i="32" s="1"/>
  <c r="T173" i="32" s="1"/>
  <c r="P187" i="32"/>
  <c r="N187" i="32" s="1"/>
  <c r="O187" i="32" s="1"/>
  <c r="P198" i="32"/>
  <c r="Q198" i="32" s="1"/>
  <c r="T198" i="32" s="1"/>
  <c r="P207" i="32"/>
  <c r="Q207" i="32" s="1"/>
  <c r="T207" i="32" s="1"/>
  <c r="P223" i="32"/>
  <c r="Q223" i="32" s="1"/>
  <c r="T223" i="32" s="1"/>
  <c r="K223" i="32"/>
  <c r="U223" i="32" s="1"/>
  <c r="P222" i="32"/>
  <c r="N222" i="32" s="1"/>
  <c r="O222" i="32" s="1"/>
  <c r="K222" i="32"/>
  <c r="U222" i="32" s="1"/>
  <c r="P221" i="32"/>
  <c r="Q221" i="32" s="1"/>
  <c r="T221" i="32" s="1"/>
  <c r="K221" i="32"/>
  <c r="U221" i="32" s="1"/>
  <c r="P220" i="32"/>
  <c r="Q220" i="32" s="1"/>
  <c r="T220" i="32" s="1"/>
  <c r="K220" i="32"/>
  <c r="U220" i="32" s="1"/>
  <c r="P219" i="32"/>
  <c r="Q219" i="32" s="1"/>
  <c r="T219" i="32" s="1"/>
  <c r="K219" i="32"/>
  <c r="U219" i="32" s="1"/>
  <c r="Q218" i="32"/>
  <c r="T218" i="32" s="1"/>
  <c r="N218" i="32"/>
  <c r="O218" i="32" s="1"/>
  <c r="K218" i="32"/>
  <c r="U218" i="32" s="1"/>
  <c r="P217" i="32"/>
  <c r="N217" i="32" s="1"/>
  <c r="O217" i="32" s="1"/>
  <c r="K217" i="32"/>
  <c r="U217" i="32" s="1"/>
  <c r="P216" i="32"/>
  <c r="Q216" i="32" s="1"/>
  <c r="T216" i="32" s="1"/>
  <c r="K216" i="32"/>
  <c r="U216" i="32" s="1"/>
  <c r="P215" i="32"/>
  <c r="Q215" i="32" s="1"/>
  <c r="T215" i="32" s="1"/>
  <c r="K215" i="32"/>
  <c r="U215" i="32" s="1"/>
  <c r="J249" i="1"/>
  <c r="K249" i="1" s="1"/>
  <c r="J248" i="1"/>
  <c r="K248" i="1" s="1"/>
  <c r="C249" i="1"/>
  <c r="C248" i="1"/>
  <c r="D29" i="30"/>
  <c r="C29" i="30"/>
  <c r="E29" i="30" s="1"/>
  <c r="C28" i="30"/>
  <c r="E28" i="30" s="1"/>
  <c r="C247" i="1"/>
  <c r="C246" i="1"/>
  <c r="J247" i="1"/>
  <c r="K247" i="1" s="1"/>
  <c r="J246" i="1"/>
  <c r="K246" i="1" s="1"/>
  <c r="C245" i="1"/>
  <c r="J245" i="1"/>
  <c r="K245" i="1" s="1"/>
  <c r="N244" i="1"/>
  <c r="J244" i="1"/>
  <c r="K244" i="1" s="1"/>
  <c r="C244" i="1"/>
  <c r="C27" i="30"/>
  <c r="D27" i="30"/>
  <c r="E27" i="30"/>
  <c r="P213" i="32"/>
  <c r="Q213" i="32" s="1"/>
  <c r="T213" i="32" s="1"/>
  <c r="K213" i="32"/>
  <c r="U213" i="32" s="1"/>
  <c r="P212" i="32"/>
  <c r="Q212" i="32" s="1"/>
  <c r="T212" i="32" s="1"/>
  <c r="K212" i="32"/>
  <c r="U212" i="32" s="1"/>
  <c r="P211" i="32"/>
  <c r="Q211" i="32" s="1"/>
  <c r="T211" i="32" s="1"/>
  <c r="K211" i="32"/>
  <c r="U211" i="32" s="1"/>
  <c r="P210" i="32"/>
  <c r="Q210" i="32" s="1"/>
  <c r="T210" i="32" s="1"/>
  <c r="K210" i="32"/>
  <c r="U210" i="32" s="1"/>
  <c r="P2" i="32"/>
  <c r="Q2" i="32" s="1"/>
  <c r="T2" i="32" s="1"/>
  <c r="K2" i="32"/>
  <c r="U2" i="32" s="1"/>
  <c r="P209" i="32"/>
  <c r="N209" i="32" s="1"/>
  <c r="L209" i="32"/>
  <c r="K209" i="32" s="1"/>
  <c r="U209" i="32" s="1"/>
  <c r="L208" i="32"/>
  <c r="K208" i="32" s="1"/>
  <c r="U208" i="32" s="1"/>
  <c r="K207" i="32"/>
  <c r="U207" i="32" s="1"/>
  <c r="P206" i="32"/>
  <c r="N206" i="32" s="1"/>
  <c r="L206" i="32"/>
  <c r="K206" i="32" s="1"/>
  <c r="U206" i="32" s="1"/>
  <c r="P205" i="32"/>
  <c r="Q205" i="32" s="1"/>
  <c r="T205" i="32" s="1"/>
  <c r="K205" i="32"/>
  <c r="U205" i="32" s="1"/>
  <c r="P204" i="32"/>
  <c r="Q204" i="32" s="1"/>
  <c r="T204" i="32" s="1"/>
  <c r="K204" i="32"/>
  <c r="U204" i="32" s="1"/>
  <c r="N203" i="32"/>
  <c r="O203" i="32" s="1"/>
  <c r="Q203" i="32"/>
  <c r="T203" i="32" s="1"/>
  <c r="K203" i="32"/>
  <c r="U203" i="32" s="1"/>
  <c r="P202" i="32"/>
  <c r="Q202" i="32" s="1"/>
  <c r="T202" i="32" s="1"/>
  <c r="K202" i="32"/>
  <c r="U202" i="32" s="1"/>
  <c r="P201" i="32"/>
  <c r="N201" i="32" s="1"/>
  <c r="L201" i="32"/>
  <c r="P200" i="32"/>
  <c r="Q200" i="32" s="1"/>
  <c r="T200" i="32" s="1"/>
  <c r="K200" i="32"/>
  <c r="U200" i="32" s="1"/>
  <c r="P199" i="32"/>
  <c r="Q199" i="32" s="1"/>
  <c r="T199" i="32" s="1"/>
  <c r="K199" i="32"/>
  <c r="U199" i="32" s="1"/>
  <c r="K198" i="32"/>
  <c r="U198" i="32" s="1"/>
  <c r="P197" i="32"/>
  <c r="Q197" i="32" s="1"/>
  <c r="T197" i="32" s="1"/>
  <c r="K197" i="32"/>
  <c r="U197" i="32" s="1"/>
  <c r="P196" i="32"/>
  <c r="Q196" i="32" s="1"/>
  <c r="K196" i="32"/>
  <c r="U196" i="32" s="1"/>
  <c r="Q195" i="32"/>
  <c r="T195" i="32" s="1"/>
  <c r="N195" i="32"/>
  <c r="O195" i="32" s="1"/>
  <c r="K195" i="32"/>
  <c r="U195" i="32" s="1"/>
  <c r="P194" i="32"/>
  <c r="Q194" i="32" s="1"/>
  <c r="T194" i="32" s="1"/>
  <c r="K194" i="32"/>
  <c r="U194" i="32" s="1"/>
  <c r="P193" i="32"/>
  <c r="Q193" i="32" s="1"/>
  <c r="T193" i="32" s="1"/>
  <c r="K193" i="32"/>
  <c r="U193" i="32" s="1"/>
  <c r="P192" i="32"/>
  <c r="Q192" i="32" s="1"/>
  <c r="T192" i="32" s="1"/>
  <c r="K192" i="32"/>
  <c r="U192" i="32" s="1"/>
  <c r="P191" i="32"/>
  <c r="Q191" i="32" s="1"/>
  <c r="T191" i="32" s="1"/>
  <c r="K191" i="32"/>
  <c r="U191" i="32" s="1"/>
  <c r="P214" i="32"/>
  <c r="Q214" i="32" s="1"/>
  <c r="T214" i="32" s="1"/>
  <c r="K214" i="32"/>
  <c r="U214" i="32" s="1"/>
  <c r="P208" i="32"/>
  <c r="C243" i="1"/>
  <c r="J243" i="1"/>
  <c r="K243" i="1" s="1"/>
  <c r="C26" i="30"/>
  <c r="E26" i="30" s="1"/>
  <c r="E10" i="35"/>
  <c r="E9" i="35"/>
  <c r="E8" i="35"/>
  <c r="E7" i="35"/>
  <c r="E6" i="35"/>
  <c r="E5" i="35"/>
  <c r="E4" i="35"/>
  <c r="E3" i="35"/>
  <c r="E2" i="35"/>
  <c r="C25" i="30"/>
  <c r="D25" i="30"/>
  <c r="E25" i="30"/>
  <c r="P190" i="32"/>
  <c r="Q190" i="32" s="1"/>
  <c r="T190" i="32" s="1"/>
  <c r="K190" i="32"/>
  <c r="U190" i="32" s="1"/>
  <c r="P189" i="32"/>
  <c r="Q189" i="32" s="1"/>
  <c r="T189" i="32" s="1"/>
  <c r="K189" i="32"/>
  <c r="U189" i="32" s="1"/>
  <c r="L188" i="32"/>
  <c r="Q188" i="32" s="1"/>
  <c r="T188" i="32" s="1"/>
  <c r="K187" i="32"/>
  <c r="U187" i="32" s="1"/>
  <c r="P186" i="32"/>
  <c r="Q186" i="32" s="1"/>
  <c r="T186" i="32" s="1"/>
  <c r="K186" i="32"/>
  <c r="U186" i="32" s="1"/>
  <c r="P185" i="32"/>
  <c r="N185" i="32" s="1"/>
  <c r="O185" i="32" s="1"/>
  <c r="K185" i="32"/>
  <c r="U185" i="32" s="1"/>
  <c r="P184" i="32"/>
  <c r="Q184" i="32" s="1"/>
  <c r="T184" i="32" s="1"/>
  <c r="K184" i="32"/>
  <c r="U184" i="32" s="1"/>
  <c r="Q183" i="32"/>
  <c r="T183" i="32" s="1"/>
  <c r="N183" i="32"/>
  <c r="O183" i="32" s="1"/>
  <c r="K183" i="32"/>
  <c r="U183" i="32" s="1"/>
  <c r="P182" i="32"/>
  <c r="Q182" i="32" s="1"/>
  <c r="K182" i="32"/>
  <c r="U182" i="32" s="1"/>
  <c r="P181" i="32"/>
  <c r="Q181" i="32" s="1"/>
  <c r="T181" i="32" s="1"/>
  <c r="K181" i="32"/>
  <c r="U181" i="32" s="1"/>
  <c r="P180" i="32"/>
  <c r="Q180" i="32" s="1"/>
  <c r="T180" i="32" s="1"/>
  <c r="K180" i="32"/>
  <c r="U180" i="32" s="1"/>
  <c r="P179" i="32"/>
  <c r="Q179" i="32" s="1"/>
  <c r="K179" i="32"/>
  <c r="U179" i="32" s="1"/>
  <c r="K173" i="32"/>
  <c r="U173" i="32" s="1"/>
  <c r="P172" i="32"/>
  <c r="Q172" i="32" s="1"/>
  <c r="T172" i="32" s="1"/>
  <c r="K172" i="32"/>
  <c r="U172" i="32" s="1"/>
  <c r="P171" i="32"/>
  <c r="Q171" i="32" s="1"/>
  <c r="T171" i="32" s="1"/>
  <c r="K171" i="32"/>
  <c r="U171" i="32" s="1"/>
  <c r="P170" i="32"/>
  <c r="Q170" i="32" s="1"/>
  <c r="T170" i="32" s="1"/>
  <c r="K170" i="32"/>
  <c r="U170" i="32" s="1"/>
  <c r="P169" i="32"/>
  <c r="N169" i="32" s="1"/>
  <c r="L169" i="32"/>
  <c r="K169" i="32" s="1"/>
  <c r="U169" i="32" s="1"/>
  <c r="P168" i="32"/>
  <c r="Q168" i="32" s="1"/>
  <c r="T168" i="32" s="1"/>
  <c r="K168" i="32"/>
  <c r="U168" i="32" s="1"/>
  <c r="P167" i="32"/>
  <c r="Q167" i="32" s="1"/>
  <c r="T167" i="32" s="1"/>
  <c r="K167" i="32"/>
  <c r="U167" i="32" s="1"/>
  <c r="K166" i="32"/>
  <c r="U166" i="32" s="1"/>
  <c r="P165" i="32"/>
  <c r="Q165" i="32" s="1"/>
  <c r="K165" i="32"/>
  <c r="U165" i="32" s="1"/>
  <c r="P164" i="32"/>
  <c r="Q164" i="32" s="1"/>
  <c r="K164" i="32"/>
  <c r="U164" i="32" s="1"/>
  <c r="J242" i="1"/>
  <c r="K242" i="1" s="1"/>
  <c r="C242" i="1"/>
  <c r="C24" i="30"/>
  <c r="D24" i="30"/>
  <c r="E24" i="30"/>
  <c r="J8" i="3"/>
  <c r="K8" i="3" s="1"/>
  <c r="H8" i="3"/>
  <c r="I8" i="3" s="1"/>
  <c r="K6" i="34"/>
  <c r="I6" i="34"/>
  <c r="H5" i="34"/>
  <c r="H4" i="34"/>
  <c r="I4" i="34" s="1"/>
  <c r="H3" i="34"/>
  <c r="I5" i="34"/>
  <c r="I3" i="34"/>
  <c r="I2" i="34"/>
  <c r="H2" i="34"/>
  <c r="A5" i="34"/>
  <c r="J5" i="34" s="1"/>
  <c r="A4" i="34"/>
  <c r="A3" i="34"/>
  <c r="A2" i="34"/>
  <c r="J2" i="34" s="1"/>
  <c r="J241" i="1"/>
  <c r="K241" i="1" s="1"/>
  <c r="J240" i="1"/>
  <c r="K240" i="1" s="1"/>
  <c r="C241" i="1"/>
  <c r="C240" i="1"/>
  <c r="N12" i="9"/>
  <c r="C239" i="1"/>
  <c r="J239" i="1"/>
  <c r="K239" i="1" s="1"/>
  <c r="J238" i="1"/>
  <c r="K238" i="1" s="1"/>
  <c r="C238" i="1"/>
  <c r="C23" i="30"/>
  <c r="E23" i="30" s="1"/>
  <c r="P163" i="32"/>
  <c r="Q163" i="32" s="1"/>
  <c r="T163" i="32" s="1"/>
  <c r="K163" i="32"/>
  <c r="U163" i="32" s="1"/>
  <c r="P162" i="32"/>
  <c r="Q162" i="32" s="1"/>
  <c r="T162" i="32" s="1"/>
  <c r="K162" i="32"/>
  <c r="U162" i="32" s="1"/>
  <c r="P161" i="32"/>
  <c r="Q161" i="32" s="1"/>
  <c r="T161" i="32" s="1"/>
  <c r="K161" i="32"/>
  <c r="U161" i="32" s="1"/>
  <c r="P152" i="32"/>
  <c r="N152" i="32" s="1"/>
  <c r="O152" i="32" s="1"/>
  <c r="K152" i="32"/>
  <c r="U152" i="32" s="1"/>
  <c r="P153" i="32"/>
  <c r="Q153" i="32" s="1"/>
  <c r="T153" i="32" s="1"/>
  <c r="K153" i="32"/>
  <c r="U153" i="32" s="1"/>
  <c r="K154" i="32"/>
  <c r="U154" i="32" s="1"/>
  <c r="P154" i="32"/>
  <c r="N154" i="32" s="1"/>
  <c r="O154" i="32" s="1"/>
  <c r="K155" i="32"/>
  <c r="U155" i="32" s="1"/>
  <c r="P155" i="32"/>
  <c r="N155" i="32" s="1"/>
  <c r="O155" i="32" s="1"/>
  <c r="K156" i="32"/>
  <c r="U156" i="32" s="1"/>
  <c r="P157" i="32"/>
  <c r="Q157" i="32" s="1"/>
  <c r="T157" i="32" s="1"/>
  <c r="K157" i="32"/>
  <c r="U157" i="32" s="1"/>
  <c r="K158" i="32"/>
  <c r="U158" i="32" s="1"/>
  <c r="P159" i="32"/>
  <c r="Q159" i="32" s="1"/>
  <c r="T159" i="32" s="1"/>
  <c r="K159" i="32"/>
  <c r="U159" i="32" s="1"/>
  <c r="P160" i="32"/>
  <c r="L160" i="32"/>
  <c r="K160" i="32"/>
  <c r="U160" i="32" s="1"/>
  <c r="P151" i="32"/>
  <c r="N151" i="32" s="1"/>
  <c r="O151" i="32" s="1"/>
  <c r="K151" i="32"/>
  <c r="U151" i="32" s="1"/>
  <c r="L150" i="32"/>
  <c r="Q150" i="32" s="1"/>
  <c r="T150" i="32" s="1"/>
  <c r="P149" i="32"/>
  <c r="Q149" i="32" s="1"/>
  <c r="T149" i="32" s="1"/>
  <c r="K149" i="32"/>
  <c r="U149" i="32" s="1"/>
  <c r="P148" i="32"/>
  <c r="Q148" i="32" s="1"/>
  <c r="T148" i="32" s="1"/>
  <c r="K148" i="32"/>
  <c r="U148" i="32" s="1"/>
  <c r="K147" i="32"/>
  <c r="U147" i="32" s="1"/>
  <c r="P146" i="32"/>
  <c r="Q146" i="32" s="1"/>
  <c r="T146" i="32" s="1"/>
  <c r="K146" i="32"/>
  <c r="U146" i="32" s="1"/>
  <c r="P145" i="32"/>
  <c r="Q145" i="32" s="1"/>
  <c r="T145" i="32" s="1"/>
  <c r="K145" i="32"/>
  <c r="U145" i="32" s="1"/>
  <c r="P144" i="32"/>
  <c r="N144" i="32" s="1"/>
  <c r="O144" i="32" s="1"/>
  <c r="K144" i="32"/>
  <c r="U144" i="32" s="1"/>
  <c r="P143" i="32"/>
  <c r="Q143" i="32" s="1"/>
  <c r="K143" i="32"/>
  <c r="U143" i="32" s="1"/>
  <c r="P142" i="32"/>
  <c r="N142" i="32" s="1"/>
  <c r="O142" i="32" s="1"/>
  <c r="K142" i="32"/>
  <c r="U142" i="32" s="1"/>
  <c r="K141" i="32"/>
  <c r="U141" i="32" s="1"/>
  <c r="P140" i="32"/>
  <c r="Q140" i="32" s="1"/>
  <c r="T140" i="32" s="1"/>
  <c r="K140" i="32"/>
  <c r="U140" i="32" s="1"/>
  <c r="C22" i="30"/>
  <c r="E22" i="30" s="1"/>
  <c r="J237" i="1"/>
  <c r="K237" i="1" s="1"/>
  <c r="J236" i="1"/>
  <c r="K236" i="1" s="1"/>
  <c r="C237" i="1"/>
  <c r="C236" i="1"/>
  <c r="J235" i="1"/>
  <c r="K235" i="1" s="1"/>
  <c r="C235" i="1"/>
  <c r="J234" i="1"/>
  <c r="K234" i="1"/>
  <c r="C234" i="1"/>
  <c r="C21" i="30"/>
  <c r="E21" i="30" s="1"/>
  <c r="P139" i="32"/>
  <c r="N139" i="32" s="1"/>
  <c r="O139" i="32" s="1"/>
  <c r="K139" i="32"/>
  <c r="U139" i="32" s="1"/>
  <c r="P138" i="32"/>
  <c r="Q138" i="32" s="1"/>
  <c r="T138" i="32" s="1"/>
  <c r="K138" i="32"/>
  <c r="U138" i="32" s="1"/>
  <c r="P137" i="32"/>
  <c r="Q137" i="32" s="1"/>
  <c r="T137" i="32" s="1"/>
  <c r="K137" i="32"/>
  <c r="U137" i="32" s="1"/>
  <c r="P136" i="32"/>
  <c r="Q136" i="32" s="1"/>
  <c r="T136" i="32" s="1"/>
  <c r="K136" i="32"/>
  <c r="U136" i="32" s="1"/>
  <c r="P135" i="32"/>
  <c r="Q135" i="32" s="1"/>
  <c r="T135" i="32" s="1"/>
  <c r="K135" i="32"/>
  <c r="U135" i="32" s="1"/>
  <c r="K134" i="32"/>
  <c r="U134" i="32" s="1"/>
  <c r="P133" i="32"/>
  <c r="Q133" i="32" s="1"/>
  <c r="T133" i="32" s="1"/>
  <c r="K133" i="32"/>
  <c r="U133" i="32" s="1"/>
  <c r="P132" i="32"/>
  <c r="N132" i="32" s="1"/>
  <c r="O132" i="32" s="1"/>
  <c r="K132" i="32"/>
  <c r="U132" i="32" s="1"/>
  <c r="P131" i="32"/>
  <c r="N131" i="32" s="1"/>
  <c r="P130" i="32"/>
  <c r="N130" i="32" s="1"/>
  <c r="L130" i="32"/>
  <c r="K129" i="32"/>
  <c r="U129" i="32" s="1"/>
  <c r="P128" i="32"/>
  <c r="Q128" i="32" s="1"/>
  <c r="T128" i="32" s="1"/>
  <c r="K128" i="32"/>
  <c r="U128" i="32" s="1"/>
  <c r="P127" i="32"/>
  <c r="N127" i="32" s="1"/>
  <c r="O127" i="32" s="1"/>
  <c r="K127" i="32"/>
  <c r="U127" i="32" s="1"/>
  <c r="P126" i="32"/>
  <c r="N126" i="32" s="1"/>
  <c r="L126" i="32"/>
  <c r="K126" i="32" s="1"/>
  <c r="U126" i="32" s="1"/>
  <c r="P125" i="32"/>
  <c r="Q125" i="32" s="1"/>
  <c r="T125" i="32" s="1"/>
  <c r="K125" i="32"/>
  <c r="U125" i="32" s="1"/>
  <c r="P124" i="32"/>
  <c r="N124" i="32" s="1"/>
  <c r="O124" i="32" s="1"/>
  <c r="K124" i="32"/>
  <c r="U124" i="32" s="1"/>
  <c r="P123" i="32"/>
  <c r="N123" i="32" s="1"/>
  <c r="O123" i="32" s="1"/>
  <c r="K123" i="32"/>
  <c r="U123" i="32" s="1"/>
  <c r="P122" i="32"/>
  <c r="Q122" i="32" s="1"/>
  <c r="T122" i="32" s="1"/>
  <c r="K122" i="32"/>
  <c r="U122" i="32" s="1"/>
  <c r="P121" i="32"/>
  <c r="Q121" i="32" s="1"/>
  <c r="T121" i="32" s="1"/>
  <c r="K121" i="32"/>
  <c r="U121" i="32" s="1"/>
  <c r="P120" i="32"/>
  <c r="N120" i="32" s="1"/>
  <c r="L120" i="32"/>
  <c r="K120" i="32" s="1"/>
  <c r="U120" i="32" s="1"/>
  <c r="P119" i="32"/>
  <c r="Q119" i="32" s="1"/>
  <c r="T119" i="32" s="1"/>
  <c r="K119" i="32"/>
  <c r="U119" i="32" s="1"/>
  <c r="K118" i="32"/>
  <c r="U118" i="32" s="1"/>
  <c r="P117" i="32"/>
  <c r="Q117" i="32" s="1"/>
  <c r="T117" i="32" s="1"/>
  <c r="K117" i="32"/>
  <c r="U117" i="32" s="1"/>
  <c r="P116" i="32"/>
  <c r="Q116" i="32" s="1"/>
  <c r="T116" i="32" s="1"/>
  <c r="K116" i="32"/>
  <c r="U116" i="32" s="1"/>
  <c r="P115" i="32"/>
  <c r="Q115" i="32" s="1"/>
  <c r="T115" i="32" s="1"/>
  <c r="K115" i="32"/>
  <c r="U115" i="32" s="1"/>
  <c r="P114" i="32"/>
  <c r="Q114" i="32" s="1"/>
  <c r="T114" i="32" s="1"/>
  <c r="K114" i="32"/>
  <c r="U114" i="32" s="1"/>
  <c r="P113" i="32"/>
  <c r="N113" i="32" s="1"/>
  <c r="O113" i="32" s="1"/>
  <c r="K113" i="32"/>
  <c r="U113" i="32" s="1"/>
  <c r="L112" i="32"/>
  <c r="K111" i="32"/>
  <c r="U111" i="32" s="1"/>
  <c r="P110" i="32"/>
  <c r="N110" i="32" s="1"/>
  <c r="O110" i="32" s="1"/>
  <c r="K110" i="32"/>
  <c r="U110" i="32" s="1"/>
  <c r="P109" i="32"/>
  <c r="Q109" i="32" s="1"/>
  <c r="T109" i="32" s="1"/>
  <c r="K109" i="32"/>
  <c r="U109" i="32" s="1"/>
  <c r="L244" i="1"/>
  <c r="L246" i="1"/>
  <c r="L247" i="1"/>
  <c r="L243" i="1"/>
  <c r="L248" i="1"/>
  <c r="L245" i="1"/>
  <c r="L238" i="1"/>
  <c r="L242" i="1"/>
  <c r="L239" i="1"/>
  <c r="L249" i="1"/>
  <c r="R125" i="32"/>
  <c r="R186" i="32"/>
  <c r="R171" i="32"/>
  <c r="R236" i="32"/>
  <c r="R225" i="32"/>
  <c r="R141" i="32"/>
  <c r="R158" i="32"/>
  <c r="R196" i="32"/>
  <c r="R215" i="32"/>
  <c r="R185" i="32"/>
  <c r="R133" i="32"/>
  <c r="R179" i="32"/>
  <c r="R211" i="32"/>
  <c r="R169" i="32"/>
  <c r="R147" i="32"/>
  <c r="R116" i="32"/>
  <c r="R173" i="32"/>
  <c r="R157" i="32"/>
  <c r="R228" i="32"/>
  <c r="R188" i="32"/>
  <c r="R111" i="32"/>
  <c r="R231" i="32"/>
  <c r="R232" i="32"/>
  <c r="R230" i="32"/>
  <c r="R221" i="32"/>
  <c r="R222" i="32"/>
  <c r="R124" i="32"/>
  <c r="R109" i="32"/>
  <c r="R121" i="32"/>
  <c r="R193" i="32"/>
  <c r="R134" i="32"/>
  <c r="R234" i="32"/>
  <c r="R194" i="32"/>
  <c r="R118" i="32"/>
  <c r="R220" i="32"/>
  <c r="R143" i="32"/>
  <c r="R110" i="32"/>
  <c r="R218" i="32"/>
  <c r="R168" i="32"/>
  <c r="R145" i="32"/>
  <c r="R197" i="32"/>
  <c r="R172" i="32"/>
  <c r="R166" i="32"/>
  <c r="R152" i="32"/>
  <c r="R210" i="32"/>
  <c r="R2" i="32"/>
  <c r="R212" i="32"/>
  <c r="R156" i="32"/>
  <c r="R229" i="32"/>
  <c r="R223" i="32"/>
  <c r="R198" i="32"/>
  <c r="R136" i="32"/>
  <c r="R182" i="32"/>
  <c r="R163" i="32"/>
  <c r="R153" i="32"/>
  <c r="R181" i="32"/>
  <c r="R146" i="32"/>
  <c r="R127" i="32"/>
  <c r="R219" i="32"/>
  <c r="R170" i="32"/>
  <c r="R216" i="32"/>
  <c r="R161" i="32"/>
  <c r="R130" i="32"/>
  <c r="R191" i="32"/>
  <c r="R119" i="32"/>
  <c r="R135" i="32"/>
  <c r="R144" i="32"/>
  <c r="R114" i="32"/>
  <c r="R123" i="32"/>
  <c r="R122" i="32"/>
  <c r="R195" i="32"/>
  <c r="R167" i="32"/>
  <c r="R140" i="32"/>
  <c r="R159" i="32"/>
  <c r="R154" i="32"/>
  <c r="R139" i="32"/>
  <c r="R224" i="32"/>
  <c r="R120" i="32"/>
  <c r="R202" i="32"/>
  <c r="R190" i="32"/>
  <c r="R184" i="32"/>
  <c r="R142" i="32"/>
  <c r="R180" i="32"/>
  <c r="R113" i="32"/>
  <c r="R233" i="32"/>
  <c r="R164" i="32"/>
  <c r="R206" i="32"/>
  <c r="R131" i="32"/>
  <c r="R160" i="32"/>
  <c r="R208" i="32"/>
  <c r="R150" i="32"/>
  <c r="R237" i="32"/>
  <c r="R112" i="32"/>
  <c r="R162" i="32"/>
  <c r="R132" i="32"/>
  <c r="R192" i="32"/>
  <c r="R148" i="32"/>
  <c r="R235" i="32"/>
  <c r="R214" i="32"/>
  <c r="R129" i="32"/>
  <c r="R155" i="32"/>
  <c r="R115" i="32"/>
  <c r="R138" i="32"/>
  <c r="R199" i="32"/>
  <c r="R149" i="32"/>
  <c r="R128" i="32"/>
  <c r="R117" i="32"/>
  <c r="R227" i="32"/>
  <c r="R209" i="32"/>
  <c r="R200" i="32"/>
  <c r="R151" i="32"/>
  <c r="R183" i="32"/>
  <c r="R213" i="32"/>
  <c r="R201" i="32"/>
  <c r="R187" i="32"/>
  <c r="R207" i="32"/>
  <c r="R204" i="32"/>
  <c r="R205" i="32"/>
  <c r="R189" i="32"/>
  <c r="R137" i="32"/>
  <c r="R226" i="32"/>
  <c r="R126" i="32"/>
  <c r="R203" i="32"/>
  <c r="R165" i="32"/>
  <c r="M99" i="32" l="1"/>
  <c r="M111" i="32"/>
  <c r="M67" i="32"/>
  <c r="K235" i="32"/>
  <c r="U235" i="32" s="1"/>
  <c r="T182" i="32"/>
  <c r="C13" i="9"/>
  <c r="T179" i="32"/>
  <c r="H32" i="30"/>
  <c r="T237" i="32"/>
  <c r="O31" i="30"/>
  <c r="N31" i="30"/>
  <c r="M30" i="30"/>
  <c r="K30" i="30"/>
  <c r="I30" i="30"/>
  <c r="J30" i="30"/>
  <c r="N174" i="32"/>
  <c r="O174" i="32" s="1"/>
  <c r="K150" i="32"/>
  <c r="U150" i="32" s="1"/>
  <c r="M166" i="32"/>
  <c r="K25" i="30" s="1"/>
  <c r="M141" i="32"/>
  <c r="J112" i="32"/>
  <c r="K112" i="32" s="1"/>
  <c r="U112" i="32" s="1"/>
  <c r="Q176" i="32"/>
  <c r="T176" i="32" s="1"/>
  <c r="O177" i="32"/>
  <c r="K188" i="32"/>
  <c r="U188" i="32" s="1"/>
  <c r="K177" i="32"/>
  <c r="Q177" i="32"/>
  <c r="T177" i="32" s="1"/>
  <c r="N175" i="32"/>
  <c r="O175" i="32" s="1"/>
  <c r="N176" i="32"/>
  <c r="O176" i="32" s="1"/>
  <c r="M112" i="32"/>
  <c r="M129" i="32"/>
  <c r="O111" i="32"/>
  <c r="J6" i="34"/>
  <c r="Q160" i="32"/>
  <c r="T160" i="32" s="1"/>
  <c r="Q208" i="32"/>
  <c r="T208" i="32" s="1"/>
  <c r="M156" i="32"/>
  <c r="K24" i="30" s="1"/>
  <c r="N186" i="32"/>
  <c r="O186" i="32" s="1"/>
  <c r="N211" i="32"/>
  <c r="O211" i="32" s="1"/>
  <c r="N202" i="32"/>
  <c r="O202" i="32" s="1"/>
  <c r="N216" i="32"/>
  <c r="O216" i="32" s="1"/>
  <c r="F29" i="30" s="1"/>
  <c r="J25" i="30"/>
  <c r="N170" i="32"/>
  <c r="O170" i="32" s="1"/>
  <c r="N224" i="32"/>
  <c r="O224" i="32" s="1"/>
  <c r="N233" i="32"/>
  <c r="O233" i="32" s="1"/>
  <c r="I25" i="30"/>
  <c r="N212" i="32"/>
  <c r="O212" i="32" s="1"/>
  <c r="N29" i="30"/>
  <c r="O29" i="30"/>
  <c r="I27" i="30"/>
  <c r="J27" i="30"/>
  <c r="K27" i="30"/>
  <c r="N234" i="32"/>
  <c r="O234" i="32" s="1"/>
  <c r="N226" i="32"/>
  <c r="O226" i="32" s="1"/>
  <c r="Q228" i="32"/>
  <c r="T228" i="32" s="1"/>
  <c r="N171" i="32"/>
  <c r="O171" i="32" s="1"/>
  <c r="M27" i="30"/>
  <c r="Q232" i="32"/>
  <c r="T232" i="32" s="1"/>
  <c r="N230" i="32"/>
  <c r="O230" i="32" s="1"/>
  <c r="N237" i="32"/>
  <c r="O237" i="32" s="1"/>
  <c r="N179" i="32"/>
  <c r="O179" i="32" s="1"/>
  <c r="N236" i="32"/>
  <c r="O236" i="32" s="1"/>
  <c r="O235" i="32"/>
  <c r="N229" i="32"/>
  <c r="O229" i="32" s="1"/>
  <c r="N227" i="32"/>
  <c r="O227" i="32" s="1"/>
  <c r="N225" i="32"/>
  <c r="O225" i="32" s="1"/>
  <c r="N173" i="32"/>
  <c r="O173" i="32" s="1"/>
  <c r="Q187" i="32"/>
  <c r="T187" i="32" s="1"/>
  <c r="Q206" i="32"/>
  <c r="T206" i="32" s="1"/>
  <c r="N27" i="30"/>
  <c r="N190" i="32"/>
  <c r="O190" i="32" s="1"/>
  <c r="Q217" i="32"/>
  <c r="T217" i="32" s="1"/>
  <c r="Q201" i="32"/>
  <c r="T201" i="32" s="1"/>
  <c r="N221" i="32"/>
  <c r="O221" i="32" s="1"/>
  <c r="N215" i="32"/>
  <c r="O215" i="32" s="1"/>
  <c r="N213" i="32"/>
  <c r="O213" i="32" s="1"/>
  <c r="O27" i="30"/>
  <c r="N181" i="32"/>
  <c r="O181" i="32" s="1"/>
  <c r="N223" i="32"/>
  <c r="O223" i="32" s="1"/>
  <c r="Q222" i="32"/>
  <c r="T222" i="32" s="1"/>
  <c r="N220" i="32"/>
  <c r="O220" i="32" s="1"/>
  <c r="N219" i="32"/>
  <c r="O219" i="32" s="1"/>
  <c r="J29" i="30"/>
  <c r="I29" i="30"/>
  <c r="K29" i="30"/>
  <c r="M29" i="30"/>
  <c r="D28" i="30"/>
  <c r="O28" i="30" s="1"/>
  <c r="I28" i="30"/>
  <c r="J28" i="30"/>
  <c r="K28" i="30"/>
  <c r="M28" i="30"/>
  <c r="N28" i="30"/>
  <c r="N168" i="32"/>
  <c r="O168" i="32" s="1"/>
  <c r="N191" i="32"/>
  <c r="O191" i="32" s="1"/>
  <c r="N189" i="32"/>
  <c r="O189" i="32" s="1"/>
  <c r="N194" i="32"/>
  <c r="O194" i="32" s="1"/>
  <c r="N2" i="32"/>
  <c r="O2" i="32" s="1"/>
  <c r="N184" i="32"/>
  <c r="O184" i="32" s="1"/>
  <c r="N192" i="32"/>
  <c r="O192" i="32" s="1"/>
  <c r="N200" i="32"/>
  <c r="O200" i="32" s="1"/>
  <c r="N207" i="32"/>
  <c r="O207" i="32" s="1"/>
  <c r="O209" i="32"/>
  <c r="N196" i="32"/>
  <c r="O196" i="32" s="1"/>
  <c r="N214" i="32"/>
  <c r="O214" i="32" s="1"/>
  <c r="N210" i="32"/>
  <c r="O210" i="32" s="1"/>
  <c r="Q209" i="32"/>
  <c r="T209" i="32" s="1"/>
  <c r="N208" i="32"/>
  <c r="O208" i="32" s="1"/>
  <c r="O206" i="32"/>
  <c r="N205" i="32"/>
  <c r="O205" i="32" s="1"/>
  <c r="F28" i="30" s="1"/>
  <c r="N204" i="32"/>
  <c r="O204" i="32" s="1"/>
  <c r="K201" i="32"/>
  <c r="U201" i="32" s="1"/>
  <c r="O201" i="32"/>
  <c r="N199" i="32"/>
  <c r="O199" i="32" s="1"/>
  <c r="N198" i="32"/>
  <c r="O198" i="32" s="1"/>
  <c r="N197" i="32"/>
  <c r="O197" i="32" s="1"/>
  <c r="M26" i="30"/>
  <c r="T196" i="32"/>
  <c r="O25" i="30"/>
  <c r="N25" i="30"/>
  <c r="M25" i="30"/>
  <c r="N193" i="32"/>
  <c r="O193" i="32" s="1"/>
  <c r="F27" i="30" s="1"/>
  <c r="D26" i="30"/>
  <c r="J26" i="30"/>
  <c r="K26" i="30"/>
  <c r="O188" i="32"/>
  <c r="Q185" i="32"/>
  <c r="T185" i="32" s="1"/>
  <c r="N182" i="32"/>
  <c r="O182" i="32" s="1"/>
  <c r="F26" i="30" s="1"/>
  <c r="N180" i="32"/>
  <c r="O180" i="32" s="1"/>
  <c r="M24" i="30"/>
  <c r="N172" i="32"/>
  <c r="O172" i="32" s="1"/>
  <c r="O169" i="32"/>
  <c r="Q169" i="32"/>
  <c r="T169" i="32" s="1"/>
  <c r="N167" i="32"/>
  <c r="O167" i="32" s="1"/>
  <c r="N165" i="32"/>
  <c r="O165" i="32" s="1"/>
  <c r="T165" i="32"/>
  <c r="N164" i="32"/>
  <c r="O164" i="32" s="1"/>
  <c r="T164" i="32"/>
  <c r="J24" i="30"/>
  <c r="I24" i="30"/>
  <c r="N121" i="32"/>
  <c r="O121" i="32" s="1"/>
  <c r="L8" i="3"/>
  <c r="J3" i="34"/>
  <c r="J4" i="34"/>
  <c r="N147" i="32"/>
  <c r="O147" i="32" s="1"/>
  <c r="N128" i="32"/>
  <c r="O128" i="32" s="1"/>
  <c r="N143" i="32"/>
  <c r="O143" i="32" s="1"/>
  <c r="Q158" i="32"/>
  <c r="T158" i="32" s="1"/>
  <c r="Q152" i="32"/>
  <c r="T152" i="32" s="1"/>
  <c r="N159" i="32"/>
  <c r="O159" i="32" s="1"/>
  <c r="Q155" i="32"/>
  <c r="T155" i="32" s="1"/>
  <c r="N153" i="32"/>
  <c r="O153" i="32" s="1"/>
  <c r="Q126" i="32"/>
  <c r="T126" i="32" s="1"/>
  <c r="Q144" i="32"/>
  <c r="T144" i="32" s="1"/>
  <c r="N145" i="32"/>
  <c r="O145" i="32" s="1"/>
  <c r="N148" i="32"/>
  <c r="O148" i="32" s="1"/>
  <c r="Q154" i="32"/>
  <c r="T154" i="32" s="1"/>
  <c r="D23" i="30"/>
  <c r="N163" i="32"/>
  <c r="O163" i="32" s="1"/>
  <c r="N162" i="32"/>
  <c r="O162" i="32" s="1"/>
  <c r="N161" i="32"/>
  <c r="O161" i="32" s="1"/>
  <c r="N157" i="32"/>
  <c r="O157" i="32" s="1"/>
  <c r="N160" i="32"/>
  <c r="O160" i="32" s="1"/>
  <c r="Q151" i="32"/>
  <c r="T151" i="32" s="1"/>
  <c r="O150" i="32"/>
  <c r="N149" i="32"/>
  <c r="O149" i="32" s="1"/>
  <c r="N146" i="32"/>
  <c r="O146" i="32" s="1"/>
  <c r="T143" i="32"/>
  <c r="Q142" i="32"/>
  <c r="T142" i="32" s="1"/>
  <c r="N140" i="32"/>
  <c r="O140" i="32" s="1"/>
  <c r="D22" i="30"/>
  <c r="M22" i="30"/>
  <c r="N109" i="32"/>
  <c r="O109" i="32" s="1"/>
  <c r="N133" i="32"/>
  <c r="O133" i="32" s="1"/>
  <c r="N119" i="32"/>
  <c r="O119" i="32" s="1"/>
  <c r="N134" i="32"/>
  <c r="O134" i="32" s="1"/>
  <c r="N114" i="32"/>
  <c r="O114" i="32" s="1"/>
  <c r="Q130" i="32"/>
  <c r="T130" i="32" s="1"/>
  <c r="N137" i="32"/>
  <c r="O137" i="32" s="1"/>
  <c r="N116" i="32"/>
  <c r="O116" i="32" s="1"/>
  <c r="Q131" i="32"/>
  <c r="T131" i="32" s="1"/>
  <c r="N125" i="32"/>
  <c r="O125" i="32" s="1"/>
  <c r="D21" i="30"/>
  <c r="Q139" i="32"/>
  <c r="T139" i="32" s="1"/>
  <c r="N138" i="32"/>
  <c r="O138" i="32" s="1"/>
  <c r="N136" i="32"/>
  <c r="O136" i="32" s="1"/>
  <c r="N135" i="32"/>
  <c r="O135" i="32" s="1"/>
  <c r="Q132" i="32"/>
  <c r="T132" i="32" s="1"/>
  <c r="O131" i="32"/>
  <c r="K131" i="32"/>
  <c r="U131" i="32" s="1"/>
  <c r="K130" i="32"/>
  <c r="U130" i="32" s="1"/>
  <c r="O130" i="32"/>
  <c r="Q127" i="32"/>
  <c r="T127" i="32" s="1"/>
  <c r="O126" i="32"/>
  <c r="Q120" i="32"/>
  <c r="T120" i="32" s="1"/>
  <c r="Q124" i="32"/>
  <c r="Q123" i="32"/>
  <c r="T123" i="32" s="1"/>
  <c r="N122" i="32"/>
  <c r="O122" i="32" s="1"/>
  <c r="O120" i="32"/>
  <c r="Q118" i="32"/>
  <c r="T118" i="32" s="1"/>
  <c r="N117" i="32"/>
  <c r="O117" i="32" s="1"/>
  <c r="N115" i="32"/>
  <c r="O115" i="32" s="1"/>
  <c r="Q113" i="32"/>
  <c r="T113" i="32" s="1"/>
  <c r="O112" i="32"/>
  <c r="Q112" i="32"/>
  <c r="T112" i="32" s="1"/>
  <c r="Q110" i="32"/>
  <c r="P108" i="32"/>
  <c r="Q108" i="32" s="1"/>
  <c r="T108" i="32" s="1"/>
  <c r="K108" i="32"/>
  <c r="U108" i="32" s="1"/>
  <c r="P107" i="32"/>
  <c r="Q107" i="32" s="1"/>
  <c r="T107" i="32" s="1"/>
  <c r="K107" i="32"/>
  <c r="U107" i="32" s="1"/>
  <c r="P106" i="32"/>
  <c r="Q106" i="32" s="1"/>
  <c r="T106" i="32" s="1"/>
  <c r="K106" i="32"/>
  <c r="U106" i="32" s="1"/>
  <c r="Q105" i="32"/>
  <c r="T105" i="32" s="1"/>
  <c r="K105" i="32"/>
  <c r="U105" i="32" s="1"/>
  <c r="P104" i="32"/>
  <c r="Q104" i="32" s="1"/>
  <c r="T104" i="32" s="1"/>
  <c r="K104" i="32"/>
  <c r="U104" i="32" s="1"/>
  <c r="P103" i="32"/>
  <c r="Q103" i="32" s="1"/>
  <c r="T103" i="32" s="1"/>
  <c r="K103" i="32"/>
  <c r="U103" i="32" s="1"/>
  <c r="P102" i="32"/>
  <c r="Q102" i="32" s="1"/>
  <c r="K102" i="32"/>
  <c r="U102" i="32" s="1"/>
  <c r="P101" i="32"/>
  <c r="Q101" i="32" s="1"/>
  <c r="T101" i="32" s="1"/>
  <c r="K101" i="32"/>
  <c r="U101" i="32" s="1"/>
  <c r="P100" i="32"/>
  <c r="Q100" i="32" s="1"/>
  <c r="T100" i="32" s="1"/>
  <c r="K100" i="32"/>
  <c r="U100" i="32" s="1"/>
  <c r="Q99" i="32"/>
  <c r="T99" i="32" s="1"/>
  <c r="O99" i="32"/>
  <c r="K99" i="32"/>
  <c r="U99" i="32" s="1"/>
  <c r="P98" i="32"/>
  <c r="N98" i="32" s="1"/>
  <c r="O98" i="32" s="1"/>
  <c r="K98" i="32"/>
  <c r="U98" i="32" s="1"/>
  <c r="K97" i="32"/>
  <c r="U97" i="32" s="1"/>
  <c r="K96" i="32"/>
  <c r="U96" i="32" s="1"/>
  <c r="K95" i="32"/>
  <c r="U95" i="32" s="1"/>
  <c r="K94" i="32"/>
  <c r="U94" i="32" s="1"/>
  <c r="K93" i="32"/>
  <c r="U93" i="32" s="1"/>
  <c r="K92" i="32"/>
  <c r="U92" i="32" s="1"/>
  <c r="L90" i="32"/>
  <c r="K90" i="32" s="1"/>
  <c r="U90" i="32" s="1"/>
  <c r="K91" i="32"/>
  <c r="U91" i="32" s="1"/>
  <c r="P90" i="32"/>
  <c r="P89" i="32"/>
  <c r="Q89" i="32" s="1"/>
  <c r="T89" i="32" s="1"/>
  <c r="K89" i="32"/>
  <c r="U89" i="32" s="1"/>
  <c r="P88" i="32"/>
  <c r="Q88" i="32" s="1"/>
  <c r="K88" i="32"/>
  <c r="U88" i="32" s="1"/>
  <c r="P87" i="32"/>
  <c r="Q87" i="32" s="1"/>
  <c r="T87" i="32" s="1"/>
  <c r="K87" i="32"/>
  <c r="U87" i="32" s="1"/>
  <c r="P86" i="32"/>
  <c r="Q86" i="32" s="1"/>
  <c r="T86" i="32" s="1"/>
  <c r="K86" i="32"/>
  <c r="U86" i="32" s="1"/>
  <c r="P85" i="32"/>
  <c r="Q85" i="32" s="1"/>
  <c r="T85" i="32" s="1"/>
  <c r="K85" i="32"/>
  <c r="U85" i="32" s="1"/>
  <c r="P84" i="32"/>
  <c r="Q84" i="32" s="1"/>
  <c r="T84" i="32" s="1"/>
  <c r="K84" i="32"/>
  <c r="U84" i="32" s="1"/>
  <c r="P83" i="32"/>
  <c r="Q83" i="32" s="1"/>
  <c r="T83" i="32" s="1"/>
  <c r="K83" i="32"/>
  <c r="U83" i="32" s="1"/>
  <c r="N82" i="32"/>
  <c r="M82" i="32" s="1"/>
  <c r="Q82" i="32"/>
  <c r="T82" i="32" s="1"/>
  <c r="K82" i="32"/>
  <c r="U82" i="32" s="1"/>
  <c r="P81" i="32"/>
  <c r="Q81" i="32" s="1"/>
  <c r="T81" i="32" s="1"/>
  <c r="K81" i="32"/>
  <c r="U81" i="32" s="1"/>
  <c r="K80" i="32"/>
  <c r="U80" i="32" s="1"/>
  <c r="K79" i="32"/>
  <c r="U79" i="32" s="1"/>
  <c r="N232" i="1"/>
  <c r="C233" i="1"/>
  <c r="J233" i="1"/>
  <c r="K233" i="1" s="1"/>
  <c r="C230" i="1"/>
  <c r="C231" i="1"/>
  <c r="N231" i="1" s="1"/>
  <c r="C232" i="1"/>
  <c r="N230" i="1" s="1"/>
  <c r="E20" i="30"/>
  <c r="D20" i="30"/>
  <c r="C20" i="30"/>
  <c r="E19" i="30"/>
  <c r="D19" i="30"/>
  <c r="C19" i="30"/>
  <c r="C18" i="30"/>
  <c r="E18" i="30" s="1"/>
  <c r="C229" i="1"/>
  <c r="C228" i="1"/>
  <c r="N228" i="1" s="1"/>
  <c r="J232" i="1"/>
  <c r="K232" i="1" s="1"/>
  <c r="J231" i="1"/>
  <c r="K231" i="1" s="1"/>
  <c r="J230" i="1"/>
  <c r="K230" i="1" s="1"/>
  <c r="N229" i="1"/>
  <c r="J229" i="1"/>
  <c r="K229" i="1" s="1"/>
  <c r="J228" i="1"/>
  <c r="K228" i="1" s="1"/>
  <c r="J227" i="1"/>
  <c r="K227" i="1" s="1"/>
  <c r="J226" i="1"/>
  <c r="K226" i="1" s="1"/>
  <c r="J225" i="1"/>
  <c r="K225" i="1" s="1"/>
  <c r="J224" i="1"/>
  <c r="K224" i="1" s="1"/>
  <c r="C226" i="1"/>
  <c r="N226" i="1" s="1"/>
  <c r="C225" i="1"/>
  <c r="N225" i="1" s="1"/>
  <c r="C224" i="1"/>
  <c r="N224" i="1" s="1"/>
  <c r="C227" i="1"/>
  <c r="N227" i="1" s="1"/>
  <c r="G200" i="33"/>
  <c r="F200" i="33"/>
  <c r="E200" i="33"/>
  <c r="D200" i="33"/>
  <c r="C200" i="33"/>
  <c r="B200" i="33"/>
  <c r="A200" i="33"/>
  <c r="G199" i="33"/>
  <c r="F199" i="33"/>
  <c r="E199" i="33"/>
  <c r="D199" i="33"/>
  <c r="C199" i="33"/>
  <c r="B199" i="33"/>
  <c r="A199" i="33"/>
  <c r="G198" i="33"/>
  <c r="F198" i="33"/>
  <c r="E198" i="33"/>
  <c r="D198" i="33"/>
  <c r="C198" i="33"/>
  <c r="B198" i="33"/>
  <c r="A198" i="33"/>
  <c r="G197" i="33"/>
  <c r="F197" i="33"/>
  <c r="E197" i="33"/>
  <c r="D197" i="33"/>
  <c r="C197" i="33"/>
  <c r="B197" i="33"/>
  <c r="A197" i="33"/>
  <c r="G196" i="33"/>
  <c r="F196" i="33"/>
  <c r="E196" i="33"/>
  <c r="D196" i="33"/>
  <c r="C196" i="33"/>
  <c r="B196" i="33"/>
  <c r="A196" i="33"/>
  <c r="G195" i="33"/>
  <c r="F195" i="33"/>
  <c r="E195" i="33"/>
  <c r="D195" i="33"/>
  <c r="C195" i="33"/>
  <c r="B195" i="33"/>
  <c r="A195" i="33"/>
  <c r="G194" i="33"/>
  <c r="F194" i="33"/>
  <c r="E194" i="33"/>
  <c r="D194" i="33"/>
  <c r="C194" i="33"/>
  <c r="B194" i="33"/>
  <c r="A194" i="33"/>
  <c r="G193" i="33"/>
  <c r="F193" i="33"/>
  <c r="E193" i="33"/>
  <c r="D193" i="33"/>
  <c r="C193" i="33"/>
  <c r="B193" i="33"/>
  <c r="A193" i="33"/>
  <c r="G192" i="33"/>
  <c r="F192" i="33"/>
  <c r="E192" i="33"/>
  <c r="D192" i="33"/>
  <c r="C192" i="33"/>
  <c r="B192" i="33"/>
  <c r="A192" i="33"/>
  <c r="G191" i="33"/>
  <c r="F191" i="33"/>
  <c r="E191" i="33"/>
  <c r="D191" i="33"/>
  <c r="C191" i="33"/>
  <c r="B191" i="33"/>
  <c r="A191" i="33"/>
  <c r="G190" i="33"/>
  <c r="F190" i="33"/>
  <c r="E190" i="33"/>
  <c r="D190" i="33"/>
  <c r="C190" i="33"/>
  <c r="B190" i="33"/>
  <c r="A190" i="33"/>
  <c r="G189" i="33"/>
  <c r="F189" i="33"/>
  <c r="E189" i="33"/>
  <c r="D189" i="33"/>
  <c r="C189" i="33"/>
  <c r="B189" i="33"/>
  <c r="A189" i="33"/>
  <c r="G188" i="33"/>
  <c r="F188" i="33"/>
  <c r="E188" i="33"/>
  <c r="D188" i="33"/>
  <c r="C188" i="33"/>
  <c r="B188" i="33"/>
  <c r="A188" i="33"/>
  <c r="G187" i="33"/>
  <c r="F187" i="33"/>
  <c r="E187" i="33"/>
  <c r="D187" i="33"/>
  <c r="C187" i="33"/>
  <c r="B187" i="33"/>
  <c r="A187" i="33"/>
  <c r="G186" i="33"/>
  <c r="F186" i="33"/>
  <c r="E186" i="33"/>
  <c r="D186" i="33"/>
  <c r="C186" i="33"/>
  <c r="B186" i="33"/>
  <c r="A186" i="33"/>
  <c r="G185" i="33"/>
  <c r="F185" i="33"/>
  <c r="E185" i="33"/>
  <c r="D185" i="33"/>
  <c r="C185" i="33"/>
  <c r="B185" i="33"/>
  <c r="A185" i="33"/>
  <c r="G184" i="33"/>
  <c r="F184" i="33"/>
  <c r="D184" i="33"/>
  <c r="C184" i="33"/>
  <c r="B184" i="33"/>
  <c r="A184" i="33"/>
  <c r="G183" i="33"/>
  <c r="F183" i="33"/>
  <c r="E183" i="33"/>
  <c r="D183" i="33"/>
  <c r="C183" i="33"/>
  <c r="B183" i="33"/>
  <c r="A183" i="33"/>
  <c r="G182" i="33"/>
  <c r="F182" i="33"/>
  <c r="E182" i="33"/>
  <c r="D182" i="33"/>
  <c r="C182" i="33"/>
  <c r="B182" i="33"/>
  <c r="A182" i="33"/>
  <c r="G181" i="33"/>
  <c r="F181" i="33"/>
  <c r="E181" i="33"/>
  <c r="D181" i="33"/>
  <c r="C181" i="33"/>
  <c r="B181" i="33"/>
  <c r="A181" i="33"/>
  <c r="G180" i="33"/>
  <c r="F180" i="33"/>
  <c r="E180" i="33"/>
  <c r="D180" i="33"/>
  <c r="C180" i="33"/>
  <c r="B180" i="33"/>
  <c r="A180" i="33"/>
  <c r="G179" i="33"/>
  <c r="F179" i="33"/>
  <c r="E179" i="33"/>
  <c r="D179" i="33"/>
  <c r="C179" i="33"/>
  <c r="B179" i="33"/>
  <c r="A179" i="33"/>
  <c r="G178" i="33"/>
  <c r="F178" i="33"/>
  <c r="E178" i="33"/>
  <c r="D178" i="33"/>
  <c r="C178" i="33"/>
  <c r="B178" i="33"/>
  <c r="A178" i="33"/>
  <c r="G177" i="33"/>
  <c r="F177" i="33"/>
  <c r="E177" i="33"/>
  <c r="D177" i="33"/>
  <c r="C177" i="33"/>
  <c r="B177" i="33"/>
  <c r="A177" i="33"/>
  <c r="G176" i="33"/>
  <c r="F176" i="33"/>
  <c r="E176" i="33"/>
  <c r="D176" i="33"/>
  <c r="C176" i="33"/>
  <c r="B176" i="33"/>
  <c r="A176" i="33"/>
  <c r="G175" i="33"/>
  <c r="F175" i="33"/>
  <c r="E175" i="33"/>
  <c r="D175" i="33"/>
  <c r="C175" i="33"/>
  <c r="B175" i="33"/>
  <c r="A175" i="33"/>
  <c r="G174" i="33"/>
  <c r="F174" i="33"/>
  <c r="E174" i="33"/>
  <c r="D174" i="33"/>
  <c r="C174" i="33"/>
  <c r="B174" i="33"/>
  <c r="A174" i="33"/>
  <c r="G173" i="33"/>
  <c r="F173" i="33"/>
  <c r="E173" i="33"/>
  <c r="D173" i="33"/>
  <c r="C173" i="33"/>
  <c r="B173" i="33"/>
  <c r="A173" i="33"/>
  <c r="G172" i="33"/>
  <c r="F172" i="33"/>
  <c r="E172" i="33"/>
  <c r="D172" i="33"/>
  <c r="C172" i="33"/>
  <c r="B172" i="33"/>
  <c r="A172" i="33"/>
  <c r="G171" i="33"/>
  <c r="F171" i="33"/>
  <c r="E171" i="33"/>
  <c r="D171" i="33"/>
  <c r="C171" i="33"/>
  <c r="B171" i="33"/>
  <c r="A171" i="33"/>
  <c r="G170" i="33"/>
  <c r="F170" i="33"/>
  <c r="E170" i="33"/>
  <c r="D170" i="33"/>
  <c r="C170" i="33"/>
  <c r="B170" i="33"/>
  <c r="A170" i="33"/>
  <c r="G169" i="33"/>
  <c r="F169" i="33"/>
  <c r="E169" i="33"/>
  <c r="D169" i="33"/>
  <c r="C169" i="33"/>
  <c r="B169" i="33"/>
  <c r="A169" i="33"/>
  <c r="G168" i="33"/>
  <c r="F168" i="33"/>
  <c r="E168" i="33"/>
  <c r="D168" i="33"/>
  <c r="C168" i="33"/>
  <c r="B168" i="33"/>
  <c r="A168" i="33"/>
  <c r="G167" i="33"/>
  <c r="F167" i="33"/>
  <c r="E167" i="33"/>
  <c r="D167" i="33"/>
  <c r="C167" i="33"/>
  <c r="B167" i="33"/>
  <c r="A167" i="33"/>
  <c r="G166" i="33"/>
  <c r="F166" i="33"/>
  <c r="E166" i="33"/>
  <c r="D166" i="33"/>
  <c r="C166" i="33"/>
  <c r="B166" i="33"/>
  <c r="A166" i="33"/>
  <c r="G165" i="33"/>
  <c r="F165" i="33"/>
  <c r="E165" i="33"/>
  <c r="D165" i="33"/>
  <c r="C165" i="33"/>
  <c r="B165" i="33"/>
  <c r="A165" i="33"/>
  <c r="G164" i="33"/>
  <c r="F164" i="33"/>
  <c r="E164" i="33"/>
  <c r="D164" i="33"/>
  <c r="C164" i="33"/>
  <c r="B164" i="33"/>
  <c r="A164" i="33"/>
  <c r="G163" i="33"/>
  <c r="F163" i="33"/>
  <c r="E163" i="33"/>
  <c r="D163" i="33"/>
  <c r="C163" i="33"/>
  <c r="B163" i="33"/>
  <c r="A163" i="33"/>
  <c r="G162" i="33"/>
  <c r="F162" i="33"/>
  <c r="E162" i="33"/>
  <c r="D162" i="33"/>
  <c r="C162" i="33"/>
  <c r="B162" i="33"/>
  <c r="A162" i="33"/>
  <c r="G161" i="33"/>
  <c r="F161" i="33"/>
  <c r="E161" i="33"/>
  <c r="D161" i="33"/>
  <c r="C161" i="33"/>
  <c r="B161" i="33"/>
  <c r="A161" i="33"/>
  <c r="G160" i="33"/>
  <c r="F160" i="33"/>
  <c r="E160" i="33"/>
  <c r="D160" i="33"/>
  <c r="C160" i="33"/>
  <c r="B160" i="33"/>
  <c r="A160" i="33"/>
  <c r="G159" i="33"/>
  <c r="F159" i="33"/>
  <c r="E159" i="33"/>
  <c r="D159" i="33"/>
  <c r="C159" i="33"/>
  <c r="B159" i="33"/>
  <c r="A159" i="33"/>
  <c r="G158" i="33"/>
  <c r="F158" i="33"/>
  <c r="E158" i="33"/>
  <c r="D158" i="33"/>
  <c r="C158" i="33"/>
  <c r="B158" i="33"/>
  <c r="A158" i="33"/>
  <c r="G157" i="33"/>
  <c r="F157" i="33"/>
  <c r="E157" i="33"/>
  <c r="D157" i="33"/>
  <c r="C157" i="33"/>
  <c r="B157" i="33"/>
  <c r="A157" i="33"/>
  <c r="G156" i="33"/>
  <c r="F156" i="33"/>
  <c r="E156" i="33"/>
  <c r="D156" i="33"/>
  <c r="C156" i="33"/>
  <c r="B156" i="33"/>
  <c r="A156" i="33"/>
  <c r="G155" i="33"/>
  <c r="F155" i="33"/>
  <c r="E155" i="33"/>
  <c r="D155" i="33"/>
  <c r="C155" i="33"/>
  <c r="B155" i="33"/>
  <c r="A155" i="33"/>
  <c r="G154" i="33"/>
  <c r="F154" i="33"/>
  <c r="E154" i="33"/>
  <c r="D154" i="33"/>
  <c r="C154" i="33"/>
  <c r="B154" i="33"/>
  <c r="A154" i="33"/>
  <c r="G153" i="33"/>
  <c r="F153" i="33"/>
  <c r="E153" i="33"/>
  <c r="D153" i="33"/>
  <c r="C153" i="33"/>
  <c r="B153" i="33"/>
  <c r="A153" i="33"/>
  <c r="G152" i="33"/>
  <c r="F152" i="33"/>
  <c r="E152" i="33"/>
  <c r="D152" i="33"/>
  <c r="C152" i="33"/>
  <c r="B152" i="33"/>
  <c r="A152" i="33"/>
  <c r="G151" i="33"/>
  <c r="F151" i="33"/>
  <c r="E151" i="33"/>
  <c r="D151" i="33"/>
  <c r="C151" i="33"/>
  <c r="B151" i="33"/>
  <c r="A151" i="33"/>
  <c r="G150" i="33"/>
  <c r="F150" i="33"/>
  <c r="E150" i="33"/>
  <c r="D150" i="33"/>
  <c r="C150" i="33"/>
  <c r="B150" i="33"/>
  <c r="A150" i="33"/>
  <c r="G149" i="33"/>
  <c r="F149" i="33"/>
  <c r="E149" i="33"/>
  <c r="D149" i="33"/>
  <c r="C149" i="33"/>
  <c r="B149" i="33"/>
  <c r="A149" i="33"/>
  <c r="G148" i="33"/>
  <c r="F148" i="33"/>
  <c r="E148" i="33"/>
  <c r="D148" i="33"/>
  <c r="C148" i="33"/>
  <c r="B148" i="33"/>
  <c r="A148" i="33"/>
  <c r="G147" i="33"/>
  <c r="F147" i="33"/>
  <c r="E147" i="33"/>
  <c r="D147" i="33"/>
  <c r="C147" i="33"/>
  <c r="B147" i="33"/>
  <c r="A147" i="33"/>
  <c r="G146" i="33"/>
  <c r="F146" i="33"/>
  <c r="E146" i="33"/>
  <c r="D146" i="33"/>
  <c r="C146" i="33"/>
  <c r="B146" i="33"/>
  <c r="A146" i="33"/>
  <c r="G145" i="33"/>
  <c r="F145" i="33"/>
  <c r="E145" i="33"/>
  <c r="D145" i="33"/>
  <c r="C145" i="33"/>
  <c r="B145" i="33"/>
  <c r="A145" i="33"/>
  <c r="G144" i="33"/>
  <c r="F144" i="33"/>
  <c r="E144" i="33"/>
  <c r="D144" i="33"/>
  <c r="C144" i="33"/>
  <c r="B144" i="33"/>
  <c r="A144" i="33"/>
  <c r="G143" i="33"/>
  <c r="F143" i="33"/>
  <c r="E143" i="33"/>
  <c r="D143" i="33"/>
  <c r="C143" i="33"/>
  <c r="B143" i="33"/>
  <c r="A143" i="33"/>
  <c r="G142" i="33"/>
  <c r="F142" i="33"/>
  <c r="E142" i="33"/>
  <c r="D142" i="33"/>
  <c r="C142" i="33"/>
  <c r="B142" i="33"/>
  <c r="A142" i="33"/>
  <c r="G141" i="33"/>
  <c r="F141" i="33"/>
  <c r="E141" i="33"/>
  <c r="D141" i="33"/>
  <c r="C141" i="33"/>
  <c r="B141" i="33"/>
  <c r="A141" i="33"/>
  <c r="G140" i="33"/>
  <c r="F140" i="33"/>
  <c r="E140" i="33"/>
  <c r="D140" i="33"/>
  <c r="C140" i="33"/>
  <c r="B140" i="33"/>
  <c r="A140" i="33"/>
  <c r="G139" i="33"/>
  <c r="F139" i="33"/>
  <c r="E139" i="33"/>
  <c r="D139" i="33"/>
  <c r="C139" i="33"/>
  <c r="B139" i="33"/>
  <c r="A139" i="33"/>
  <c r="G138" i="33"/>
  <c r="F138" i="33"/>
  <c r="E138" i="33"/>
  <c r="D138" i="33"/>
  <c r="C138" i="33"/>
  <c r="B138" i="33"/>
  <c r="A138" i="33"/>
  <c r="G137" i="33"/>
  <c r="F137" i="33"/>
  <c r="E137" i="33"/>
  <c r="D137" i="33"/>
  <c r="C137" i="33"/>
  <c r="B137" i="33"/>
  <c r="A137" i="33"/>
  <c r="G136" i="33"/>
  <c r="F136" i="33"/>
  <c r="E136" i="33"/>
  <c r="D136" i="33"/>
  <c r="C136" i="33"/>
  <c r="B136" i="33"/>
  <c r="A136" i="33"/>
  <c r="G135" i="33"/>
  <c r="F135" i="33"/>
  <c r="E135" i="33"/>
  <c r="D135" i="33"/>
  <c r="C135" i="33"/>
  <c r="B135" i="33"/>
  <c r="A135" i="33"/>
  <c r="G134" i="33"/>
  <c r="F134" i="33"/>
  <c r="E134" i="33"/>
  <c r="D134" i="33"/>
  <c r="C134" i="33"/>
  <c r="B134" i="33"/>
  <c r="A134" i="33"/>
  <c r="G133" i="33"/>
  <c r="F133" i="33"/>
  <c r="E133" i="33"/>
  <c r="D133" i="33"/>
  <c r="C133" i="33"/>
  <c r="B133" i="33"/>
  <c r="A133" i="33"/>
  <c r="G132" i="33"/>
  <c r="F132" i="33"/>
  <c r="E132" i="33"/>
  <c r="D132" i="33"/>
  <c r="C132" i="33"/>
  <c r="B132" i="33"/>
  <c r="A132" i="33"/>
  <c r="G131" i="33"/>
  <c r="F131" i="33"/>
  <c r="E131" i="33"/>
  <c r="D131" i="33"/>
  <c r="C131" i="33"/>
  <c r="B131" i="33"/>
  <c r="A131" i="33"/>
  <c r="G130" i="33"/>
  <c r="F130" i="33"/>
  <c r="E130" i="33"/>
  <c r="D130" i="33"/>
  <c r="C130" i="33"/>
  <c r="B130" i="33"/>
  <c r="A130" i="33"/>
  <c r="G129" i="33"/>
  <c r="F129" i="33"/>
  <c r="E129" i="33"/>
  <c r="D129" i="33"/>
  <c r="C129" i="33"/>
  <c r="B129" i="33"/>
  <c r="A129" i="33"/>
  <c r="G128" i="33"/>
  <c r="F128" i="33"/>
  <c r="E128" i="33"/>
  <c r="D128" i="33"/>
  <c r="C128" i="33"/>
  <c r="B128" i="33"/>
  <c r="A128" i="33"/>
  <c r="G127" i="33"/>
  <c r="F127" i="33"/>
  <c r="E127" i="33"/>
  <c r="D127" i="33"/>
  <c r="C127" i="33"/>
  <c r="B127" i="33"/>
  <c r="A127" i="33"/>
  <c r="G126" i="33"/>
  <c r="F126" i="33"/>
  <c r="E126" i="33"/>
  <c r="D126" i="33"/>
  <c r="C126" i="33"/>
  <c r="B126" i="33"/>
  <c r="A126" i="33"/>
  <c r="G125" i="33"/>
  <c r="F125" i="33"/>
  <c r="E125" i="33"/>
  <c r="D125" i="33"/>
  <c r="C125" i="33"/>
  <c r="B125" i="33"/>
  <c r="A125" i="33"/>
  <c r="G124" i="33"/>
  <c r="F124" i="33"/>
  <c r="E124" i="33"/>
  <c r="D124" i="33"/>
  <c r="C124" i="33"/>
  <c r="B124" i="33"/>
  <c r="A124" i="33"/>
  <c r="G123" i="33"/>
  <c r="F123" i="33"/>
  <c r="E123" i="33"/>
  <c r="D123" i="33"/>
  <c r="C123" i="33"/>
  <c r="B123" i="33"/>
  <c r="A123" i="33"/>
  <c r="G122" i="33"/>
  <c r="F122" i="33"/>
  <c r="E122" i="33"/>
  <c r="D122" i="33"/>
  <c r="C122" i="33"/>
  <c r="B122" i="33"/>
  <c r="A122" i="33"/>
  <c r="G121" i="33"/>
  <c r="F121" i="33"/>
  <c r="E121" i="33"/>
  <c r="D121" i="33"/>
  <c r="C121" i="33"/>
  <c r="B121" i="33"/>
  <c r="A121" i="33"/>
  <c r="G120" i="33"/>
  <c r="F120" i="33"/>
  <c r="E120" i="33"/>
  <c r="D120" i="33"/>
  <c r="C120" i="33"/>
  <c r="B120" i="33"/>
  <c r="A120" i="33"/>
  <c r="G119" i="33"/>
  <c r="F119" i="33"/>
  <c r="E119" i="33"/>
  <c r="D119" i="33"/>
  <c r="C119" i="33"/>
  <c r="B119" i="33"/>
  <c r="A119" i="33"/>
  <c r="G118" i="33"/>
  <c r="F118" i="33"/>
  <c r="E118" i="33"/>
  <c r="D118" i="33"/>
  <c r="C118" i="33"/>
  <c r="B118" i="33"/>
  <c r="A118" i="33"/>
  <c r="G117" i="33"/>
  <c r="F117" i="33"/>
  <c r="E117" i="33"/>
  <c r="D117" i="33"/>
  <c r="C117" i="33"/>
  <c r="B117" i="33"/>
  <c r="A117" i="33"/>
  <c r="G116" i="33"/>
  <c r="F116" i="33"/>
  <c r="E116" i="33"/>
  <c r="D116" i="33"/>
  <c r="C116" i="33"/>
  <c r="B116" i="33"/>
  <c r="A116" i="33"/>
  <c r="G115" i="33"/>
  <c r="F115" i="33"/>
  <c r="E115" i="33"/>
  <c r="D115" i="33"/>
  <c r="C115" i="33"/>
  <c r="B115" i="33"/>
  <c r="A115" i="33"/>
  <c r="G114" i="33"/>
  <c r="F114" i="33"/>
  <c r="E114" i="33"/>
  <c r="D114" i="33"/>
  <c r="C114" i="33"/>
  <c r="B114" i="33"/>
  <c r="A114" i="33"/>
  <c r="G113" i="33"/>
  <c r="F113" i="33"/>
  <c r="E113" i="33"/>
  <c r="D113" i="33"/>
  <c r="C113" i="33"/>
  <c r="B113" i="33"/>
  <c r="A113" i="33"/>
  <c r="G112" i="33"/>
  <c r="F112" i="33"/>
  <c r="E112" i="33"/>
  <c r="D112" i="33"/>
  <c r="C112" i="33"/>
  <c r="B112" i="33"/>
  <c r="A112" i="33"/>
  <c r="G111" i="33"/>
  <c r="F111" i="33"/>
  <c r="E111" i="33"/>
  <c r="D111" i="33"/>
  <c r="C111" i="33"/>
  <c r="B111" i="33"/>
  <c r="A111" i="33"/>
  <c r="G110" i="33"/>
  <c r="F110" i="33"/>
  <c r="E110" i="33"/>
  <c r="D110" i="33"/>
  <c r="C110" i="33"/>
  <c r="B110" i="33"/>
  <c r="A110" i="33"/>
  <c r="G109" i="33"/>
  <c r="F109" i="33"/>
  <c r="E109" i="33"/>
  <c r="D109" i="33"/>
  <c r="C109" i="33"/>
  <c r="B109" i="33"/>
  <c r="A109" i="33"/>
  <c r="G108" i="33"/>
  <c r="F108" i="33"/>
  <c r="E108" i="33"/>
  <c r="D108" i="33"/>
  <c r="C108" i="33"/>
  <c r="B108" i="33"/>
  <c r="A108" i="33"/>
  <c r="G107" i="33"/>
  <c r="F107" i="33"/>
  <c r="E107" i="33"/>
  <c r="D107" i="33"/>
  <c r="C107" i="33"/>
  <c r="B107" i="33"/>
  <c r="A107" i="33"/>
  <c r="G106" i="33"/>
  <c r="F106" i="33"/>
  <c r="E106" i="33"/>
  <c r="D106" i="33"/>
  <c r="C106" i="33"/>
  <c r="B106" i="33"/>
  <c r="A106" i="33"/>
  <c r="G105" i="33"/>
  <c r="F105" i="33"/>
  <c r="E105" i="33"/>
  <c r="D105" i="33"/>
  <c r="C105" i="33"/>
  <c r="B105" i="33"/>
  <c r="A105" i="33"/>
  <c r="G104" i="33"/>
  <c r="F104" i="33"/>
  <c r="E104" i="33"/>
  <c r="D104" i="33"/>
  <c r="C104" i="33"/>
  <c r="B104" i="33"/>
  <c r="A104" i="33"/>
  <c r="G103" i="33"/>
  <c r="F103" i="33"/>
  <c r="E103" i="33"/>
  <c r="D103" i="33"/>
  <c r="C103" i="33"/>
  <c r="B103" i="33"/>
  <c r="A103" i="33"/>
  <c r="G102" i="33"/>
  <c r="F102" i="33"/>
  <c r="E102" i="33"/>
  <c r="D102" i="33"/>
  <c r="C102" i="33"/>
  <c r="B102" i="33"/>
  <c r="A102" i="33"/>
  <c r="G101" i="33"/>
  <c r="F101" i="33"/>
  <c r="E101" i="33"/>
  <c r="D101" i="33"/>
  <c r="C101" i="33"/>
  <c r="B101" i="33"/>
  <c r="A101" i="33"/>
  <c r="G100" i="33"/>
  <c r="F100" i="33"/>
  <c r="E100" i="33"/>
  <c r="D100" i="33"/>
  <c r="C100" i="33"/>
  <c r="B100" i="33"/>
  <c r="A100" i="33"/>
  <c r="G99" i="33"/>
  <c r="F99" i="33"/>
  <c r="E99" i="33"/>
  <c r="D99" i="33"/>
  <c r="C99" i="33"/>
  <c r="B99" i="33"/>
  <c r="A99" i="33"/>
  <c r="G98" i="33"/>
  <c r="F98" i="33"/>
  <c r="E98" i="33"/>
  <c r="D98" i="33"/>
  <c r="C98" i="33"/>
  <c r="B98" i="33"/>
  <c r="A98" i="33"/>
  <c r="G97" i="33"/>
  <c r="F97" i="33"/>
  <c r="E97" i="33"/>
  <c r="D97" i="33"/>
  <c r="C97" i="33"/>
  <c r="B97" i="33"/>
  <c r="A97" i="33"/>
  <c r="G96" i="33"/>
  <c r="F96" i="33"/>
  <c r="E96" i="33"/>
  <c r="D96" i="33"/>
  <c r="C96" i="33"/>
  <c r="B96" i="33"/>
  <c r="A96" i="33"/>
  <c r="G95" i="33"/>
  <c r="F95" i="33"/>
  <c r="E95" i="33"/>
  <c r="D95" i="33"/>
  <c r="C95" i="33"/>
  <c r="B95" i="33"/>
  <c r="A95" i="33"/>
  <c r="G94" i="33"/>
  <c r="F94" i="33"/>
  <c r="E94" i="33"/>
  <c r="D94" i="33"/>
  <c r="C94" i="33"/>
  <c r="B94" i="33"/>
  <c r="A94" i="33"/>
  <c r="G93" i="33"/>
  <c r="F93" i="33"/>
  <c r="E93" i="33"/>
  <c r="D93" i="33"/>
  <c r="C93" i="33"/>
  <c r="B93" i="33"/>
  <c r="A93" i="33"/>
  <c r="G92" i="33"/>
  <c r="F92" i="33"/>
  <c r="E92" i="33"/>
  <c r="D92" i="33"/>
  <c r="C92" i="33"/>
  <c r="B92" i="33"/>
  <c r="A92" i="33"/>
  <c r="G91" i="33"/>
  <c r="F91" i="33"/>
  <c r="E91" i="33"/>
  <c r="D91" i="33"/>
  <c r="C91" i="33"/>
  <c r="B91" i="33"/>
  <c r="A91" i="33"/>
  <c r="G90" i="33"/>
  <c r="F90" i="33"/>
  <c r="E90" i="33"/>
  <c r="D90" i="33"/>
  <c r="C90" i="33"/>
  <c r="B90" i="33"/>
  <c r="A90" i="33"/>
  <c r="G89" i="33"/>
  <c r="F89" i="33"/>
  <c r="E89" i="33"/>
  <c r="D89" i="33"/>
  <c r="C89" i="33"/>
  <c r="B89" i="33"/>
  <c r="A89" i="33"/>
  <c r="G88" i="33"/>
  <c r="F88" i="33"/>
  <c r="E88" i="33"/>
  <c r="D88" i="33"/>
  <c r="C88" i="33"/>
  <c r="B88" i="33"/>
  <c r="A88" i="33"/>
  <c r="G87" i="33"/>
  <c r="F87" i="33"/>
  <c r="E87" i="33"/>
  <c r="D87" i="33"/>
  <c r="C87" i="33"/>
  <c r="B87" i="33"/>
  <c r="A87" i="33"/>
  <c r="G86" i="33"/>
  <c r="F86" i="33"/>
  <c r="E86" i="33"/>
  <c r="D86" i="33"/>
  <c r="C86" i="33"/>
  <c r="B86" i="33"/>
  <c r="A86" i="33"/>
  <c r="G85" i="33"/>
  <c r="F85" i="33"/>
  <c r="E85" i="33"/>
  <c r="D85" i="33"/>
  <c r="C85" i="33"/>
  <c r="B85" i="33"/>
  <c r="A85" i="33"/>
  <c r="G84" i="33"/>
  <c r="F84" i="33"/>
  <c r="E84" i="33"/>
  <c r="D84" i="33"/>
  <c r="C84" i="33"/>
  <c r="B84" i="33"/>
  <c r="A84" i="33"/>
  <c r="G83" i="33"/>
  <c r="F83" i="33"/>
  <c r="E83" i="33"/>
  <c r="D83" i="33"/>
  <c r="C83" i="33"/>
  <c r="B83" i="33"/>
  <c r="A83" i="33"/>
  <c r="G82" i="33"/>
  <c r="F82" i="33"/>
  <c r="E82" i="33"/>
  <c r="D82" i="33"/>
  <c r="C82" i="33"/>
  <c r="B82" i="33"/>
  <c r="A82" i="33"/>
  <c r="G81" i="33"/>
  <c r="F81" i="33"/>
  <c r="E81" i="33"/>
  <c r="D81" i="33"/>
  <c r="C81" i="33"/>
  <c r="B81" i="33"/>
  <c r="A81" i="33"/>
  <c r="G80" i="33"/>
  <c r="F80" i="33"/>
  <c r="E80" i="33"/>
  <c r="D80" i="33"/>
  <c r="C80" i="33"/>
  <c r="B80" i="33"/>
  <c r="A80" i="33"/>
  <c r="G79" i="33"/>
  <c r="F79" i="33"/>
  <c r="E79" i="33"/>
  <c r="D79" i="33"/>
  <c r="C79" i="33"/>
  <c r="B79" i="33"/>
  <c r="A79" i="33"/>
  <c r="G78" i="33"/>
  <c r="F78" i="33"/>
  <c r="E78" i="33"/>
  <c r="D78" i="33"/>
  <c r="C78" i="33"/>
  <c r="B78" i="33"/>
  <c r="A78" i="33"/>
  <c r="G77" i="33"/>
  <c r="F77" i="33"/>
  <c r="E77" i="33"/>
  <c r="D77" i="33"/>
  <c r="C77" i="33"/>
  <c r="B77" i="33"/>
  <c r="A77" i="33"/>
  <c r="G76" i="33"/>
  <c r="F76" i="33"/>
  <c r="E76" i="33"/>
  <c r="D76" i="33"/>
  <c r="C76" i="33"/>
  <c r="B76" i="33"/>
  <c r="A76" i="33"/>
  <c r="G75" i="33"/>
  <c r="F75" i="33"/>
  <c r="E75" i="33"/>
  <c r="D75" i="33"/>
  <c r="C75" i="33"/>
  <c r="B75" i="33"/>
  <c r="A75" i="33"/>
  <c r="G74" i="33"/>
  <c r="F74" i="33"/>
  <c r="E74" i="33"/>
  <c r="D74" i="33"/>
  <c r="C74" i="33"/>
  <c r="B74" i="33"/>
  <c r="A74" i="33"/>
  <c r="G73" i="33"/>
  <c r="F73" i="33"/>
  <c r="E73" i="33"/>
  <c r="D73" i="33"/>
  <c r="C73" i="33"/>
  <c r="B73" i="33"/>
  <c r="A73" i="33"/>
  <c r="G72" i="33"/>
  <c r="F72" i="33"/>
  <c r="E72" i="33"/>
  <c r="D72" i="33"/>
  <c r="C72" i="33"/>
  <c r="B72" i="33"/>
  <c r="A72" i="33"/>
  <c r="G71" i="33"/>
  <c r="F71" i="33"/>
  <c r="E71" i="33"/>
  <c r="D71" i="33"/>
  <c r="C71" i="33"/>
  <c r="B71" i="33"/>
  <c r="A71" i="33"/>
  <c r="G70" i="33"/>
  <c r="F70" i="33"/>
  <c r="E70" i="33"/>
  <c r="D70" i="33"/>
  <c r="C70" i="33"/>
  <c r="B70" i="33"/>
  <c r="A70" i="33"/>
  <c r="G69" i="33"/>
  <c r="F69" i="33"/>
  <c r="E69" i="33"/>
  <c r="D69" i="33"/>
  <c r="C69" i="33"/>
  <c r="B69" i="33"/>
  <c r="A69" i="33"/>
  <c r="G68" i="33"/>
  <c r="F68" i="33"/>
  <c r="E68" i="33"/>
  <c r="D68" i="33"/>
  <c r="C68" i="33"/>
  <c r="B68" i="33"/>
  <c r="A68" i="33"/>
  <c r="G67" i="33"/>
  <c r="F67" i="33"/>
  <c r="E67" i="33"/>
  <c r="D67" i="33"/>
  <c r="C67" i="33"/>
  <c r="B67" i="33"/>
  <c r="A67" i="33"/>
  <c r="G66" i="33"/>
  <c r="F66" i="33"/>
  <c r="E66" i="33"/>
  <c r="D66" i="33"/>
  <c r="C66" i="33"/>
  <c r="B66" i="33"/>
  <c r="A66" i="33"/>
  <c r="G65" i="33"/>
  <c r="F65" i="33"/>
  <c r="E65" i="33"/>
  <c r="D65" i="33"/>
  <c r="C65" i="33"/>
  <c r="B65" i="33"/>
  <c r="A65" i="33"/>
  <c r="G64" i="33"/>
  <c r="F64" i="33"/>
  <c r="E64" i="33"/>
  <c r="D64" i="33"/>
  <c r="C64" i="33"/>
  <c r="B64" i="33"/>
  <c r="A64" i="33"/>
  <c r="G63" i="33"/>
  <c r="F63" i="33"/>
  <c r="E63" i="33"/>
  <c r="D63" i="33"/>
  <c r="C63" i="33"/>
  <c r="B63" i="33"/>
  <c r="A63" i="33"/>
  <c r="G62" i="33"/>
  <c r="F62" i="33"/>
  <c r="E62" i="33"/>
  <c r="D62" i="33"/>
  <c r="C62" i="33"/>
  <c r="B62" i="33"/>
  <c r="A62" i="33"/>
  <c r="G61" i="33"/>
  <c r="F61" i="33"/>
  <c r="E61" i="33"/>
  <c r="D61" i="33"/>
  <c r="C61" i="33"/>
  <c r="B61" i="33"/>
  <c r="A61" i="33"/>
  <c r="G60" i="33"/>
  <c r="F60" i="33"/>
  <c r="E60" i="33"/>
  <c r="D60" i="33"/>
  <c r="C60" i="33"/>
  <c r="B60" i="33"/>
  <c r="A60" i="33"/>
  <c r="G59" i="33"/>
  <c r="F59" i="33"/>
  <c r="E59" i="33"/>
  <c r="D59" i="33"/>
  <c r="C59" i="33"/>
  <c r="B59" i="33"/>
  <c r="A59" i="33"/>
  <c r="G58" i="33"/>
  <c r="F58" i="33"/>
  <c r="E58" i="33"/>
  <c r="D58" i="33"/>
  <c r="C58" i="33"/>
  <c r="B58" i="33"/>
  <c r="A58" i="33"/>
  <c r="G57" i="33"/>
  <c r="F57" i="33"/>
  <c r="E57" i="33"/>
  <c r="D57" i="33"/>
  <c r="C57" i="33"/>
  <c r="B57" i="33"/>
  <c r="A57" i="33"/>
  <c r="G56" i="33"/>
  <c r="F56" i="33"/>
  <c r="E56" i="33"/>
  <c r="D56" i="33"/>
  <c r="C56" i="33"/>
  <c r="B56" i="33"/>
  <c r="A56" i="33"/>
  <c r="G55" i="33"/>
  <c r="F55" i="33"/>
  <c r="E55" i="33"/>
  <c r="D55" i="33"/>
  <c r="C55" i="33"/>
  <c r="B55" i="33"/>
  <c r="A55" i="33"/>
  <c r="G54" i="33"/>
  <c r="F54" i="33"/>
  <c r="E54" i="33"/>
  <c r="D54" i="33"/>
  <c r="C54" i="33"/>
  <c r="B54" i="33"/>
  <c r="A54" i="33"/>
  <c r="G53" i="33"/>
  <c r="F53" i="33"/>
  <c r="E53" i="33"/>
  <c r="D53" i="33"/>
  <c r="C53" i="33"/>
  <c r="B53" i="33"/>
  <c r="A53" i="33"/>
  <c r="G52" i="33"/>
  <c r="F52" i="33"/>
  <c r="E52" i="33"/>
  <c r="D52" i="33"/>
  <c r="C52" i="33"/>
  <c r="B52" i="33"/>
  <c r="A52" i="33"/>
  <c r="G51" i="33"/>
  <c r="F51" i="33"/>
  <c r="E51" i="33"/>
  <c r="D51" i="33"/>
  <c r="C51" i="33"/>
  <c r="B51" i="33"/>
  <c r="A51" i="33"/>
  <c r="G50" i="33"/>
  <c r="F50" i="33"/>
  <c r="E50" i="33"/>
  <c r="D50" i="33"/>
  <c r="C50" i="33"/>
  <c r="B50" i="33"/>
  <c r="A50" i="33"/>
  <c r="G49" i="33"/>
  <c r="F49" i="33"/>
  <c r="E49" i="33"/>
  <c r="D49" i="33"/>
  <c r="C49" i="33"/>
  <c r="B49" i="33"/>
  <c r="A49" i="33"/>
  <c r="G48" i="33"/>
  <c r="F48" i="33"/>
  <c r="E48" i="33"/>
  <c r="D48" i="33"/>
  <c r="C48" i="33"/>
  <c r="B48" i="33"/>
  <c r="A48" i="33"/>
  <c r="G47" i="33"/>
  <c r="F47" i="33"/>
  <c r="E47" i="33"/>
  <c r="D47" i="33"/>
  <c r="C47" i="33"/>
  <c r="B47" i="33"/>
  <c r="A47" i="33"/>
  <c r="G46" i="33"/>
  <c r="F46" i="33"/>
  <c r="E46" i="33"/>
  <c r="D46" i="33"/>
  <c r="C46" i="33"/>
  <c r="B46" i="33"/>
  <c r="A46" i="33"/>
  <c r="G45" i="33"/>
  <c r="F45" i="33"/>
  <c r="E45" i="33"/>
  <c r="D45" i="33"/>
  <c r="C45" i="33"/>
  <c r="B45" i="33"/>
  <c r="A45" i="33"/>
  <c r="G44" i="33"/>
  <c r="F44" i="33"/>
  <c r="E44" i="33"/>
  <c r="D44" i="33"/>
  <c r="C44" i="33"/>
  <c r="B44" i="33"/>
  <c r="A44" i="33"/>
  <c r="G43" i="33"/>
  <c r="F43" i="33"/>
  <c r="E43" i="33"/>
  <c r="D43" i="33"/>
  <c r="C43" i="33"/>
  <c r="B43" i="33"/>
  <c r="A43" i="33"/>
  <c r="G42" i="33"/>
  <c r="F42" i="33"/>
  <c r="E42" i="33"/>
  <c r="D42" i="33"/>
  <c r="C42" i="33"/>
  <c r="B42" i="33"/>
  <c r="A42" i="33"/>
  <c r="G41" i="33"/>
  <c r="F41" i="33"/>
  <c r="E41" i="33"/>
  <c r="D41" i="33"/>
  <c r="C41" i="33"/>
  <c r="B41" i="33"/>
  <c r="A41" i="33"/>
  <c r="G40" i="33"/>
  <c r="F40" i="33"/>
  <c r="E40" i="33"/>
  <c r="D40" i="33"/>
  <c r="C40" i="33"/>
  <c r="B40" i="33"/>
  <c r="A40" i="33"/>
  <c r="G39" i="33"/>
  <c r="F39" i="33"/>
  <c r="E39" i="33"/>
  <c r="D39" i="33"/>
  <c r="C39" i="33"/>
  <c r="B39" i="33"/>
  <c r="A39" i="33"/>
  <c r="G38" i="33"/>
  <c r="F38" i="33"/>
  <c r="E38" i="33"/>
  <c r="D38" i="33"/>
  <c r="C38" i="33"/>
  <c r="B38" i="33"/>
  <c r="A38" i="33"/>
  <c r="G37" i="33"/>
  <c r="F37" i="33"/>
  <c r="E37" i="33"/>
  <c r="D37" i="33"/>
  <c r="C37" i="33"/>
  <c r="B37" i="33"/>
  <c r="A37" i="33"/>
  <c r="G36" i="33"/>
  <c r="F36" i="33"/>
  <c r="E36" i="33"/>
  <c r="D36" i="33"/>
  <c r="C36" i="33"/>
  <c r="B36" i="33"/>
  <c r="A36" i="33"/>
  <c r="G35" i="33"/>
  <c r="F35" i="33"/>
  <c r="E35" i="33"/>
  <c r="D35" i="33"/>
  <c r="C35" i="33"/>
  <c r="B35" i="33"/>
  <c r="A35" i="33"/>
  <c r="G34" i="33"/>
  <c r="F34" i="33"/>
  <c r="E34" i="33"/>
  <c r="D34" i="33"/>
  <c r="C34" i="33"/>
  <c r="B34" i="33"/>
  <c r="A34" i="33"/>
  <c r="G33" i="33"/>
  <c r="F33" i="33"/>
  <c r="E33" i="33"/>
  <c r="D33" i="33"/>
  <c r="C33" i="33"/>
  <c r="B33" i="33"/>
  <c r="A33" i="33"/>
  <c r="G32" i="33"/>
  <c r="F32" i="33"/>
  <c r="E32" i="33"/>
  <c r="D32" i="33"/>
  <c r="C32" i="33"/>
  <c r="B32" i="33"/>
  <c r="A32" i="33"/>
  <c r="G31" i="33"/>
  <c r="F31" i="33"/>
  <c r="E31" i="33"/>
  <c r="D31" i="33"/>
  <c r="C31" i="33"/>
  <c r="B31" i="33"/>
  <c r="A31" i="33"/>
  <c r="G30" i="33"/>
  <c r="F30" i="33"/>
  <c r="E30" i="33"/>
  <c r="D30" i="33"/>
  <c r="C30" i="33"/>
  <c r="B30" i="33"/>
  <c r="A30" i="33"/>
  <c r="G29" i="33"/>
  <c r="F29" i="33"/>
  <c r="E29" i="33"/>
  <c r="D29" i="33"/>
  <c r="C29" i="33"/>
  <c r="B29" i="33"/>
  <c r="A29" i="33"/>
  <c r="G28" i="33"/>
  <c r="F28" i="33"/>
  <c r="E28" i="33"/>
  <c r="D28" i="33"/>
  <c r="C28" i="33"/>
  <c r="B28" i="33"/>
  <c r="A28" i="33"/>
  <c r="G27" i="33"/>
  <c r="F27" i="33"/>
  <c r="E27" i="33"/>
  <c r="D27" i="33"/>
  <c r="C27" i="33"/>
  <c r="B27" i="33"/>
  <c r="A27" i="33"/>
  <c r="G26" i="33"/>
  <c r="F26" i="33"/>
  <c r="E26" i="33"/>
  <c r="D26" i="33"/>
  <c r="C26" i="33"/>
  <c r="B26" i="33"/>
  <c r="A26" i="33"/>
  <c r="G25" i="33"/>
  <c r="F25" i="33"/>
  <c r="E25" i="33"/>
  <c r="D25" i="33"/>
  <c r="C25" i="33"/>
  <c r="B25" i="33"/>
  <c r="A25" i="33"/>
  <c r="G24" i="33"/>
  <c r="F24" i="33"/>
  <c r="E24" i="33"/>
  <c r="D24" i="33"/>
  <c r="C24" i="33"/>
  <c r="B24" i="33"/>
  <c r="A24" i="33"/>
  <c r="G23" i="33"/>
  <c r="F23" i="33"/>
  <c r="E23" i="33"/>
  <c r="D23" i="33"/>
  <c r="C23" i="33"/>
  <c r="B23" i="33"/>
  <c r="A23" i="33"/>
  <c r="G22" i="33"/>
  <c r="F22" i="33"/>
  <c r="E22" i="33"/>
  <c r="D22" i="33"/>
  <c r="C22" i="33"/>
  <c r="B22" i="33"/>
  <c r="A22" i="33"/>
  <c r="G21" i="33"/>
  <c r="F21" i="33"/>
  <c r="E21" i="33"/>
  <c r="D21" i="33"/>
  <c r="C21" i="33"/>
  <c r="B21" i="33"/>
  <c r="A21" i="33"/>
  <c r="G20" i="33"/>
  <c r="F20" i="33"/>
  <c r="E20" i="33"/>
  <c r="D20" i="33"/>
  <c r="C20" i="33"/>
  <c r="B20" i="33"/>
  <c r="A20" i="33"/>
  <c r="G19" i="33"/>
  <c r="F19" i="33"/>
  <c r="E19" i="33"/>
  <c r="D19" i="33"/>
  <c r="C19" i="33"/>
  <c r="B19" i="33"/>
  <c r="A19" i="33"/>
  <c r="G18" i="33"/>
  <c r="F18" i="33"/>
  <c r="E18" i="33"/>
  <c r="D18" i="33"/>
  <c r="C18" i="33"/>
  <c r="B18" i="33"/>
  <c r="A18" i="33"/>
  <c r="G17" i="33"/>
  <c r="F17" i="33"/>
  <c r="E17" i="33"/>
  <c r="D17" i="33"/>
  <c r="C17" i="33"/>
  <c r="B17" i="33"/>
  <c r="A17" i="33"/>
  <c r="G16" i="33"/>
  <c r="F16" i="33"/>
  <c r="E16" i="33"/>
  <c r="D16" i="33"/>
  <c r="C16" i="33"/>
  <c r="B16" i="33"/>
  <c r="A16" i="33"/>
  <c r="G15" i="33"/>
  <c r="F15" i="33"/>
  <c r="E15" i="33"/>
  <c r="D15" i="33"/>
  <c r="C15" i="33"/>
  <c r="B15" i="33"/>
  <c r="A15" i="33"/>
  <c r="G14" i="33"/>
  <c r="F14" i="33"/>
  <c r="E14" i="33"/>
  <c r="D14" i="33"/>
  <c r="C14" i="33"/>
  <c r="B14" i="33"/>
  <c r="A14" i="33"/>
  <c r="G13" i="33"/>
  <c r="F13" i="33"/>
  <c r="E13" i="33"/>
  <c r="D13" i="33"/>
  <c r="C13" i="33"/>
  <c r="B13" i="33"/>
  <c r="A13" i="33"/>
  <c r="G12" i="33"/>
  <c r="F12" i="33"/>
  <c r="E12" i="33"/>
  <c r="D12" i="33"/>
  <c r="C12" i="33"/>
  <c r="B12" i="33"/>
  <c r="A12" i="33"/>
  <c r="G11" i="33"/>
  <c r="F11" i="33"/>
  <c r="E11" i="33"/>
  <c r="D11" i="33"/>
  <c r="C11" i="33"/>
  <c r="B11" i="33"/>
  <c r="A11" i="33"/>
  <c r="G10" i="33"/>
  <c r="F10" i="33"/>
  <c r="E10" i="33"/>
  <c r="D10" i="33"/>
  <c r="C10" i="33"/>
  <c r="B10" i="33"/>
  <c r="A10" i="33"/>
  <c r="G9" i="33"/>
  <c r="F9" i="33"/>
  <c r="E9" i="33"/>
  <c r="D9" i="33"/>
  <c r="C9" i="33"/>
  <c r="B9" i="33"/>
  <c r="A9" i="33"/>
  <c r="G8" i="33"/>
  <c r="F8" i="33"/>
  <c r="E8" i="33"/>
  <c r="D8" i="33"/>
  <c r="C8" i="33"/>
  <c r="B8" i="33"/>
  <c r="A8" i="33"/>
  <c r="G7" i="33"/>
  <c r="F7" i="33"/>
  <c r="E7" i="33"/>
  <c r="D7" i="33"/>
  <c r="C7" i="33"/>
  <c r="B7" i="33"/>
  <c r="A7" i="33"/>
  <c r="G6" i="33"/>
  <c r="F6" i="33"/>
  <c r="E6" i="33"/>
  <c r="D6" i="33"/>
  <c r="C6" i="33"/>
  <c r="B6" i="33"/>
  <c r="A6" i="33"/>
  <c r="G5" i="33"/>
  <c r="F5" i="33"/>
  <c r="E5" i="33"/>
  <c r="D5" i="33"/>
  <c r="C5" i="33"/>
  <c r="B5" i="33"/>
  <c r="A5" i="33"/>
  <c r="G4" i="33"/>
  <c r="F4" i="33"/>
  <c r="E4" i="33"/>
  <c r="D4" i="33"/>
  <c r="C4" i="33"/>
  <c r="B4" i="33"/>
  <c r="A4" i="33"/>
  <c r="G3" i="33"/>
  <c r="F3" i="33"/>
  <c r="E3" i="33"/>
  <c r="D3" i="33"/>
  <c r="C3" i="33"/>
  <c r="B3" i="33"/>
  <c r="A3" i="33"/>
  <c r="G2" i="33"/>
  <c r="F2" i="33"/>
  <c r="E2" i="33"/>
  <c r="D2" i="33"/>
  <c r="C2" i="33"/>
  <c r="B2" i="33"/>
  <c r="A2" i="33"/>
  <c r="P78" i="32"/>
  <c r="Q78" i="32" s="1"/>
  <c r="T78" i="32" s="1"/>
  <c r="K78" i="32"/>
  <c r="U78" i="32" s="1"/>
  <c r="P77" i="32"/>
  <c r="Q77" i="32" s="1"/>
  <c r="T77" i="32" s="1"/>
  <c r="K77" i="32"/>
  <c r="U77" i="32" s="1"/>
  <c r="P76" i="32"/>
  <c r="Q76" i="32" s="1"/>
  <c r="T76" i="32" s="1"/>
  <c r="K76" i="32"/>
  <c r="U76" i="32" s="1"/>
  <c r="P75" i="32"/>
  <c r="Q75" i="32" s="1"/>
  <c r="T75" i="32" s="1"/>
  <c r="K75" i="32"/>
  <c r="U75" i="32" s="1"/>
  <c r="Q74" i="32"/>
  <c r="T74" i="32" s="1"/>
  <c r="K74" i="32"/>
  <c r="U74" i="32" s="1"/>
  <c r="K73" i="32"/>
  <c r="U73" i="32" s="1"/>
  <c r="P97" i="32"/>
  <c r="N97" i="32" s="1"/>
  <c r="O97" i="32" s="1"/>
  <c r="P96" i="32"/>
  <c r="Q96" i="32" s="1"/>
  <c r="T96" i="32" s="1"/>
  <c r="P95" i="32"/>
  <c r="Q95" i="32" s="1"/>
  <c r="T95" i="32" s="1"/>
  <c r="P94" i="32"/>
  <c r="N94" i="32" s="1"/>
  <c r="O94" i="32" s="1"/>
  <c r="P93" i="32"/>
  <c r="Q93" i="32" s="1"/>
  <c r="P92" i="32"/>
  <c r="Q92" i="32" s="1"/>
  <c r="T92" i="32" s="1"/>
  <c r="Q91" i="32"/>
  <c r="T91" i="32" s="1"/>
  <c r="P80" i="32"/>
  <c r="N80" i="32" s="1"/>
  <c r="O80" i="32" s="1"/>
  <c r="P79" i="32"/>
  <c r="Q79" i="32" s="1"/>
  <c r="T79" i="32" s="1"/>
  <c r="P73" i="32"/>
  <c r="Q73" i="32" s="1"/>
  <c r="T73" i="32" s="1"/>
  <c r="P72" i="32"/>
  <c r="Q72" i="32" s="1"/>
  <c r="T72" i="32" s="1"/>
  <c r="K72" i="32"/>
  <c r="U72" i="32" s="1"/>
  <c r="P71" i="32"/>
  <c r="Q71" i="32" s="1"/>
  <c r="K71" i="32"/>
  <c r="U71" i="32" s="1"/>
  <c r="P70" i="32"/>
  <c r="Q70" i="32" s="1"/>
  <c r="T70" i="32" s="1"/>
  <c r="K70" i="32"/>
  <c r="U70" i="32" s="1"/>
  <c r="P69" i="32"/>
  <c r="Q69" i="32" s="1"/>
  <c r="T69" i="32" s="1"/>
  <c r="K69" i="32"/>
  <c r="U69" i="32" s="1"/>
  <c r="P68" i="32"/>
  <c r="Q68" i="32" s="1"/>
  <c r="T68" i="32" s="1"/>
  <c r="K68" i="32"/>
  <c r="U68" i="32" s="1"/>
  <c r="L67" i="32"/>
  <c r="K67" i="32" s="1"/>
  <c r="U67" i="32" s="1"/>
  <c r="P66" i="32"/>
  <c r="Q66" i="32" s="1"/>
  <c r="T66" i="32" s="1"/>
  <c r="K66" i="32"/>
  <c r="U66" i="32" s="1"/>
  <c r="P65" i="32"/>
  <c r="Q65" i="32" s="1"/>
  <c r="T65" i="32" s="1"/>
  <c r="K65" i="32"/>
  <c r="U65" i="32" s="1"/>
  <c r="P64" i="32"/>
  <c r="Q64" i="32" s="1"/>
  <c r="T64" i="32" s="1"/>
  <c r="K64" i="32"/>
  <c r="U64" i="32" s="1"/>
  <c r="Q63" i="32"/>
  <c r="T63" i="32" s="1"/>
  <c r="K63" i="32"/>
  <c r="U63" i="32" s="1"/>
  <c r="P62" i="32"/>
  <c r="Q62" i="32" s="1"/>
  <c r="T62" i="32" s="1"/>
  <c r="K62" i="32"/>
  <c r="U62" i="32" s="1"/>
  <c r="P61" i="32"/>
  <c r="Q61" i="32" s="1"/>
  <c r="T61" i="32" s="1"/>
  <c r="K61" i="32"/>
  <c r="U61" i="32" s="1"/>
  <c r="P60" i="32"/>
  <c r="Q60" i="32" s="1"/>
  <c r="T60" i="32" s="1"/>
  <c r="K60" i="32"/>
  <c r="U60" i="32" s="1"/>
  <c r="P58" i="32"/>
  <c r="Q58" i="32" s="1"/>
  <c r="K58" i="32"/>
  <c r="U58" i="32" s="1"/>
  <c r="P57" i="32"/>
  <c r="Q57" i="32" s="1"/>
  <c r="T57" i="32" s="1"/>
  <c r="K57" i="32"/>
  <c r="U57" i="32" s="1"/>
  <c r="P56" i="32"/>
  <c r="Q56" i="32" s="1"/>
  <c r="T56" i="32" s="1"/>
  <c r="K56" i="32"/>
  <c r="U56" i="32" s="1"/>
  <c r="K59" i="32"/>
  <c r="U59" i="32" s="1"/>
  <c r="P59" i="32"/>
  <c r="N59" i="32" s="1"/>
  <c r="O59" i="32" s="1"/>
  <c r="C17" i="30"/>
  <c r="D17" i="30" s="1"/>
  <c r="C16" i="30"/>
  <c r="D16" i="30"/>
  <c r="E16" i="30"/>
  <c r="L51" i="32"/>
  <c r="K51" i="32" s="1"/>
  <c r="U51" i="32" s="1"/>
  <c r="K55" i="32"/>
  <c r="U55" i="32" s="1"/>
  <c r="P55" i="32"/>
  <c r="N55" i="32" s="1"/>
  <c r="O55" i="32" s="1"/>
  <c r="K54" i="32"/>
  <c r="U54" i="32" s="1"/>
  <c r="P54" i="32"/>
  <c r="N54" i="32" s="1"/>
  <c r="O54" i="32" s="1"/>
  <c r="P53" i="32"/>
  <c r="Q53" i="32" s="1"/>
  <c r="T53" i="32" s="1"/>
  <c r="K53" i="32"/>
  <c r="U53" i="32" s="1"/>
  <c r="P51" i="32"/>
  <c r="L49" i="32"/>
  <c r="K49" i="32" s="1"/>
  <c r="U49" i="32" s="1"/>
  <c r="L48" i="32"/>
  <c r="K48" i="32" s="1"/>
  <c r="U48" i="32" s="1"/>
  <c r="N47" i="32"/>
  <c r="O47" i="32" s="1"/>
  <c r="K47" i="32"/>
  <c r="U47" i="32" s="1"/>
  <c r="P46" i="32"/>
  <c r="Q46" i="32" s="1"/>
  <c r="T46" i="32" s="1"/>
  <c r="K46" i="32"/>
  <c r="U46" i="32" s="1"/>
  <c r="P44" i="32"/>
  <c r="Q44" i="32" s="1"/>
  <c r="K44" i="32"/>
  <c r="U44" i="32" s="1"/>
  <c r="P43" i="32"/>
  <c r="Q43" i="32" s="1"/>
  <c r="T43" i="32" s="1"/>
  <c r="K43" i="32"/>
  <c r="U43" i="32" s="1"/>
  <c r="P42" i="32"/>
  <c r="Q42" i="32" s="1"/>
  <c r="T42" i="32" s="1"/>
  <c r="K42" i="32"/>
  <c r="U42" i="32" s="1"/>
  <c r="L33" i="32"/>
  <c r="K33" i="32" s="1"/>
  <c r="U33" i="32" s="1"/>
  <c r="P41" i="32"/>
  <c r="L41" i="32"/>
  <c r="K41" i="32" s="1"/>
  <c r="U41" i="32" s="1"/>
  <c r="P40" i="32"/>
  <c r="Q40" i="32" s="1"/>
  <c r="T40" i="32" s="1"/>
  <c r="K40" i="32"/>
  <c r="U40" i="32" s="1"/>
  <c r="P39" i="32"/>
  <c r="N39" i="32" s="1"/>
  <c r="L39" i="32"/>
  <c r="K39" i="32" s="1"/>
  <c r="U39" i="32" s="1"/>
  <c r="P38" i="32"/>
  <c r="Q38" i="32" s="1"/>
  <c r="T38" i="32" s="1"/>
  <c r="K38" i="32"/>
  <c r="U38" i="32" s="1"/>
  <c r="P37" i="32"/>
  <c r="Q37" i="32" s="1"/>
  <c r="T37" i="32" s="1"/>
  <c r="K37" i="32"/>
  <c r="U37" i="32" s="1"/>
  <c r="P36" i="32"/>
  <c r="N36" i="32" s="1"/>
  <c r="L36" i="32"/>
  <c r="K36" i="32" s="1"/>
  <c r="U36" i="32" s="1"/>
  <c r="P32" i="32"/>
  <c r="Q32" i="32" s="1"/>
  <c r="T32" i="32" s="1"/>
  <c r="K32" i="32"/>
  <c r="U32" i="32" s="1"/>
  <c r="P31" i="32"/>
  <c r="Q31" i="32" s="1"/>
  <c r="T31" i="32" s="1"/>
  <c r="K31" i="32"/>
  <c r="U31" i="32" s="1"/>
  <c r="L27" i="32"/>
  <c r="K27" i="32" s="1"/>
  <c r="U27" i="32" s="1"/>
  <c r="L25" i="32"/>
  <c r="K25" i="32" s="1"/>
  <c r="U25" i="32" s="1"/>
  <c r="L24" i="32"/>
  <c r="P24" i="32"/>
  <c r="L23" i="32"/>
  <c r="K23" i="32" s="1"/>
  <c r="U23" i="32" s="1"/>
  <c r="E15" i="30"/>
  <c r="C15" i="30"/>
  <c r="D15" i="30" s="1"/>
  <c r="U244" i="32"/>
  <c r="M31" i="30" s="1"/>
  <c r="U250" i="32"/>
  <c r="U256" i="32"/>
  <c r="U264" i="32"/>
  <c r="C14" i="30"/>
  <c r="D14" i="30"/>
  <c r="E14" i="30"/>
  <c r="L18" i="32"/>
  <c r="K18" i="32" s="1"/>
  <c r="U18" i="32" s="1"/>
  <c r="L7" i="32"/>
  <c r="K7" i="32" s="1"/>
  <c r="U7" i="32" s="1"/>
  <c r="P4" i="32"/>
  <c r="N4" i="32" s="1"/>
  <c r="O4" i="32" s="1"/>
  <c r="P5" i="32"/>
  <c r="N5" i="32" s="1"/>
  <c r="O5" i="32" s="1"/>
  <c r="P6" i="32"/>
  <c r="N6" i="32" s="1"/>
  <c r="O6" i="32" s="1"/>
  <c r="P7" i="32"/>
  <c r="N7" i="32" s="1"/>
  <c r="P8" i="32"/>
  <c r="N8" i="32" s="1"/>
  <c r="O8" i="32" s="1"/>
  <c r="P9" i="32"/>
  <c r="N9" i="32" s="1"/>
  <c r="O9" i="32" s="1"/>
  <c r="P10" i="32"/>
  <c r="N10" i="32" s="1"/>
  <c r="O10" i="32" s="1"/>
  <c r="P11" i="32"/>
  <c r="N11" i="32" s="1"/>
  <c r="O11" i="32" s="1"/>
  <c r="P12" i="32"/>
  <c r="N12" i="32" s="1"/>
  <c r="O12" i="32" s="1"/>
  <c r="P13" i="32"/>
  <c r="N13" i="32" s="1"/>
  <c r="O13" i="32" s="1"/>
  <c r="P14" i="32"/>
  <c r="N14" i="32" s="1"/>
  <c r="O14" i="32" s="1"/>
  <c r="P15" i="32"/>
  <c r="N15" i="32" s="1"/>
  <c r="O15" i="32" s="1"/>
  <c r="P16" i="32"/>
  <c r="N16" i="32" s="1"/>
  <c r="O16" i="32" s="1"/>
  <c r="P17" i="32"/>
  <c r="N17" i="32" s="1"/>
  <c r="O17" i="32" s="1"/>
  <c r="P18" i="32"/>
  <c r="N18" i="32" s="1"/>
  <c r="P19" i="32"/>
  <c r="N19" i="32" s="1"/>
  <c r="O19" i="32" s="1"/>
  <c r="P20" i="32"/>
  <c r="N20" i="32" s="1"/>
  <c r="O20" i="32" s="1"/>
  <c r="P21" i="32"/>
  <c r="N21" i="32" s="1"/>
  <c r="O21" i="32" s="1"/>
  <c r="P22" i="32"/>
  <c r="N22" i="32" s="1"/>
  <c r="O22" i="32" s="1"/>
  <c r="P23" i="32"/>
  <c r="N23" i="32" s="1"/>
  <c r="P25" i="32"/>
  <c r="N25" i="32" s="1"/>
  <c r="P26" i="32"/>
  <c r="N26" i="32" s="1"/>
  <c r="O26" i="32" s="1"/>
  <c r="P27" i="32"/>
  <c r="N27" i="32" s="1"/>
  <c r="P28" i="32"/>
  <c r="N28" i="32" s="1"/>
  <c r="O28" i="32" s="1"/>
  <c r="P29" i="32"/>
  <c r="N29" i="32" s="1"/>
  <c r="O29" i="32" s="1"/>
  <c r="P30" i="32"/>
  <c r="N30" i="32" s="1"/>
  <c r="O30" i="32" s="1"/>
  <c r="P33" i="32"/>
  <c r="N33" i="32" s="1"/>
  <c r="N34" i="32"/>
  <c r="O34" i="32" s="1"/>
  <c r="P35" i="32"/>
  <c r="N35" i="32" s="1"/>
  <c r="O35" i="32" s="1"/>
  <c r="P45" i="32"/>
  <c r="N45" i="32" s="1"/>
  <c r="O45" i="32" s="1"/>
  <c r="P48" i="32"/>
  <c r="N48" i="32" s="1"/>
  <c r="P49" i="32"/>
  <c r="N49" i="32" s="1"/>
  <c r="P50" i="32"/>
  <c r="N50" i="32" s="1"/>
  <c r="O50" i="32" s="1"/>
  <c r="P52" i="32"/>
  <c r="N52" i="32" s="1"/>
  <c r="O52" i="32" s="1"/>
  <c r="K4" i="32"/>
  <c r="U4" i="32" s="1"/>
  <c r="K5" i="32"/>
  <c r="U5" i="32" s="1"/>
  <c r="K6" i="32"/>
  <c r="U6" i="32" s="1"/>
  <c r="K8" i="32"/>
  <c r="U8" i="32" s="1"/>
  <c r="K9" i="32"/>
  <c r="U9" i="32" s="1"/>
  <c r="K10" i="32"/>
  <c r="U10" i="32" s="1"/>
  <c r="K11" i="32"/>
  <c r="U11" i="32" s="1"/>
  <c r="K12" i="32"/>
  <c r="U12" i="32" s="1"/>
  <c r="K13" i="32"/>
  <c r="U13" i="32" s="1"/>
  <c r="K14" i="32"/>
  <c r="U14" i="32" s="1"/>
  <c r="K15" i="32"/>
  <c r="U15" i="32" s="1"/>
  <c r="K16" i="32"/>
  <c r="U16" i="32" s="1"/>
  <c r="K17" i="32"/>
  <c r="U17" i="32" s="1"/>
  <c r="K19" i="32"/>
  <c r="U19" i="32" s="1"/>
  <c r="K20" i="32"/>
  <c r="U20" i="32" s="1"/>
  <c r="K21" i="32"/>
  <c r="U21" i="32" s="1"/>
  <c r="K22" i="32"/>
  <c r="U22" i="32" s="1"/>
  <c r="K26" i="32"/>
  <c r="U26" i="32" s="1"/>
  <c r="K28" i="32"/>
  <c r="U28" i="32" s="1"/>
  <c r="K29" i="32"/>
  <c r="U29" i="32" s="1"/>
  <c r="K30" i="32"/>
  <c r="U30" i="32" s="1"/>
  <c r="K34" i="32"/>
  <c r="U34" i="32" s="1"/>
  <c r="K35" i="32"/>
  <c r="U35" i="32" s="1"/>
  <c r="K45" i="32"/>
  <c r="U45" i="32" s="1"/>
  <c r="K50" i="32"/>
  <c r="U50" i="32" s="1"/>
  <c r="K52" i="32"/>
  <c r="U52" i="32" s="1"/>
  <c r="P3" i="32"/>
  <c r="N3" i="32" s="1"/>
  <c r="O3" i="32" s="1"/>
  <c r="K3" i="32"/>
  <c r="U3" i="32" s="1"/>
  <c r="C223" i="1"/>
  <c r="J223" i="1"/>
  <c r="K223" i="1" s="1"/>
  <c r="J222" i="1"/>
  <c r="K222" i="1" s="1"/>
  <c r="J221" i="1"/>
  <c r="K221" i="1" s="1"/>
  <c r="J220" i="1"/>
  <c r="K220" i="1" s="1"/>
  <c r="C222" i="1"/>
  <c r="C221" i="1"/>
  <c r="Y1041" i="17"/>
  <c r="Y1042" i="17"/>
  <c r="Y1043" i="17"/>
  <c r="Y1044" i="17"/>
  <c r="Y1045" i="17"/>
  <c r="Y1046" i="17"/>
  <c r="Y1047" i="17"/>
  <c r="Y1048" i="17"/>
  <c r="Y1049" i="17"/>
  <c r="Y1050" i="17"/>
  <c r="Y1051" i="17"/>
  <c r="Y1052" i="17"/>
  <c r="Y1053" i="17"/>
  <c r="Y1054" i="17"/>
  <c r="Y1055" i="17"/>
  <c r="Y1056" i="17"/>
  <c r="Y1057" i="17"/>
  <c r="Y1058" i="17"/>
  <c r="Y1059" i="17"/>
  <c r="Y1060" i="17"/>
  <c r="Y1061" i="17"/>
  <c r="Y1062" i="17"/>
  <c r="Y1063" i="17"/>
  <c r="Y1064" i="17"/>
  <c r="Y1065" i="17"/>
  <c r="Y1066" i="17"/>
  <c r="Y1067" i="17"/>
  <c r="Y1068" i="17"/>
  <c r="Y1069" i="17"/>
  <c r="Y1070" i="17"/>
  <c r="Y1071" i="17"/>
  <c r="Y1072" i="17"/>
  <c r="Y1073" i="17"/>
  <c r="Y1038" i="17"/>
  <c r="Y1039" i="17"/>
  <c r="Y1040" i="17"/>
  <c r="O1061" i="17"/>
  <c r="R1061" i="17" s="1"/>
  <c r="T1073" i="17"/>
  <c r="Q1073" i="17"/>
  <c r="Z1073" i="17" s="1"/>
  <c r="O1073" i="17"/>
  <c r="P1073" i="17" s="1"/>
  <c r="T1072" i="17"/>
  <c r="Q1072" i="17"/>
  <c r="Z1072" i="17" s="1"/>
  <c r="O1072" i="17"/>
  <c r="R1072" i="17" s="1"/>
  <c r="T1071" i="17"/>
  <c r="Q1071" i="17"/>
  <c r="O1071" i="17"/>
  <c r="P1071" i="17" s="1"/>
  <c r="T1070" i="17"/>
  <c r="Q1070" i="17"/>
  <c r="Z1070" i="17" s="1"/>
  <c r="O1070" i="17"/>
  <c r="R1070" i="17" s="1"/>
  <c r="T1069" i="17"/>
  <c r="Q1069" i="17"/>
  <c r="Z1069" i="17" s="1"/>
  <c r="O1069" i="17"/>
  <c r="R1069" i="17" s="1"/>
  <c r="T1068" i="17"/>
  <c r="Q1068" i="17"/>
  <c r="Z1068" i="17" s="1"/>
  <c r="O1068" i="17"/>
  <c r="R1068" i="17" s="1"/>
  <c r="T1067" i="17"/>
  <c r="Q1067" i="17"/>
  <c r="Z1067" i="17" s="1"/>
  <c r="O1067" i="17"/>
  <c r="R1067" i="17" s="1"/>
  <c r="T1066" i="17"/>
  <c r="Q1066" i="17"/>
  <c r="Z1066" i="17" s="1"/>
  <c r="O1066" i="17"/>
  <c r="P1066" i="17" s="1"/>
  <c r="T1065" i="17"/>
  <c r="Q1065" i="17"/>
  <c r="Z1065" i="17" s="1"/>
  <c r="O1065" i="17"/>
  <c r="P1065" i="17" s="1"/>
  <c r="T1064" i="17"/>
  <c r="Q1064" i="17"/>
  <c r="Z1064" i="17" s="1"/>
  <c r="O1064" i="17"/>
  <c r="R1064" i="17" s="1"/>
  <c r="Q1063" i="17"/>
  <c r="Z1063" i="17" s="1"/>
  <c r="O1063" i="17"/>
  <c r="R1063" i="17" s="1"/>
  <c r="T1062" i="17"/>
  <c r="Q1062" i="17"/>
  <c r="Z1062" i="17" s="1"/>
  <c r="O1062" i="17"/>
  <c r="R1062" i="17" s="1"/>
  <c r="T1061" i="17"/>
  <c r="Q1061" i="17"/>
  <c r="W1061" i="17" s="1"/>
  <c r="T1060" i="17"/>
  <c r="Q1060" i="17"/>
  <c r="W1060" i="17" s="1"/>
  <c r="O1060" i="17"/>
  <c r="R1060" i="17" s="1"/>
  <c r="T1059" i="17"/>
  <c r="L1059" i="17"/>
  <c r="Q1059" i="17" s="1"/>
  <c r="T1058" i="17"/>
  <c r="L1057" i="17"/>
  <c r="Q1057" i="17" s="1"/>
  <c r="Z1057" i="17" s="1"/>
  <c r="L1056" i="17"/>
  <c r="Q1056" i="17"/>
  <c r="Z1056" i="17" s="1"/>
  <c r="O1056" i="17"/>
  <c r="P1056" i="17" s="1"/>
  <c r="Q1055" i="17"/>
  <c r="Z1055" i="17" s="1"/>
  <c r="O1055" i="17"/>
  <c r="P1055" i="17" s="1"/>
  <c r="T1054" i="17"/>
  <c r="Q1054" i="17"/>
  <c r="Z1054" i="17" s="1"/>
  <c r="O1054" i="17"/>
  <c r="R1054" i="17" s="1"/>
  <c r="T1053" i="17"/>
  <c r="Q1053" i="17"/>
  <c r="Z1053" i="17" s="1"/>
  <c r="O1053" i="17"/>
  <c r="P1053" i="17" s="1"/>
  <c r="T1052" i="17"/>
  <c r="Q1052" i="17"/>
  <c r="Z1052" i="17" s="1"/>
  <c r="O1052" i="17"/>
  <c r="R1052" i="17" s="1"/>
  <c r="T1051" i="17"/>
  <c r="Q1051" i="17"/>
  <c r="Z1051" i="17" s="1"/>
  <c r="O1051" i="17"/>
  <c r="R1051" i="17" s="1"/>
  <c r="T1050" i="17"/>
  <c r="Q1050" i="17"/>
  <c r="O1050" i="17"/>
  <c r="R1050" i="17" s="1"/>
  <c r="T1049" i="17"/>
  <c r="Q1049" i="17"/>
  <c r="Z1049" i="17" s="1"/>
  <c r="O1049" i="17"/>
  <c r="R1049" i="17" s="1"/>
  <c r="C220" i="1"/>
  <c r="J219" i="1"/>
  <c r="K219" i="1" s="1"/>
  <c r="C219" i="1"/>
  <c r="C218" i="1"/>
  <c r="J218" i="1"/>
  <c r="K218" i="1" s="1"/>
  <c r="T1048" i="17"/>
  <c r="Q1048" i="17"/>
  <c r="Z1048" i="17" s="1"/>
  <c r="O1048" i="17"/>
  <c r="R1048" i="17" s="1"/>
  <c r="T1047" i="17"/>
  <c r="L1046" i="17"/>
  <c r="T1046" i="17"/>
  <c r="Q1046" i="17"/>
  <c r="Z1046" i="17" s="1"/>
  <c r="O1046" i="17"/>
  <c r="P1046" i="17" s="1"/>
  <c r="T1045" i="17"/>
  <c r="Q1045" i="17"/>
  <c r="Z1045" i="17" s="1"/>
  <c r="O1045" i="17"/>
  <c r="R1045" i="17" s="1"/>
  <c r="L1041" i="17"/>
  <c r="T1041" i="17"/>
  <c r="O1042" i="17"/>
  <c r="P1042" i="17" s="1"/>
  <c r="Q1042" i="17"/>
  <c r="W1042" i="17" s="1"/>
  <c r="T1042" i="17"/>
  <c r="O1043" i="17"/>
  <c r="P1043" i="17" s="1"/>
  <c r="Q1043" i="17"/>
  <c r="Z1043" i="17" s="1"/>
  <c r="T1043" i="17"/>
  <c r="O1044" i="17"/>
  <c r="P1044" i="17" s="1"/>
  <c r="Q1044" i="17"/>
  <c r="Z1044" i="17" s="1"/>
  <c r="T1044" i="17"/>
  <c r="T1040" i="17"/>
  <c r="Q1040" i="17"/>
  <c r="Z1040" i="17" s="1"/>
  <c r="O1040" i="17"/>
  <c r="R1040" i="17" s="1"/>
  <c r="Q1039" i="17"/>
  <c r="Z1039" i="17" s="1"/>
  <c r="O1039" i="17"/>
  <c r="R1039" i="17" s="1"/>
  <c r="Q1038" i="17"/>
  <c r="Z1038" i="17" s="1"/>
  <c r="O1038" i="17"/>
  <c r="R1038" i="17" s="1"/>
  <c r="Y1037" i="17"/>
  <c r="T1037" i="17"/>
  <c r="Q1037" i="17"/>
  <c r="O1037" i="17"/>
  <c r="R1037" i="17" s="1"/>
  <c r="Y1036" i="17"/>
  <c r="T1036" i="17"/>
  <c r="Q1036" i="17"/>
  <c r="Z1036" i="17" s="1"/>
  <c r="O1036" i="17"/>
  <c r="R1036" i="17" s="1"/>
  <c r="Y1035" i="17"/>
  <c r="T1035" i="17"/>
  <c r="Q1035" i="17"/>
  <c r="Z1035" i="17" s="1"/>
  <c r="O1035" i="17"/>
  <c r="P1035" i="17" s="1"/>
  <c r="Y1034" i="17"/>
  <c r="T1034" i="17"/>
  <c r="Q1034" i="17"/>
  <c r="Z1034" i="17" s="1"/>
  <c r="O1034" i="17"/>
  <c r="P1034" i="17" s="1"/>
  <c r="Y1033" i="17"/>
  <c r="T1033" i="17"/>
  <c r="Q1033" i="17"/>
  <c r="Z1033" i="17" s="1"/>
  <c r="O1033" i="17"/>
  <c r="R1033" i="17" s="1"/>
  <c r="Y1032" i="17"/>
  <c r="T1032" i="17"/>
  <c r="Q1032" i="17"/>
  <c r="Z1032" i="17" s="1"/>
  <c r="O1032" i="17"/>
  <c r="P1032" i="17" s="1"/>
  <c r="Y1031" i="17"/>
  <c r="T1031" i="17"/>
  <c r="Q1031" i="17"/>
  <c r="Z1031" i="17" s="1"/>
  <c r="O1031" i="17"/>
  <c r="R1031" i="17" s="1"/>
  <c r="Y1030" i="17"/>
  <c r="T1030" i="17"/>
  <c r="Q1030" i="17"/>
  <c r="Z1030" i="17" s="1"/>
  <c r="O1030" i="17"/>
  <c r="P1030" i="17" s="1"/>
  <c r="Y1029" i="17"/>
  <c r="T1029" i="17"/>
  <c r="Q1029" i="17"/>
  <c r="Z1029" i="17" s="1"/>
  <c r="O1029" i="17"/>
  <c r="R1029" i="17" s="1"/>
  <c r="L1028" i="17"/>
  <c r="Y1028" i="17"/>
  <c r="T1028" i="17"/>
  <c r="Y1027" i="17"/>
  <c r="T1027" i="17"/>
  <c r="Q1027" i="17"/>
  <c r="Y1026" i="17"/>
  <c r="T1026" i="17"/>
  <c r="Q1026" i="17"/>
  <c r="Z1026" i="17" s="1"/>
  <c r="O1026" i="17"/>
  <c r="R1026" i="17" s="1"/>
  <c r="Y1025" i="17"/>
  <c r="T1025" i="17"/>
  <c r="Q1025" i="17"/>
  <c r="Z1025" i="17" s="1"/>
  <c r="O1025" i="17"/>
  <c r="R1025" i="17" s="1"/>
  <c r="Y1024" i="17"/>
  <c r="T1024" i="17"/>
  <c r="Q1024" i="17"/>
  <c r="Z1024" i="17" s="1"/>
  <c r="O1024" i="17"/>
  <c r="R1024" i="17" s="1"/>
  <c r="Y1023" i="17"/>
  <c r="T1023" i="17"/>
  <c r="Q1023" i="17"/>
  <c r="Z1023" i="17" s="1"/>
  <c r="O1023" i="17"/>
  <c r="R1023" i="17" s="1"/>
  <c r="Y1022" i="17"/>
  <c r="T1022" i="17"/>
  <c r="Q1022" i="17"/>
  <c r="Z1022" i="17" s="1"/>
  <c r="O1022" i="17"/>
  <c r="P1022" i="17" s="1"/>
  <c r="Y1021" i="17"/>
  <c r="T1021" i="17"/>
  <c r="Q1021" i="17"/>
  <c r="Y1020" i="17"/>
  <c r="T1020" i="17"/>
  <c r="Q1020" i="17"/>
  <c r="Z1020" i="17" s="1"/>
  <c r="O1020" i="17"/>
  <c r="R1020" i="17" s="1"/>
  <c r="Y1019" i="17"/>
  <c r="T1019" i="17"/>
  <c r="Q1019" i="17"/>
  <c r="Z1019" i="17" s="1"/>
  <c r="O1019" i="17"/>
  <c r="R1019" i="17" s="1"/>
  <c r="Y1018" i="17"/>
  <c r="T1018" i="17"/>
  <c r="Q1018" i="17"/>
  <c r="K1018" i="17" s="1"/>
  <c r="W1018" i="17" s="1"/>
  <c r="O1018" i="17"/>
  <c r="R1018" i="17" s="1"/>
  <c r="Y1017" i="17"/>
  <c r="T1017" i="17"/>
  <c r="Q1017" i="17"/>
  <c r="Z1017" i="17" s="1"/>
  <c r="O1017" i="17"/>
  <c r="R1017" i="17" s="1"/>
  <c r="Y1016" i="17"/>
  <c r="T1016" i="17"/>
  <c r="L1015" i="17"/>
  <c r="Y1015" i="17"/>
  <c r="T1015" i="17"/>
  <c r="Y1014" i="17"/>
  <c r="Q1014" i="17"/>
  <c r="Z1014" i="17" s="1"/>
  <c r="O1014" i="17"/>
  <c r="R1014" i="17" s="1"/>
  <c r="J217" i="1"/>
  <c r="K217" i="1" s="1"/>
  <c r="C217" i="1"/>
  <c r="T1063" i="17"/>
  <c r="T1056" i="17"/>
  <c r="T1055" i="17"/>
  <c r="T1038" i="17"/>
  <c r="T1014" i="17"/>
  <c r="T1039" i="17"/>
  <c r="T1057" i="17"/>
  <c r="L226" i="1"/>
  <c r="L223" i="1"/>
  <c r="L222" i="1"/>
  <c r="L229" i="1"/>
  <c r="L221" i="1"/>
  <c r="L227" i="1"/>
  <c r="L231" i="1"/>
  <c r="L232" i="1"/>
  <c r="L230" i="1"/>
  <c r="L225" i="1"/>
  <c r="L228" i="1"/>
  <c r="L220" i="1"/>
  <c r="L224" i="1"/>
  <c r="R107" i="32"/>
  <c r="R62" i="32"/>
  <c r="R53" i="32"/>
  <c r="R43" i="32"/>
  <c r="R12" i="32"/>
  <c r="R100" i="32"/>
  <c r="R18" i="32"/>
  <c r="R103" i="32"/>
  <c r="R9" i="32"/>
  <c r="R63" i="32"/>
  <c r="R8" i="32"/>
  <c r="R15" i="32"/>
  <c r="R80" i="32"/>
  <c r="R86" i="32"/>
  <c r="R20" i="32"/>
  <c r="R102" i="32"/>
  <c r="R108" i="32"/>
  <c r="R34" i="32"/>
  <c r="R22" i="32"/>
  <c r="R81" i="32"/>
  <c r="R101" i="32"/>
  <c r="R95" i="32"/>
  <c r="R41" i="32"/>
  <c r="R99" i="32"/>
  <c r="R77" i="32"/>
  <c r="R45" i="32"/>
  <c r="R73" i="32"/>
  <c r="R67" i="32"/>
  <c r="R27" i="32"/>
  <c r="R33" i="32"/>
  <c r="R75" i="32"/>
  <c r="R52" i="32"/>
  <c r="R66" i="32"/>
  <c r="R10" i="32"/>
  <c r="R91" i="32"/>
  <c r="R6" i="32"/>
  <c r="R83" i="32"/>
  <c r="R79" i="32"/>
  <c r="R106" i="32"/>
  <c r="R4" i="32"/>
  <c r="R49" i="32"/>
  <c r="R85" i="32"/>
  <c r="R11" i="32"/>
  <c r="R96" i="32"/>
  <c r="R38" i="32"/>
  <c r="R60" i="32"/>
  <c r="R51" i="32"/>
  <c r="R90" i="32"/>
  <c r="R47" i="32"/>
  <c r="R48" i="32"/>
  <c r="R104" i="32"/>
  <c r="R19" i="32"/>
  <c r="R30" i="32"/>
  <c r="R16" i="32"/>
  <c r="R98" i="32"/>
  <c r="R40" i="32"/>
  <c r="R68" i="32"/>
  <c r="R97" i="32"/>
  <c r="R70" i="32"/>
  <c r="R7" i="32"/>
  <c r="R87" i="32"/>
  <c r="R14" i="32"/>
  <c r="R32" i="32"/>
  <c r="R71" i="32"/>
  <c r="R69" i="32"/>
  <c r="R37" i="32"/>
  <c r="R78" i="32"/>
  <c r="R56" i="32"/>
  <c r="R28" i="32"/>
  <c r="R42" i="32"/>
  <c r="R26" i="32"/>
  <c r="R57" i="32"/>
  <c r="R35" i="32"/>
  <c r="R84" i="32"/>
  <c r="R61" i="32"/>
  <c r="R105" i="32"/>
  <c r="R89" i="32"/>
  <c r="R29" i="32"/>
  <c r="R58" i="32"/>
  <c r="R31" i="32"/>
  <c r="R21" i="32"/>
  <c r="R24" i="32"/>
  <c r="R36" i="32"/>
  <c r="R72" i="32"/>
  <c r="R23" i="32"/>
  <c r="R94" i="32"/>
  <c r="R65" i="32"/>
  <c r="R3" i="32"/>
  <c r="R46" i="32"/>
  <c r="R25" i="32"/>
  <c r="R92" i="32"/>
  <c r="R44" i="32"/>
  <c r="R88" i="32"/>
  <c r="R39" i="32"/>
  <c r="R74" i="32"/>
  <c r="R17" i="32"/>
  <c r="R82" i="32"/>
  <c r="R5" i="32"/>
  <c r="R50" i="32"/>
  <c r="R93" i="32"/>
  <c r="R13" i="32"/>
  <c r="D13" i="9" l="1"/>
  <c r="F13" i="9" s="1"/>
  <c r="F30" i="30"/>
  <c r="L31" i="30"/>
  <c r="G31" i="30"/>
  <c r="H31" i="30" s="1"/>
  <c r="N30" i="30"/>
  <c r="O30" i="30"/>
  <c r="L30" i="30"/>
  <c r="G30" i="30"/>
  <c r="O7" i="32"/>
  <c r="O36" i="32"/>
  <c r="F22" i="30"/>
  <c r="G29" i="30"/>
  <c r="H29" i="30" s="1"/>
  <c r="L24" i="30"/>
  <c r="K22" i="30"/>
  <c r="L29" i="30"/>
  <c r="L28" i="30"/>
  <c r="O26" i="30"/>
  <c r="L25" i="30"/>
  <c r="G28" i="30"/>
  <c r="H28" i="30" s="1"/>
  <c r="N26" i="30"/>
  <c r="L26" i="30"/>
  <c r="G27" i="30"/>
  <c r="H27" i="30" s="1"/>
  <c r="L27" i="30"/>
  <c r="G26" i="30"/>
  <c r="H26" i="30" s="1"/>
  <c r="N24" i="30"/>
  <c r="G24" i="30"/>
  <c r="L22" i="30"/>
  <c r="F24" i="30"/>
  <c r="F25" i="30"/>
  <c r="O24" i="30"/>
  <c r="G25" i="30"/>
  <c r="I26" i="30"/>
  <c r="T88" i="32"/>
  <c r="J19" i="30"/>
  <c r="I19" i="30"/>
  <c r="T58" i="32"/>
  <c r="J17" i="30"/>
  <c r="I17" i="30"/>
  <c r="T110" i="32"/>
  <c r="I21" i="30"/>
  <c r="J21" i="30"/>
  <c r="G22" i="30"/>
  <c r="T44" i="32"/>
  <c r="J16" i="30"/>
  <c r="I16" i="30"/>
  <c r="T124" i="32"/>
  <c r="J22" i="30"/>
  <c r="I22" i="30"/>
  <c r="T71" i="32"/>
  <c r="J18" i="30"/>
  <c r="I18" i="30"/>
  <c r="T93" i="32"/>
  <c r="J20" i="30"/>
  <c r="I20" i="30"/>
  <c r="O23" i="30"/>
  <c r="L23" i="30"/>
  <c r="K23" i="30"/>
  <c r="J23" i="30"/>
  <c r="I23" i="30"/>
  <c r="G23" i="30"/>
  <c r="N23" i="30"/>
  <c r="F23" i="30"/>
  <c r="M23" i="30"/>
  <c r="N22" i="30"/>
  <c r="O22" i="30"/>
  <c r="Z1037" i="17"/>
  <c r="I11" i="30"/>
  <c r="J11" i="30"/>
  <c r="Z1071" i="17"/>
  <c r="J13" i="30"/>
  <c r="I13" i="30"/>
  <c r="Z1050" i="17"/>
  <c r="I12" i="30"/>
  <c r="J12" i="30"/>
  <c r="I10" i="30"/>
  <c r="J10" i="30"/>
  <c r="N21" i="30"/>
  <c r="M21" i="30"/>
  <c r="K21" i="30"/>
  <c r="F21" i="30"/>
  <c r="O21" i="30"/>
  <c r="N107" i="32"/>
  <c r="O107" i="32" s="1"/>
  <c r="N89" i="32"/>
  <c r="O89" i="32" s="1"/>
  <c r="N101" i="32"/>
  <c r="O101" i="32" s="1"/>
  <c r="N85" i="32"/>
  <c r="O85" i="32" s="1"/>
  <c r="Q41" i="32"/>
  <c r="T41" i="32" s="1"/>
  <c r="O33" i="32"/>
  <c r="N102" i="32"/>
  <c r="O102" i="32" s="1"/>
  <c r="O23" i="32"/>
  <c r="Q51" i="32"/>
  <c r="T51" i="32" s="1"/>
  <c r="N103" i="32"/>
  <c r="O103" i="32" s="1"/>
  <c r="N87" i="32"/>
  <c r="O87" i="32" s="1"/>
  <c r="Q98" i="32"/>
  <c r="T98" i="32" s="1"/>
  <c r="O49" i="32"/>
  <c r="N81" i="32"/>
  <c r="O81" i="32" s="1"/>
  <c r="N100" i="32"/>
  <c r="O100" i="32" s="1"/>
  <c r="N106" i="32"/>
  <c r="O106" i="32" s="1"/>
  <c r="Q90" i="32"/>
  <c r="T90" i="32" s="1"/>
  <c r="N108" i="32"/>
  <c r="O108" i="32" s="1"/>
  <c r="N105" i="32"/>
  <c r="O105" i="32" s="1"/>
  <c r="N104" i="32"/>
  <c r="O104" i="32" s="1"/>
  <c r="T102" i="32"/>
  <c r="N90" i="32"/>
  <c r="O90" i="32" s="1"/>
  <c r="N88" i="32"/>
  <c r="O88" i="32" s="1"/>
  <c r="F19" i="30" s="1"/>
  <c r="N86" i="32"/>
  <c r="O86" i="32" s="1"/>
  <c r="N84" i="32"/>
  <c r="O84" i="32" s="1"/>
  <c r="N83" i="32"/>
  <c r="O83" i="32" s="1"/>
  <c r="O82" i="32"/>
  <c r="N61" i="32"/>
  <c r="O61" i="32" s="1"/>
  <c r="N93" i="32"/>
  <c r="O93" i="32" s="1"/>
  <c r="N78" i="32"/>
  <c r="O78" i="32" s="1"/>
  <c r="M19" i="30"/>
  <c r="D18" i="30"/>
  <c r="K20" i="30"/>
  <c r="M20" i="30"/>
  <c r="K19" i="30"/>
  <c r="N64" i="32"/>
  <c r="O64" i="32" s="1"/>
  <c r="N57" i="32"/>
  <c r="O57" i="32" s="1"/>
  <c r="N42" i="32"/>
  <c r="O42" i="32" s="1"/>
  <c r="N77" i="32"/>
  <c r="O77" i="32" s="1"/>
  <c r="N92" i="32"/>
  <c r="O92" i="32" s="1"/>
  <c r="N95" i="32"/>
  <c r="O95" i="32" s="1"/>
  <c r="N38" i="32"/>
  <c r="O38" i="32" s="1"/>
  <c r="Q55" i="32"/>
  <c r="T55" i="32" s="1"/>
  <c r="N71" i="32"/>
  <c r="O71" i="32" s="1"/>
  <c r="N69" i="32"/>
  <c r="O69" i="32" s="1"/>
  <c r="Q94" i="32"/>
  <c r="T94" i="32" s="1"/>
  <c r="Q36" i="32"/>
  <c r="T36" i="32" s="1"/>
  <c r="N46" i="32"/>
  <c r="O46" i="32" s="1"/>
  <c r="N56" i="32"/>
  <c r="O56" i="32" s="1"/>
  <c r="N60" i="32"/>
  <c r="O60" i="32" s="1"/>
  <c r="N63" i="32"/>
  <c r="O63" i="32" s="1"/>
  <c r="N66" i="32"/>
  <c r="O66" i="32" s="1"/>
  <c r="N72" i="32"/>
  <c r="O72" i="32" s="1"/>
  <c r="N75" i="32"/>
  <c r="O75" i="32" s="1"/>
  <c r="Q54" i="32"/>
  <c r="T54" i="32" s="1"/>
  <c r="N70" i="32"/>
  <c r="O70" i="32" s="1"/>
  <c r="K1069" i="17"/>
  <c r="W1069" i="17" s="1"/>
  <c r="S1042" i="17"/>
  <c r="X1042" i="17" s="1"/>
  <c r="O13" i="30"/>
  <c r="N76" i="32"/>
  <c r="O76" i="32" s="1"/>
  <c r="N74" i="32"/>
  <c r="O74" i="32" s="1"/>
  <c r="N73" i="32"/>
  <c r="O73" i="32" s="1"/>
  <c r="Q80" i="32"/>
  <c r="T80" i="32" s="1"/>
  <c r="N96" i="32"/>
  <c r="O96" i="32" s="1"/>
  <c r="N79" i="32"/>
  <c r="O79" i="32" s="1"/>
  <c r="N91" i="32"/>
  <c r="O91" i="32" s="1"/>
  <c r="Q97" i="32"/>
  <c r="T97" i="32" s="1"/>
  <c r="N68" i="32"/>
  <c r="O68" i="32" s="1"/>
  <c r="O67" i="32"/>
  <c r="Q67" i="32"/>
  <c r="T67" i="32" s="1"/>
  <c r="N65" i="32"/>
  <c r="O65" i="32" s="1"/>
  <c r="N62" i="32"/>
  <c r="O62" i="32" s="1"/>
  <c r="Q3" i="32"/>
  <c r="N53" i="32"/>
  <c r="O53" i="32" s="1"/>
  <c r="N40" i="32"/>
  <c r="O40" i="32" s="1"/>
  <c r="N51" i="32"/>
  <c r="O51" i="32" s="1"/>
  <c r="Q59" i="32"/>
  <c r="T59" i="32" s="1"/>
  <c r="N37" i="32"/>
  <c r="O37" i="32" s="1"/>
  <c r="N58" i="32"/>
  <c r="O58" i="32" s="1"/>
  <c r="F17" i="30" s="1"/>
  <c r="M16" i="30"/>
  <c r="E17" i="30"/>
  <c r="K17" i="30"/>
  <c r="M17" i="30"/>
  <c r="Q29" i="32"/>
  <c r="T29" i="32" s="1"/>
  <c r="N31" i="32"/>
  <c r="O31" i="32" s="1"/>
  <c r="Q26" i="32"/>
  <c r="T26" i="32" s="1"/>
  <c r="Q16" i="32"/>
  <c r="T16" i="32" s="1"/>
  <c r="Q39" i="32"/>
  <c r="T39" i="32" s="1"/>
  <c r="O16" i="30"/>
  <c r="N16" i="30"/>
  <c r="K16" i="30"/>
  <c r="Q19" i="32"/>
  <c r="T19" i="32" s="1"/>
  <c r="N32" i="32"/>
  <c r="O32" i="32" s="1"/>
  <c r="F14" i="30"/>
  <c r="N43" i="32"/>
  <c r="O43" i="32" s="1"/>
  <c r="N44" i="32"/>
  <c r="O44" i="32" s="1"/>
  <c r="F16" i="30" s="1"/>
  <c r="Q52" i="32"/>
  <c r="T52" i="32" s="1"/>
  <c r="Q49" i="32"/>
  <c r="T49" i="32" s="1"/>
  <c r="Q48" i="32"/>
  <c r="T48" i="32" s="1"/>
  <c r="O48" i="32"/>
  <c r="Q34" i="32"/>
  <c r="T34" i="32" s="1"/>
  <c r="Q47" i="32"/>
  <c r="T47" i="32" s="1"/>
  <c r="N41" i="32"/>
  <c r="O41" i="32" s="1"/>
  <c r="O39" i="32"/>
  <c r="M14" i="30"/>
  <c r="Q27" i="32"/>
  <c r="T27" i="32" s="1"/>
  <c r="O27" i="32"/>
  <c r="O25" i="32"/>
  <c r="N24" i="32"/>
  <c r="O24" i="32" s="1"/>
  <c r="Q24" i="32"/>
  <c r="T24" i="32" s="1"/>
  <c r="K24" i="32"/>
  <c r="U24" i="32" s="1"/>
  <c r="Q23" i="32"/>
  <c r="T23" i="32" s="1"/>
  <c r="M15" i="30"/>
  <c r="F15" i="30"/>
  <c r="O18" i="32"/>
  <c r="Q33" i="32"/>
  <c r="T33" i="32" s="1"/>
  <c r="Q22" i="32"/>
  <c r="T22" i="32" s="1"/>
  <c r="Q21" i="32"/>
  <c r="Q18" i="32"/>
  <c r="T18" i="32" s="1"/>
  <c r="Q14" i="32"/>
  <c r="T14" i="32" s="1"/>
  <c r="Q13" i="32"/>
  <c r="T13" i="32" s="1"/>
  <c r="Q12" i="32"/>
  <c r="T12" i="32" s="1"/>
  <c r="Q11" i="32"/>
  <c r="T11" i="32" s="1"/>
  <c r="Q28" i="32"/>
  <c r="T28" i="32" s="1"/>
  <c r="Q17" i="32"/>
  <c r="T17" i="32" s="1"/>
  <c r="Q8" i="32"/>
  <c r="T8" i="32" s="1"/>
  <c r="Q6" i="32"/>
  <c r="T6" i="32" s="1"/>
  <c r="Q9" i="32"/>
  <c r="T9" i="32" s="1"/>
  <c r="Q7" i="32"/>
  <c r="T7" i="32" s="1"/>
  <c r="Q50" i="32"/>
  <c r="T50" i="32" s="1"/>
  <c r="Q45" i="32"/>
  <c r="T45" i="32" s="1"/>
  <c r="Q35" i="32"/>
  <c r="T35" i="32" s="1"/>
  <c r="Q30" i="32"/>
  <c r="T30" i="32" s="1"/>
  <c r="Q25" i="32"/>
  <c r="T25" i="32" s="1"/>
  <c r="Q20" i="32"/>
  <c r="T20" i="32" s="1"/>
  <c r="Q15" i="32"/>
  <c r="Q10" i="32"/>
  <c r="T10" i="32" s="1"/>
  <c r="Q5" i="32"/>
  <c r="T5" i="32" s="1"/>
  <c r="Q4" i="32"/>
  <c r="T4" i="32" s="1"/>
  <c r="K1068" i="17"/>
  <c r="W1068" i="17" s="1"/>
  <c r="S1065" i="17"/>
  <c r="X1065" i="17" s="1"/>
  <c r="S1071" i="17"/>
  <c r="X1071" i="17" s="1"/>
  <c r="K1037" i="17"/>
  <c r="W1037" i="17" s="1"/>
  <c r="K1055" i="17"/>
  <c r="W1055" i="17" s="1"/>
  <c r="S1055" i="17"/>
  <c r="X1055" i="17" s="1"/>
  <c r="K1051" i="17"/>
  <c r="W1051" i="17" s="1"/>
  <c r="Z1018" i="17"/>
  <c r="K1024" i="17"/>
  <c r="W1024" i="17" s="1"/>
  <c r="S1053" i="17"/>
  <c r="X1053" i="17" s="1"/>
  <c r="P1054" i="17"/>
  <c r="S1054" i="17" s="1"/>
  <c r="X1054" i="17" s="1"/>
  <c r="K1050" i="17"/>
  <c r="W1050" i="17" s="1"/>
  <c r="S1056" i="17"/>
  <c r="X1056" i="17" s="1"/>
  <c r="K1065" i="17"/>
  <c r="W1065" i="17" s="1"/>
  <c r="R1065" i="17"/>
  <c r="K1072" i="17"/>
  <c r="W1072" i="17" s="1"/>
  <c r="W1044" i="17"/>
  <c r="R1035" i="17"/>
  <c r="K1052" i="17"/>
  <c r="W1052" i="17" s="1"/>
  <c r="K1036" i="17"/>
  <c r="W1036" i="17" s="1"/>
  <c r="W1056" i="17"/>
  <c r="S1043" i="17"/>
  <c r="X1043" i="17" s="1"/>
  <c r="W1053" i="17"/>
  <c r="Z1060" i="17"/>
  <c r="K1049" i="17"/>
  <c r="W1049" i="17" s="1"/>
  <c r="K1067" i="17"/>
  <c r="W1067" i="17" s="1"/>
  <c r="Z1061" i="17"/>
  <c r="R1073" i="17"/>
  <c r="S1073" i="17"/>
  <c r="X1073" i="17" s="1"/>
  <c r="W1073" i="17"/>
  <c r="P1072" i="17"/>
  <c r="S1072" i="17" s="1"/>
  <c r="X1072" i="17" s="1"/>
  <c r="R1071" i="17"/>
  <c r="K1071" i="17"/>
  <c r="W1071" i="17" s="1"/>
  <c r="P1070" i="17"/>
  <c r="S1070" i="17" s="1"/>
  <c r="X1070" i="17" s="1"/>
  <c r="W1070" i="17"/>
  <c r="P1069" i="17"/>
  <c r="S1069" i="17" s="1"/>
  <c r="X1069" i="17" s="1"/>
  <c r="P1068" i="17"/>
  <c r="S1068" i="17" s="1"/>
  <c r="X1068" i="17" s="1"/>
  <c r="P1067" i="17"/>
  <c r="S1067" i="17" s="1"/>
  <c r="X1067" i="17" s="1"/>
  <c r="R1066" i="17"/>
  <c r="S1066" i="17"/>
  <c r="X1066" i="17" s="1"/>
  <c r="W1066" i="17"/>
  <c r="P1064" i="17"/>
  <c r="S1064" i="17" s="1"/>
  <c r="X1064" i="17" s="1"/>
  <c r="W1064" i="17"/>
  <c r="K1063" i="17"/>
  <c r="W1063" i="17" s="1"/>
  <c r="P1063" i="17"/>
  <c r="S1063" i="17" s="1"/>
  <c r="X1063" i="17" s="1"/>
  <c r="P1062" i="17"/>
  <c r="S1062" i="17" s="1"/>
  <c r="X1062" i="17" s="1"/>
  <c r="W1062" i="17"/>
  <c r="P1061" i="17"/>
  <c r="S1061" i="17" s="1"/>
  <c r="X1061" i="17" s="1"/>
  <c r="P1060" i="17"/>
  <c r="S1060" i="17" s="1"/>
  <c r="X1060" i="17" s="1"/>
  <c r="Z1059" i="17"/>
  <c r="W1059" i="17"/>
  <c r="O1059" i="17"/>
  <c r="O1058" i="17"/>
  <c r="P1058" i="17" s="1"/>
  <c r="Q1058" i="17"/>
  <c r="O1057" i="17"/>
  <c r="R1057" i="17" s="1"/>
  <c r="R1056" i="17"/>
  <c r="W1057" i="17"/>
  <c r="R1055" i="17"/>
  <c r="W1054" i="17"/>
  <c r="R1053" i="17"/>
  <c r="P1052" i="17"/>
  <c r="S1052" i="17" s="1"/>
  <c r="X1052" i="17" s="1"/>
  <c r="P1051" i="17"/>
  <c r="S1051" i="17" s="1"/>
  <c r="X1051" i="17" s="1"/>
  <c r="P1050" i="17"/>
  <c r="S1050" i="17" s="1"/>
  <c r="X1050" i="17" s="1"/>
  <c r="P1049" i="17"/>
  <c r="S1049" i="17" s="1"/>
  <c r="X1049" i="17" s="1"/>
  <c r="K1045" i="17"/>
  <c r="W1045" i="17" s="1"/>
  <c r="K1020" i="17"/>
  <c r="W1020" i="17" s="1"/>
  <c r="K1022" i="17"/>
  <c r="W1022" i="17" s="1"/>
  <c r="K1030" i="17"/>
  <c r="W1030" i="17" s="1"/>
  <c r="P1017" i="17"/>
  <c r="S1017" i="17" s="1"/>
  <c r="X1017" i="17" s="1"/>
  <c r="K1033" i="17"/>
  <c r="W1033" i="17" s="1"/>
  <c r="S1044" i="17"/>
  <c r="X1044" i="17" s="1"/>
  <c r="R1044" i="17"/>
  <c r="R1043" i="17"/>
  <c r="R1042" i="17"/>
  <c r="K1023" i="17"/>
  <c r="W1023" i="17" s="1"/>
  <c r="K1014" i="17"/>
  <c r="W1014" i="17" s="1"/>
  <c r="K1025" i="17"/>
  <c r="W1025" i="17" s="1"/>
  <c r="K1031" i="17"/>
  <c r="W1031" i="17" s="1"/>
  <c r="Z1042" i="17"/>
  <c r="P1048" i="17"/>
  <c r="S1048" i="17" s="1"/>
  <c r="X1048" i="17" s="1"/>
  <c r="W1048" i="17"/>
  <c r="O1047" i="17"/>
  <c r="P1047" i="17" s="1"/>
  <c r="Q1047" i="17"/>
  <c r="R1046" i="17"/>
  <c r="S1046" i="17"/>
  <c r="X1046" i="17" s="1"/>
  <c r="W1046" i="17"/>
  <c r="P1045" i="17"/>
  <c r="S1045" i="17" s="1"/>
  <c r="X1045" i="17" s="1"/>
  <c r="O1041" i="17"/>
  <c r="P1041" i="17" s="1"/>
  <c r="Q1041" i="17"/>
  <c r="K1043" i="17"/>
  <c r="W1043" i="17" s="1"/>
  <c r="P1040" i="17"/>
  <c r="W1040" i="17"/>
  <c r="P1039" i="17"/>
  <c r="S1039" i="17" s="1"/>
  <c r="X1039" i="17" s="1"/>
  <c r="W1039" i="17"/>
  <c r="P1038" i="17"/>
  <c r="S1038" i="17" s="1"/>
  <c r="X1038" i="17" s="1"/>
  <c r="W1038" i="17"/>
  <c r="P1037" i="17"/>
  <c r="S1037" i="17" s="1"/>
  <c r="X1037" i="17" s="1"/>
  <c r="P1036" i="17"/>
  <c r="S1036" i="17" s="1"/>
  <c r="X1036" i="17" s="1"/>
  <c r="K1035" i="17"/>
  <c r="W1035" i="17" s="1"/>
  <c r="S1035" i="17"/>
  <c r="X1035" i="17" s="1"/>
  <c r="R1034" i="17"/>
  <c r="S1034" i="17"/>
  <c r="X1034" i="17" s="1"/>
  <c r="K1034" i="17"/>
  <c r="W1034" i="17" s="1"/>
  <c r="P1033" i="17"/>
  <c r="S1033" i="17" s="1"/>
  <c r="X1033" i="17" s="1"/>
  <c r="S1032" i="17"/>
  <c r="X1032" i="17" s="1"/>
  <c r="K1032" i="17"/>
  <c r="W1032" i="17" s="1"/>
  <c r="R1032" i="17"/>
  <c r="P1031" i="17"/>
  <c r="S1031" i="17" s="1"/>
  <c r="X1031" i="17" s="1"/>
  <c r="R1030" i="17"/>
  <c r="S1030" i="17"/>
  <c r="X1030" i="17" s="1"/>
  <c r="P1029" i="17"/>
  <c r="S1029" i="17" s="1"/>
  <c r="X1029" i="17" s="1"/>
  <c r="W1029" i="17"/>
  <c r="O1028" i="17"/>
  <c r="P1028" i="17" s="1"/>
  <c r="Q1028" i="17"/>
  <c r="Z1027" i="17"/>
  <c r="W1027" i="17"/>
  <c r="O1027" i="17"/>
  <c r="P1026" i="17"/>
  <c r="S1026" i="17" s="1"/>
  <c r="X1026" i="17" s="1"/>
  <c r="W1026" i="17"/>
  <c r="P1025" i="17"/>
  <c r="S1025" i="17" s="1"/>
  <c r="X1025" i="17" s="1"/>
  <c r="P1024" i="17"/>
  <c r="S1024" i="17" s="1"/>
  <c r="X1024" i="17" s="1"/>
  <c r="P1023" i="17"/>
  <c r="S1023" i="17" s="1"/>
  <c r="X1023" i="17" s="1"/>
  <c r="R1022" i="17"/>
  <c r="S1022" i="17"/>
  <c r="X1022" i="17" s="1"/>
  <c r="Z1021" i="17"/>
  <c r="K1021" i="17"/>
  <c r="W1021" i="17" s="1"/>
  <c r="O1021" i="17"/>
  <c r="P1021" i="17" s="1"/>
  <c r="S1021" i="17" s="1"/>
  <c r="X1021" i="17" s="1"/>
  <c r="P1020" i="17"/>
  <c r="S1020" i="17" s="1"/>
  <c r="X1020" i="17" s="1"/>
  <c r="W1019" i="17"/>
  <c r="P1019" i="17"/>
  <c r="S1019" i="17" s="1"/>
  <c r="X1019" i="17" s="1"/>
  <c r="P1018" i="17"/>
  <c r="S1018" i="17" s="1"/>
  <c r="X1018" i="17" s="1"/>
  <c r="W1017" i="17"/>
  <c r="O1016" i="17"/>
  <c r="P1016" i="17" s="1"/>
  <c r="Q1016" i="17"/>
  <c r="O1015" i="17"/>
  <c r="P1015" i="17" s="1"/>
  <c r="Q1015" i="17"/>
  <c r="P1014" i="17"/>
  <c r="S1014" i="17" s="1"/>
  <c r="X1014" i="17" s="1"/>
  <c r="A195" i="31"/>
  <c r="B195" i="31"/>
  <c r="C195" i="31"/>
  <c r="D195" i="31"/>
  <c r="E195" i="31"/>
  <c r="F195" i="31"/>
  <c r="G195" i="31"/>
  <c r="A196" i="31"/>
  <c r="B196" i="31"/>
  <c r="C196" i="31"/>
  <c r="D196" i="31"/>
  <c r="E196" i="31"/>
  <c r="F196" i="31"/>
  <c r="G196" i="31"/>
  <c r="A197" i="31"/>
  <c r="B197" i="31"/>
  <c r="C197" i="31"/>
  <c r="D197" i="31"/>
  <c r="E197" i="31"/>
  <c r="F197" i="31"/>
  <c r="G197" i="31"/>
  <c r="A198" i="31"/>
  <c r="B198" i="31"/>
  <c r="C198" i="31"/>
  <c r="D198" i="31"/>
  <c r="E198" i="31"/>
  <c r="F198" i="31"/>
  <c r="G198" i="31"/>
  <c r="A199" i="31"/>
  <c r="B199" i="31"/>
  <c r="C199" i="31"/>
  <c r="D199" i="31"/>
  <c r="E199" i="31"/>
  <c r="F199" i="31"/>
  <c r="G199" i="31"/>
  <c r="A200" i="31"/>
  <c r="B200" i="31"/>
  <c r="C200" i="31"/>
  <c r="D200" i="31"/>
  <c r="E200" i="31"/>
  <c r="F200" i="31"/>
  <c r="G200" i="31"/>
  <c r="A201" i="31"/>
  <c r="B201" i="31"/>
  <c r="C201" i="31"/>
  <c r="D201" i="31"/>
  <c r="E201" i="31"/>
  <c r="F201" i="31"/>
  <c r="G201" i="31"/>
  <c r="A202" i="31"/>
  <c r="B202" i="31"/>
  <c r="C202" i="31"/>
  <c r="D202" i="31"/>
  <c r="E202" i="31"/>
  <c r="F202" i="31"/>
  <c r="G202" i="31"/>
  <c r="A203" i="31"/>
  <c r="B203" i="31"/>
  <c r="C203" i="31"/>
  <c r="D203" i="31"/>
  <c r="E203" i="31"/>
  <c r="F203" i="31"/>
  <c r="G203" i="31"/>
  <c r="A204" i="31"/>
  <c r="B204" i="31"/>
  <c r="C204" i="31"/>
  <c r="D204" i="31"/>
  <c r="E204" i="31"/>
  <c r="F204" i="31"/>
  <c r="G204" i="31"/>
  <c r="A205" i="31"/>
  <c r="B205" i="31"/>
  <c r="C205" i="31"/>
  <c r="D205" i="31"/>
  <c r="E205" i="31"/>
  <c r="F205" i="31"/>
  <c r="G205" i="31"/>
  <c r="A206" i="31"/>
  <c r="B206" i="31"/>
  <c r="C206" i="31"/>
  <c r="D206" i="31"/>
  <c r="E206" i="31"/>
  <c r="F206" i="31"/>
  <c r="G206" i="31"/>
  <c r="A207" i="31"/>
  <c r="B207" i="31"/>
  <c r="C207" i="31"/>
  <c r="D207" i="31"/>
  <c r="E207" i="31"/>
  <c r="F207" i="31"/>
  <c r="G207" i="31"/>
  <c r="A208" i="31"/>
  <c r="B208" i="31"/>
  <c r="C208" i="31"/>
  <c r="D208" i="31"/>
  <c r="E208" i="31"/>
  <c r="F208" i="31"/>
  <c r="G208" i="31"/>
  <c r="A209" i="31"/>
  <c r="B209" i="31"/>
  <c r="C209" i="31"/>
  <c r="D209" i="31"/>
  <c r="E209" i="31"/>
  <c r="F209" i="31"/>
  <c r="G209" i="31"/>
  <c r="Y874" i="17"/>
  <c r="T874" i="17"/>
  <c r="L874" i="17"/>
  <c r="L1013" i="17"/>
  <c r="Y1013" i="17"/>
  <c r="T1013" i="17"/>
  <c r="G194" i="31"/>
  <c r="F194" i="31"/>
  <c r="E194" i="31"/>
  <c r="D194" i="31"/>
  <c r="C194" i="31"/>
  <c r="B194" i="31"/>
  <c r="A194" i="31"/>
  <c r="G193" i="31"/>
  <c r="F193" i="31"/>
  <c r="E193" i="31"/>
  <c r="D193" i="31"/>
  <c r="C193" i="31"/>
  <c r="B193" i="31"/>
  <c r="A193" i="31"/>
  <c r="G192" i="31"/>
  <c r="F192" i="31"/>
  <c r="E192" i="31"/>
  <c r="D192" i="31"/>
  <c r="C192" i="31"/>
  <c r="B192" i="31"/>
  <c r="A192" i="31"/>
  <c r="G191" i="31"/>
  <c r="F191" i="31"/>
  <c r="E191" i="31"/>
  <c r="D191" i="31"/>
  <c r="C191" i="31"/>
  <c r="B191" i="31"/>
  <c r="A191" i="31"/>
  <c r="G190" i="31"/>
  <c r="F190" i="31"/>
  <c r="E190" i="31"/>
  <c r="D190" i="31"/>
  <c r="C190" i="31"/>
  <c r="B190" i="31"/>
  <c r="A190" i="31"/>
  <c r="G189" i="31"/>
  <c r="F189" i="31"/>
  <c r="E189" i="31"/>
  <c r="D189" i="31"/>
  <c r="C189" i="31"/>
  <c r="B189" i="31"/>
  <c r="A189" i="31"/>
  <c r="G188" i="31"/>
  <c r="F188" i="31"/>
  <c r="E188" i="31"/>
  <c r="D188" i="31"/>
  <c r="C188" i="31"/>
  <c r="B188" i="31"/>
  <c r="A188" i="31"/>
  <c r="G187" i="31"/>
  <c r="F187" i="31"/>
  <c r="E187" i="31"/>
  <c r="D187" i="31"/>
  <c r="C187" i="31"/>
  <c r="B187" i="31"/>
  <c r="A187" i="31"/>
  <c r="G186" i="31"/>
  <c r="F186" i="31"/>
  <c r="E186" i="31"/>
  <c r="D186" i="31"/>
  <c r="C186" i="31"/>
  <c r="B186" i="31"/>
  <c r="A186" i="31"/>
  <c r="G185" i="31"/>
  <c r="F185" i="31"/>
  <c r="E185" i="31"/>
  <c r="D185" i="31"/>
  <c r="C185" i="31"/>
  <c r="B185" i="31"/>
  <c r="A185" i="31"/>
  <c r="G184" i="31"/>
  <c r="F184" i="31"/>
  <c r="E184" i="31"/>
  <c r="D184" i="31"/>
  <c r="C184" i="31"/>
  <c r="B184" i="31"/>
  <c r="A184" i="31"/>
  <c r="G183" i="31"/>
  <c r="F183" i="31"/>
  <c r="E183" i="31"/>
  <c r="D183" i="31"/>
  <c r="C183" i="31"/>
  <c r="B183" i="31"/>
  <c r="A183" i="31"/>
  <c r="G182" i="31"/>
  <c r="F182" i="31"/>
  <c r="E182" i="31"/>
  <c r="D182" i="31"/>
  <c r="C182" i="31"/>
  <c r="B182" i="31"/>
  <c r="A182" i="31"/>
  <c r="G181" i="31"/>
  <c r="F181" i="31"/>
  <c r="E181" i="31"/>
  <c r="D181" i="31"/>
  <c r="C181" i="31"/>
  <c r="B181" i="31"/>
  <c r="A181" i="31"/>
  <c r="G180" i="31"/>
  <c r="F180" i="31"/>
  <c r="E180" i="31"/>
  <c r="D180" i="31"/>
  <c r="C180" i="31"/>
  <c r="B180" i="31"/>
  <c r="A180" i="31"/>
  <c r="G179" i="31"/>
  <c r="F179" i="31"/>
  <c r="E179" i="31"/>
  <c r="D179" i="31"/>
  <c r="C179" i="31"/>
  <c r="B179" i="31"/>
  <c r="A179" i="31"/>
  <c r="G178" i="31"/>
  <c r="F178" i="31"/>
  <c r="E178" i="31"/>
  <c r="D178" i="31"/>
  <c r="C178" i="31"/>
  <c r="B178" i="31"/>
  <c r="A178" i="31"/>
  <c r="G177" i="31"/>
  <c r="F177" i="31"/>
  <c r="E177" i="31"/>
  <c r="D177" i="31"/>
  <c r="C177" i="31"/>
  <c r="B177" i="31"/>
  <c r="A177" i="31"/>
  <c r="G176" i="31"/>
  <c r="F176" i="31"/>
  <c r="E176" i="31"/>
  <c r="D176" i="31"/>
  <c r="C176" i="31"/>
  <c r="B176" i="31"/>
  <c r="A176" i="31"/>
  <c r="G175" i="31"/>
  <c r="F175" i="31"/>
  <c r="E175" i="31"/>
  <c r="D175" i="31"/>
  <c r="C175" i="31"/>
  <c r="B175" i="31"/>
  <c r="A175" i="31"/>
  <c r="G174" i="31"/>
  <c r="F174" i="31"/>
  <c r="E174" i="31"/>
  <c r="D174" i="31"/>
  <c r="C174" i="31"/>
  <c r="B174" i="31"/>
  <c r="A174" i="31"/>
  <c r="G173" i="31"/>
  <c r="F173" i="31"/>
  <c r="E173" i="31"/>
  <c r="D173" i="31"/>
  <c r="C173" i="31"/>
  <c r="B173" i="31"/>
  <c r="A173" i="31"/>
  <c r="G172" i="31"/>
  <c r="F172" i="31"/>
  <c r="E172" i="31"/>
  <c r="D172" i="31"/>
  <c r="C172" i="31"/>
  <c r="B172" i="31"/>
  <c r="A172" i="31"/>
  <c r="G171" i="31"/>
  <c r="F171" i="31"/>
  <c r="E171" i="31"/>
  <c r="D171" i="31"/>
  <c r="C171" i="31"/>
  <c r="B171" i="31"/>
  <c r="A171" i="31"/>
  <c r="G170" i="31"/>
  <c r="F170" i="31"/>
  <c r="E170" i="31"/>
  <c r="D170" i="31"/>
  <c r="C170" i="31"/>
  <c r="B170" i="31"/>
  <c r="A170" i="31"/>
  <c r="G169" i="31"/>
  <c r="F169" i="31"/>
  <c r="E169" i="31"/>
  <c r="D169" i="31"/>
  <c r="C169" i="31"/>
  <c r="B169" i="31"/>
  <c r="A169" i="31"/>
  <c r="G168" i="31"/>
  <c r="F168" i="31"/>
  <c r="E168" i="31"/>
  <c r="D168" i="31"/>
  <c r="C168" i="31"/>
  <c r="B168" i="31"/>
  <c r="A168" i="31"/>
  <c r="G167" i="31"/>
  <c r="F167" i="31"/>
  <c r="E167" i="31"/>
  <c r="D167" i="31"/>
  <c r="C167" i="31"/>
  <c r="B167" i="31"/>
  <c r="A167" i="31"/>
  <c r="G166" i="31"/>
  <c r="F166" i="31"/>
  <c r="E166" i="31"/>
  <c r="D166" i="31"/>
  <c r="C166" i="31"/>
  <c r="B166" i="31"/>
  <c r="A166" i="31"/>
  <c r="G165" i="31"/>
  <c r="F165" i="31"/>
  <c r="E165" i="31"/>
  <c r="D165" i="31"/>
  <c r="C165" i="31"/>
  <c r="B165" i="31"/>
  <c r="A165" i="31"/>
  <c r="G164" i="31"/>
  <c r="F164" i="31"/>
  <c r="E164" i="31"/>
  <c r="D164" i="31"/>
  <c r="C164" i="31"/>
  <c r="B164" i="31"/>
  <c r="A164" i="31"/>
  <c r="G163" i="31"/>
  <c r="F163" i="31"/>
  <c r="E163" i="31"/>
  <c r="D163" i="31"/>
  <c r="C163" i="31"/>
  <c r="B163" i="31"/>
  <c r="A163" i="31"/>
  <c r="G162" i="31"/>
  <c r="F162" i="31"/>
  <c r="E162" i="31"/>
  <c r="D162" i="31"/>
  <c r="C162" i="31"/>
  <c r="B162" i="31"/>
  <c r="A162" i="31"/>
  <c r="G161" i="31"/>
  <c r="F161" i="31"/>
  <c r="E161" i="31"/>
  <c r="D161" i="31"/>
  <c r="C161" i="31"/>
  <c r="B161" i="31"/>
  <c r="A161" i="31"/>
  <c r="G160" i="31"/>
  <c r="F160" i="31"/>
  <c r="E160" i="31"/>
  <c r="D160" i="31"/>
  <c r="C160" i="31"/>
  <c r="B160" i="31"/>
  <c r="A160" i="31"/>
  <c r="G159" i="31"/>
  <c r="F159" i="31"/>
  <c r="E159" i="31"/>
  <c r="D159" i="31"/>
  <c r="C159" i="31"/>
  <c r="B159" i="31"/>
  <c r="A159" i="31"/>
  <c r="G158" i="31"/>
  <c r="F158" i="31"/>
  <c r="E158" i="31"/>
  <c r="D158" i="31"/>
  <c r="C158" i="31"/>
  <c r="B158" i="31"/>
  <c r="A158" i="31"/>
  <c r="G157" i="31"/>
  <c r="F157" i="31"/>
  <c r="E157" i="31"/>
  <c r="D157" i="31"/>
  <c r="C157" i="31"/>
  <c r="B157" i="31"/>
  <c r="A157" i="31"/>
  <c r="G156" i="31"/>
  <c r="F156" i="31"/>
  <c r="E156" i="31"/>
  <c r="D156" i="31"/>
  <c r="C156" i="31"/>
  <c r="B156" i="31"/>
  <c r="A156" i="31"/>
  <c r="G155" i="31"/>
  <c r="F155" i="31"/>
  <c r="E155" i="31"/>
  <c r="D155" i="31"/>
  <c r="C155" i="31"/>
  <c r="B155" i="31"/>
  <c r="A155" i="31"/>
  <c r="G154" i="31"/>
  <c r="F154" i="31"/>
  <c r="E154" i="31"/>
  <c r="D154" i="31"/>
  <c r="C154" i="31"/>
  <c r="B154" i="31"/>
  <c r="A154" i="31"/>
  <c r="G153" i="31"/>
  <c r="F153" i="31"/>
  <c r="E153" i="31"/>
  <c r="D153" i="31"/>
  <c r="C153" i="31"/>
  <c r="B153" i="31"/>
  <c r="A153" i="31"/>
  <c r="G152" i="31"/>
  <c r="F152" i="31"/>
  <c r="E152" i="31"/>
  <c r="D152" i="31"/>
  <c r="C152" i="31"/>
  <c r="B152" i="31"/>
  <c r="A152" i="31"/>
  <c r="G151" i="31"/>
  <c r="F151" i="31"/>
  <c r="E151" i="31"/>
  <c r="D151" i="31"/>
  <c r="C151" i="31"/>
  <c r="B151" i="31"/>
  <c r="A151" i="31"/>
  <c r="G150" i="31"/>
  <c r="F150" i="31"/>
  <c r="E150" i="31"/>
  <c r="D150" i="31"/>
  <c r="C150" i="31"/>
  <c r="B150" i="31"/>
  <c r="A150" i="31"/>
  <c r="G149" i="31"/>
  <c r="F149" i="31"/>
  <c r="E149" i="31"/>
  <c r="D149" i="31"/>
  <c r="C149" i="31"/>
  <c r="B149" i="31"/>
  <c r="A149" i="31"/>
  <c r="G148" i="31"/>
  <c r="F148" i="31"/>
  <c r="E148" i="31"/>
  <c r="D148" i="31"/>
  <c r="C148" i="31"/>
  <c r="B148" i="31"/>
  <c r="A148" i="31"/>
  <c r="G147" i="31"/>
  <c r="F147" i="31"/>
  <c r="E147" i="31"/>
  <c r="D147" i="31"/>
  <c r="C147" i="31"/>
  <c r="B147" i="31"/>
  <c r="A147" i="31"/>
  <c r="G146" i="31"/>
  <c r="F146" i="31"/>
  <c r="E146" i="31"/>
  <c r="D146" i="31"/>
  <c r="C146" i="31"/>
  <c r="B146" i="31"/>
  <c r="A146" i="31"/>
  <c r="G145" i="31"/>
  <c r="F145" i="31"/>
  <c r="E145" i="31"/>
  <c r="D145" i="31"/>
  <c r="C145" i="31"/>
  <c r="B145" i="31"/>
  <c r="A145" i="31"/>
  <c r="G144" i="31"/>
  <c r="F144" i="31"/>
  <c r="E144" i="31"/>
  <c r="D144" i="31"/>
  <c r="C144" i="31"/>
  <c r="B144" i="31"/>
  <c r="A144" i="31"/>
  <c r="G143" i="31"/>
  <c r="F143" i="31"/>
  <c r="E143" i="31"/>
  <c r="D143" i="31"/>
  <c r="C143" i="31"/>
  <c r="B143" i="31"/>
  <c r="A143" i="31"/>
  <c r="G142" i="31"/>
  <c r="F142" i="31"/>
  <c r="E142" i="31"/>
  <c r="D142" i="31"/>
  <c r="C142" i="31"/>
  <c r="B142" i="31"/>
  <c r="A142" i="31"/>
  <c r="G141" i="31"/>
  <c r="F141" i="31"/>
  <c r="E141" i="31"/>
  <c r="D141" i="31"/>
  <c r="C141" i="31"/>
  <c r="B141" i="31"/>
  <c r="A141" i="31"/>
  <c r="G140" i="31"/>
  <c r="F140" i="31"/>
  <c r="E140" i="31"/>
  <c r="D140" i="31"/>
  <c r="C140" i="31"/>
  <c r="B140" i="31"/>
  <c r="A140" i="31"/>
  <c r="G139" i="31"/>
  <c r="F139" i="31"/>
  <c r="E139" i="31"/>
  <c r="D139" i="31"/>
  <c r="C139" i="31"/>
  <c r="B139" i="31"/>
  <c r="A139" i="31"/>
  <c r="G138" i="31"/>
  <c r="F138" i="31"/>
  <c r="E138" i="31"/>
  <c r="D138" i="31"/>
  <c r="C138" i="31"/>
  <c r="B138" i="31"/>
  <c r="A138" i="31"/>
  <c r="G137" i="31"/>
  <c r="F137" i="31"/>
  <c r="E137" i="31"/>
  <c r="D137" i="31"/>
  <c r="C137" i="31"/>
  <c r="B137" i="31"/>
  <c r="A137" i="31"/>
  <c r="G136" i="31"/>
  <c r="F136" i="31"/>
  <c r="E136" i="31"/>
  <c r="D136" i="31"/>
  <c r="C136" i="31"/>
  <c r="B136" i="31"/>
  <c r="A136" i="31"/>
  <c r="G135" i="31"/>
  <c r="F135" i="31"/>
  <c r="E135" i="31"/>
  <c r="D135" i="31"/>
  <c r="C135" i="31"/>
  <c r="B135" i="31"/>
  <c r="A135" i="31"/>
  <c r="G134" i="31"/>
  <c r="F134" i="31"/>
  <c r="E134" i="31"/>
  <c r="D134" i="31"/>
  <c r="C134" i="31"/>
  <c r="B134" i="31"/>
  <c r="A134" i="31"/>
  <c r="G133" i="31"/>
  <c r="F133" i="31"/>
  <c r="E133" i="31"/>
  <c r="D133" i="31"/>
  <c r="C133" i="31"/>
  <c r="B133" i="31"/>
  <c r="A133" i="31"/>
  <c r="G132" i="31"/>
  <c r="F132" i="31"/>
  <c r="E132" i="31"/>
  <c r="D132" i="31"/>
  <c r="C132" i="31"/>
  <c r="B132" i="31"/>
  <c r="A132" i="31"/>
  <c r="G131" i="31"/>
  <c r="F131" i="31"/>
  <c r="E131" i="31"/>
  <c r="D131" i="31"/>
  <c r="C131" i="31"/>
  <c r="B131" i="31"/>
  <c r="A131" i="31"/>
  <c r="G130" i="31"/>
  <c r="F130" i="31"/>
  <c r="E130" i="31"/>
  <c r="D130" i="31"/>
  <c r="C130" i="31"/>
  <c r="B130" i="31"/>
  <c r="A130" i="31"/>
  <c r="G129" i="31"/>
  <c r="F129" i="31"/>
  <c r="E129" i="31"/>
  <c r="D129" i="31"/>
  <c r="C129" i="31"/>
  <c r="B129" i="31"/>
  <c r="A129" i="31"/>
  <c r="G128" i="31"/>
  <c r="F128" i="31"/>
  <c r="E128" i="31"/>
  <c r="D128" i="31"/>
  <c r="C128" i="31"/>
  <c r="B128" i="31"/>
  <c r="A128" i="31"/>
  <c r="G127" i="31"/>
  <c r="F127" i="31"/>
  <c r="E127" i="31"/>
  <c r="D127" i="31"/>
  <c r="C127" i="31"/>
  <c r="B127" i="31"/>
  <c r="A127" i="31"/>
  <c r="G126" i="31"/>
  <c r="F126" i="31"/>
  <c r="E126" i="31"/>
  <c r="D126" i="31"/>
  <c r="C126" i="31"/>
  <c r="B126" i="31"/>
  <c r="A126" i="31"/>
  <c r="G125" i="31"/>
  <c r="F125" i="31"/>
  <c r="E125" i="31"/>
  <c r="D125" i="31"/>
  <c r="C125" i="31"/>
  <c r="B125" i="31"/>
  <c r="A125" i="31"/>
  <c r="G124" i="31"/>
  <c r="F124" i="31"/>
  <c r="E124" i="31"/>
  <c r="D124" i="31"/>
  <c r="C124" i="31"/>
  <c r="B124" i="31"/>
  <c r="A124" i="31"/>
  <c r="G123" i="31"/>
  <c r="F123" i="31"/>
  <c r="E123" i="31"/>
  <c r="D123" i="31"/>
  <c r="C123" i="31"/>
  <c r="B123" i="31"/>
  <c r="A123" i="31"/>
  <c r="G122" i="31"/>
  <c r="F122" i="31"/>
  <c r="E122" i="31"/>
  <c r="D122" i="31"/>
  <c r="C122" i="31"/>
  <c r="B122" i="31"/>
  <c r="A122" i="31"/>
  <c r="G121" i="31"/>
  <c r="F121" i="31"/>
  <c r="E121" i="31"/>
  <c r="D121" i="31"/>
  <c r="C121" i="31"/>
  <c r="B121" i="31"/>
  <c r="A121" i="31"/>
  <c r="G120" i="31"/>
  <c r="F120" i="31"/>
  <c r="E120" i="31"/>
  <c r="D120" i="31"/>
  <c r="C120" i="31"/>
  <c r="B120" i="31"/>
  <c r="A120" i="31"/>
  <c r="G119" i="31"/>
  <c r="F119" i="31"/>
  <c r="E119" i="31"/>
  <c r="D119" i="31"/>
  <c r="C119" i="31"/>
  <c r="B119" i="31"/>
  <c r="A119" i="31"/>
  <c r="G118" i="31"/>
  <c r="F118" i="31"/>
  <c r="E118" i="31"/>
  <c r="D118" i="31"/>
  <c r="C118" i="31"/>
  <c r="B118" i="31"/>
  <c r="A118" i="31"/>
  <c r="G117" i="31"/>
  <c r="F117" i="31"/>
  <c r="E117" i="31"/>
  <c r="D117" i="31"/>
  <c r="C117" i="31"/>
  <c r="B117" i="31"/>
  <c r="A117" i="31"/>
  <c r="G116" i="31"/>
  <c r="F116" i="31"/>
  <c r="E116" i="31"/>
  <c r="D116" i="31"/>
  <c r="C116" i="31"/>
  <c r="B116" i="31"/>
  <c r="A116" i="31"/>
  <c r="G115" i="31"/>
  <c r="F115" i="31"/>
  <c r="E115" i="31"/>
  <c r="D115" i="31"/>
  <c r="C115" i="31"/>
  <c r="B115" i="31"/>
  <c r="A115" i="31"/>
  <c r="G114" i="31"/>
  <c r="F114" i="31"/>
  <c r="E114" i="31"/>
  <c r="D114" i="31"/>
  <c r="C114" i="31"/>
  <c r="B114" i="31"/>
  <c r="A114" i="31"/>
  <c r="G113" i="31"/>
  <c r="F113" i="31"/>
  <c r="E113" i="31"/>
  <c r="D113" i="31"/>
  <c r="C113" i="31"/>
  <c r="B113" i="31"/>
  <c r="A113" i="31"/>
  <c r="G112" i="31"/>
  <c r="F112" i="31"/>
  <c r="E112" i="31"/>
  <c r="D112" i="31"/>
  <c r="C112" i="31"/>
  <c r="B112" i="31"/>
  <c r="A112" i="31"/>
  <c r="G111" i="31"/>
  <c r="F111" i="31"/>
  <c r="E111" i="31"/>
  <c r="D111" i="31"/>
  <c r="C111" i="31"/>
  <c r="B111" i="31"/>
  <c r="A111" i="31"/>
  <c r="G110" i="31"/>
  <c r="F110" i="31"/>
  <c r="E110" i="31"/>
  <c r="D110" i="31"/>
  <c r="C110" i="31"/>
  <c r="B110" i="31"/>
  <c r="A110" i="31"/>
  <c r="G109" i="31"/>
  <c r="F109" i="31"/>
  <c r="E109" i="31"/>
  <c r="D109" i="31"/>
  <c r="C109" i="31"/>
  <c r="B109" i="31"/>
  <c r="A109" i="31"/>
  <c r="G108" i="31"/>
  <c r="F108" i="31"/>
  <c r="E108" i="31"/>
  <c r="D108" i="31"/>
  <c r="C108" i="31"/>
  <c r="B108" i="31"/>
  <c r="A108" i="31"/>
  <c r="G107" i="31"/>
  <c r="F107" i="31"/>
  <c r="E107" i="31"/>
  <c r="D107" i="31"/>
  <c r="C107" i="31"/>
  <c r="B107" i="31"/>
  <c r="A107" i="31"/>
  <c r="G106" i="31"/>
  <c r="F106" i="31"/>
  <c r="E106" i="31"/>
  <c r="D106" i="31"/>
  <c r="C106" i="31"/>
  <c r="B106" i="31"/>
  <c r="A106" i="31"/>
  <c r="G105" i="31"/>
  <c r="F105" i="31"/>
  <c r="E105" i="31"/>
  <c r="D105" i="31"/>
  <c r="C105" i="31"/>
  <c r="B105" i="31"/>
  <c r="A105" i="31"/>
  <c r="G104" i="31"/>
  <c r="F104" i="31"/>
  <c r="E104" i="31"/>
  <c r="D104" i="31"/>
  <c r="C104" i="31"/>
  <c r="B104" i="31"/>
  <c r="A104" i="31"/>
  <c r="G103" i="31"/>
  <c r="F103" i="31"/>
  <c r="E103" i="31"/>
  <c r="D103" i="31"/>
  <c r="C103" i="31"/>
  <c r="B103" i="31"/>
  <c r="A103" i="31"/>
  <c r="G102" i="31"/>
  <c r="F102" i="31"/>
  <c r="E102" i="31"/>
  <c r="D102" i="31"/>
  <c r="C102" i="31"/>
  <c r="B102" i="31"/>
  <c r="A102" i="31"/>
  <c r="G101" i="31"/>
  <c r="F101" i="31"/>
  <c r="E101" i="31"/>
  <c r="D101" i="31"/>
  <c r="C101" i="31"/>
  <c r="B101" i="31"/>
  <c r="A101" i="31"/>
  <c r="G100" i="31"/>
  <c r="F100" i="31"/>
  <c r="E100" i="31"/>
  <c r="D100" i="31"/>
  <c r="C100" i="31"/>
  <c r="B100" i="31"/>
  <c r="A100" i="31"/>
  <c r="G99" i="31"/>
  <c r="F99" i="31"/>
  <c r="E99" i="31"/>
  <c r="D99" i="31"/>
  <c r="C99" i="31"/>
  <c r="B99" i="31"/>
  <c r="A99" i="31"/>
  <c r="G98" i="31"/>
  <c r="F98" i="31"/>
  <c r="E98" i="31"/>
  <c r="D98" i="31"/>
  <c r="C98" i="31"/>
  <c r="B98" i="31"/>
  <c r="A98" i="31"/>
  <c r="G97" i="31"/>
  <c r="F97" i="31"/>
  <c r="E97" i="31"/>
  <c r="D97" i="31"/>
  <c r="C97" i="31"/>
  <c r="B97" i="31"/>
  <c r="A97" i="31"/>
  <c r="G96" i="31"/>
  <c r="F96" i="31"/>
  <c r="E96" i="31"/>
  <c r="D96" i="31"/>
  <c r="C96" i="31"/>
  <c r="B96" i="31"/>
  <c r="A96" i="31"/>
  <c r="G95" i="31"/>
  <c r="F95" i="31"/>
  <c r="E95" i="31"/>
  <c r="D95" i="31"/>
  <c r="C95" i="31"/>
  <c r="B95" i="31"/>
  <c r="A95" i="31"/>
  <c r="G94" i="31"/>
  <c r="F94" i="31"/>
  <c r="E94" i="31"/>
  <c r="D94" i="31"/>
  <c r="C94" i="31"/>
  <c r="B94" i="31"/>
  <c r="A94" i="31"/>
  <c r="G93" i="31"/>
  <c r="F93" i="31"/>
  <c r="E93" i="31"/>
  <c r="D93" i="31"/>
  <c r="C93" i="31"/>
  <c r="B93" i="31"/>
  <c r="A93" i="31"/>
  <c r="G92" i="31"/>
  <c r="F92" i="31"/>
  <c r="E92" i="31"/>
  <c r="D92" i="31"/>
  <c r="C92" i="31"/>
  <c r="B92" i="31"/>
  <c r="A92" i="31"/>
  <c r="G91" i="31"/>
  <c r="F91" i="31"/>
  <c r="E91" i="31"/>
  <c r="D91" i="31"/>
  <c r="C91" i="31"/>
  <c r="B91" i="31"/>
  <c r="A91" i="31"/>
  <c r="G90" i="31"/>
  <c r="F90" i="31"/>
  <c r="E90" i="31"/>
  <c r="D90" i="31"/>
  <c r="C90" i="31"/>
  <c r="B90" i="31"/>
  <c r="A90" i="31"/>
  <c r="G89" i="31"/>
  <c r="F89" i="31"/>
  <c r="E89" i="31"/>
  <c r="D89" i="31"/>
  <c r="C89" i="31"/>
  <c r="B89" i="31"/>
  <c r="A89" i="31"/>
  <c r="G88" i="31"/>
  <c r="F88" i="31"/>
  <c r="E88" i="31"/>
  <c r="D88" i="31"/>
  <c r="C88" i="31"/>
  <c r="B88" i="31"/>
  <c r="A88" i="31"/>
  <c r="G87" i="31"/>
  <c r="F87" i="31"/>
  <c r="E87" i="31"/>
  <c r="D87" i="31"/>
  <c r="C87" i="31"/>
  <c r="B87" i="31"/>
  <c r="A87" i="31"/>
  <c r="G86" i="31"/>
  <c r="F86" i="31"/>
  <c r="E86" i="31"/>
  <c r="D86" i="31"/>
  <c r="C86" i="31"/>
  <c r="B86" i="31"/>
  <c r="A86" i="31"/>
  <c r="G85" i="31"/>
  <c r="F85" i="31"/>
  <c r="E85" i="31"/>
  <c r="D85" i="31"/>
  <c r="C85" i="31"/>
  <c r="B85" i="31"/>
  <c r="A85" i="31"/>
  <c r="G84" i="31"/>
  <c r="F84" i="31"/>
  <c r="E84" i="31"/>
  <c r="D84" i="31"/>
  <c r="C84" i="31"/>
  <c r="B84" i="31"/>
  <c r="A84" i="31"/>
  <c r="G83" i="31"/>
  <c r="F83" i="31"/>
  <c r="E83" i="31"/>
  <c r="D83" i="31"/>
  <c r="C83" i="31"/>
  <c r="B83" i="31"/>
  <c r="A83" i="31"/>
  <c r="G82" i="31"/>
  <c r="F82" i="31"/>
  <c r="E82" i="31"/>
  <c r="D82" i="31"/>
  <c r="C82" i="31"/>
  <c r="B82" i="31"/>
  <c r="A82" i="31"/>
  <c r="G81" i="31"/>
  <c r="F81" i="31"/>
  <c r="E81" i="31"/>
  <c r="D81" i="31"/>
  <c r="C81" i="31"/>
  <c r="B81" i="31"/>
  <c r="A81" i="31"/>
  <c r="G80" i="31"/>
  <c r="F80" i="31"/>
  <c r="E80" i="31"/>
  <c r="D80" i="31"/>
  <c r="C80" i="31"/>
  <c r="B80" i="31"/>
  <c r="A80" i="31"/>
  <c r="G79" i="31"/>
  <c r="F79" i="31"/>
  <c r="E79" i="31"/>
  <c r="D79" i="31"/>
  <c r="C79" i="31"/>
  <c r="B79" i="31"/>
  <c r="A79" i="31"/>
  <c r="G78" i="31"/>
  <c r="F78" i="31"/>
  <c r="E78" i="31"/>
  <c r="D78" i="31"/>
  <c r="C78" i="31"/>
  <c r="B78" i="31"/>
  <c r="A78" i="31"/>
  <c r="G77" i="31"/>
  <c r="F77" i="31"/>
  <c r="E77" i="31"/>
  <c r="D77" i="31"/>
  <c r="C77" i="31"/>
  <c r="B77" i="31"/>
  <c r="A77" i="31"/>
  <c r="G76" i="31"/>
  <c r="F76" i="31"/>
  <c r="E76" i="31"/>
  <c r="D76" i="31"/>
  <c r="C76" i="31"/>
  <c r="B76" i="31"/>
  <c r="A76" i="31"/>
  <c r="G75" i="31"/>
  <c r="F75" i="31"/>
  <c r="E75" i="31"/>
  <c r="D75" i="31"/>
  <c r="C75" i="31"/>
  <c r="B75" i="31"/>
  <c r="A75" i="31"/>
  <c r="G74" i="31"/>
  <c r="F74" i="31"/>
  <c r="E74" i="31"/>
  <c r="D74" i="31"/>
  <c r="C74" i="31"/>
  <c r="B74" i="31"/>
  <c r="A74" i="31"/>
  <c r="G73" i="31"/>
  <c r="F73" i="31"/>
  <c r="E73" i="31"/>
  <c r="D73" i="31"/>
  <c r="C73" i="31"/>
  <c r="B73" i="31"/>
  <c r="A73" i="31"/>
  <c r="G72" i="31"/>
  <c r="F72" i="31"/>
  <c r="E72" i="31"/>
  <c r="D72" i="31"/>
  <c r="C72" i="31"/>
  <c r="B72" i="31"/>
  <c r="A72" i="31"/>
  <c r="G71" i="31"/>
  <c r="F71" i="31"/>
  <c r="E71" i="31"/>
  <c r="D71" i="31"/>
  <c r="C71" i="31"/>
  <c r="B71" i="31"/>
  <c r="A71" i="31"/>
  <c r="G70" i="31"/>
  <c r="F70" i="31"/>
  <c r="E70" i="31"/>
  <c r="D70" i="31"/>
  <c r="C70" i="31"/>
  <c r="B70" i="31"/>
  <c r="A70" i="31"/>
  <c r="G69" i="31"/>
  <c r="F69" i="31"/>
  <c r="E69" i="31"/>
  <c r="D69" i="31"/>
  <c r="C69" i="31"/>
  <c r="B69" i="31"/>
  <c r="A69" i="31"/>
  <c r="G68" i="31"/>
  <c r="F68" i="31"/>
  <c r="E68" i="31"/>
  <c r="D68" i="31"/>
  <c r="C68" i="31"/>
  <c r="B68" i="31"/>
  <c r="A68" i="31"/>
  <c r="G67" i="31"/>
  <c r="F67" i="31"/>
  <c r="E67" i="31"/>
  <c r="D67" i="31"/>
  <c r="C67" i="31"/>
  <c r="B67" i="31"/>
  <c r="A67" i="31"/>
  <c r="G66" i="31"/>
  <c r="F66" i="31"/>
  <c r="E66" i="31"/>
  <c r="D66" i="31"/>
  <c r="C66" i="31"/>
  <c r="B66" i="31"/>
  <c r="A66" i="31"/>
  <c r="G65" i="31"/>
  <c r="F65" i="31"/>
  <c r="E65" i="31"/>
  <c r="D65" i="31"/>
  <c r="C65" i="31"/>
  <c r="B65" i="31"/>
  <c r="A65" i="31"/>
  <c r="G64" i="31"/>
  <c r="F64" i="31"/>
  <c r="E64" i="31"/>
  <c r="D64" i="31"/>
  <c r="C64" i="31"/>
  <c r="B64" i="31"/>
  <c r="A64" i="31"/>
  <c r="G63" i="31"/>
  <c r="F63" i="31"/>
  <c r="E63" i="31"/>
  <c r="D63" i="31"/>
  <c r="C63" i="31"/>
  <c r="B63" i="31"/>
  <c r="A63" i="31"/>
  <c r="G62" i="31"/>
  <c r="F62" i="31"/>
  <c r="E62" i="31"/>
  <c r="D62" i="31"/>
  <c r="C62" i="31"/>
  <c r="B62" i="31"/>
  <c r="A62" i="31"/>
  <c r="G61" i="31"/>
  <c r="F61" i="31"/>
  <c r="E61" i="31"/>
  <c r="D61" i="31"/>
  <c r="C61" i="31"/>
  <c r="B61" i="31"/>
  <c r="A61" i="31"/>
  <c r="G60" i="31"/>
  <c r="F60" i="31"/>
  <c r="E60" i="31"/>
  <c r="D60" i="31"/>
  <c r="C60" i="31"/>
  <c r="B60" i="31"/>
  <c r="A60" i="31"/>
  <c r="G59" i="31"/>
  <c r="F59" i="31"/>
  <c r="E59" i="31"/>
  <c r="D59" i="31"/>
  <c r="C59" i="31"/>
  <c r="B59" i="31"/>
  <c r="A59" i="31"/>
  <c r="G58" i="31"/>
  <c r="F58" i="31"/>
  <c r="E58" i="31"/>
  <c r="D58" i="31"/>
  <c r="C58" i="31"/>
  <c r="B58" i="31"/>
  <c r="A58" i="31"/>
  <c r="G57" i="31"/>
  <c r="F57" i="31"/>
  <c r="E57" i="31"/>
  <c r="D57" i="31"/>
  <c r="C57" i="31"/>
  <c r="B57" i="31"/>
  <c r="A57" i="31"/>
  <c r="G56" i="31"/>
  <c r="F56" i="31"/>
  <c r="E56" i="31"/>
  <c r="D56" i="31"/>
  <c r="C56" i="31"/>
  <c r="B56" i="31"/>
  <c r="A56" i="31"/>
  <c r="G55" i="31"/>
  <c r="F55" i="31"/>
  <c r="E55" i="31"/>
  <c r="D55" i="31"/>
  <c r="C55" i="31"/>
  <c r="B55" i="31"/>
  <c r="A55" i="31"/>
  <c r="G54" i="31"/>
  <c r="F54" i="31"/>
  <c r="E54" i="31"/>
  <c r="D54" i="31"/>
  <c r="C54" i="31"/>
  <c r="B54" i="31"/>
  <c r="A54" i="31"/>
  <c r="G53" i="31"/>
  <c r="F53" i="31"/>
  <c r="E53" i="31"/>
  <c r="D53" i="31"/>
  <c r="C53" i="31"/>
  <c r="B53" i="31"/>
  <c r="A53" i="31"/>
  <c r="G52" i="31"/>
  <c r="F52" i="31"/>
  <c r="E52" i="31"/>
  <c r="D52" i="31"/>
  <c r="C52" i="31"/>
  <c r="B52" i="31"/>
  <c r="A52" i="31"/>
  <c r="G51" i="31"/>
  <c r="F51" i="31"/>
  <c r="E51" i="31"/>
  <c r="D51" i="31"/>
  <c r="C51" i="31"/>
  <c r="B51" i="31"/>
  <c r="A51" i="31"/>
  <c r="G50" i="31"/>
  <c r="F50" i="31"/>
  <c r="E50" i="31"/>
  <c r="D50" i="31"/>
  <c r="C50" i="31"/>
  <c r="B50" i="31"/>
  <c r="A50" i="31"/>
  <c r="G49" i="31"/>
  <c r="F49" i="31"/>
  <c r="E49" i="31"/>
  <c r="D49" i="31"/>
  <c r="C49" i="31"/>
  <c r="B49" i="31"/>
  <c r="A49" i="31"/>
  <c r="G48" i="31"/>
  <c r="F48" i="31"/>
  <c r="E48" i="31"/>
  <c r="D48" i="31"/>
  <c r="C48" i="31"/>
  <c r="B48" i="31"/>
  <c r="A48" i="31"/>
  <c r="G47" i="31"/>
  <c r="F47" i="31"/>
  <c r="E47" i="31"/>
  <c r="D47" i="31"/>
  <c r="C47" i="31"/>
  <c r="B47" i="31"/>
  <c r="A47" i="31"/>
  <c r="G46" i="31"/>
  <c r="F46" i="31"/>
  <c r="E46" i="31"/>
  <c r="D46" i="31"/>
  <c r="C46" i="31"/>
  <c r="B46" i="31"/>
  <c r="A46" i="31"/>
  <c r="G45" i="31"/>
  <c r="F45" i="31"/>
  <c r="E45" i="31"/>
  <c r="D45" i="31"/>
  <c r="C45" i="31"/>
  <c r="B45" i="31"/>
  <c r="A45" i="31"/>
  <c r="G44" i="31"/>
  <c r="F44" i="31"/>
  <c r="E44" i="31"/>
  <c r="D44" i="31"/>
  <c r="C44" i="31"/>
  <c r="B44" i="31"/>
  <c r="A44" i="31"/>
  <c r="G43" i="31"/>
  <c r="F43" i="31"/>
  <c r="E43" i="31"/>
  <c r="D43" i="31"/>
  <c r="C43" i="31"/>
  <c r="B43" i="31"/>
  <c r="A43" i="31"/>
  <c r="G42" i="31"/>
  <c r="F42" i="31"/>
  <c r="E42" i="31"/>
  <c r="D42" i="31"/>
  <c r="C42" i="31"/>
  <c r="B42" i="31"/>
  <c r="A42" i="31"/>
  <c r="G41" i="31"/>
  <c r="F41" i="31"/>
  <c r="E41" i="31"/>
  <c r="D41" i="31"/>
  <c r="C41" i="31"/>
  <c r="B41" i="31"/>
  <c r="A41" i="31"/>
  <c r="G40" i="31"/>
  <c r="F40" i="31"/>
  <c r="E40" i="31"/>
  <c r="D40" i="31"/>
  <c r="C40" i="31"/>
  <c r="B40" i="31"/>
  <c r="A40" i="31"/>
  <c r="G39" i="31"/>
  <c r="F39" i="31"/>
  <c r="E39" i="31"/>
  <c r="D39" i="31"/>
  <c r="C39" i="31"/>
  <c r="B39" i="31"/>
  <c r="A39" i="31"/>
  <c r="G38" i="31"/>
  <c r="F38" i="31"/>
  <c r="E38" i="31"/>
  <c r="D38" i="31"/>
  <c r="C38" i="31"/>
  <c r="B38" i="31"/>
  <c r="A38" i="31"/>
  <c r="G37" i="31"/>
  <c r="F37" i="31"/>
  <c r="E37" i="31"/>
  <c r="D37" i="31"/>
  <c r="C37" i="31"/>
  <c r="B37" i="31"/>
  <c r="A37" i="31"/>
  <c r="G36" i="31"/>
  <c r="F36" i="31"/>
  <c r="E36" i="31"/>
  <c r="D36" i="31"/>
  <c r="C36" i="31"/>
  <c r="B36" i="31"/>
  <c r="A36" i="31"/>
  <c r="G35" i="31"/>
  <c r="F35" i="31"/>
  <c r="E35" i="31"/>
  <c r="D35" i="31"/>
  <c r="C35" i="31"/>
  <c r="B35" i="31"/>
  <c r="A35" i="31"/>
  <c r="G34" i="31"/>
  <c r="F34" i="31"/>
  <c r="E34" i="31"/>
  <c r="D34" i="31"/>
  <c r="C34" i="31"/>
  <c r="B34" i="31"/>
  <c r="A34" i="31"/>
  <c r="G33" i="31"/>
  <c r="F33" i="31"/>
  <c r="E33" i="31"/>
  <c r="D33" i="31"/>
  <c r="C33" i="31"/>
  <c r="B33" i="31"/>
  <c r="A33" i="31"/>
  <c r="G32" i="31"/>
  <c r="F32" i="31"/>
  <c r="E32" i="31"/>
  <c r="D32" i="31"/>
  <c r="C32" i="31"/>
  <c r="B32" i="31"/>
  <c r="A32" i="31"/>
  <c r="G31" i="31"/>
  <c r="F31" i="31"/>
  <c r="E31" i="31"/>
  <c r="D31" i="31"/>
  <c r="C31" i="31"/>
  <c r="B31" i="31"/>
  <c r="A31" i="31"/>
  <c r="G30" i="31"/>
  <c r="F30" i="31"/>
  <c r="E30" i="31"/>
  <c r="D30" i="31"/>
  <c r="C30" i="31"/>
  <c r="B30" i="31"/>
  <c r="A30" i="31"/>
  <c r="G29" i="31"/>
  <c r="F29" i="31"/>
  <c r="E29" i="31"/>
  <c r="D29" i="31"/>
  <c r="C29" i="31"/>
  <c r="B29" i="31"/>
  <c r="A29" i="31"/>
  <c r="G28" i="31"/>
  <c r="F28" i="31"/>
  <c r="E28" i="31"/>
  <c r="D28" i="31"/>
  <c r="C28" i="31"/>
  <c r="B28" i="31"/>
  <c r="A28" i="31"/>
  <c r="G27" i="31"/>
  <c r="F27" i="31"/>
  <c r="E27" i="31"/>
  <c r="D27" i="31"/>
  <c r="C27" i="31"/>
  <c r="B27" i="31"/>
  <c r="A27" i="31"/>
  <c r="G26" i="31"/>
  <c r="F26" i="31"/>
  <c r="E26" i="31"/>
  <c r="D26" i="31"/>
  <c r="C26" i="31"/>
  <c r="B26" i="31"/>
  <c r="A26" i="31"/>
  <c r="G25" i="31"/>
  <c r="F25" i="31"/>
  <c r="E25" i="31"/>
  <c r="D25" i="31"/>
  <c r="C25" i="31"/>
  <c r="B25" i="31"/>
  <c r="A25" i="31"/>
  <c r="G24" i="31"/>
  <c r="F24" i="31"/>
  <c r="E24" i="31"/>
  <c r="D24" i="31"/>
  <c r="C24" i="31"/>
  <c r="B24" i="31"/>
  <c r="A24" i="31"/>
  <c r="G23" i="31"/>
  <c r="F23" i="31"/>
  <c r="E23" i="31"/>
  <c r="D23" i="31"/>
  <c r="C23" i="31"/>
  <c r="B23" i="31"/>
  <c r="A23" i="31"/>
  <c r="G22" i="31"/>
  <c r="F22" i="31"/>
  <c r="E22" i="31"/>
  <c r="D22" i="31"/>
  <c r="C22" i="31"/>
  <c r="B22" i="31"/>
  <c r="A22" i="31"/>
  <c r="G21" i="31"/>
  <c r="F21" i="31"/>
  <c r="E21" i="31"/>
  <c r="D21" i="31"/>
  <c r="C21" i="31"/>
  <c r="B21" i="31"/>
  <c r="A21" i="31"/>
  <c r="G20" i="31"/>
  <c r="F20" i="31"/>
  <c r="E20" i="31"/>
  <c r="D20" i="31"/>
  <c r="C20" i="31"/>
  <c r="B20" i="31"/>
  <c r="A20" i="31"/>
  <c r="G19" i="31"/>
  <c r="F19" i="31"/>
  <c r="E19" i="31"/>
  <c r="D19" i="31"/>
  <c r="C19" i="31"/>
  <c r="B19" i="31"/>
  <c r="A19" i="31"/>
  <c r="G18" i="31"/>
  <c r="F18" i="31"/>
  <c r="E18" i="31"/>
  <c r="D18" i="31"/>
  <c r="C18" i="31"/>
  <c r="B18" i="31"/>
  <c r="A18" i="31"/>
  <c r="G17" i="31"/>
  <c r="F17" i="31"/>
  <c r="E17" i="31"/>
  <c r="D17" i="31"/>
  <c r="C17" i="31"/>
  <c r="B17" i="31"/>
  <c r="A17" i="31"/>
  <c r="G16" i="31"/>
  <c r="F16" i="31"/>
  <c r="E16" i="31"/>
  <c r="D16" i="31"/>
  <c r="C16" i="31"/>
  <c r="B16" i="31"/>
  <c r="A16" i="31"/>
  <c r="G15" i="31"/>
  <c r="F15" i="31"/>
  <c r="E15" i="31"/>
  <c r="D15" i="31"/>
  <c r="C15" i="31"/>
  <c r="B15" i="31"/>
  <c r="A15" i="31"/>
  <c r="G14" i="31"/>
  <c r="F14" i="31"/>
  <c r="E14" i="31"/>
  <c r="D14" i="31"/>
  <c r="C14" i="31"/>
  <c r="B14" i="31"/>
  <c r="A14" i="31"/>
  <c r="G13" i="31"/>
  <c r="F13" i="31"/>
  <c r="E13" i="31"/>
  <c r="D13" i="31"/>
  <c r="C13" i="31"/>
  <c r="B13" i="31"/>
  <c r="A13" i="31"/>
  <c r="G12" i="31"/>
  <c r="F12" i="31"/>
  <c r="E12" i="31"/>
  <c r="D12" i="31"/>
  <c r="C12" i="31"/>
  <c r="B12" i="31"/>
  <c r="A12" i="31"/>
  <c r="G11" i="31"/>
  <c r="F11" i="31"/>
  <c r="E11" i="31"/>
  <c r="D11" i="31"/>
  <c r="C11" i="31"/>
  <c r="B11" i="31"/>
  <c r="A11" i="31"/>
  <c r="G10" i="31"/>
  <c r="F10" i="31"/>
  <c r="E10" i="31"/>
  <c r="D10" i="31"/>
  <c r="C10" i="31"/>
  <c r="B10" i="31"/>
  <c r="A10" i="31"/>
  <c r="G9" i="31"/>
  <c r="F9" i="31"/>
  <c r="E9" i="31"/>
  <c r="D9" i="31"/>
  <c r="C9" i="31"/>
  <c r="B9" i="31"/>
  <c r="A9" i="31"/>
  <c r="G8" i="31"/>
  <c r="F8" i="31"/>
  <c r="E8" i="31"/>
  <c r="D8" i="31"/>
  <c r="C8" i="31"/>
  <c r="B8" i="31"/>
  <c r="A8" i="31"/>
  <c r="G7" i="31"/>
  <c r="F7" i="31"/>
  <c r="E7" i="31"/>
  <c r="D7" i="31"/>
  <c r="C7" i="31"/>
  <c r="B7" i="31"/>
  <c r="A7" i="31"/>
  <c r="G6" i="31"/>
  <c r="F6" i="31"/>
  <c r="E6" i="31"/>
  <c r="D6" i="31"/>
  <c r="C6" i="31"/>
  <c r="B6" i="31"/>
  <c r="A6" i="31"/>
  <c r="G5" i="31"/>
  <c r="F5" i="31"/>
  <c r="E5" i="31"/>
  <c r="D5" i="31"/>
  <c r="C5" i="31"/>
  <c r="B5" i="31"/>
  <c r="A5" i="31"/>
  <c r="G4" i="31"/>
  <c r="F4" i="31"/>
  <c r="E4" i="31"/>
  <c r="D4" i="31"/>
  <c r="C4" i="31"/>
  <c r="B4" i="31"/>
  <c r="A4" i="31"/>
  <c r="G3" i="31"/>
  <c r="F3" i="31"/>
  <c r="E3" i="31"/>
  <c r="D3" i="31"/>
  <c r="C3" i="31"/>
  <c r="B3" i="31"/>
  <c r="A3" i="31"/>
  <c r="G2" i="31"/>
  <c r="F2" i="31"/>
  <c r="E2" i="31"/>
  <c r="D2" i="31"/>
  <c r="C2" i="31"/>
  <c r="B2" i="31"/>
  <c r="A2" i="31"/>
  <c r="H30" i="30" l="1"/>
  <c r="C12" i="9"/>
  <c r="H22" i="30"/>
  <c r="H24" i="30"/>
  <c r="H25" i="30"/>
  <c r="D12" i="9"/>
  <c r="F12" i="9" s="1"/>
  <c r="L21" i="30"/>
  <c r="T3" i="32"/>
  <c r="J14" i="30"/>
  <c r="I14" i="30"/>
  <c r="T21" i="32"/>
  <c r="J15" i="30"/>
  <c r="I15" i="30"/>
  <c r="H23" i="30"/>
  <c r="G21" i="30"/>
  <c r="H21" i="30" s="1"/>
  <c r="G20" i="30"/>
  <c r="F20" i="30"/>
  <c r="L20" i="30"/>
  <c r="N20" i="30"/>
  <c r="O20" i="30"/>
  <c r="O19" i="30"/>
  <c r="N19" i="30"/>
  <c r="G15" i="30"/>
  <c r="H15" i="30" s="1"/>
  <c r="L19" i="30"/>
  <c r="K14" i="30"/>
  <c r="G19" i="30"/>
  <c r="H19" i="30" s="1"/>
  <c r="L17" i="30"/>
  <c r="O18" i="30"/>
  <c r="G18" i="30"/>
  <c r="N18" i="30"/>
  <c r="M18" i="30"/>
  <c r="F18" i="30"/>
  <c r="L18" i="30"/>
  <c r="K18" i="30"/>
  <c r="K15" i="30"/>
  <c r="M12" i="30"/>
  <c r="P1057" i="17"/>
  <c r="S1057" i="17" s="1"/>
  <c r="X1057" i="17" s="1"/>
  <c r="G17" i="30"/>
  <c r="H17" i="30" s="1"/>
  <c r="O17" i="30"/>
  <c r="L15" i="30"/>
  <c r="G14" i="30"/>
  <c r="H14" i="30" s="1"/>
  <c r="N17" i="30"/>
  <c r="L16" i="30"/>
  <c r="L14" i="30"/>
  <c r="G16" i="30"/>
  <c r="H16" i="30" s="1"/>
  <c r="O15" i="30"/>
  <c r="N15" i="30"/>
  <c r="T15" i="32"/>
  <c r="N14" i="30"/>
  <c r="O14" i="30"/>
  <c r="S1040" i="17"/>
  <c r="X1040" i="17" s="1"/>
  <c r="L12" i="30"/>
  <c r="R1059" i="17"/>
  <c r="P1059" i="17"/>
  <c r="S1059" i="17" s="1"/>
  <c r="X1059" i="17" s="1"/>
  <c r="Z1058" i="17"/>
  <c r="S1058" i="17"/>
  <c r="X1058" i="17" s="1"/>
  <c r="W1058" i="17"/>
  <c r="R1058" i="17"/>
  <c r="Z1047" i="17"/>
  <c r="S1047" i="17"/>
  <c r="X1047" i="17" s="1"/>
  <c r="W1047" i="17"/>
  <c r="R1047" i="17"/>
  <c r="Z1041" i="17"/>
  <c r="W1041" i="17"/>
  <c r="S1041" i="17"/>
  <c r="X1041" i="17" s="1"/>
  <c r="R1041" i="17"/>
  <c r="Z1028" i="17"/>
  <c r="W1028" i="17"/>
  <c r="S1028" i="17"/>
  <c r="X1028" i="17" s="1"/>
  <c r="R1028" i="17"/>
  <c r="R1027" i="17"/>
  <c r="P1027" i="17"/>
  <c r="S1027" i="17" s="1"/>
  <c r="X1027" i="17" s="1"/>
  <c r="R1021" i="17"/>
  <c r="Z1016" i="17"/>
  <c r="S1016" i="17"/>
  <c r="X1016" i="17" s="1"/>
  <c r="K1016" i="17"/>
  <c r="W1016" i="17" s="1"/>
  <c r="R1016" i="17"/>
  <c r="Z1015" i="17"/>
  <c r="S1015" i="17"/>
  <c r="X1015" i="17" s="1"/>
  <c r="W1015" i="17"/>
  <c r="R1015" i="17"/>
  <c r="O874" i="17"/>
  <c r="P874" i="17" s="1"/>
  <c r="Q874" i="17"/>
  <c r="O1013" i="17"/>
  <c r="P1013" i="17" s="1"/>
  <c r="Q1013" i="17"/>
  <c r="G12" i="9" l="1"/>
  <c r="H12" i="9" s="1"/>
  <c r="H20" i="30"/>
  <c r="H18" i="30"/>
  <c r="Z874" i="17"/>
  <c r="S874" i="17"/>
  <c r="AB874" i="17" s="1"/>
  <c r="K874" i="17"/>
  <c r="W874" i="17" s="1"/>
  <c r="R874" i="17"/>
  <c r="R1013" i="17"/>
  <c r="Z1013" i="17"/>
  <c r="S1013" i="17"/>
  <c r="X1013" i="17" s="1"/>
  <c r="K1013" i="17"/>
  <c r="W1013" i="17" s="1"/>
  <c r="P12" i="9" l="1"/>
  <c r="R12" i="9" s="1"/>
  <c r="K12" i="9"/>
  <c r="V12" i="9"/>
  <c r="L12" i="9"/>
  <c r="I12" i="9"/>
  <c r="X874" i="17"/>
  <c r="Q12" i="9" l="1"/>
  <c r="T12" i="9" s="1"/>
  <c r="U12" i="9" s="1"/>
  <c r="J12" i="9"/>
  <c r="W12" i="9"/>
  <c r="L1011" i="17"/>
  <c r="Y1012" i="17"/>
  <c r="T1012" i="17"/>
  <c r="Q1012" i="17"/>
  <c r="Z1012" i="17" s="1"/>
  <c r="O1012" i="17"/>
  <c r="R1012" i="17" s="1"/>
  <c r="Y1011" i="17"/>
  <c r="Y1010" i="17"/>
  <c r="T1010" i="17"/>
  <c r="Q1010" i="17"/>
  <c r="Z1010" i="17" s="1"/>
  <c r="O1010" i="17"/>
  <c r="R1010" i="17" s="1"/>
  <c r="Y1009" i="17"/>
  <c r="T1009" i="17"/>
  <c r="Q1009" i="17"/>
  <c r="Z1009" i="17" s="1"/>
  <c r="O1009" i="17"/>
  <c r="R1009" i="17" s="1"/>
  <c r="Y1008" i="17"/>
  <c r="T1008" i="17"/>
  <c r="Q1008" i="17"/>
  <c r="Z1008" i="17" s="1"/>
  <c r="O1008" i="17"/>
  <c r="R1008" i="17" s="1"/>
  <c r="L1007" i="17"/>
  <c r="Q1007" i="17" s="1"/>
  <c r="Y1007" i="17"/>
  <c r="T1007" i="17"/>
  <c r="Y1006" i="17"/>
  <c r="T1006" i="17"/>
  <c r="Q1006" i="17"/>
  <c r="Z1006" i="17" s="1"/>
  <c r="O1006" i="17"/>
  <c r="R1006" i="17" s="1"/>
  <c r="Y1005" i="17"/>
  <c r="T1005" i="17"/>
  <c r="Q1005" i="17"/>
  <c r="Z1005" i="17" s="1"/>
  <c r="O1005" i="17"/>
  <c r="R1005" i="17" s="1"/>
  <c r="Y1004" i="17"/>
  <c r="T1004" i="17"/>
  <c r="Q1004" i="17"/>
  <c r="W1004" i="17" s="1"/>
  <c r="O1004" i="17"/>
  <c r="P1004" i="17" s="1"/>
  <c r="Y1003" i="17"/>
  <c r="T1003" i="17"/>
  <c r="L1003" i="17"/>
  <c r="O1003" i="17" s="1"/>
  <c r="P1003" i="17" s="1"/>
  <c r="Y1002" i="17"/>
  <c r="T1002" i="17"/>
  <c r="Q1002" i="17"/>
  <c r="O1002" i="17"/>
  <c r="R1002" i="17" s="1"/>
  <c r="Y1001" i="17"/>
  <c r="T1001" i="17"/>
  <c r="Q1001" i="17"/>
  <c r="Z1001" i="17" s="1"/>
  <c r="O1001" i="17"/>
  <c r="R1001" i="17" s="1"/>
  <c r="L1000" i="17"/>
  <c r="O1000" i="17" s="1"/>
  <c r="R1000" i="17" s="1"/>
  <c r="Y1000" i="17"/>
  <c r="T1000" i="17"/>
  <c r="Y999" i="17"/>
  <c r="Q999" i="17"/>
  <c r="Z999" i="17" s="1"/>
  <c r="O999" i="17"/>
  <c r="R999" i="17" s="1"/>
  <c r="Y998" i="17"/>
  <c r="T998" i="17"/>
  <c r="Q998" i="17"/>
  <c r="Z998" i="17" s="1"/>
  <c r="O998" i="17"/>
  <c r="R998" i="17" s="1"/>
  <c r="Y997" i="17"/>
  <c r="T997" i="17"/>
  <c r="Q997" i="17"/>
  <c r="Z997" i="17" s="1"/>
  <c r="O997" i="17"/>
  <c r="R997" i="17" s="1"/>
  <c r="Y996" i="17"/>
  <c r="T996" i="17"/>
  <c r="Q996" i="17"/>
  <c r="Z996" i="17" s="1"/>
  <c r="O996" i="17"/>
  <c r="P996" i="17" s="1"/>
  <c r="Y995" i="17"/>
  <c r="T995" i="17"/>
  <c r="Q995" i="17"/>
  <c r="Z995" i="17" s="1"/>
  <c r="O995" i="17"/>
  <c r="R995" i="17" s="1"/>
  <c r="Y994" i="17"/>
  <c r="T994" i="17"/>
  <c r="Q994" i="17"/>
  <c r="Z994" i="17" s="1"/>
  <c r="O994" i="17"/>
  <c r="R994" i="17" s="1"/>
  <c r="L993" i="17"/>
  <c r="Y993" i="17"/>
  <c r="T993" i="17"/>
  <c r="Q993" i="17"/>
  <c r="Z993" i="17" s="1"/>
  <c r="O993" i="17"/>
  <c r="R993" i="17" s="1"/>
  <c r="Y992" i="17"/>
  <c r="T992" i="17"/>
  <c r="Q992" i="17"/>
  <c r="Z992" i="17" s="1"/>
  <c r="O992" i="17"/>
  <c r="R992" i="17" s="1"/>
  <c r="Y991" i="17"/>
  <c r="T991" i="17"/>
  <c r="Q991" i="17"/>
  <c r="Z991" i="17" s="1"/>
  <c r="O991" i="17"/>
  <c r="P991" i="17" s="1"/>
  <c r="L990" i="17"/>
  <c r="Y990" i="17"/>
  <c r="Q990" i="17"/>
  <c r="Z990" i="17" s="1"/>
  <c r="O990" i="17"/>
  <c r="R990" i="17" s="1"/>
  <c r="Y989" i="17"/>
  <c r="T989" i="17"/>
  <c r="Q989" i="17"/>
  <c r="O989" i="17"/>
  <c r="R989" i="17" s="1"/>
  <c r="L988" i="17"/>
  <c r="Q988" i="17" s="1"/>
  <c r="Y988" i="17"/>
  <c r="T988" i="17"/>
  <c r="L987" i="17"/>
  <c r="Y987" i="17"/>
  <c r="T987" i="17"/>
  <c r="Y986" i="17"/>
  <c r="Q986" i="17"/>
  <c r="O986" i="17"/>
  <c r="P986" i="17" s="1"/>
  <c r="Y985" i="17"/>
  <c r="T985" i="17"/>
  <c r="Q985" i="17"/>
  <c r="Z985" i="17" s="1"/>
  <c r="O985" i="17"/>
  <c r="R985" i="17" s="1"/>
  <c r="L984" i="17"/>
  <c r="Q984" i="17" s="1"/>
  <c r="Z984" i="17" s="1"/>
  <c r="Y984" i="17"/>
  <c r="T984" i="17"/>
  <c r="C216" i="1"/>
  <c r="J216" i="1"/>
  <c r="K216" i="1" s="1"/>
  <c r="T999" i="17"/>
  <c r="T1011" i="17"/>
  <c r="T986" i="17"/>
  <c r="T990" i="17"/>
  <c r="Z986" i="17" l="1"/>
  <c r="I8" i="30"/>
  <c r="J8" i="30"/>
  <c r="J9" i="30"/>
  <c r="I9" i="30"/>
  <c r="Z989" i="17"/>
  <c r="Z1002" i="17"/>
  <c r="K998" i="17"/>
  <c r="W998" i="17" s="1"/>
  <c r="K989" i="17"/>
  <c r="W989" i="17" s="1"/>
  <c r="S986" i="17"/>
  <c r="X986" i="17" s="1"/>
  <c r="K994" i="17"/>
  <c r="W994" i="17" s="1"/>
  <c r="K999" i="17"/>
  <c r="W999" i="17" s="1"/>
  <c r="Z1004" i="17"/>
  <c r="K986" i="17"/>
  <c r="W986" i="17" s="1"/>
  <c r="K992" i="17"/>
  <c r="W992" i="17" s="1"/>
  <c r="Q1000" i="17"/>
  <c r="Z1000" i="17" s="1"/>
  <c r="K1008" i="17"/>
  <c r="W1008" i="17" s="1"/>
  <c r="P1006" i="17"/>
  <c r="S1006" i="17" s="1"/>
  <c r="X1006" i="17" s="1"/>
  <c r="K1005" i="17"/>
  <c r="W1005" i="17" s="1"/>
  <c r="K997" i="17"/>
  <c r="W997" i="17" s="1"/>
  <c r="O984" i="17"/>
  <c r="R984" i="17" s="1"/>
  <c r="K995" i="17"/>
  <c r="W995" i="17" s="1"/>
  <c r="K1009" i="17"/>
  <c r="W1009" i="17" s="1"/>
  <c r="P985" i="17"/>
  <c r="S985" i="17" s="1"/>
  <c r="X985" i="17" s="1"/>
  <c r="K996" i="17"/>
  <c r="W996" i="17" s="1"/>
  <c r="S1004" i="17"/>
  <c r="X1004" i="17" s="1"/>
  <c r="K1006" i="17"/>
  <c r="W1006" i="17" s="1"/>
  <c r="P1012" i="17"/>
  <c r="S1012" i="17" s="1"/>
  <c r="X1012" i="17" s="1"/>
  <c r="W1012" i="17"/>
  <c r="O1011" i="17"/>
  <c r="P1011" i="17" s="1"/>
  <c r="Q1011" i="17"/>
  <c r="K1010" i="17"/>
  <c r="W1010" i="17" s="1"/>
  <c r="P1010" i="17"/>
  <c r="S1010" i="17" s="1"/>
  <c r="X1010" i="17" s="1"/>
  <c r="P1009" i="17"/>
  <c r="S1009" i="17" s="1"/>
  <c r="X1009" i="17" s="1"/>
  <c r="P1008" i="17"/>
  <c r="S1008" i="17" s="1"/>
  <c r="X1008" i="17" s="1"/>
  <c r="Z1007" i="17"/>
  <c r="K1007" i="17"/>
  <c r="W1007" i="17" s="1"/>
  <c r="O1007" i="17"/>
  <c r="R1007" i="17" s="1"/>
  <c r="P1005" i="17"/>
  <c r="S1005" i="17" s="1"/>
  <c r="X1005" i="17" s="1"/>
  <c r="R1004" i="17"/>
  <c r="Q1003" i="17"/>
  <c r="R1003" i="17"/>
  <c r="P1002" i="17"/>
  <c r="S1002" i="17" s="1"/>
  <c r="X1002" i="17" s="1"/>
  <c r="K1002" i="17"/>
  <c r="W1002" i="17" s="1"/>
  <c r="W1001" i="17"/>
  <c r="P1001" i="17"/>
  <c r="S1001" i="17" s="1"/>
  <c r="X1001" i="17" s="1"/>
  <c r="P1000" i="17"/>
  <c r="P999" i="17"/>
  <c r="S999" i="17" s="1"/>
  <c r="X999" i="17" s="1"/>
  <c r="P998" i="17"/>
  <c r="S998" i="17" s="1"/>
  <c r="X998" i="17" s="1"/>
  <c r="P997" i="17"/>
  <c r="S997" i="17" s="1"/>
  <c r="X997" i="17" s="1"/>
  <c r="R996" i="17"/>
  <c r="S996" i="17"/>
  <c r="X996" i="17" s="1"/>
  <c r="P995" i="17"/>
  <c r="S995" i="17" s="1"/>
  <c r="X995" i="17" s="1"/>
  <c r="P994" i="17"/>
  <c r="S994" i="17" s="1"/>
  <c r="X994" i="17" s="1"/>
  <c r="P993" i="17"/>
  <c r="S993" i="17" s="1"/>
  <c r="X993" i="17" s="1"/>
  <c r="W993" i="17"/>
  <c r="P992" i="17"/>
  <c r="S992" i="17" s="1"/>
  <c r="X992" i="17" s="1"/>
  <c r="W991" i="17"/>
  <c r="R991" i="17"/>
  <c r="S991" i="17"/>
  <c r="X991" i="17" s="1"/>
  <c r="W990" i="17"/>
  <c r="P990" i="17"/>
  <c r="S990" i="17" s="1"/>
  <c r="X990" i="17" s="1"/>
  <c r="P989" i="17"/>
  <c r="S989" i="17" s="1"/>
  <c r="X989" i="17" s="1"/>
  <c r="Z988" i="17"/>
  <c r="K988" i="17"/>
  <c r="W988" i="17" s="1"/>
  <c r="O988" i="17"/>
  <c r="R988" i="17" s="1"/>
  <c r="O987" i="17"/>
  <c r="P987" i="17" s="1"/>
  <c r="Q987" i="17"/>
  <c r="R986" i="17"/>
  <c r="W985" i="17"/>
  <c r="W984" i="17"/>
  <c r="C215" i="1"/>
  <c r="C214" i="1"/>
  <c r="J215" i="1"/>
  <c r="K215" i="1" s="1"/>
  <c r="J214" i="1"/>
  <c r="K214" i="1" s="1"/>
  <c r="C213" i="1"/>
  <c r="C212" i="1"/>
  <c r="C211" i="1"/>
  <c r="M11" i="9"/>
  <c r="J211" i="1"/>
  <c r="K211" i="1" s="1"/>
  <c r="J212" i="1"/>
  <c r="K212" i="1" s="1"/>
  <c r="J213" i="1"/>
  <c r="K213" i="1" s="1"/>
  <c r="J210" i="1"/>
  <c r="K210" i="1" s="1"/>
  <c r="C210" i="1"/>
  <c r="N13" i="30"/>
  <c r="M13" i="30"/>
  <c r="L13" i="30"/>
  <c r="K13" i="30"/>
  <c r="O12" i="30"/>
  <c r="N12" i="30"/>
  <c r="K12" i="30"/>
  <c r="O11" i="30"/>
  <c r="N11" i="30"/>
  <c r="M11" i="30"/>
  <c r="L11" i="30"/>
  <c r="K11" i="30"/>
  <c r="O10" i="30"/>
  <c r="N10" i="30"/>
  <c r="M10" i="30"/>
  <c r="L10" i="30"/>
  <c r="K10" i="30"/>
  <c r="O9" i="30"/>
  <c r="N9" i="30"/>
  <c r="K9" i="30"/>
  <c r="O8" i="30"/>
  <c r="N8" i="30"/>
  <c r="K8" i="30"/>
  <c r="Y983" i="17"/>
  <c r="T983" i="17"/>
  <c r="Q983" i="17"/>
  <c r="W983" i="17" s="1"/>
  <c r="O983" i="17"/>
  <c r="R983" i="17" s="1"/>
  <c r="Y982" i="17"/>
  <c r="T982" i="17"/>
  <c r="Q982" i="17"/>
  <c r="W982" i="17" s="1"/>
  <c r="O982" i="17"/>
  <c r="P982" i="17" s="1"/>
  <c r="Y981" i="17"/>
  <c r="T981" i="17"/>
  <c r="Q981" i="17"/>
  <c r="Z981" i="17" s="1"/>
  <c r="O981" i="17"/>
  <c r="R981" i="17" s="1"/>
  <c r="Y980" i="17"/>
  <c r="T980" i="17"/>
  <c r="Q980" i="17"/>
  <c r="O980" i="17"/>
  <c r="R980" i="17" s="1"/>
  <c r="Y979" i="17"/>
  <c r="T979" i="17"/>
  <c r="Q979" i="17"/>
  <c r="K979" i="17" s="1"/>
  <c r="W979" i="17" s="1"/>
  <c r="O979" i="17"/>
  <c r="P979" i="17" s="1"/>
  <c r="Y978" i="17"/>
  <c r="T978" i="17"/>
  <c r="Q978" i="17"/>
  <c r="Z978" i="17" s="1"/>
  <c r="O978" i="17"/>
  <c r="R978" i="17" s="1"/>
  <c r="L977" i="17"/>
  <c r="Q977" i="17" s="1"/>
  <c r="Z977" i="17" s="1"/>
  <c r="Y977" i="17"/>
  <c r="T977" i="17"/>
  <c r="Y976" i="17"/>
  <c r="T976" i="17"/>
  <c r="Q976" i="17"/>
  <c r="Z976" i="17" s="1"/>
  <c r="O976" i="17"/>
  <c r="P976" i="17" s="1"/>
  <c r="Y975" i="17"/>
  <c r="T975" i="17"/>
  <c r="Q975" i="17"/>
  <c r="Z975" i="17" s="1"/>
  <c r="O975" i="17"/>
  <c r="R975" i="17" s="1"/>
  <c r="Y974" i="17"/>
  <c r="Q974" i="17"/>
  <c r="O974" i="17"/>
  <c r="R974" i="17" s="1"/>
  <c r="Y973" i="17"/>
  <c r="T973" i="17"/>
  <c r="Q973" i="17"/>
  <c r="W973" i="17" s="1"/>
  <c r="O973" i="17"/>
  <c r="R973" i="17" s="1"/>
  <c r="Y972" i="17"/>
  <c r="T972" i="17"/>
  <c r="Q972" i="17"/>
  <c r="Z972" i="17" s="1"/>
  <c r="O972" i="17"/>
  <c r="R972" i="17" s="1"/>
  <c r="Y971" i="17"/>
  <c r="T971" i="17"/>
  <c r="Q971" i="17"/>
  <c r="Z971" i="17" s="1"/>
  <c r="O971" i="17"/>
  <c r="R971" i="17" s="1"/>
  <c r="Y970" i="17"/>
  <c r="T970" i="17"/>
  <c r="Q970" i="17"/>
  <c r="O970" i="17"/>
  <c r="R970" i="17" s="1"/>
  <c r="Y969" i="17"/>
  <c r="T969" i="17"/>
  <c r="Q969" i="17"/>
  <c r="Z969" i="17" s="1"/>
  <c r="O969" i="17"/>
  <c r="R969" i="17" s="1"/>
  <c r="Y968" i="17"/>
  <c r="T968" i="17"/>
  <c r="Q968" i="17"/>
  <c r="W968" i="17" s="1"/>
  <c r="O968" i="17"/>
  <c r="R968" i="17" s="1"/>
  <c r="Y967" i="17"/>
  <c r="T967" i="17"/>
  <c r="L967" i="17"/>
  <c r="Y966" i="17"/>
  <c r="T966" i="17"/>
  <c r="Q966" i="17"/>
  <c r="Z966" i="17" s="1"/>
  <c r="O966" i="17"/>
  <c r="R966" i="17" s="1"/>
  <c r="Y965" i="17"/>
  <c r="T965" i="17"/>
  <c r="Q965" i="17"/>
  <c r="Z965" i="17" s="1"/>
  <c r="O965" i="17"/>
  <c r="R965" i="17" s="1"/>
  <c r="Y964" i="17"/>
  <c r="T964" i="17"/>
  <c r="Q964" i="17"/>
  <c r="Z964" i="17" s="1"/>
  <c r="O964" i="17"/>
  <c r="R964" i="17" s="1"/>
  <c r="Y963" i="17"/>
  <c r="T963" i="17"/>
  <c r="Q963" i="17"/>
  <c r="O963" i="17"/>
  <c r="R963" i="17" s="1"/>
  <c r="Y962" i="17"/>
  <c r="T962" i="17"/>
  <c r="Q962" i="17"/>
  <c r="W962" i="17" s="1"/>
  <c r="O962" i="17"/>
  <c r="R962" i="17" s="1"/>
  <c r="Y961" i="17"/>
  <c r="T961" i="17"/>
  <c r="Q961" i="17"/>
  <c r="Z961" i="17" s="1"/>
  <c r="O961" i="17"/>
  <c r="R961" i="17" s="1"/>
  <c r="Y960" i="17"/>
  <c r="T960" i="17"/>
  <c r="Q960" i="17"/>
  <c r="Z960" i="17" s="1"/>
  <c r="O960" i="17"/>
  <c r="R960" i="17" s="1"/>
  <c r="Y959" i="17"/>
  <c r="T959" i="17"/>
  <c r="Q959" i="17"/>
  <c r="Z959" i="17" s="1"/>
  <c r="O959" i="17"/>
  <c r="R959" i="17" s="1"/>
  <c r="Y958" i="17"/>
  <c r="T958" i="17"/>
  <c r="Q958" i="17"/>
  <c r="O958" i="17"/>
  <c r="R958" i="17" s="1"/>
  <c r="C209" i="1"/>
  <c r="J209" i="1"/>
  <c r="K209" i="1" s="1"/>
  <c r="T974" i="17"/>
  <c r="L215" i="1"/>
  <c r="L214" i="1"/>
  <c r="L213" i="1"/>
  <c r="L212" i="1"/>
  <c r="L210" i="1"/>
  <c r="L211" i="1"/>
  <c r="I6" i="30" l="1"/>
  <c r="J6" i="30"/>
  <c r="K980" i="17"/>
  <c r="W980" i="17" s="1"/>
  <c r="I7" i="30"/>
  <c r="J7" i="30"/>
  <c r="Z970" i="17"/>
  <c r="M8" i="30"/>
  <c r="M9" i="30"/>
  <c r="K970" i="17"/>
  <c r="W970" i="17" s="1"/>
  <c r="W1000" i="17"/>
  <c r="S1000" i="17"/>
  <c r="X1000" i="17" s="1"/>
  <c r="P984" i="17"/>
  <c r="S984" i="17" s="1"/>
  <c r="X984" i="17" s="1"/>
  <c r="P974" i="17"/>
  <c r="S974" i="17" s="1"/>
  <c r="X974" i="17" s="1"/>
  <c r="K963" i="17"/>
  <c r="W963" i="17" s="1"/>
  <c r="Z979" i="17"/>
  <c r="K961" i="17"/>
  <c r="W961" i="17" s="1"/>
  <c r="Z982" i="17"/>
  <c r="K981" i="17"/>
  <c r="W981" i="17" s="1"/>
  <c r="K976" i="17"/>
  <c r="W976" i="17" s="1"/>
  <c r="K965" i="17"/>
  <c r="W965" i="17" s="1"/>
  <c r="Z980" i="17"/>
  <c r="K6" i="30"/>
  <c r="Z963" i="17"/>
  <c r="Z973" i="17"/>
  <c r="K964" i="17"/>
  <c r="W964" i="17" s="1"/>
  <c r="W971" i="17"/>
  <c r="Z983" i="17"/>
  <c r="K7" i="30"/>
  <c r="K975" i="17"/>
  <c r="W975" i="17" s="1"/>
  <c r="N7" i="30"/>
  <c r="Z962" i="17"/>
  <c r="K978" i="17"/>
  <c r="W978" i="17" s="1"/>
  <c r="O7" i="30"/>
  <c r="Z1011" i="17"/>
  <c r="W1011" i="17"/>
  <c r="S1011" i="17"/>
  <c r="X1011" i="17" s="1"/>
  <c r="R1011" i="17"/>
  <c r="P1007" i="17"/>
  <c r="S1007" i="17" s="1"/>
  <c r="X1007" i="17" s="1"/>
  <c r="Z1003" i="17"/>
  <c r="S1003" i="17"/>
  <c r="X1003" i="17" s="1"/>
  <c r="K1003" i="17"/>
  <c r="W1003" i="17" s="1"/>
  <c r="W972" i="17"/>
  <c r="P988" i="17"/>
  <c r="Z987" i="17"/>
  <c r="W987" i="17"/>
  <c r="S987" i="17"/>
  <c r="X987" i="17" s="1"/>
  <c r="R987" i="17"/>
  <c r="P983" i="17"/>
  <c r="S983" i="17" s="1"/>
  <c r="X983" i="17" s="1"/>
  <c r="R982" i="17"/>
  <c r="S982" i="17"/>
  <c r="X982" i="17" s="1"/>
  <c r="P981" i="17"/>
  <c r="S981" i="17" s="1"/>
  <c r="X981" i="17" s="1"/>
  <c r="P980" i="17"/>
  <c r="S980" i="17" s="1"/>
  <c r="X980" i="17" s="1"/>
  <c r="S979" i="17"/>
  <c r="X979" i="17" s="1"/>
  <c r="R979" i="17"/>
  <c r="P978" i="17"/>
  <c r="S978" i="17" s="1"/>
  <c r="X978" i="17" s="1"/>
  <c r="O977" i="17"/>
  <c r="P977" i="17" s="1"/>
  <c r="S977" i="17" s="1"/>
  <c r="X977" i="17" s="1"/>
  <c r="W977" i="17"/>
  <c r="R976" i="17"/>
  <c r="S976" i="17"/>
  <c r="X976" i="17" s="1"/>
  <c r="P975" i="17"/>
  <c r="S975" i="17" s="1"/>
  <c r="X975" i="17" s="1"/>
  <c r="Z974" i="17"/>
  <c r="K974" i="17"/>
  <c r="W974" i="17" s="1"/>
  <c r="P973" i="17"/>
  <c r="S973" i="17" s="1"/>
  <c r="X973" i="17" s="1"/>
  <c r="P972" i="17"/>
  <c r="P971" i="17"/>
  <c r="S971" i="17" s="1"/>
  <c r="X971" i="17" s="1"/>
  <c r="P970" i="17"/>
  <c r="S970" i="17" s="1"/>
  <c r="X970" i="17" s="1"/>
  <c r="K969" i="17"/>
  <c r="W969" i="17" s="1"/>
  <c r="P969" i="17"/>
  <c r="S969" i="17" s="1"/>
  <c r="X969" i="17" s="1"/>
  <c r="Z968" i="17"/>
  <c r="P968" i="17"/>
  <c r="S968" i="17" s="1"/>
  <c r="X968" i="17" s="1"/>
  <c r="O967" i="17"/>
  <c r="P967" i="17" s="1"/>
  <c r="Q967" i="17"/>
  <c r="W966" i="17"/>
  <c r="P966" i="17"/>
  <c r="S966" i="17" s="1"/>
  <c r="X966" i="17" s="1"/>
  <c r="P965" i="17"/>
  <c r="S965" i="17" s="1"/>
  <c r="X965" i="17" s="1"/>
  <c r="P964" i="17"/>
  <c r="S964" i="17" s="1"/>
  <c r="X964" i="17" s="1"/>
  <c r="P963" i="17"/>
  <c r="S963" i="17" s="1"/>
  <c r="X963" i="17" s="1"/>
  <c r="P962" i="17"/>
  <c r="P961" i="17"/>
  <c r="S961" i="17" s="1"/>
  <c r="X961" i="17" s="1"/>
  <c r="K960" i="17"/>
  <c r="W960" i="17" s="1"/>
  <c r="P960" i="17"/>
  <c r="S960" i="17" s="1"/>
  <c r="X960" i="17" s="1"/>
  <c r="K959" i="17"/>
  <c r="W959" i="17" s="1"/>
  <c r="P959" i="17"/>
  <c r="S959" i="17" s="1"/>
  <c r="X959" i="17" s="1"/>
  <c r="P958" i="17"/>
  <c r="S958" i="17" s="1"/>
  <c r="X958" i="17" s="1"/>
  <c r="Z958" i="17"/>
  <c r="K958" i="17"/>
  <c r="W958" i="17" s="1"/>
  <c r="Y957" i="17"/>
  <c r="T957" i="17"/>
  <c r="Q957" i="17"/>
  <c r="K957" i="17" s="1"/>
  <c r="W957" i="17" s="1"/>
  <c r="O957" i="17"/>
  <c r="P957" i="17" s="1"/>
  <c r="Y956" i="17"/>
  <c r="T956" i="17"/>
  <c r="Q956" i="17"/>
  <c r="O956" i="17"/>
  <c r="R956" i="17" s="1"/>
  <c r="Y955" i="17"/>
  <c r="T955" i="17"/>
  <c r="Q955" i="17"/>
  <c r="O955" i="17"/>
  <c r="P955" i="17" s="1"/>
  <c r="Y954" i="17"/>
  <c r="T954" i="17"/>
  <c r="Q954" i="17"/>
  <c r="Z954" i="17" s="1"/>
  <c r="O954" i="17"/>
  <c r="P954" i="17" s="1"/>
  <c r="L953" i="17"/>
  <c r="Q953" i="17" s="1"/>
  <c r="Z953" i="17" s="1"/>
  <c r="Y953" i="17"/>
  <c r="T953" i="17"/>
  <c r="Y952" i="17"/>
  <c r="T952" i="17"/>
  <c r="Q952" i="17"/>
  <c r="Z952" i="17" s="1"/>
  <c r="O952" i="17"/>
  <c r="P952" i="17" s="1"/>
  <c r="Y951" i="17"/>
  <c r="T951" i="17"/>
  <c r="Q951" i="17"/>
  <c r="W951" i="17" s="1"/>
  <c r="O951" i="17"/>
  <c r="R951" i="17" s="1"/>
  <c r="Y950" i="17"/>
  <c r="T950" i="17"/>
  <c r="Q950" i="17"/>
  <c r="Z950" i="17" s="1"/>
  <c r="O950" i="17"/>
  <c r="P950" i="17" s="1"/>
  <c r="Y949" i="17"/>
  <c r="T949" i="17"/>
  <c r="Q949" i="17"/>
  <c r="Z949" i="17" s="1"/>
  <c r="O949" i="17"/>
  <c r="P949" i="17" s="1"/>
  <c r="Y948" i="17"/>
  <c r="T948" i="17"/>
  <c r="Q948" i="17"/>
  <c r="Z948" i="17" s="1"/>
  <c r="O948" i="17"/>
  <c r="P948" i="17" s="1"/>
  <c r="Y947" i="17"/>
  <c r="T947" i="17"/>
  <c r="Q947" i="17"/>
  <c r="Z947" i="17" s="1"/>
  <c r="O947" i="17"/>
  <c r="P947" i="17" s="1"/>
  <c r="Y946" i="17"/>
  <c r="Q946" i="17"/>
  <c r="Z946" i="17" s="1"/>
  <c r="O946" i="17"/>
  <c r="P946" i="17" s="1"/>
  <c r="Y945" i="17"/>
  <c r="T945" i="17"/>
  <c r="Q945" i="17"/>
  <c r="Z945" i="17" s="1"/>
  <c r="O945" i="17"/>
  <c r="P945" i="17" s="1"/>
  <c r="Y944" i="17"/>
  <c r="T944" i="17"/>
  <c r="Q944" i="17"/>
  <c r="Z944" i="17" s="1"/>
  <c r="O944" i="17"/>
  <c r="P944" i="17" s="1"/>
  <c r="Y943" i="17"/>
  <c r="T943" i="17"/>
  <c r="Q943" i="17"/>
  <c r="W943" i="17" s="1"/>
  <c r="O943" i="17"/>
  <c r="P943" i="17" s="1"/>
  <c r="Y942" i="17"/>
  <c r="T942" i="17"/>
  <c r="Q942" i="17"/>
  <c r="Z942" i="17" s="1"/>
  <c r="O942" i="17"/>
  <c r="P942" i="17" s="1"/>
  <c r="Y941" i="17"/>
  <c r="Q941" i="17"/>
  <c r="K941" i="17" s="1"/>
  <c r="W941" i="17" s="1"/>
  <c r="O941" i="17"/>
  <c r="R941" i="17" s="1"/>
  <c r="Y940" i="17"/>
  <c r="T940" i="17"/>
  <c r="Q940" i="17"/>
  <c r="O940" i="17"/>
  <c r="P940" i="17" s="1"/>
  <c r="Y939" i="17"/>
  <c r="T939" i="17"/>
  <c r="Q939" i="17"/>
  <c r="Z939" i="17" s="1"/>
  <c r="O939" i="17"/>
  <c r="P939" i="17" s="1"/>
  <c r="Y938" i="17"/>
  <c r="T938" i="17"/>
  <c r="Q938" i="17"/>
  <c r="Z938" i="17" s="1"/>
  <c r="O938" i="17"/>
  <c r="P938" i="17" s="1"/>
  <c r="Y937" i="17"/>
  <c r="T937" i="17"/>
  <c r="Q937" i="17"/>
  <c r="Z937" i="17" s="1"/>
  <c r="O937" i="17"/>
  <c r="P937" i="17" s="1"/>
  <c r="Y936" i="17"/>
  <c r="Q936" i="17"/>
  <c r="Z936" i="17" s="1"/>
  <c r="O936" i="17"/>
  <c r="P936" i="17" s="1"/>
  <c r="Y935" i="17"/>
  <c r="Q935" i="17"/>
  <c r="Z935" i="17" s="1"/>
  <c r="O935" i="17"/>
  <c r="P935" i="17" s="1"/>
  <c r="Y934" i="17"/>
  <c r="T934" i="17"/>
  <c r="Q934" i="17"/>
  <c r="O934" i="17"/>
  <c r="R934" i="17" s="1"/>
  <c r="Y933" i="17"/>
  <c r="T933" i="17"/>
  <c r="Q933" i="17"/>
  <c r="O933" i="17"/>
  <c r="P933" i="17" s="1"/>
  <c r="Y932" i="17"/>
  <c r="Q932" i="17"/>
  <c r="Z932" i="17" s="1"/>
  <c r="O932" i="17"/>
  <c r="P932" i="17" s="1"/>
  <c r="Y931" i="17"/>
  <c r="Q931" i="17"/>
  <c r="K931" i="17" s="1"/>
  <c r="W931" i="17" s="1"/>
  <c r="O931" i="17"/>
  <c r="P931" i="17" s="1"/>
  <c r="Y930" i="17"/>
  <c r="T930" i="17"/>
  <c r="Q930" i="17"/>
  <c r="Z930" i="17" s="1"/>
  <c r="O930" i="17"/>
  <c r="P930" i="17" s="1"/>
  <c r="Y929" i="17"/>
  <c r="T929" i="17"/>
  <c r="Q929" i="17"/>
  <c r="Z929" i="17" s="1"/>
  <c r="O929" i="17"/>
  <c r="P929" i="17" s="1"/>
  <c r="C208" i="1"/>
  <c r="C207" i="1"/>
  <c r="J208" i="1"/>
  <c r="K208" i="1" s="1"/>
  <c r="J207" i="1"/>
  <c r="K207" i="1" s="1"/>
  <c r="J206" i="1"/>
  <c r="K206" i="1" s="1"/>
  <c r="J204" i="1"/>
  <c r="K204" i="1" s="1"/>
  <c r="J205" i="1"/>
  <c r="K205" i="1" s="1"/>
  <c r="J203" i="1"/>
  <c r="K203" i="1" s="1"/>
  <c r="C206" i="1"/>
  <c r="C205" i="1"/>
  <c r="C204" i="1"/>
  <c r="C203" i="1"/>
  <c r="C202" i="1"/>
  <c r="J202" i="1"/>
  <c r="K202" i="1" s="1"/>
  <c r="Y923" i="17"/>
  <c r="T923" i="17"/>
  <c r="Q923" i="17"/>
  <c r="O923" i="17"/>
  <c r="R923" i="17" s="1"/>
  <c r="T928" i="17"/>
  <c r="T927" i="17"/>
  <c r="T926" i="17"/>
  <c r="T925" i="17"/>
  <c r="T924" i="17"/>
  <c r="T922" i="17"/>
  <c r="T921" i="17"/>
  <c r="T920" i="17"/>
  <c r="T919" i="17"/>
  <c r="T918" i="17"/>
  <c r="T917" i="17"/>
  <c r="T916" i="17"/>
  <c r="T915" i="17"/>
  <c r="T914" i="17"/>
  <c r="T913" i="17"/>
  <c r="T912" i="17"/>
  <c r="T911" i="17"/>
  <c r="T910" i="17"/>
  <c r="T909" i="17"/>
  <c r="T908" i="17"/>
  <c r="T907" i="17"/>
  <c r="T906" i="17"/>
  <c r="T905" i="17"/>
  <c r="T904" i="17"/>
  <c r="T903" i="17"/>
  <c r="T902" i="17"/>
  <c r="T901" i="17"/>
  <c r="T900" i="17"/>
  <c r="T899" i="17"/>
  <c r="T898" i="17"/>
  <c r="T897" i="17"/>
  <c r="T896" i="17"/>
  <c r="T895" i="17"/>
  <c r="T894" i="17"/>
  <c r="T893" i="17"/>
  <c r="T892" i="17"/>
  <c r="T891" i="17"/>
  <c r="T890" i="17"/>
  <c r="T889" i="17"/>
  <c r="T888" i="17"/>
  <c r="T887" i="17"/>
  <c r="T886" i="17"/>
  <c r="T885" i="17"/>
  <c r="T884" i="17"/>
  <c r="T883" i="17"/>
  <c r="T882" i="17"/>
  <c r="T881" i="17"/>
  <c r="T880" i="17"/>
  <c r="T879" i="17"/>
  <c r="T878" i="17"/>
  <c r="T877" i="17"/>
  <c r="T876" i="17"/>
  <c r="T875" i="17"/>
  <c r="Y924" i="17"/>
  <c r="Q924" i="17"/>
  <c r="Z924" i="17" s="1"/>
  <c r="O924" i="17"/>
  <c r="P924" i="17" s="1"/>
  <c r="T946" i="17"/>
  <c r="T931" i="17"/>
  <c r="T932" i="17"/>
  <c r="T935" i="17"/>
  <c r="T941" i="17"/>
  <c r="T936" i="17"/>
  <c r="L207" i="1"/>
  <c r="L202" i="1"/>
  <c r="L203" i="1"/>
  <c r="Z923" i="17" l="1"/>
  <c r="I4" i="30"/>
  <c r="J4" i="30"/>
  <c r="J5" i="30"/>
  <c r="I5" i="30"/>
  <c r="Z940" i="17"/>
  <c r="S940" i="17"/>
  <c r="X940" i="17" s="1"/>
  <c r="Z956" i="17"/>
  <c r="R929" i="17"/>
  <c r="R977" i="17"/>
  <c r="K4" i="30"/>
  <c r="M7" i="30"/>
  <c r="Z931" i="17"/>
  <c r="S957" i="17"/>
  <c r="X957" i="17" s="1"/>
  <c r="R931" i="17"/>
  <c r="R940" i="17"/>
  <c r="P956" i="17"/>
  <c r="S956" i="17" s="1"/>
  <c r="X956" i="17" s="1"/>
  <c r="R937" i="17"/>
  <c r="R967" i="17"/>
  <c r="R948" i="17"/>
  <c r="R932" i="17"/>
  <c r="R930" i="17"/>
  <c r="Z957" i="17"/>
  <c r="R944" i="17"/>
  <c r="R949" i="17"/>
  <c r="Z955" i="17"/>
  <c r="O6" i="30"/>
  <c r="N6" i="30"/>
  <c r="Z951" i="17"/>
  <c r="K929" i="17"/>
  <c r="W929" i="17" s="1"/>
  <c r="Z933" i="17"/>
  <c r="N5" i="30"/>
  <c r="O5" i="30"/>
  <c r="S929" i="17"/>
  <c r="X929" i="17" s="1"/>
  <c r="R942" i="17"/>
  <c r="K934" i="17"/>
  <c r="W934" i="17" s="1"/>
  <c r="K5" i="30"/>
  <c r="L5" i="30"/>
  <c r="L9" i="30"/>
  <c r="Z943" i="17"/>
  <c r="S962" i="17"/>
  <c r="X962" i="17" s="1"/>
  <c r="S972" i="17"/>
  <c r="X972" i="17" s="1"/>
  <c r="L7" i="30"/>
  <c r="L8" i="30"/>
  <c r="S988" i="17"/>
  <c r="X988" i="17" s="1"/>
  <c r="W967" i="17"/>
  <c r="S967" i="17"/>
  <c r="X967" i="17" s="1"/>
  <c r="Z967" i="17"/>
  <c r="R957" i="17"/>
  <c r="K956" i="17"/>
  <c r="W956" i="17" s="1"/>
  <c r="R955" i="17"/>
  <c r="S955" i="17"/>
  <c r="X955" i="17" s="1"/>
  <c r="M6" i="30" s="1"/>
  <c r="W955" i="17"/>
  <c r="R954" i="17"/>
  <c r="W954" i="17"/>
  <c r="S954" i="17"/>
  <c r="X954" i="17" s="1"/>
  <c r="O953" i="17"/>
  <c r="P953" i="17" s="1"/>
  <c r="S953" i="17" s="1"/>
  <c r="X953" i="17" s="1"/>
  <c r="W953" i="17"/>
  <c r="R952" i="17"/>
  <c r="S952" i="17"/>
  <c r="X952" i="17" s="1"/>
  <c r="W952" i="17"/>
  <c r="P951" i="17"/>
  <c r="S951" i="17" s="1"/>
  <c r="X951" i="17" s="1"/>
  <c r="R950" i="17"/>
  <c r="S950" i="17"/>
  <c r="X950" i="17" s="1"/>
  <c r="K950" i="17"/>
  <c r="W950" i="17" s="1"/>
  <c r="S949" i="17"/>
  <c r="X949" i="17" s="1"/>
  <c r="K949" i="17"/>
  <c r="W949" i="17" s="1"/>
  <c r="S948" i="17"/>
  <c r="X948" i="17" s="1"/>
  <c r="K948" i="17"/>
  <c r="W948" i="17" s="1"/>
  <c r="R947" i="17"/>
  <c r="S947" i="17"/>
  <c r="X947" i="17" s="1"/>
  <c r="K947" i="17"/>
  <c r="W947" i="17" s="1"/>
  <c r="R946" i="17"/>
  <c r="S946" i="17"/>
  <c r="X946" i="17" s="1"/>
  <c r="K946" i="17"/>
  <c r="W946" i="17" s="1"/>
  <c r="R945" i="17"/>
  <c r="S945" i="17"/>
  <c r="X945" i="17" s="1"/>
  <c r="K945" i="17"/>
  <c r="W945" i="17" s="1"/>
  <c r="S944" i="17"/>
  <c r="X944" i="17" s="1"/>
  <c r="K944" i="17"/>
  <c r="W944" i="17" s="1"/>
  <c r="R943" i="17"/>
  <c r="S943" i="17"/>
  <c r="X943" i="17" s="1"/>
  <c r="S942" i="17"/>
  <c r="X942" i="17" s="1"/>
  <c r="K942" i="17"/>
  <c r="W942" i="17" s="1"/>
  <c r="P941" i="17"/>
  <c r="S941" i="17" s="1"/>
  <c r="X941" i="17" s="1"/>
  <c r="Z941" i="17"/>
  <c r="K940" i="17"/>
  <c r="W940" i="17" s="1"/>
  <c r="R939" i="17"/>
  <c r="S939" i="17"/>
  <c r="X939" i="17" s="1"/>
  <c r="W939" i="17"/>
  <c r="R938" i="17"/>
  <c r="S938" i="17"/>
  <c r="X938" i="17" s="1"/>
  <c r="W938" i="17"/>
  <c r="S937" i="17"/>
  <c r="X937" i="17" s="1"/>
  <c r="W937" i="17"/>
  <c r="R936" i="17"/>
  <c r="S936" i="17"/>
  <c r="X936" i="17" s="1"/>
  <c r="W936" i="17"/>
  <c r="R935" i="17"/>
  <c r="S935" i="17"/>
  <c r="X935" i="17" s="1"/>
  <c r="K935" i="17"/>
  <c r="W935" i="17" s="1"/>
  <c r="P934" i="17"/>
  <c r="S934" i="17" s="1"/>
  <c r="X934" i="17" s="1"/>
  <c r="Z934" i="17"/>
  <c r="S933" i="17"/>
  <c r="X933" i="17" s="1"/>
  <c r="W933" i="17"/>
  <c r="R933" i="17"/>
  <c r="S932" i="17"/>
  <c r="X932" i="17" s="1"/>
  <c r="W932" i="17"/>
  <c r="S931" i="17"/>
  <c r="X931" i="17" s="1"/>
  <c r="S930" i="17"/>
  <c r="X930" i="17" s="1"/>
  <c r="K930" i="17"/>
  <c r="W930" i="17" s="1"/>
  <c r="K923" i="17"/>
  <c r="W923" i="17" s="1"/>
  <c r="P923" i="17"/>
  <c r="S923" i="17" s="1"/>
  <c r="X923" i="17" s="1"/>
  <c r="K924" i="17"/>
  <c r="W924" i="17" s="1"/>
  <c r="R924" i="17"/>
  <c r="S924" i="17"/>
  <c r="X924" i="17" s="1"/>
  <c r="Y928" i="17"/>
  <c r="L928" i="17"/>
  <c r="O928" i="17" s="1"/>
  <c r="P928" i="17" s="1"/>
  <c r="Y927" i="17"/>
  <c r="Q927" i="17"/>
  <c r="Z927" i="17" s="1"/>
  <c r="O927" i="17"/>
  <c r="R927" i="17" s="1"/>
  <c r="Y925" i="17"/>
  <c r="Q925" i="17"/>
  <c r="Z925" i="17" s="1"/>
  <c r="O925" i="17"/>
  <c r="R925" i="17" s="1"/>
  <c r="Y926" i="17"/>
  <c r="Q926" i="17"/>
  <c r="Z926" i="17" s="1"/>
  <c r="O926" i="17"/>
  <c r="R926" i="17" s="1"/>
  <c r="Y922" i="17"/>
  <c r="Q922" i="17"/>
  <c r="Z922" i="17" s="1"/>
  <c r="O922" i="17"/>
  <c r="R922" i="17" s="1"/>
  <c r="Y920" i="17"/>
  <c r="Q920" i="17"/>
  <c r="Z920" i="17" s="1"/>
  <c r="O920" i="17"/>
  <c r="R920" i="17" s="1"/>
  <c r="Y921" i="17"/>
  <c r="Q921" i="17"/>
  <c r="Z921" i="17" s="1"/>
  <c r="O921" i="17"/>
  <c r="R921" i="17" s="1"/>
  <c r="Y919" i="17"/>
  <c r="Q919" i="17"/>
  <c r="Z919" i="17" s="1"/>
  <c r="O919" i="17"/>
  <c r="R919" i="17" s="1"/>
  <c r="Y917" i="17"/>
  <c r="Q917" i="17"/>
  <c r="Z917" i="17" s="1"/>
  <c r="O917" i="17"/>
  <c r="R917" i="17" s="1"/>
  <c r="Y918" i="17"/>
  <c r="Q918" i="17"/>
  <c r="O918" i="17"/>
  <c r="R918" i="17" s="1"/>
  <c r="Y916" i="17"/>
  <c r="Q916" i="17"/>
  <c r="O916" i="17"/>
  <c r="R916" i="17" s="1"/>
  <c r="Y915" i="17"/>
  <c r="Q915" i="17"/>
  <c r="Z915" i="17" s="1"/>
  <c r="O915" i="17"/>
  <c r="R915" i="17" s="1"/>
  <c r="Y914" i="17"/>
  <c r="Q914" i="17"/>
  <c r="W914" i="17" s="1"/>
  <c r="O914" i="17"/>
  <c r="R914" i="17" s="1"/>
  <c r="Y913" i="17"/>
  <c r="Q913" i="17"/>
  <c r="Z913" i="17" s="1"/>
  <c r="O913" i="17"/>
  <c r="R913" i="17" s="1"/>
  <c r="Y912" i="17"/>
  <c r="L911" i="17"/>
  <c r="Q911" i="17" s="1"/>
  <c r="Z911" i="17" s="1"/>
  <c r="Y911" i="17"/>
  <c r="Y910" i="17"/>
  <c r="Q910" i="17"/>
  <c r="Z910" i="17" s="1"/>
  <c r="O910" i="17"/>
  <c r="R910" i="17" s="1"/>
  <c r="Y909" i="17"/>
  <c r="Q909" i="17"/>
  <c r="Z909" i="17" s="1"/>
  <c r="O909" i="17"/>
  <c r="R909" i="17" s="1"/>
  <c r="Y908" i="17"/>
  <c r="Q908" i="17"/>
  <c r="Z908" i="17" s="1"/>
  <c r="O908" i="17"/>
  <c r="R908" i="17" s="1"/>
  <c r="Y907" i="17"/>
  <c r="Q907" i="17"/>
  <c r="Z907" i="17" s="1"/>
  <c r="O907" i="17"/>
  <c r="R907" i="17" s="1"/>
  <c r="Y905" i="17"/>
  <c r="Q905" i="17"/>
  <c r="K905" i="17" s="1"/>
  <c r="W905" i="17" s="1"/>
  <c r="O905" i="17"/>
  <c r="R905" i="17" s="1"/>
  <c r="Q906" i="17"/>
  <c r="Z906" i="17" s="1"/>
  <c r="Y906" i="17"/>
  <c r="O906" i="17"/>
  <c r="R906" i="17" s="1"/>
  <c r="Y904" i="17"/>
  <c r="Q904" i="17"/>
  <c r="O904" i="17"/>
  <c r="R904" i="17" s="1"/>
  <c r="Y903" i="17"/>
  <c r="Q903" i="17"/>
  <c r="O903" i="17"/>
  <c r="R903" i="17" s="1"/>
  <c r="Y902" i="17"/>
  <c r="Q902" i="17"/>
  <c r="Z902" i="17" s="1"/>
  <c r="O902" i="17"/>
  <c r="R902" i="17" s="1"/>
  <c r="Y901" i="17"/>
  <c r="Q901" i="17"/>
  <c r="Z901" i="17" s="1"/>
  <c r="O901" i="17"/>
  <c r="R901" i="17" s="1"/>
  <c r="Y900" i="17"/>
  <c r="Q900" i="17"/>
  <c r="Z900" i="17" s="1"/>
  <c r="O900" i="17"/>
  <c r="R900" i="17" s="1"/>
  <c r="C201" i="1"/>
  <c r="J201" i="1"/>
  <c r="K201" i="1" s="1"/>
  <c r="G5" i="30"/>
  <c r="F6" i="30"/>
  <c r="F7" i="30"/>
  <c r="G7" i="30"/>
  <c r="F8" i="30"/>
  <c r="G8" i="30"/>
  <c r="F9" i="30"/>
  <c r="G9" i="30"/>
  <c r="F10" i="30"/>
  <c r="G10" i="30"/>
  <c r="F11" i="30"/>
  <c r="G11" i="30"/>
  <c r="F12" i="30"/>
  <c r="G12" i="30"/>
  <c r="F13" i="30"/>
  <c r="E13" i="30"/>
  <c r="E12" i="30"/>
  <c r="E11" i="30"/>
  <c r="E10" i="30"/>
  <c r="E9" i="30"/>
  <c r="E8" i="30"/>
  <c r="E7" i="30"/>
  <c r="E6" i="30"/>
  <c r="E5" i="30"/>
  <c r="E4" i="30"/>
  <c r="E3" i="30"/>
  <c r="E2" i="30"/>
  <c r="C3" i="30"/>
  <c r="D3" i="30"/>
  <c r="C4" i="30"/>
  <c r="D4" i="30"/>
  <c r="C5" i="30"/>
  <c r="D5" i="30"/>
  <c r="C6" i="30"/>
  <c r="D6" i="30"/>
  <c r="C7" i="30"/>
  <c r="D7" i="30"/>
  <c r="C8" i="30"/>
  <c r="D8" i="30"/>
  <c r="C9" i="30"/>
  <c r="D9" i="30"/>
  <c r="C10" i="30"/>
  <c r="D10" i="30"/>
  <c r="C11" i="30"/>
  <c r="D11" i="30"/>
  <c r="C12" i="30"/>
  <c r="D12" i="30"/>
  <c r="C13" i="30"/>
  <c r="D13" i="30"/>
  <c r="D2" i="30"/>
  <c r="C2" i="30"/>
  <c r="C200" i="1"/>
  <c r="L899" i="17"/>
  <c r="Y899" i="17"/>
  <c r="L898" i="17"/>
  <c r="Q898" i="17" s="1"/>
  <c r="Y898" i="17"/>
  <c r="Y897" i="17"/>
  <c r="Q897" i="17"/>
  <c r="O897" i="17"/>
  <c r="R897" i="17" s="1"/>
  <c r="Y896" i="17"/>
  <c r="Q896" i="17"/>
  <c r="K896" i="17" s="1"/>
  <c r="W896" i="17" s="1"/>
  <c r="O896" i="17"/>
  <c r="P896" i="17" s="1"/>
  <c r="Y895" i="17"/>
  <c r="Q895" i="17"/>
  <c r="O895" i="17"/>
  <c r="R895" i="17" s="1"/>
  <c r="Y894" i="17"/>
  <c r="Q894" i="17"/>
  <c r="Z894" i="17" s="1"/>
  <c r="O894" i="17"/>
  <c r="P894" i="17" s="1"/>
  <c r="Y893" i="17"/>
  <c r="Q893" i="17"/>
  <c r="Z893" i="17" s="1"/>
  <c r="O893" i="17"/>
  <c r="P893" i="17" s="1"/>
  <c r="Y892" i="17"/>
  <c r="Q892" i="17"/>
  <c r="Z892" i="17" s="1"/>
  <c r="O892" i="17"/>
  <c r="P892" i="17" s="1"/>
  <c r="Y891" i="17"/>
  <c r="Q891" i="17"/>
  <c r="Z891" i="17" s="1"/>
  <c r="O891" i="17"/>
  <c r="P891" i="17" s="1"/>
  <c r="Y890" i="17"/>
  <c r="Q890" i="17"/>
  <c r="Z890" i="17" s="1"/>
  <c r="O890" i="17"/>
  <c r="P890" i="17" s="1"/>
  <c r="Y889" i="17"/>
  <c r="Q889" i="17"/>
  <c r="Z889" i="17" s="1"/>
  <c r="O889" i="17"/>
  <c r="P889" i="17" s="1"/>
  <c r="Y888" i="17"/>
  <c r="Q888" i="17"/>
  <c r="Z888" i="17" s="1"/>
  <c r="O888" i="17"/>
  <c r="P888" i="17" s="1"/>
  <c r="Y887" i="17"/>
  <c r="Q887" i="17"/>
  <c r="Z887" i="17" s="1"/>
  <c r="O887" i="17"/>
  <c r="P887" i="17" s="1"/>
  <c r="Y886" i="17"/>
  <c r="Q886" i="17"/>
  <c r="K886" i="17" s="1"/>
  <c r="W886" i="17" s="1"/>
  <c r="O886" i="17"/>
  <c r="R886" i="17" s="1"/>
  <c r="Y885" i="17"/>
  <c r="Q885" i="17"/>
  <c r="Z885" i="17" s="1"/>
  <c r="O885" i="17"/>
  <c r="P885" i="17" s="1"/>
  <c r="Y884" i="17"/>
  <c r="Q884" i="17"/>
  <c r="Z884" i="17" s="1"/>
  <c r="O884" i="17"/>
  <c r="P884" i="17" s="1"/>
  <c r="Y883" i="17"/>
  <c r="Q883" i="17"/>
  <c r="Z883" i="17" s="1"/>
  <c r="O883" i="17"/>
  <c r="P883" i="17" s="1"/>
  <c r="L882" i="17"/>
  <c r="Y882" i="17"/>
  <c r="Y881" i="17"/>
  <c r="Q881" i="17"/>
  <c r="Z881" i="17" s="1"/>
  <c r="O881" i="17"/>
  <c r="P881" i="17" s="1"/>
  <c r="Y880" i="17"/>
  <c r="Q880" i="17"/>
  <c r="O880" i="17"/>
  <c r="R880" i="17" s="1"/>
  <c r="Y879" i="17"/>
  <c r="Q879" i="17"/>
  <c r="K879" i="17" s="1"/>
  <c r="W879" i="17" s="1"/>
  <c r="O879" i="17"/>
  <c r="R879" i="17" s="1"/>
  <c r="Y878" i="17"/>
  <c r="Q878" i="17"/>
  <c r="W878" i="17" s="1"/>
  <c r="O878" i="17"/>
  <c r="R878" i="17" s="1"/>
  <c r="Y877" i="17"/>
  <c r="Q877" i="17"/>
  <c r="Z877" i="17" s="1"/>
  <c r="O877" i="17"/>
  <c r="P877" i="17" s="1"/>
  <c r="Y876" i="17"/>
  <c r="Q876" i="17"/>
  <c r="Z876" i="17" s="1"/>
  <c r="O876" i="17"/>
  <c r="P876" i="17" s="1"/>
  <c r="Y875" i="17"/>
  <c r="Q875" i="17"/>
  <c r="O875" i="17"/>
  <c r="P875" i="17" s="1"/>
  <c r="L872" i="17"/>
  <c r="O872" i="17" s="1"/>
  <c r="R872" i="17" s="1"/>
  <c r="Y873" i="17"/>
  <c r="Q873" i="17"/>
  <c r="Z873" i="17" s="1"/>
  <c r="O873" i="17"/>
  <c r="R873" i="17" s="1"/>
  <c r="Y872" i="17"/>
  <c r="Y871" i="17"/>
  <c r="Q871" i="17"/>
  <c r="Z871" i="17" s="1"/>
  <c r="O871" i="17"/>
  <c r="R871" i="17" s="1"/>
  <c r="Y870" i="17"/>
  <c r="Q870" i="17"/>
  <c r="W870" i="17" s="1"/>
  <c r="O870" i="17"/>
  <c r="R870" i="17" s="1"/>
  <c r="Y869" i="17"/>
  <c r="Q869" i="17"/>
  <c r="Z869" i="17" s="1"/>
  <c r="O869" i="17"/>
  <c r="R869" i="17" s="1"/>
  <c r="Y868" i="17"/>
  <c r="Q868" i="17"/>
  <c r="Z868" i="17" s="1"/>
  <c r="O868" i="17"/>
  <c r="P868" i="17" s="1"/>
  <c r="L867" i="17"/>
  <c r="Q867" i="17" s="1"/>
  <c r="Y867" i="17"/>
  <c r="Y866" i="17"/>
  <c r="Q866" i="17"/>
  <c r="Z866" i="17" s="1"/>
  <c r="O866" i="17"/>
  <c r="P866" i="17" s="1"/>
  <c r="Y865" i="17"/>
  <c r="Q865" i="17"/>
  <c r="Z865" i="17" s="1"/>
  <c r="O865" i="17"/>
  <c r="P865" i="17" s="1"/>
  <c r="Y864" i="17"/>
  <c r="Q864" i="17"/>
  <c r="K864" i="17" s="1"/>
  <c r="W864" i="17" s="1"/>
  <c r="O864" i="17"/>
  <c r="R864" i="17" s="1"/>
  <c r="Y863" i="17"/>
  <c r="Q863" i="17"/>
  <c r="W863" i="17" s="1"/>
  <c r="O863" i="17"/>
  <c r="P863" i="17" s="1"/>
  <c r="Y862" i="17"/>
  <c r="Q862" i="17"/>
  <c r="K862" i="17" s="1"/>
  <c r="W862" i="17" s="1"/>
  <c r="O862" i="17"/>
  <c r="R862" i="17" s="1"/>
  <c r="Y861" i="17"/>
  <c r="Q861" i="17"/>
  <c r="Z861" i="17" s="1"/>
  <c r="O861" i="17"/>
  <c r="R861" i="17" s="1"/>
  <c r="Y860" i="17"/>
  <c r="Q860" i="17"/>
  <c r="K860" i="17" s="1"/>
  <c r="W860" i="17" s="1"/>
  <c r="O860" i="17"/>
  <c r="R860" i="17" s="1"/>
  <c r="Y859" i="17"/>
  <c r="Q859" i="17"/>
  <c r="K859" i="17" s="1"/>
  <c r="W859" i="17" s="1"/>
  <c r="O859" i="17"/>
  <c r="R859" i="17" s="1"/>
  <c r="Y858" i="17"/>
  <c r="Q858" i="17"/>
  <c r="Z858" i="17" s="1"/>
  <c r="O858" i="17"/>
  <c r="P858" i="17" s="1"/>
  <c r="Y857" i="17"/>
  <c r="Q857" i="17"/>
  <c r="W857" i="17" s="1"/>
  <c r="O857" i="17"/>
  <c r="P857" i="17" s="1"/>
  <c r="Y856" i="17"/>
  <c r="Q856" i="17"/>
  <c r="O856" i="17"/>
  <c r="R856" i="17" s="1"/>
  <c r="Y855" i="17"/>
  <c r="Q855" i="17"/>
  <c r="Z855" i="17" s="1"/>
  <c r="O855" i="17"/>
  <c r="P855" i="17" s="1"/>
  <c r="Y854" i="17"/>
  <c r="Q854" i="17"/>
  <c r="K854" i="17" s="1"/>
  <c r="W854" i="17" s="1"/>
  <c r="O854" i="17"/>
  <c r="R854" i="17" s="1"/>
  <c r="Y853" i="17"/>
  <c r="Q853" i="17"/>
  <c r="W853" i="17" s="1"/>
  <c r="O853" i="17"/>
  <c r="R853" i="17" s="1"/>
  <c r="Y852" i="17"/>
  <c r="L852" i="17"/>
  <c r="Q852" i="17" s="1"/>
  <c r="W852" i="17" s="1"/>
  <c r="Y851" i="17"/>
  <c r="Q851" i="17"/>
  <c r="K851" i="17" s="1"/>
  <c r="W851" i="17" s="1"/>
  <c r="O851" i="17"/>
  <c r="P851" i="17" s="1"/>
  <c r="Y850" i="17"/>
  <c r="Q850" i="17"/>
  <c r="Z850" i="17" s="1"/>
  <c r="O850" i="17"/>
  <c r="P850" i="17" s="1"/>
  <c r="Y849" i="17"/>
  <c r="Q849" i="17"/>
  <c r="K849" i="17" s="1"/>
  <c r="W849" i="17" s="1"/>
  <c r="O849" i="17"/>
  <c r="R849" i="17" s="1"/>
  <c r="Y848" i="17"/>
  <c r="Q848" i="17"/>
  <c r="Z848" i="17" s="1"/>
  <c r="O848" i="17"/>
  <c r="P848" i="17" s="1"/>
  <c r="Y847" i="17"/>
  <c r="Q847" i="17"/>
  <c r="K847" i="17" s="1"/>
  <c r="W847" i="17" s="1"/>
  <c r="O847" i="17"/>
  <c r="Y842" i="17"/>
  <c r="Q842" i="17"/>
  <c r="Z842" i="17" s="1"/>
  <c r="O842" i="17"/>
  <c r="P842" i="17" s="1"/>
  <c r="Y843" i="17"/>
  <c r="L843" i="17"/>
  <c r="O843" i="17" s="1"/>
  <c r="Y844" i="17"/>
  <c r="Q844" i="17"/>
  <c r="Z844" i="17" s="1"/>
  <c r="O844" i="17"/>
  <c r="R844" i="17" s="1"/>
  <c r="Y845" i="17"/>
  <c r="Q845" i="17"/>
  <c r="Z845" i="17" s="1"/>
  <c r="O845" i="17"/>
  <c r="P845" i="17" s="1"/>
  <c r="Y846" i="17"/>
  <c r="L846" i="17"/>
  <c r="Q846" i="17" s="1"/>
  <c r="Z846" i="17" s="1"/>
  <c r="Y841" i="17"/>
  <c r="Q841" i="17"/>
  <c r="O841" i="17"/>
  <c r="R841" i="17" s="1"/>
  <c r="Y840" i="17"/>
  <c r="Q840" i="17"/>
  <c r="Z840" i="17" s="1"/>
  <c r="O840" i="17"/>
  <c r="P840" i="17" s="1"/>
  <c r="Y839" i="17"/>
  <c r="Y838" i="17"/>
  <c r="Q838" i="17"/>
  <c r="Z838" i="17" s="1"/>
  <c r="O838" i="17"/>
  <c r="R838" i="17" s="1"/>
  <c r="Y837" i="17"/>
  <c r="Q837" i="17"/>
  <c r="Z837" i="17" s="1"/>
  <c r="O837" i="17"/>
  <c r="R837" i="17" s="1"/>
  <c r="Y836" i="17"/>
  <c r="Q836" i="17"/>
  <c r="Z836" i="17" s="1"/>
  <c r="O836" i="17"/>
  <c r="P836" i="17" s="1"/>
  <c r="L839" i="17"/>
  <c r="Q839" i="17" s="1"/>
  <c r="Z839" i="17" s="1"/>
  <c r="H198" i="1"/>
  <c r="H197" i="1"/>
  <c r="J197" i="1" s="1"/>
  <c r="K197" i="1" s="1"/>
  <c r="J196" i="1"/>
  <c r="K196" i="1"/>
  <c r="J198" i="1"/>
  <c r="K198" i="1" s="1"/>
  <c r="J199" i="1"/>
  <c r="K199" i="1" s="1"/>
  <c r="C199" i="1"/>
  <c r="C198" i="1"/>
  <c r="C197" i="1"/>
  <c r="C196" i="1"/>
  <c r="H195" i="1"/>
  <c r="J195" i="1" s="1"/>
  <c r="K195" i="1" s="1"/>
  <c r="C195" i="1"/>
  <c r="C194" i="1"/>
  <c r="H194" i="1"/>
  <c r="B11" i="9" s="1"/>
  <c r="N11" i="9" s="1"/>
  <c r="Y767" i="17"/>
  <c r="Y835" i="17"/>
  <c r="Q835" i="17"/>
  <c r="W835" i="17" s="1"/>
  <c r="O835" i="17"/>
  <c r="R835" i="17" s="1"/>
  <c r="Y834" i="17"/>
  <c r="Q834" i="17"/>
  <c r="Z834" i="17" s="1"/>
  <c r="O834" i="17"/>
  <c r="P834" i="17" s="1"/>
  <c r="Y833" i="17"/>
  <c r="L833" i="17"/>
  <c r="O833" i="17" s="1"/>
  <c r="P833" i="17" s="1"/>
  <c r="Y832" i="17"/>
  <c r="Q832" i="17"/>
  <c r="Z832" i="17" s="1"/>
  <c r="O832" i="17"/>
  <c r="P832" i="17" s="1"/>
  <c r="Y831" i="17"/>
  <c r="Q831" i="17"/>
  <c r="W831" i="17" s="1"/>
  <c r="O831" i="17"/>
  <c r="R831" i="17" s="1"/>
  <c r="Y830" i="17"/>
  <c r="Q830" i="17"/>
  <c r="W830" i="17" s="1"/>
  <c r="O830" i="17"/>
  <c r="R830" i="17" s="1"/>
  <c r="Y829" i="17"/>
  <c r="Q829" i="17"/>
  <c r="W829" i="17" s="1"/>
  <c r="O829" i="17"/>
  <c r="R829" i="17" s="1"/>
  <c r="Y828" i="17"/>
  <c r="Q828" i="17"/>
  <c r="K828" i="17" s="1"/>
  <c r="W828" i="17" s="1"/>
  <c r="O828" i="17"/>
  <c r="R828" i="17" s="1"/>
  <c r="Y827" i="17"/>
  <c r="Q827" i="17"/>
  <c r="Z827" i="17" s="1"/>
  <c r="O827" i="17"/>
  <c r="P827" i="17" s="1"/>
  <c r="Y826" i="17"/>
  <c r="Q826" i="17"/>
  <c r="Z826" i="17" s="1"/>
  <c r="O826" i="17"/>
  <c r="P826" i="17" s="1"/>
  <c r="Y825" i="17"/>
  <c r="Q825" i="17"/>
  <c r="K825" i="17" s="1"/>
  <c r="W825" i="17" s="1"/>
  <c r="O825" i="17"/>
  <c r="R825" i="17" s="1"/>
  <c r="Y824" i="17"/>
  <c r="Q824" i="17"/>
  <c r="Z824" i="17" s="1"/>
  <c r="O824" i="17"/>
  <c r="P824" i="17" s="1"/>
  <c r="Y823" i="17"/>
  <c r="Q823" i="17"/>
  <c r="Z823" i="17" s="1"/>
  <c r="O823" i="17"/>
  <c r="P823" i="17" s="1"/>
  <c r="Y822" i="17"/>
  <c r="Q822" i="17"/>
  <c r="K822" i="17" s="1"/>
  <c r="W822" i="17" s="1"/>
  <c r="O822" i="17"/>
  <c r="R822" i="17" s="1"/>
  <c r="Y821" i="17"/>
  <c r="Q821" i="17"/>
  <c r="W821" i="17" s="1"/>
  <c r="O821" i="17"/>
  <c r="R821" i="17" s="1"/>
  <c r="Y820" i="17"/>
  <c r="Q820" i="17"/>
  <c r="O820" i="17"/>
  <c r="R820" i="17" s="1"/>
  <c r="Y819" i="17"/>
  <c r="Q819" i="17"/>
  <c r="Z819" i="17" s="1"/>
  <c r="O819" i="17"/>
  <c r="P819" i="17" s="1"/>
  <c r="Y818" i="17"/>
  <c r="Q818" i="17"/>
  <c r="Z818" i="17" s="1"/>
  <c r="O818" i="17"/>
  <c r="P818" i="17" s="1"/>
  <c r="Y817" i="17"/>
  <c r="Q817" i="17"/>
  <c r="W817" i="17" s="1"/>
  <c r="O817" i="17"/>
  <c r="R817" i="17" s="1"/>
  <c r="Y816" i="17"/>
  <c r="Q816" i="17"/>
  <c r="Z816" i="17" s="1"/>
  <c r="O816" i="17"/>
  <c r="P816" i="17" s="1"/>
  <c r="Y815" i="17"/>
  <c r="Q815" i="17"/>
  <c r="W815" i="17" s="1"/>
  <c r="O815" i="17"/>
  <c r="R815" i="17" s="1"/>
  <c r="L814" i="17"/>
  <c r="Q814" i="17" s="1"/>
  <c r="Z814" i="17" s="1"/>
  <c r="Y814" i="17"/>
  <c r="Y813" i="17"/>
  <c r="Q813" i="17"/>
  <c r="Z813" i="17" s="1"/>
  <c r="O813" i="17"/>
  <c r="P813" i="17" s="1"/>
  <c r="Y812" i="17"/>
  <c r="Q812" i="17"/>
  <c r="W812" i="17" s="1"/>
  <c r="O812" i="17"/>
  <c r="P812" i="17" s="1"/>
  <c r="Y811" i="17"/>
  <c r="Q811" i="17"/>
  <c r="Z811" i="17" s="1"/>
  <c r="O811" i="17"/>
  <c r="P811" i="17" s="1"/>
  <c r="Y810" i="17"/>
  <c r="Q810" i="17"/>
  <c r="Z810" i="17" s="1"/>
  <c r="O810" i="17"/>
  <c r="P810" i="17" s="1"/>
  <c r="Y809" i="17"/>
  <c r="Q809" i="17"/>
  <c r="Z809" i="17" s="1"/>
  <c r="O809" i="17"/>
  <c r="P809" i="17" s="1"/>
  <c r="Y808" i="17"/>
  <c r="Q808" i="17"/>
  <c r="Z808" i="17" s="1"/>
  <c r="O808" i="17"/>
  <c r="P808" i="17" s="1"/>
  <c r="Y807" i="17"/>
  <c r="Q807" i="17"/>
  <c r="K807" i="17" s="1"/>
  <c r="W807" i="17" s="1"/>
  <c r="O807" i="17"/>
  <c r="R807" i="17" s="1"/>
  <c r="Y806" i="17"/>
  <c r="Q806" i="17"/>
  <c r="K806" i="17" s="1"/>
  <c r="O806" i="17"/>
  <c r="P806" i="17" s="1"/>
  <c r="Y805" i="17"/>
  <c r="Q805" i="17"/>
  <c r="K805" i="17" s="1"/>
  <c r="W805" i="17" s="1"/>
  <c r="O805" i="17"/>
  <c r="R805" i="17" s="1"/>
  <c r="Y804" i="17"/>
  <c r="Q804" i="17"/>
  <c r="Z804" i="17" s="1"/>
  <c r="O804" i="17"/>
  <c r="P804" i="17" s="1"/>
  <c r="Y803" i="17"/>
  <c r="Q803" i="17"/>
  <c r="Z803" i="17" s="1"/>
  <c r="O803" i="17"/>
  <c r="P803" i="17" s="1"/>
  <c r="Y802" i="17"/>
  <c r="Q802" i="17"/>
  <c r="Z802" i="17" s="1"/>
  <c r="O802" i="17"/>
  <c r="P802" i="17" s="1"/>
  <c r="Y801" i="17"/>
  <c r="Q801" i="17"/>
  <c r="O801" i="17"/>
  <c r="R801" i="17" s="1"/>
  <c r="Y800" i="17"/>
  <c r="Q800" i="17"/>
  <c r="Z800" i="17" s="1"/>
  <c r="O800" i="17"/>
  <c r="P800" i="17" s="1"/>
  <c r="L799" i="17"/>
  <c r="Q799" i="17" s="1"/>
  <c r="Z799" i="17" s="1"/>
  <c r="Y799" i="17"/>
  <c r="Y798" i="17"/>
  <c r="Q798" i="17"/>
  <c r="Z798" i="17" s="1"/>
  <c r="O798" i="17"/>
  <c r="P798" i="17" s="1"/>
  <c r="L797" i="17"/>
  <c r="Y797" i="17"/>
  <c r="Y796" i="17"/>
  <c r="Q796" i="17"/>
  <c r="Z796" i="17" s="1"/>
  <c r="O796" i="17"/>
  <c r="P796" i="17" s="1"/>
  <c r="Y795" i="17"/>
  <c r="Q795" i="17"/>
  <c r="K795" i="17" s="1"/>
  <c r="W795" i="17" s="1"/>
  <c r="O795" i="17"/>
  <c r="P795" i="17" s="1"/>
  <c r="Y794" i="17"/>
  <c r="Q794" i="17"/>
  <c r="Z794" i="17" s="1"/>
  <c r="O794" i="17"/>
  <c r="P794" i="17" s="1"/>
  <c r="Y793" i="17"/>
  <c r="Q793" i="17"/>
  <c r="W793" i="17" s="1"/>
  <c r="O793" i="17"/>
  <c r="P793" i="17" s="1"/>
  <c r="Y792" i="17"/>
  <c r="Q792" i="17"/>
  <c r="Z792" i="17" s="1"/>
  <c r="O792" i="17"/>
  <c r="P792" i="17" s="1"/>
  <c r="Y791" i="17"/>
  <c r="Q791" i="17"/>
  <c r="K791" i="17" s="1"/>
  <c r="W791" i="17" s="1"/>
  <c r="O791" i="17"/>
  <c r="R791" i="17" s="1"/>
  <c r="Y790" i="17"/>
  <c r="Q790" i="17"/>
  <c r="K790" i="17" s="1"/>
  <c r="W790" i="17" s="1"/>
  <c r="O790" i="17"/>
  <c r="R790" i="17" s="1"/>
  <c r="Y789" i="17"/>
  <c r="Q789" i="17"/>
  <c r="Z789" i="17" s="1"/>
  <c r="O789" i="17"/>
  <c r="P789" i="17" s="1"/>
  <c r="Y788" i="17"/>
  <c r="Q788" i="17"/>
  <c r="O788" i="17"/>
  <c r="R788" i="17" s="1"/>
  <c r="Y787" i="17"/>
  <c r="Q787" i="17"/>
  <c r="Z787" i="17" s="1"/>
  <c r="O787" i="17"/>
  <c r="P787" i="17" s="1"/>
  <c r="Y786" i="17"/>
  <c r="Q786" i="17"/>
  <c r="K786" i="17" s="1"/>
  <c r="W786" i="17" s="1"/>
  <c r="O786" i="17"/>
  <c r="P786" i="17" s="1"/>
  <c r="L785" i="17"/>
  <c r="Q785" i="17" s="1"/>
  <c r="Z785" i="17" s="1"/>
  <c r="Y785" i="17"/>
  <c r="Y784" i="17"/>
  <c r="Q784" i="17"/>
  <c r="Z784" i="17" s="1"/>
  <c r="O784" i="17"/>
  <c r="P784" i="17" s="1"/>
  <c r="Q783" i="17"/>
  <c r="Z783" i="17" s="1"/>
  <c r="Y783" i="17"/>
  <c r="Y782" i="17"/>
  <c r="Q782" i="17"/>
  <c r="Z782" i="17" s="1"/>
  <c r="O782" i="17"/>
  <c r="R782" i="17" s="1"/>
  <c r="J193" i="1"/>
  <c r="K193" i="1" s="1"/>
  <c r="C193" i="1"/>
  <c r="J192" i="1"/>
  <c r="K192" i="1" s="1"/>
  <c r="C192" i="1"/>
  <c r="C191" i="1"/>
  <c r="C190" i="1"/>
  <c r="C189" i="1"/>
  <c r="J191" i="1"/>
  <c r="K191" i="1" s="1"/>
  <c r="J190" i="1"/>
  <c r="K190" i="1" s="1"/>
  <c r="J189" i="1"/>
  <c r="K189" i="1" s="1"/>
  <c r="J188" i="1"/>
  <c r="K188" i="1" s="1"/>
  <c r="C188" i="1"/>
  <c r="C187" i="1"/>
  <c r="J187" i="1"/>
  <c r="K187" i="1" s="1"/>
  <c r="C186" i="1"/>
  <c r="C185" i="1"/>
  <c r="Y781" i="17"/>
  <c r="Q781" i="17"/>
  <c r="Z781" i="17" s="1"/>
  <c r="O781" i="17"/>
  <c r="R781" i="17" s="1"/>
  <c r="Y780" i="17"/>
  <c r="Q780" i="17"/>
  <c r="Z780" i="17" s="1"/>
  <c r="O780" i="17"/>
  <c r="R780" i="17" s="1"/>
  <c r="Y779" i="17"/>
  <c r="Q779" i="17"/>
  <c r="Z779" i="17" s="1"/>
  <c r="O779" i="17"/>
  <c r="R779" i="17" s="1"/>
  <c r="Y778" i="17"/>
  <c r="Q778" i="17"/>
  <c r="Z778" i="17" s="1"/>
  <c r="O778" i="17"/>
  <c r="R778" i="17" s="1"/>
  <c r="Y777" i="17"/>
  <c r="Q777" i="17"/>
  <c r="Z777" i="17" s="1"/>
  <c r="O777" i="17"/>
  <c r="R777" i="17" s="1"/>
  <c r="Y776" i="17"/>
  <c r="Q776" i="17"/>
  <c r="O776" i="17"/>
  <c r="R776" i="17" s="1"/>
  <c r="Y775" i="17"/>
  <c r="Q775" i="17"/>
  <c r="Z775" i="17" s="1"/>
  <c r="O775" i="17"/>
  <c r="R775" i="17" s="1"/>
  <c r="Y774" i="17"/>
  <c r="Q774" i="17"/>
  <c r="W774" i="17" s="1"/>
  <c r="O774" i="17"/>
  <c r="R774" i="17" s="1"/>
  <c r="Y773" i="17"/>
  <c r="Q773" i="17"/>
  <c r="Z773" i="17" s="1"/>
  <c r="O773" i="17"/>
  <c r="P773" i="17" s="1"/>
  <c r="Y772" i="17"/>
  <c r="Q772" i="17"/>
  <c r="O772" i="17"/>
  <c r="R772" i="17" s="1"/>
  <c r="Y771" i="17"/>
  <c r="Q771" i="17"/>
  <c r="Z771" i="17" s="1"/>
  <c r="O771" i="17"/>
  <c r="R771" i="17" s="1"/>
  <c r="Y770" i="17"/>
  <c r="Q770" i="17"/>
  <c r="Z770" i="17" s="1"/>
  <c r="O770" i="17"/>
  <c r="R770" i="17" s="1"/>
  <c r="Y769" i="17"/>
  <c r="Q769" i="17"/>
  <c r="Z769" i="17" s="1"/>
  <c r="O769" i="17"/>
  <c r="R769" i="17" s="1"/>
  <c r="Y768" i="17"/>
  <c r="Q768" i="17"/>
  <c r="Z768" i="17" s="1"/>
  <c r="O768" i="17"/>
  <c r="P768" i="17" s="1"/>
  <c r="Q767" i="17"/>
  <c r="Z767" i="17" s="1"/>
  <c r="L766" i="17"/>
  <c r="Y766" i="17"/>
  <c r="Y765" i="17"/>
  <c r="Q765" i="17"/>
  <c r="Z765" i="17" s="1"/>
  <c r="O765" i="17"/>
  <c r="R765" i="17" s="1"/>
  <c r="Y764" i="17"/>
  <c r="Q764" i="17"/>
  <c r="Z764" i="17" s="1"/>
  <c r="O764" i="17"/>
  <c r="R764" i="17" s="1"/>
  <c r="Y763" i="17"/>
  <c r="Q763" i="17"/>
  <c r="Z763" i="17" s="1"/>
  <c r="O763" i="17"/>
  <c r="R763" i="17" s="1"/>
  <c r="Y762" i="17"/>
  <c r="O762" i="17"/>
  <c r="P762" i="17" s="1"/>
  <c r="Y761" i="17"/>
  <c r="Q761" i="17"/>
  <c r="Z761" i="17" s="1"/>
  <c r="O761" i="17"/>
  <c r="P761" i="17" s="1"/>
  <c r="Y760" i="17"/>
  <c r="Q760" i="17"/>
  <c r="Z760" i="17" s="1"/>
  <c r="O760" i="17"/>
  <c r="P760" i="17" s="1"/>
  <c r="Y759" i="17"/>
  <c r="Q759" i="17"/>
  <c r="Z759" i="17" s="1"/>
  <c r="O759" i="17"/>
  <c r="R759" i="17" s="1"/>
  <c r="Y758" i="17"/>
  <c r="Q758" i="17"/>
  <c r="Z758" i="17" s="1"/>
  <c r="O758" i="17"/>
  <c r="P758" i="17" s="1"/>
  <c r="L757" i="17"/>
  <c r="O757" i="17" s="1"/>
  <c r="P757" i="17" s="1"/>
  <c r="Y757" i="17"/>
  <c r="Y756" i="17"/>
  <c r="Q756" i="17"/>
  <c r="Z756" i="17" s="1"/>
  <c r="O756" i="17"/>
  <c r="R756" i="17" s="1"/>
  <c r="Y755" i="17"/>
  <c r="Q755" i="17"/>
  <c r="Z755" i="17" s="1"/>
  <c r="O755" i="17"/>
  <c r="P755" i="17" s="1"/>
  <c r="Y754" i="17"/>
  <c r="Q754" i="17"/>
  <c r="O754" i="17"/>
  <c r="R754" i="17" s="1"/>
  <c r="Y753" i="17"/>
  <c r="Q753" i="17"/>
  <c r="Z753" i="17" s="1"/>
  <c r="O753" i="17"/>
  <c r="P753" i="17" s="1"/>
  <c r="Y752" i="17"/>
  <c r="Q752" i="17"/>
  <c r="Z752" i="17" s="1"/>
  <c r="O752" i="17"/>
  <c r="P752" i="17" s="1"/>
  <c r="L751" i="17"/>
  <c r="Y751" i="17"/>
  <c r="Y750" i="17"/>
  <c r="Q750" i="17"/>
  <c r="Z750" i="17" s="1"/>
  <c r="O750" i="17"/>
  <c r="R750" i="17" s="1"/>
  <c r="Y749" i="17"/>
  <c r="Q749" i="17"/>
  <c r="Z749" i="17" s="1"/>
  <c r="O749" i="17"/>
  <c r="P749" i="17" s="1"/>
  <c r="Y748" i="17"/>
  <c r="Q748" i="17"/>
  <c r="Z748" i="17" s="1"/>
  <c r="O748" i="17"/>
  <c r="R748" i="17" s="1"/>
  <c r="Y747" i="17"/>
  <c r="Q747" i="17"/>
  <c r="Z747" i="17" s="1"/>
  <c r="O747" i="17"/>
  <c r="P747" i="17" s="1"/>
  <c r="L746" i="17"/>
  <c r="Q746" i="17" s="1"/>
  <c r="Z746" i="17" s="1"/>
  <c r="Y746" i="17"/>
  <c r="O746" i="17"/>
  <c r="R746" i="17" s="1"/>
  <c r="Y745" i="17"/>
  <c r="Q745" i="17"/>
  <c r="Z745" i="17" s="1"/>
  <c r="O745" i="17"/>
  <c r="P745" i="17" s="1"/>
  <c r="Y744" i="17"/>
  <c r="Q744" i="17"/>
  <c r="Z744" i="17" s="1"/>
  <c r="O744" i="17"/>
  <c r="P744" i="17" s="1"/>
  <c r="Y743" i="17"/>
  <c r="Q743" i="17"/>
  <c r="Z743" i="17" s="1"/>
  <c r="O743" i="17"/>
  <c r="P743" i="17" s="1"/>
  <c r="Y742" i="17"/>
  <c r="Q742" i="17"/>
  <c r="O742" i="17"/>
  <c r="R742" i="17" s="1"/>
  <c r="Y741" i="17"/>
  <c r="Q741" i="17"/>
  <c r="Y740" i="17"/>
  <c r="Q740" i="17"/>
  <c r="Z740" i="17" s="1"/>
  <c r="O740" i="17"/>
  <c r="R740" i="17" s="1"/>
  <c r="Y739" i="17"/>
  <c r="Q739" i="17"/>
  <c r="Z739" i="17" s="1"/>
  <c r="O739" i="17"/>
  <c r="R739" i="17" s="1"/>
  <c r="Y738" i="17"/>
  <c r="Q738" i="17"/>
  <c r="Z738" i="17" s="1"/>
  <c r="O738" i="17"/>
  <c r="P738" i="17" s="1"/>
  <c r="Y737" i="17"/>
  <c r="L737" i="17"/>
  <c r="O737" i="17" s="1"/>
  <c r="P737" i="17" s="1"/>
  <c r="Y736" i="17"/>
  <c r="Q736" i="17"/>
  <c r="Z736" i="17" s="1"/>
  <c r="O736" i="17"/>
  <c r="R736" i="17" s="1"/>
  <c r="Y735" i="17"/>
  <c r="Q735" i="17"/>
  <c r="Z735" i="17" s="1"/>
  <c r="O735" i="17"/>
  <c r="P735" i="17" s="1"/>
  <c r="Y734" i="17"/>
  <c r="Q734" i="17"/>
  <c r="Z734" i="17" s="1"/>
  <c r="O734" i="17"/>
  <c r="P734" i="17" s="1"/>
  <c r="L733" i="17"/>
  <c r="Q733" i="17" s="1"/>
  <c r="Y733" i="17"/>
  <c r="Y732" i="17"/>
  <c r="Q732" i="17"/>
  <c r="Z732" i="17" s="1"/>
  <c r="O732" i="17"/>
  <c r="P732" i="17" s="1"/>
  <c r="Y731" i="17"/>
  <c r="Q731" i="17"/>
  <c r="Z731" i="17" s="1"/>
  <c r="O731" i="17"/>
  <c r="R731" i="17" s="1"/>
  <c r="Y730" i="17"/>
  <c r="Q730" i="17"/>
  <c r="Z730" i="17" s="1"/>
  <c r="O730" i="17"/>
  <c r="R730" i="17" s="1"/>
  <c r="Y729" i="17"/>
  <c r="Q729" i="17"/>
  <c r="Z729" i="17" s="1"/>
  <c r="O729" i="17"/>
  <c r="P729" i="17" s="1"/>
  <c r="Y728" i="17"/>
  <c r="Q728" i="17"/>
  <c r="Z728" i="17" s="1"/>
  <c r="O728" i="17"/>
  <c r="R728" i="17" s="1"/>
  <c r="Y727" i="17"/>
  <c r="Q727" i="17"/>
  <c r="Z727" i="17" s="1"/>
  <c r="O727" i="17"/>
  <c r="P727" i="17" s="1"/>
  <c r="Y726" i="17"/>
  <c r="Q726" i="17"/>
  <c r="Z726" i="17" s="1"/>
  <c r="O726" i="17"/>
  <c r="P726" i="17" s="1"/>
  <c r="Y725" i="17"/>
  <c r="Q725" i="17"/>
  <c r="Z725" i="17" s="1"/>
  <c r="O725" i="17"/>
  <c r="P725" i="17" s="1"/>
  <c r="Y724" i="17"/>
  <c r="Q724" i="17"/>
  <c r="O724" i="17"/>
  <c r="P724" i="17" s="1"/>
  <c r="Y723" i="17"/>
  <c r="Q723" i="17"/>
  <c r="Z723" i="17" s="1"/>
  <c r="O723" i="17"/>
  <c r="P723" i="17" s="1"/>
  <c r="Y722" i="17"/>
  <c r="L722" i="17"/>
  <c r="Y721" i="17"/>
  <c r="Q721" i="17"/>
  <c r="Z721" i="17" s="1"/>
  <c r="O721" i="17"/>
  <c r="R721" i="17" s="1"/>
  <c r="Y720" i="17"/>
  <c r="Q720" i="17"/>
  <c r="Z720" i="17" s="1"/>
  <c r="O720" i="17"/>
  <c r="R720" i="17" s="1"/>
  <c r="Y719" i="17"/>
  <c r="Q719" i="17"/>
  <c r="Z719" i="17" s="1"/>
  <c r="O719" i="17"/>
  <c r="P719" i="17" s="1"/>
  <c r="Y718" i="17"/>
  <c r="L718" i="17"/>
  <c r="Q718" i="17" s="1"/>
  <c r="Y717" i="17"/>
  <c r="Q717" i="17"/>
  <c r="Z717" i="17" s="1"/>
  <c r="O717" i="17"/>
  <c r="R717" i="17" s="1"/>
  <c r="T756" i="17"/>
  <c r="T720" i="17"/>
  <c r="T731" i="17"/>
  <c r="T783" i="17"/>
  <c r="T860" i="17"/>
  <c r="T855" i="17"/>
  <c r="T871" i="17"/>
  <c r="T805" i="17"/>
  <c r="T761" i="17"/>
  <c r="T751" i="17"/>
  <c r="T719" i="17"/>
  <c r="T788" i="17"/>
  <c r="T752" i="17"/>
  <c r="T859" i="17"/>
  <c r="T728" i="17"/>
  <c r="T827" i="17"/>
  <c r="T868" i="17"/>
  <c r="T771" i="17"/>
  <c r="T723" i="17"/>
  <c r="T775" i="17"/>
  <c r="T816" i="17"/>
  <c r="T812" i="17"/>
  <c r="T820" i="17"/>
  <c r="T817" i="17"/>
  <c r="T770" i="17"/>
  <c r="T793" i="17"/>
  <c r="T844" i="17"/>
  <c r="T748" i="17"/>
  <c r="T834" i="17"/>
  <c r="T872" i="17"/>
  <c r="T811" i="17"/>
  <c r="T760" i="17"/>
  <c r="T768" i="17"/>
  <c r="T858" i="17"/>
  <c r="T808" i="17"/>
  <c r="T745" i="17"/>
  <c r="T755" i="17"/>
  <c r="T799" i="17"/>
  <c r="T873" i="17"/>
  <c r="T819" i="17"/>
  <c r="T802" i="17"/>
  <c r="T739" i="17"/>
  <c r="T735" i="17"/>
  <c r="T780" i="17"/>
  <c r="T794" i="17"/>
  <c r="T800" i="17"/>
  <c r="T789" i="17"/>
  <c r="T796" i="17"/>
  <c r="T798" i="17"/>
  <c r="T797" i="17"/>
  <c r="T776" i="17"/>
  <c r="T730" i="17"/>
  <c r="T862" i="17"/>
  <c r="T750" i="17"/>
  <c r="T830" i="17"/>
  <c r="T847" i="17"/>
  <c r="T852" i="17"/>
  <c r="T829" i="17"/>
  <c r="T744" i="17"/>
  <c r="T787" i="17"/>
  <c r="T764" i="17"/>
  <c r="T824" i="17"/>
  <c r="T734" i="17"/>
  <c r="T861" i="17"/>
  <c r="T849" i="17"/>
  <c r="T864" i="17"/>
  <c r="T826" i="17"/>
  <c r="T846" i="17"/>
  <c r="T822" i="17"/>
  <c r="T765" i="17"/>
  <c r="T842" i="17"/>
  <c r="T810" i="17"/>
  <c r="T759" i="17"/>
  <c r="T833" i="17"/>
  <c r="T854" i="17"/>
  <c r="T835" i="17"/>
  <c r="T865" i="17"/>
  <c r="T777" i="17"/>
  <c r="T762" i="17"/>
  <c r="T806" i="17"/>
  <c r="T848" i="17"/>
  <c r="T850" i="17"/>
  <c r="T828" i="17"/>
  <c r="T721" i="17"/>
  <c r="T801" i="17"/>
  <c r="T815" i="17"/>
  <c r="T870" i="17"/>
  <c r="T724" i="17"/>
  <c r="T784" i="17"/>
  <c r="T729" i="17"/>
  <c r="T838" i="17"/>
  <c r="T832" i="17"/>
  <c r="T740" i="17"/>
  <c r="T790" i="17"/>
  <c r="T786" i="17"/>
  <c r="T792" i="17"/>
  <c r="T732" i="17"/>
  <c r="T754" i="17"/>
  <c r="T813" i="17"/>
  <c r="T821" i="17"/>
  <c r="T757" i="17"/>
  <c r="T737" i="17"/>
  <c r="T807" i="17"/>
  <c r="T774" i="17"/>
  <c r="T722" i="17"/>
  <c r="T840" i="17"/>
  <c r="T841" i="17"/>
  <c r="T853" i="17"/>
  <c r="T743" i="17"/>
  <c r="T763" i="17"/>
  <c r="T843" i="17"/>
  <c r="T825" i="17"/>
  <c r="T758" i="17"/>
  <c r="T725" i="17"/>
  <c r="T856" i="17"/>
  <c r="T869" i="17"/>
  <c r="T741" i="17"/>
  <c r="T738" i="17"/>
  <c r="T803" i="17"/>
  <c r="T791" i="17"/>
  <c r="T781" i="17"/>
  <c r="T769" i="17"/>
  <c r="T767" i="17"/>
  <c r="T851" i="17"/>
  <c r="T773" i="17"/>
  <c r="T823" i="17"/>
  <c r="T839" i="17"/>
  <c r="T779" i="17"/>
  <c r="T785" i="17"/>
  <c r="T831" i="17"/>
  <c r="T747" i="17"/>
  <c r="T718" i="17"/>
  <c r="T866" i="17"/>
  <c r="T726" i="17"/>
  <c r="T836" i="17"/>
  <c r="T782" i="17"/>
  <c r="T749" i="17"/>
  <c r="T736" i="17"/>
  <c r="T795" i="17"/>
  <c r="T837" i="17"/>
  <c r="T778" i="17"/>
  <c r="T845" i="17"/>
  <c r="T863" i="17"/>
  <c r="T727" i="17"/>
  <c r="T814" i="17"/>
  <c r="T742" i="17"/>
  <c r="T717" i="17"/>
  <c r="T746" i="17"/>
  <c r="T818" i="17"/>
  <c r="T772" i="17"/>
  <c r="T804" i="17"/>
  <c r="T733" i="17"/>
  <c r="T766" i="17"/>
  <c r="T867" i="17"/>
  <c r="T753" i="17"/>
  <c r="T857" i="17"/>
  <c r="T809" i="17"/>
  <c r="L196" i="1"/>
  <c r="L200" i="1"/>
  <c r="L201" i="1"/>
  <c r="L197" i="1"/>
  <c r="L192" i="1"/>
  <c r="L194" i="1"/>
  <c r="L195" i="1"/>
  <c r="L193" i="1"/>
  <c r="L198" i="1"/>
  <c r="L199" i="1"/>
  <c r="J194" i="1" l="1"/>
  <c r="K194" i="1" s="1"/>
  <c r="I3" i="30"/>
  <c r="J3" i="30"/>
  <c r="I2" i="30"/>
  <c r="J2" i="30"/>
  <c r="Z880" i="17"/>
  <c r="Z897" i="17"/>
  <c r="K918" i="17"/>
  <c r="W918" i="17" s="1"/>
  <c r="H11" i="30"/>
  <c r="Z875" i="17"/>
  <c r="C11" i="9"/>
  <c r="Z724" i="17"/>
  <c r="S724" i="17"/>
  <c r="AB724" i="17" s="1"/>
  <c r="Z820" i="17"/>
  <c r="Z742" i="17"/>
  <c r="Z772" i="17"/>
  <c r="K856" i="17"/>
  <c r="W856" i="17" s="1"/>
  <c r="K788" i="17"/>
  <c r="W788" i="17" s="1"/>
  <c r="Z801" i="17"/>
  <c r="Z754" i="17"/>
  <c r="Z841" i="17"/>
  <c r="F2" i="30"/>
  <c r="G6" i="30"/>
  <c r="H6" i="30" s="1"/>
  <c r="Q757" i="17"/>
  <c r="Z757" i="17" s="1"/>
  <c r="O785" i="17"/>
  <c r="P785" i="17" s="1"/>
  <c r="S785" i="17" s="1"/>
  <c r="AB785" i="17" s="1"/>
  <c r="L6" i="30"/>
  <c r="Z895" i="17"/>
  <c r="O3" i="30"/>
  <c r="N3" i="30"/>
  <c r="O839" i="17"/>
  <c r="R839" i="17" s="1"/>
  <c r="M5" i="30"/>
  <c r="F5" i="30"/>
  <c r="H5" i="30" s="1"/>
  <c r="Z903" i="17"/>
  <c r="K3" i="30"/>
  <c r="Z916" i="17"/>
  <c r="O4" i="30"/>
  <c r="N4" i="30"/>
  <c r="R953" i="17"/>
  <c r="K921" i="17"/>
  <c r="W921" i="17" s="1"/>
  <c r="Z905" i="17"/>
  <c r="P913" i="17"/>
  <c r="S913" i="17" s="1"/>
  <c r="X913" i="17" s="1"/>
  <c r="W909" i="17"/>
  <c r="K910" i="17"/>
  <c r="W910" i="17" s="1"/>
  <c r="W917" i="17"/>
  <c r="P919" i="17"/>
  <c r="S919" i="17" s="1"/>
  <c r="X919" i="17" s="1"/>
  <c r="K908" i="17"/>
  <c r="W908" i="17" s="1"/>
  <c r="O911" i="17"/>
  <c r="R911" i="17" s="1"/>
  <c r="Z914" i="17"/>
  <c r="P915" i="17"/>
  <c r="S915" i="17" s="1"/>
  <c r="X915" i="17" s="1"/>
  <c r="W915" i="17"/>
  <c r="Z918" i="17"/>
  <c r="K920" i="17"/>
  <c r="W920" i="17" s="1"/>
  <c r="O846" i="17"/>
  <c r="R846" i="17" s="1"/>
  <c r="O852" i="17"/>
  <c r="R852" i="17" s="1"/>
  <c r="O814" i="17"/>
  <c r="P814" i="17" s="1"/>
  <c r="S814" i="17" s="1"/>
  <c r="AB814" i="17" s="1"/>
  <c r="W916" i="17"/>
  <c r="K919" i="17"/>
  <c r="W919" i="17" s="1"/>
  <c r="O799" i="17"/>
  <c r="R799" i="17" s="1"/>
  <c r="P904" i="17"/>
  <c r="S904" i="17" s="1"/>
  <c r="X904" i="17" s="1"/>
  <c r="O867" i="17"/>
  <c r="R867" i="17" s="1"/>
  <c r="Q928" i="17"/>
  <c r="R928" i="17"/>
  <c r="P927" i="17"/>
  <c r="S927" i="17" s="1"/>
  <c r="X927" i="17" s="1"/>
  <c r="W927" i="17"/>
  <c r="W925" i="17"/>
  <c r="P925" i="17"/>
  <c r="S925" i="17" s="1"/>
  <c r="X925" i="17" s="1"/>
  <c r="P926" i="17"/>
  <c r="S926" i="17" s="1"/>
  <c r="X926" i="17" s="1"/>
  <c r="W926" i="17"/>
  <c r="K922" i="17"/>
  <c r="W922" i="17" s="1"/>
  <c r="P922" i="17"/>
  <c r="S922" i="17" s="1"/>
  <c r="X922" i="17" s="1"/>
  <c r="P920" i="17"/>
  <c r="S920" i="17" s="1"/>
  <c r="X920" i="17" s="1"/>
  <c r="P921" i="17"/>
  <c r="S921" i="17" s="1"/>
  <c r="X921" i="17" s="1"/>
  <c r="P917" i="17"/>
  <c r="P918" i="17"/>
  <c r="S918" i="17" s="1"/>
  <c r="X918" i="17" s="1"/>
  <c r="P916" i="17"/>
  <c r="S916" i="17" s="1"/>
  <c r="X916" i="17" s="1"/>
  <c r="P914" i="17"/>
  <c r="S914" i="17" s="1"/>
  <c r="X914" i="17" s="1"/>
  <c r="K913" i="17"/>
  <c r="W913" i="17" s="1"/>
  <c r="O912" i="17"/>
  <c r="P912" i="17" s="1"/>
  <c r="Q912" i="17"/>
  <c r="W911" i="17"/>
  <c r="P910" i="17"/>
  <c r="S910" i="17" s="1"/>
  <c r="X910" i="17" s="1"/>
  <c r="P909" i="17"/>
  <c r="S909" i="17" s="1"/>
  <c r="X909" i="17" s="1"/>
  <c r="P908" i="17"/>
  <c r="S908" i="17" s="1"/>
  <c r="X908" i="17" s="1"/>
  <c r="P907" i="17"/>
  <c r="S907" i="17" s="1"/>
  <c r="X907" i="17" s="1"/>
  <c r="W907" i="17"/>
  <c r="P905" i="17"/>
  <c r="S905" i="17" s="1"/>
  <c r="X905" i="17" s="1"/>
  <c r="P906" i="17"/>
  <c r="S906" i="17" s="1"/>
  <c r="X906" i="17" s="1"/>
  <c r="K906" i="17"/>
  <c r="W906" i="17" s="1"/>
  <c r="K904" i="17"/>
  <c r="W904" i="17" s="1"/>
  <c r="Z904" i="17"/>
  <c r="P903" i="17"/>
  <c r="W903" i="17"/>
  <c r="P902" i="17"/>
  <c r="W902" i="17"/>
  <c r="W901" i="17"/>
  <c r="P901" i="17"/>
  <c r="S901" i="17" s="1"/>
  <c r="X901" i="17" s="1"/>
  <c r="W900" i="17"/>
  <c r="P900" i="17"/>
  <c r="S900" i="17" s="1"/>
  <c r="X900" i="17" s="1"/>
  <c r="H10" i="30"/>
  <c r="H12" i="30"/>
  <c r="P854" i="17"/>
  <c r="S854" i="17" s="1"/>
  <c r="AB854" i="17" s="1"/>
  <c r="H8" i="30"/>
  <c r="H7" i="30"/>
  <c r="H9" i="30"/>
  <c r="P844" i="17"/>
  <c r="S844" i="17" s="1"/>
  <c r="AB844" i="17" s="1"/>
  <c r="P859" i="17"/>
  <c r="S859" i="17" s="1"/>
  <c r="AB859" i="17" s="1"/>
  <c r="R865" i="17"/>
  <c r="O32" i="7"/>
  <c r="W837" i="17"/>
  <c r="P838" i="17"/>
  <c r="S838" i="17" s="1"/>
  <c r="AB838" i="17" s="1"/>
  <c r="R875" i="17"/>
  <c r="P879" i="17"/>
  <c r="S879" i="17" s="1"/>
  <c r="X879" i="17" s="1"/>
  <c r="Z849" i="17"/>
  <c r="W871" i="17"/>
  <c r="N32" i="7"/>
  <c r="Z856" i="17"/>
  <c r="K2" i="30"/>
  <c r="N2" i="30"/>
  <c r="O2" i="30"/>
  <c r="R848" i="17"/>
  <c r="P860" i="17"/>
  <c r="S860" i="17" s="1"/>
  <c r="AB860" i="17" s="1"/>
  <c r="R866" i="17"/>
  <c r="W895" i="17"/>
  <c r="Z851" i="17"/>
  <c r="Z854" i="17"/>
  <c r="R857" i="17"/>
  <c r="R863" i="17"/>
  <c r="P849" i="17"/>
  <c r="S849" i="17" s="1"/>
  <c r="AB849" i="17" s="1"/>
  <c r="Z860" i="17"/>
  <c r="W893" i="17"/>
  <c r="R896" i="17"/>
  <c r="W861" i="17"/>
  <c r="Z896" i="17"/>
  <c r="W842" i="17"/>
  <c r="P841" i="17"/>
  <c r="P869" i="17"/>
  <c r="S869" i="17" s="1"/>
  <c r="AB869" i="17" s="1"/>
  <c r="R891" i="17"/>
  <c r="P897" i="17"/>
  <c r="S897" i="17" s="1"/>
  <c r="X897" i="17" s="1"/>
  <c r="S851" i="17"/>
  <c r="AB851" i="17" s="1"/>
  <c r="R877" i="17"/>
  <c r="P895" i="17"/>
  <c r="S895" i="17" s="1"/>
  <c r="X895" i="17" s="1"/>
  <c r="P873" i="17"/>
  <c r="S873" i="17" s="1"/>
  <c r="AB873" i="17" s="1"/>
  <c r="Z847" i="17"/>
  <c r="Z852" i="17"/>
  <c r="Z857" i="17"/>
  <c r="S877" i="17"/>
  <c r="X877" i="17" s="1"/>
  <c r="R885" i="17"/>
  <c r="W838" i="17"/>
  <c r="Z859" i="17"/>
  <c r="R887" i="17"/>
  <c r="S884" i="17"/>
  <c r="X884" i="17" s="1"/>
  <c r="Z853" i="17"/>
  <c r="S857" i="17"/>
  <c r="AB857" i="17" s="1"/>
  <c r="Z863" i="17"/>
  <c r="Z879" i="17"/>
  <c r="R884" i="17"/>
  <c r="R889" i="17"/>
  <c r="R868" i="17"/>
  <c r="Z886" i="17"/>
  <c r="R888" i="17"/>
  <c r="J200" i="1"/>
  <c r="K200" i="1" s="1"/>
  <c r="O899" i="17"/>
  <c r="P899" i="17" s="1"/>
  <c r="G13" i="30" s="1"/>
  <c r="H13" i="30" s="1"/>
  <c r="Q899" i="17"/>
  <c r="Z899" i="17" s="1"/>
  <c r="Z898" i="17"/>
  <c r="K898" i="17"/>
  <c r="W898" i="17" s="1"/>
  <c r="O898" i="17"/>
  <c r="R898" i="17" s="1"/>
  <c r="K897" i="17"/>
  <c r="W897" i="17" s="1"/>
  <c r="S896" i="17"/>
  <c r="X896" i="17" s="1"/>
  <c r="R894" i="17"/>
  <c r="S894" i="17"/>
  <c r="X894" i="17" s="1"/>
  <c r="W894" i="17"/>
  <c r="R893" i="17"/>
  <c r="S893" i="17"/>
  <c r="X893" i="17" s="1"/>
  <c r="R892" i="17"/>
  <c r="S892" i="17"/>
  <c r="X892" i="17" s="1"/>
  <c r="W892" i="17"/>
  <c r="S891" i="17"/>
  <c r="X891" i="17" s="1"/>
  <c r="K891" i="17"/>
  <c r="W891" i="17" s="1"/>
  <c r="R890" i="17"/>
  <c r="S890" i="17"/>
  <c r="X890" i="17" s="1"/>
  <c r="K890" i="17"/>
  <c r="W890" i="17" s="1"/>
  <c r="S889" i="17"/>
  <c r="X889" i="17" s="1"/>
  <c r="K889" i="17"/>
  <c r="W889" i="17" s="1"/>
  <c r="S888" i="17"/>
  <c r="X888" i="17" s="1"/>
  <c r="K888" i="17"/>
  <c r="W888" i="17" s="1"/>
  <c r="S887" i="17"/>
  <c r="X887" i="17" s="1"/>
  <c r="K887" i="17"/>
  <c r="W887" i="17" s="1"/>
  <c r="P886" i="17"/>
  <c r="S886" i="17" s="1"/>
  <c r="X886" i="17" s="1"/>
  <c r="S885" i="17"/>
  <c r="X885" i="17" s="1"/>
  <c r="K885" i="17"/>
  <c r="W885" i="17" s="1"/>
  <c r="K884" i="17"/>
  <c r="W884" i="17" s="1"/>
  <c r="R883" i="17"/>
  <c r="S883" i="17"/>
  <c r="X883" i="17" s="1"/>
  <c r="K883" i="17"/>
  <c r="W883" i="17" s="1"/>
  <c r="O882" i="17"/>
  <c r="P882" i="17" s="1"/>
  <c r="Q882" i="17"/>
  <c r="R881" i="17"/>
  <c r="S881" i="17"/>
  <c r="X881" i="17" s="1"/>
  <c r="W881" i="17"/>
  <c r="P880" i="17"/>
  <c r="S880" i="17" s="1"/>
  <c r="X880" i="17" s="1"/>
  <c r="K880" i="17"/>
  <c r="W880" i="17" s="1"/>
  <c r="Z878" i="17"/>
  <c r="P878" i="17"/>
  <c r="S878" i="17" s="1"/>
  <c r="X878" i="17" s="1"/>
  <c r="W877" i="17"/>
  <c r="R876" i="17"/>
  <c r="S876" i="17"/>
  <c r="X876" i="17" s="1"/>
  <c r="W876" i="17"/>
  <c r="S875" i="17"/>
  <c r="X875" i="17" s="1"/>
  <c r="K875" i="17"/>
  <c r="W875" i="17" s="1"/>
  <c r="Q872" i="17"/>
  <c r="Z872" i="17" s="1"/>
  <c r="P870" i="17"/>
  <c r="S870" i="17" s="1"/>
  <c r="AB870" i="17" s="1"/>
  <c r="Z870" i="17"/>
  <c r="P871" i="17"/>
  <c r="S871" i="17" s="1"/>
  <c r="AB871" i="17" s="1"/>
  <c r="W869" i="17"/>
  <c r="W873" i="17"/>
  <c r="P872" i="17"/>
  <c r="S868" i="17"/>
  <c r="AB868" i="17" s="1"/>
  <c r="K868" i="17"/>
  <c r="W868" i="17" s="1"/>
  <c r="K867" i="17"/>
  <c r="W867" i="17" s="1"/>
  <c r="Z867" i="17"/>
  <c r="S866" i="17"/>
  <c r="AB866" i="17" s="1"/>
  <c r="K866" i="17"/>
  <c r="W866" i="17" s="1"/>
  <c r="S865" i="17"/>
  <c r="AB865" i="17" s="1"/>
  <c r="K865" i="17"/>
  <c r="W865" i="17" s="1"/>
  <c r="P864" i="17"/>
  <c r="S864" i="17" s="1"/>
  <c r="AB864" i="17" s="1"/>
  <c r="Z864" i="17"/>
  <c r="S863" i="17"/>
  <c r="AB863" i="17" s="1"/>
  <c r="Z862" i="17"/>
  <c r="P862" i="17"/>
  <c r="S862" i="17" s="1"/>
  <c r="P861" i="17"/>
  <c r="S861" i="17" s="1"/>
  <c r="AB861" i="17" s="1"/>
  <c r="S858" i="17"/>
  <c r="AB858" i="17" s="1"/>
  <c r="W858" i="17"/>
  <c r="R858" i="17"/>
  <c r="P856" i="17"/>
  <c r="R855" i="17"/>
  <c r="S855" i="17"/>
  <c r="AB855" i="17" s="1"/>
  <c r="W855" i="17"/>
  <c r="P853" i="17"/>
  <c r="S853" i="17" s="1"/>
  <c r="AB853" i="17" s="1"/>
  <c r="R851" i="17"/>
  <c r="R850" i="17"/>
  <c r="S850" i="17"/>
  <c r="AB850" i="17" s="1"/>
  <c r="K850" i="17"/>
  <c r="W850" i="17" s="1"/>
  <c r="S848" i="17"/>
  <c r="AB848" i="17" s="1"/>
  <c r="K848" i="17"/>
  <c r="W848" i="17" s="1"/>
  <c r="P847" i="17"/>
  <c r="S847" i="17" s="1"/>
  <c r="AB847" i="17" s="1"/>
  <c r="R847" i="17"/>
  <c r="S842" i="17"/>
  <c r="AB842" i="17" s="1"/>
  <c r="R842" i="17"/>
  <c r="R843" i="17"/>
  <c r="P843" i="17"/>
  <c r="Q843" i="17"/>
  <c r="W843" i="17" s="1"/>
  <c r="K844" i="17"/>
  <c r="W844" i="17" s="1"/>
  <c r="R845" i="17"/>
  <c r="S845" i="17"/>
  <c r="AB845" i="17" s="1"/>
  <c r="K845" i="17"/>
  <c r="W845" i="17" s="1"/>
  <c r="K846" i="17"/>
  <c r="W846" i="17" s="1"/>
  <c r="K841" i="17"/>
  <c r="W841" i="17" s="1"/>
  <c r="R840" i="17"/>
  <c r="S836" i="17"/>
  <c r="AB836" i="17" s="1"/>
  <c r="W839" i="17"/>
  <c r="S840" i="17"/>
  <c r="AB840" i="17" s="1"/>
  <c r="R836" i="17"/>
  <c r="P837" i="17"/>
  <c r="S837" i="17" s="1"/>
  <c r="AB837" i="17" s="1"/>
  <c r="W836" i="17"/>
  <c r="W840" i="17"/>
  <c r="Z793" i="17"/>
  <c r="Z815" i="17"/>
  <c r="S800" i="17"/>
  <c r="AB800" i="17" s="1"/>
  <c r="P807" i="17"/>
  <c r="S807" i="17" s="1"/>
  <c r="AB807" i="17" s="1"/>
  <c r="P821" i="17"/>
  <c r="S821" i="17" s="1"/>
  <c r="AB821" i="17" s="1"/>
  <c r="R811" i="17"/>
  <c r="R818" i="17"/>
  <c r="Z786" i="17"/>
  <c r="R816" i="17"/>
  <c r="Z828" i="17"/>
  <c r="P820" i="17"/>
  <c r="Z822" i="17"/>
  <c r="P829" i="17"/>
  <c r="S829" i="17" s="1"/>
  <c r="AB829" i="17" s="1"/>
  <c r="R800" i="17"/>
  <c r="R826" i="17"/>
  <c r="R823" i="17"/>
  <c r="P835" i="17"/>
  <c r="S835" i="17" s="1"/>
  <c r="AB835" i="17" s="1"/>
  <c r="R824" i="17"/>
  <c r="R806" i="17"/>
  <c r="R819" i="17"/>
  <c r="P822" i="17"/>
  <c r="S822" i="17" s="1"/>
  <c r="AB822" i="17" s="1"/>
  <c r="Z835" i="17"/>
  <c r="P791" i="17"/>
  <c r="S791" i="17" s="1"/>
  <c r="AB791" i="17" s="1"/>
  <c r="Z788" i="17"/>
  <c r="P801" i="17"/>
  <c r="S819" i="17"/>
  <c r="AB819" i="17" s="1"/>
  <c r="Z829" i="17"/>
  <c r="Z791" i="17"/>
  <c r="R804" i="17"/>
  <c r="R789" i="17"/>
  <c r="R798" i="17"/>
  <c r="R792" i="17"/>
  <c r="Z795" i="17"/>
  <c r="P805" i="17"/>
  <c r="S805" i="17" s="1"/>
  <c r="P828" i="17"/>
  <c r="S828" i="17" s="1"/>
  <c r="AB828" i="17" s="1"/>
  <c r="R813" i="17"/>
  <c r="R787" i="17"/>
  <c r="S796" i="17"/>
  <c r="AB796" i="17" s="1"/>
  <c r="Z807" i="17"/>
  <c r="P831" i="17"/>
  <c r="S831" i="17" s="1"/>
  <c r="AB831" i="17" s="1"/>
  <c r="R796" i="17"/>
  <c r="Z817" i="17"/>
  <c r="Z825" i="17"/>
  <c r="Z790" i="17"/>
  <c r="R808" i="17"/>
  <c r="S812" i="17"/>
  <c r="Z831" i="17"/>
  <c r="R834" i="17"/>
  <c r="S834" i="17"/>
  <c r="AB834" i="17" s="1"/>
  <c r="W834" i="17"/>
  <c r="Q833" i="17"/>
  <c r="R833" i="17"/>
  <c r="R832" i="17"/>
  <c r="S832" i="17"/>
  <c r="AB832" i="17" s="1"/>
  <c r="K832" i="17"/>
  <c r="W832" i="17" s="1"/>
  <c r="P830" i="17"/>
  <c r="S830" i="17" s="1"/>
  <c r="AB830" i="17" s="1"/>
  <c r="Z830" i="17"/>
  <c r="R827" i="17"/>
  <c r="S827" i="17"/>
  <c r="AB827" i="17" s="1"/>
  <c r="K827" i="17"/>
  <c r="W827" i="17" s="1"/>
  <c r="S826" i="17"/>
  <c r="AB826" i="17" s="1"/>
  <c r="K826" i="17"/>
  <c r="W826" i="17" s="1"/>
  <c r="P825" i="17"/>
  <c r="S825" i="17" s="1"/>
  <c r="S824" i="17"/>
  <c r="K824" i="17"/>
  <c r="W824" i="17" s="1"/>
  <c r="S823" i="17"/>
  <c r="AB823" i="17" s="1"/>
  <c r="K823" i="17"/>
  <c r="W823" i="17" s="1"/>
  <c r="Z821" i="17"/>
  <c r="K820" i="17"/>
  <c r="W820" i="17" s="1"/>
  <c r="W819" i="17"/>
  <c r="S818" i="17"/>
  <c r="AB818" i="17" s="1"/>
  <c r="K818" i="17"/>
  <c r="W818" i="17" s="1"/>
  <c r="P817" i="17"/>
  <c r="S817" i="17" s="1"/>
  <c r="AB817" i="17" s="1"/>
  <c r="S816" i="17"/>
  <c r="AB816" i="17" s="1"/>
  <c r="W816" i="17"/>
  <c r="P815" i="17"/>
  <c r="S815" i="17" s="1"/>
  <c r="AB815" i="17" s="1"/>
  <c r="W814" i="17"/>
  <c r="S813" i="17"/>
  <c r="K813" i="17"/>
  <c r="W813" i="17" s="1"/>
  <c r="Z812" i="17"/>
  <c r="R812" i="17"/>
  <c r="R809" i="17"/>
  <c r="S811" i="17"/>
  <c r="AB811" i="17" s="1"/>
  <c r="K811" i="17"/>
  <c r="W811" i="17" s="1"/>
  <c r="R810" i="17"/>
  <c r="S810" i="17"/>
  <c r="AB810" i="17" s="1"/>
  <c r="K810" i="17"/>
  <c r="W810" i="17" s="1"/>
  <c r="S809" i="17"/>
  <c r="AB809" i="17" s="1"/>
  <c r="K809" i="17"/>
  <c r="W809" i="17" s="1"/>
  <c r="S808" i="17"/>
  <c r="AB808" i="17" s="1"/>
  <c r="K808" i="17"/>
  <c r="W808" i="17" s="1"/>
  <c r="W806" i="17"/>
  <c r="Z806" i="17"/>
  <c r="S806" i="17"/>
  <c r="AB806" i="17" s="1"/>
  <c r="Z805" i="17"/>
  <c r="S804" i="17"/>
  <c r="AB804" i="17" s="1"/>
  <c r="K804" i="17"/>
  <c r="W804" i="17" s="1"/>
  <c r="R803" i="17"/>
  <c r="S803" i="17"/>
  <c r="AB803" i="17" s="1"/>
  <c r="K803" i="17"/>
  <c r="W803" i="17" s="1"/>
  <c r="R802" i="17"/>
  <c r="S802" i="17"/>
  <c r="AB802" i="17" s="1"/>
  <c r="W802" i="17"/>
  <c r="K801" i="17"/>
  <c r="W801" i="17" s="1"/>
  <c r="W800" i="17"/>
  <c r="K799" i="17"/>
  <c r="W799" i="17" s="1"/>
  <c r="S798" i="17"/>
  <c r="AB798" i="17" s="1"/>
  <c r="K798" i="17"/>
  <c r="W798" i="17" s="1"/>
  <c r="O797" i="17"/>
  <c r="P797" i="17" s="1"/>
  <c r="Q797" i="17"/>
  <c r="Z797" i="17" s="1"/>
  <c r="K796" i="17"/>
  <c r="W796" i="17" s="1"/>
  <c r="R795" i="17"/>
  <c r="S795" i="17"/>
  <c r="AB795" i="17" s="1"/>
  <c r="R794" i="17"/>
  <c r="S794" i="17"/>
  <c r="AB794" i="17" s="1"/>
  <c r="K794" i="17"/>
  <c r="W794" i="17" s="1"/>
  <c r="R793" i="17"/>
  <c r="S793" i="17"/>
  <c r="AB793" i="17" s="1"/>
  <c r="S792" i="17"/>
  <c r="K792" i="17"/>
  <c r="W792" i="17" s="1"/>
  <c r="P790" i="17"/>
  <c r="S790" i="17" s="1"/>
  <c r="AB790" i="17" s="1"/>
  <c r="S789" i="17"/>
  <c r="AB789" i="17" s="1"/>
  <c r="W789" i="17"/>
  <c r="P788" i="17"/>
  <c r="S788" i="17" s="1"/>
  <c r="AB788" i="17" s="1"/>
  <c r="S787" i="17"/>
  <c r="AB787" i="17" s="1"/>
  <c r="W787" i="17"/>
  <c r="R786" i="17"/>
  <c r="S786" i="17"/>
  <c r="AB786" i="17" s="1"/>
  <c r="W785" i="17"/>
  <c r="R784" i="17"/>
  <c r="S784" i="17"/>
  <c r="W784" i="17"/>
  <c r="O783" i="17"/>
  <c r="P783" i="17" s="1"/>
  <c r="S783" i="17" s="1"/>
  <c r="AB783" i="17" s="1"/>
  <c r="K783" i="17"/>
  <c r="W783" i="17" s="1"/>
  <c r="W782" i="17"/>
  <c r="P782" i="17"/>
  <c r="S782" i="17" s="1"/>
  <c r="AB782" i="17" s="1"/>
  <c r="K763" i="17"/>
  <c r="W763" i="17" s="1"/>
  <c r="K773" i="17"/>
  <c r="W773" i="17" s="1"/>
  <c r="K729" i="17"/>
  <c r="W729" i="17" s="1"/>
  <c r="K759" i="17"/>
  <c r="W759" i="17" s="1"/>
  <c r="K756" i="17"/>
  <c r="W756" i="17" s="1"/>
  <c r="Z774" i="17"/>
  <c r="K742" i="17"/>
  <c r="W742" i="17" s="1"/>
  <c r="K749" i="17"/>
  <c r="W749" i="17" s="1"/>
  <c r="K724" i="17"/>
  <c r="W724" i="17" s="1"/>
  <c r="K758" i="17"/>
  <c r="W758" i="17" s="1"/>
  <c r="K745" i="17"/>
  <c r="W745" i="17" s="1"/>
  <c r="P748" i="17"/>
  <c r="S748" i="17" s="1"/>
  <c r="AB748" i="17" s="1"/>
  <c r="P776" i="17"/>
  <c r="S776" i="17" s="1"/>
  <c r="AB776" i="17" s="1"/>
  <c r="P764" i="17"/>
  <c r="S764" i="17" s="1"/>
  <c r="AB764" i="17" s="1"/>
  <c r="K732" i="17"/>
  <c r="W732" i="17" s="1"/>
  <c r="K717" i="17"/>
  <c r="W717" i="17" s="1"/>
  <c r="K736" i="17"/>
  <c r="W736" i="17" s="1"/>
  <c r="K740" i="17"/>
  <c r="W740" i="17" s="1"/>
  <c r="K775" i="17"/>
  <c r="W775" i="17" s="1"/>
  <c r="K719" i="17"/>
  <c r="W719" i="17" s="1"/>
  <c r="K764" i="17"/>
  <c r="W764" i="17" s="1"/>
  <c r="K734" i="17"/>
  <c r="W734" i="17" s="1"/>
  <c r="P774" i="17"/>
  <c r="S774" i="17" s="1"/>
  <c r="AB774" i="17" s="1"/>
  <c r="Z776" i="17"/>
  <c r="K777" i="17"/>
  <c r="W777" i="17" s="1"/>
  <c r="P780" i="17"/>
  <c r="S780" i="17" s="1"/>
  <c r="AB780" i="17" s="1"/>
  <c r="K765" i="17"/>
  <c r="W765" i="17" s="1"/>
  <c r="P765" i="17"/>
  <c r="S765" i="17" s="1"/>
  <c r="AB765" i="17" s="1"/>
  <c r="K770" i="17"/>
  <c r="W770" i="17" s="1"/>
  <c r="K744" i="17"/>
  <c r="W744" i="17" s="1"/>
  <c r="K754" i="17"/>
  <c r="W754" i="17" s="1"/>
  <c r="K760" i="17"/>
  <c r="W760" i="17" s="1"/>
  <c r="K779" i="17"/>
  <c r="W779" i="17" s="1"/>
  <c r="P781" i="17"/>
  <c r="S781" i="17" s="1"/>
  <c r="AB781" i="17" s="1"/>
  <c r="W781" i="17"/>
  <c r="K780" i="17"/>
  <c r="W780" i="17" s="1"/>
  <c r="P779" i="17"/>
  <c r="S779" i="17" s="1"/>
  <c r="AB779" i="17" s="1"/>
  <c r="P778" i="17"/>
  <c r="S778" i="17" s="1"/>
  <c r="K778" i="17"/>
  <c r="W778" i="17" s="1"/>
  <c r="P777" i="17"/>
  <c r="S777" i="17" s="1"/>
  <c r="K776" i="17"/>
  <c r="W776" i="17" s="1"/>
  <c r="P775" i="17"/>
  <c r="S775" i="17" s="1"/>
  <c r="AB775" i="17" s="1"/>
  <c r="R773" i="17"/>
  <c r="S773" i="17"/>
  <c r="AB773" i="17" s="1"/>
  <c r="K772" i="17"/>
  <c r="W772" i="17" s="1"/>
  <c r="P772" i="17"/>
  <c r="P771" i="17"/>
  <c r="S771" i="17" s="1"/>
  <c r="W771" i="17"/>
  <c r="P770" i="17"/>
  <c r="S770" i="17" s="1"/>
  <c r="P769" i="17"/>
  <c r="S769" i="17" s="1"/>
  <c r="AB769" i="17" s="1"/>
  <c r="W769" i="17"/>
  <c r="R768" i="17"/>
  <c r="S768" i="17"/>
  <c r="AB768" i="17" s="1"/>
  <c r="W768" i="17"/>
  <c r="K767" i="17"/>
  <c r="W767" i="17" s="1"/>
  <c r="O767" i="17"/>
  <c r="P767" i="17" s="1"/>
  <c r="S767" i="17" s="1"/>
  <c r="AB767" i="17" s="1"/>
  <c r="O766" i="17"/>
  <c r="P766" i="17" s="1"/>
  <c r="Q766" i="17"/>
  <c r="P763" i="17"/>
  <c r="S763" i="17" s="1"/>
  <c r="AB763" i="17" s="1"/>
  <c r="Q762" i="17"/>
  <c r="R762" i="17"/>
  <c r="R761" i="17"/>
  <c r="S761" i="17"/>
  <c r="AB761" i="17" s="1"/>
  <c r="W761" i="17"/>
  <c r="R760" i="17"/>
  <c r="S760" i="17"/>
  <c r="AB760" i="17" s="1"/>
  <c r="P759" i="17"/>
  <c r="S759" i="17" s="1"/>
  <c r="AB759" i="17" s="1"/>
  <c r="R758" i="17"/>
  <c r="S758" i="17"/>
  <c r="AB758" i="17" s="1"/>
  <c r="R757" i="17"/>
  <c r="P756" i="17"/>
  <c r="S756" i="17" s="1"/>
  <c r="AB756" i="17" s="1"/>
  <c r="R755" i="17"/>
  <c r="S755" i="17"/>
  <c r="AB755" i="17" s="1"/>
  <c r="W755" i="17"/>
  <c r="P754" i="17"/>
  <c r="R753" i="17"/>
  <c r="S753" i="17"/>
  <c r="AB753" i="17" s="1"/>
  <c r="W753" i="17"/>
  <c r="R752" i="17"/>
  <c r="S752" i="17"/>
  <c r="AB752" i="17" s="1"/>
  <c r="W752" i="17"/>
  <c r="O751" i="17"/>
  <c r="P751" i="17" s="1"/>
  <c r="Q751" i="17"/>
  <c r="K750" i="17"/>
  <c r="W750" i="17" s="1"/>
  <c r="P750" i="17"/>
  <c r="S750" i="17" s="1"/>
  <c r="AB750" i="17" s="1"/>
  <c r="R749" i="17"/>
  <c r="S749" i="17"/>
  <c r="AB749" i="17" s="1"/>
  <c r="K748" i="17"/>
  <c r="W748" i="17" s="1"/>
  <c r="R747" i="17"/>
  <c r="S747" i="17"/>
  <c r="AB747" i="17" s="1"/>
  <c r="W747" i="17"/>
  <c r="K746" i="17"/>
  <c r="W746" i="17" s="1"/>
  <c r="P746" i="17"/>
  <c r="S746" i="17" s="1"/>
  <c r="R745" i="17"/>
  <c r="S745" i="17"/>
  <c r="AB745" i="17" s="1"/>
  <c r="S744" i="17"/>
  <c r="AB744" i="17" s="1"/>
  <c r="R744" i="17"/>
  <c r="R743" i="17"/>
  <c r="S743" i="17"/>
  <c r="AB743" i="17" s="1"/>
  <c r="W743" i="17"/>
  <c r="P742" i="17"/>
  <c r="Z741" i="17"/>
  <c r="K741" i="17"/>
  <c r="W741" i="17" s="1"/>
  <c r="O741" i="17"/>
  <c r="P741" i="17" s="1"/>
  <c r="S741" i="17" s="1"/>
  <c r="AB741" i="17" s="1"/>
  <c r="P740" i="17"/>
  <c r="S740" i="17" s="1"/>
  <c r="AB740" i="17" s="1"/>
  <c r="W739" i="17"/>
  <c r="P739" i="17"/>
  <c r="S739" i="17" s="1"/>
  <c r="AB739" i="17" s="1"/>
  <c r="R738" i="17"/>
  <c r="S738" i="17"/>
  <c r="AB738" i="17" s="1"/>
  <c r="W738" i="17"/>
  <c r="R737" i="17"/>
  <c r="Q737" i="17"/>
  <c r="P736" i="17"/>
  <c r="S736" i="17" s="1"/>
  <c r="AB736" i="17" s="1"/>
  <c r="K735" i="17"/>
  <c r="W735" i="17" s="1"/>
  <c r="R735" i="17"/>
  <c r="S735" i="17"/>
  <c r="AB735" i="17" s="1"/>
  <c r="S734" i="17"/>
  <c r="AB734" i="17" s="1"/>
  <c r="R734" i="17"/>
  <c r="Z733" i="17"/>
  <c r="K733" i="17"/>
  <c r="W733" i="17" s="1"/>
  <c r="O733" i="17"/>
  <c r="P733" i="17" s="1"/>
  <c r="S733" i="17" s="1"/>
  <c r="AB733" i="17" s="1"/>
  <c r="S732" i="17"/>
  <c r="AB732" i="17" s="1"/>
  <c r="R732" i="17"/>
  <c r="P731" i="17"/>
  <c r="S731" i="17" s="1"/>
  <c r="AB731" i="17" s="1"/>
  <c r="K731" i="17"/>
  <c r="W731" i="17" s="1"/>
  <c r="K730" i="17"/>
  <c r="W730" i="17" s="1"/>
  <c r="P730" i="17"/>
  <c r="S730" i="17" s="1"/>
  <c r="R729" i="17"/>
  <c r="S729" i="17"/>
  <c r="AB729" i="17" s="1"/>
  <c r="P728" i="17"/>
  <c r="S728" i="17" s="1"/>
  <c r="AB728" i="17" s="1"/>
  <c r="K728" i="17"/>
  <c r="W728" i="17" s="1"/>
  <c r="K727" i="17"/>
  <c r="W727" i="17" s="1"/>
  <c r="R727" i="17"/>
  <c r="S727" i="17"/>
  <c r="R726" i="17"/>
  <c r="S726" i="17"/>
  <c r="W726" i="17"/>
  <c r="S725" i="17"/>
  <c r="AB725" i="17" s="1"/>
  <c r="R725" i="17"/>
  <c r="W725" i="17"/>
  <c r="R724" i="17"/>
  <c r="R723" i="17"/>
  <c r="S723" i="17"/>
  <c r="AB723" i="17" s="1"/>
  <c r="W723" i="17"/>
  <c r="O722" i="17"/>
  <c r="P722" i="17" s="1"/>
  <c r="Q722" i="17"/>
  <c r="P721" i="17"/>
  <c r="S721" i="17" s="1"/>
  <c r="AB721" i="17" s="1"/>
  <c r="W721" i="17"/>
  <c r="W720" i="17"/>
  <c r="P720" i="17"/>
  <c r="S720" i="17" s="1"/>
  <c r="R719" i="17"/>
  <c r="S719" i="17"/>
  <c r="AB719" i="17" s="1"/>
  <c r="Z718" i="17"/>
  <c r="W718" i="17"/>
  <c r="O718" i="17"/>
  <c r="P718" i="17" s="1"/>
  <c r="S718" i="17" s="1"/>
  <c r="AB718" i="17" s="1"/>
  <c r="P717" i="17"/>
  <c r="S717" i="17" s="1"/>
  <c r="C184" i="1"/>
  <c r="C183" i="1"/>
  <c r="C182" i="1"/>
  <c r="C181" i="1"/>
  <c r="J186" i="1"/>
  <c r="K186" i="1" s="1"/>
  <c r="J185" i="1"/>
  <c r="K185" i="1" s="1"/>
  <c r="J184" i="1"/>
  <c r="K184" i="1" s="1"/>
  <c r="J183" i="1"/>
  <c r="K183" i="1" s="1"/>
  <c r="J182" i="1"/>
  <c r="K182" i="1" s="1"/>
  <c r="J181" i="1"/>
  <c r="K181" i="1" s="1"/>
  <c r="J180" i="1"/>
  <c r="K180" i="1" s="1"/>
  <c r="J179" i="1"/>
  <c r="K179" i="1" s="1"/>
  <c r="C179" i="1"/>
  <c r="C180" i="1"/>
  <c r="Y716" i="17"/>
  <c r="Q716" i="17"/>
  <c r="Z716" i="17" s="1"/>
  <c r="O716" i="17"/>
  <c r="R716" i="17" s="1"/>
  <c r="Y715" i="17"/>
  <c r="Q715" i="17"/>
  <c r="Z715" i="17" s="1"/>
  <c r="O715" i="17"/>
  <c r="P715" i="17" s="1"/>
  <c r="Y714" i="17"/>
  <c r="Q714" i="17"/>
  <c r="Z714" i="17" s="1"/>
  <c r="O714" i="17"/>
  <c r="R714" i="17" s="1"/>
  <c r="Y713" i="17"/>
  <c r="Q713" i="17"/>
  <c r="Z713" i="17" s="1"/>
  <c r="O713" i="17"/>
  <c r="R713" i="17" s="1"/>
  <c r="Y709" i="17"/>
  <c r="Q709" i="17"/>
  <c r="K709" i="17" s="1"/>
  <c r="W709" i="17" s="1"/>
  <c r="O709" i="17"/>
  <c r="R709" i="17" s="1"/>
  <c r="O710" i="17"/>
  <c r="R710" i="17" s="1"/>
  <c r="Q710" i="17"/>
  <c r="K710" i="17" s="1"/>
  <c r="W710" i="17" s="1"/>
  <c r="Y710" i="17"/>
  <c r="O711" i="17"/>
  <c r="P711" i="17" s="1"/>
  <c r="Q711" i="17"/>
  <c r="K711" i="17" s="1"/>
  <c r="W711" i="17" s="1"/>
  <c r="Y711" i="17"/>
  <c r="O712" i="17"/>
  <c r="P712" i="17" s="1"/>
  <c r="Q712" i="17"/>
  <c r="K712" i="17" s="1"/>
  <c r="W712" i="17" s="1"/>
  <c r="Y712" i="17"/>
  <c r="Y708" i="17"/>
  <c r="Q708" i="17"/>
  <c r="Z708" i="17" s="1"/>
  <c r="O708" i="17"/>
  <c r="R708" i="17" s="1"/>
  <c r="Y705" i="17"/>
  <c r="Q705" i="17"/>
  <c r="Z705" i="17" s="1"/>
  <c r="O705" i="17"/>
  <c r="P705" i="17" s="1"/>
  <c r="O706" i="17"/>
  <c r="R706" i="17" s="1"/>
  <c r="Q706" i="17"/>
  <c r="Y706" i="17"/>
  <c r="O707" i="17"/>
  <c r="R707" i="17" s="1"/>
  <c r="Q707" i="17"/>
  <c r="W707" i="17" s="1"/>
  <c r="Y707" i="17"/>
  <c r="Y704" i="17"/>
  <c r="O704" i="17"/>
  <c r="P704" i="17" s="1"/>
  <c r="Y703" i="17"/>
  <c r="Q703" i="17"/>
  <c r="Z703" i="17" s="1"/>
  <c r="O703" i="17"/>
  <c r="R703" i="17" s="1"/>
  <c r="Y702" i="17"/>
  <c r="L702" i="17"/>
  <c r="L701" i="17"/>
  <c r="Q701" i="17" s="1"/>
  <c r="Y701" i="17"/>
  <c r="L700" i="17"/>
  <c r="Y700" i="17"/>
  <c r="Y699" i="17"/>
  <c r="Q699" i="17"/>
  <c r="Z699" i="17" s="1"/>
  <c r="O699" i="17"/>
  <c r="P699" i="17" s="1"/>
  <c r="Y698" i="17"/>
  <c r="Q698" i="17"/>
  <c r="Z698" i="17" s="1"/>
  <c r="O698" i="17"/>
  <c r="R698" i="17" s="1"/>
  <c r="Y697" i="17"/>
  <c r="Q697" i="17"/>
  <c r="Z697" i="17" s="1"/>
  <c r="O697" i="17"/>
  <c r="R697" i="17" s="1"/>
  <c r="Y696" i="17"/>
  <c r="Q696" i="17"/>
  <c r="Z696" i="17" s="1"/>
  <c r="O696" i="17"/>
  <c r="R696" i="17" s="1"/>
  <c r="Y695" i="17"/>
  <c r="Q695" i="17"/>
  <c r="Z695" i="17" s="1"/>
  <c r="O695" i="17"/>
  <c r="R695" i="17" s="1"/>
  <c r="Y694" i="17"/>
  <c r="Q694" i="17"/>
  <c r="Z694" i="17" s="1"/>
  <c r="O694" i="17"/>
  <c r="R694" i="17" s="1"/>
  <c r="Y693" i="17"/>
  <c r="Q693" i="17"/>
  <c r="Z693" i="17" s="1"/>
  <c r="O693" i="17"/>
  <c r="R693" i="17" s="1"/>
  <c r="Y692" i="17"/>
  <c r="Q692" i="17"/>
  <c r="Z692" i="17" s="1"/>
  <c r="O692" i="17"/>
  <c r="R692" i="17" s="1"/>
  <c r="Y691" i="17"/>
  <c r="Q691" i="17"/>
  <c r="Z691" i="17" s="1"/>
  <c r="O691" i="17"/>
  <c r="R691" i="17" s="1"/>
  <c r="Y690" i="17"/>
  <c r="Q690" i="17"/>
  <c r="O690" i="17"/>
  <c r="R690" i="17" s="1"/>
  <c r="Y689" i="17"/>
  <c r="Q689" i="17"/>
  <c r="Z689" i="17" s="1"/>
  <c r="O689" i="17"/>
  <c r="P689" i="17" s="1"/>
  <c r="Y688" i="17"/>
  <c r="Q688" i="17"/>
  <c r="Z688" i="17" s="1"/>
  <c r="O688" i="17"/>
  <c r="R688" i="17" s="1"/>
  <c r="Y687" i="17"/>
  <c r="Q687" i="17"/>
  <c r="Z687" i="17" s="1"/>
  <c r="O687" i="17"/>
  <c r="R687" i="17" s="1"/>
  <c r="Y686" i="17"/>
  <c r="L686" i="17"/>
  <c r="O686" i="17" s="1"/>
  <c r="P686" i="17" s="1"/>
  <c r="L685" i="17"/>
  <c r="Q685" i="17" s="1"/>
  <c r="Y685" i="17"/>
  <c r="Y684" i="17"/>
  <c r="Q684" i="17"/>
  <c r="Z684" i="17" s="1"/>
  <c r="O684" i="17"/>
  <c r="P684" i="17" s="1"/>
  <c r="Y683" i="17"/>
  <c r="Q683" i="17"/>
  <c r="Z683" i="17" s="1"/>
  <c r="O683" i="17"/>
  <c r="R683" i="17" s="1"/>
  <c r="Y682" i="17"/>
  <c r="Q682" i="17"/>
  <c r="Z682" i="17" s="1"/>
  <c r="O682" i="17"/>
  <c r="R682" i="17" s="1"/>
  <c r="Y681" i="17"/>
  <c r="Q681" i="17"/>
  <c r="Z681" i="17" s="1"/>
  <c r="O681" i="17"/>
  <c r="P681" i="17" s="1"/>
  <c r="Y680" i="17"/>
  <c r="L679" i="17"/>
  <c r="O679" i="17" s="1"/>
  <c r="R679" i="17" s="1"/>
  <c r="Y679" i="17"/>
  <c r="Y678" i="17"/>
  <c r="Q678" i="17"/>
  <c r="Z678" i="17" s="1"/>
  <c r="O678" i="17"/>
  <c r="P678" i="17" s="1"/>
  <c r="Y677" i="17"/>
  <c r="Q677" i="17"/>
  <c r="Z677" i="17" s="1"/>
  <c r="O677" i="17"/>
  <c r="P677" i="17" s="1"/>
  <c r="Y676" i="17"/>
  <c r="Q676" i="17"/>
  <c r="Z676" i="17" s="1"/>
  <c r="O676" i="17"/>
  <c r="P676" i="17" s="1"/>
  <c r="Y675" i="17"/>
  <c r="Q675" i="17"/>
  <c r="Z675" i="17" s="1"/>
  <c r="O675" i="17"/>
  <c r="R675" i="17" s="1"/>
  <c r="Y674" i="17"/>
  <c r="Q674" i="17"/>
  <c r="O674" i="17"/>
  <c r="R674" i="17" s="1"/>
  <c r="Y673" i="17"/>
  <c r="Q673" i="17"/>
  <c r="Z673" i="17" s="1"/>
  <c r="O673" i="17"/>
  <c r="R673" i="17" s="1"/>
  <c r="L670" i="17"/>
  <c r="O670" i="17" s="1"/>
  <c r="P670" i="17" s="1"/>
  <c r="Y672" i="17"/>
  <c r="Q672" i="17"/>
  <c r="Z672" i="17" s="1"/>
  <c r="O672" i="17"/>
  <c r="R672" i="17" s="1"/>
  <c r="Y671" i="17"/>
  <c r="Q671" i="17"/>
  <c r="Z671" i="17" s="1"/>
  <c r="O671" i="17"/>
  <c r="R671" i="17" s="1"/>
  <c r="Y670" i="17"/>
  <c r="Y669" i="17"/>
  <c r="Q669" i="17"/>
  <c r="O669" i="17"/>
  <c r="P669" i="17" s="1"/>
  <c r="Y668" i="17"/>
  <c r="Q668" i="17"/>
  <c r="Z668" i="17" s="1"/>
  <c r="O668" i="17"/>
  <c r="R668" i="17" s="1"/>
  <c r="Y667" i="17"/>
  <c r="Q667" i="17"/>
  <c r="Z667" i="17" s="1"/>
  <c r="O667" i="17"/>
  <c r="R667" i="17" s="1"/>
  <c r="C178" i="1"/>
  <c r="C177" i="1"/>
  <c r="H178" i="1"/>
  <c r="J178" i="1" s="1"/>
  <c r="K178" i="1" s="1"/>
  <c r="H177" i="1"/>
  <c r="J177" i="1" s="1"/>
  <c r="K177" i="1" s="1"/>
  <c r="C176" i="1"/>
  <c r="C175" i="1"/>
  <c r="C174" i="1"/>
  <c r="J176" i="1"/>
  <c r="K176" i="1" s="1"/>
  <c r="J175" i="1"/>
  <c r="K175" i="1" s="1"/>
  <c r="J174" i="1"/>
  <c r="K174" i="1" s="1"/>
  <c r="C173" i="1"/>
  <c r="H172" i="1"/>
  <c r="J172" i="1" s="1"/>
  <c r="K172" i="1" s="1"/>
  <c r="C172" i="1"/>
  <c r="J173" i="1"/>
  <c r="K173" i="1" s="1"/>
  <c r="C171" i="1"/>
  <c r="J171" i="1"/>
  <c r="K171" i="1" s="1"/>
  <c r="C170" i="1"/>
  <c r="J170" i="1"/>
  <c r="K170" i="1" s="1"/>
  <c r="F150" i="29"/>
  <c r="T669" i="17"/>
  <c r="T715" i="17"/>
  <c r="T681" i="17"/>
  <c r="T702" i="17"/>
  <c r="T675" i="17"/>
  <c r="T672" i="17"/>
  <c r="T673" i="17"/>
  <c r="T713" i="17"/>
  <c r="T691" i="17"/>
  <c r="T686" i="17"/>
  <c r="T709" i="17"/>
  <c r="T687" i="17"/>
  <c r="T705" i="17"/>
  <c r="T711" i="17"/>
  <c r="T689" i="17"/>
  <c r="T677" i="17"/>
  <c r="T710" i="17"/>
  <c r="T701" i="17"/>
  <c r="T699" i="17"/>
  <c r="T694" i="17"/>
  <c r="T698" i="17"/>
  <c r="T700" i="17"/>
  <c r="T688" i="17"/>
  <c r="T697" i="17"/>
  <c r="T682" i="17"/>
  <c r="T674" i="17"/>
  <c r="T703" i="17"/>
  <c r="T690" i="17"/>
  <c r="T704" i="17"/>
  <c r="T679" i="17"/>
  <c r="T696" i="17"/>
  <c r="T707" i="17"/>
  <c r="T706" i="17"/>
  <c r="T684" i="17"/>
  <c r="T683" i="17"/>
  <c r="T695" i="17"/>
  <c r="T680" i="17"/>
  <c r="T693" i="17"/>
  <c r="T671" i="17"/>
  <c r="T670" i="17"/>
  <c r="T712" i="17"/>
  <c r="T692" i="17"/>
  <c r="T667" i="17"/>
  <c r="T676" i="17"/>
  <c r="T708" i="17"/>
  <c r="T668" i="17"/>
  <c r="T685" i="17"/>
  <c r="T714" i="17"/>
  <c r="T678" i="17"/>
  <c r="T716" i="17"/>
  <c r="L177" i="1"/>
  <c r="L173" i="1"/>
  <c r="L186" i="1"/>
  <c r="L176" i="1"/>
  <c r="L180" i="1"/>
  <c r="L185" i="1"/>
  <c r="L170" i="1"/>
  <c r="L174" i="1"/>
  <c r="L181" i="1"/>
  <c r="L175" i="1"/>
  <c r="L179" i="1"/>
  <c r="L184" i="1"/>
  <c r="L183" i="1"/>
  <c r="L182" i="1"/>
  <c r="L178" i="1"/>
  <c r="Z882" i="17" l="1"/>
  <c r="S882" i="17"/>
  <c r="X882" i="17" s="1"/>
  <c r="M4" i="30"/>
  <c r="M3" i="30"/>
  <c r="S757" i="17"/>
  <c r="AB757" i="17" s="1"/>
  <c r="R785" i="17"/>
  <c r="W757" i="17"/>
  <c r="X730" i="17"/>
  <c r="AB730" i="17"/>
  <c r="X825" i="17"/>
  <c r="AB825" i="17"/>
  <c r="X746" i="17"/>
  <c r="AB746" i="17"/>
  <c r="X771" i="17"/>
  <c r="AB771" i="17"/>
  <c r="X824" i="17"/>
  <c r="AB824" i="17"/>
  <c r="X720" i="17"/>
  <c r="AB720" i="17"/>
  <c r="X784" i="17"/>
  <c r="AB784" i="17"/>
  <c r="X726" i="17"/>
  <c r="AB726" i="17"/>
  <c r="X862" i="17"/>
  <c r="AB862" i="17"/>
  <c r="X717" i="17"/>
  <c r="AB717" i="17"/>
  <c r="X792" i="17"/>
  <c r="AB792" i="17"/>
  <c r="X778" i="17"/>
  <c r="AB778" i="17"/>
  <c r="X727" i="17"/>
  <c r="AB727" i="17"/>
  <c r="X777" i="17"/>
  <c r="AB777" i="17"/>
  <c r="X812" i="17"/>
  <c r="AB812" i="17"/>
  <c r="X805" i="17"/>
  <c r="AB805" i="17"/>
  <c r="X770" i="17"/>
  <c r="AB770" i="17"/>
  <c r="X813" i="17"/>
  <c r="AB813" i="17"/>
  <c r="X750" i="17"/>
  <c r="X734" i="17"/>
  <c r="X758" i="17"/>
  <c r="X783" i="17"/>
  <c r="X803" i="17"/>
  <c r="X800" i="17"/>
  <c r="X869" i="17"/>
  <c r="X814" i="17"/>
  <c r="X738" i="17"/>
  <c r="X741" i="17"/>
  <c r="X815" i="17"/>
  <c r="X831" i="17"/>
  <c r="X807" i="17"/>
  <c r="X847" i="17"/>
  <c r="X866" i="17"/>
  <c r="X725" i="17"/>
  <c r="X747" i="17"/>
  <c r="X767" i="17"/>
  <c r="X773" i="17"/>
  <c r="X789" i="17"/>
  <c r="X810" i="17"/>
  <c r="X816" i="17"/>
  <c r="X796" i="17"/>
  <c r="X819" i="17"/>
  <c r="X848" i="17"/>
  <c r="X858" i="17"/>
  <c r="X854" i="17"/>
  <c r="X719" i="17"/>
  <c r="X752" i="17"/>
  <c r="X781" i="17"/>
  <c r="X736" i="17"/>
  <c r="X759" i="17"/>
  <c r="X790" i="17"/>
  <c r="X826" i="17"/>
  <c r="X829" i="17"/>
  <c r="X845" i="17"/>
  <c r="X861" i="17"/>
  <c r="X735" i="17"/>
  <c r="X753" i="17"/>
  <c r="X817" i="17"/>
  <c r="X834" i="17"/>
  <c r="X731" i="17"/>
  <c r="X760" i="17"/>
  <c r="X775" i="17"/>
  <c r="X804" i="17"/>
  <c r="X850" i="17"/>
  <c r="X868" i="17"/>
  <c r="X860" i="17"/>
  <c r="X744" i="17"/>
  <c r="X780" i="17"/>
  <c r="X786" i="17"/>
  <c r="X840" i="17"/>
  <c r="X864" i="17"/>
  <c r="X857" i="17"/>
  <c r="X763" i="17"/>
  <c r="X774" i="17"/>
  <c r="X795" i="17"/>
  <c r="X835" i="17"/>
  <c r="X821" i="17"/>
  <c r="X721" i="17"/>
  <c r="X743" i="17"/>
  <c r="X749" i="17"/>
  <c r="X768" i="17"/>
  <c r="X798" i="17"/>
  <c r="X811" i="17"/>
  <c r="X818" i="17"/>
  <c r="X827" i="17"/>
  <c r="X828" i="17"/>
  <c r="X791" i="17"/>
  <c r="X838" i="17"/>
  <c r="X733" i="17"/>
  <c r="X755" i="17"/>
  <c r="X830" i="17"/>
  <c r="X729" i="17"/>
  <c r="X740" i="17"/>
  <c r="X787" i="17"/>
  <c r="X732" i="17"/>
  <c r="X765" i="17"/>
  <c r="X785" i="17"/>
  <c r="X793" i="17"/>
  <c r="X806" i="17"/>
  <c r="X837" i="17"/>
  <c r="X863" i="17"/>
  <c r="X822" i="17"/>
  <c r="X873" i="17"/>
  <c r="X718" i="17"/>
  <c r="X723" i="17"/>
  <c r="X739" i="17"/>
  <c r="X745" i="17"/>
  <c r="X756" i="17"/>
  <c r="X779" i="17"/>
  <c r="X776" i="17"/>
  <c r="X794" i="17"/>
  <c r="X855" i="17"/>
  <c r="X849" i="17"/>
  <c r="X859" i="17"/>
  <c r="X724" i="17"/>
  <c r="X761" i="17"/>
  <c r="X853" i="17"/>
  <c r="X764" i="17"/>
  <c r="X728" i="17"/>
  <c r="X748" i="17"/>
  <c r="X782" i="17"/>
  <c r="X802" i="17"/>
  <c r="X808" i="17"/>
  <c r="X823" i="17"/>
  <c r="X832" i="17"/>
  <c r="X836" i="17"/>
  <c r="X842" i="17"/>
  <c r="X865" i="17"/>
  <c r="X870" i="17"/>
  <c r="X851" i="17"/>
  <c r="X844" i="17"/>
  <c r="X769" i="17"/>
  <c r="X871" i="17"/>
  <c r="X809" i="17"/>
  <c r="Z669" i="17"/>
  <c r="C10" i="9"/>
  <c r="S856" i="17"/>
  <c r="AB856" i="17" s="1"/>
  <c r="X788" i="17"/>
  <c r="S772" i="17"/>
  <c r="AB772" i="17" s="1"/>
  <c r="S841" i="17"/>
  <c r="AB841" i="17" s="1"/>
  <c r="S742" i="17"/>
  <c r="AB742" i="17" s="1"/>
  <c r="S754" i="17"/>
  <c r="AB754" i="17" s="1"/>
  <c r="S820" i="17"/>
  <c r="AB820" i="17" s="1"/>
  <c r="S801" i="17"/>
  <c r="AB801" i="17" s="1"/>
  <c r="P846" i="17"/>
  <c r="S846" i="17" s="1"/>
  <c r="P852" i="17"/>
  <c r="S852" i="17" s="1"/>
  <c r="AB852" i="17" s="1"/>
  <c r="K674" i="17"/>
  <c r="W674" i="17" s="1"/>
  <c r="R814" i="17"/>
  <c r="Z690" i="17"/>
  <c r="P839" i="17"/>
  <c r="S839" i="17" s="1"/>
  <c r="AB839" i="17" s="1"/>
  <c r="P867" i="17"/>
  <c r="S867" i="17" s="1"/>
  <c r="AB867" i="17" s="1"/>
  <c r="S902" i="17"/>
  <c r="X902" i="17" s="1"/>
  <c r="S917" i="17"/>
  <c r="X917" i="17" s="1"/>
  <c r="L4" i="30"/>
  <c r="Q679" i="17"/>
  <c r="K679" i="17" s="1"/>
  <c r="W679" i="17" s="1"/>
  <c r="P799" i="17"/>
  <c r="S799" i="17" s="1"/>
  <c r="AB799" i="17" s="1"/>
  <c r="P911" i="17"/>
  <c r="S911" i="17" s="1"/>
  <c r="X911" i="17" s="1"/>
  <c r="F4" i="30"/>
  <c r="G4" i="30"/>
  <c r="S903" i="17"/>
  <c r="X903" i="17" s="1"/>
  <c r="F3" i="30"/>
  <c r="Z928" i="17"/>
  <c r="S928" i="17"/>
  <c r="X928" i="17" s="1"/>
  <c r="K928" i="17"/>
  <c r="W928" i="17" s="1"/>
  <c r="Z912" i="17"/>
  <c r="W912" i="17"/>
  <c r="S912" i="17"/>
  <c r="X912" i="17" s="1"/>
  <c r="R912" i="17"/>
  <c r="M2" i="30"/>
  <c r="L2" i="30"/>
  <c r="G2" i="30"/>
  <c r="H2" i="30" s="1"/>
  <c r="W872" i="17"/>
  <c r="K882" i="17"/>
  <c r="W882" i="17" s="1"/>
  <c r="P898" i="17"/>
  <c r="S898" i="17" s="1"/>
  <c r="X898" i="17" s="1"/>
  <c r="R899" i="17"/>
  <c r="K899" i="17"/>
  <c r="W899" i="17" s="1"/>
  <c r="S899" i="17"/>
  <c r="X899" i="17" s="1"/>
  <c r="R882" i="17"/>
  <c r="S872" i="17"/>
  <c r="AB872" i="17" s="1"/>
  <c r="Z843" i="17"/>
  <c r="S843" i="17"/>
  <c r="AB843" i="17" s="1"/>
  <c r="R783" i="17"/>
  <c r="W797" i="17"/>
  <c r="W833" i="17"/>
  <c r="Z833" i="17"/>
  <c r="S833" i="17"/>
  <c r="AB833" i="17" s="1"/>
  <c r="R797" i="17"/>
  <c r="S797" i="17"/>
  <c r="AB797" i="17" s="1"/>
  <c r="R741" i="17"/>
  <c r="R718" i="17"/>
  <c r="R767" i="17"/>
  <c r="Z766" i="17"/>
  <c r="W766" i="17"/>
  <c r="S766" i="17"/>
  <c r="AB766" i="17" s="1"/>
  <c r="R766" i="17"/>
  <c r="Z762" i="17"/>
  <c r="S762" i="17"/>
  <c r="K762" i="17"/>
  <c r="W762" i="17" s="1"/>
  <c r="R751" i="17"/>
  <c r="Z751" i="17"/>
  <c r="W751" i="17"/>
  <c r="S751" i="17"/>
  <c r="AB751" i="17" s="1"/>
  <c r="Z737" i="17"/>
  <c r="W737" i="17"/>
  <c r="S737" i="17"/>
  <c r="AB737" i="17" s="1"/>
  <c r="R733" i="17"/>
  <c r="Z722" i="17"/>
  <c r="K722" i="17"/>
  <c r="W722" i="17" s="1"/>
  <c r="S722" i="17"/>
  <c r="AB722" i="17" s="1"/>
  <c r="R722" i="17"/>
  <c r="Z707" i="17"/>
  <c r="Z711" i="17"/>
  <c r="K691" i="17"/>
  <c r="W691" i="17" s="1"/>
  <c r="K682" i="17"/>
  <c r="W682" i="17" s="1"/>
  <c r="K677" i="17"/>
  <c r="W677" i="17" s="1"/>
  <c r="K684" i="17"/>
  <c r="W684" i="17" s="1"/>
  <c r="S711" i="17"/>
  <c r="Z709" i="17"/>
  <c r="P706" i="17"/>
  <c r="S706" i="17" s="1"/>
  <c r="AB706" i="17" s="1"/>
  <c r="Z710" i="17"/>
  <c r="K716" i="17"/>
  <c r="W716" i="17" s="1"/>
  <c r="K687" i="17"/>
  <c r="W687" i="17" s="1"/>
  <c r="W672" i="17"/>
  <c r="S678" i="17"/>
  <c r="K714" i="17"/>
  <c r="W714" i="17" s="1"/>
  <c r="K669" i="17"/>
  <c r="W669" i="17" s="1"/>
  <c r="W706" i="17"/>
  <c r="R686" i="17"/>
  <c r="K676" i="17"/>
  <c r="W676" i="17" s="1"/>
  <c r="R711" i="17"/>
  <c r="K713" i="17"/>
  <c r="W713" i="17" s="1"/>
  <c r="K715" i="17"/>
  <c r="W715" i="17" s="1"/>
  <c r="K690" i="17"/>
  <c r="W690" i="17" s="1"/>
  <c r="K694" i="17"/>
  <c r="W694" i="17" s="1"/>
  <c r="K696" i="17"/>
  <c r="W696" i="17" s="1"/>
  <c r="K698" i="17"/>
  <c r="W698" i="17" s="1"/>
  <c r="Z706" i="17"/>
  <c r="Z712" i="17"/>
  <c r="P710" i="17"/>
  <c r="S710" i="17" s="1"/>
  <c r="AB710" i="17" s="1"/>
  <c r="K681" i="17"/>
  <c r="W681" i="17" s="1"/>
  <c r="K683" i="17"/>
  <c r="W683" i="17" s="1"/>
  <c r="K692" i="17"/>
  <c r="W692" i="17" s="1"/>
  <c r="Z674" i="17"/>
  <c r="S712" i="17"/>
  <c r="AB712" i="17" s="1"/>
  <c r="K695" i="17"/>
  <c r="W695" i="17" s="1"/>
  <c r="K697" i="17"/>
  <c r="W697" i="17" s="1"/>
  <c r="K708" i="17"/>
  <c r="W708" i="17" s="1"/>
  <c r="K667" i="17"/>
  <c r="W667" i="17" s="1"/>
  <c r="P716" i="17"/>
  <c r="S716" i="17" s="1"/>
  <c r="AB716" i="17" s="1"/>
  <c r="R715" i="17"/>
  <c r="S715" i="17"/>
  <c r="AB715" i="17" s="1"/>
  <c r="P714" i="17"/>
  <c r="S714" i="17" s="1"/>
  <c r="AB714" i="17" s="1"/>
  <c r="P713" i="17"/>
  <c r="S713" i="17" s="1"/>
  <c r="AB713" i="17" s="1"/>
  <c r="P709" i="17"/>
  <c r="S709" i="17" s="1"/>
  <c r="AB709" i="17" s="1"/>
  <c r="R712" i="17"/>
  <c r="P708" i="17"/>
  <c r="S708" i="17" s="1"/>
  <c r="AB708" i="17" s="1"/>
  <c r="R705" i="17"/>
  <c r="S705" i="17"/>
  <c r="AB705" i="17" s="1"/>
  <c r="W705" i="17"/>
  <c r="P707" i="17"/>
  <c r="S707" i="17" s="1"/>
  <c r="AB707" i="17" s="1"/>
  <c r="R704" i="17"/>
  <c r="Q704" i="17"/>
  <c r="S704" i="17" s="1"/>
  <c r="AB704" i="17" s="1"/>
  <c r="P703" i="17"/>
  <c r="S703" i="17" s="1"/>
  <c r="AB703" i="17" s="1"/>
  <c r="W703" i="17"/>
  <c r="O702" i="17"/>
  <c r="P702" i="17" s="1"/>
  <c r="Q702" i="17"/>
  <c r="Z701" i="17"/>
  <c r="K701" i="17"/>
  <c r="W701" i="17" s="1"/>
  <c r="O701" i="17"/>
  <c r="P701" i="17" s="1"/>
  <c r="S701" i="17" s="1"/>
  <c r="AB701" i="17" s="1"/>
  <c r="O700" i="17"/>
  <c r="P700" i="17" s="1"/>
  <c r="Q700" i="17"/>
  <c r="R699" i="17"/>
  <c r="K699" i="17"/>
  <c r="W699" i="17" s="1"/>
  <c r="S699" i="17"/>
  <c r="AB699" i="17" s="1"/>
  <c r="P698" i="17"/>
  <c r="S698" i="17" s="1"/>
  <c r="AB698" i="17" s="1"/>
  <c r="P697" i="17"/>
  <c r="S697" i="17" s="1"/>
  <c r="AB697" i="17" s="1"/>
  <c r="P696" i="17"/>
  <c r="S696" i="17" s="1"/>
  <c r="P695" i="17"/>
  <c r="S695" i="17" s="1"/>
  <c r="AB695" i="17" s="1"/>
  <c r="P694" i="17"/>
  <c r="S694" i="17" s="1"/>
  <c r="AB694" i="17" s="1"/>
  <c r="P693" i="17"/>
  <c r="S693" i="17" s="1"/>
  <c r="AB693" i="17" s="1"/>
  <c r="W693" i="17"/>
  <c r="P692" i="17"/>
  <c r="S692" i="17" s="1"/>
  <c r="AB692" i="17" s="1"/>
  <c r="P691" i="17"/>
  <c r="S691" i="17" s="1"/>
  <c r="P690" i="17"/>
  <c r="S690" i="17" s="1"/>
  <c r="AB690" i="17" s="1"/>
  <c r="R689" i="17"/>
  <c r="S689" i="17"/>
  <c r="AB689" i="17" s="1"/>
  <c r="W689" i="17"/>
  <c r="W688" i="17"/>
  <c r="P688" i="17"/>
  <c r="S688" i="17" s="1"/>
  <c r="AB688" i="17" s="1"/>
  <c r="P687" i="17"/>
  <c r="S687" i="17" s="1"/>
  <c r="AB687" i="17" s="1"/>
  <c r="Q686" i="17"/>
  <c r="Z685" i="17"/>
  <c r="K685" i="17"/>
  <c r="W685" i="17" s="1"/>
  <c r="O685" i="17"/>
  <c r="P685" i="17" s="1"/>
  <c r="S685" i="17" s="1"/>
  <c r="AB685" i="17" s="1"/>
  <c r="R684" i="17"/>
  <c r="S684" i="17"/>
  <c r="AB684" i="17" s="1"/>
  <c r="P683" i="17"/>
  <c r="S683" i="17" s="1"/>
  <c r="P682" i="17"/>
  <c r="S682" i="17" s="1"/>
  <c r="AB682" i="17" s="1"/>
  <c r="R681" i="17"/>
  <c r="S681" i="17"/>
  <c r="AB681" i="17" s="1"/>
  <c r="O680" i="17"/>
  <c r="P680" i="17" s="1"/>
  <c r="Q680" i="17"/>
  <c r="P679" i="17"/>
  <c r="K678" i="17"/>
  <c r="W678" i="17" s="1"/>
  <c r="R678" i="17"/>
  <c r="R677" i="17"/>
  <c r="S677" i="17"/>
  <c r="AB677" i="17" s="1"/>
  <c r="R676" i="17"/>
  <c r="S676" i="17"/>
  <c r="AB676" i="17" s="1"/>
  <c r="K675" i="17"/>
  <c r="W675" i="17" s="1"/>
  <c r="P675" i="17"/>
  <c r="S675" i="17" s="1"/>
  <c r="P674" i="17"/>
  <c r="S674" i="17" s="1"/>
  <c r="AB674" i="17" s="1"/>
  <c r="P673" i="17"/>
  <c r="S673" i="17" s="1"/>
  <c r="AB673" i="17" s="1"/>
  <c r="K673" i="17"/>
  <c r="W673" i="17" s="1"/>
  <c r="P672" i="17"/>
  <c r="S672" i="17" s="1"/>
  <c r="AB672" i="17" s="1"/>
  <c r="K671" i="17"/>
  <c r="W671" i="17" s="1"/>
  <c r="P671" i="17"/>
  <c r="S671" i="17" s="1"/>
  <c r="R670" i="17"/>
  <c r="Q670" i="17"/>
  <c r="R669" i="17"/>
  <c r="S669" i="17"/>
  <c r="P668" i="17"/>
  <c r="S668" i="17" s="1"/>
  <c r="AB668" i="17" s="1"/>
  <c r="W668" i="17"/>
  <c r="P667" i="17"/>
  <c r="S667" i="17" s="1"/>
  <c r="E5" i="29"/>
  <c r="G150" i="29"/>
  <c r="S680" i="17" l="1"/>
  <c r="AB680" i="17" s="1"/>
  <c r="L3" i="30"/>
  <c r="X757" i="17"/>
  <c r="G3" i="30"/>
  <c r="H3" i="30" s="1"/>
  <c r="X696" i="17"/>
  <c r="AB696" i="17"/>
  <c r="X846" i="17"/>
  <c r="AB846" i="17"/>
  <c r="X675" i="17"/>
  <c r="AB675" i="17"/>
  <c r="X669" i="17"/>
  <c r="AB669" i="17"/>
  <c r="X711" i="17"/>
  <c r="AB711" i="17"/>
  <c r="X683" i="17"/>
  <c r="AB683" i="17"/>
  <c r="X678" i="17"/>
  <c r="AB678" i="17"/>
  <c r="X691" i="17"/>
  <c r="AB691" i="17"/>
  <c r="X671" i="17"/>
  <c r="AB671" i="17"/>
  <c r="X762" i="17"/>
  <c r="AB762" i="17"/>
  <c r="X714" i="17"/>
  <c r="X668" i="17"/>
  <c r="X698" i="17"/>
  <c r="X715" i="17"/>
  <c r="X676" i="17"/>
  <c r="X689" i="17"/>
  <c r="X716" i="17"/>
  <c r="X684" i="17"/>
  <c r="X690" i="17"/>
  <c r="X797" i="17"/>
  <c r="X841" i="17"/>
  <c r="X685" i="17"/>
  <c r="X705" i="17"/>
  <c r="X833" i="17"/>
  <c r="X867" i="17"/>
  <c r="X772" i="17"/>
  <c r="X708" i="17"/>
  <c r="X694" i="17"/>
  <c r="X706" i="17"/>
  <c r="X692" i="17"/>
  <c r="X701" i="17"/>
  <c r="X722" i="17"/>
  <c r="X839" i="17"/>
  <c r="X856" i="17"/>
  <c r="X712" i="17"/>
  <c r="X709" i="17"/>
  <c r="X852" i="17"/>
  <c r="X687" i="17"/>
  <c r="X667" i="17"/>
  <c r="AB667" i="17"/>
  <c r="X713" i="17"/>
  <c r="X710" i="17"/>
  <c r="X872" i="17"/>
  <c r="X799" i="17"/>
  <c r="X801" i="17"/>
  <c r="X672" i="17"/>
  <c r="X693" i="17"/>
  <c r="X695" i="17"/>
  <c r="X674" i="17"/>
  <c r="X737" i="17"/>
  <c r="X843" i="17"/>
  <c r="X681" i="17"/>
  <c r="X699" i="17"/>
  <c r="X751" i="17"/>
  <c r="X820" i="17"/>
  <c r="X673" i="17"/>
  <c r="X766" i="17"/>
  <c r="X688" i="17"/>
  <c r="X697" i="17"/>
  <c r="X703" i="17"/>
  <c r="X682" i="17"/>
  <c r="X704" i="17"/>
  <c r="X754" i="17"/>
  <c r="X677" i="17"/>
  <c r="X707" i="17"/>
  <c r="X742" i="17"/>
  <c r="Z679" i="17"/>
  <c r="S679" i="17"/>
  <c r="AB679" i="17" s="1"/>
  <c r="D11" i="9"/>
  <c r="F11" i="9" s="1"/>
  <c r="G11" i="9" s="1"/>
  <c r="H11" i="9" s="1"/>
  <c r="I11" i="9" s="1"/>
  <c r="J11" i="9" s="1"/>
  <c r="H4" i="30"/>
  <c r="R685" i="17"/>
  <c r="Z704" i="17"/>
  <c r="K704" i="17"/>
  <c r="W704" i="17" s="1"/>
  <c r="Z702" i="17"/>
  <c r="W702" i="17"/>
  <c r="S702" i="17"/>
  <c r="AB702" i="17" s="1"/>
  <c r="R702" i="17"/>
  <c r="R701" i="17"/>
  <c r="Z700" i="17"/>
  <c r="K700" i="17"/>
  <c r="W700" i="17" s="1"/>
  <c r="S700" i="17"/>
  <c r="AB700" i="17" s="1"/>
  <c r="R700" i="17"/>
  <c r="Z686" i="17"/>
  <c r="W686" i="17"/>
  <c r="S686" i="17"/>
  <c r="AB686" i="17" s="1"/>
  <c r="Z680" i="17"/>
  <c r="K680" i="17"/>
  <c r="W680" i="17" s="1"/>
  <c r="R680" i="17"/>
  <c r="Z670" i="17"/>
  <c r="W670" i="17"/>
  <c r="S670" i="17"/>
  <c r="AB670" i="17" s="1"/>
  <c r="L552" i="17"/>
  <c r="A2" i="29"/>
  <c r="B2" i="29"/>
  <c r="C2" i="29"/>
  <c r="D2" i="29"/>
  <c r="E2" i="29"/>
  <c r="F2" i="29"/>
  <c r="G2" i="29"/>
  <c r="A3" i="29"/>
  <c r="B3" i="29"/>
  <c r="C3" i="29"/>
  <c r="D3" i="29"/>
  <c r="E3" i="29"/>
  <c r="F3" i="29"/>
  <c r="G3" i="29"/>
  <c r="A4" i="29"/>
  <c r="B4" i="29"/>
  <c r="C4" i="29"/>
  <c r="D4" i="29"/>
  <c r="E4" i="29"/>
  <c r="F4" i="29"/>
  <c r="G4" i="29"/>
  <c r="A5" i="29"/>
  <c r="B5" i="29"/>
  <c r="C5" i="29"/>
  <c r="D5" i="29"/>
  <c r="F5" i="29"/>
  <c r="G5" i="29"/>
  <c r="A6" i="29"/>
  <c r="B6" i="29"/>
  <c r="C6" i="29"/>
  <c r="D6" i="29"/>
  <c r="E6" i="29"/>
  <c r="F6" i="29"/>
  <c r="G6" i="29"/>
  <c r="A7" i="29"/>
  <c r="B7" i="29"/>
  <c r="C7" i="29"/>
  <c r="D7" i="29"/>
  <c r="E7" i="29"/>
  <c r="F7" i="29"/>
  <c r="G7" i="29"/>
  <c r="A8" i="29"/>
  <c r="B8" i="29"/>
  <c r="C8" i="29"/>
  <c r="D8" i="29"/>
  <c r="E8" i="29"/>
  <c r="F8" i="29"/>
  <c r="G8" i="29"/>
  <c r="A9" i="29"/>
  <c r="B9" i="29"/>
  <c r="C9" i="29"/>
  <c r="D9" i="29"/>
  <c r="E9" i="29"/>
  <c r="F9" i="29"/>
  <c r="G9" i="29"/>
  <c r="A10" i="29"/>
  <c r="B10" i="29"/>
  <c r="C10" i="29"/>
  <c r="D10" i="29"/>
  <c r="E10" i="29"/>
  <c r="F10" i="29"/>
  <c r="G10" i="29"/>
  <c r="A11" i="29"/>
  <c r="B11" i="29"/>
  <c r="C11" i="29"/>
  <c r="D11" i="29"/>
  <c r="E11" i="29"/>
  <c r="F11" i="29"/>
  <c r="G11" i="29"/>
  <c r="A12" i="29"/>
  <c r="B12" i="29"/>
  <c r="C12" i="29"/>
  <c r="D12" i="29"/>
  <c r="E12" i="29"/>
  <c r="F12" i="29"/>
  <c r="G12" i="29"/>
  <c r="A13" i="29"/>
  <c r="B13" i="29"/>
  <c r="C13" i="29"/>
  <c r="D13" i="29"/>
  <c r="E13" i="29"/>
  <c r="F13" i="29"/>
  <c r="G13" i="29"/>
  <c r="A14" i="29"/>
  <c r="B14" i="29"/>
  <c r="C14" i="29"/>
  <c r="D14" i="29"/>
  <c r="E14" i="29"/>
  <c r="F14" i="29"/>
  <c r="G14" i="29"/>
  <c r="A15" i="29"/>
  <c r="B15" i="29"/>
  <c r="C15" i="29"/>
  <c r="D15" i="29"/>
  <c r="E15" i="29"/>
  <c r="F15" i="29"/>
  <c r="G15" i="29"/>
  <c r="A16" i="29"/>
  <c r="B16" i="29"/>
  <c r="C16" i="29"/>
  <c r="D16" i="29"/>
  <c r="E16" i="29"/>
  <c r="F16" i="29"/>
  <c r="G16" i="29"/>
  <c r="A17" i="29"/>
  <c r="B17" i="29"/>
  <c r="C17" i="29"/>
  <c r="D17" i="29"/>
  <c r="E17" i="29"/>
  <c r="F17" i="29"/>
  <c r="G17" i="29"/>
  <c r="A18" i="29"/>
  <c r="B18" i="29"/>
  <c r="C18" i="29"/>
  <c r="D18" i="29"/>
  <c r="E18" i="29"/>
  <c r="F18" i="29"/>
  <c r="G18" i="29"/>
  <c r="A19" i="29"/>
  <c r="B19" i="29"/>
  <c r="C19" i="29"/>
  <c r="D19" i="29"/>
  <c r="E19" i="29"/>
  <c r="F19" i="29"/>
  <c r="G19" i="29"/>
  <c r="A20" i="29"/>
  <c r="B20" i="29"/>
  <c r="C20" i="29"/>
  <c r="D20" i="29"/>
  <c r="E20" i="29"/>
  <c r="F20" i="29"/>
  <c r="G20" i="29"/>
  <c r="A21" i="29"/>
  <c r="B21" i="29"/>
  <c r="C21" i="29"/>
  <c r="D21" i="29"/>
  <c r="E21" i="29"/>
  <c r="F21" i="29"/>
  <c r="G21" i="29"/>
  <c r="A22" i="29"/>
  <c r="B22" i="29"/>
  <c r="C22" i="29"/>
  <c r="D22" i="29"/>
  <c r="E22" i="29"/>
  <c r="F22" i="29"/>
  <c r="G22" i="29"/>
  <c r="A23" i="29"/>
  <c r="B23" i="29"/>
  <c r="C23" i="29"/>
  <c r="D23" i="29"/>
  <c r="E23" i="29"/>
  <c r="F23" i="29"/>
  <c r="G23" i="29"/>
  <c r="A24" i="29"/>
  <c r="B24" i="29"/>
  <c r="C24" i="29"/>
  <c r="D24" i="29"/>
  <c r="E24" i="29"/>
  <c r="F24" i="29"/>
  <c r="G24" i="29"/>
  <c r="A25" i="29"/>
  <c r="B25" i="29"/>
  <c r="C25" i="29"/>
  <c r="D25" i="29"/>
  <c r="E25" i="29"/>
  <c r="F25" i="29"/>
  <c r="G25" i="29"/>
  <c r="A26" i="29"/>
  <c r="B26" i="29"/>
  <c r="C26" i="29"/>
  <c r="D26" i="29"/>
  <c r="E26" i="29"/>
  <c r="F26" i="29"/>
  <c r="G26" i="29"/>
  <c r="A27" i="29"/>
  <c r="B27" i="29"/>
  <c r="C27" i="29"/>
  <c r="D27" i="29"/>
  <c r="E27" i="29"/>
  <c r="F27" i="29"/>
  <c r="G27" i="29"/>
  <c r="A28" i="29"/>
  <c r="B28" i="29"/>
  <c r="C28" i="29"/>
  <c r="D28" i="29"/>
  <c r="E28" i="29"/>
  <c r="F28" i="29"/>
  <c r="G28" i="29"/>
  <c r="A29" i="29"/>
  <c r="B29" i="29"/>
  <c r="C29" i="29"/>
  <c r="D29" i="29"/>
  <c r="E29" i="29"/>
  <c r="F29" i="29"/>
  <c r="G29" i="29"/>
  <c r="A30" i="29"/>
  <c r="B30" i="29"/>
  <c r="C30" i="29"/>
  <c r="D30" i="29"/>
  <c r="E30" i="29"/>
  <c r="F30" i="29"/>
  <c r="G30" i="29"/>
  <c r="A31" i="29"/>
  <c r="B31" i="29"/>
  <c r="C31" i="29"/>
  <c r="D31" i="29"/>
  <c r="E31" i="29"/>
  <c r="F31" i="29"/>
  <c r="G31" i="29"/>
  <c r="A32" i="29"/>
  <c r="B32" i="29"/>
  <c r="C32" i="29"/>
  <c r="D32" i="29"/>
  <c r="E32" i="29"/>
  <c r="F32" i="29"/>
  <c r="G32" i="29"/>
  <c r="A33" i="29"/>
  <c r="B33" i="29"/>
  <c r="C33" i="29"/>
  <c r="D33" i="29"/>
  <c r="E33" i="29"/>
  <c r="F33" i="29"/>
  <c r="G33" i="29"/>
  <c r="A34" i="29"/>
  <c r="B34" i="29"/>
  <c r="C34" i="29"/>
  <c r="D34" i="29"/>
  <c r="E34" i="29"/>
  <c r="F34" i="29"/>
  <c r="G34" i="29"/>
  <c r="A35" i="29"/>
  <c r="B35" i="29"/>
  <c r="C35" i="29"/>
  <c r="D35" i="29"/>
  <c r="E35" i="29"/>
  <c r="F35" i="29"/>
  <c r="G35" i="29"/>
  <c r="A36" i="29"/>
  <c r="B36" i="29"/>
  <c r="C36" i="29"/>
  <c r="D36" i="29"/>
  <c r="E36" i="29"/>
  <c r="F36" i="29"/>
  <c r="G36" i="29"/>
  <c r="A37" i="29"/>
  <c r="B37" i="29"/>
  <c r="C37" i="29"/>
  <c r="D37" i="29"/>
  <c r="E37" i="29"/>
  <c r="F37" i="29"/>
  <c r="G37" i="29"/>
  <c r="A38" i="29"/>
  <c r="B38" i="29"/>
  <c r="C38" i="29"/>
  <c r="D38" i="29"/>
  <c r="E38" i="29"/>
  <c r="F38" i="29"/>
  <c r="G38" i="29"/>
  <c r="A39" i="29"/>
  <c r="B39" i="29"/>
  <c r="C39" i="29"/>
  <c r="D39" i="29"/>
  <c r="E39" i="29"/>
  <c r="F39" i="29"/>
  <c r="G39" i="29"/>
  <c r="A40" i="29"/>
  <c r="B40" i="29"/>
  <c r="C40" i="29"/>
  <c r="D40" i="29"/>
  <c r="E40" i="29"/>
  <c r="F40" i="29"/>
  <c r="G40" i="29"/>
  <c r="A41" i="29"/>
  <c r="B41" i="29"/>
  <c r="C41" i="29"/>
  <c r="D41" i="29"/>
  <c r="E41" i="29"/>
  <c r="F41" i="29"/>
  <c r="G41" i="29"/>
  <c r="A42" i="29"/>
  <c r="B42" i="29"/>
  <c r="C42" i="29"/>
  <c r="D42" i="29"/>
  <c r="E42" i="29"/>
  <c r="F42" i="29"/>
  <c r="G42" i="29"/>
  <c r="A43" i="29"/>
  <c r="B43" i="29"/>
  <c r="C43" i="29"/>
  <c r="D43" i="29"/>
  <c r="E43" i="29"/>
  <c r="F43" i="29"/>
  <c r="G43" i="29"/>
  <c r="A44" i="29"/>
  <c r="B44" i="29"/>
  <c r="C44" i="29"/>
  <c r="D44" i="29"/>
  <c r="E44" i="29"/>
  <c r="F44" i="29"/>
  <c r="G44" i="29"/>
  <c r="A45" i="29"/>
  <c r="B45" i="29"/>
  <c r="C45" i="29"/>
  <c r="D45" i="29"/>
  <c r="E45" i="29"/>
  <c r="F45" i="29"/>
  <c r="G45" i="29"/>
  <c r="A46" i="29"/>
  <c r="B46" i="29"/>
  <c r="C46" i="29"/>
  <c r="D46" i="29"/>
  <c r="E46" i="29"/>
  <c r="F46" i="29"/>
  <c r="G46" i="29"/>
  <c r="A47" i="29"/>
  <c r="B47" i="29"/>
  <c r="C47" i="29"/>
  <c r="D47" i="29"/>
  <c r="E47" i="29"/>
  <c r="F47" i="29"/>
  <c r="G47" i="29"/>
  <c r="A48" i="29"/>
  <c r="B48" i="29"/>
  <c r="C48" i="29"/>
  <c r="D48" i="29"/>
  <c r="E48" i="29"/>
  <c r="F48" i="29"/>
  <c r="G48" i="29"/>
  <c r="A49" i="29"/>
  <c r="B49" i="29"/>
  <c r="C49" i="29"/>
  <c r="D49" i="29"/>
  <c r="E49" i="29"/>
  <c r="F49" i="29"/>
  <c r="G49" i="29"/>
  <c r="A50" i="29"/>
  <c r="B50" i="29"/>
  <c r="C50" i="29"/>
  <c r="D50" i="29"/>
  <c r="E50" i="29"/>
  <c r="F50" i="29"/>
  <c r="G50" i="29"/>
  <c r="A51" i="29"/>
  <c r="B51" i="29"/>
  <c r="C51" i="29"/>
  <c r="D51" i="29"/>
  <c r="E51" i="29"/>
  <c r="F51" i="29"/>
  <c r="G51" i="29"/>
  <c r="A52" i="29"/>
  <c r="B52" i="29"/>
  <c r="C52" i="29"/>
  <c r="D52" i="29"/>
  <c r="E52" i="29"/>
  <c r="F52" i="29"/>
  <c r="G52" i="29"/>
  <c r="A53" i="29"/>
  <c r="B53" i="29"/>
  <c r="C53" i="29"/>
  <c r="D53" i="29"/>
  <c r="E53" i="29"/>
  <c r="F53" i="29"/>
  <c r="G53" i="29"/>
  <c r="A54" i="29"/>
  <c r="B54" i="29"/>
  <c r="C54" i="29"/>
  <c r="D54" i="29"/>
  <c r="E54" i="29"/>
  <c r="F54" i="29"/>
  <c r="G54" i="29"/>
  <c r="A55" i="29"/>
  <c r="B55" i="29"/>
  <c r="C55" i="29"/>
  <c r="D55" i="29"/>
  <c r="E55" i="29"/>
  <c r="F55" i="29"/>
  <c r="G55" i="29"/>
  <c r="A56" i="29"/>
  <c r="B56" i="29"/>
  <c r="C56" i="29"/>
  <c r="D56" i="29"/>
  <c r="E56" i="29"/>
  <c r="F56" i="29"/>
  <c r="G56" i="29"/>
  <c r="A57" i="29"/>
  <c r="B57" i="29"/>
  <c r="C57" i="29"/>
  <c r="D57" i="29"/>
  <c r="E57" i="29"/>
  <c r="F57" i="29"/>
  <c r="G57" i="29"/>
  <c r="A58" i="29"/>
  <c r="B58" i="29"/>
  <c r="C58" i="29"/>
  <c r="D58" i="29"/>
  <c r="E58" i="29"/>
  <c r="F58" i="29"/>
  <c r="G58" i="29"/>
  <c r="A59" i="29"/>
  <c r="B59" i="29"/>
  <c r="C59" i="29"/>
  <c r="D59" i="29"/>
  <c r="E59" i="29"/>
  <c r="F59" i="29"/>
  <c r="G59" i="29"/>
  <c r="A60" i="29"/>
  <c r="B60" i="29"/>
  <c r="C60" i="29"/>
  <c r="D60" i="29"/>
  <c r="E60" i="29"/>
  <c r="F60" i="29"/>
  <c r="G60" i="29"/>
  <c r="A61" i="29"/>
  <c r="B61" i="29"/>
  <c r="C61" i="29"/>
  <c r="D61" i="29"/>
  <c r="E61" i="29"/>
  <c r="F61" i="29"/>
  <c r="G61" i="29"/>
  <c r="A62" i="29"/>
  <c r="B62" i="29"/>
  <c r="C62" i="29"/>
  <c r="D62" i="29"/>
  <c r="E62" i="29"/>
  <c r="F62" i="29"/>
  <c r="G62" i="29"/>
  <c r="A63" i="29"/>
  <c r="B63" i="29"/>
  <c r="C63" i="29"/>
  <c r="D63" i="29"/>
  <c r="E63" i="29"/>
  <c r="F63" i="29"/>
  <c r="G63" i="29"/>
  <c r="A64" i="29"/>
  <c r="B64" i="29"/>
  <c r="C64" i="29"/>
  <c r="D64" i="29"/>
  <c r="E64" i="29"/>
  <c r="F64" i="29"/>
  <c r="G64" i="29"/>
  <c r="A65" i="29"/>
  <c r="B65" i="29"/>
  <c r="C65" i="29"/>
  <c r="D65" i="29"/>
  <c r="E65" i="29"/>
  <c r="F65" i="29"/>
  <c r="G65" i="29"/>
  <c r="A66" i="29"/>
  <c r="B66" i="29"/>
  <c r="C66" i="29"/>
  <c r="D66" i="29"/>
  <c r="E66" i="29"/>
  <c r="F66" i="29"/>
  <c r="G66" i="29"/>
  <c r="A67" i="29"/>
  <c r="B67" i="29"/>
  <c r="C67" i="29"/>
  <c r="D67" i="29"/>
  <c r="E67" i="29"/>
  <c r="F67" i="29"/>
  <c r="G67" i="29"/>
  <c r="A68" i="29"/>
  <c r="B68" i="29"/>
  <c r="C68" i="29"/>
  <c r="D68" i="29"/>
  <c r="E68" i="29"/>
  <c r="F68" i="29"/>
  <c r="G68" i="29"/>
  <c r="A69" i="29"/>
  <c r="B69" i="29"/>
  <c r="C69" i="29"/>
  <c r="D69" i="29"/>
  <c r="E69" i="29"/>
  <c r="F69" i="29"/>
  <c r="G69" i="29"/>
  <c r="A70" i="29"/>
  <c r="B70" i="29"/>
  <c r="C70" i="29"/>
  <c r="D70" i="29"/>
  <c r="E70" i="29"/>
  <c r="F70" i="29"/>
  <c r="G70" i="29"/>
  <c r="A71" i="29"/>
  <c r="B71" i="29"/>
  <c r="C71" i="29"/>
  <c r="D71" i="29"/>
  <c r="E71" i="29"/>
  <c r="F71" i="29"/>
  <c r="G71" i="29"/>
  <c r="A72" i="29"/>
  <c r="B72" i="29"/>
  <c r="C72" i="29"/>
  <c r="D72" i="29"/>
  <c r="E72" i="29"/>
  <c r="F72" i="29"/>
  <c r="G72" i="29"/>
  <c r="A73" i="29"/>
  <c r="B73" i="29"/>
  <c r="C73" i="29"/>
  <c r="D73" i="29"/>
  <c r="E73" i="29"/>
  <c r="F73" i="29"/>
  <c r="G73" i="29"/>
  <c r="A74" i="29"/>
  <c r="B74" i="29"/>
  <c r="C74" i="29"/>
  <c r="D74" i="29"/>
  <c r="E74" i="29"/>
  <c r="F74" i="29"/>
  <c r="G74" i="29"/>
  <c r="A75" i="29"/>
  <c r="B75" i="29"/>
  <c r="C75" i="29"/>
  <c r="D75" i="29"/>
  <c r="E75" i="29"/>
  <c r="F75" i="29"/>
  <c r="G75" i="29"/>
  <c r="A76" i="29"/>
  <c r="B76" i="29"/>
  <c r="C76" i="29"/>
  <c r="D76" i="29"/>
  <c r="E76" i="29"/>
  <c r="F76" i="29"/>
  <c r="G76" i="29"/>
  <c r="A77" i="29"/>
  <c r="B77" i="29"/>
  <c r="C77" i="29"/>
  <c r="D77" i="29"/>
  <c r="E77" i="29"/>
  <c r="F77" i="29"/>
  <c r="G77" i="29"/>
  <c r="A78" i="29"/>
  <c r="B78" i="29"/>
  <c r="C78" i="29"/>
  <c r="D78" i="29"/>
  <c r="E78" i="29"/>
  <c r="F78" i="29"/>
  <c r="G78" i="29"/>
  <c r="A79" i="29"/>
  <c r="B79" i="29"/>
  <c r="C79" i="29"/>
  <c r="D79" i="29"/>
  <c r="E79" i="29"/>
  <c r="F79" i="29"/>
  <c r="G79" i="29"/>
  <c r="A80" i="29"/>
  <c r="B80" i="29"/>
  <c r="C80" i="29"/>
  <c r="D80" i="29"/>
  <c r="E80" i="29"/>
  <c r="F80" i="29"/>
  <c r="G80" i="29"/>
  <c r="A81" i="29"/>
  <c r="B81" i="29"/>
  <c r="C81" i="29"/>
  <c r="D81" i="29"/>
  <c r="E81" i="29"/>
  <c r="F81" i="29"/>
  <c r="G81" i="29"/>
  <c r="A82" i="29"/>
  <c r="B82" i="29"/>
  <c r="C82" i="29"/>
  <c r="D82" i="29"/>
  <c r="E82" i="29"/>
  <c r="F82" i="29"/>
  <c r="G82" i="29"/>
  <c r="A83" i="29"/>
  <c r="B83" i="29"/>
  <c r="C83" i="29"/>
  <c r="D83" i="29"/>
  <c r="E83" i="29"/>
  <c r="F83" i="29"/>
  <c r="G83" i="29"/>
  <c r="A84" i="29"/>
  <c r="B84" i="29"/>
  <c r="C84" i="29"/>
  <c r="D84" i="29"/>
  <c r="E84" i="29"/>
  <c r="F84" i="29"/>
  <c r="G84" i="29"/>
  <c r="A85" i="29"/>
  <c r="B85" i="29"/>
  <c r="C85" i="29"/>
  <c r="D85" i="29"/>
  <c r="E85" i="29"/>
  <c r="F85" i="29"/>
  <c r="G85" i="29"/>
  <c r="A86" i="29"/>
  <c r="B86" i="29"/>
  <c r="C86" i="29"/>
  <c r="D86" i="29"/>
  <c r="E86" i="29"/>
  <c r="F86" i="29"/>
  <c r="G86" i="29"/>
  <c r="A87" i="29"/>
  <c r="B87" i="29"/>
  <c r="C87" i="29"/>
  <c r="D87" i="29"/>
  <c r="E87" i="29"/>
  <c r="F87" i="29"/>
  <c r="G87" i="29"/>
  <c r="A88" i="29"/>
  <c r="B88" i="29"/>
  <c r="C88" i="29"/>
  <c r="D88" i="29"/>
  <c r="E88" i="29"/>
  <c r="F88" i="29"/>
  <c r="G88" i="29"/>
  <c r="A89" i="29"/>
  <c r="B89" i="29"/>
  <c r="C89" i="29"/>
  <c r="D89" i="29"/>
  <c r="E89" i="29"/>
  <c r="F89" i="29"/>
  <c r="G89" i="29"/>
  <c r="A90" i="29"/>
  <c r="B90" i="29"/>
  <c r="C90" i="29"/>
  <c r="D90" i="29"/>
  <c r="E90" i="29"/>
  <c r="F90" i="29"/>
  <c r="G90" i="29"/>
  <c r="A91" i="29"/>
  <c r="B91" i="29"/>
  <c r="C91" i="29"/>
  <c r="D91" i="29"/>
  <c r="E91" i="29"/>
  <c r="F91" i="29"/>
  <c r="G91" i="29"/>
  <c r="A92" i="29"/>
  <c r="B92" i="29"/>
  <c r="C92" i="29"/>
  <c r="D92" i="29"/>
  <c r="E92" i="29"/>
  <c r="F92" i="29"/>
  <c r="G92" i="29"/>
  <c r="A93" i="29"/>
  <c r="B93" i="29"/>
  <c r="C93" i="29"/>
  <c r="D93" i="29"/>
  <c r="E93" i="29"/>
  <c r="F93" i="29"/>
  <c r="G93" i="29"/>
  <c r="A94" i="29"/>
  <c r="B94" i="29"/>
  <c r="C94" i="29"/>
  <c r="D94" i="29"/>
  <c r="E94" i="29"/>
  <c r="F94" i="29"/>
  <c r="G94" i="29"/>
  <c r="A95" i="29"/>
  <c r="B95" i="29"/>
  <c r="C95" i="29"/>
  <c r="D95" i="29"/>
  <c r="E95" i="29"/>
  <c r="F95" i="29"/>
  <c r="G95" i="29"/>
  <c r="A96" i="29"/>
  <c r="B96" i="29"/>
  <c r="C96" i="29"/>
  <c r="D96" i="29"/>
  <c r="E96" i="29"/>
  <c r="F96" i="29"/>
  <c r="G96" i="29"/>
  <c r="A97" i="29"/>
  <c r="B97" i="29"/>
  <c r="C97" i="29"/>
  <c r="D97" i="29"/>
  <c r="E97" i="29"/>
  <c r="F97" i="29"/>
  <c r="G97" i="29"/>
  <c r="A98" i="29"/>
  <c r="B98" i="29"/>
  <c r="C98" i="29"/>
  <c r="D98" i="29"/>
  <c r="E98" i="29"/>
  <c r="F98" i="29"/>
  <c r="G98" i="29"/>
  <c r="A99" i="29"/>
  <c r="B99" i="29"/>
  <c r="C99" i="29"/>
  <c r="D99" i="29"/>
  <c r="E99" i="29"/>
  <c r="F99" i="29"/>
  <c r="G99" i="29"/>
  <c r="A100" i="29"/>
  <c r="B100" i="29"/>
  <c r="C100" i="29"/>
  <c r="D100" i="29"/>
  <c r="E100" i="29"/>
  <c r="F100" i="29"/>
  <c r="G100" i="29"/>
  <c r="A101" i="29"/>
  <c r="B101" i="29"/>
  <c r="C101" i="29"/>
  <c r="D101" i="29"/>
  <c r="E101" i="29"/>
  <c r="F101" i="29"/>
  <c r="G101" i="29"/>
  <c r="A102" i="29"/>
  <c r="B102" i="29"/>
  <c r="C102" i="29"/>
  <c r="D102" i="29"/>
  <c r="E102" i="29"/>
  <c r="F102" i="29"/>
  <c r="G102" i="29"/>
  <c r="A103" i="29"/>
  <c r="B103" i="29"/>
  <c r="C103" i="29"/>
  <c r="D103" i="29"/>
  <c r="E103" i="29"/>
  <c r="F103" i="29"/>
  <c r="G103" i="29"/>
  <c r="A104" i="29"/>
  <c r="B104" i="29"/>
  <c r="C104" i="29"/>
  <c r="D104" i="29"/>
  <c r="E104" i="29"/>
  <c r="F104" i="29"/>
  <c r="G104" i="29"/>
  <c r="A105" i="29"/>
  <c r="B105" i="29"/>
  <c r="C105" i="29"/>
  <c r="D105" i="29"/>
  <c r="E105" i="29"/>
  <c r="F105" i="29"/>
  <c r="G105" i="29"/>
  <c r="A106" i="29"/>
  <c r="B106" i="29"/>
  <c r="C106" i="29"/>
  <c r="D106" i="29"/>
  <c r="E106" i="29"/>
  <c r="F106" i="29"/>
  <c r="G106" i="29"/>
  <c r="A107" i="29"/>
  <c r="B107" i="29"/>
  <c r="C107" i="29"/>
  <c r="D107" i="29"/>
  <c r="E107" i="29"/>
  <c r="F107" i="29"/>
  <c r="G107" i="29"/>
  <c r="A108" i="29"/>
  <c r="B108" i="29"/>
  <c r="C108" i="29"/>
  <c r="D108" i="29"/>
  <c r="E108" i="29"/>
  <c r="F108" i="29"/>
  <c r="G108" i="29"/>
  <c r="A109" i="29"/>
  <c r="B109" i="29"/>
  <c r="C109" i="29"/>
  <c r="D109" i="29"/>
  <c r="E109" i="29"/>
  <c r="F109" i="29"/>
  <c r="G109" i="29"/>
  <c r="A110" i="29"/>
  <c r="B110" i="29"/>
  <c r="C110" i="29"/>
  <c r="D110" i="29"/>
  <c r="E110" i="29"/>
  <c r="F110" i="29"/>
  <c r="G110" i="29"/>
  <c r="A111" i="29"/>
  <c r="B111" i="29"/>
  <c r="C111" i="29"/>
  <c r="D111" i="29"/>
  <c r="E111" i="29"/>
  <c r="F111" i="29"/>
  <c r="G111" i="29"/>
  <c r="A112" i="29"/>
  <c r="B112" i="29"/>
  <c r="C112" i="29"/>
  <c r="D112" i="29"/>
  <c r="E112" i="29"/>
  <c r="F112" i="29"/>
  <c r="G112" i="29"/>
  <c r="A113" i="29"/>
  <c r="B113" i="29"/>
  <c r="C113" i="29"/>
  <c r="D113" i="29"/>
  <c r="E113" i="29"/>
  <c r="F113" i="29"/>
  <c r="G113" i="29"/>
  <c r="A114" i="29"/>
  <c r="B114" i="29"/>
  <c r="C114" i="29"/>
  <c r="D114" i="29"/>
  <c r="E114" i="29"/>
  <c r="F114" i="29"/>
  <c r="G114" i="29"/>
  <c r="A115" i="29"/>
  <c r="B115" i="29"/>
  <c r="C115" i="29"/>
  <c r="D115" i="29"/>
  <c r="E115" i="29"/>
  <c r="F115" i="29"/>
  <c r="G115" i="29"/>
  <c r="A116" i="29"/>
  <c r="B116" i="29"/>
  <c r="C116" i="29"/>
  <c r="D116" i="29"/>
  <c r="E116" i="29"/>
  <c r="F116" i="29"/>
  <c r="G116" i="29"/>
  <c r="A117" i="29"/>
  <c r="B117" i="29"/>
  <c r="C117" i="29"/>
  <c r="D117" i="29"/>
  <c r="E117" i="29"/>
  <c r="F117" i="29"/>
  <c r="G117" i="29"/>
  <c r="A118" i="29"/>
  <c r="B118" i="29"/>
  <c r="C118" i="29"/>
  <c r="D118" i="29"/>
  <c r="E118" i="29"/>
  <c r="F118" i="29"/>
  <c r="G118" i="29"/>
  <c r="A119" i="29"/>
  <c r="B119" i="29"/>
  <c r="C119" i="29"/>
  <c r="D119" i="29"/>
  <c r="E119" i="29"/>
  <c r="F119" i="29"/>
  <c r="G119" i="29"/>
  <c r="A120" i="29"/>
  <c r="B120" i="29"/>
  <c r="C120" i="29"/>
  <c r="D120" i="29"/>
  <c r="E120" i="29"/>
  <c r="F120" i="29"/>
  <c r="G120" i="29"/>
  <c r="A121" i="29"/>
  <c r="B121" i="29"/>
  <c r="C121" i="29"/>
  <c r="D121" i="29"/>
  <c r="E121" i="29"/>
  <c r="F121" i="29"/>
  <c r="G121" i="29"/>
  <c r="A122" i="29"/>
  <c r="B122" i="29"/>
  <c r="C122" i="29"/>
  <c r="D122" i="29"/>
  <c r="E122" i="29"/>
  <c r="F122" i="29"/>
  <c r="G122" i="29"/>
  <c r="A123" i="29"/>
  <c r="B123" i="29"/>
  <c r="C123" i="29"/>
  <c r="D123" i="29"/>
  <c r="E123" i="29"/>
  <c r="F123" i="29"/>
  <c r="G123" i="29"/>
  <c r="A124" i="29"/>
  <c r="B124" i="29"/>
  <c r="C124" i="29"/>
  <c r="D124" i="29"/>
  <c r="E124" i="29"/>
  <c r="F124" i="29"/>
  <c r="G124" i="29"/>
  <c r="A125" i="29"/>
  <c r="B125" i="29"/>
  <c r="C125" i="29"/>
  <c r="D125" i="29"/>
  <c r="E125" i="29"/>
  <c r="F125" i="29"/>
  <c r="G125" i="29"/>
  <c r="A126" i="29"/>
  <c r="B126" i="29"/>
  <c r="C126" i="29"/>
  <c r="D126" i="29"/>
  <c r="E126" i="29"/>
  <c r="F126" i="29"/>
  <c r="G126" i="29"/>
  <c r="A127" i="29"/>
  <c r="B127" i="29"/>
  <c r="C127" i="29"/>
  <c r="D127" i="29"/>
  <c r="E127" i="29"/>
  <c r="F127" i="29"/>
  <c r="G127" i="29"/>
  <c r="A128" i="29"/>
  <c r="B128" i="29"/>
  <c r="C128" i="29"/>
  <c r="D128" i="29"/>
  <c r="E128" i="29"/>
  <c r="F128" i="29"/>
  <c r="G128" i="29"/>
  <c r="A129" i="29"/>
  <c r="B129" i="29"/>
  <c r="C129" i="29"/>
  <c r="D129" i="29"/>
  <c r="E129" i="29"/>
  <c r="F129" i="29"/>
  <c r="G129" i="29"/>
  <c r="A130" i="29"/>
  <c r="B130" i="29"/>
  <c r="C130" i="29"/>
  <c r="D130" i="29"/>
  <c r="E130" i="29"/>
  <c r="F130" i="29"/>
  <c r="G130" i="29"/>
  <c r="A131" i="29"/>
  <c r="B131" i="29"/>
  <c r="C131" i="29"/>
  <c r="D131" i="29"/>
  <c r="E131" i="29"/>
  <c r="F131" i="29"/>
  <c r="G131" i="29"/>
  <c r="A132" i="29"/>
  <c r="B132" i="29"/>
  <c r="C132" i="29"/>
  <c r="D132" i="29"/>
  <c r="E132" i="29"/>
  <c r="F132" i="29"/>
  <c r="G132" i="29"/>
  <c r="A133" i="29"/>
  <c r="B133" i="29"/>
  <c r="C133" i="29"/>
  <c r="D133" i="29"/>
  <c r="E133" i="29"/>
  <c r="F133" i="29"/>
  <c r="G133" i="29"/>
  <c r="A134" i="29"/>
  <c r="B134" i="29"/>
  <c r="C134" i="29"/>
  <c r="D134" i="29"/>
  <c r="E134" i="29"/>
  <c r="F134" i="29"/>
  <c r="G134" i="29"/>
  <c r="A135" i="29"/>
  <c r="B135" i="29"/>
  <c r="C135" i="29"/>
  <c r="D135" i="29"/>
  <c r="E135" i="29"/>
  <c r="F135" i="29"/>
  <c r="G135" i="29"/>
  <c r="A136" i="29"/>
  <c r="B136" i="29"/>
  <c r="C136" i="29"/>
  <c r="D136" i="29"/>
  <c r="E136" i="29"/>
  <c r="F136" i="29"/>
  <c r="G136" i="29"/>
  <c r="A137" i="29"/>
  <c r="B137" i="29"/>
  <c r="C137" i="29"/>
  <c r="D137" i="29"/>
  <c r="E137" i="29"/>
  <c r="F137" i="29"/>
  <c r="G137" i="29"/>
  <c r="A138" i="29"/>
  <c r="B138" i="29"/>
  <c r="C138" i="29"/>
  <c r="D138" i="29"/>
  <c r="E138" i="29"/>
  <c r="F138" i="29"/>
  <c r="G138" i="29"/>
  <c r="A139" i="29"/>
  <c r="B139" i="29"/>
  <c r="C139" i="29"/>
  <c r="D139" i="29"/>
  <c r="E139" i="29"/>
  <c r="F139" i="29"/>
  <c r="G139" i="29"/>
  <c r="A140" i="29"/>
  <c r="B140" i="29"/>
  <c r="C140" i="29"/>
  <c r="D140" i="29"/>
  <c r="E140" i="29"/>
  <c r="F140" i="29"/>
  <c r="G140" i="29"/>
  <c r="A141" i="29"/>
  <c r="B141" i="29"/>
  <c r="C141" i="29"/>
  <c r="D141" i="29"/>
  <c r="E141" i="29"/>
  <c r="F141" i="29"/>
  <c r="G141" i="29"/>
  <c r="A142" i="29"/>
  <c r="B142" i="29"/>
  <c r="C142" i="29"/>
  <c r="D142" i="29"/>
  <c r="E142" i="29"/>
  <c r="F142" i="29"/>
  <c r="G142" i="29"/>
  <c r="A143" i="29"/>
  <c r="B143" i="29"/>
  <c r="C143" i="29"/>
  <c r="D143" i="29"/>
  <c r="E143" i="29"/>
  <c r="F143" i="29"/>
  <c r="G143" i="29"/>
  <c r="A144" i="29"/>
  <c r="B144" i="29"/>
  <c r="C144" i="29"/>
  <c r="D144" i="29"/>
  <c r="E144" i="29"/>
  <c r="F144" i="29"/>
  <c r="G144" i="29"/>
  <c r="A145" i="29"/>
  <c r="B145" i="29"/>
  <c r="C145" i="29"/>
  <c r="D145" i="29"/>
  <c r="E145" i="29"/>
  <c r="F145" i="29"/>
  <c r="G145" i="29"/>
  <c r="A146" i="29"/>
  <c r="B146" i="29"/>
  <c r="C146" i="29"/>
  <c r="D146" i="29"/>
  <c r="E146" i="29"/>
  <c r="F146" i="29"/>
  <c r="G146" i="29"/>
  <c r="A147" i="29"/>
  <c r="B147" i="29"/>
  <c r="C147" i="29"/>
  <c r="D147" i="29"/>
  <c r="E147" i="29"/>
  <c r="F147" i="29"/>
  <c r="G147" i="29"/>
  <c r="A148" i="29"/>
  <c r="B148" i="29"/>
  <c r="C148" i="29"/>
  <c r="D148" i="29"/>
  <c r="E148" i="29"/>
  <c r="F148" i="29"/>
  <c r="G148" i="29"/>
  <c r="A149" i="29"/>
  <c r="B149" i="29"/>
  <c r="C149" i="29"/>
  <c r="D149" i="29"/>
  <c r="E149" i="29"/>
  <c r="F149" i="29"/>
  <c r="G149" i="29"/>
  <c r="A150" i="29"/>
  <c r="B150" i="29"/>
  <c r="C150" i="29"/>
  <c r="D150" i="29"/>
  <c r="E150" i="29"/>
  <c r="A151" i="29"/>
  <c r="B151" i="29"/>
  <c r="C151" i="29"/>
  <c r="D151" i="29"/>
  <c r="E151" i="29"/>
  <c r="F151" i="29"/>
  <c r="G151" i="29"/>
  <c r="A152" i="29"/>
  <c r="B152" i="29"/>
  <c r="C152" i="29"/>
  <c r="D152" i="29"/>
  <c r="E152" i="29"/>
  <c r="F152" i="29"/>
  <c r="G152" i="29"/>
  <c r="A153" i="29"/>
  <c r="B153" i="29"/>
  <c r="C153" i="29"/>
  <c r="D153" i="29"/>
  <c r="E153" i="29"/>
  <c r="F153" i="29"/>
  <c r="G153" i="29"/>
  <c r="A154" i="29"/>
  <c r="B154" i="29"/>
  <c r="C154" i="29"/>
  <c r="D154" i="29"/>
  <c r="E154" i="29"/>
  <c r="F154" i="29"/>
  <c r="G154" i="29"/>
  <c r="A155" i="29"/>
  <c r="B155" i="29"/>
  <c r="C155" i="29"/>
  <c r="D155" i="29"/>
  <c r="E155" i="29"/>
  <c r="F155" i="29"/>
  <c r="G155" i="29"/>
  <c r="A156" i="29"/>
  <c r="B156" i="29"/>
  <c r="C156" i="29"/>
  <c r="D156" i="29"/>
  <c r="E156" i="29"/>
  <c r="F156" i="29"/>
  <c r="G156" i="29"/>
  <c r="A157" i="29"/>
  <c r="B157" i="29"/>
  <c r="C157" i="29"/>
  <c r="D157" i="29"/>
  <c r="E157" i="29"/>
  <c r="F157" i="29"/>
  <c r="G157" i="29"/>
  <c r="A158" i="29"/>
  <c r="B158" i="29"/>
  <c r="C158" i="29"/>
  <c r="D158" i="29"/>
  <c r="E158" i="29"/>
  <c r="F158" i="29"/>
  <c r="G158" i="29"/>
  <c r="A159" i="29"/>
  <c r="B159" i="29"/>
  <c r="C159" i="29"/>
  <c r="D159" i="29"/>
  <c r="E159" i="29"/>
  <c r="F159" i="29"/>
  <c r="G159" i="29"/>
  <c r="A160" i="29"/>
  <c r="B160" i="29"/>
  <c r="C160" i="29"/>
  <c r="D160" i="29"/>
  <c r="E160" i="29"/>
  <c r="F160" i="29"/>
  <c r="G160" i="29"/>
  <c r="A161" i="29"/>
  <c r="B161" i="29"/>
  <c r="C161" i="29"/>
  <c r="D161" i="29"/>
  <c r="E161" i="29"/>
  <c r="F161" i="29"/>
  <c r="G161" i="29"/>
  <c r="A162" i="29"/>
  <c r="B162" i="29"/>
  <c r="C162" i="29"/>
  <c r="D162" i="29"/>
  <c r="E162" i="29"/>
  <c r="F162" i="29"/>
  <c r="G162" i="29"/>
  <c r="A163" i="29"/>
  <c r="B163" i="29"/>
  <c r="C163" i="29"/>
  <c r="D163" i="29"/>
  <c r="E163" i="29"/>
  <c r="F163" i="29"/>
  <c r="G163" i="29"/>
  <c r="A164" i="29"/>
  <c r="B164" i="29"/>
  <c r="C164" i="29"/>
  <c r="D164" i="29"/>
  <c r="E164" i="29"/>
  <c r="F164" i="29"/>
  <c r="G164" i="29"/>
  <c r="A165" i="29"/>
  <c r="B165" i="29"/>
  <c r="C165" i="29"/>
  <c r="D165" i="29"/>
  <c r="E165" i="29"/>
  <c r="F165" i="29"/>
  <c r="G165" i="29"/>
  <c r="A166" i="29"/>
  <c r="B166" i="29"/>
  <c r="C166" i="29"/>
  <c r="D166" i="29"/>
  <c r="E166" i="29"/>
  <c r="F166" i="29"/>
  <c r="G166" i="29"/>
  <c r="A167" i="29"/>
  <c r="B167" i="29"/>
  <c r="C167" i="29"/>
  <c r="D167" i="29"/>
  <c r="E167" i="29"/>
  <c r="F167" i="29"/>
  <c r="G167" i="29"/>
  <c r="A168" i="29"/>
  <c r="B168" i="29"/>
  <c r="C168" i="29"/>
  <c r="D168" i="29"/>
  <c r="E168" i="29"/>
  <c r="F168" i="29"/>
  <c r="G168" i="29"/>
  <c r="A169" i="29"/>
  <c r="B169" i="29"/>
  <c r="C169" i="29"/>
  <c r="D169" i="29"/>
  <c r="E169" i="29"/>
  <c r="F169" i="29"/>
  <c r="G169" i="29"/>
  <c r="A170" i="29"/>
  <c r="B170" i="29"/>
  <c r="C170" i="29"/>
  <c r="D170" i="29"/>
  <c r="E170" i="29"/>
  <c r="F170" i="29"/>
  <c r="G170" i="29"/>
  <c r="A171" i="29"/>
  <c r="B171" i="29"/>
  <c r="C171" i="29"/>
  <c r="D171" i="29"/>
  <c r="E171" i="29"/>
  <c r="F171" i="29"/>
  <c r="G171" i="29"/>
  <c r="A172" i="29"/>
  <c r="B172" i="29"/>
  <c r="C172" i="29"/>
  <c r="D172" i="29"/>
  <c r="E172" i="29"/>
  <c r="F172" i="29"/>
  <c r="G172" i="29"/>
  <c r="A173" i="29"/>
  <c r="B173" i="29"/>
  <c r="C173" i="29"/>
  <c r="D173" i="29"/>
  <c r="E173" i="29"/>
  <c r="F173" i="29"/>
  <c r="G173" i="29"/>
  <c r="A174" i="29"/>
  <c r="B174" i="29"/>
  <c r="C174" i="29"/>
  <c r="D174" i="29"/>
  <c r="E174" i="29"/>
  <c r="F174" i="29"/>
  <c r="G174" i="29"/>
  <c r="A175" i="29"/>
  <c r="B175" i="29"/>
  <c r="C175" i="29"/>
  <c r="D175" i="29"/>
  <c r="E175" i="29"/>
  <c r="F175" i="29"/>
  <c r="G175" i="29"/>
  <c r="A176" i="29"/>
  <c r="B176" i="29"/>
  <c r="C176" i="29"/>
  <c r="D176" i="29"/>
  <c r="E176" i="29"/>
  <c r="F176" i="29"/>
  <c r="G176" i="29"/>
  <c r="A177" i="29"/>
  <c r="B177" i="29"/>
  <c r="C177" i="29"/>
  <c r="D177" i="29"/>
  <c r="E177" i="29"/>
  <c r="F177" i="29"/>
  <c r="G177" i="29"/>
  <c r="A178" i="29"/>
  <c r="B178" i="29"/>
  <c r="C178" i="29"/>
  <c r="D178" i="29"/>
  <c r="E178" i="29"/>
  <c r="F178" i="29"/>
  <c r="G178" i="29"/>
  <c r="A179" i="29"/>
  <c r="B179" i="29"/>
  <c r="C179" i="29"/>
  <c r="D179" i="29"/>
  <c r="E179" i="29"/>
  <c r="F179" i="29"/>
  <c r="G179" i="29"/>
  <c r="A180" i="29"/>
  <c r="B180" i="29"/>
  <c r="C180" i="29"/>
  <c r="D180" i="29"/>
  <c r="E180" i="29"/>
  <c r="F180" i="29"/>
  <c r="G180" i="29"/>
  <c r="A181" i="29"/>
  <c r="B181" i="29"/>
  <c r="C181" i="29"/>
  <c r="D181" i="29"/>
  <c r="E181" i="29"/>
  <c r="F181" i="29"/>
  <c r="G181" i="29"/>
  <c r="A182" i="29"/>
  <c r="B182" i="29"/>
  <c r="C182" i="29"/>
  <c r="D182" i="29"/>
  <c r="E182" i="29"/>
  <c r="F182" i="29"/>
  <c r="G182" i="29"/>
  <c r="A183" i="29"/>
  <c r="B183" i="29"/>
  <c r="C183" i="29"/>
  <c r="D183" i="29"/>
  <c r="E183" i="29"/>
  <c r="F183" i="29"/>
  <c r="G183" i="29"/>
  <c r="A184" i="29"/>
  <c r="B184" i="29"/>
  <c r="C184" i="29"/>
  <c r="D184" i="29"/>
  <c r="E184" i="29"/>
  <c r="F184" i="29"/>
  <c r="G184" i="29"/>
  <c r="A185" i="29"/>
  <c r="B185" i="29"/>
  <c r="C185" i="29"/>
  <c r="D185" i="29"/>
  <c r="E185" i="29"/>
  <c r="F185" i="29"/>
  <c r="G185" i="29"/>
  <c r="A186" i="29"/>
  <c r="B186" i="29"/>
  <c r="C186" i="29"/>
  <c r="D186" i="29"/>
  <c r="E186" i="29"/>
  <c r="F186" i="29"/>
  <c r="G186" i="29"/>
  <c r="A187" i="29"/>
  <c r="B187" i="29"/>
  <c r="C187" i="29"/>
  <c r="D187" i="29"/>
  <c r="E187" i="29"/>
  <c r="F187" i="29"/>
  <c r="G187" i="29"/>
  <c r="A188" i="29"/>
  <c r="B188" i="29"/>
  <c r="C188" i="29"/>
  <c r="D188" i="29"/>
  <c r="E188" i="29"/>
  <c r="F188" i="29"/>
  <c r="G188" i="29"/>
  <c r="A189" i="29"/>
  <c r="B189" i="29"/>
  <c r="C189" i="29"/>
  <c r="D189" i="29"/>
  <c r="E189" i="29"/>
  <c r="F189" i="29"/>
  <c r="G189" i="29"/>
  <c r="A190" i="29"/>
  <c r="B190" i="29"/>
  <c r="C190" i="29"/>
  <c r="D190" i="29"/>
  <c r="E190" i="29"/>
  <c r="F190" i="29"/>
  <c r="G190" i="29"/>
  <c r="A191" i="29"/>
  <c r="B191" i="29"/>
  <c r="C191" i="29"/>
  <c r="D191" i="29"/>
  <c r="E191" i="29"/>
  <c r="F191" i="29"/>
  <c r="G191" i="29"/>
  <c r="A192" i="29"/>
  <c r="B192" i="29"/>
  <c r="C192" i="29"/>
  <c r="D192" i="29"/>
  <c r="E192" i="29"/>
  <c r="F192" i="29"/>
  <c r="G192" i="29"/>
  <c r="A193" i="29"/>
  <c r="B193" i="29"/>
  <c r="C193" i="29"/>
  <c r="D193" i="29"/>
  <c r="E193" i="29"/>
  <c r="F193" i="29"/>
  <c r="G193" i="29"/>
  <c r="A194" i="29"/>
  <c r="B194" i="29"/>
  <c r="C194" i="29"/>
  <c r="D194" i="29"/>
  <c r="E194" i="29"/>
  <c r="F194" i="29"/>
  <c r="G194" i="29"/>
  <c r="C169" i="1"/>
  <c r="N169" i="1" s="1"/>
  <c r="J169" i="1"/>
  <c r="K169" i="1" s="1"/>
  <c r="I30" i="7"/>
  <c r="J30" i="7"/>
  <c r="K30" i="7"/>
  <c r="L30" i="7"/>
  <c r="N30" i="7"/>
  <c r="O30" i="7"/>
  <c r="I31" i="7"/>
  <c r="J31" i="7"/>
  <c r="K31" i="7"/>
  <c r="L31" i="7"/>
  <c r="M31" i="7"/>
  <c r="N31" i="7"/>
  <c r="O31" i="7"/>
  <c r="I32" i="7"/>
  <c r="J32" i="7"/>
  <c r="K32" i="7"/>
  <c r="L32" i="7"/>
  <c r="M32" i="7"/>
  <c r="I33" i="7"/>
  <c r="J33" i="7"/>
  <c r="K33" i="7"/>
  <c r="L33" i="7"/>
  <c r="M33" i="7"/>
  <c r="N33" i="7"/>
  <c r="O33" i="7"/>
  <c r="G33" i="7"/>
  <c r="F33" i="7"/>
  <c r="G32" i="7"/>
  <c r="F32" i="7"/>
  <c r="G31" i="7"/>
  <c r="F31" i="7"/>
  <c r="G30" i="7"/>
  <c r="F30" i="7"/>
  <c r="D33" i="7"/>
  <c r="D32" i="7"/>
  <c r="D31" i="7"/>
  <c r="D30" i="7"/>
  <c r="C30" i="7"/>
  <c r="C31" i="7" s="1"/>
  <c r="C32" i="7" s="1"/>
  <c r="C33" i="7" s="1"/>
  <c r="Z10" i="9"/>
  <c r="M10" i="9"/>
  <c r="B10" i="9"/>
  <c r="J9" i="28"/>
  <c r="J19" i="28" s="1"/>
  <c r="J8" i="28"/>
  <c r="J7" i="28"/>
  <c r="J6" i="28"/>
  <c r="J5" i="28"/>
  <c r="J4" i="28"/>
  <c r="J3" i="28"/>
  <c r="H9" i="28"/>
  <c r="H8" i="28"/>
  <c r="H7" i="28"/>
  <c r="H14" i="28"/>
  <c r="K9" i="28"/>
  <c r="I19" i="28"/>
  <c r="L10" i="28"/>
  <c r="L9" i="28"/>
  <c r="W9" i="28" s="1"/>
  <c r="L4" i="28"/>
  <c r="S4" i="28" s="1"/>
  <c r="L5" i="28"/>
  <c r="W5" i="28" s="1"/>
  <c r="L6" i="28"/>
  <c r="W6" i="28" s="1"/>
  <c r="L3" i="28"/>
  <c r="W3" i="28" s="1"/>
  <c r="K10" i="28"/>
  <c r="K6" i="28"/>
  <c r="K5" i="28"/>
  <c r="K4" i="28"/>
  <c r="K3" i="28"/>
  <c r="K7" i="28"/>
  <c r="J7" i="24"/>
  <c r="C8" i="11"/>
  <c r="B8" i="11"/>
  <c r="C7" i="11"/>
  <c r="B7" i="11"/>
  <c r="Y666" i="17"/>
  <c r="Q666" i="17"/>
  <c r="Z666" i="17" s="1"/>
  <c r="O666" i="17"/>
  <c r="R666" i="17" s="1"/>
  <c r="Y665" i="17"/>
  <c r="Q665" i="17"/>
  <c r="Z665" i="17" s="1"/>
  <c r="O665" i="17"/>
  <c r="R665" i="17" s="1"/>
  <c r="O659" i="17"/>
  <c r="P659" i="17" s="1"/>
  <c r="Q659" i="17"/>
  <c r="Z659" i="17" s="1"/>
  <c r="Y659" i="17"/>
  <c r="O660" i="17"/>
  <c r="P660" i="17" s="1"/>
  <c r="Q660" i="17"/>
  <c r="Z660" i="17" s="1"/>
  <c r="Y660" i="17"/>
  <c r="O661" i="17"/>
  <c r="P661" i="17" s="1"/>
  <c r="Q661" i="17"/>
  <c r="Z661" i="17" s="1"/>
  <c r="Y661" i="17"/>
  <c r="L662" i="17"/>
  <c r="Q662" i="17" s="1"/>
  <c r="Y662" i="17"/>
  <c r="O663" i="17"/>
  <c r="R663" i="17" s="1"/>
  <c r="Q663" i="17"/>
  <c r="Z663" i="17" s="1"/>
  <c r="Y663" i="17"/>
  <c r="O664" i="17"/>
  <c r="P664" i="17" s="1"/>
  <c r="Q664" i="17"/>
  <c r="Y664" i="17"/>
  <c r="Y658" i="17"/>
  <c r="Q658" i="17"/>
  <c r="Z658" i="17" s="1"/>
  <c r="O658" i="17"/>
  <c r="R658" i="17" s="1"/>
  <c r="Y657" i="17"/>
  <c r="Q657" i="17"/>
  <c r="Z657" i="17" s="1"/>
  <c r="O657" i="17"/>
  <c r="P657" i="17" s="1"/>
  <c r="Y656" i="17"/>
  <c r="Q656" i="17"/>
  <c r="Z656" i="17" s="1"/>
  <c r="O656" i="17"/>
  <c r="R656" i="17" s="1"/>
  <c r="Y655" i="17"/>
  <c r="Q655" i="17"/>
  <c r="Z655" i="17" s="1"/>
  <c r="O655" i="17"/>
  <c r="R655" i="17" s="1"/>
  <c r="Y654" i="17"/>
  <c r="Q654" i="17"/>
  <c r="Z654" i="17" s="1"/>
  <c r="O654" i="17"/>
  <c r="R654" i="17" s="1"/>
  <c r="AB654" i="17" s="1"/>
  <c r="Y653" i="17"/>
  <c r="Q653" i="17"/>
  <c r="Z653" i="17" s="1"/>
  <c r="O653" i="17"/>
  <c r="R653" i="17" s="1"/>
  <c r="Y652" i="17"/>
  <c r="X652" i="17"/>
  <c r="Q652" i="17"/>
  <c r="Z652" i="17" s="1"/>
  <c r="O652" i="17"/>
  <c r="R652" i="17" s="1"/>
  <c r="Y651" i="17"/>
  <c r="Q651" i="17"/>
  <c r="Z651" i="17" s="1"/>
  <c r="O651" i="17"/>
  <c r="P651" i="17" s="1"/>
  <c r="Y650" i="17"/>
  <c r="Q650" i="17"/>
  <c r="Z650" i="17" s="1"/>
  <c r="O650" i="17"/>
  <c r="R650" i="17" s="1"/>
  <c r="Y649" i="17"/>
  <c r="L649" i="17"/>
  <c r="Y648" i="17"/>
  <c r="Q648" i="17"/>
  <c r="Z648" i="17" s="1"/>
  <c r="O648" i="17"/>
  <c r="R648" i="17" s="1"/>
  <c r="Y647" i="17"/>
  <c r="Q647" i="17"/>
  <c r="Z647" i="17" s="1"/>
  <c r="O647" i="17"/>
  <c r="P647" i="17" s="1"/>
  <c r="Y646" i="17"/>
  <c r="Q646" i="17"/>
  <c r="Z646" i="17" s="1"/>
  <c r="O646" i="17"/>
  <c r="R646" i="17" s="1"/>
  <c r="Y645" i="17"/>
  <c r="Q645" i="17"/>
  <c r="Z645" i="17" s="1"/>
  <c r="O645" i="17"/>
  <c r="R645" i="17" s="1"/>
  <c r="AB645" i="17" s="1"/>
  <c r="Y644" i="17"/>
  <c r="Q644" i="17"/>
  <c r="Z644" i="17" s="1"/>
  <c r="O644" i="17"/>
  <c r="R644" i="17" s="1"/>
  <c r="Y643" i="17"/>
  <c r="Q643" i="17"/>
  <c r="Z643" i="17" s="1"/>
  <c r="O643" i="17"/>
  <c r="R643" i="17" s="1"/>
  <c r="Y642" i="17"/>
  <c r="Q642" i="17"/>
  <c r="Z642" i="17" s="1"/>
  <c r="O642" i="17"/>
  <c r="R642" i="17" s="1"/>
  <c r="AB642" i="17" s="1"/>
  <c r="Y641" i="17"/>
  <c r="Q641" i="17"/>
  <c r="Z641" i="17" s="1"/>
  <c r="O641" i="17"/>
  <c r="R641" i="17" s="1"/>
  <c r="Y640" i="17"/>
  <c r="Q640" i="17"/>
  <c r="Z640" i="17" s="1"/>
  <c r="O640" i="17"/>
  <c r="R640" i="17" s="1"/>
  <c r="Y639" i="17"/>
  <c r="Q639" i="17"/>
  <c r="Z639" i="17" s="1"/>
  <c r="O639" i="17"/>
  <c r="R639" i="17" s="1"/>
  <c r="Y638" i="17"/>
  <c r="Q638" i="17"/>
  <c r="Z638" i="17" s="1"/>
  <c r="O638" i="17"/>
  <c r="R638" i="17" s="1"/>
  <c r="Y637" i="17"/>
  <c r="Q637" i="17"/>
  <c r="Z637" i="17" s="1"/>
  <c r="O637" i="17"/>
  <c r="R637" i="17" s="1"/>
  <c r="Y636" i="17"/>
  <c r="Q636" i="17"/>
  <c r="Z636" i="17" s="1"/>
  <c r="O636" i="17"/>
  <c r="R636" i="17" s="1"/>
  <c r="Y635" i="17"/>
  <c r="Q635" i="17"/>
  <c r="W635" i="17" s="1"/>
  <c r="O635" i="17"/>
  <c r="R635" i="17" s="1"/>
  <c r="Y634" i="17"/>
  <c r="X634" i="17"/>
  <c r="Q634" i="17"/>
  <c r="Z634" i="17" s="1"/>
  <c r="O634" i="17"/>
  <c r="R634" i="17" s="1"/>
  <c r="Y633" i="17"/>
  <c r="Q633" i="17"/>
  <c r="Z633" i="17" s="1"/>
  <c r="O633" i="17"/>
  <c r="R633" i="17" s="1"/>
  <c r="Y632" i="17"/>
  <c r="Q632" i="17"/>
  <c r="Z632" i="17" s="1"/>
  <c r="O632" i="17"/>
  <c r="R632" i="17" s="1"/>
  <c r="Y631" i="17"/>
  <c r="Q631" i="17"/>
  <c r="Z631" i="17" s="1"/>
  <c r="O631" i="17"/>
  <c r="R631" i="17" s="1"/>
  <c r="Y630" i="17"/>
  <c r="L630" i="17"/>
  <c r="Q630" i="17" s="1"/>
  <c r="Z630" i="17" s="1"/>
  <c r="Y629" i="17"/>
  <c r="Q629" i="17"/>
  <c r="Z629" i="17" s="1"/>
  <c r="O629" i="17"/>
  <c r="R629" i="17" s="1"/>
  <c r="Y628" i="17"/>
  <c r="Q628" i="17"/>
  <c r="W628" i="17" s="1"/>
  <c r="O628" i="17"/>
  <c r="R628" i="17" s="1"/>
  <c r="Y627" i="17"/>
  <c r="O627" i="17"/>
  <c r="R627" i="17" s="1"/>
  <c r="Q627" i="17"/>
  <c r="Y626" i="17"/>
  <c r="Q626" i="17"/>
  <c r="Z626" i="17" s="1"/>
  <c r="O626" i="17"/>
  <c r="R626" i="17" s="1"/>
  <c r="Y625" i="17"/>
  <c r="Q625" i="17"/>
  <c r="W625" i="17" s="1"/>
  <c r="O625" i="17"/>
  <c r="R625" i="17" s="1"/>
  <c r="C168" i="1"/>
  <c r="C167" i="1"/>
  <c r="N167" i="1" s="1"/>
  <c r="C166" i="1"/>
  <c r="J168" i="1"/>
  <c r="K168" i="1" s="1"/>
  <c r="J167" i="1"/>
  <c r="K167" i="1" s="1"/>
  <c r="J166" i="1"/>
  <c r="K166" i="1" s="1"/>
  <c r="J165" i="1"/>
  <c r="K165" i="1" s="1"/>
  <c r="C165" i="1"/>
  <c r="J164" i="1"/>
  <c r="K164" i="1" s="1"/>
  <c r="C164" i="1"/>
  <c r="N164" i="1" s="1"/>
  <c r="N256" i="1"/>
  <c r="N255" i="1"/>
  <c r="N254" i="1"/>
  <c r="N253" i="1"/>
  <c r="N252" i="1"/>
  <c r="N251" i="1"/>
  <c r="N249" i="1"/>
  <c r="N248" i="1"/>
  <c r="N247" i="1"/>
  <c r="N246" i="1"/>
  <c r="N245" i="1"/>
  <c r="N243" i="1"/>
  <c r="N242" i="1"/>
  <c r="N241" i="1"/>
  <c r="N240" i="1"/>
  <c r="N239" i="1"/>
  <c r="N238" i="1"/>
  <c r="N237" i="1"/>
  <c r="N236" i="1"/>
  <c r="N235" i="1"/>
  <c r="N234" i="1"/>
  <c r="N233" i="1"/>
  <c r="N223" i="1"/>
  <c r="N222" i="1"/>
  <c r="N221" i="1"/>
  <c r="N220" i="1"/>
  <c r="N219" i="1"/>
  <c r="N218" i="1"/>
  <c r="N217" i="1"/>
  <c r="N216" i="1"/>
  <c r="N215" i="1"/>
  <c r="N214" i="1"/>
  <c r="N213" i="1"/>
  <c r="N212" i="1"/>
  <c r="N211" i="1"/>
  <c r="N210" i="1"/>
  <c r="N209" i="1"/>
  <c r="N208" i="1"/>
  <c r="N207" i="1"/>
  <c r="N206" i="1"/>
  <c r="N205" i="1"/>
  <c r="N204" i="1"/>
  <c r="N203" i="1"/>
  <c r="N202" i="1"/>
  <c r="N201" i="1"/>
  <c r="N200" i="1"/>
  <c r="N199" i="1"/>
  <c r="N198" i="1"/>
  <c r="N197" i="1"/>
  <c r="N196" i="1"/>
  <c r="N195" i="1"/>
  <c r="N194" i="1"/>
  <c r="N193" i="1"/>
  <c r="N192" i="1"/>
  <c r="N191" i="1"/>
  <c r="N190" i="1"/>
  <c r="N189" i="1"/>
  <c r="N188" i="1"/>
  <c r="N187" i="1"/>
  <c r="N186" i="1"/>
  <c r="N185" i="1"/>
  <c r="N184" i="1"/>
  <c r="N183" i="1"/>
  <c r="N182" i="1"/>
  <c r="N181" i="1"/>
  <c r="N180" i="1"/>
  <c r="N179" i="1"/>
  <c r="N178" i="1"/>
  <c r="N177" i="1"/>
  <c r="N176" i="1"/>
  <c r="N175" i="1"/>
  <c r="N174" i="1"/>
  <c r="N173" i="1"/>
  <c r="N172" i="1"/>
  <c r="N171" i="1"/>
  <c r="N170" i="1"/>
  <c r="J163" i="1"/>
  <c r="K163" i="1" s="1"/>
  <c r="C163" i="1"/>
  <c r="C162" i="1"/>
  <c r="N162" i="1" s="1"/>
  <c r="J162" i="1"/>
  <c r="K162" i="1" s="1"/>
  <c r="J161" i="1"/>
  <c r="K161" i="1" s="1"/>
  <c r="C161" i="1"/>
  <c r="J160" i="1"/>
  <c r="K160" i="1" s="1"/>
  <c r="C160" i="1"/>
  <c r="Y624" i="17"/>
  <c r="Q624" i="17"/>
  <c r="Z624" i="17" s="1"/>
  <c r="O624" i="17"/>
  <c r="R624" i="17" s="1"/>
  <c r="Y623" i="17"/>
  <c r="Q623" i="17"/>
  <c r="Z623" i="17" s="1"/>
  <c r="O623" i="17"/>
  <c r="R623" i="17" s="1"/>
  <c r="AB623" i="17" s="1"/>
  <c r="L622" i="17"/>
  <c r="O622" i="17" s="1"/>
  <c r="R622" i="17" s="1"/>
  <c r="Y622" i="17"/>
  <c r="Y621" i="17"/>
  <c r="Q621" i="17"/>
  <c r="Z621" i="17" s="1"/>
  <c r="O621" i="17"/>
  <c r="R621" i="17" s="1"/>
  <c r="Y620" i="17"/>
  <c r="Q620" i="17"/>
  <c r="Z620" i="17" s="1"/>
  <c r="O620" i="17"/>
  <c r="R620" i="17" s="1"/>
  <c r="Y619" i="17"/>
  <c r="X619" i="17"/>
  <c r="Q619" i="17"/>
  <c r="Z619" i="17" s="1"/>
  <c r="O619" i="17"/>
  <c r="R619" i="17" s="1"/>
  <c r="Y618" i="17"/>
  <c r="Q618" i="17"/>
  <c r="Z618" i="17" s="1"/>
  <c r="O618" i="17"/>
  <c r="R618" i="17" s="1"/>
  <c r="Y617" i="17"/>
  <c r="Q617" i="17"/>
  <c r="Z617" i="17" s="1"/>
  <c r="O617" i="17"/>
  <c r="R617" i="17" s="1"/>
  <c r="Y616" i="17"/>
  <c r="Q616" i="17"/>
  <c r="Z616" i="17" s="1"/>
  <c r="O616" i="17"/>
  <c r="R616" i="17" s="1"/>
  <c r="AB616" i="17" s="1"/>
  <c r="Y615" i="17"/>
  <c r="Q615" i="17"/>
  <c r="Z615" i="17" s="1"/>
  <c r="O615" i="17"/>
  <c r="R615" i="17" s="1"/>
  <c r="AB615" i="17" s="1"/>
  <c r="Y614" i="17"/>
  <c r="O614" i="17"/>
  <c r="P614" i="17" s="1"/>
  <c r="Y613" i="17"/>
  <c r="Q613" i="17"/>
  <c r="Z613" i="17" s="1"/>
  <c r="O613" i="17"/>
  <c r="R613" i="17" s="1"/>
  <c r="Y612" i="17"/>
  <c r="L612" i="17"/>
  <c r="Y611" i="17"/>
  <c r="Q611" i="17"/>
  <c r="Z611" i="17" s="1"/>
  <c r="O611" i="17"/>
  <c r="R611" i="17" s="1"/>
  <c r="Y610" i="17"/>
  <c r="Q610" i="17"/>
  <c r="Z610" i="17" s="1"/>
  <c r="O610" i="17"/>
  <c r="R610" i="17" s="1"/>
  <c r="Y609" i="17"/>
  <c r="Q609" i="17"/>
  <c r="Z609" i="17" s="1"/>
  <c r="O609" i="17"/>
  <c r="P609" i="17" s="1"/>
  <c r="Y608" i="17"/>
  <c r="Q608" i="17"/>
  <c r="Z608" i="17" s="1"/>
  <c r="O608" i="17"/>
  <c r="R608" i="17" s="1"/>
  <c r="Y607" i="17"/>
  <c r="Q607" i="17"/>
  <c r="Z607" i="17" s="1"/>
  <c r="O607" i="17"/>
  <c r="R607" i="17" s="1"/>
  <c r="Y606" i="17"/>
  <c r="Q606" i="17"/>
  <c r="Z606" i="17" s="1"/>
  <c r="O606" i="17"/>
  <c r="R606" i="17" s="1"/>
  <c r="Y605" i="17"/>
  <c r="Q605" i="17"/>
  <c r="Z605" i="17" s="1"/>
  <c r="O605" i="17"/>
  <c r="R605" i="17" s="1"/>
  <c r="Y604" i="17"/>
  <c r="X604" i="17"/>
  <c r="Q604" i="17"/>
  <c r="Z604" i="17" s="1"/>
  <c r="O604" i="17"/>
  <c r="R604" i="17" s="1"/>
  <c r="Y603" i="17"/>
  <c r="Q603" i="17"/>
  <c r="Z603" i="17" s="1"/>
  <c r="O603" i="17"/>
  <c r="R603" i="17" s="1"/>
  <c r="Y602" i="17"/>
  <c r="L602" i="17"/>
  <c r="O602" i="17" s="1"/>
  <c r="P602" i="17" s="1"/>
  <c r="Y601" i="17"/>
  <c r="Q601" i="17"/>
  <c r="Z601" i="17" s="1"/>
  <c r="O601" i="17"/>
  <c r="P601" i="17" s="1"/>
  <c r="Y600" i="17"/>
  <c r="Q600" i="17"/>
  <c r="Z600" i="17" s="1"/>
  <c r="O600" i="17"/>
  <c r="R600" i="17" s="1"/>
  <c r="Y599" i="17"/>
  <c r="Q599" i="17"/>
  <c r="Z599" i="17" s="1"/>
  <c r="O599" i="17"/>
  <c r="P599" i="17" s="1"/>
  <c r="Y598" i="17"/>
  <c r="Q598" i="17"/>
  <c r="Z598" i="17" s="1"/>
  <c r="O598" i="17"/>
  <c r="R598" i="17" s="1"/>
  <c r="Y597" i="17"/>
  <c r="Q597" i="17"/>
  <c r="Z597" i="17" s="1"/>
  <c r="O597" i="17"/>
  <c r="P597" i="17" s="1"/>
  <c r="Y596" i="17"/>
  <c r="Q596" i="17"/>
  <c r="Z596" i="17" s="1"/>
  <c r="O596" i="17"/>
  <c r="R596" i="17" s="1"/>
  <c r="Y595" i="17"/>
  <c r="O595" i="17"/>
  <c r="P595" i="17" s="1"/>
  <c r="Y594" i="17"/>
  <c r="Q594" i="17"/>
  <c r="Z594" i="17" s="1"/>
  <c r="O594" i="17"/>
  <c r="R594" i="17" s="1"/>
  <c r="Y593" i="17"/>
  <c r="Q593" i="17"/>
  <c r="Z593" i="17" s="1"/>
  <c r="O593" i="17"/>
  <c r="R593" i="17" s="1"/>
  <c r="AB593" i="17" s="1"/>
  <c r="Y592" i="17"/>
  <c r="Q592" i="17"/>
  <c r="Z592" i="17" s="1"/>
  <c r="O592" i="17"/>
  <c r="R592" i="17" s="1"/>
  <c r="Y591" i="17"/>
  <c r="Q591" i="17"/>
  <c r="Z591" i="17" s="1"/>
  <c r="O591" i="17"/>
  <c r="P591" i="17" s="1"/>
  <c r="Y590" i="17"/>
  <c r="Q590" i="17"/>
  <c r="Z590" i="17" s="1"/>
  <c r="O590" i="17"/>
  <c r="R590" i="17" s="1"/>
  <c r="Y589" i="17"/>
  <c r="X589" i="17"/>
  <c r="Q589" i="17"/>
  <c r="Z589" i="17" s="1"/>
  <c r="O589" i="17"/>
  <c r="R589" i="17" s="1"/>
  <c r="Y588" i="17"/>
  <c r="Q588" i="17"/>
  <c r="Z588" i="17" s="1"/>
  <c r="O588" i="17"/>
  <c r="R588" i="17" s="1"/>
  <c r="AB588" i="17" s="1"/>
  <c r="Y587" i="17"/>
  <c r="Q587" i="17"/>
  <c r="K587" i="17" s="1"/>
  <c r="O587" i="17"/>
  <c r="P587" i="17" s="1"/>
  <c r="C159" i="1"/>
  <c r="C158" i="1"/>
  <c r="J159" i="1"/>
  <c r="K159" i="1" s="1"/>
  <c r="J158" i="1"/>
  <c r="K158" i="1" s="1"/>
  <c r="J157" i="1"/>
  <c r="K157" i="1" s="1"/>
  <c r="J156" i="1"/>
  <c r="K156" i="1" s="1"/>
  <c r="C157" i="1"/>
  <c r="L585" i="17"/>
  <c r="Q585" i="17" s="1"/>
  <c r="Y585" i="17"/>
  <c r="L586" i="17"/>
  <c r="Q586" i="17" s="1"/>
  <c r="Y586" i="17"/>
  <c r="Y584" i="17"/>
  <c r="Q584" i="17"/>
  <c r="Y583" i="17"/>
  <c r="Q583" i="17"/>
  <c r="Z583" i="17" s="1"/>
  <c r="O583" i="17"/>
  <c r="R583" i="17" s="1"/>
  <c r="Y582" i="17"/>
  <c r="Q582" i="17"/>
  <c r="L581" i="17"/>
  <c r="Q581" i="17" s="1"/>
  <c r="Z581" i="17" s="1"/>
  <c r="Y581" i="17"/>
  <c r="Y580" i="17"/>
  <c r="Q580" i="17"/>
  <c r="Z580" i="17" s="1"/>
  <c r="O580" i="17"/>
  <c r="R580" i="17" s="1"/>
  <c r="AB580" i="17" s="1"/>
  <c r="Y579" i="17"/>
  <c r="Q579" i="17"/>
  <c r="Z579" i="17" s="1"/>
  <c r="O579" i="17"/>
  <c r="P579" i="17" s="1"/>
  <c r="Y578" i="17"/>
  <c r="Q578" i="17"/>
  <c r="Z578" i="17" s="1"/>
  <c r="O578" i="17"/>
  <c r="P578" i="17" s="1"/>
  <c r="Y577" i="17"/>
  <c r="Q577" i="17"/>
  <c r="Z577" i="17" s="1"/>
  <c r="O577" i="17"/>
  <c r="R577" i="17" s="1"/>
  <c r="Y576" i="17"/>
  <c r="Q576" i="17"/>
  <c r="Z576" i="17" s="1"/>
  <c r="O576" i="17"/>
  <c r="R576" i="17" s="1"/>
  <c r="Y575" i="17"/>
  <c r="X575" i="17"/>
  <c r="Q575" i="17"/>
  <c r="Z575" i="17" s="1"/>
  <c r="O575" i="17"/>
  <c r="R575" i="17" s="1"/>
  <c r="Y574" i="17"/>
  <c r="Q574" i="17"/>
  <c r="Z574" i="17" s="1"/>
  <c r="O574" i="17"/>
  <c r="P574" i="17" s="1"/>
  <c r="L573" i="17"/>
  <c r="O573" i="17" s="1"/>
  <c r="P573" i="17" s="1"/>
  <c r="Y573" i="17"/>
  <c r="Y572" i="17"/>
  <c r="Q572" i="17"/>
  <c r="Z572" i="17" s="1"/>
  <c r="O572" i="17"/>
  <c r="P572" i="17" s="1"/>
  <c r="Y571" i="17"/>
  <c r="Q571" i="17"/>
  <c r="Z571" i="17" s="1"/>
  <c r="O571" i="17"/>
  <c r="P571" i="17" s="1"/>
  <c r="L569" i="17"/>
  <c r="O569" i="17" s="1"/>
  <c r="R569" i="17" s="1"/>
  <c r="L555" i="17"/>
  <c r="Y569" i="17"/>
  <c r="Y570" i="17"/>
  <c r="Q570" i="17"/>
  <c r="W570" i="17" s="1"/>
  <c r="O570" i="17"/>
  <c r="R570" i="17" s="1"/>
  <c r="AB570" i="17" s="1"/>
  <c r="Y568" i="17"/>
  <c r="Q568" i="17"/>
  <c r="Z568" i="17" s="1"/>
  <c r="O568" i="17"/>
  <c r="R568" i="17" s="1"/>
  <c r="Y567" i="17"/>
  <c r="Q567" i="17"/>
  <c r="Z567" i="17" s="1"/>
  <c r="O567" i="17"/>
  <c r="R567" i="17" s="1"/>
  <c r="Y566" i="17"/>
  <c r="Q566" i="17"/>
  <c r="Z566" i="17" s="1"/>
  <c r="O566" i="17"/>
  <c r="R566" i="17" s="1"/>
  <c r="Y565" i="17"/>
  <c r="Q565" i="17"/>
  <c r="Z565" i="17" s="1"/>
  <c r="O565" i="17"/>
  <c r="P565" i="17" s="1"/>
  <c r="Y564" i="17"/>
  <c r="Q564" i="17"/>
  <c r="Z564" i="17" s="1"/>
  <c r="O564" i="17"/>
  <c r="P564" i="17" s="1"/>
  <c r="Y563" i="17"/>
  <c r="Q563" i="17"/>
  <c r="Z563" i="17" s="1"/>
  <c r="O563" i="17"/>
  <c r="P563" i="17" s="1"/>
  <c r="Y562" i="17"/>
  <c r="Q562" i="17"/>
  <c r="Z562" i="17" s="1"/>
  <c r="O562" i="17"/>
  <c r="R562" i="17" s="1"/>
  <c r="Y561" i="17"/>
  <c r="Q561" i="17"/>
  <c r="Z561" i="17" s="1"/>
  <c r="O561" i="17"/>
  <c r="R561" i="17" s="1"/>
  <c r="Y560" i="17"/>
  <c r="Q560" i="17"/>
  <c r="Z560" i="17" s="1"/>
  <c r="O560" i="17"/>
  <c r="P560" i="17" s="1"/>
  <c r="Y559" i="17"/>
  <c r="Q559" i="17"/>
  <c r="Z559" i="17" s="1"/>
  <c r="O559" i="17"/>
  <c r="R559" i="17" s="1"/>
  <c r="AB559" i="17" s="1"/>
  <c r="Y558" i="17"/>
  <c r="Q558" i="17"/>
  <c r="Z558" i="17" s="1"/>
  <c r="O558" i="17"/>
  <c r="P558" i="17" s="1"/>
  <c r="Y557" i="17"/>
  <c r="X557" i="17"/>
  <c r="Q557" i="17"/>
  <c r="Z557" i="17" s="1"/>
  <c r="O557" i="17"/>
  <c r="P557" i="17" s="1"/>
  <c r="L556" i="17"/>
  <c r="Q556" i="17" s="1"/>
  <c r="W556" i="17" s="1"/>
  <c r="Y556" i="17"/>
  <c r="Y555" i="17"/>
  <c r="T666" i="17"/>
  <c r="E32" i="7"/>
  <c r="T570" i="17"/>
  <c r="T644" i="17"/>
  <c r="T619" i="17"/>
  <c r="T601" i="17"/>
  <c r="T605" i="17"/>
  <c r="T663" i="17"/>
  <c r="T655" i="17"/>
  <c r="T602" i="17"/>
  <c r="T657" i="17"/>
  <c r="T609" i="17"/>
  <c r="T642" i="17"/>
  <c r="T636" i="17"/>
  <c r="T562" i="17"/>
  <c r="T600" i="17"/>
  <c r="T557" i="17"/>
  <c r="T662" i="17"/>
  <c r="T648" i="17"/>
  <c r="T574" i="17"/>
  <c r="T571" i="17"/>
  <c r="T640" i="17"/>
  <c r="T659" i="17"/>
  <c r="T583" i="17"/>
  <c r="T651" i="17"/>
  <c r="T596" i="17"/>
  <c r="E33" i="7"/>
  <c r="T604" i="17"/>
  <c r="T624" i="17"/>
  <c r="T592" i="17"/>
  <c r="T597" i="17"/>
  <c r="T616" i="17"/>
  <c r="T589" i="17"/>
  <c r="T576" i="17"/>
  <c r="T595" i="17"/>
  <c r="T626" i="17"/>
  <c r="T627" i="17"/>
  <c r="T588" i="17"/>
  <c r="T622" i="17"/>
  <c r="T580" i="17"/>
  <c r="T591" i="17"/>
  <c r="T599" i="17"/>
  <c r="T608" i="17"/>
  <c r="T569" i="17"/>
  <c r="T573" i="17"/>
  <c r="T565" i="17"/>
  <c r="T656" i="17"/>
  <c r="T611" i="17"/>
  <c r="T607" i="17"/>
  <c r="T612" i="17"/>
  <c r="E29" i="7"/>
  <c r="T593" i="17"/>
  <c r="T610" i="17"/>
  <c r="T585" i="17"/>
  <c r="T613" i="17"/>
  <c r="T650" i="17"/>
  <c r="T561" i="17"/>
  <c r="T643" i="17"/>
  <c r="T614" i="17"/>
  <c r="T584" i="17"/>
  <c r="T587" i="17"/>
  <c r="T617" i="17"/>
  <c r="E30" i="7"/>
  <c r="T647" i="17"/>
  <c r="T556" i="17"/>
  <c r="T620" i="17"/>
  <c r="E28" i="7"/>
  <c r="T603" i="17"/>
  <c r="T664" i="17"/>
  <c r="T633" i="17"/>
  <c r="T577" i="17"/>
  <c r="T658" i="17"/>
  <c r="T575" i="17"/>
  <c r="T559" i="17"/>
  <c r="T646" i="17"/>
  <c r="T645" i="17"/>
  <c r="T568" i="17"/>
  <c r="T598" i="17"/>
  <c r="E27" i="7"/>
  <c r="T564" i="17"/>
  <c r="T558" i="17"/>
  <c r="T632" i="17"/>
  <c r="T649" i="17"/>
  <c r="E31" i="7"/>
  <c r="T630" i="17"/>
  <c r="T660" i="17"/>
  <c r="T641" i="17"/>
  <c r="T661" i="17"/>
  <c r="T652" i="17"/>
  <c r="T590" i="17"/>
  <c r="T579" i="17"/>
  <c r="T634" i="17"/>
  <c r="T566" i="17"/>
  <c r="T572" i="17"/>
  <c r="T581" i="17"/>
  <c r="T578" i="17"/>
  <c r="T625" i="17"/>
  <c r="T665" i="17"/>
  <c r="T628" i="17"/>
  <c r="T638" i="17"/>
  <c r="T586" i="17"/>
  <c r="T560" i="17"/>
  <c r="T618" i="17"/>
  <c r="T637" i="17"/>
  <c r="T563" i="17"/>
  <c r="T594" i="17"/>
  <c r="T567" i="17"/>
  <c r="T631" i="17"/>
  <c r="T654" i="17"/>
  <c r="T629" i="17"/>
  <c r="T639" i="17"/>
  <c r="T621" i="17"/>
  <c r="T582" i="17"/>
  <c r="T615" i="17"/>
  <c r="T606" i="17"/>
  <c r="T635" i="17"/>
  <c r="T653" i="17"/>
  <c r="T555" i="17"/>
  <c r="T623" i="17"/>
  <c r="L155" i="1"/>
  <c r="L151" i="1"/>
  <c r="L216" i="1"/>
  <c r="L156" i="1"/>
  <c r="L233" i="1"/>
  <c r="L166" i="1"/>
  <c r="L153" i="1"/>
  <c r="L157" i="1"/>
  <c r="L168" i="1"/>
  <c r="L237" i="1"/>
  <c r="L217" i="1"/>
  <c r="L167" i="1"/>
  <c r="L149" i="1"/>
  <c r="L204" i="1"/>
  <c r="L165" i="1"/>
  <c r="L188" i="1"/>
  <c r="L218" i="1"/>
  <c r="L161" i="1"/>
  <c r="L160" i="1"/>
  <c r="L251" i="1"/>
  <c r="L256" i="1"/>
  <c r="L154" i="1"/>
  <c r="L234" i="1"/>
  <c r="L240" i="1"/>
  <c r="L252" i="1"/>
  <c r="L206" i="1"/>
  <c r="L241" i="1"/>
  <c r="L219" i="1"/>
  <c r="L189" i="1"/>
  <c r="L255" i="1"/>
  <c r="L159" i="1"/>
  <c r="L164" i="1"/>
  <c r="L163" i="1"/>
  <c r="L152" i="1"/>
  <c r="L209" i="1"/>
  <c r="L208" i="1"/>
  <c r="L158" i="1"/>
  <c r="L172" i="1"/>
  <c r="L187" i="1"/>
  <c r="L190" i="1"/>
  <c r="L205" i="1"/>
  <c r="L191" i="1"/>
  <c r="L236" i="1"/>
  <c r="L150" i="1"/>
  <c r="L162" i="1"/>
  <c r="L254" i="1"/>
  <c r="L253" i="1"/>
  <c r="L148" i="1"/>
  <c r="L235" i="1"/>
  <c r="L169" i="1"/>
  <c r="L171" i="1"/>
  <c r="X680" i="17" l="1"/>
  <c r="D10" i="9"/>
  <c r="F10" i="9" s="1"/>
  <c r="G10" i="9" s="1"/>
  <c r="M30" i="7"/>
  <c r="X686" i="17"/>
  <c r="X700" i="17"/>
  <c r="X670" i="17"/>
  <c r="X679" i="17"/>
  <c r="X702" i="17"/>
  <c r="W11" i="9"/>
  <c r="L11" i="9"/>
  <c r="V11" i="9"/>
  <c r="P11" i="9"/>
  <c r="R11" i="9" s="1"/>
  <c r="K11" i="9"/>
  <c r="O556" i="17"/>
  <c r="R556" i="17" s="1"/>
  <c r="O581" i="17"/>
  <c r="R581" i="17" s="1"/>
  <c r="O630" i="17"/>
  <c r="P630" i="17" s="1"/>
  <c r="S630" i="17" s="1"/>
  <c r="X630" i="17" s="1"/>
  <c r="O586" i="17"/>
  <c r="P586" i="17" s="1"/>
  <c r="S586" i="17" s="1"/>
  <c r="X586" i="17" s="1"/>
  <c r="O585" i="17"/>
  <c r="P585" i="17" s="1"/>
  <c r="S585" i="17" s="1"/>
  <c r="X585" i="17" s="1"/>
  <c r="Q622" i="17"/>
  <c r="Z622" i="17" s="1"/>
  <c r="AA10" i="9"/>
  <c r="N166" i="1"/>
  <c r="K583" i="17"/>
  <c r="W583" i="17" s="1"/>
  <c r="Z625" i="17"/>
  <c r="K661" i="17"/>
  <c r="W661" i="17" s="1"/>
  <c r="P625" i="17"/>
  <c r="S625" i="17" s="1"/>
  <c r="X625" i="17" s="1"/>
  <c r="Z628" i="17"/>
  <c r="K656" i="17"/>
  <c r="W656" i="17" s="1"/>
  <c r="Z587" i="17"/>
  <c r="K577" i="17"/>
  <c r="W577" i="17" s="1"/>
  <c r="Z635" i="17"/>
  <c r="S664" i="17"/>
  <c r="K634" i="17"/>
  <c r="W634" i="17" s="1"/>
  <c r="O29" i="7"/>
  <c r="H31" i="7"/>
  <c r="K562" i="17"/>
  <c r="W562" i="17" s="1"/>
  <c r="K581" i="17"/>
  <c r="W581" i="17" s="1"/>
  <c r="K651" i="17"/>
  <c r="W651" i="17" s="1"/>
  <c r="K663" i="17"/>
  <c r="W663" i="17" s="1"/>
  <c r="K660" i="17"/>
  <c r="W660" i="17" s="1"/>
  <c r="K658" i="17"/>
  <c r="W658" i="17" s="1"/>
  <c r="H30" i="7"/>
  <c r="K652" i="17"/>
  <c r="W652" i="17" s="1"/>
  <c r="K659" i="17"/>
  <c r="W659" i="17" s="1"/>
  <c r="H32" i="7"/>
  <c r="K580" i="17"/>
  <c r="W580" i="17" s="1"/>
  <c r="N29" i="7"/>
  <c r="K618" i="17"/>
  <c r="W618" i="17" s="1"/>
  <c r="P634" i="17"/>
  <c r="H33" i="7"/>
  <c r="P653" i="17"/>
  <c r="S653" i="17" s="1"/>
  <c r="X653" i="17" s="1"/>
  <c r="K640" i="17"/>
  <c r="W640" i="17" s="1"/>
  <c r="I29" i="7"/>
  <c r="K637" i="17"/>
  <c r="W637" i="17" s="1"/>
  <c r="K644" i="17"/>
  <c r="W644" i="17" s="1"/>
  <c r="K654" i="17"/>
  <c r="W654" i="17" s="1"/>
  <c r="S660" i="17"/>
  <c r="K666" i="17"/>
  <c r="W666" i="17" s="1"/>
  <c r="N28" i="7"/>
  <c r="P637" i="17"/>
  <c r="S637" i="17" s="1"/>
  <c r="X637" i="17" s="1"/>
  <c r="K645" i="17"/>
  <c r="W645" i="17" s="1"/>
  <c r="P652" i="17"/>
  <c r="K29" i="7"/>
  <c r="J29" i="7"/>
  <c r="N10" i="9"/>
  <c r="H19" i="28"/>
  <c r="M3" i="28"/>
  <c r="M4" i="28" s="1"/>
  <c r="M5" i="28" s="1"/>
  <c r="M6" i="28" s="1"/>
  <c r="K8" i="28"/>
  <c r="P6" i="28"/>
  <c r="S6" i="28"/>
  <c r="P3" i="28"/>
  <c r="W4" i="28"/>
  <c r="S3" i="28"/>
  <c r="P4" i="28"/>
  <c r="P5" i="28"/>
  <c r="P9" i="28"/>
  <c r="S5" i="28"/>
  <c r="S9" i="28"/>
  <c r="P666" i="17"/>
  <c r="S666" i="17" s="1"/>
  <c r="X666" i="17" s="1"/>
  <c r="K665" i="17"/>
  <c r="W665" i="17" s="1"/>
  <c r="P665" i="17"/>
  <c r="S665" i="17" s="1"/>
  <c r="X665" i="17" s="1"/>
  <c r="Z662" i="17"/>
  <c r="K662" i="17"/>
  <c r="W662" i="17" s="1"/>
  <c r="S661" i="17"/>
  <c r="X661" i="17" s="1"/>
  <c r="S659" i="17"/>
  <c r="X659" i="17" s="1"/>
  <c r="R664" i="17"/>
  <c r="AB664" i="17" s="1"/>
  <c r="P663" i="17"/>
  <c r="S663" i="17" s="1"/>
  <c r="X663" i="17" s="1"/>
  <c r="O662" i="17"/>
  <c r="P662" i="17" s="1"/>
  <c r="S662" i="17" s="1"/>
  <c r="X662" i="17" s="1"/>
  <c r="Z664" i="17"/>
  <c r="R659" i="17"/>
  <c r="R660" i="17"/>
  <c r="AB660" i="17" s="1"/>
  <c r="W664" i="17"/>
  <c r="R661" i="17"/>
  <c r="P658" i="17"/>
  <c r="S658" i="17" s="1"/>
  <c r="X658" i="17" s="1"/>
  <c r="R657" i="17"/>
  <c r="K657" i="17"/>
  <c r="W657" i="17" s="1"/>
  <c r="S657" i="17"/>
  <c r="X657" i="17" s="1"/>
  <c r="P656" i="17"/>
  <c r="S656" i="17" s="1"/>
  <c r="X656" i="17" s="1"/>
  <c r="K655" i="17"/>
  <c r="W655" i="17" s="1"/>
  <c r="P655" i="17"/>
  <c r="S655" i="17" s="1"/>
  <c r="X655" i="17" s="1"/>
  <c r="P654" i="17"/>
  <c r="S654" i="17" s="1"/>
  <c r="W653" i="17"/>
  <c r="R651" i="17"/>
  <c r="S651" i="17"/>
  <c r="X651" i="17" s="1"/>
  <c r="P650" i="17"/>
  <c r="S650" i="17" s="1"/>
  <c r="X650" i="17" s="1"/>
  <c r="W650" i="17"/>
  <c r="O649" i="17"/>
  <c r="P649" i="17" s="1"/>
  <c r="Q649" i="17"/>
  <c r="K648" i="17"/>
  <c r="W648" i="17" s="1"/>
  <c r="P648" i="17"/>
  <c r="S648" i="17" s="1"/>
  <c r="X648" i="17" s="1"/>
  <c r="R647" i="17"/>
  <c r="S647" i="17"/>
  <c r="X647" i="17" s="1"/>
  <c r="W647" i="17"/>
  <c r="P646" i="17"/>
  <c r="S646" i="17" s="1"/>
  <c r="X646" i="17" s="1"/>
  <c r="W646" i="17"/>
  <c r="P645" i="17"/>
  <c r="S645" i="17" s="1"/>
  <c r="P644" i="17"/>
  <c r="S644" i="17" s="1"/>
  <c r="X644" i="17" s="1"/>
  <c r="K643" i="17"/>
  <c r="W643" i="17" s="1"/>
  <c r="P643" i="17"/>
  <c r="S643" i="17" s="1"/>
  <c r="X643" i="17" s="1"/>
  <c r="K642" i="17"/>
  <c r="W642" i="17" s="1"/>
  <c r="P642" i="17"/>
  <c r="S642" i="17" s="1"/>
  <c r="P641" i="17"/>
  <c r="S641" i="17" s="1"/>
  <c r="X641" i="17" s="1"/>
  <c r="W641" i="17"/>
  <c r="P640" i="17"/>
  <c r="S640" i="17" s="1"/>
  <c r="X640" i="17" s="1"/>
  <c r="K639" i="17"/>
  <c r="W639" i="17" s="1"/>
  <c r="P639" i="17"/>
  <c r="S639" i="17" s="1"/>
  <c r="X639" i="17" s="1"/>
  <c r="K638" i="17"/>
  <c r="W638" i="17" s="1"/>
  <c r="P638" i="17"/>
  <c r="S638" i="17" s="1"/>
  <c r="X638" i="17" s="1"/>
  <c r="P636" i="17"/>
  <c r="S636" i="17" s="1"/>
  <c r="X636" i="17" s="1"/>
  <c r="W636" i="17"/>
  <c r="P635" i="17"/>
  <c r="S635" i="17" s="1"/>
  <c r="X635" i="17" s="1"/>
  <c r="P633" i="17"/>
  <c r="S633" i="17" s="1"/>
  <c r="X633" i="17" s="1"/>
  <c r="W633" i="17"/>
  <c r="P632" i="17"/>
  <c r="S632" i="17" s="1"/>
  <c r="X632" i="17" s="1"/>
  <c r="W632" i="17"/>
  <c r="K631" i="17"/>
  <c r="W631" i="17" s="1"/>
  <c r="P631" i="17"/>
  <c r="S631" i="17" s="1"/>
  <c r="X631" i="17" s="1"/>
  <c r="W630" i="17"/>
  <c r="P629" i="17"/>
  <c r="S629" i="17" s="1"/>
  <c r="X629" i="17" s="1"/>
  <c r="W629" i="17"/>
  <c r="P628" i="17"/>
  <c r="S628" i="17" s="1"/>
  <c r="X628" i="17" s="1"/>
  <c r="Z627" i="17"/>
  <c r="W627" i="17"/>
  <c r="P627" i="17"/>
  <c r="S627" i="17" s="1"/>
  <c r="X627" i="17" s="1"/>
  <c r="K626" i="17"/>
  <c r="P626" i="17"/>
  <c r="S626" i="17" s="1"/>
  <c r="X626" i="17" s="1"/>
  <c r="K596" i="17"/>
  <c r="W596" i="17" s="1"/>
  <c r="K597" i="17"/>
  <c r="W597" i="17" s="1"/>
  <c r="K601" i="17"/>
  <c r="W601" i="17" s="1"/>
  <c r="K560" i="17"/>
  <c r="W560" i="17" s="1"/>
  <c r="R597" i="17"/>
  <c r="K604" i="17"/>
  <c r="W604" i="17" s="1"/>
  <c r="R587" i="17"/>
  <c r="R601" i="17"/>
  <c r="K621" i="17"/>
  <c r="W621" i="17" s="1"/>
  <c r="K603" i="17"/>
  <c r="W603" i="17" s="1"/>
  <c r="K578" i="17"/>
  <c r="W578" i="17" s="1"/>
  <c r="K610" i="17"/>
  <c r="W610" i="17" s="1"/>
  <c r="K589" i="17"/>
  <c r="W589" i="17" s="1"/>
  <c r="R609" i="17"/>
  <c r="K608" i="17"/>
  <c r="W608" i="17" s="1"/>
  <c r="P618" i="17"/>
  <c r="S618" i="17" s="1"/>
  <c r="X618" i="17" s="1"/>
  <c r="P624" i="17"/>
  <c r="S624" i="17" s="1"/>
  <c r="X624" i="17" s="1"/>
  <c r="P596" i="17"/>
  <c r="S596" i="17" s="1"/>
  <c r="X596" i="17" s="1"/>
  <c r="K599" i="17"/>
  <c r="W599" i="17" s="1"/>
  <c r="K619" i="17"/>
  <c r="W619" i="17" s="1"/>
  <c r="K609" i="17"/>
  <c r="W609" i="17" s="1"/>
  <c r="S587" i="17"/>
  <c r="X587" i="17" s="1"/>
  <c r="K594" i="17"/>
  <c r="W594" i="17" s="1"/>
  <c r="K600" i="17"/>
  <c r="W600" i="17" s="1"/>
  <c r="K613" i="17"/>
  <c r="W613" i="17" s="1"/>
  <c r="K623" i="17"/>
  <c r="W623" i="17" s="1"/>
  <c r="K624" i="17"/>
  <c r="W624" i="17" s="1"/>
  <c r="P623" i="17"/>
  <c r="S623" i="17" s="1"/>
  <c r="P622" i="17"/>
  <c r="P621" i="17"/>
  <c r="S621" i="17" s="1"/>
  <c r="X621" i="17" s="1"/>
  <c r="P620" i="17"/>
  <c r="S620" i="17" s="1"/>
  <c r="X620" i="17" s="1"/>
  <c r="W620" i="17"/>
  <c r="P619" i="17"/>
  <c r="P617" i="17"/>
  <c r="S617" i="17" s="1"/>
  <c r="X617" i="17" s="1"/>
  <c r="W617" i="17"/>
  <c r="P616" i="17"/>
  <c r="S616" i="17" s="1"/>
  <c r="K616" i="17"/>
  <c r="W616" i="17" s="1"/>
  <c r="W615" i="17"/>
  <c r="P615" i="17"/>
  <c r="Q614" i="17"/>
  <c r="R614" i="17"/>
  <c r="P613" i="17"/>
  <c r="S613" i="17" s="1"/>
  <c r="X613" i="17" s="1"/>
  <c r="O612" i="17"/>
  <c r="P612" i="17" s="1"/>
  <c r="Q612" i="17"/>
  <c r="K611" i="17"/>
  <c r="W611" i="17" s="1"/>
  <c r="P611" i="17"/>
  <c r="S611" i="17" s="1"/>
  <c r="X611" i="17" s="1"/>
  <c r="P610" i="17"/>
  <c r="S610" i="17" s="1"/>
  <c r="X610" i="17" s="1"/>
  <c r="S609" i="17"/>
  <c r="X609" i="17" s="1"/>
  <c r="P608" i="17"/>
  <c r="S608" i="17" s="1"/>
  <c r="X608" i="17" s="1"/>
  <c r="P607" i="17"/>
  <c r="S607" i="17" s="1"/>
  <c r="X607" i="17" s="1"/>
  <c r="W607" i="17"/>
  <c r="P606" i="17"/>
  <c r="S606" i="17" s="1"/>
  <c r="X606" i="17" s="1"/>
  <c r="W606" i="17"/>
  <c r="P605" i="17"/>
  <c r="S605" i="17" s="1"/>
  <c r="X605" i="17" s="1"/>
  <c r="W605" i="17"/>
  <c r="P604" i="17"/>
  <c r="P603" i="17"/>
  <c r="S603" i="17" s="1"/>
  <c r="X603" i="17" s="1"/>
  <c r="Q602" i="17"/>
  <c r="R602" i="17"/>
  <c r="S601" i="17"/>
  <c r="X601" i="17" s="1"/>
  <c r="P600" i="17"/>
  <c r="S600" i="17" s="1"/>
  <c r="X600" i="17" s="1"/>
  <c r="R599" i="17"/>
  <c r="S599" i="17"/>
  <c r="X599" i="17" s="1"/>
  <c r="K598" i="17"/>
  <c r="W598" i="17" s="1"/>
  <c r="P598" i="17"/>
  <c r="S598" i="17" s="1"/>
  <c r="X598" i="17" s="1"/>
  <c r="S597" i="17"/>
  <c r="X597" i="17" s="1"/>
  <c r="Q595" i="17"/>
  <c r="R595" i="17"/>
  <c r="P594" i="17"/>
  <c r="S594" i="17" s="1"/>
  <c r="X594" i="17" s="1"/>
  <c r="K593" i="17"/>
  <c r="W593" i="17" s="1"/>
  <c r="P593" i="17"/>
  <c r="S593" i="17" s="1"/>
  <c r="P592" i="17"/>
  <c r="S592" i="17" s="1"/>
  <c r="X592" i="17" s="1"/>
  <c r="W592" i="17"/>
  <c r="K591" i="17"/>
  <c r="W591" i="17" s="1"/>
  <c r="R591" i="17"/>
  <c r="S591" i="17"/>
  <c r="X591" i="17" s="1"/>
  <c r="P590" i="17"/>
  <c r="S590" i="17" s="1"/>
  <c r="X590" i="17" s="1"/>
  <c r="W590" i="17"/>
  <c r="P589" i="17"/>
  <c r="P588" i="17"/>
  <c r="S588" i="17" s="1"/>
  <c r="W588" i="17"/>
  <c r="W587" i="17"/>
  <c r="K564" i="17"/>
  <c r="W564" i="17" s="1"/>
  <c r="K561" i="17"/>
  <c r="W561" i="17" s="1"/>
  <c r="K568" i="17"/>
  <c r="W568" i="17" s="1"/>
  <c r="Z570" i="17"/>
  <c r="K567" i="17"/>
  <c r="W567" i="17" s="1"/>
  <c r="K565" i="17"/>
  <c r="W565" i="17" s="1"/>
  <c r="K28" i="7"/>
  <c r="K566" i="17"/>
  <c r="W566" i="17" s="1"/>
  <c r="I28" i="7"/>
  <c r="K572" i="17"/>
  <c r="W572" i="17" s="1"/>
  <c r="K557" i="17"/>
  <c r="W557" i="17" s="1"/>
  <c r="K576" i="17"/>
  <c r="W576" i="17" s="1"/>
  <c r="K579" i="17"/>
  <c r="W579" i="17" s="1"/>
  <c r="O28" i="7"/>
  <c r="J28" i="7"/>
  <c r="W586" i="17"/>
  <c r="Z586" i="17"/>
  <c r="W585" i="17"/>
  <c r="Z585" i="17"/>
  <c r="Z584" i="17"/>
  <c r="W584" i="17"/>
  <c r="O584" i="17"/>
  <c r="P584" i="17" s="1"/>
  <c r="S584" i="17" s="1"/>
  <c r="X584" i="17" s="1"/>
  <c r="P583" i="17"/>
  <c r="S583" i="17" s="1"/>
  <c r="X583" i="17" s="1"/>
  <c r="K582" i="17"/>
  <c r="W582" i="17" s="1"/>
  <c r="Z582" i="17"/>
  <c r="O582" i="17"/>
  <c r="P582" i="17" s="1"/>
  <c r="S582" i="17" s="1"/>
  <c r="P580" i="17"/>
  <c r="S580" i="17" s="1"/>
  <c r="S579" i="17"/>
  <c r="X579" i="17" s="1"/>
  <c r="R579" i="17"/>
  <c r="R578" i="17"/>
  <c r="S578" i="17"/>
  <c r="X578" i="17" s="1"/>
  <c r="P577" i="17"/>
  <c r="S577" i="17" s="1"/>
  <c r="X577" i="17" s="1"/>
  <c r="P576" i="17"/>
  <c r="S576" i="17" s="1"/>
  <c r="X576" i="17" s="1"/>
  <c r="K575" i="17"/>
  <c r="W575" i="17" s="1"/>
  <c r="P575" i="17"/>
  <c r="R574" i="17"/>
  <c r="AB574" i="17" s="1"/>
  <c r="S574" i="17"/>
  <c r="W574" i="17"/>
  <c r="Q573" i="17"/>
  <c r="R573" i="17"/>
  <c r="R572" i="17"/>
  <c r="AB572" i="17" s="1"/>
  <c r="S572" i="17"/>
  <c r="S571" i="17"/>
  <c r="K571" i="17"/>
  <c r="W571" i="17" s="1"/>
  <c r="R571" i="17"/>
  <c r="AB571" i="17" s="1"/>
  <c r="Q569" i="17"/>
  <c r="Z569" i="17" s="1"/>
  <c r="P569" i="17"/>
  <c r="P570" i="17"/>
  <c r="P568" i="17"/>
  <c r="S568" i="17" s="1"/>
  <c r="X568" i="17" s="1"/>
  <c r="P567" i="17"/>
  <c r="S567" i="17" s="1"/>
  <c r="X567" i="17" s="1"/>
  <c r="P566" i="17"/>
  <c r="S566" i="17" s="1"/>
  <c r="X566" i="17" s="1"/>
  <c r="S565" i="17"/>
  <c r="X565" i="17" s="1"/>
  <c r="R565" i="17"/>
  <c r="R564" i="17"/>
  <c r="S564" i="17"/>
  <c r="X564" i="17" s="1"/>
  <c r="R563" i="17"/>
  <c r="K563" i="17"/>
  <c r="W563" i="17" s="1"/>
  <c r="S563" i="17"/>
  <c r="X563" i="17" s="1"/>
  <c r="P562" i="17"/>
  <c r="S562" i="17" s="1"/>
  <c r="X562" i="17" s="1"/>
  <c r="P561" i="17"/>
  <c r="S561" i="17" s="1"/>
  <c r="X561" i="17" s="1"/>
  <c r="R560" i="17"/>
  <c r="S560" i="17"/>
  <c r="X560" i="17" s="1"/>
  <c r="P559" i="17"/>
  <c r="S559" i="17" s="1"/>
  <c r="K559" i="17"/>
  <c r="W559" i="17" s="1"/>
  <c r="S558" i="17"/>
  <c r="X558" i="17" s="1"/>
  <c r="R558" i="17"/>
  <c r="K558" i="17"/>
  <c r="W558" i="17" s="1"/>
  <c r="R557" i="17"/>
  <c r="Z556" i="17"/>
  <c r="O555" i="17"/>
  <c r="P555" i="17" s="1"/>
  <c r="Q555" i="17"/>
  <c r="J155" i="1"/>
  <c r="K155" i="1" s="1"/>
  <c r="C155" i="1"/>
  <c r="C156" i="1"/>
  <c r="J154" i="1"/>
  <c r="K154" i="1" s="1"/>
  <c r="C154" i="1"/>
  <c r="C153" i="1"/>
  <c r="J153" i="1"/>
  <c r="K153" i="1" s="1"/>
  <c r="Y554" i="17"/>
  <c r="Q554" i="17"/>
  <c r="Z554" i="17" s="1"/>
  <c r="O554" i="17"/>
  <c r="P554" i="17" s="1"/>
  <c r="O553" i="17"/>
  <c r="R553" i="17" s="1"/>
  <c r="Q553" i="17"/>
  <c r="K553" i="17" s="1"/>
  <c r="T554" i="17"/>
  <c r="T553" i="17"/>
  <c r="P556" i="17" l="1"/>
  <c r="S556" i="17" s="1"/>
  <c r="X556" i="17" s="1"/>
  <c r="Q11" i="9"/>
  <c r="T11" i="9" s="1"/>
  <c r="U11" i="9" s="1"/>
  <c r="R586" i="17"/>
  <c r="P581" i="17"/>
  <c r="S581" i="17" s="1"/>
  <c r="X581" i="17" s="1"/>
  <c r="R630" i="17"/>
  <c r="R585" i="17"/>
  <c r="W622" i="17"/>
  <c r="S622" i="17"/>
  <c r="X622" i="17" s="1"/>
  <c r="X574" i="17"/>
  <c r="AC574" i="17"/>
  <c r="X559" i="17"/>
  <c r="AC559" i="17"/>
  <c r="X580" i="17"/>
  <c r="AC580" i="17"/>
  <c r="X582" i="17"/>
  <c r="AC582" i="17"/>
  <c r="X623" i="17"/>
  <c r="AC623" i="17"/>
  <c r="X645" i="17"/>
  <c r="AC645" i="17"/>
  <c r="X588" i="17"/>
  <c r="AC588" i="17"/>
  <c r="X642" i="17"/>
  <c r="AC642" i="17"/>
  <c r="X654" i="17"/>
  <c r="AC654" i="17"/>
  <c r="X571" i="17"/>
  <c r="AC571" i="17"/>
  <c r="X593" i="17"/>
  <c r="AC593" i="17"/>
  <c r="X616" i="17"/>
  <c r="AC616" i="17"/>
  <c r="X572" i="17"/>
  <c r="AC572" i="17"/>
  <c r="X664" i="17"/>
  <c r="AC664" i="17"/>
  <c r="X660" i="17"/>
  <c r="AC660" i="17"/>
  <c r="F28" i="7"/>
  <c r="K10" i="9"/>
  <c r="H10" i="9"/>
  <c r="P10" i="9"/>
  <c r="R662" i="17"/>
  <c r="Z649" i="17"/>
  <c r="W649" i="17"/>
  <c r="S649" i="17"/>
  <c r="X649" i="17" s="1"/>
  <c r="R649" i="17"/>
  <c r="W626" i="17"/>
  <c r="M29" i="7"/>
  <c r="L29" i="7"/>
  <c r="G29" i="7"/>
  <c r="S615" i="17"/>
  <c r="F29" i="7"/>
  <c r="Z614" i="17"/>
  <c r="W614" i="17"/>
  <c r="S614" i="17"/>
  <c r="X614" i="17" s="1"/>
  <c r="Z612" i="17"/>
  <c r="W612" i="17"/>
  <c r="S612" i="17"/>
  <c r="X612" i="17" s="1"/>
  <c r="R612" i="17"/>
  <c r="M28" i="7"/>
  <c r="Z602" i="17"/>
  <c r="W602" i="17"/>
  <c r="S602" i="17"/>
  <c r="X602" i="17" s="1"/>
  <c r="Z595" i="17"/>
  <c r="S595" i="17"/>
  <c r="X595" i="17" s="1"/>
  <c r="K595" i="17"/>
  <c r="S570" i="17"/>
  <c r="W569" i="17"/>
  <c r="P553" i="17"/>
  <c r="S553" i="17" s="1"/>
  <c r="X553" i="17" s="1"/>
  <c r="S569" i="17"/>
  <c r="X569" i="17" s="1"/>
  <c r="G28" i="7"/>
  <c r="R584" i="17"/>
  <c r="R582" i="17"/>
  <c r="AB582" i="17" s="1"/>
  <c r="Z573" i="17"/>
  <c r="W573" i="17"/>
  <c r="S573" i="17"/>
  <c r="X573" i="17" s="1"/>
  <c r="S555" i="17"/>
  <c r="X555" i="17" s="1"/>
  <c r="Z555" i="17"/>
  <c r="W555" i="17"/>
  <c r="R555" i="17"/>
  <c r="S554" i="17"/>
  <c r="X554" i="17" s="1"/>
  <c r="R554" i="17"/>
  <c r="K554" i="17"/>
  <c r="W554" i="17" s="1"/>
  <c r="W553" i="17"/>
  <c r="Y553" i="17"/>
  <c r="Z553" i="17"/>
  <c r="Y552" i="17"/>
  <c r="Q552" i="17"/>
  <c r="K552" i="17" s="1"/>
  <c r="W552" i="17" s="1"/>
  <c r="O552" i="17"/>
  <c r="R552" i="17" s="1"/>
  <c r="Y551" i="17"/>
  <c r="Q551" i="17"/>
  <c r="Z551" i="17" s="1"/>
  <c r="O551" i="17"/>
  <c r="R551" i="17" s="1"/>
  <c r="Y550" i="17"/>
  <c r="Q550" i="17"/>
  <c r="Z550" i="17" s="1"/>
  <c r="O550" i="17"/>
  <c r="R550" i="17" s="1"/>
  <c r="Y549" i="17"/>
  <c r="Q549" i="17"/>
  <c r="Z549" i="17" s="1"/>
  <c r="O549" i="17"/>
  <c r="R549" i="17" s="1"/>
  <c r="Y548" i="17"/>
  <c r="Q548" i="17"/>
  <c r="Z548" i="17" s="1"/>
  <c r="O548" i="17"/>
  <c r="R548" i="17" s="1"/>
  <c r="Y547" i="17"/>
  <c r="Q547" i="17"/>
  <c r="Z547" i="17" s="1"/>
  <c r="O547" i="17"/>
  <c r="R547" i="17" s="1"/>
  <c r="Y546" i="17"/>
  <c r="X546" i="17"/>
  <c r="Q546" i="17"/>
  <c r="Z546" i="17" s="1"/>
  <c r="O546" i="17"/>
  <c r="R546" i="17" s="1"/>
  <c r="Y545" i="17"/>
  <c r="Q545" i="17"/>
  <c r="Z545" i="17" s="1"/>
  <c r="O545" i="17"/>
  <c r="R545" i="17" s="1"/>
  <c r="L544" i="17"/>
  <c r="Q544" i="17" s="1"/>
  <c r="Z544" i="17" s="1"/>
  <c r="Y544" i="17"/>
  <c r="Y543" i="17"/>
  <c r="Q543" i="17"/>
  <c r="Z543" i="17" s="1"/>
  <c r="O543" i="17"/>
  <c r="R543" i="17" s="1"/>
  <c r="Y542" i="17"/>
  <c r="Q542" i="17"/>
  <c r="Z542" i="17" s="1"/>
  <c r="O542" i="17"/>
  <c r="P542" i="17" s="1"/>
  <c r="Y541" i="17"/>
  <c r="Q541" i="17"/>
  <c r="Z541" i="17" s="1"/>
  <c r="O541" i="17"/>
  <c r="R541" i="17" s="1"/>
  <c r="L539" i="17"/>
  <c r="Q539" i="17" s="1"/>
  <c r="Z539" i="17" s="1"/>
  <c r="Y540" i="17"/>
  <c r="Q540" i="17"/>
  <c r="W540" i="17" s="1"/>
  <c r="O540" i="17"/>
  <c r="R540" i="17" s="1"/>
  <c r="Y539" i="17"/>
  <c r="Y538" i="17"/>
  <c r="Q538" i="17"/>
  <c r="Z538" i="17" s="1"/>
  <c r="O538" i="17"/>
  <c r="P538" i="17" s="1"/>
  <c r="J147" i="1"/>
  <c r="K147" i="1" s="1"/>
  <c r="J9" i="24"/>
  <c r="T9" i="24" s="1"/>
  <c r="F9" i="24"/>
  <c r="E9" i="24"/>
  <c r="C26" i="7"/>
  <c r="C27" i="7" s="1"/>
  <c r="F3" i="3"/>
  <c r="F2" i="3"/>
  <c r="E3" i="3"/>
  <c r="E2" i="3"/>
  <c r="Y537" i="17"/>
  <c r="Q537" i="17"/>
  <c r="Z537" i="17" s="1"/>
  <c r="O537" i="17"/>
  <c r="R537" i="17" s="1"/>
  <c r="Y503" i="17"/>
  <c r="Q503" i="17"/>
  <c r="Z503" i="17" s="1"/>
  <c r="O503" i="17"/>
  <c r="P503" i="17" s="1"/>
  <c r="Y518" i="17"/>
  <c r="Q518" i="17"/>
  <c r="Z518" i="17" s="1"/>
  <c r="O518" i="17"/>
  <c r="P518" i="17" s="1"/>
  <c r="Y536" i="17"/>
  <c r="Q536" i="17"/>
  <c r="Z536" i="17" s="1"/>
  <c r="O536" i="17"/>
  <c r="R536" i="17" s="1"/>
  <c r="Y535" i="17"/>
  <c r="Q535" i="17"/>
  <c r="Z535" i="17" s="1"/>
  <c r="O535" i="17"/>
  <c r="R535" i="17" s="1"/>
  <c r="AB535" i="17" s="1"/>
  <c r="Y534" i="17"/>
  <c r="Q534" i="17"/>
  <c r="Z534" i="17" s="1"/>
  <c r="O534" i="17"/>
  <c r="R534" i="17" s="1"/>
  <c r="Y533" i="17"/>
  <c r="Q533" i="17"/>
  <c r="Z533" i="17" s="1"/>
  <c r="O533" i="17"/>
  <c r="R533" i="17" s="1"/>
  <c r="Y532" i="17"/>
  <c r="Q532" i="17"/>
  <c r="Z532" i="17" s="1"/>
  <c r="O532" i="17"/>
  <c r="R532" i="17" s="1"/>
  <c r="Y531" i="17"/>
  <c r="Q531" i="17"/>
  <c r="Z531" i="17" s="1"/>
  <c r="O531" i="17"/>
  <c r="R531" i="17" s="1"/>
  <c r="AB531" i="17" s="1"/>
  <c r="Y530" i="17"/>
  <c r="X530" i="17"/>
  <c r="Q530" i="17"/>
  <c r="Z530" i="17" s="1"/>
  <c r="O530" i="17"/>
  <c r="R530" i="17" s="1"/>
  <c r="Y529" i="17"/>
  <c r="Q529" i="17"/>
  <c r="Z529" i="17" s="1"/>
  <c r="O529" i="17"/>
  <c r="R529" i="17" s="1"/>
  <c r="Y528" i="17"/>
  <c r="Q528" i="17"/>
  <c r="Z528" i="17" s="1"/>
  <c r="O528" i="17"/>
  <c r="R528" i="17" s="1"/>
  <c r="Y527" i="17"/>
  <c r="Q527" i="17"/>
  <c r="O527" i="17"/>
  <c r="R527" i="17" s="1"/>
  <c r="Y526" i="17"/>
  <c r="Q526" i="17"/>
  <c r="Z526" i="17" s="1"/>
  <c r="O526" i="17"/>
  <c r="R526" i="17" s="1"/>
  <c r="AB526" i="17" s="1"/>
  <c r="Y525" i="17"/>
  <c r="Q525" i="17"/>
  <c r="O525" i="17"/>
  <c r="R525" i="17" s="1"/>
  <c r="AB525" i="17" s="1"/>
  <c r="Y524" i="17"/>
  <c r="Q524" i="17"/>
  <c r="Z524" i="17" s="1"/>
  <c r="O524" i="17"/>
  <c r="R524" i="17" s="1"/>
  <c r="L523" i="17"/>
  <c r="Q523" i="17" s="1"/>
  <c r="Y523" i="17"/>
  <c r="Y522" i="17"/>
  <c r="Q522" i="17"/>
  <c r="Z522" i="17" s="1"/>
  <c r="O522" i="17"/>
  <c r="R522" i="17" s="1"/>
  <c r="B14" i="27"/>
  <c r="B15" i="27"/>
  <c r="C13" i="27"/>
  <c r="C12" i="27"/>
  <c r="C11" i="27"/>
  <c r="C10" i="27"/>
  <c r="C7" i="27"/>
  <c r="N7" i="27" s="1"/>
  <c r="C6" i="27"/>
  <c r="N6" i="27" s="1"/>
  <c r="C5" i="27"/>
  <c r="C4" i="27"/>
  <c r="N4" i="27" s="1"/>
  <c r="C3" i="27"/>
  <c r="C2" i="27"/>
  <c r="B13" i="27"/>
  <c r="B12" i="27"/>
  <c r="B11" i="27"/>
  <c r="B10" i="27"/>
  <c r="B9" i="27"/>
  <c r="B8" i="27"/>
  <c r="B7" i="27"/>
  <c r="B6" i="27"/>
  <c r="B5" i="27"/>
  <c r="B4" i="27"/>
  <c r="B3" i="27"/>
  <c r="B2" i="27"/>
  <c r="N14" i="27"/>
  <c r="F3" i="27"/>
  <c r="F4" i="27"/>
  <c r="F5" i="27"/>
  <c r="F6" i="27"/>
  <c r="F7" i="27"/>
  <c r="F8" i="27"/>
  <c r="F9" i="27"/>
  <c r="F10" i="27"/>
  <c r="F11" i="27"/>
  <c r="F12" i="27"/>
  <c r="F13" i="27"/>
  <c r="F14" i="27"/>
  <c r="F2" i="27"/>
  <c r="F1" i="27"/>
  <c r="F15" i="27"/>
  <c r="K8" i="27"/>
  <c r="L8" i="27" s="1"/>
  <c r="K9" i="27"/>
  <c r="L9" i="27" s="1"/>
  <c r="K10" i="27"/>
  <c r="L10" i="27" s="1"/>
  <c r="K11" i="27"/>
  <c r="L11" i="27" s="1"/>
  <c r="K12" i="27"/>
  <c r="L12" i="27" s="1"/>
  <c r="K13" i="27"/>
  <c r="L15" i="27" s="1"/>
  <c r="K14" i="27"/>
  <c r="G13" i="27"/>
  <c r="G12" i="27"/>
  <c r="G11" i="27"/>
  <c r="G10" i="27"/>
  <c r="G7" i="27"/>
  <c r="G6" i="27"/>
  <c r="K7" i="27"/>
  <c r="L7" i="27" s="1"/>
  <c r="K6" i="27"/>
  <c r="L6" i="27" s="1"/>
  <c r="G5" i="27"/>
  <c r="G4" i="27"/>
  <c r="G3" i="27"/>
  <c r="K5" i="27"/>
  <c r="L5" i="27" s="1"/>
  <c r="K4" i="27"/>
  <c r="K3" i="27"/>
  <c r="L3" i="27" s="1"/>
  <c r="K2" i="27"/>
  <c r="L1" i="27" s="1"/>
  <c r="J146" i="1"/>
  <c r="K146" i="1" s="1"/>
  <c r="J145" i="1"/>
  <c r="K145" i="1" s="1"/>
  <c r="J144" i="1"/>
  <c r="K144" i="1" s="1"/>
  <c r="J143" i="1"/>
  <c r="K143" i="1" s="1"/>
  <c r="J142" i="1"/>
  <c r="K142" i="1" s="1"/>
  <c r="J152" i="1"/>
  <c r="K152" i="1" s="1"/>
  <c r="J151" i="1"/>
  <c r="K151" i="1" s="1"/>
  <c r="J150" i="1"/>
  <c r="K150" i="1" s="1"/>
  <c r="J149" i="1"/>
  <c r="K149" i="1" s="1"/>
  <c r="J148" i="1"/>
  <c r="K148" i="1" s="1"/>
  <c r="C152" i="1"/>
  <c r="C151" i="1"/>
  <c r="N151" i="1" s="1"/>
  <c r="C150" i="1"/>
  <c r="C149" i="1"/>
  <c r="C148" i="1"/>
  <c r="C147" i="1"/>
  <c r="C146" i="1"/>
  <c r="C145" i="1"/>
  <c r="C144" i="1"/>
  <c r="C143" i="1"/>
  <c r="C142" i="1"/>
  <c r="T535" i="17"/>
  <c r="T538" i="17"/>
  <c r="T534" i="17"/>
  <c r="T547" i="17"/>
  <c r="T522" i="17"/>
  <c r="T525" i="17"/>
  <c r="T532" i="17"/>
  <c r="T550" i="17"/>
  <c r="T518" i="17"/>
  <c r="T523" i="17"/>
  <c r="T552" i="17"/>
  <c r="T544" i="17"/>
  <c r="T546" i="17"/>
  <c r="T536" i="17"/>
  <c r="T533" i="17"/>
  <c r="T524" i="17"/>
  <c r="T551" i="17"/>
  <c r="T530" i="17"/>
  <c r="T549" i="17"/>
  <c r="T545" i="17"/>
  <c r="T541" i="17"/>
  <c r="T540" i="17"/>
  <c r="T537" i="17"/>
  <c r="T543" i="17"/>
  <c r="T526" i="17"/>
  <c r="T531" i="17"/>
  <c r="T548" i="17"/>
  <c r="T539" i="17"/>
  <c r="T503" i="17"/>
  <c r="E26" i="7"/>
  <c r="T542" i="17"/>
  <c r="T529" i="17"/>
  <c r="T527" i="17"/>
  <c r="T528" i="17"/>
  <c r="L145" i="1"/>
  <c r="L142" i="1"/>
  <c r="L147" i="1"/>
  <c r="L144" i="1"/>
  <c r="L146" i="1"/>
  <c r="L143" i="1"/>
  <c r="L28" i="7" l="1"/>
  <c r="O539" i="17"/>
  <c r="R539" i="17" s="1"/>
  <c r="O544" i="17"/>
  <c r="R544" i="17" s="1"/>
  <c r="O523" i="17"/>
  <c r="R523" i="17" s="1"/>
  <c r="N149" i="1"/>
  <c r="X615" i="17"/>
  <c r="AC615" i="17"/>
  <c r="X570" i="17"/>
  <c r="AC570" i="17"/>
  <c r="N145" i="1"/>
  <c r="N150" i="1"/>
  <c r="N144" i="1"/>
  <c r="N146" i="1"/>
  <c r="N147" i="1"/>
  <c r="N148" i="1"/>
  <c r="N152" i="1"/>
  <c r="N153" i="1"/>
  <c r="H28" i="7"/>
  <c r="R10" i="9"/>
  <c r="Q10" i="9"/>
  <c r="L10" i="9"/>
  <c r="V10" i="9"/>
  <c r="I10" i="9"/>
  <c r="M9" i="24"/>
  <c r="P9" i="24"/>
  <c r="H29" i="7"/>
  <c r="W595" i="17"/>
  <c r="K543" i="17"/>
  <c r="W543" i="17" s="1"/>
  <c r="K550" i="17"/>
  <c r="W550" i="17" s="1"/>
  <c r="K546" i="17"/>
  <c r="W546" i="17" s="1"/>
  <c r="K541" i="17"/>
  <c r="W541" i="17" s="1"/>
  <c r="K542" i="17"/>
  <c r="W542" i="17" s="1"/>
  <c r="K537" i="17"/>
  <c r="W537" i="17" s="1"/>
  <c r="K547" i="17"/>
  <c r="W547" i="17" s="1"/>
  <c r="P551" i="17"/>
  <c r="S551" i="17" s="1"/>
  <c r="X551" i="17" s="1"/>
  <c r="Z527" i="17"/>
  <c r="N27" i="7"/>
  <c r="O27" i="7"/>
  <c r="K538" i="17"/>
  <c r="W538" i="17" s="1"/>
  <c r="Z525" i="17"/>
  <c r="I27" i="7"/>
  <c r="J27" i="7"/>
  <c r="K27" i="7"/>
  <c r="K548" i="17"/>
  <c r="W548" i="17" s="1"/>
  <c r="K551" i="17"/>
  <c r="W551" i="17" s="1"/>
  <c r="K549" i="17"/>
  <c r="W549" i="17" s="1"/>
  <c r="K532" i="17"/>
  <c r="W532" i="17" s="1"/>
  <c r="Z540" i="17"/>
  <c r="Z552" i="17"/>
  <c r="P552" i="17"/>
  <c r="S552" i="17" s="1"/>
  <c r="X552" i="17" s="1"/>
  <c r="P550" i="17"/>
  <c r="S550" i="17" s="1"/>
  <c r="X550" i="17" s="1"/>
  <c r="P549" i="17"/>
  <c r="S549" i="17" s="1"/>
  <c r="X549" i="17" s="1"/>
  <c r="P548" i="17"/>
  <c r="S548" i="17" s="1"/>
  <c r="X548" i="17" s="1"/>
  <c r="P547" i="17"/>
  <c r="S547" i="17" s="1"/>
  <c r="X547" i="17" s="1"/>
  <c r="P546" i="17"/>
  <c r="P545" i="17"/>
  <c r="S545" i="17" s="1"/>
  <c r="X545" i="17" s="1"/>
  <c r="W545" i="17"/>
  <c r="W544" i="17"/>
  <c r="P543" i="17"/>
  <c r="S543" i="17" s="1"/>
  <c r="X543" i="17" s="1"/>
  <c r="R542" i="17"/>
  <c r="AB542" i="17" s="1"/>
  <c r="S542" i="17"/>
  <c r="P541" i="17"/>
  <c r="S541" i="17" s="1"/>
  <c r="X541" i="17" s="1"/>
  <c r="P540" i="17"/>
  <c r="S540" i="17" s="1"/>
  <c r="X540" i="17" s="1"/>
  <c r="W539" i="17"/>
  <c r="R538" i="17"/>
  <c r="S538" i="17"/>
  <c r="X538" i="17" s="1"/>
  <c r="H12" i="27"/>
  <c r="K522" i="17"/>
  <c r="W522" i="17" s="1"/>
  <c r="K535" i="17"/>
  <c r="W535" i="17" s="1"/>
  <c r="K534" i="17"/>
  <c r="W534" i="17" s="1"/>
  <c r="K526" i="17"/>
  <c r="W526" i="17" s="1"/>
  <c r="K531" i="17"/>
  <c r="W531" i="17" s="1"/>
  <c r="H11" i="27"/>
  <c r="C28" i="7"/>
  <c r="D27" i="7"/>
  <c r="D26" i="7"/>
  <c r="P537" i="17"/>
  <c r="S537" i="17" s="1"/>
  <c r="X537" i="17" s="1"/>
  <c r="S503" i="17"/>
  <c r="X503" i="17" s="1"/>
  <c r="R503" i="17"/>
  <c r="R518" i="17"/>
  <c r="S518" i="17"/>
  <c r="X518" i="17" s="1"/>
  <c r="K536" i="17"/>
  <c r="W536" i="17" s="1"/>
  <c r="P536" i="17"/>
  <c r="S536" i="17" s="1"/>
  <c r="X536" i="17" s="1"/>
  <c r="P535" i="17"/>
  <c r="S535" i="17" s="1"/>
  <c r="P534" i="17"/>
  <c r="S534" i="17" s="1"/>
  <c r="X534" i="17" s="1"/>
  <c r="K533" i="17"/>
  <c r="W533" i="17" s="1"/>
  <c r="P533" i="17"/>
  <c r="S533" i="17" s="1"/>
  <c r="X533" i="17" s="1"/>
  <c r="P532" i="17"/>
  <c r="S532" i="17" s="1"/>
  <c r="X532" i="17" s="1"/>
  <c r="P531" i="17"/>
  <c r="S531" i="17" s="1"/>
  <c r="K530" i="17"/>
  <c r="W530" i="17" s="1"/>
  <c r="P530" i="17"/>
  <c r="P529" i="17"/>
  <c r="S529" i="17" s="1"/>
  <c r="X529" i="17" s="1"/>
  <c r="W529" i="17"/>
  <c r="K528" i="17"/>
  <c r="W528" i="17" s="1"/>
  <c r="P528" i="17"/>
  <c r="S528" i="17" s="1"/>
  <c r="X528" i="17" s="1"/>
  <c r="P527" i="17"/>
  <c r="S527" i="17" s="1"/>
  <c r="X527" i="17" s="1"/>
  <c r="P526" i="17"/>
  <c r="S526" i="17" s="1"/>
  <c r="P525" i="17"/>
  <c r="W525" i="17"/>
  <c r="P524" i="17"/>
  <c r="W524" i="17"/>
  <c r="Z523" i="17"/>
  <c r="P522" i="17"/>
  <c r="S522" i="17" s="1"/>
  <c r="X522" i="17" s="1"/>
  <c r="H13" i="27"/>
  <c r="H10" i="27"/>
  <c r="M4" i="27"/>
  <c r="L4" i="27"/>
  <c r="L13" i="27"/>
  <c r="M5" i="27"/>
  <c r="N5" i="27" s="1"/>
  <c r="M3" i="27"/>
  <c r="N3" i="27" s="1"/>
  <c r="L2" i="27"/>
  <c r="M2" i="27"/>
  <c r="N2" i="27" s="1"/>
  <c r="C3" i="3"/>
  <c r="C2" i="3"/>
  <c r="Y521" i="17"/>
  <c r="Q521" i="17"/>
  <c r="Z521" i="17" s="1"/>
  <c r="O521" i="17"/>
  <c r="R521" i="17" s="1"/>
  <c r="Y520" i="17"/>
  <c r="Q520" i="17"/>
  <c r="Z520" i="17" s="1"/>
  <c r="O520" i="17"/>
  <c r="R520" i="17" s="1"/>
  <c r="Y519" i="17"/>
  <c r="Q519" i="17"/>
  <c r="Z519" i="17" s="1"/>
  <c r="O519" i="17"/>
  <c r="P519" i="17" s="1"/>
  <c r="K518" i="17"/>
  <c r="W518" i="17" s="1"/>
  <c r="Y517" i="17"/>
  <c r="Q517" i="17"/>
  <c r="Z517" i="17" s="1"/>
  <c r="O517" i="17"/>
  <c r="R517" i="17" s="1"/>
  <c r="Y516" i="17"/>
  <c r="Q516" i="17"/>
  <c r="K516" i="17" s="1"/>
  <c r="W516" i="17" s="1"/>
  <c r="O516" i="17"/>
  <c r="P516" i="17" s="1"/>
  <c r="Y515" i="17"/>
  <c r="Q515" i="17"/>
  <c r="K515" i="17" s="1"/>
  <c r="W515" i="17" s="1"/>
  <c r="O515" i="17"/>
  <c r="R515" i="17" s="1"/>
  <c r="Y514" i="17"/>
  <c r="Q514" i="17"/>
  <c r="K514" i="17" s="1"/>
  <c r="W514" i="17" s="1"/>
  <c r="O514" i="17"/>
  <c r="R514" i="17" s="1"/>
  <c r="Y513" i="17"/>
  <c r="Q513" i="17"/>
  <c r="Z513" i="17" s="1"/>
  <c r="O513" i="17"/>
  <c r="R513" i="17" s="1"/>
  <c r="L512" i="17"/>
  <c r="Q512" i="17" s="1"/>
  <c r="Z512" i="17" s="1"/>
  <c r="Y512" i="17"/>
  <c r="X512" i="17"/>
  <c r="O495" i="17"/>
  <c r="P495" i="17" s="1"/>
  <c r="O511" i="17"/>
  <c r="R511" i="17" s="1"/>
  <c r="Y511" i="17"/>
  <c r="L510" i="17"/>
  <c r="Q510" i="17" s="1"/>
  <c r="Y510" i="17"/>
  <c r="L509" i="17"/>
  <c r="Y508" i="17"/>
  <c r="Q508" i="17"/>
  <c r="Z508" i="17" s="1"/>
  <c r="O508" i="17"/>
  <c r="P508" i="17" s="1"/>
  <c r="Y507" i="17"/>
  <c r="Q507" i="17"/>
  <c r="Z507" i="17" s="1"/>
  <c r="O507" i="17"/>
  <c r="R507" i="17" s="1"/>
  <c r="Y505" i="17"/>
  <c r="Q505" i="17"/>
  <c r="O505" i="17"/>
  <c r="R505" i="17" s="1"/>
  <c r="Y506" i="17"/>
  <c r="Q506" i="17"/>
  <c r="Z506" i="17" s="1"/>
  <c r="O506" i="17"/>
  <c r="R506" i="17" s="1"/>
  <c r="Y504" i="17"/>
  <c r="Q504" i="17"/>
  <c r="Z504" i="17" s="1"/>
  <c r="O504" i="17"/>
  <c r="P504" i="17" s="1"/>
  <c r="K503" i="17"/>
  <c r="W503" i="17" s="1"/>
  <c r="D6" i="9"/>
  <c r="L6" i="3"/>
  <c r="J6" i="3"/>
  <c r="K6" i="3" s="1"/>
  <c r="H6" i="3"/>
  <c r="I6" i="3" s="1"/>
  <c r="J5" i="3"/>
  <c r="K5" i="3" s="1"/>
  <c r="H5" i="3"/>
  <c r="L5" i="3" s="1"/>
  <c r="L4" i="3"/>
  <c r="K4" i="3"/>
  <c r="J4" i="3"/>
  <c r="H4" i="3"/>
  <c r="I4" i="3" s="1"/>
  <c r="J3" i="3"/>
  <c r="K3" i="3" s="1"/>
  <c r="J2" i="3"/>
  <c r="K2" i="3" s="1"/>
  <c r="T514" i="17"/>
  <c r="T517" i="17"/>
  <c r="T512" i="17"/>
  <c r="T513" i="17"/>
  <c r="T505" i="17"/>
  <c r="T519" i="17"/>
  <c r="T504" i="17"/>
  <c r="T521" i="17"/>
  <c r="T520" i="17"/>
  <c r="T506" i="17"/>
  <c r="T511" i="17"/>
  <c r="T510" i="17"/>
  <c r="T515" i="17"/>
  <c r="T516" i="17"/>
  <c r="T507" i="17"/>
  <c r="T508" i="17"/>
  <c r="I5" i="3" l="1"/>
  <c r="P539" i="17"/>
  <c r="S539" i="17" s="1"/>
  <c r="X539" i="17" s="1"/>
  <c r="P544" i="17"/>
  <c r="S544" i="17" s="1"/>
  <c r="X544" i="17" s="1"/>
  <c r="P523" i="17"/>
  <c r="S523" i="17" s="1"/>
  <c r="X523" i="17" s="1"/>
  <c r="O512" i="17"/>
  <c r="P512" i="17" s="1"/>
  <c r="X526" i="17"/>
  <c r="AC526" i="17"/>
  <c r="X531" i="17"/>
  <c r="AC531" i="17"/>
  <c r="X535" i="17"/>
  <c r="AC535" i="17"/>
  <c r="X542" i="17"/>
  <c r="AC542" i="17"/>
  <c r="K505" i="17"/>
  <c r="W505" i="17" s="1"/>
  <c r="T10" i="9"/>
  <c r="U10" i="9" s="1"/>
  <c r="J10" i="9"/>
  <c r="AB10" i="9"/>
  <c r="AC10" i="9" s="1"/>
  <c r="W10" i="9"/>
  <c r="I9" i="24"/>
  <c r="M27" i="7"/>
  <c r="S524" i="17"/>
  <c r="X524" i="17" s="1"/>
  <c r="S525" i="17"/>
  <c r="F27" i="7"/>
  <c r="C29" i="7"/>
  <c r="D29" i="7" s="1"/>
  <c r="D28" i="7"/>
  <c r="K504" i="17"/>
  <c r="W504" i="17" s="1"/>
  <c r="K507" i="17"/>
  <c r="W507" i="17" s="1"/>
  <c r="K506" i="17"/>
  <c r="W506" i="17" s="1"/>
  <c r="K520" i="17"/>
  <c r="W520" i="17" s="1"/>
  <c r="K521" i="17"/>
  <c r="W521" i="17" s="1"/>
  <c r="M15" i="27"/>
  <c r="Z516" i="17"/>
  <c r="K512" i="17"/>
  <c r="W512" i="17" s="1"/>
  <c r="Z514" i="17"/>
  <c r="K517" i="17"/>
  <c r="W517" i="17" s="1"/>
  <c r="P515" i="17"/>
  <c r="S515" i="17" s="1"/>
  <c r="X515" i="17" s="1"/>
  <c r="Z515" i="17"/>
  <c r="P511" i="17"/>
  <c r="K519" i="17"/>
  <c r="W519" i="17" s="1"/>
  <c r="S519" i="17"/>
  <c r="X519" i="17" s="1"/>
  <c r="P521" i="17"/>
  <c r="S521" i="17" s="1"/>
  <c r="X521" i="17" s="1"/>
  <c r="P520" i="17"/>
  <c r="S520" i="17" s="1"/>
  <c r="X520" i="17" s="1"/>
  <c r="R519" i="17"/>
  <c r="P517" i="17"/>
  <c r="S517" i="17" s="1"/>
  <c r="X517" i="17" s="1"/>
  <c r="S516" i="17"/>
  <c r="X516" i="17" s="1"/>
  <c r="R516" i="17"/>
  <c r="P514" i="17"/>
  <c r="S514" i="17" s="1"/>
  <c r="X514" i="17" s="1"/>
  <c r="P513" i="17"/>
  <c r="S513" i="17" s="1"/>
  <c r="X513" i="17" s="1"/>
  <c r="W513" i="17"/>
  <c r="Q511" i="17"/>
  <c r="Z510" i="17"/>
  <c r="W510" i="17"/>
  <c r="O510" i="17"/>
  <c r="P510" i="17" s="1"/>
  <c r="S510" i="17" s="1"/>
  <c r="X510" i="17" s="1"/>
  <c r="R508" i="17"/>
  <c r="S508" i="17"/>
  <c r="X508" i="17" s="1"/>
  <c r="W508" i="17"/>
  <c r="P507" i="17"/>
  <c r="S507" i="17" s="1"/>
  <c r="X507" i="17" s="1"/>
  <c r="Z505" i="17"/>
  <c r="P505" i="17"/>
  <c r="S505" i="17" s="1"/>
  <c r="X505" i="17" s="1"/>
  <c r="P506" i="17"/>
  <c r="S506" i="17" s="1"/>
  <c r="X506" i="17" s="1"/>
  <c r="R504" i="17"/>
  <c r="S504" i="17"/>
  <c r="X504" i="17" s="1"/>
  <c r="H3" i="3"/>
  <c r="L3" i="3" s="1"/>
  <c r="H2" i="3"/>
  <c r="L2" i="3" s="1"/>
  <c r="G27" i="7" l="1"/>
  <c r="H27" i="7" s="1"/>
  <c r="L27" i="7"/>
  <c r="R512" i="17"/>
  <c r="X525" i="17"/>
  <c r="AC525" i="17"/>
  <c r="R510" i="17"/>
  <c r="W511" i="17"/>
  <c r="S511" i="17"/>
  <c r="X511" i="17" s="1"/>
  <c r="Z511" i="17"/>
  <c r="I3" i="3"/>
  <c r="I2" i="3"/>
  <c r="A3" i="26"/>
  <c r="B3" i="26"/>
  <c r="C3" i="26"/>
  <c r="D3" i="26"/>
  <c r="E3" i="26"/>
  <c r="F3" i="26"/>
  <c r="G3" i="26"/>
  <c r="A4" i="26"/>
  <c r="B4" i="26"/>
  <c r="C4" i="26"/>
  <c r="D4" i="26"/>
  <c r="E4" i="26"/>
  <c r="F4" i="26"/>
  <c r="G4" i="26"/>
  <c r="A5" i="26"/>
  <c r="B5" i="26"/>
  <c r="C5" i="26"/>
  <c r="D5" i="26"/>
  <c r="E5" i="26"/>
  <c r="F5" i="26"/>
  <c r="G5" i="26"/>
  <c r="A6" i="26"/>
  <c r="B6" i="26"/>
  <c r="C6" i="26"/>
  <c r="D6" i="26"/>
  <c r="E6" i="26"/>
  <c r="F6" i="26"/>
  <c r="G6" i="26"/>
  <c r="A7" i="26"/>
  <c r="B7" i="26"/>
  <c r="C7" i="26"/>
  <c r="D7" i="26"/>
  <c r="E7" i="26"/>
  <c r="F7" i="26"/>
  <c r="G7" i="26"/>
  <c r="A8" i="26"/>
  <c r="B8" i="26"/>
  <c r="C8" i="26"/>
  <c r="D8" i="26"/>
  <c r="E8" i="26"/>
  <c r="F8" i="26"/>
  <c r="G8" i="26"/>
  <c r="A9" i="26"/>
  <c r="B9" i="26"/>
  <c r="C9" i="26"/>
  <c r="D9" i="26"/>
  <c r="E9" i="26"/>
  <c r="F9" i="26"/>
  <c r="G9" i="26"/>
  <c r="A10" i="26"/>
  <c r="B10" i="26"/>
  <c r="C10" i="26"/>
  <c r="D10" i="26"/>
  <c r="E10" i="26"/>
  <c r="F10" i="26"/>
  <c r="G10" i="26"/>
  <c r="A11" i="26"/>
  <c r="B11" i="26"/>
  <c r="C11" i="26"/>
  <c r="D11" i="26"/>
  <c r="E11" i="26"/>
  <c r="F11" i="26"/>
  <c r="G11" i="26"/>
  <c r="A12" i="26"/>
  <c r="B12" i="26"/>
  <c r="C12" i="26"/>
  <c r="D12" i="26"/>
  <c r="E12" i="26"/>
  <c r="F12" i="26"/>
  <c r="G12" i="26"/>
  <c r="A13" i="26"/>
  <c r="B13" i="26"/>
  <c r="C13" i="26"/>
  <c r="D13" i="26"/>
  <c r="E13" i="26"/>
  <c r="F13" i="26"/>
  <c r="G13" i="26"/>
  <c r="A14" i="26"/>
  <c r="B14" i="26"/>
  <c r="C14" i="26"/>
  <c r="D14" i="26"/>
  <c r="E14" i="26"/>
  <c r="F14" i="26"/>
  <c r="G14" i="26"/>
  <c r="A15" i="26"/>
  <c r="B15" i="26"/>
  <c r="C15" i="26"/>
  <c r="D15" i="26"/>
  <c r="E15" i="26"/>
  <c r="F15" i="26"/>
  <c r="G15" i="26"/>
  <c r="A16" i="26"/>
  <c r="B16" i="26"/>
  <c r="C16" i="26"/>
  <c r="D16" i="26"/>
  <c r="E16" i="26"/>
  <c r="F16" i="26"/>
  <c r="G16" i="26"/>
  <c r="A17" i="26"/>
  <c r="B17" i="26"/>
  <c r="C17" i="26"/>
  <c r="D17" i="26"/>
  <c r="E17" i="26"/>
  <c r="F17" i="26"/>
  <c r="G17" i="26"/>
  <c r="A18" i="26"/>
  <c r="B18" i="26"/>
  <c r="C18" i="26"/>
  <c r="D18" i="26"/>
  <c r="E18" i="26"/>
  <c r="F18" i="26"/>
  <c r="G18" i="26"/>
  <c r="A19" i="26"/>
  <c r="B19" i="26"/>
  <c r="C19" i="26"/>
  <c r="D19" i="26"/>
  <c r="E19" i="26"/>
  <c r="F19" i="26"/>
  <c r="G19" i="26"/>
  <c r="A20" i="26"/>
  <c r="B20" i="26"/>
  <c r="C20" i="26"/>
  <c r="D20" i="26"/>
  <c r="E20" i="26"/>
  <c r="F20" i="26"/>
  <c r="G20" i="26"/>
  <c r="A21" i="26"/>
  <c r="B21" i="26"/>
  <c r="C21" i="26"/>
  <c r="D21" i="26"/>
  <c r="E21" i="26"/>
  <c r="F21" i="26"/>
  <c r="G21" i="26"/>
  <c r="A22" i="26"/>
  <c r="B22" i="26"/>
  <c r="C22" i="26"/>
  <c r="D22" i="26"/>
  <c r="E22" i="26"/>
  <c r="F22" i="26"/>
  <c r="G22" i="26"/>
  <c r="A23" i="26"/>
  <c r="B23" i="26"/>
  <c r="C23" i="26"/>
  <c r="D23" i="26"/>
  <c r="E23" i="26"/>
  <c r="F23" i="26"/>
  <c r="G23" i="26"/>
  <c r="A24" i="26"/>
  <c r="B24" i="26"/>
  <c r="C24" i="26"/>
  <c r="D24" i="26"/>
  <c r="E24" i="26"/>
  <c r="F24" i="26"/>
  <c r="G24" i="26"/>
  <c r="A25" i="26"/>
  <c r="B25" i="26"/>
  <c r="C25" i="26"/>
  <c r="D25" i="26"/>
  <c r="E25" i="26"/>
  <c r="F25" i="26"/>
  <c r="G25" i="26"/>
  <c r="A26" i="26"/>
  <c r="B26" i="26"/>
  <c r="C26" i="26"/>
  <c r="D26" i="26"/>
  <c r="E26" i="26"/>
  <c r="F26" i="26"/>
  <c r="G26" i="26"/>
  <c r="A27" i="26"/>
  <c r="B27" i="26"/>
  <c r="C27" i="26"/>
  <c r="D27" i="26"/>
  <c r="E27" i="26"/>
  <c r="F27" i="26"/>
  <c r="G27" i="26"/>
  <c r="A28" i="26"/>
  <c r="B28" i="26"/>
  <c r="C28" i="26"/>
  <c r="D28" i="26"/>
  <c r="E28" i="26"/>
  <c r="F28" i="26"/>
  <c r="G28" i="26"/>
  <c r="A29" i="26"/>
  <c r="B29" i="26"/>
  <c r="C29" i="26"/>
  <c r="D29" i="26"/>
  <c r="E29" i="26"/>
  <c r="F29" i="26"/>
  <c r="G29" i="26"/>
  <c r="A30" i="26"/>
  <c r="B30" i="26"/>
  <c r="C30" i="26"/>
  <c r="D30" i="26"/>
  <c r="E30" i="26"/>
  <c r="F30" i="26"/>
  <c r="G30" i="26"/>
  <c r="A31" i="26"/>
  <c r="B31" i="26"/>
  <c r="C31" i="26"/>
  <c r="D31" i="26"/>
  <c r="E31" i="26"/>
  <c r="F31" i="26"/>
  <c r="G31" i="26"/>
  <c r="A32" i="26"/>
  <c r="B32" i="26"/>
  <c r="C32" i="26"/>
  <c r="D32" i="26"/>
  <c r="E32" i="26"/>
  <c r="F32" i="26"/>
  <c r="G32" i="26"/>
  <c r="A33" i="26"/>
  <c r="B33" i="26"/>
  <c r="C33" i="26"/>
  <c r="D33" i="26"/>
  <c r="E33" i="26"/>
  <c r="F33" i="26"/>
  <c r="G33" i="26"/>
  <c r="A34" i="26"/>
  <c r="B34" i="26"/>
  <c r="C34" i="26"/>
  <c r="D34" i="26"/>
  <c r="E34" i="26"/>
  <c r="F34" i="26"/>
  <c r="G34" i="26"/>
  <c r="A35" i="26"/>
  <c r="B35" i="26"/>
  <c r="C35" i="26"/>
  <c r="D35" i="26"/>
  <c r="E35" i="26"/>
  <c r="F35" i="26"/>
  <c r="G35" i="26"/>
  <c r="A36" i="26"/>
  <c r="B36" i="26"/>
  <c r="C36" i="26"/>
  <c r="D36" i="26"/>
  <c r="E36" i="26"/>
  <c r="F36" i="26"/>
  <c r="G36" i="26"/>
  <c r="A37" i="26"/>
  <c r="B37" i="26"/>
  <c r="C37" i="26"/>
  <c r="D37" i="26"/>
  <c r="E37" i="26"/>
  <c r="F37" i="26"/>
  <c r="G37" i="26"/>
  <c r="A38" i="26"/>
  <c r="B38" i="26"/>
  <c r="C38" i="26"/>
  <c r="D38" i="26"/>
  <c r="E38" i="26"/>
  <c r="F38" i="26"/>
  <c r="G38" i="26"/>
  <c r="A39" i="26"/>
  <c r="B39" i="26"/>
  <c r="C39" i="26"/>
  <c r="D39" i="26"/>
  <c r="E39" i="26"/>
  <c r="F39" i="26"/>
  <c r="G39" i="26"/>
  <c r="A40" i="26"/>
  <c r="B40" i="26"/>
  <c r="C40" i="26"/>
  <c r="D40" i="26"/>
  <c r="E40" i="26"/>
  <c r="F40" i="26"/>
  <c r="G40" i="26"/>
  <c r="A41" i="26"/>
  <c r="B41" i="26"/>
  <c r="C41" i="26"/>
  <c r="D41" i="26"/>
  <c r="E41" i="26"/>
  <c r="F41" i="26"/>
  <c r="G41" i="26"/>
  <c r="A42" i="26"/>
  <c r="B42" i="26"/>
  <c r="C42" i="26"/>
  <c r="D42" i="26"/>
  <c r="E42" i="26"/>
  <c r="F42" i="26"/>
  <c r="G42" i="26"/>
  <c r="A43" i="26"/>
  <c r="B43" i="26"/>
  <c r="C43" i="26"/>
  <c r="D43" i="26"/>
  <c r="E43" i="26"/>
  <c r="F43" i="26"/>
  <c r="G43" i="26"/>
  <c r="A44" i="26"/>
  <c r="B44" i="26"/>
  <c r="C44" i="26"/>
  <c r="D44" i="26"/>
  <c r="E44" i="26"/>
  <c r="F44" i="26"/>
  <c r="G44" i="26"/>
  <c r="A45" i="26"/>
  <c r="B45" i="26"/>
  <c r="C45" i="26"/>
  <c r="D45" i="26"/>
  <c r="E45" i="26"/>
  <c r="F45" i="26"/>
  <c r="G45" i="26"/>
  <c r="A46" i="26"/>
  <c r="B46" i="26"/>
  <c r="C46" i="26"/>
  <c r="D46" i="26"/>
  <c r="E46" i="26"/>
  <c r="F46" i="26"/>
  <c r="G46" i="26"/>
  <c r="A47" i="26"/>
  <c r="B47" i="26"/>
  <c r="C47" i="26"/>
  <c r="D47" i="26"/>
  <c r="E47" i="26"/>
  <c r="F47" i="26"/>
  <c r="G47" i="26"/>
  <c r="A48" i="26"/>
  <c r="B48" i="26"/>
  <c r="C48" i="26"/>
  <c r="D48" i="26"/>
  <c r="E48" i="26"/>
  <c r="F48" i="26"/>
  <c r="G48" i="26"/>
  <c r="A49" i="26"/>
  <c r="B49" i="26"/>
  <c r="C49" i="26"/>
  <c r="D49" i="26"/>
  <c r="E49" i="26"/>
  <c r="F49" i="26"/>
  <c r="G49" i="26"/>
  <c r="A50" i="26"/>
  <c r="B50" i="26"/>
  <c r="C50" i="26"/>
  <c r="D50" i="26"/>
  <c r="E50" i="26"/>
  <c r="F50" i="26"/>
  <c r="G50" i="26"/>
  <c r="A51" i="26"/>
  <c r="B51" i="26"/>
  <c r="C51" i="26"/>
  <c r="D51" i="26"/>
  <c r="E51" i="26"/>
  <c r="F51" i="26"/>
  <c r="G51" i="26"/>
  <c r="A52" i="26"/>
  <c r="B52" i="26"/>
  <c r="C52" i="26"/>
  <c r="D52" i="26"/>
  <c r="E52" i="26"/>
  <c r="F52" i="26"/>
  <c r="G52" i="26"/>
  <c r="A53" i="26"/>
  <c r="B53" i="26"/>
  <c r="C53" i="26"/>
  <c r="D53" i="26"/>
  <c r="E53" i="26"/>
  <c r="F53" i="26"/>
  <c r="G53" i="26"/>
  <c r="A54" i="26"/>
  <c r="B54" i="26"/>
  <c r="C54" i="26"/>
  <c r="D54" i="26"/>
  <c r="E54" i="26"/>
  <c r="F54" i="26"/>
  <c r="G54" i="26"/>
  <c r="A55" i="26"/>
  <c r="B55" i="26"/>
  <c r="C55" i="26"/>
  <c r="D55" i="26"/>
  <c r="E55" i="26"/>
  <c r="F55" i="26"/>
  <c r="G55" i="26"/>
  <c r="A56" i="26"/>
  <c r="B56" i="26"/>
  <c r="C56" i="26"/>
  <c r="D56" i="26"/>
  <c r="E56" i="26"/>
  <c r="F56" i="26"/>
  <c r="G56" i="26"/>
  <c r="A57" i="26"/>
  <c r="B57" i="26"/>
  <c r="C57" i="26"/>
  <c r="D57" i="26"/>
  <c r="E57" i="26"/>
  <c r="F57" i="26"/>
  <c r="G57" i="26"/>
  <c r="A58" i="26"/>
  <c r="B58" i="26"/>
  <c r="C58" i="26"/>
  <c r="D58" i="26"/>
  <c r="E58" i="26"/>
  <c r="F58" i="26"/>
  <c r="G58" i="26"/>
  <c r="A59" i="26"/>
  <c r="B59" i="26"/>
  <c r="C59" i="26"/>
  <c r="D59" i="26"/>
  <c r="E59" i="26"/>
  <c r="F59" i="26"/>
  <c r="G59" i="26"/>
  <c r="A60" i="26"/>
  <c r="B60" i="26"/>
  <c r="C60" i="26"/>
  <c r="D60" i="26"/>
  <c r="E60" i="26"/>
  <c r="F60" i="26"/>
  <c r="G60" i="26"/>
  <c r="A61" i="26"/>
  <c r="B61" i="26"/>
  <c r="C61" i="26"/>
  <c r="D61" i="26"/>
  <c r="E61" i="26"/>
  <c r="F61" i="26"/>
  <c r="G61" i="26"/>
  <c r="A62" i="26"/>
  <c r="B62" i="26"/>
  <c r="C62" i="26"/>
  <c r="D62" i="26"/>
  <c r="E62" i="26"/>
  <c r="F62" i="26"/>
  <c r="G62" i="26"/>
  <c r="A63" i="26"/>
  <c r="B63" i="26"/>
  <c r="C63" i="26"/>
  <c r="D63" i="26"/>
  <c r="E63" i="26"/>
  <c r="F63" i="26"/>
  <c r="G63" i="26"/>
  <c r="A64" i="26"/>
  <c r="B64" i="26"/>
  <c r="C64" i="26"/>
  <c r="D64" i="26"/>
  <c r="E64" i="26"/>
  <c r="F64" i="26"/>
  <c r="G64" i="26"/>
  <c r="A65" i="26"/>
  <c r="B65" i="26"/>
  <c r="C65" i="26"/>
  <c r="D65" i="26"/>
  <c r="E65" i="26"/>
  <c r="F65" i="26"/>
  <c r="G65" i="26"/>
  <c r="A66" i="26"/>
  <c r="B66" i="26"/>
  <c r="C66" i="26"/>
  <c r="D66" i="26"/>
  <c r="E66" i="26"/>
  <c r="F66" i="26"/>
  <c r="G66" i="26"/>
  <c r="A67" i="26"/>
  <c r="B67" i="26"/>
  <c r="C67" i="26"/>
  <c r="D67" i="26"/>
  <c r="E67" i="26"/>
  <c r="F67" i="26"/>
  <c r="G67" i="26"/>
  <c r="A68" i="26"/>
  <c r="B68" i="26"/>
  <c r="C68" i="26"/>
  <c r="D68" i="26"/>
  <c r="E68" i="26"/>
  <c r="F68" i="26"/>
  <c r="G68" i="26"/>
  <c r="A69" i="26"/>
  <c r="B69" i="26"/>
  <c r="C69" i="26"/>
  <c r="D69" i="26"/>
  <c r="E69" i="26"/>
  <c r="F69" i="26"/>
  <c r="G69" i="26"/>
  <c r="A70" i="26"/>
  <c r="B70" i="26"/>
  <c r="C70" i="26"/>
  <c r="D70" i="26"/>
  <c r="E70" i="26"/>
  <c r="F70" i="26"/>
  <c r="G70" i="26"/>
  <c r="A71" i="26"/>
  <c r="B71" i="26"/>
  <c r="C71" i="26"/>
  <c r="D71" i="26"/>
  <c r="E71" i="26"/>
  <c r="F71" i="26"/>
  <c r="G71" i="26"/>
  <c r="A72" i="26"/>
  <c r="B72" i="26"/>
  <c r="C72" i="26"/>
  <c r="D72" i="26"/>
  <c r="E72" i="26"/>
  <c r="F72" i="26"/>
  <c r="G72" i="26"/>
  <c r="A73" i="26"/>
  <c r="B73" i="26"/>
  <c r="C73" i="26"/>
  <c r="D73" i="26"/>
  <c r="E73" i="26"/>
  <c r="F73" i="26"/>
  <c r="G73" i="26"/>
  <c r="A74" i="26"/>
  <c r="B74" i="26"/>
  <c r="C74" i="26"/>
  <c r="D74" i="26"/>
  <c r="E74" i="26"/>
  <c r="F74" i="26"/>
  <c r="G74" i="26"/>
  <c r="A75" i="26"/>
  <c r="B75" i="26"/>
  <c r="C75" i="26"/>
  <c r="D75" i="26"/>
  <c r="E75" i="26"/>
  <c r="F75" i="26"/>
  <c r="G75" i="26"/>
  <c r="A76" i="26"/>
  <c r="B76" i="26"/>
  <c r="C76" i="26"/>
  <c r="D76" i="26"/>
  <c r="E76" i="26"/>
  <c r="F76" i="26"/>
  <c r="G76" i="26"/>
  <c r="A77" i="26"/>
  <c r="B77" i="26"/>
  <c r="C77" i="26"/>
  <c r="D77" i="26"/>
  <c r="E77" i="26"/>
  <c r="F77" i="26"/>
  <c r="G77" i="26"/>
  <c r="A78" i="26"/>
  <c r="B78" i="26"/>
  <c r="C78" i="26"/>
  <c r="D78" i="26"/>
  <c r="E78" i="26"/>
  <c r="F78" i="26"/>
  <c r="G78" i="26"/>
  <c r="A79" i="26"/>
  <c r="B79" i="26"/>
  <c r="C79" i="26"/>
  <c r="D79" i="26"/>
  <c r="E79" i="26"/>
  <c r="F79" i="26"/>
  <c r="G79" i="26"/>
  <c r="A80" i="26"/>
  <c r="B80" i="26"/>
  <c r="C80" i="26"/>
  <c r="D80" i="26"/>
  <c r="E80" i="26"/>
  <c r="F80" i="26"/>
  <c r="G80" i="26"/>
  <c r="A81" i="26"/>
  <c r="B81" i="26"/>
  <c r="C81" i="26"/>
  <c r="D81" i="26"/>
  <c r="E81" i="26"/>
  <c r="F81" i="26"/>
  <c r="G81" i="26"/>
  <c r="A82" i="26"/>
  <c r="B82" i="26"/>
  <c r="C82" i="26"/>
  <c r="D82" i="26"/>
  <c r="E82" i="26"/>
  <c r="F82" i="26"/>
  <c r="G82" i="26"/>
  <c r="A83" i="26"/>
  <c r="B83" i="26"/>
  <c r="C83" i="26"/>
  <c r="D83" i="26"/>
  <c r="E83" i="26"/>
  <c r="F83" i="26"/>
  <c r="G83" i="26"/>
  <c r="A84" i="26"/>
  <c r="B84" i="26"/>
  <c r="C84" i="26"/>
  <c r="D84" i="26"/>
  <c r="E84" i="26"/>
  <c r="F84" i="26"/>
  <c r="G84" i="26"/>
  <c r="A85" i="26"/>
  <c r="B85" i="26"/>
  <c r="C85" i="26"/>
  <c r="D85" i="26"/>
  <c r="E85" i="26"/>
  <c r="F85" i="26"/>
  <c r="G85" i="26"/>
  <c r="A86" i="26"/>
  <c r="B86" i="26"/>
  <c r="C86" i="26"/>
  <c r="D86" i="26"/>
  <c r="E86" i="26"/>
  <c r="F86" i="26"/>
  <c r="G86" i="26"/>
  <c r="A87" i="26"/>
  <c r="B87" i="26"/>
  <c r="C87" i="26"/>
  <c r="D87" i="26"/>
  <c r="E87" i="26"/>
  <c r="F87" i="26"/>
  <c r="G87" i="26"/>
  <c r="A88" i="26"/>
  <c r="B88" i="26"/>
  <c r="C88" i="26"/>
  <c r="D88" i="26"/>
  <c r="E88" i="26"/>
  <c r="F88" i="26"/>
  <c r="G88" i="26"/>
  <c r="A89" i="26"/>
  <c r="B89" i="26"/>
  <c r="C89" i="26"/>
  <c r="D89" i="26"/>
  <c r="E89" i="26"/>
  <c r="F89" i="26"/>
  <c r="G89" i="26"/>
  <c r="A90" i="26"/>
  <c r="B90" i="26"/>
  <c r="C90" i="26"/>
  <c r="D90" i="26"/>
  <c r="E90" i="26"/>
  <c r="F90" i="26"/>
  <c r="G90" i="26"/>
  <c r="A91" i="26"/>
  <c r="B91" i="26"/>
  <c r="C91" i="26"/>
  <c r="D91" i="26"/>
  <c r="E91" i="26"/>
  <c r="F91" i="26"/>
  <c r="G91" i="26"/>
  <c r="A92" i="26"/>
  <c r="B92" i="26"/>
  <c r="C92" i="26"/>
  <c r="D92" i="26"/>
  <c r="E92" i="26"/>
  <c r="F92" i="26"/>
  <c r="G92" i="26"/>
  <c r="A93" i="26"/>
  <c r="B93" i="26"/>
  <c r="C93" i="26"/>
  <c r="D93" i="26"/>
  <c r="E93" i="26"/>
  <c r="F93" i="26"/>
  <c r="G93" i="26"/>
  <c r="A94" i="26"/>
  <c r="B94" i="26"/>
  <c r="C94" i="26"/>
  <c r="D94" i="26"/>
  <c r="E94" i="26"/>
  <c r="F94" i="26"/>
  <c r="G94" i="26"/>
  <c r="A95" i="26"/>
  <c r="B95" i="26"/>
  <c r="C95" i="26"/>
  <c r="D95" i="26"/>
  <c r="E95" i="26"/>
  <c r="F95" i="26"/>
  <c r="G95" i="26"/>
  <c r="A96" i="26"/>
  <c r="B96" i="26"/>
  <c r="C96" i="26"/>
  <c r="D96" i="26"/>
  <c r="E96" i="26"/>
  <c r="F96" i="26"/>
  <c r="G96" i="26"/>
  <c r="A97" i="26"/>
  <c r="B97" i="26"/>
  <c r="C97" i="26"/>
  <c r="D97" i="26"/>
  <c r="E97" i="26"/>
  <c r="F97" i="26"/>
  <c r="G97" i="26"/>
  <c r="A98" i="26"/>
  <c r="B98" i="26"/>
  <c r="C98" i="26"/>
  <c r="D98" i="26"/>
  <c r="E98" i="26"/>
  <c r="F98" i="26"/>
  <c r="G98" i="26"/>
  <c r="A99" i="26"/>
  <c r="B99" i="26"/>
  <c r="C99" i="26"/>
  <c r="D99" i="26"/>
  <c r="E99" i="26"/>
  <c r="F99" i="26"/>
  <c r="G99" i="26"/>
  <c r="A100" i="26"/>
  <c r="B100" i="26"/>
  <c r="C100" i="26"/>
  <c r="D100" i="26"/>
  <c r="E100" i="26"/>
  <c r="F100" i="26"/>
  <c r="G100" i="26"/>
  <c r="A101" i="26"/>
  <c r="B101" i="26"/>
  <c r="C101" i="26"/>
  <c r="D101" i="26"/>
  <c r="E101" i="26"/>
  <c r="F101" i="26"/>
  <c r="G101" i="26"/>
  <c r="A102" i="26"/>
  <c r="B102" i="26"/>
  <c r="C102" i="26"/>
  <c r="D102" i="26"/>
  <c r="E102" i="26"/>
  <c r="F102" i="26"/>
  <c r="G102" i="26"/>
  <c r="A103" i="26"/>
  <c r="B103" i="26"/>
  <c r="C103" i="26"/>
  <c r="D103" i="26"/>
  <c r="E103" i="26"/>
  <c r="F103" i="26"/>
  <c r="G103" i="26"/>
  <c r="A104" i="26"/>
  <c r="B104" i="26"/>
  <c r="C104" i="26"/>
  <c r="D104" i="26"/>
  <c r="E104" i="26"/>
  <c r="F104" i="26"/>
  <c r="G104" i="26"/>
  <c r="A105" i="26"/>
  <c r="B105" i="26"/>
  <c r="C105" i="26"/>
  <c r="D105" i="26"/>
  <c r="E105" i="26"/>
  <c r="F105" i="26"/>
  <c r="G105" i="26"/>
  <c r="A106" i="26"/>
  <c r="B106" i="26"/>
  <c r="C106" i="26"/>
  <c r="D106" i="26"/>
  <c r="E106" i="26"/>
  <c r="F106" i="26"/>
  <c r="G106" i="26"/>
  <c r="A107" i="26"/>
  <c r="B107" i="26"/>
  <c r="C107" i="26"/>
  <c r="D107" i="26"/>
  <c r="E107" i="26"/>
  <c r="F107" i="26"/>
  <c r="G107" i="26"/>
  <c r="A108" i="26"/>
  <c r="B108" i="26"/>
  <c r="C108" i="26"/>
  <c r="D108" i="26"/>
  <c r="E108" i="26"/>
  <c r="F108" i="26"/>
  <c r="G108" i="26"/>
  <c r="A109" i="26"/>
  <c r="B109" i="26"/>
  <c r="C109" i="26"/>
  <c r="D109" i="26"/>
  <c r="E109" i="26"/>
  <c r="F109" i="26"/>
  <c r="G109" i="26"/>
  <c r="A110" i="26"/>
  <c r="B110" i="26"/>
  <c r="C110" i="26"/>
  <c r="D110" i="26"/>
  <c r="E110" i="26"/>
  <c r="F110" i="26"/>
  <c r="G110" i="26"/>
  <c r="A111" i="26"/>
  <c r="B111" i="26"/>
  <c r="C111" i="26"/>
  <c r="D111" i="26"/>
  <c r="E111" i="26"/>
  <c r="F111" i="26"/>
  <c r="G111" i="26"/>
  <c r="A112" i="26"/>
  <c r="B112" i="26"/>
  <c r="C112" i="26"/>
  <c r="D112" i="26"/>
  <c r="E112" i="26"/>
  <c r="F112" i="26"/>
  <c r="G112" i="26"/>
  <c r="A113" i="26"/>
  <c r="B113" i="26"/>
  <c r="C113" i="26"/>
  <c r="D113" i="26"/>
  <c r="E113" i="26"/>
  <c r="F113" i="26"/>
  <c r="G113" i="26"/>
  <c r="A114" i="26"/>
  <c r="B114" i="26"/>
  <c r="C114" i="26"/>
  <c r="D114" i="26"/>
  <c r="E114" i="26"/>
  <c r="F114" i="26"/>
  <c r="G114" i="26"/>
  <c r="A115" i="26"/>
  <c r="B115" i="26"/>
  <c r="C115" i="26"/>
  <c r="D115" i="26"/>
  <c r="E115" i="26"/>
  <c r="F115" i="26"/>
  <c r="G115" i="26"/>
  <c r="A116" i="26"/>
  <c r="B116" i="26"/>
  <c r="C116" i="26"/>
  <c r="D116" i="26"/>
  <c r="E116" i="26"/>
  <c r="F116" i="26"/>
  <c r="G116" i="26"/>
  <c r="A117" i="26"/>
  <c r="B117" i="26"/>
  <c r="C117" i="26"/>
  <c r="D117" i="26"/>
  <c r="E117" i="26"/>
  <c r="F117" i="26"/>
  <c r="G117" i="26"/>
  <c r="A118" i="26"/>
  <c r="B118" i="26"/>
  <c r="C118" i="26"/>
  <c r="D118" i="26"/>
  <c r="E118" i="26"/>
  <c r="F118" i="26"/>
  <c r="G118" i="26"/>
  <c r="A119" i="26"/>
  <c r="B119" i="26"/>
  <c r="C119" i="26"/>
  <c r="D119" i="26"/>
  <c r="E119" i="26"/>
  <c r="F119" i="26"/>
  <c r="G119" i="26"/>
  <c r="A120" i="26"/>
  <c r="B120" i="26"/>
  <c r="C120" i="26"/>
  <c r="D120" i="26"/>
  <c r="E120" i="26"/>
  <c r="F120" i="26"/>
  <c r="G120" i="26"/>
  <c r="A121" i="26"/>
  <c r="B121" i="26"/>
  <c r="C121" i="26"/>
  <c r="D121" i="26"/>
  <c r="E121" i="26"/>
  <c r="F121" i="26"/>
  <c r="G121" i="26"/>
  <c r="A122" i="26"/>
  <c r="B122" i="26"/>
  <c r="C122" i="26"/>
  <c r="D122" i="26"/>
  <c r="E122" i="26"/>
  <c r="F122" i="26"/>
  <c r="G122" i="26"/>
  <c r="A123" i="26"/>
  <c r="B123" i="26"/>
  <c r="C123" i="26"/>
  <c r="D123" i="26"/>
  <c r="E123" i="26"/>
  <c r="F123" i="26"/>
  <c r="G123" i="26"/>
  <c r="A124" i="26"/>
  <c r="B124" i="26"/>
  <c r="C124" i="26"/>
  <c r="D124" i="26"/>
  <c r="E124" i="26"/>
  <c r="F124" i="26"/>
  <c r="G124" i="26"/>
  <c r="A125" i="26"/>
  <c r="B125" i="26"/>
  <c r="C125" i="26"/>
  <c r="D125" i="26"/>
  <c r="E125" i="26"/>
  <c r="F125" i="26"/>
  <c r="G125" i="26"/>
  <c r="A126" i="26"/>
  <c r="B126" i="26"/>
  <c r="C126" i="26"/>
  <c r="D126" i="26"/>
  <c r="E126" i="26"/>
  <c r="F126" i="26"/>
  <c r="G126" i="26"/>
  <c r="A127" i="26"/>
  <c r="B127" i="26"/>
  <c r="C127" i="26"/>
  <c r="D127" i="26"/>
  <c r="E127" i="26"/>
  <c r="F127" i="26"/>
  <c r="G127" i="26"/>
  <c r="A128" i="26"/>
  <c r="B128" i="26"/>
  <c r="C128" i="26"/>
  <c r="D128" i="26"/>
  <c r="E128" i="26"/>
  <c r="F128" i="26"/>
  <c r="G128" i="26"/>
  <c r="A129" i="26"/>
  <c r="B129" i="26"/>
  <c r="C129" i="26"/>
  <c r="D129" i="26"/>
  <c r="E129" i="26"/>
  <c r="F129" i="26"/>
  <c r="G129" i="26"/>
  <c r="A130" i="26"/>
  <c r="B130" i="26"/>
  <c r="C130" i="26"/>
  <c r="D130" i="26"/>
  <c r="E130" i="26"/>
  <c r="F130" i="26"/>
  <c r="G130" i="26"/>
  <c r="A131" i="26"/>
  <c r="B131" i="26"/>
  <c r="C131" i="26"/>
  <c r="D131" i="26"/>
  <c r="E131" i="26"/>
  <c r="F131" i="26"/>
  <c r="G131" i="26"/>
  <c r="A132" i="26"/>
  <c r="B132" i="26"/>
  <c r="C132" i="26"/>
  <c r="D132" i="26"/>
  <c r="E132" i="26"/>
  <c r="F132" i="26"/>
  <c r="G132" i="26"/>
  <c r="A133" i="26"/>
  <c r="B133" i="26"/>
  <c r="C133" i="26"/>
  <c r="D133" i="26"/>
  <c r="E133" i="26"/>
  <c r="F133" i="26"/>
  <c r="G133" i="26"/>
  <c r="A134" i="26"/>
  <c r="B134" i="26"/>
  <c r="C134" i="26"/>
  <c r="D134" i="26"/>
  <c r="E134" i="26"/>
  <c r="F134" i="26"/>
  <c r="G134" i="26"/>
  <c r="A135" i="26"/>
  <c r="B135" i="26"/>
  <c r="C135" i="26"/>
  <c r="D135" i="26"/>
  <c r="E135" i="26"/>
  <c r="F135" i="26"/>
  <c r="G135" i="26"/>
  <c r="A136" i="26"/>
  <c r="B136" i="26"/>
  <c r="C136" i="26"/>
  <c r="D136" i="26"/>
  <c r="E136" i="26"/>
  <c r="F136" i="26"/>
  <c r="G136" i="26"/>
  <c r="A137" i="26"/>
  <c r="B137" i="26"/>
  <c r="C137" i="26"/>
  <c r="D137" i="26"/>
  <c r="E137" i="26"/>
  <c r="F137" i="26"/>
  <c r="G137" i="26"/>
  <c r="A138" i="26"/>
  <c r="B138" i="26"/>
  <c r="C138" i="26"/>
  <c r="D138" i="26"/>
  <c r="E138" i="26"/>
  <c r="F138" i="26"/>
  <c r="G138" i="26"/>
  <c r="A139" i="26"/>
  <c r="B139" i="26"/>
  <c r="C139" i="26"/>
  <c r="D139" i="26"/>
  <c r="E139" i="26"/>
  <c r="F139" i="26"/>
  <c r="G139" i="26"/>
  <c r="A140" i="26"/>
  <c r="B140" i="26"/>
  <c r="C140" i="26"/>
  <c r="D140" i="26"/>
  <c r="E140" i="26"/>
  <c r="F140" i="26"/>
  <c r="G140" i="26"/>
  <c r="A141" i="26"/>
  <c r="B141" i="26"/>
  <c r="C141" i="26"/>
  <c r="D141" i="26"/>
  <c r="E141" i="26"/>
  <c r="F141" i="26"/>
  <c r="G141" i="26"/>
  <c r="A142" i="26"/>
  <c r="B142" i="26"/>
  <c r="C142" i="26"/>
  <c r="D142" i="26"/>
  <c r="E142" i="26"/>
  <c r="F142" i="26"/>
  <c r="G142" i="26"/>
  <c r="A143" i="26"/>
  <c r="B143" i="26"/>
  <c r="C143" i="26"/>
  <c r="D143" i="26"/>
  <c r="E143" i="26"/>
  <c r="F143" i="26"/>
  <c r="G143" i="26"/>
  <c r="A144" i="26"/>
  <c r="B144" i="26"/>
  <c r="C144" i="26"/>
  <c r="D144" i="26"/>
  <c r="E144" i="26"/>
  <c r="F144" i="26"/>
  <c r="G144" i="26"/>
  <c r="A145" i="26"/>
  <c r="B145" i="26"/>
  <c r="C145" i="26"/>
  <c r="D145" i="26"/>
  <c r="E145" i="26"/>
  <c r="F145" i="26"/>
  <c r="G145" i="26"/>
  <c r="A146" i="26"/>
  <c r="B146" i="26"/>
  <c r="C146" i="26"/>
  <c r="D146" i="26"/>
  <c r="E146" i="26"/>
  <c r="F146" i="26"/>
  <c r="G146" i="26"/>
  <c r="A147" i="26"/>
  <c r="B147" i="26"/>
  <c r="C147" i="26"/>
  <c r="D147" i="26"/>
  <c r="E147" i="26"/>
  <c r="F147" i="26"/>
  <c r="G147" i="26"/>
  <c r="A148" i="26"/>
  <c r="B148" i="26"/>
  <c r="C148" i="26"/>
  <c r="D148" i="26"/>
  <c r="E148" i="26"/>
  <c r="F148" i="26"/>
  <c r="G148" i="26"/>
  <c r="A149" i="26"/>
  <c r="B149" i="26"/>
  <c r="C149" i="26"/>
  <c r="D149" i="26"/>
  <c r="E149" i="26"/>
  <c r="F149" i="26"/>
  <c r="G149" i="26"/>
  <c r="A150" i="26"/>
  <c r="B150" i="26"/>
  <c r="C150" i="26"/>
  <c r="D150" i="26"/>
  <c r="E150" i="26"/>
  <c r="A151" i="26"/>
  <c r="B151" i="26"/>
  <c r="C151" i="26"/>
  <c r="D151" i="26"/>
  <c r="E151" i="26"/>
  <c r="F151" i="26"/>
  <c r="G151" i="26"/>
  <c r="A152" i="26"/>
  <c r="B152" i="26"/>
  <c r="C152" i="26"/>
  <c r="D152" i="26"/>
  <c r="E152" i="26"/>
  <c r="F152" i="26"/>
  <c r="G152" i="26"/>
  <c r="A153" i="26"/>
  <c r="B153" i="26"/>
  <c r="C153" i="26"/>
  <c r="D153" i="26"/>
  <c r="E153" i="26"/>
  <c r="F153" i="26"/>
  <c r="G153" i="26"/>
  <c r="A154" i="26"/>
  <c r="B154" i="26"/>
  <c r="C154" i="26"/>
  <c r="D154" i="26"/>
  <c r="E154" i="26"/>
  <c r="F154" i="26"/>
  <c r="G154" i="26"/>
  <c r="A155" i="26"/>
  <c r="B155" i="26"/>
  <c r="C155" i="26"/>
  <c r="D155" i="26"/>
  <c r="E155" i="26"/>
  <c r="F155" i="26"/>
  <c r="G155" i="26"/>
  <c r="A156" i="26"/>
  <c r="B156" i="26"/>
  <c r="C156" i="26"/>
  <c r="D156" i="26"/>
  <c r="E156" i="26"/>
  <c r="F156" i="26"/>
  <c r="G156" i="26"/>
  <c r="A157" i="26"/>
  <c r="B157" i="26"/>
  <c r="C157" i="26"/>
  <c r="D157" i="26"/>
  <c r="E157" i="26"/>
  <c r="F157" i="26"/>
  <c r="G157" i="26"/>
  <c r="A158" i="26"/>
  <c r="B158" i="26"/>
  <c r="C158" i="26"/>
  <c r="D158" i="26"/>
  <c r="E158" i="26"/>
  <c r="F158" i="26"/>
  <c r="G158" i="26"/>
  <c r="A159" i="26"/>
  <c r="B159" i="26"/>
  <c r="C159" i="26"/>
  <c r="D159" i="26"/>
  <c r="E159" i="26"/>
  <c r="F159" i="26"/>
  <c r="G159" i="26"/>
  <c r="A160" i="26"/>
  <c r="B160" i="26"/>
  <c r="C160" i="26"/>
  <c r="D160" i="26"/>
  <c r="E160" i="26"/>
  <c r="F160" i="26"/>
  <c r="G160" i="26"/>
  <c r="A161" i="26"/>
  <c r="B161" i="26"/>
  <c r="C161" i="26"/>
  <c r="D161" i="26"/>
  <c r="E161" i="26"/>
  <c r="F161" i="26"/>
  <c r="G161" i="26"/>
  <c r="A162" i="26"/>
  <c r="B162" i="26"/>
  <c r="C162" i="26"/>
  <c r="D162" i="26"/>
  <c r="E162" i="26"/>
  <c r="F162" i="26"/>
  <c r="G162" i="26"/>
  <c r="A163" i="26"/>
  <c r="B163" i="26"/>
  <c r="C163" i="26"/>
  <c r="D163" i="26"/>
  <c r="E163" i="26"/>
  <c r="F163" i="26"/>
  <c r="G163" i="26"/>
  <c r="A164" i="26"/>
  <c r="B164" i="26"/>
  <c r="C164" i="26"/>
  <c r="D164" i="26"/>
  <c r="E164" i="26"/>
  <c r="F164" i="26"/>
  <c r="G164" i="26"/>
  <c r="A165" i="26"/>
  <c r="B165" i="26"/>
  <c r="C165" i="26"/>
  <c r="D165" i="26"/>
  <c r="E165" i="26"/>
  <c r="F165" i="26"/>
  <c r="G165" i="26"/>
  <c r="A166" i="26"/>
  <c r="B166" i="26"/>
  <c r="C166" i="26"/>
  <c r="D166" i="26"/>
  <c r="E166" i="26"/>
  <c r="F166" i="26"/>
  <c r="G166" i="26"/>
  <c r="A167" i="26"/>
  <c r="B167" i="26"/>
  <c r="C167" i="26"/>
  <c r="D167" i="26"/>
  <c r="E167" i="26"/>
  <c r="F167" i="26"/>
  <c r="G167" i="26"/>
  <c r="A168" i="26"/>
  <c r="B168" i="26"/>
  <c r="C168" i="26"/>
  <c r="D168" i="26"/>
  <c r="E168" i="26"/>
  <c r="F168" i="26"/>
  <c r="G168" i="26"/>
  <c r="A169" i="26"/>
  <c r="B169" i="26"/>
  <c r="C169" i="26"/>
  <c r="D169" i="26"/>
  <c r="E169" i="26"/>
  <c r="F169" i="26"/>
  <c r="G169" i="26"/>
  <c r="A170" i="26"/>
  <c r="B170" i="26"/>
  <c r="C170" i="26"/>
  <c r="D170" i="26"/>
  <c r="E170" i="26"/>
  <c r="F170" i="26"/>
  <c r="G170" i="26"/>
  <c r="A171" i="26"/>
  <c r="B171" i="26"/>
  <c r="C171" i="26"/>
  <c r="D171" i="26"/>
  <c r="E171" i="26"/>
  <c r="F171" i="26"/>
  <c r="G171" i="26"/>
  <c r="A172" i="26"/>
  <c r="B172" i="26"/>
  <c r="C172" i="26"/>
  <c r="D172" i="26"/>
  <c r="E172" i="26"/>
  <c r="F172" i="26"/>
  <c r="G172" i="26"/>
  <c r="A173" i="26"/>
  <c r="B173" i="26"/>
  <c r="C173" i="26"/>
  <c r="D173" i="26"/>
  <c r="E173" i="26"/>
  <c r="F173" i="26"/>
  <c r="G173" i="26"/>
  <c r="A174" i="26"/>
  <c r="B174" i="26"/>
  <c r="C174" i="26"/>
  <c r="D174" i="26"/>
  <c r="E174" i="26"/>
  <c r="F174" i="26"/>
  <c r="G174" i="26"/>
  <c r="A175" i="26"/>
  <c r="B175" i="26"/>
  <c r="C175" i="26"/>
  <c r="D175" i="26"/>
  <c r="E175" i="26"/>
  <c r="F175" i="26"/>
  <c r="G175" i="26"/>
  <c r="A176" i="26"/>
  <c r="B176" i="26"/>
  <c r="C176" i="26"/>
  <c r="D176" i="26"/>
  <c r="E176" i="26"/>
  <c r="F176" i="26"/>
  <c r="G176" i="26"/>
  <c r="A177" i="26"/>
  <c r="B177" i="26"/>
  <c r="C177" i="26"/>
  <c r="D177" i="26"/>
  <c r="E177" i="26"/>
  <c r="F177" i="26"/>
  <c r="G177" i="26"/>
  <c r="A178" i="26"/>
  <c r="B178" i="26"/>
  <c r="C178" i="26"/>
  <c r="D178" i="26"/>
  <c r="E178" i="26"/>
  <c r="F178" i="26"/>
  <c r="G178" i="26"/>
  <c r="A179" i="26"/>
  <c r="B179" i="26"/>
  <c r="C179" i="26"/>
  <c r="D179" i="26"/>
  <c r="E179" i="26"/>
  <c r="F179" i="26"/>
  <c r="G179" i="26"/>
  <c r="A180" i="26"/>
  <c r="B180" i="26"/>
  <c r="C180" i="26"/>
  <c r="D180" i="26"/>
  <c r="E180" i="26"/>
  <c r="F180" i="26"/>
  <c r="G180" i="26"/>
  <c r="A181" i="26"/>
  <c r="B181" i="26"/>
  <c r="C181" i="26"/>
  <c r="D181" i="26"/>
  <c r="E181" i="26"/>
  <c r="F181" i="26"/>
  <c r="G181" i="26"/>
  <c r="A182" i="26"/>
  <c r="B182" i="26"/>
  <c r="C182" i="26"/>
  <c r="D182" i="26"/>
  <c r="E182" i="26"/>
  <c r="F182" i="26"/>
  <c r="G182" i="26"/>
  <c r="A183" i="26"/>
  <c r="B183" i="26"/>
  <c r="C183" i="26"/>
  <c r="D183" i="26"/>
  <c r="E183" i="26"/>
  <c r="F183" i="26"/>
  <c r="G183" i="26"/>
  <c r="A184" i="26"/>
  <c r="B184" i="26"/>
  <c r="C184" i="26"/>
  <c r="D184" i="26"/>
  <c r="E184" i="26"/>
  <c r="F184" i="26"/>
  <c r="G184" i="26"/>
  <c r="A185" i="26"/>
  <c r="B185" i="26"/>
  <c r="C185" i="26"/>
  <c r="D185" i="26"/>
  <c r="E185" i="26"/>
  <c r="F185" i="26"/>
  <c r="G185" i="26"/>
  <c r="A186" i="26"/>
  <c r="B186" i="26"/>
  <c r="C186" i="26"/>
  <c r="D186" i="26"/>
  <c r="E186" i="26"/>
  <c r="F186" i="26"/>
  <c r="G186" i="26"/>
  <c r="A187" i="26"/>
  <c r="B187" i="26"/>
  <c r="C187" i="26"/>
  <c r="D187" i="26"/>
  <c r="E187" i="26"/>
  <c r="F187" i="26"/>
  <c r="G187" i="26"/>
  <c r="A188" i="26"/>
  <c r="B188" i="26"/>
  <c r="C188" i="26"/>
  <c r="D188" i="26"/>
  <c r="E188" i="26"/>
  <c r="F188" i="26"/>
  <c r="G188" i="26"/>
  <c r="A189" i="26"/>
  <c r="B189" i="26"/>
  <c r="C189" i="26"/>
  <c r="D189" i="26"/>
  <c r="E189" i="26"/>
  <c r="F189" i="26"/>
  <c r="G189" i="26"/>
  <c r="A190" i="26"/>
  <c r="B190" i="26"/>
  <c r="C190" i="26"/>
  <c r="D190" i="26"/>
  <c r="E190" i="26"/>
  <c r="F190" i="26"/>
  <c r="G190" i="26"/>
  <c r="A191" i="26"/>
  <c r="B191" i="26"/>
  <c r="C191" i="26"/>
  <c r="D191" i="26"/>
  <c r="E191" i="26"/>
  <c r="F191" i="26"/>
  <c r="G191" i="26"/>
  <c r="A192" i="26"/>
  <c r="B192" i="26"/>
  <c r="C192" i="26"/>
  <c r="D192" i="26"/>
  <c r="E192" i="26"/>
  <c r="F192" i="26"/>
  <c r="G192" i="26"/>
  <c r="A193" i="26"/>
  <c r="B193" i="26"/>
  <c r="C193" i="26"/>
  <c r="D193" i="26"/>
  <c r="E193" i="26"/>
  <c r="F193" i="26"/>
  <c r="G193" i="26"/>
  <c r="A194" i="26"/>
  <c r="B194" i="26"/>
  <c r="C194" i="26"/>
  <c r="D194" i="26"/>
  <c r="E194" i="26"/>
  <c r="F194" i="26"/>
  <c r="G194" i="26"/>
  <c r="A195" i="26"/>
  <c r="B195" i="26"/>
  <c r="C195" i="26"/>
  <c r="D195" i="26"/>
  <c r="E195" i="26"/>
  <c r="F195" i="26"/>
  <c r="G195" i="26"/>
  <c r="A196" i="26"/>
  <c r="B196" i="26"/>
  <c r="C196" i="26"/>
  <c r="D196" i="26"/>
  <c r="E196" i="26"/>
  <c r="F196" i="26"/>
  <c r="G196" i="26"/>
  <c r="A197" i="26"/>
  <c r="B197" i="26"/>
  <c r="C197" i="26"/>
  <c r="D197" i="26"/>
  <c r="E197" i="26"/>
  <c r="F197" i="26"/>
  <c r="G197" i="26"/>
  <c r="A198" i="26"/>
  <c r="B198" i="26"/>
  <c r="C198" i="26"/>
  <c r="D198" i="26"/>
  <c r="E198" i="26"/>
  <c r="F198" i="26"/>
  <c r="G198" i="26"/>
  <c r="A199" i="26"/>
  <c r="B199" i="26"/>
  <c r="C199" i="26"/>
  <c r="D199" i="26"/>
  <c r="E199" i="26"/>
  <c r="F199" i="26"/>
  <c r="G199" i="26"/>
  <c r="A200" i="26"/>
  <c r="B200" i="26"/>
  <c r="C200" i="26"/>
  <c r="D200" i="26"/>
  <c r="E200" i="26"/>
  <c r="F200" i="26"/>
  <c r="G200" i="26"/>
  <c r="A201" i="26"/>
  <c r="B201" i="26"/>
  <c r="C201" i="26"/>
  <c r="D201" i="26"/>
  <c r="E201" i="26"/>
  <c r="F201" i="26"/>
  <c r="G201" i="26"/>
  <c r="A202" i="26"/>
  <c r="B202" i="26"/>
  <c r="C202" i="26"/>
  <c r="D202" i="26"/>
  <c r="E202" i="26"/>
  <c r="F202" i="26"/>
  <c r="G202" i="26"/>
  <c r="A203" i="26"/>
  <c r="B203" i="26"/>
  <c r="C203" i="26"/>
  <c r="D203" i="26"/>
  <c r="E203" i="26"/>
  <c r="F203" i="26"/>
  <c r="G203" i="26"/>
  <c r="A204" i="26"/>
  <c r="B204" i="26"/>
  <c r="C204" i="26"/>
  <c r="D204" i="26"/>
  <c r="E204" i="26"/>
  <c r="F204" i="26"/>
  <c r="G204" i="26"/>
  <c r="A205" i="26"/>
  <c r="B205" i="26"/>
  <c r="C205" i="26"/>
  <c r="D205" i="26"/>
  <c r="E205" i="26"/>
  <c r="F205" i="26"/>
  <c r="G205" i="26"/>
  <c r="A206" i="26"/>
  <c r="B206" i="26"/>
  <c r="C206" i="26"/>
  <c r="D206" i="26"/>
  <c r="E206" i="26"/>
  <c r="F206" i="26"/>
  <c r="G206" i="26"/>
  <c r="A207" i="26"/>
  <c r="B207" i="26"/>
  <c r="C207" i="26"/>
  <c r="D207" i="26"/>
  <c r="E207" i="26"/>
  <c r="F207" i="26"/>
  <c r="G207" i="26"/>
  <c r="A208" i="26"/>
  <c r="B208" i="26"/>
  <c r="C208" i="26"/>
  <c r="D208" i="26"/>
  <c r="E208" i="26"/>
  <c r="F208" i="26"/>
  <c r="G208" i="26"/>
  <c r="A209" i="26"/>
  <c r="B209" i="26"/>
  <c r="C209" i="26"/>
  <c r="D209" i="26"/>
  <c r="E209" i="26"/>
  <c r="F209" i="26"/>
  <c r="G209" i="26"/>
  <c r="A210" i="26"/>
  <c r="B210" i="26"/>
  <c r="C210" i="26"/>
  <c r="D210" i="26"/>
  <c r="E210" i="26"/>
  <c r="F210" i="26"/>
  <c r="G210" i="26"/>
  <c r="A211" i="26"/>
  <c r="B211" i="26"/>
  <c r="C211" i="26"/>
  <c r="D211" i="26"/>
  <c r="E211" i="26"/>
  <c r="F211" i="26"/>
  <c r="G211" i="26"/>
  <c r="A212" i="26"/>
  <c r="B212" i="26"/>
  <c r="C212" i="26"/>
  <c r="D212" i="26"/>
  <c r="E212" i="26"/>
  <c r="F212" i="26"/>
  <c r="G212" i="26"/>
  <c r="A213" i="26"/>
  <c r="B213" i="26"/>
  <c r="C213" i="26"/>
  <c r="D213" i="26"/>
  <c r="E213" i="26"/>
  <c r="F213" i="26"/>
  <c r="G213" i="26"/>
  <c r="A214" i="26"/>
  <c r="B214" i="26"/>
  <c r="C214" i="26"/>
  <c r="D214" i="26"/>
  <c r="E214" i="26"/>
  <c r="F214" i="26"/>
  <c r="G214" i="26"/>
  <c r="A215" i="26"/>
  <c r="B215" i="26"/>
  <c r="C215" i="26"/>
  <c r="D215" i="26"/>
  <c r="E215" i="26"/>
  <c r="F215" i="26"/>
  <c r="G215" i="26"/>
  <c r="A216" i="26"/>
  <c r="B216" i="26"/>
  <c r="C216" i="26"/>
  <c r="D216" i="26"/>
  <c r="E216" i="26"/>
  <c r="F216" i="26"/>
  <c r="G216" i="26"/>
  <c r="A217" i="26"/>
  <c r="B217" i="26"/>
  <c r="C217" i="26"/>
  <c r="D217" i="26"/>
  <c r="E217" i="26"/>
  <c r="F217" i="26"/>
  <c r="G217" i="26"/>
  <c r="A218" i="26"/>
  <c r="B218" i="26"/>
  <c r="C218" i="26"/>
  <c r="D218" i="26"/>
  <c r="E218" i="26"/>
  <c r="F218" i="26"/>
  <c r="G218" i="26"/>
  <c r="A219" i="26"/>
  <c r="B219" i="26"/>
  <c r="C219" i="26"/>
  <c r="D219" i="26"/>
  <c r="E219" i="26"/>
  <c r="F219" i="26"/>
  <c r="G219" i="26"/>
  <c r="A220" i="26"/>
  <c r="B220" i="26"/>
  <c r="C220" i="26"/>
  <c r="D220" i="26"/>
  <c r="E220" i="26"/>
  <c r="F220" i="26"/>
  <c r="G220" i="26"/>
  <c r="A221" i="26"/>
  <c r="B221" i="26"/>
  <c r="C221" i="26"/>
  <c r="D221" i="26"/>
  <c r="E221" i="26"/>
  <c r="F221" i="26"/>
  <c r="G221" i="26"/>
  <c r="A222" i="26"/>
  <c r="B222" i="26"/>
  <c r="C222" i="26"/>
  <c r="D222" i="26"/>
  <c r="E222" i="26"/>
  <c r="F222" i="26"/>
  <c r="G222" i="26"/>
  <c r="A223" i="26"/>
  <c r="B223" i="26"/>
  <c r="C223" i="26"/>
  <c r="D223" i="26"/>
  <c r="E223" i="26"/>
  <c r="F223" i="26"/>
  <c r="G223" i="26"/>
  <c r="A224" i="26"/>
  <c r="B224" i="26"/>
  <c r="C224" i="26"/>
  <c r="D224" i="26"/>
  <c r="E224" i="26"/>
  <c r="F224" i="26"/>
  <c r="G224" i="26"/>
  <c r="A225" i="26"/>
  <c r="B225" i="26"/>
  <c r="C225" i="26"/>
  <c r="D225" i="26"/>
  <c r="E225" i="26"/>
  <c r="F225" i="26"/>
  <c r="G225" i="26"/>
  <c r="A226" i="26"/>
  <c r="B226" i="26"/>
  <c r="C226" i="26"/>
  <c r="D226" i="26"/>
  <c r="E226" i="26"/>
  <c r="F226" i="26"/>
  <c r="G226" i="26"/>
  <c r="A227" i="26"/>
  <c r="B227" i="26"/>
  <c r="C227" i="26"/>
  <c r="D227" i="26"/>
  <c r="E227" i="26"/>
  <c r="F227" i="26"/>
  <c r="G227" i="26"/>
  <c r="A228" i="26"/>
  <c r="B228" i="26"/>
  <c r="C228" i="26"/>
  <c r="D228" i="26"/>
  <c r="E228" i="26"/>
  <c r="F228" i="26"/>
  <c r="G228" i="26"/>
  <c r="A229" i="26"/>
  <c r="B229" i="26"/>
  <c r="C229" i="26"/>
  <c r="D229" i="26"/>
  <c r="E229" i="26"/>
  <c r="F229" i="26"/>
  <c r="G229" i="26"/>
  <c r="A230" i="26"/>
  <c r="B230" i="26"/>
  <c r="C230" i="26"/>
  <c r="D230" i="26"/>
  <c r="E230" i="26"/>
  <c r="F230" i="26"/>
  <c r="G230" i="26"/>
  <c r="A231" i="26"/>
  <c r="B231" i="26"/>
  <c r="C231" i="26"/>
  <c r="D231" i="26"/>
  <c r="E231" i="26"/>
  <c r="F231" i="26"/>
  <c r="G231" i="26"/>
  <c r="A232" i="26"/>
  <c r="B232" i="26"/>
  <c r="C232" i="26"/>
  <c r="D232" i="26"/>
  <c r="E232" i="26"/>
  <c r="F232" i="26"/>
  <c r="G232" i="26"/>
  <c r="A233" i="26"/>
  <c r="B233" i="26"/>
  <c r="C233" i="26"/>
  <c r="D233" i="26"/>
  <c r="E233" i="26"/>
  <c r="F233" i="26"/>
  <c r="G233" i="26"/>
  <c r="A234" i="26"/>
  <c r="B234" i="26"/>
  <c r="C234" i="26"/>
  <c r="D234" i="26"/>
  <c r="E234" i="26"/>
  <c r="F234" i="26"/>
  <c r="G234" i="26"/>
  <c r="A235" i="26"/>
  <c r="B235" i="26"/>
  <c r="C235" i="26"/>
  <c r="D235" i="26"/>
  <c r="E235" i="26"/>
  <c r="F235" i="26"/>
  <c r="G235" i="26"/>
  <c r="G2" i="26"/>
  <c r="F2" i="26"/>
  <c r="B2" i="26"/>
  <c r="C2" i="26"/>
  <c r="E2" i="26"/>
  <c r="D2" i="26"/>
  <c r="A2" i="26"/>
  <c r="R132" i="1" l="1"/>
  <c r="R130" i="1"/>
  <c r="R129" i="1"/>
  <c r="R128" i="1"/>
  <c r="R127" i="1"/>
  <c r="R126" i="1"/>
  <c r="R125" i="1"/>
  <c r="R124" i="1"/>
  <c r="R123" i="1"/>
  <c r="R120" i="1"/>
  <c r="R119" i="1"/>
  <c r="R118" i="1"/>
  <c r="R116" i="1"/>
  <c r="R115" i="1"/>
  <c r="R114" i="1"/>
  <c r="R113" i="1"/>
  <c r="R112" i="1"/>
  <c r="R111" i="1"/>
  <c r="R110" i="1"/>
  <c r="R109" i="1"/>
  <c r="R108" i="1"/>
  <c r="R107" i="1"/>
  <c r="R106" i="1"/>
  <c r="R105" i="1"/>
  <c r="R104" i="1"/>
  <c r="R103" i="1"/>
  <c r="R102" i="1"/>
  <c r="R101" i="1"/>
  <c r="R100" i="1"/>
  <c r="R99" i="1"/>
  <c r="R98" i="1"/>
  <c r="R97" i="1"/>
  <c r="R96" i="1"/>
  <c r="R95" i="1"/>
  <c r="R93" i="1"/>
  <c r="Y473" i="17"/>
  <c r="Q473" i="17"/>
  <c r="W473" i="17" s="1"/>
  <c r="O473" i="17"/>
  <c r="R473" i="17" s="1"/>
  <c r="C13" i="25"/>
  <c r="D13" i="25" s="1"/>
  <c r="E13" i="25" s="1"/>
  <c r="C12" i="25"/>
  <c r="D12" i="25" s="1"/>
  <c r="E12" i="25" s="1"/>
  <c r="C11" i="25"/>
  <c r="D11" i="25" s="1"/>
  <c r="E11" i="25" s="1"/>
  <c r="C10" i="25"/>
  <c r="D10" i="25" s="1"/>
  <c r="E10" i="25" s="1"/>
  <c r="C9" i="25"/>
  <c r="D9" i="25" s="1"/>
  <c r="E9" i="25" s="1"/>
  <c r="T473" i="17"/>
  <c r="F9" i="25" l="1"/>
  <c r="F11" i="25"/>
  <c r="Z473" i="17"/>
  <c r="P473" i="17"/>
  <c r="S473" i="17" s="1"/>
  <c r="X473" i="17" s="1"/>
  <c r="C3" i="25"/>
  <c r="D3" i="25" s="1"/>
  <c r="E3" i="25" s="1"/>
  <c r="C5" i="25"/>
  <c r="D5" i="25" s="1"/>
  <c r="E5" i="25" s="1"/>
  <c r="C2" i="25"/>
  <c r="D2" i="25" s="1"/>
  <c r="E2" i="25" s="1"/>
  <c r="C4" i="25"/>
  <c r="D4" i="25" s="1"/>
  <c r="E4" i="25" s="1"/>
  <c r="C6" i="25"/>
  <c r="D6" i="25" s="1"/>
  <c r="E6" i="25" s="1"/>
  <c r="C7" i="25"/>
  <c r="D7" i="25" s="1"/>
  <c r="E7" i="25" s="1"/>
  <c r="C8" i="25"/>
  <c r="D8" i="25" s="1"/>
  <c r="E8" i="25" s="1"/>
  <c r="L411" i="17" l="1"/>
  <c r="C25" i="7"/>
  <c r="Y471" i="17"/>
  <c r="Q471" i="17"/>
  <c r="K471" i="17" s="1"/>
  <c r="W471" i="17" s="1"/>
  <c r="O471" i="17"/>
  <c r="R471" i="17" s="1"/>
  <c r="Y502" i="17"/>
  <c r="Q502" i="17"/>
  <c r="Z502" i="17" s="1"/>
  <c r="O502" i="17"/>
  <c r="R502" i="17" s="1"/>
  <c r="Y501" i="17"/>
  <c r="Q501" i="17"/>
  <c r="W501" i="17" s="1"/>
  <c r="O501" i="17"/>
  <c r="R501" i="17" s="1"/>
  <c r="AB501" i="17" s="1"/>
  <c r="Y500" i="17"/>
  <c r="Q500" i="17"/>
  <c r="K500" i="17" s="1"/>
  <c r="W500" i="17" s="1"/>
  <c r="O500" i="17"/>
  <c r="R500" i="17" s="1"/>
  <c r="Y497" i="17"/>
  <c r="X497" i="17"/>
  <c r="Q497" i="17"/>
  <c r="Z497" i="17" s="1"/>
  <c r="O497" i="17"/>
  <c r="P497" i="17" s="1"/>
  <c r="T501" i="17"/>
  <c r="T471" i="17"/>
  <c r="T500" i="17"/>
  <c r="T497" i="17"/>
  <c r="E25" i="7"/>
  <c r="T502" i="17"/>
  <c r="Z501" i="17" l="1"/>
  <c r="K502" i="17"/>
  <c r="W502" i="17" s="1"/>
  <c r="K497" i="17"/>
  <c r="W497" i="17" s="1"/>
  <c r="Z471" i="17"/>
  <c r="D25" i="7"/>
  <c r="P471" i="17"/>
  <c r="S471" i="17" s="1"/>
  <c r="X471" i="17" s="1"/>
  <c r="P502" i="17"/>
  <c r="S502" i="17" s="1"/>
  <c r="X502" i="17" s="1"/>
  <c r="P501" i="17"/>
  <c r="S501" i="17" s="1"/>
  <c r="Z500" i="17"/>
  <c r="P500" i="17"/>
  <c r="S500" i="17" s="1"/>
  <c r="X500" i="17" s="1"/>
  <c r="R497" i="17"/>
  <c r="O498" i="17"/>
  <c r="P498" i="17" s="1"/>
  <c r="Q498" i="17"/>
  <c r="K498" i="17" s="1"/>
  <c r="W498" i="17" s="1"/>
  <c r="Y498" i="17"/>
  <c r="O499" i="17"/>
  <c r="P499" i="17" s="1"/>
  <c r="Q499" i="17"/>
  <c r="Y499" i="17"/>
  <c r="Y496" i="17"/>
  <c r="Q496" i="17"/>
  <c r="Z496" i="17" s="1"/>
  <c r="O496" i="17"/>
  <c r="P496" i="17" s="1"/>
  <c r="Y495" i="17"/>
  <c r="R495" i="17"/>
  <c r="Y494" i="17"/>
  <c r="Q494" i="17"/>
  <c r="Z494" i="17" s="1"/>
  <c r="O494" i="17"/>
  <c r="R494" i="17" s="1"/>
  <c r="Y493" i="17"/>
  <c r="Y492" i="17"/>
  <c r="Q492" i="17"/>
  <c r="Z492" i="17" s="1"/>
  <c r="O492" i="17"/>
  <c r="P492" i="17" s="1"/>
  <c r="Y491" i="17"/>
  <c r="Q491" i="17"/>
  <c r="Z491" i="17" s="1"/>
  <c r="O491" i="17"/>
  <c r="R491" i="17" s="1"/>
  <c r="AB491" i="17" s="1"/>
  <c r="Y490" i="17"/>
  <c r="Q490" i="17"/>
  <c r="K490" i="17" s="1"/>
  <c r="W490" i="17" s="1"/>
  <c r="O490" i="17"/>
  <c r="P490" i="17" s="1"/>
  <c r="Y489" i="17"/>
  <c r="Q489" i="17"/>
  <c r="Z489" i="17" s="1"/>
  <c r="O489" i="17"/>
  <c r="R489" i="17" s="1"/>
  <c r="AB489" i="17" s="1"/>
  <c r="Y488" i="17"/>
  <c r="Q488" i="17"/>
  <c r="Z488" i="17" s="1"/>
  <c r="O488" i="17"/>
  <c r="R488" i="17" s="1"/>
  <c r="AB488" i="17" s="1"/>
  <c r="Y487" i="17"/>
  <c r="Q487" i="17"/>
  <c r="Z487" i="17" s="1"/>
  <c r="O487" i="17"/>
  <c r="R487" i="17" s="1"/>
  <c r="Y486" i="17"/>
  <c r="Q486" i="17"/>
  <c r="Z486" i="17" s="1"/>
  <c r="O486" i="17"/>
  <c r="P486" i="17" s="1"/>
  <c r="Y485" i="17"/>
  <c r="Q485" i="17"/>
  <c r="Z485" i="17" s="1"/>
  <c r="O485" i="17"/>
  <c r="R485" i="17" s="1"/>
  <c r="Y484" i="17"/>
  <c r="Q484" i="17"/>
  <c r="Z484" i="17" s="1"/>
  <c r="O484" i="17"/>
  <c r="P484" i="17" s="1"/>
  <c r="Y483" i="17"/>
  <c r="Q483" i="17"/>
  <c r="Z483" i="17" s="1"/>
  <c r="O483" i="17"/>
  <c r="R483" i="17" s="1"/>
  <c r="AB483" i="17" s="1"/>
  <c r="Y477" i="17"/>
  <c r="Q477" i="17"/>
  <c r="O477" i="17"/>
  <c r="P477" i="17" s="1"/>
  <c r="Y478" i="17"/>
  <c r="Q478" i="17"/>
  <c r="O478" i="17"/>
  <c r="P478" i="17" s="1"/>
  <c r="Y479" i="17"/>
  <c r="Q479" i="17"/>
  <c r="O479" i="17"/>
  <c r="R479" i="17" s="1"/>
  <c r="O480" i="17"/>
  <c r="R480" i="17" s="1"/>
  <c r="AB480" i="17" s="1"/>
  <c r="Q480" i="17"/>
  <c r="K480" i="17" s="1"/>
  <c r="W480" i="17" s="1"/>
  <c r="Y480" i="17"/>
  <c r="O481" i="17"/>
  <c r="P481" i="17" s="1"/>
  <c r="Q481" i="17"/>
  <c r="Z481" i="17" s="1"/>
  <c r="X481" i="17"/>
  <c r="Y481" i="17"/>
  <c r="O482" i="17"/>
  <c r="R482" i="17" s="1"/>
  <c r="AB482" i="17" s="1"/>
  <c r="Q482" i="17"/>
  <c r="Z482" i="17" s="1"/>
  <c r="Y482" i="17"/>
  <c r="Y476" i="17"/>
  <c r="X476" i="17"/>
  <c r="L476" i="17"/>
  <c r="Y475" i="17"/>
  <c r="L475" i="17"/>
  <c r="R475" i="17" s="1"/>
  <c r="O472" i="17"/>
  <c r="R472" i="17" s="1"/>
  <c r="Y472" i="17"/>
  <c r="Y474" i="17"/>
  <c r="Q474" i="17"/>
  <c r="O474" i="17"/>
  <c r="R474" i="17" s="1"/>
  <c r="Q470" i="17"/>
  <c r="Y470" i="17"/>
  <c r="Y469" i="17"/>
  <c r="Q469" i="17"/>
  <c r="K469" i="17" s="1"/>
  <c r="W469" i="17" s="1"/>
  <c r="O469" i="17"/>
  <c r="P469" i="17" s="1"/>
  <c r="B9" i="9"/>
  <c r="Z9" i="9"/>
  <c r="M9" i="9"/>
  <c r="J141" i="1"/>
  <c r="K141" i="1" s="1"/>
  <c r="C141" i="1"/>
  <c r="T495" i="17"/>
  <c r="T498" i="17"/>
  <c r="T489" i="17"/>
  <c r="T470" i="17"/>
  <c r="T499" i="17"/>
  <c r="T478" i="17"/>
  <c r="T492" i="17"/>
  <c r="T486" i="17"/>
  <c r="T479" i="17"/>
  <c r="T477" i="17"/>
  <c r="T487" i="17"/>
  <c r="T482" i="17"/>
  <c r="T488" i="17"/>
  <c r="T496" i="17"/>
  <c r="T493" i="17"/>
  <c r="T475" i="17"/>
  <c r="T469" i="17"/>
  <c r="T483" i="17"/>
  <c r="T480" i="17"/>
  <c r="T494" i="17"/>
  <c r="T485" i="17"/>
  <c r="T481" i="17"/>
  <c r="T484" i="17"/>
  <c r="T491" i="17"/>
  <c r="T476" i="17"/>
  <c r="T474" i="17"/>
  <c r="T490" i="17"/>
  <c r="L138" i="1"/>
  <c r="L137" i="1"/>
  <c r="L141" i="1"/>
  <c r="L139" i="1"/>
  <c r="L134" i="1"/>
  <c r="L135" i="1"/>
  <c r="L140" i="1"/>
  <c r="L136" i="1"/>
  <c r="AA9" i="9" l="1"/>
  <c r="X501" i="17"/>
  <c r="AC501" i="17"/>
  <c r="Z477" i="17"/>
  <c r="Z479" i="17"/>
  <c r="O26" i="7"/>
  <c r="N26" i="7"/>
  <c r="Z474" i="17"/>
  <c r="P480" i="17"/>
  <c r="S480" i="17" s="1"/>
  <c r="K496" i="17"/>
  <c r="W496" i="17" s="1"/>
  <c r="R478" i="17"/>
  <c r="AB478" i="17" s="1"/>
  <c r="S499" i="17"/>
  <c r="X499" i="17" s="1"/>
  <c r="Z498" i="17"/>
  <c r="Z480" i="17"/>
  <c r="R498" i="17"/>
  <c r="Z469" i="17"/>
  <c r="P482" i="17"/>
  <c r="S482" i="17" s="1"/>
  <c r="K477" i="17"/>
  <c r="W477" i="17" s="1"/>
  <c r="K499" i="17"/>
  <c r="W499" i="17" s="1"/>
  <c r="S478" i="17"/>
  <c r="K488" i="17"/>
  <c r="W488" i="17" s="1"/>
  <c r="P474" i="17"/>
  <c r="Z499" i="17"/>
  <c r="O476" i="17"/>
  <c r="P476" i="17" s="1"/>
  <c r="S498" i="17"/>
  <c r="X498" i="17" s="1"/>
  <c r="K479" i="17"/>
  <c r="W479" i="17" s="1"/>
  <c r="P472" i="17"/>
  <c r="K487" i="17"/>
  <c r="W487" i="17" s="1"/>
  <c r="R499" i="17"/>
  <c r="K484" i="17"/>
  <c r="W484" i="17" s="1"/>
  <c r="P487" i="17"/>
  <c r="S487" i="17" s="1"/>
  <c r="X487" i="17" s="1"/>
  <c r="R496" i="17"/>
  <c r="AB496" i="17" s="1"/>
  <c r="S496" i="17"/>
  <c r="Q495" i="17"/>
  <c r="P494" i="17"/>
  <c r="S494" i="17" s="1"/>
  <c r="X494" i="17" s="1"/>
  <c r="W494" i="17"/>
  <c r="O493" i="17"/>
  <c r="P493" i="17" s="1"/>
  <c r="Q493" i="17"/>
  <c r="J26" i="7" s="1"/>
  <c r="K492" i="17"/>
  <c r="W492" i="17" s="1"/>
  <c r="R492" i="17"/>
  <c r="S492" i="17"/>
  <c r="X492" i="17" s="1"/>
  <c r="K491" i="17"/>
  <c r="W491" i="17" s="1"/>
  <c r="P491" i="17"/>
  <c r="S491" i="17" s="1"/>
  <c r="S490" i="17"/>
  <c r="X490" i="17" s="1"/>
  <c r="Z490" i="17"/>
  <c r="R490" i="17"/>
  <c r="P489" i="17"/>
  <c r="S489" i="17" s="1"/>
  <c r="W489" i="17"/>
  <c r="P488" i="17"/>
  <c r="S488" i="17" s="1"/>
  <c r="W486" i="17"/>
  <c r="S486" i="17"/>
  <c r="X486" i="17" s="1"/>
  <c r="R486" i="17"/>
  <c r="K485" i="17"/>
  <c r="W485" i="17" s="1"/>
  <c r="P485" i="17"/>
  <c r="S485" i="17" s="1"/>
  <c r="X485" i="17" s="1"/>
  <c r="R484" i="17"/>
  <c r="S484" i="17"/>
  <c r="X484" i="17" s="1"/>
  <c r="K483" i="17"/>
  <c r="W483" i="17" s="1"/>
  <c r="P483" i="17"/>
  <c r="S483" i="17" s="1"/>
  <c r="R477" i="17"/>
  <c r="S477" i="17"/>
  <c r="X477" i="17" s="1"/>
  <c r="Z478" i="17"/>
  <c r="K478" i="17"/>
  <c r="W478" i="17" s="1"/>
  <c r="P479" i="17"/>
  <c r="S479" i="17" s="1"/>
  <c r="X479" i="17" s="1"/>
  <c r="K482" i="17"/>
  <c r="W482" i="17" s="1"/>
  <c r="K481" i="17"/>
  <c r="W481" i="17" s="1"/>
  <c r="R481" i="17"/>
  <c r="Q476" i="17"/>
  <c r="Q475" i="17"/>
  <c r="W474" i="17"/>
  <c r="Z470" i="17"/>
  <c r="K470" i="17"/>
  <c r="W470" i="17" s="1"/>
  <c r="O470" i="17"/>
  <c r="P470" i="17" s="1"/>
  <c r="S470" i="17" s="1"/>
  <c r="X470" i="17" s="1"/>
  <c r="S469" i="17"/>
  <c r="X469" i="17" s="1"/>
  <c r="R469" i="17"/>
  <c r="N9" i="9"/>
  <c r="J140" i="1"/>
  <c r="K140" i="1" s="1"/>
  <c r="J139" i="1"/>
  <c r="K139" i="1" s="1"/>
  <c r="J138" i="1"/>
  <c r="K138" i="1" s="1"/>
  <c r="J137" i="1"/>
  <c r="K137" i="1" s="1"/>
  <c r="J136" i="1"/>
  <c r="K136" i="1" s="1"/>
  <c r="J135" i="1"/>
  <c r="K135" i="1" s="1"/>
  <c r="J134" i="1"/>
  <c r="K134" i="1" s="1"/>
  <c r="C139" i="1"/>
  <c r="N158" i="1" s="1"/>
  <c r="C140" i="1"/>
  <c r="C138" i="1"/>
  <c r="C136" i="1"/>
  <c r="N161" i="1" s="1"/>
  <c r="C137" i="1"/>
  <c r="C135" i="1"/>
  <c r="N154" i="1" s="1"/>
  <c r="C134" i="1"/>
  <c r="K26" i="7" l="1"/>
  <c r="I26" i="7"/>
  <c r="C9" i="9"/>
  <c r="M26" i="7"/>
  <c r="N160" i="1"/>
  <c r="N163" i="1"/>
  <c r="X483" i="17"/>
  <c r="AC483" i="17"/>
  <c r="X480" i="17"/>
  <c r="AC480" i="17"/>
  <c r="X489" i="17"/>
  <c r="AC489" i="17"/>
  <c r="X496" i="17"/>
  <c r="AC496" i="17"/>
  <c r="X478" i="17"/>
  <c r="AC478" i="17"/>
  <c r="X491" i="17"/>
  <c r="AC491" i="17"/>
  <c r="X482" i="17"/>
  <c r="AC482" i="17"/>
  <c r="X488" i="17"/>
  <c r="AC488" i="17"/>
  <c r="N139" i="1"/>
  <c r="N156" i="1"/>
  <c r="N134" i="1"/>
  <c r="N165" i="1"/>
  <c r="N137" i="1"/>
  <c r="N159" i="1"/>
  <c r="N136" i="1"/>
  <c r="N157" i="1"/>
  <c r="N135" i="1"/>
  <c r="N143" i="1"/>
  <c r="N138" i="1"/>
  <c r="N140" i="1"/>
  <c r="N141" i="1"/>
  <c r="F26" i="7"/>
  <c r="S474" i="17"/>
  <c r="X474" i="17" s="1"/>
  <c r="R476" i="17"/>
  <c r="Z495" i="17"/>
  <c r="W495" i="17"/>
  <c r="S495" i="17"/>
  <c r="X495" i="17" s="1"/>
  <c r="Z493" i="17"/>
  <c r="S493" i="17"/>
  <c r="K493" i="17"/>
  <c r="W493" i="17" s="1"/>
  <c r="R493" i="17"/>
  <c r="AB493" i="17" s="1"/>
  <c r="Z476" i="17"/>
  <c r="K476" i="17"/>
  <c r="Z475" i="17"/>
  <c r="W475" i="17"/>
  <c r="S475" i="17"/>
  <c r="X475" i="17" s="1"/>
  <c r="R470" i="17"/>
  <c r="Y468" i="17"/>
  <c r="Q468" i="17"/>
  <c r="Z468" i="17" s="1"/>
  <c r="O468" i="17"/>
  <c r="R468" i="17" s="1"/>
  <c r="M8" i="9"/>
  <c r="Y467" i="17"/>
  <c r="Q467" i="17"/>
  <c r="Z467" i="17" s="1"/>
  <c r="O467" i="17"/>
  <c r="R467" i="17" s="1"/>
  <c r="O509" i="17"/>
  <c r="P509" i="17" s="1"/>
  <c r="L26" i="7" s="1"/>
  <c r="Q509" i="17"/>
  <c r="Y509" i="17"/>
  <c r="K523" i="17"/>
  <c r="W523" i="17" s="1"/>
  <c r="Y466" i="17"/>
  <c r="Q466" i="17"/>
  <c r="Z466" i="17" s="1"/>
  <c r="O466" i="17"/>
  <c r="P466" i="17" s="1"/>
  <c r="Y465" i="17"/>
  <c r="Q465" i="17"/>
  <c r="Z465" i="17" s="1"/>
  <c r="O465" i="17"/>
  <c r="R465" i="17" s="1"/>
  <c r="Y464" i="17"/>
  <c r="Q464" i="17"/>
  <c r="O464" i="17"/>
  <c r="P464" i="17" s="1"/>
  <c r="Y463" i="17"/>
  <c r="Q463" i="17"/>
  <c r="K463" i="17" s="1"/>
  <c r="W463" i="17" s="1"/>
  <c r="O463" i="17"/>
  <c r="R463" i="17" s="1"/>
  <c r="Y462" i="17"/>
  <c r="Q462" i="17"/>
  <c r="Z462" i="17" s="1"/>
  <c r="O462" i="17"/>
  <c r="P462" i="17" s="1"/>
  <c r="Y461" i="17"/>
  <c r="Q461" i="17"/>
  <c r="K461" i="17" s="1"/>
  <c r="W461" i="17" s="1"/>
  <c r="O461" i="17"/>
  <c r="R461" i="17" s="1"/>
  <c r="Y460" i="17"/>
  <c r="X460" i="17"/>
  <c r="Q460" i="17"/>
  <c r="Z460" i="17" s="1"/>
  <c r="O460" i="17"/>
  <c r="P460" i="17" s="1"/>
  <c r="Y459" i="17"/>
  <c r="Q459" i="17"/>
  <c r="Z459" i="17" s="1"/>
  <c r="O459" i="17"/>
  <c r="R459" i="17" s="1"/>
  <c r="L458" i="17"/>
  <c r="Q458" i="17" s="1"/>
  <c r="W458" i="17" s="1"/>
  <c r="Y458" i="17"/>
  <c r="Y457" i="17"/>
  <c r="Q457" i="17"/>
  <c r="Z457" i="17" s="1"/>
  <c r="O457" i="17"/>
  <c r="R457" i="17" s="1"/>
  <c r="Y456" i="17"/>
  <c r="Q456" i="17"/>
  <c r="Z456" i="17" s="1"/>
  <c r="O456" i="17"/>
  <c r="R456" i="17" s="1"/>
  <c r="Y455" i="17"/>
  <c r="Q455" i="17"/>
  <c r="O455" i="17"/>
  <c r="R455" i="17" s="1"/>
  <c r="Y454" i="17"/>
  <c r="Q454" i="17"/>
  <c r="Z454" i="17" s="1"/>
  <c r="O454" i="17"/>
  <c r="P454" i="17" s="1"/>
  <c r="T457" i="17"/>
  <c r="T463" i="17"/>
  <c r="T468" i="17"/>
  <c r="T466" i="17"/>
  <c r="T454" i="17"/>
  <c r="T458" i="17"/>
  <c r="T465" i="17"/>
  <c r="T509" i="17"/>
  <c r="T462" i="17"/>
  <c r="T461" i="17"/>
  <c r="T460" i="17"/>
  <c r="T464" i="17"/>
  <c r="T459" i="17"/>
  <c r="T455" i="17"/>
  <c r="T467" i="17"/>
  <c r="T456" i="17"/>
  <c r="G26" i="7" l="1"/>
  <c r="H26" i="7" s="1"/>
  <c r="R458" i="17"/>
  <c r="X493" i="17"/>
  <c r="AC493" i="17"/>
  <c r="K527" i="17"/>
  <c r="W476" i="17"/>
  <c r="D9" i="9"/>
  <c r="Z455" i="17"/>
  <c r="G13" i="25"/>
  <c r="Z464" i="17"/>
  <c r="F13" i="25"/>
  <c r="K460" i="17"/>
  <c r="W460" i="17" s="1"/>
  <c r="W468" i="17"/>
  <c r="P468" i="17"/>
  <c r="S468" i="17" s="1"/>
  <c r="X468" i="17" s="1"/>
  <c r="R509" i="17"/>
  <c r="K466" i="17"/>
  <c r="W466" i="17" s="1"/>
  <c r="K464" i="17"/>
  <c r="W464" i="17" s="1"/>
  <c r="S509" i="17"/>
  <c r="X509" i="17" s="1"/>
  <c r="K462" i="17"/>
  <c r="W462" i="17" s="1"/>
  <c r="Z509" i="17"/>
  <c r="W509" i="17"/>
  <c r="P467" i="17"/>
  <c r="S467" i="17" s="1"/>
  <c r="X467" i="17" s="1"/>
  <c r="K467" i="17"/>
  <c r="W467" i="17" s="1"/>
  <c r="S466" i="17"/>
  <c r="X466" i="17" s="1"/>
  <c r="R466" i="17"/>
  <c r="K465" i="17"/>
  <c r="W465" i="17" s="1"/>
  <c r="P465" i="17"/>
  <c r="S465" i="17" s="1"/>
  <c r="X465" i="17" s="1"/>
  <c r="Z463" i="17"/>
  <c r="S464" i="17"/>
  <c r="X464" i="17" s="1"/>
  <c r="R464" i="17"/>
  <c r="P463" i="17"/>
  <c r="S463" i="17" s="1"/>
  <c r="X463" i="17" s="1"/>
  <c r="S462" i="17"/>
  <c r="X462" i="17" s="1"/>
  <c r="R462" i="17"/>
  <c r="K457" i="17"/>
  <c r="W457" i="17" s="1"/>
  <c r="R454" i="17"/>
  <c r="K454" i="17"/>
  <c r="W454" i="17" s="1"/>
  <c r="R460" i="17"/>
  <c r="K459" i="17"/>
  <c r="W459" i="17" s="1"/>
  <c r="Z461" i="17"/>
  <c r="P461" i="17"/>
  <c r="S461" i="17" s="1"/>
  <c r="X461" i="17" s="1"/>
  <c r="P459" i="17"/>
  <c r="S459" i="17" s="1"/>
  <c r="X459" i="17" s="1"/>
  <c r="S458" i="17"/>
  <c r="X458" i="17" s="1"/>
  <c r="Z458" i="17"/>
  <c r="P457" i="17"/>
  <c r="S457" i="17" s="1"/>
  <c r="X457" i="17" s="1"/>
  <c r="P456" i="17"/>
  <c r="S456" i="17" s="1"/>
  <c r="X456" i="17" s="1"/>
  <c r="W456" i="17"/>
  <c r="K455" i="17"/>
  <c r="W455" i="17" s="1"/>
  <c r="P455" i="17"/>
  <c r="S455" i="17" s="1"/>
  <c r="X455" i="17" s="1"/>
  <c r="S454" i="17"/>
  <c r="X454" i="17" s="1"/>
  <c r="Y453" i="17"/>
  <c r="Q453" i="17"/>
  <c r="Z453" i="17" s="1"/>
  <c r="O453" i="17"/>
  <c r="R453" i="17" s="1"/>
  <c r="Y452" i="17"/>
  <c r="Q452" i="17"/>
  <c r="Z452" i="17" s="1"/>
  <c r="O452" i="17"/>
  <c r="R452" i="17" s="1"/>
  <c r="Y451" i="17"/>
  <c r="Q451" i="17"/>
  <c r="Z451" i="17" s="1"/>
  <c r="O451" i="17"/>
  <c r="P451" i="17" s="1"/>
  <c r="Y450" i="17"/>
  <c r="Q450" i="17"/>
  <c r="Z450" i="17" s="1"/>
  <c r="O450" i="17"/>
  <c r="R450" i="17" s="1"/>
  <c r="Y449" i="17"/>
  <c r="Q449" i="17"/>
  <c r="Z449" i="17" s="1"/>
  <c r="O449" i="17"/>
  <c r="R449" i="17" s="1"/>
  <c r="Y448" i="17"/>
  <c r="Q448" i="17"/>
  <c r="K448" i="17" s="1"/>
  <c r="W448" i="17" s="1"/>
  <c r="O448" i="17"/>
  <c r="P448" i="17" s="1"/>
  <c r="Y447" i="17"/>
  <c r="X447" i="17"/>
  <c r="L447" i="17"/>
  <c r="Y446" i="17"/>
  <c r="Q446" i="17"/>
  <c r="Z446" i="17" s="1"/>
  <c r="O446" i="17"/>
  <c r="R446" i="17" s="1"/>
  <c r="Y445" i="17"/>
  <c r="Q445" i="17"/>
  <c r="O445" i="17"/>
  <c r="R445" i="17" s="1"/>
  <c r="Y444" i="17"/>
  <c r="Q444" i="17"/>
  <c r="K444" i="17" s="1"/>
  <c r="W444" i="17" s="1"/>
  <c r="O444" i="17"/>
  <c r="R444" i="17" s="1"/>
  <c r="Y443" i="17"/>
  <c r="Q443" i="17"/>
  <c r="Z443" i="17" s="1"/>
  <c r="O443" i="17"/>
  <c r="R443" i="17" s="1"/>
  <c r="Y442" i="17"/>
  <c r="X442" i="17"/>
  <c r="Q442" i="17"/>
  <c r="K442" i="17" s="1"/>
  <c r="W442" i="17" s="1"/>
  <c r="O442" i="17"/>
  <c r="R442" i="17" s="1"/>
  <c r="Y441" i="17"/>
  <c r="Q441" i="17"/>
  <c r="Z441" i="17" s="1"/>
  <c r="O441" i="17"/>
  <c r="R441" i="17" s="1"/>
  <c r="Y440" i="17"/>
  <c r="Q440" i="17"/>
  <c r="Z440" i="17" s="1"/>
  <c r="R440" i="17"/>
  <c r="Y439" i="17"/>
  <c r="Q439" i="17"/>
  <c r="O439" i="17"/>
  <c r="R439" i="17" s="1"/>
  <c r="Y438" i="17"/>
  <c r="Q438" i="17"/>
  <c r="Z438" i="17" s="1"/>
  <c r="O438" i="17"/>
  <c r="R438" i="17" s="1"/>
  <c r="Y437" i="17"/>
  <c r="Q437" i="17"/>
  <c r="W437" i="17" s="1"/>
  <c r="O437" i="17"/>
  <c r="R437" i="17" s="1"/>
  <c r="Y436" i="17"/>
  <c r="Q436" i="17"/>
  <c r="K436" i="17" s="1"/>
  <c r="W436" i="17" s="1"/>
  <c r="O436" i="17"/>
  <c r="R436" i="17" s="1"/>
  <c r="T451" i="17"/>
  <c r="T447" i="17"/>
  <c r="T449" i="17"/>
  <c r="T448" i="17"/>
  <c r="T445" i="17"/>
  <c r="T443" i="17"/>
  <c r="T436" i="17"/>
  <c r="T453" i="17"/>
  <c r="T442" i="17"/>
  <c r="T438" i="17"/>
  <c r="T452" i="17"/>
  <c r="T444" i="17"/>
  <c r="T437" i="17"/>
  <c r="T439" i="17"/>
  <c r="T450" i="17"/>
  <c r="T446" i="17"/>
  <c r="T441" i="17"/>
  <c r="T440" i="17"/>
  <c r="F12" i="25" l="1"/>
  <c r="F9" i="9"/>
  <c r="G9" i="9" s="1"/>
  <c r="H9" i="9" s="1"/>
  <c r="V9" i="9" s="1"/>
  <c r="B17" i="9"/>
  <c r="W527" i="17"/>
  <c r="H13" i="25"/>
  <c r="Z439" i="17"/>
  <c r="K445" i="17"/>
  <c r="W445" i="17" s="1"/>
  <c r="J25" i="7"/>
  <c r="I25" i="7"/>
  <c r="K25" i="7"/>
  <c r="K450" i="17"/>
  <c r="W450" i="17" s="1"/>
  <c r="K443" i="17"/>
  <c r="W443" i="17" s="1"/>
  <c r="P442" i="17"/>
  <c r="Z448" i="17"/>
  <c r="K449" i="17"/>
  <c r="W449" i="17" s="1"/>
  <c r="W439" i="17"/>
  <c r="Z442" i="17"/>
  <c r="K453" i="17"/>
  <c r="W453" i="17" s="1"/>
  <c r="K451" i="17"/>
  <c r="W451" i="17" s="1"/>
  <c r="Z436" i="17"/>
  <c r="Z444" i="17"/>
  <c r="Z437" i="17"/>
  <c r="P443" i="17"/>
  <c r="S443" i="17" s="1"/>
  <c r="X443" i="17" s="1"/>
  <c r="P453" i="17"/>
  <c r="S453" i="17" s="1"/>
  <c r="X453" i="17" s="1"/>
  <c r="K452" i="17"/>
  <c r="W452" i="17" s="1"/>
  <c r="P452" i="17"/>
  <c r="S452" i="17" s="1"/>
  <c r="X452" i="17" s="1"/>
  <c r="S451" i="17"/>
  <c r="X451" i="17" s="1"/>
  <c r="R451" i="17"/>
  <c r="P450" i="17"/>
  <c r="S450" i="17" s="1"/>
  <c r="X450" i="17" s="1"/>
  <c r="P449" i="17"/>
  <c r="S449" i="17" s="1"/>
  <c r="X449" i="17" s="1"/>
  <c r="R448" i="17"/>
  <c r="S448" i="17"/>
  <c r="X448" i="17" s="1"/>
  <c r="O447" i="17"/>
  <c r="P447" i="17" s="1"/>
  <c r="Q447" i="17"/>
  <c r="G12" i="25" s="1"/>
  <c r="K446" i="17"/>
  <c r="W446" i="17" s="1"/>
  <c r="P446" i="17"/>
  <c r="S446" i="17" s="1"/>
  <c r="X446" i="17" s="1"/>
  <c r="Z445" i="17"/>
  <c r="P445" i="17"/>
  <c r="P444" i="17"/>
  <c r="S444" i="17" s="1"/>
  <c r="X444" i="17" s="1"/>
  <c r="K441" i="17"/>
  <c r="W441" i="17" s="1"/>
  <c r="P441" i="17"/>
  <c r="S441" i="17" s="1"/>
  <c r="X441" i="17" s="1"/>
  <c r="W440" i="17"/>
  <c r="S440" i="17"/>
  <c r="X440" i="17" s="1"/>
  <c r="P439" i="17"/>
  <c r="S439" i="17" s="1"/>
  <c r="X439" i="17" s="1"/>
  <c r="W438" i="17"/>
  <c r="P438" i="17"/>
  <c r="S438" i="17" s="1"/>
  <c r="X438" i="17" s="1"/>
  <c r="P437" i="17"/>
  <c r="S437" i="17" s="1"/>
  <c r="X437" i="17" s="1"/>
  <c r="P436" i="17"/>
  <c r="S436" i="17" s="1"/>
  <c r="X436" i="17" s="1"/>
  <c r="N133" i="1"/>
  <c r="J133" i="1"/>
  <c r="K133" i="1" s="1"/>
  <c r="L133" i="1"/>
  <c r="H12" i="25" l="1"/>
  <c r="P9" i="9"/>
  <c r="R9" i="9" s="1"/>
  <c r="K9" i="9"/>
  <c r="I9" i="9"/>
  <c r="J9" i="9" s="1"/>
  <c r="L9" i="9"/>
  <c r="S445" i="17"/>
  <c r="X445" i="17" s="1"/>
  <c r="F25" i="7"/>
  <c r="K447" i="17"/>
  <c r="W447" i="17" s="1"/>
  <c r="Z447" i="17"/>
  <c r="R447" i="17"/>
  <c r="C24" i="7"/>
  <c r="D24" i="7" s="1"/>
  <c r="L114" i="1"/>
  <c r="L112" i="1"/>
  <c r="L121" i="1"/>
  <c r="L108" i="1"/>
  <c r="L116" i="1"/>
  <c r="L124" i="1"/>
  <c r="L118" i="1"/>
  <c r="L125" i="1"/>
  <c r="L130" i="1"/>
  <c r="L129" i="1"/>
  <c r="L122" i="1"/>
  <c r="L128" i="1"/>
  <c r="L110" i="1"/>
  <c r="L120" i="1"/>
  <c r="L119" i="1"/>
  <c r="L117" i="1"/>
  <c r="L123" i="1"/>
  <c r="L111" i="1"/>
  <c r="L115" i="1"/>
  <c r="L131" i="1"/>
  <c r="L127" i="1"/>
  <c r="L132" i="1"/>
  <c r="L126" i="1"/>
  <c r="AB9" i="9" l="1"/>
  <c r="AC9" i="9" s="1"/>
  <c r="W9" i="9"/>
  <c r="Q9" i="9"/>
  <c r="T9" i="9" s="1"/>
  <c r="U9" i="9" s="1"/>
  <c r="C129" i="1"/>
  <c r="N129" i="1" s="1"/>
  <c r="J129" i="1"/>
  <c r="K129" i="1" s="1"/>
  <c r="E24" i="7"/>
  <c r="C131" i="1" l="1"/>
  <c r="J131" i="1"/>
  <c r="K131" i="1" s="1"/>
  <c r="N155" i="1" l="1"/>
  <c r="N168" i="1"/>
  <c r="N131" i="1"/>
  <c r="N142" i="1"/>
  <c r="Y435" i="17"/>
  <c r="Q435" i="17"/>
  <c r="Z435" i="17" s="1"/>
  <c r="O435" i="17"/>
  <c r="R435" i="17" s="1"/>
  <c r="Y434" i="17"/>
  <c r="Q434" i="17"/>
  <c r="Z434" i="17" s="1"/>
  <c r="O434" i="17"/>
  <c r="P434" i="17" s="1"/>
  <c r="Y433" i="17"/>
  <c r="Q433" i="17"/>
  <c r="Z433" i="17" s="1"/>
  <c r="O433" i="17"/>
  <c r="P433" i="17" s="1"/>
  <c r="Y432" i="17"/>
  <c r="X432" i="17"/>
  <c r="L432" i="17"/>
  <c r="Y431" i="17"/>
  <c r="Q431" i="17"/>
  <c r="Z431" i="17" s="1"/>
  <c r="O431" i="17"/>
  <c r="R431" i="17" s="1"/>
  <c r="T432" i="17"/>
  <c r="T431" i="17"/>
  <c r="T434" i="17"/>
  <c r="T435" i="17"/>
  <c r="T433" i="17"/>
  <c r="K434" i="17" l="1"/>
  <c r="W434" i="17" s="1"/>
  <c r="K431" i="17"/>
  <c r="W431" i="17" s="1"/>
  <c r="P435" i="17"/>
  <c r="S435" i="17" s="1"/>
  <c r="X435" i="17" s="1"/>
  <c r="K435" i="17"/>
  <c r="W435" i="17" s="1"/>
  <c r="R434" i="17"/>
  <c r="S434" i="17"/>
  <c r="X434" i="17" s="1"/>
  <c r="S433" i="17"/>
  <c r="X433" i="17" s="1"/>
  <c r="R433" i="17"/>
  <c r="K433" i="17"/>
  <c r="W433" i="17" s="1"/>
  <c r="Q432" i="17"/>
  <c r="O432" i="17"/>
  <c r="P432" i="17" s="1"/>
  <c r="P431" i="17"/>
  <c r="S431" i="17" s="1"/>
  <c r="X431" i="17" s="1"/>
  <c r="Y430" i="17"/>
  <c r="Q430" i="17"/>
  <c r="K430" i="17" s="1"/>
  <c r="W430" i="17" s="1"/>
  <c r="O430" i="17"/>
  <c r="R430" i="17" s="1"/>
  <c r="Y429" i="17"/>
  <c r="X429" i="17"/>
  <c r="Q429" i="17"/>
  <c r="Z429" i="17" s="1"/>
  <c r="O429" i="17"/>
  <c r="P429" i="17" s="1"/>
  <c r="Y428" i="17"/>
  <c r="Q428" i="17"/>
  <c r="O428" i="17"/>
  <c r="R428" i="17" s="1"/>
  <c r="T430" i="17"/>
  <c r="T428" i="17"/>
  <c r="T429" i="17"/>
  <c r="K429" i="17" l="1"/>
  <c r="W429" i="17" s="1"/>
  <c r="Z428" i="17"/>
  <c r="O25" i="7"/>
  <c r="N25" i="7"/>
  <c r="P428" i="17"/>
  <c r="S428" i="17" s="1"/>
  <c r="X428" i="17" s="1"/>
  <c r="M25" i="7" s="1"/>
  <c r="Z430" i="17"/>
  <c r="K432" i="17"/>
  <c r="W432" i="17" s="1"/>
  <c r="Z432" i="17"/>
  <c r="R432" i="17"/>
  <c r="P430" i="17"/>
  <c r="S430" i="17" s="1"/>
  <c r="X430" i="17" s="1"/>
  <c r="R429" i="17"/>
  <c r="W428" i="17"/>
  <c r="L409" i="17"/>
  <c r="Y427" i="17" l="1"/>
  <c r="Q427" i="17"/>
  <c r="Z427" i="17" s="1"/>
  <c r="O427" i="17"/>
  <c r="R427" i="17" s="1"/>
  <c r="Y426" i="17"/>
  <c r="Q426" i="17"/>
  <c r="Z426" i="17" s="1"/>
  <c r="O426" i="17"/>
  <c r="R426" i="17" s="1"/>
  <c r="Y425" i="17"/>
  <c r="Q425" i="17"/>
  <c r="Z425" i="17" s="1"/>
  <c r="O425" i="17"/>
  <c r="P425" i="17" s="1"/>
  <c r="Y424" i="17"/>
  <c r="Q424" i="17"/>
  <c r="O424" i="17"/>
  <c r="R424" i="17" s="1"/>
  <c r="Y423" i="17"/>
  <c r="Q423" i="17"/>
  <c r="Z423" i="17" s="1"/>
  <c r="O423" i="17"/>
  <c r="R423" i="17" s="1"/>
  <c r="L420" i="17"/>
  <c r="Q420" i="17" s="1"/>
  <c r="Z420" i="17" s="1"/>
  <c r="Y422" i="17"/>
  <c r="Q422" i="17"/>
  <c r="Z422" i="17" s="1"/>
  <c r="O422" i="17"/>
  <c r="R422" i="17" s="1"/>
  <c r="Y421" i="17"/>
  <c r="Q421" i="17"/>
  <c r="Z421" i="17" s="1"/>
  <c r="O421" i="17"/>
  <c r="P421" i="17" s="1"/>
  <c r="Y420" i="17"/>
  <c r="Y419" i="17"/>
  <c r="Q419" i="17"/>
  <c r="Z419" i="17" s="1"/>
  <c r="O419" i="17"/>
  <c r="P419" i="17" s="1"/>
  <c r="Y418" i="17"/>
  <c r="Q418" i="17"/>
  <c r="Z418" i="17" s="1"/>
  <c r="O418" i="17"/>
  <c r="P418" i="17" s="1"/>
  <c r="Y417" i="17"/>
  <c r="Q417" i="17"/>
  <c r="Z417" i="17" s="1"/>
  <c r="O417" i="17"/>
  <c r="R417" i="17" s="1"/>
  <c r="Y416" i="17"/>
  <c r="X416" i="17"/>
  <c r="L416" i="17"/>
  <c r="Y415" i="17"/>
  <c r="Q415" i="17"/>
  <c r="Z415" i="17" s="1"/>
  <c r="O415" i="17"/>
  <c r="P415" i="17" s="1"/>
  <c r="Y414" i="17"/>
  <c r="Q414" i="17"/>
  <c r="Z414" i="17" s="1"/>
  <c r="O414" i="17"/>
  <c r="P414" i="17" s="1"/>
  <c r="Y413" i="17"/>
  <c r="Q413" i="17"/>
  <c r="Z413" i="17" s="1"/>
  <c r="O413" i="17"/>
  <c r="R413" i="17" s="1"/>
  <c r="Y412" i="17"/>
  <c r="Q412" i="17"/>
  <c r="Z412" i="17" s="1"/>
  <c r="O412" i="17"/>
  <c r="R412" i="17" s="1"/>
  <c r="Y411" i="17"/>
  <c r="Q411" i="17"/>
  <c r="O411" i="17"/>
  <c r="R411" i="17" s="1"/>
  <c r="Y410" i="17"/>
  <c r="Q410" i="17"/>
  <c r="Z410" i="17" s="1"/>
  <c r="O410" i="17"/>
  <c r="P410" i="17" s="1"/>
  <c r="Y409" i="17"/>
  <c r="Q409" i="17"/>
  <c r="O409" i="17"/>
  <c r="R409" i="17" s="1"/>
  <c r="Y408" i="17"/>
  <c r="X408" i="17"/>
  <c r="O408" i="17"/>
  <c r="P408" i="17" s="1"/>
  <c r="Y407" i="17"/>
  <c r="Q407" i="17"/>
  <c r="Z407" i="17" s="1"/>
  <c r="O407" i="17"/>
  <c r="R407" i="17" s="1"/>
  <c r="Y406" i="17"/>
  <c r="Q406" i="17"/>
  <c r="Z406" i="17" s="1"/>
  <c r="O406" i="17"/>
  <c r="R406" i="17" s="1"/>
  <c r="Y405" i="17"/>
  <c r="Q405" i="17"/>
  <c r="Z405" i="17" s="1"/>
  <c r="O405" i="17"/>
  <c r="P405" i="17" s="1"/>
  <c r="Y404" i="17"/>
  <c r="Q404" i="17"/>
  <c r="O403" i="17"/>
  <c r="R403" i="17" s="1"/>
  <c r="Y403" i="17"/>
  <c r="T403" i="17"/>
  <c r="T413" i="17"/>
  <c r="T415" i="17"/>
  <c r="T411" i="17"/>
  <c r="T422" i="17"/>
  <c r="T417" i="17"/>
  <c r="T423" i="17"/>
  <c r="T420" i="17"/>
  <c r="T418" i="17"/>
  <c r="T426" i="17"/>
  <c r="T407" i="17"/>
  <c r="T416" i="17"/>
  <c r="T404" i="17"/>
  <c r="T406" i="17"/>
  <c r="T424" i="17"/>
  <c r="T408" i="17"/>
  <c r="T410" i="17"/>
  <c r="T414" i="17"/>
  <c r="T405" i="17"/>
  <c r="T421" i="17"/>
  <c r="T425" i="17"/>
  <c r="T412" i="17"/>
  <c r="T419" i="17"/>
  <c r="T409" i="17"/>
  <c r="T427" i="17"/>
  <c r="Z409" i="17" l="1"/>
  <c r="Z424" i="17"/>
  <c r="G11" i="25"/>
  <c r="H11" i="25" s="1"/>
  <c r="K411" i="17"/>
  <c r="W411" i="17" s="1"/>
  <c r="F10" i="25"/>
  <c r="K422" i="17"/>
  <c r="W422" i="17" s="1"/>
  <c r="K418" i="17"/>
  <c r="W418" i="17" s="1"/>
  <c r="K415" i="17"/>
  <c r="W415" i="17" s="1"/>
  <c r="K409" i="17"/>
  <c r="W409" i="17" s="1"/>
  <c r="K412" i="17"/>
  <c r="W412" i="17" s="1"/>
  <c r="K427" i="17"/>
  <c r="W427" i="17" s="1"/>
  <c r="K421" i="17"/>
  <c r="W421" i="17" s="1"/>
  <c r="W426" i="17"/>
  <c r="W407" i="17"/>
  <c r="K414" i="17"/>
  <c r="W414" i="17" s="1"/>
  <c r="K425" i="17"/>
  <c r="W425" i="17" s="1"/>
  <c r="P427" i="17"/>
  <c r="S427" i="17" s="1"/>
  <c r="X427" i="17" s="1"/>
  <c r="P426" i="17"/>
  <c r="S426" i="17" s="1"/>
  <c r="X426" i="17" s="1"/>
  <c r="S425" i="17"/>
  <c r="X425" i="17" s="1"/>
  <c r="R425" i="17"/>
  <c r="P424" i="17"/>
  <c r="W424" i="17"/>
  <c r="P423" i="17"/>
  <c r="S423" i="17" s="1"/>
  <c r="X423" i="17" s="1"/>
  <c r="K423" i="17"/>
  <c r="W423" i="17" s="1"/>
  <c r="O420" i="17"/>
  <c r="R420" i="17" s="1"/>
  <c r="P422" i="17"/>
  <c r="S422" i="17" s="1"/>
  <c r="X422" i="17" s="1"/>
  <c r="S421" i="17"/>
  <c r="X421" i="17" s="1"/>
  <c r="R421" i="17"/>
  <c r="K420" i="17"/>
  <c r="W420" i="17" s="1"/>
  <c r="S419" i="17"/>
  <c r="X419" i="17" s="1"/>
  <c r="W419" i="17"/>
  <c r="R419" i="17"/>
  <c r="R418" i="17"/>
  <c r="S418" i="17"/>
  <c r="X418" i="17" s="1"/>
  <c r="K417" i="17"/>
  <c r="W417" i="17" s="1"/>
  <c r="P417" i="17"/>
  <c r="S417" i="17" s="1"/>
  <c r="X417" i="17" s="1"/>
  <c r="O416" i="17"/>
  <c r="P416" i="17" s="1"/>
  <c r="Q416" i="17"/>
  <c r="R415" i="17"/>
  <c r="S415" i="17"/>
  <c r="X415" i="17" s="1"/>
  <c r="R414" i="17"/>
  <c r="S414" i="17"/>
  <c r="X414" i="17" s="1"/>
  <c r="K413" i="17"/>
  <c r="W413" i="17" s="1"/>
  <c r="P413" i="17"/>
  <c r="S413" i="17" s="1"/>
  <c r="X413" i="17" s="1"/>
  <c r="P412" i="17"/>
  <c r="S412" i="17" s="1"/>
  <c r="X412" i="17" s="1"/>
  <c r="Z411" i="17"/>
  <c r="P411" i="17"/>
  <c r="K410" i="17"/>
  <c r="W410" i="17" s="1"/>
  <c r="R410" i="17"/>
  <c r="S410" i="17"/>
  <c r="X410" i="17" s="1"/>
  <c r="P409" i="17"/>
  <c r="S409" i="17" s="1"/>
  <c r="X409" i="17" s="1"/>
  <c r="Q408" i="17"/>
  <c r="R408" i="17"/>
  <c r="P407" i="17"/>
  <c r="S407" i="17" s="1"/>
  <c r="X407" i="17" s="1"/>
  <c r="W406" i="17"/>
  <c r="P406" i="17"/>
  <c r="S406" i="17" s="1"/>
  <c r="X406" i="17" s="1"/>
  <c r="W405" i="17"/>
  <c r="R405" i="17"/>
  <c r="S405" i="17"/>
  <c r="X405" i="17" s="1"/>
  <c r="Z404" i="17"/>
  <c r="W404" i="17"/>
  <c r="O404" i="17"/>
  <c r="P404" i="17" s="1"/>
  <c r="S404" i="17" s="1"/>
  <c r="X404" i="17" s="1"/>
  <c r="Q403" i="17"/>
  <c r="K403" i="17" s="1"/>
  <c r="W403" i="17" s="1"/>
  <c r="P403" i="17"/>
  <c r="J128" i="1"/>
  <c r="K128" i="1" s="1"/>
  <c r="J127" i="1"/>
  <c r="K127" i="1" s="1"/>
  <c r="G10" i="25" l="1"/>
  <c r="H10" i="25" s="1"/>
  <c r="S424" i="17"/>
  <c r="X424" i="17" s="1"/>
  <c r="L25" i="7"/>
  <c r="G25" i="7"/>
  <c r="H25" i="7" s="1"/>
  <c r="S411" i="17"/>
  <c r="X411" i="17" s="1"/>
  <c r="Z403" i="17"/>
  <c r="P420" i="17"/>
  <c r="S420" i="17" s="1"/>
  <c r="X420" i="17" s="1"/>
  <c r="Z416" i="17"/>
  <c r="K416" i="17"/>
  <c r="W416" i="17" s="1"/>
  <c r="R416" i="17"/>
  <c r="Z408" i="17"/>
  <c r="K408" i="17"/>
  <c r="W408" i="17" s="1"/>
  <c r="R404" i="17"/>
  <c r="S403" i="17"/>
  <c r="X403" i="17" s="1"/>
  <c r="C128" i="1"/>
  <c r="N128" i="1" s="1"/>
  <c r="C127" i="1"/>
  <c r="N127" i="1" s="1"/>
  <c r="C126" i="1" l="1"/>
  <c r="N126" i="1" s="1"/>
  <c r="J126" i="1"/>
  <c r="K126" i="1" s="1"/>
  <c r="J132" i="1" l="1"/>
  <c r="K132" i="1" s="1"/>
  <c r="J130" i="1"/>
  <c r="K130" i="1" s="1"/>
  <c r="C132" i="1"/>
  <c r="N132" i="1" s="1"/>
  <c r="C130" i="1"/>
  <c r="N130" i="1" s="1"/>
  <c r="C125" i="1"/>
  <c r="C124" i="1"/>
  <c r="Y402" i="17" l="1"/>
  <c r="Q402" i="17"/>
  <c r="Z402" i="17" s="1"/>
  <c r="O402" i="17"/>
  <c r="P402" i="17" s="1"/>
  <c r="T402" i="17"/>
  <c r="K402" i="17" l="1"/>
  <c r="W402" i="17" s="1"/>
  <c r="S402" i="17"/>
  <c r="X402" i="17" s="1"/>
  <c r="R402" i="17"/>
  <c r="Y395" i="17"/>
  <c r="Q395" i="17"/>
  <c r="Z395" i="17" s="1"/>
  <c r="O395" i="17"/>
  <c r="R395" i="17" s="1"/>
  <c r="Y394" i="17"/>
  <c r="X394" i="17"/>
  <c r="L394" i="17"/>
  <c r="O394" i="17" s="1"/>
  <c r="P394" i="17" s="1"/>
  <c r="Y401" i="17"/>
  <c r="Q401" i="17"/>
  <c r="Z401" i="17" s="1"/>
  <c r="O401" i="17"/>
  <c r="R401" i="17" s="1"/>
  <c r="Y400" i="17"/>
  <c r="Q400" i="17"/>
  <c r="Z400" i="17" s="1"/>
  <c r="O400" i="17"/>
  <c r="R400" i="17" s="1"/>
  <c r="Y399" i="17"/>
  <c r="Q399" i="17"/>
  <c r="Z399" i="17" s="1"/>
  <c r="O399" i="17"/>
  <c r="R399" i="17" s="1"/>
  <c r="Y398" i="17"/>
  <c r="Q398" i="17"/>
  <c r="Z398" i="17" s="1"/>
  <c r="O398" i="17"/>
  <c r="P398" i="17" s="1"/>
  <c r="L397" i="17"/>
  <c r="O397" i="17" s="1"/>
  <c r="P397" i="17" s="1"/>
  <c r="Y397" i="17"/>
  <c r="X397" i="17"/>
  <c r="Y396" i="17"/>
  <c r="Q396" i="17"/>
  <c r="Z396" i="17" s="1"/>
  <c r="O396" i="17"/>
  <c r="P396" i="17" s="1"/>
  <c r="Y393" i="17"/>
  <c r="Q393" i="17"/>
  <c r="Z393" i="17" s="1"/>
  <c r="O393" i="17"/>
  <c r="R393" i="17" s="1"/>
  <c r="Y392" i="17"/>
  <c r="Q392" i="17"/>
  <c r="O392" i="17"/>
  <c r="R392" i="17" s="1"/>
  <c r="Y391" i="17"/>
  <c r="Q391" i="17"/>
  <c r="Z391" i="17" s="1"/>
  <c r="O391" i="17"/>
  <c r="P391" i="17" s="1"/>
  <c r="Y390" i="17"/>
  <c r="Q390" i="17"/>
  <c r="Z390" i="17" s="1"/>
  <c r="O390" i="17"/>
  <c r="R390" i="17" s="1"/>
  <c r="Y389" i="17"/>
  <c r="Q389" i="17"/>
  <c r="Z389" i="17" s="1"/>
  <c r="O389" i="17"/>
  <c r="R389" i="17" s="1"/>
  <c r="Y382" i="17"/>
  <c r="Q382" i="17"/>
  <c r="Z382" i="17" s="1"/>
  <c r="O382" i="17"/>
  <c r="R382" i="17" s="1"/>
  <c r="Y387" i="17"/>
  <c r="Q387" i="17"/>
  <c r="Z387" i="17" s="1"/>
  <c r="O387" i="17"/>
  <c r="R387" i="17" s="1"/>
  <c r="Y386" i="17"/>
  <c r="Q386" i="17"/>
  <c r="Z386" i="17" s="1"/>
  <c r="O386" i="17"/>
  <c r="R386" i="17" s="1"/>
  <c r="Y385" i="17"/>
  <c r="Q385" i="17"/>
  <c r="Z385" i="17" s="1"/>
  <c r="O385" i="17"/>
  <c r="R385" i="17" s="1"/>
  <c r="Y384" i="17"/>
  <c r="X384" i="17"/>
  <c r="L384" i="17"/>
  <c r="Y383" i="17"/>
  <c r="Q383" i="17"/>
  <c r="O383" i="17"/>
  <c r="R383" i="17" s="1"/>
  <c r="Y381" i="17"/>
  <c r="Q381" i="17"/>
  <c r="O381" i="17"/>
  <c r="P381" i="17" s="1"/>
  <c r="Y380" i="17"/>
  <c r="Q380" i="17"/>
  <c r="Z380" i="17" s="1"/>
  <c r="O380" i="17"/>
  <c r="P380" i="17" s="1"/>
  <c r="Y379" i="17"/>
  <c r="Y378" i="17"/>
  <c r="Q378" i="17"/>
  <c r="W378" i="17" s="1"/>
  <c r="O378" i="17"/>
  <c r="R378" i="17" s="1"/>
  <c r="Y377" i="17"/>
  <c r="Q377" i="17"/>
  <c r="Z377" i="17" s="1"/>
  <c r="O377" i="17"/>
  <c r="R377" i="17" s="1"/>
  <c r="Y376" i="17"/>
  <c r="X376" i="17"/>
  <c r="L376" i="17"/>
  <c r="Y375" i="17"/>
  <c r="Q375" i="17"/>
  <c r="Z375" i="17" s="1"/>
  <c r="O375" i="17"/>
  <c r="P375" i="17" s="1"/>
  <c r="T375" i="17"/>
  <c r="T390" i="17"/>
  <c r="T394" i="17"/>
  <c r="T392" i="17"/>
  <c r="T401" i="17"/>
  <c r="T396" i="17"/>
  <c r="T395" i="17"/>
  <c r="T397" i="17"/>
  <c r="T399" i="17"/>
  <c r="T384" i="17"/>
  <c r="T381" i="17"/>
  <c r="T376" i="17"/>
  <c r="T393" i="17"/>
  <c r="T380" i="17"/>
  <c r="T391" i="17"/>
  <c r="T382" i="17"/>
  <c r="T400" i="17"/>
  <c r="T387" i="17"/>
  <c r="T386" i="17"/>
  <c r="T379" i="17"/>
  <c r="T398" i="17"/>
  <c r="T377" i="17"/>
  <c r="T385" i="17"/>
  <c r="T389" i="17"/>
  <c r="T378" i="17"/>
  <c r="T383" i="17"/>
  <c r="F8" i="25" l="1"/>
  <c r="Z392" i="17"/>
  <c r="K383" i="17"/>
  <c r="W383" i="17" s="1"/>
  <c r="O24" i="7"/>
  <c r="N24" i="7"/>
  <c r="Z381" i="17"/>
  <c r="K24" i="7"/>
  <c r="I24" i="7"/>
  <c r="J24" i="7"/>
  <c r="Z383" i="17"/>
  <c r="K396" i="17"/>
  <c r="W396" i="17" s="1"/>
  <c r="K380" i="17"/>
  <c r="W380" i="17" s="1"/>
  <c r="S381" i="17"/>
  <c r="X381" i="17" s="1"/>
  <c r="K399" i="17"/>
  <c r="W399" i="17" s="1"/>
  <c r="R394" i="17"/>
  <c r="K395" i="17"/>
  <c r="W395" i="17" s="1"/>
  <c r="K400" i="17"/>
  <c r="W400" i="17" s="1"/>
  <c r="K393" i="17"/>
  <c r="W393" i="17" s="1"/>
  <c r="P395" i="17"/>
  <c r="S395" i="17" s="1"/>
  <c r="X395" i="17" s="1"/>
  <c r="Q394" i="17"/>
  <c r="K401" i="17"/>
  <c r="W401" i="17" s="1"/>
  <c r="P401" i="17"/>
  <c r="S401" i="17" s="1"/>
  <c r="X401" i="17" s="1"/>
  <c r="P400" i="17"/>
  <c r="S400" i="17" s="1"/>
  <c r="X400" i="17" s="1"/>
  <c r="P399" i="17"/>
  <c r="S399" i="17" s="1"/>
  <c r="X399" i="17" s="1"/>
  <c r="K398" i="17"/>
  <c r="W398" i="17" s="1"/>
  <c r="R398" i="17"/>
  <c r="S398" i="17"/>
  <c r="X398" i="17" s="1"/>
  <c r="R397" i="17"/>
  <c r="Q397" i="17"/>
  <c r="R396" i="17"/>
  <c r="S396" i="17"/>
  <c r="X396" i="17" s="1"/>
  <c r="P393" i="17"/>
  <c r="S393" i="17" s="1"/>
  <c r="X393" i="17" s="1"/>
  <c r="K387" i="17"/>
  <c r="W387" i="17" s="1"/>
  <c r="K385" i="17"/>
  <c r="W385" i="17" s="1"/>
  <c r="K386" i="17"/>
  <c r="W386" i="17" s="1"/>
  <c r="K390" i="17"/>
  <c r="W390" i="17" s="1"/>
  <c r="K382" i="17"/>
  <c r="W382" i="17" s="1"/>
  <c r="S375" i="17"/>
  <c r="X375" i="17" s="1"/>
  <c r="R375" i="17"/>
  <c r="K389" i="17"/>
  <c r="W389" i="17" s="1"/>
  <c r="W375" i="17"/>
  <c r="P392" i="17"/>
  <c r="S392" i="17" s="1"/>
  <c r="X392" i="17" s="1"/>
  <c r="W392" i="17"/>
  <c r="W391" i="17"/>
  <c r="R391" i="17"/>
  <c r="S391" i="17"/>
  <c r="X391" i="17" s="1"/>
  <c r="P390" i="17"/>
  <c r="S390" i="17" s="1"/>
  <c r="X390" i="17" s="1"/>
  <c r="P389" i="17"/>
  <c r="S389" i="17" s="1"/>
  <c r="X389" i="17" s="1"/>
  <c r="P382" i="17"/>
  <c r="S382" i="17" s="1"/>
  <c r="X382" i="17" s="1"/>
  <c r="K388" i="17"/>
  <c r="P387" i="17"/>
  <c r="S387" i="17" s="1"/>
  <c r="X387" i="17" s="1"/>
  <c r="P386" i="17"/>
  <c r="S386" i="17" s="1"/>
  <c r="X386" i="17" s="1"/>
  <c r="P385" i="17"/>
  <c r="S385" i="17" s="1"/>
  <c r="X385" i="17" s="1"/>
  <c r="O384" i="17"/>
  <c r="P384" i="17" s="1"/>
  <c r="Q384" i="17"/>
  <c r="P383" i="17"/>
  <c r="S383" i="17" s="1"/>
  <c r="X383" i="17" s="1"/>
  <c r="R381" i="17"/>
  <c r="W381" i="17"/>
  <c r="S380" i="17"/>
  <c r="X380" i="17" s="1"/>
  <c r="R380" i="17"/>
  <c r="Q379" i="17"/>
  <c r="O379" i="17"/>
  <c r="P379" i="17" s="1"/>
  <c r="Z378" i="17"/>
  <c r="P378" i="17"/>
  <c r="S378" i="17" s="1"/>
  <c r="X378" i="17" s="1"/>
  <c r="W377" i="17"/>
  <c r="P377" i="17"/>
  <c r="S377" i="17" s="1"/>
  <c r="X377" i="17" s="1"/>
  <c r="O376" i="17"/>
  <c r="P376" i="17" s="1"/>
  <c r="Q376" i="17"/>
  <c r="C23" i="7"/>
  <c r="L373" i="17"/>
  <c r="Q373" i="17" s="1"/>
  <c r="Y373" i="17"/>
  <c r="Y372" i="17"/>
  <c r="Q372" i="17"/>
  <c r="Z372" i="17" s="1"/>
  <c r="O372" i="17"/>
  <c r="R372" i="17" s="1"/>
  <c r="Y371" i="17"/>
  <c r="Q371" i="17"/>
  <c r="Z371" i="17" s="1"/>
  <c r="O371" i="17"/>
  <c r="R371" i="17" s="1"/>
  <c r="T372" i="17"/>
  <c r="E23" i="7"/>
  <c r="T371" i="17"/>
  <c r="T373" i="17"/>
  <c r="M24" i="7" l="1"/>
  <c r="G9" i="25"/>
  <c r="H9" i="25" s="1"/>
  <c r="F24" i="7"/>
  <c r="O373" i="17"/>
  <c r="R373" i="17" s="1"/>
  <c r="K394" i="17"/>
  <c r="W394" i="17" s="1"/>
  <c r="Z394" i="17"/>
  <c r="Z397" i="17"/>
  <c r="K397" i="17"/>
  <c r="W397" i="17" s="1"/>
  <c r="Z373" i="17"/>
  <c r="K373" i="17"/>
  <c r="W373" i="17" s="1"/>
  <c r="Z384" i="17"/>
  <c r="K384" i="17"/>
  <c r="W384" i="17" s="1"/>
  <c r="R384" i="17"/>
  <c r="Z379" i="17"/>
  <c r="S379" i="17"/>
  <c r="X379" i="17" s="1"/>
  <c r="K379" i="17"/>
  <c r="W379" i="17" s="1"/>
  <c r="R379" i="17"/>
  <c r="Z376" i="17"/>
  <c r="K376" i="17"/>
  <c r="W376" i="17" s="1"/>
  <c r="R376" i="17"/>
  <c r="K371" i="17"/>
  <c r="W371" i="17" s="1"/>
  <c r="K372" i="17"/>
  <c r="W372" i="17" s="1"/>
  <c r="D23" i="7"/>
  <c r="P372" i="17"/>
  <c r="S372" i="17" s="1"/>
  <c r="X372" i="17" s="1"/>
  <c r="P371" i="17"/>
  <c r="S371" i="17" s="1"/>
  <c r="X371" i="17" s="1"/>
  <c r="N125" i="1"/>
  <c r="J125" i="1"/>
  <c r="K125" i="1" s="1"/>
  <c r="N124" i="1"/>
  <c r="J124" i="1"/>
  <c r="K124" i="1" s="1"/>
  <c r="C123" i="1"/>
  <c r="P373" i="17" l="1"/>
  <c r="S373" i="17" s="1"/>
  <c r="X373" i="17" s="1"/>
  <c r="H117" i="1"/>
  <c r="J115" i="1"/>
  <c r="K115" i="1" s="1"/>
  <c r="G8" i="27" l="1"/>
  <c r="R117" i="1"/>
  <c r="C122" i="1"/>
  <c r="C121" i="1"/>
  <c r="H122" i="1" l="1"/>
  <c r="R122" i="1" s="1"/>
  <c r="H121" i="1"/>
  <c r="C117" i="1"/>
  <c r="C114" i="1"/>
  <c r="G9" i="27" l="1"/>
  <c r="R121" i="1"/>
  <c r="C115" i="1"/>
  <c r="N115" i="1" s="1"/>
  <c r="C116" i="1"/>
  <c r="N116" i="1" s="1"/>
  <c r="N123" i="1"/>
  <c r="J123" i="1"/>
  <c r="K123" i="1" s="1"/>
  <c r="N117" i="1"/>
  <c r="J117" i="1"/>
  <c r="K117" i="1" s="1"/>
  <c r="N122" i="1"/>
  <c r="J122" i="1"/>
  <c r="K122" i="1" s="1"/>
  <c r="N121" i="1"/>
  <c r="J121" i="1"/>
  <c r="K121" i="1" s="1"/>
  <c r="N114" i="1"/>
  <c r="J114" i="1"/>
  <c r="K114" i="1" s="1"/>
  <c r="J116" i="1"/>
  <c r="K116" i="1" s="1"/>
  <c r="Y374" i="17" l="1"/>
  <c r="L374" i="17"/>
  <c r="Q374" i="17" s="1"/>
  <c r="T374" i="17"/>
  <c r="Z374" i="17" l="1"/>
  <c r="G8" i="25"/>
  <c r="H8" i="25" s="1"/>
  <c r="O374" i="17"/>
  <c r="R374" i="17" s="1"/>
  <c r="W374" i="17"/>
  <c r="Y370" i="17"/>
  <c r="Q370" i="17"/>
  <c r="Z370" i="17" s="1"/>
  <c r="O370" i="17"/>
  <c r="R370" i="17" s="1"/>
  <c r="Y369" i="17"/>
  <c r="Q369" i="17"/>
  <c r="O369" i="17"/>
  <c r="R369" i="17" s="1"/>
  <c r="Y368" i="17"/>
  <c r="Q368" i="17"/>
  <c r="Z368" i="17" s="1"/>
  <c r="O368" i="17"/>
  <c r="R368" i="17" s="1"/>
  <c r="Y367" i="17"/>
  <c r="Q367" i="17"/>
  <c r="Z367" i="17" s="1"/>
  <c r="O367" i="17"/>
  <c r="R367" i="17" s="1"/>
  <c r="Y366" i="17"/>
  <c r="Q366" i="17"/>
  <c r="Z366" i="17" s="1"/>
  <c r="O366" i="17"/>
  <c r="R366" i="17" s="1"/>
  <c r="Y365" i="17"/>
  <c r="X365" i="17"/>
  <c r="L365" i="17"/>
  <c r="Y364" i="17"/>
  <c r="Q364" i="17"/>
  <c r="O364" i="17"/>
  <c r="R364" i="17" s="1"/>
  <c r="Y363" i="17"/>
  <c r="Q363" i="17"/>
  <c r="K363" i="17" s="1"/>
  <c r="W363" i="17" s="1"/>
  <c r="O363" i="17"/>
  <c r="R363" i="17" s="1"/>
  <c r="Y361" i="17"/>
  <c r="Q361" i="17"/>
  <c r="K361" i="17" s="1"/>
  <c r="W361" i="17" s="1"/>
  <c r="O361" i="17"/>
  <c r="R361" i="17" s="1"/>
  <c r="Y362" i="17"/>
  <c r="Q362" i="17"/>
  <c r="Z362" i="17" s="1"/>
  <c r="O362" i="17"/>
  <c r="R362" i="17" s="1"/>
  <c r="Y360" i="17"/>
  <c r="Q360" i="17"/>
  <c r="K360" i="17" s="1"/>
  <c r="W360" i="17" s="1"/>
  <c r="O360" i="17"/>
  <c r="R360" i="17" s="1"/>
  <c r="Y359" i="17"/>
  <c r="Q359" i="17"/>
  <c r="Z359" i="17" s="1"/>
  <c r="O359" i="17"/>
  <c r="R359" i="17" s="1"/>
  <c r="Y358" i="17"/>
  <c r="Q358" i="17"/>
  <c r="K358" i="17" s="1"/>
  <c r="W358" i="17" s="1"/>
  <c r="O358" i="17"/>
  <c r="R358" i="17" s="1"/>
  <c r="Y357" i="17"/>
  <c r="X357" i="17"/>
  <c r="L357" i="17"/>
  <c r="Y356" i="17"/>
  <c r="Q356" i="17"/>
  <c r="K356" i="17" s="1"/>
  <c r="W356" i="17" s="1"/>
  <c r="O356" i="17"/>
  <c r="R356" i="17" s="1"/>
  <c r="Y355" i="17"/>
  <c r="Q355" i="17"/>
  <c r="Z355" i="17" s="1"/>
  <c r="O355" i="17"/>
  <c r="R355" i="17" s="1"/>
  <c r="Y354" i="17"/>
  <c r="L354" i="17"/>
  <c r="O354" i="17" s="1"/>
  <c r="P354" i="17" s="1"/>
  <c r="Y353" i="17"/>
  <c r="X353" i="17"/>
  <c r="L353" i="17"/>
  <c r="Y352" i="17"/>
  <c r="Q352" i="17"/>
  <c r="O352" i="17"/>
  <c r="R352" i="17" s="1"/>
  <c r="Y351" i="17"/>
  <c r="Q351" i="17"/>
  <c r="O351" i="17"/>
  <c r="R351" i="17" s="1"/>
  <c r="N61" i="1"/>
  <c r="N60" i="1"/>
  <c r="T369" i="17"/>
  <c r="T356" i="17"/>
  <c r="T355" i="17"/>
  <c r="T366" i="17"/>
  <c r="T370" i="17"/>
  <c r="T367" i="17"/>
  <c r="T353" i="17"/>
  <c r="T364" i="17"/>
  <c r="T363" i="17"/>
  <c r="T359" i="17"/>
  <c r="T351" i="17"/>
  <c r="T361" i="17"/>
  <c r="T358" i="17"/>
  <c r="T360" i="17"/>
  <c r="T362" i="17"/>
  <c r="T357" i="17"/>
  <c r="T365" i="17"/>
  <c r="T352" i="17"/>
  <c r="T354" i="17"/>
  <c r="T368" i="17"/>
  <c r="Z364" i="17" l="1"/>
  <c r="Z369" i="17"/>
  <c r="F7" i="25"/>
  <c r="Z352" i="17"/>
  <c r="F6" i="25"/>
  <c r="W351" i="17"/>
  <c r="K370" i="17"/>
  <c r="W370" i="17" s="1"/>
  <c r="P363" i="17"/>
  <c r="S363" i="17" s="1"/>
  <c r="X363" i="17" s="1"/>
  <c r="K367" i="17"/>
  <c r="W367" i="17" s="1"/>
  <c r="P374" i="17"/>
  <c r="K355" i="17"/>
  <c r="W355" i="17" s="1"/>
  <c r="Z361" i="17"/>
  <c r="P362" i="17"/>
  <c r="S362" i="17" s="1"/>
  <c r="X362" i="17" s="1"/>
  <c r="R354" i="17"/>
  <c r="K369" i="17"/>
  <c r="W369" i="17" s="1"/>
  <c r="Z360" i="17"/>
  <c r="K366" i="17"/>
  <c r="W366" i="17" s="1"/>
  <c r="K362" i="17"/>
  <c r="W362" i="17" s="1"/>
  <c r="Z363" i="17"/>
  <c r="O365" i="17"/>
  <c r="P365" i="17" s="1"/>
  <c r="P355" i="17"/>
  <c r="S355" i="17" s="1"/>
  <c r="X355" i="17" s="1"/>
  <c r="Q365" i="17"/>
  <c r="G7" i="25" s="1"/>
  <c r="K359" i="17"/>
  <c r="W359" i="17" s="1"/>
  <c r="P370" i="17"/>
  <c r="S370" i="17" s="1"/>
  <c r="X370" i="17" s="1"/>
  <c r="P369" i="17"/>
  <c r="S369" i="17" s="1"/>
  <c r="X369" i="17" s="1"/>
  <c r="K368" i="17"/>
  <c r="W368" i="17" s="1"/>
  <c r="P368" i="17"/>
  <c r="S368" i="17" s="1"/>
  <c r="X368" i="17" s="1"/>
  <c r="P367" i="17"/>
  <c r="S367" i="17" s="1"/>
  <c r="X367" i="17" s="1"/>
  <c r="P366" i="17"/>
  <c r="S366" i="17" s="1"/>
  <c r="X366" i="17" s="1"/>
  <c r="P364" i="17"/>
  <c r="S364" i="17" s="1"/>
  <c r="X364" i="17" s="1"/>
  <c r="W364" i="17"/>
  <c r="P361" i="17"/>
  <c r="S361" i="17" s="1"/>
  <c r="X361" i="17" s="1"/>
  <c r="P360" i="17"/>
  <c r="S360" i="17" s="1"/>
  <c r="X360" i="17" s="1"/>
  <c r="P359" i="17"/>
  <c r="S359" i="17" s="1"/>
  <c r="X359" i="17" s="1"/>
  <c r="P358" i="17"/>
  <c r="S358" i="17" s="1"/>
  <c r="X358" i="17" s="1"/>
  <c r="Z358" i="17"/>
  <c r="O357" i="17"/>
  <c r="P357" i="17" s="1"/>
  <c r="Q357" i="17"/>
  <c r="P356" i="17"/>
  <c r="S356" i="17" s="1"/>
  <c r="X356" i="17" s="1"/>
  <c r="Z356" i="17"/>
  <c r="Q354" i="17"/>
  <c r="Z351" i="17"/>
  <c r="O353" i="17"/>
  <c r="P353" i="17" s="1"/>
  <c r="Q353" i="17"/>
  <c r="P352" i="17"/>
  <c r="S352" i="17" s="1"/>
  <c r="X352" i="17" s="1"/>
  <c r="W352" i="17"/>
  <c r="P351" i="17"/>
  <c r="S351" i="17" s="1"/>
  <c r="X351" i="17" s="1"/>
  <c r="J119" i="1"/>
  <c r="K119" i="1" s="1"/>
  <c r="J118" i="1"/>
  <c r="K118" i="1" s="1"/>
  <c r="J120" i="1"/>
  <c r="K120" i="1" s="1"/>
  <c r="C119" i="1"/>
  <c r="N119" i="1" s="1"/>
  <c r="C118" i="1"/>
  <c r="N118" i="1" s="1"/>
  <c r="C120" i="1"/>
  <c r="N120" i="1" s="1"/>
  <c r="G6" i="25" l="1"/>
  <c r="H6" i="25" s="1"/>
  <c r="H7" i="25"/>
  <c r="S374" i="17"/>
  <c r="X374" i="17" s="1"/>
  <c r="L24" i="7"/>
  <c r="G24" i="7"/>
  <c r="H24" i="7" s="1"/>
  <c r="K365" i="17"/>
  <c r="W365" i="17" s="1"/>
  <c r="Z365" i="17"/>
  <c r="R365" i="17"/>
  <c r="R357" i="17"/>
  <c r="Z357" i="17"/>
  <c r="K357" i="17"/>
  <c r="W357" i="17" s="1"/>
  <c r="Z354" i="17"/>
  <c r="S354" i="17"/>
  <c r="X354" i="17" s="1"/>
  <c r="K354" i="17"/>
  <c r="W354" i="17" s="1"/>
  <c r="Z353" i="17"/>
  <c r="K353" i="17"/>
  <c r="W353" i="17" s="1"/>
  <c r="R353" i="17"/>
  <c r="P5" i="24"/>
  <c r="P4" i="24"/>
  <c r="M5" i="24"/>
  <c r="M4" i="24"/>
  <c r="M3" i="24"/>
  <c r="P3" i="24"/>
  <c r="T4" i="24"/>
  <c r="J8" i="24"/>
  <c r="P8" i="24" s="1"/>
  <c r="P7" i="24"/>
  <c r="J6" i="24"/>
  <c r="P6" i="24" s="1"/>
  <c r="J5" i="24"/>
  <c r="J4" i="24"/>
  <c r="J3" i="24"/>
  <c r="T3" i="24" s="1"/>
  <c r="F6" i="24"/>
  <c r="F5" i="24"/>
  <c r="F4" i="24"/>
  <c r="F3" i="24"/>
  <c r="H3" i="24" s="1"/>
  <c r="E8" i="24"/>
  <c r="E7" i="24"/>
  <c r="E6" i="24"/>
  <c r="E5" i="24"/>
  <c r="M8" i="24" l="1"/>
  <c r="M7" i="24"/>
  <c r="M6" i="24"/>
  <c r="I4" i="24"/>
  <c r="T5" i="24"/>
  <c r="I5" i="24" s="1"/>
  <c r="T6" i="24"/>
  <c r="T7" i="24"/>
  <c r="T8" i="24"/>
  <c r="I3" i="24"/>
  <c r="H4" i="24"/>
  <c r="H5" i="24" s="1"/>
  <c r="H6" i="24" s="1"/>
  <c r="I6" i="24" l="1"/>
  <c r="I8" i="24"/>
  <c r="I7" i="24"/>
  <c r="C108" i="1"/>
  <c r="N108" i="1" s="1"/>
  <c r="C111" i="1"/>
  <c r="N111" i="1" s="1"/>
  <c r="C112" i="1"/>
  <c r="N112" i="1" s="1"/>
  <c r="C110" i="1"/>
  <c r="N110" i="1" s="1"/>
  <c r="C22" i="7" l="1"/>
  <c r="D22" i="7" s="1"/>
  <c r="J111" i="1" l="1"/>
  <c r="K111" i="1" s="1"/>
  <c r="J112" i="1"/>
  <c r="K112" i="1" s="1"/>
  <c r="J110" i="1"/>
  <c r="K110" i="1" s="1"/>
  <c r="J108" i="1"/>
  <c r="K108" i="1" s="1"/>
  <c r="E22" i="7"/>
  <c r="Y350" i="17" l="1"/>
  <c r="Q350" i="17"/>
  <c r="Z350" i="17" s="1"/>
  <c r="O350" i="17"/>
  <c r="R350" i="17" s="1"/>
  <c r="Y349" i="17"/>
  <c r="Q349" i="17"/>
  <c r="K349" i="17" s="1"/>
  <c r="W349" i="17" s="1"/>
  <c r="O349" i="17"/>
  <c r="R349" i="17" s="1"/>
  <c r="Y348" i="17"/>
  <c r="Q348" i="17"/>
  <c r="K348" i="17" s="1"/>
  <c r="W348" i="17" s="1"/>
  <c r="O348" i="17"/>
  <c r="R348" i="17" s="1"/>
  <c r="Y347" i="17"/>
  <c r="Q347" i="17"/>
  <c r="K347" i="17" s="1"/>
  <c r="W347" i="17" s="1"/>
  <c r="O347" i="17"/>
  <c r="R347" i="17" s="1"/>
  <c r="Y346" i="17"/>
  <c r="X346" i="17"/>
  <c r="L346" i="17"/>
  <c r="O346" i="17" s="1"/>
  <c r="P346" i="17" s="1"/>
  <c r="Y345" i="17"/>
  <c r="L345" i="17"/>
  <c r="O345" i="17" s="1"/>
  <c r="Y344" i="17"/>
  <c r="Q344" i="17"/>
  <c r="Z344" i="17" s="1"/>
  <c r="O344" i="17"/>
  <c r="R344" i="17" s="1"/>
  <c r="Y343" i="17"/>
  <c r="Q343" i="17"/>
  <c r="W343" i="17" s="1"/>
  <c r="O343" i="17"/>
  <c r="R343" i="17" s="1"/>
  <c r="Y342" i="17"/>
  <c r="Q342" i="17"/>
  <c r="K342" i="17" s="1"/>
  <c r="W342" i="17" s="1"/>
  <c r="O342" i="17"/>
  <c r="R342" i="17" s="1"/>
  <c r="O341" i="17"/>
  <c r="R341" i="17" s="1"/>
  <c r="Y341" i="17"/>
  <c r="Q341" i="17"/>
  <c r="T350" i="17"/>
  <c r="T345" i="17"/>
  <c r="T346" i="17"/>
  <c r="T347" i="17"/>
  <c r="T344" i="17"/>
  <c r="T349" i="17"/>
  <c r="T348" i="17"/>
  <c r="T341" i="17"/>
  <c r="T342" i="17"/>
  <c r="T343" i="17"/>
  <c r="Z341" i="17" l="1"/>
  <c r="N23" i="7"/>
  <c r="O23" i="7"/>
  <c r="Q345" i="17"/>
  <c r="Z345" i="17" s="1"/>
  <c r="Z343" i="17"/>
  <c r="Z348" i="17"/>
  <c r="Z349" i="17"/>
  <c r="Z347" i="17"/>
  <c r="Z342" i="17"/>
  <c r="P350" i="17"/>
  <c r="S350" i="17" s="1"/>
  <c r="X350" i="17" s="1"/>
  <c r="K350" i="17"/>
  <c r="W350" i="17" s="1"/>
  <c r="P349" i="17"/>
  <c r="S349" i="17" s="1"/>
  <c r="X349" i="17" s="1"/>
  <c r="P348" i="17"/>
  <c r="S348" i="17" s="1"/>
  <c r="X348" i="17" s="1"/>
  <c r="P347" i="17"/>
  <c r="S347" i="17" s="1"/>
  <c r="X347" i="17" s="1"/>
  <c r="Q346" i="17"/>
  <c r="R346" i="17"/>
  <c r="P345" i="17"/>
  <c r="R345" i="17"/>
  <c r="K344" i="17"/>
  <c r="W344" i="17" s="1"/>
  <c r="P344" i="17"/>
  <c r="S344" i="17" s="1"/>
  <c r="X344" i="17" s="1"/>
  <c r="P343" i="17"/>
  <c r="S343" i="17" s="1"/>
  <c r="X343" i="17" s="1"/>
  <c r="P342" i="17"/>
  <c r="S342" i="17" s="1"/>
  <c r="X342" i="17" s="1"/>
  <c r="P341" i="17"/>
  <c r="S341" i="17" s="1"/>
  <c r="X341" i="17" s="1"/>
  <c r="Y340" i="17"/>
  <c r="X340" i="17"/>
  <c r="L340" i="17"/>
  <c r="O340" i="17" s="1"/>
  <c r="P340" i="17" s="1"/>
  <c r="Y339" i="17"/>
  <c r="Q339" i="17"/>
  <c r="O339" i="17"/>
  <c r="R339" i="17" s="1"/>
  <c r="Y338" i="17"/>
  <c r="Q338" i="17"/>
  <c r="Z338" i="17" s="1"/>
  <c r="O338" i="17"/>
  <c r="P338" i="17" s="1"/>
  <c r="Y337" i="17"/>
  <c r="Q337" i="17"/>
  <c r="F5" i="25" s="1"/>
  <c r="O337" i="17"/>
  <c r="R337" i="17" s="1"/>
  <c r="Y336" i="17"/>
  <c r="Q336" i="17"/>
  <c r="K336" i="17" s="1"/>
  <c r="W336" i="17" s="1"/>
  <c r="O336" i="17"/>
  <c r="R336" i="17" s="1"/>
  <c r="Y335" i="17"/>
  <c r="Q335" i="17"/>
  <c r="K335" i="17" s="1"/>
  <c r="W335" i="17" s="1"/>
  <c r="O335" i="17"/>
  <c r="R335" i="17" s="1"/>
  <c r="Y334" i="17"/>
  <c r="Q334" i="17"/>
  <c r="Z334" i="17" s="1"/>
  <c r="O334" i="17"/>
  <c r="P334" i="17" s="1"/>
  <c r="Y333" i="17"/>
  <c r="Q333" i="17"/>
  <c r="Z333" i="17" s="1"/>
  <c r="O333" i="17"/>
  <c r="P333" i="17" s="1"/>
  <c r="Y332" i="17"/>
  <c r="Q332" i="17"/>
  <c r="Z332" i="17" s="1"/>
  <c r="O332" i="17"/>
  <c r="P332" i="17" s="1"/>
  <c r="Y331" i="17"/>
  <c r="Q331" i="17"/>
  <c r="Z331" i="17" s="1"/>
  <c r="O331" i="17"/>
  <c r="P331" i="17" s="1"/>
  <c r="Y330" i="17"/>
  <c r="Q330" i="17"/>
  <c r="Z330" i="17" s="1"/>
  <c r="O330" i="17"/>
  <c r="P330" i="17" s="1"/>
  <c r="Y329" i="17"/>
  <c r="Q329" i="17"/>
  <c r="Z329" i="17" s="1"/>
  <c r="O329" i="17"/>
  <c r="R329" i="17" s="1"/>
  <c r="Y328" i="17"/>
  <c r="Q328" i="17"/>
  <c r="Z328" i="17" s="1"/>
  <c r="O328" i="17"/>
  <c r="P328" i="17" s="1"/>
  <c r="Y327" i="17"/>
  <c r="Q327" i="17"/>
  <c r="K327" i="17" s="1"/>
  <c r="W327" i="17" s="1"/>
  <c r="O327" i="17"/>
  <c r="R327" i="17" s="1"/>
  <c r="Y326" i="17"/>
  <c r="Q326" i="17"/>
  <c r="Z326" i="17" s="1"/>
  <c r="O326" i="17"/>
  <c r="P326" i="17" s="1"/>
  <c r="Y325" i="17"/>
  <c r="Q325" i="17"/>
  <c r="K325" i="17" s="1"/>
  <c r="W325" i="17" s="1"/>
  <c r="O325" i="17"/>
  <c r="P325" i="17" s="1"/>
  <c r="O324" i="17"/>
  <c r="P324" i="17" s="1"/>
  <c r="Q324" i="17"/>
  <c r="K324" i="17" s="1"/>
  <c r="W324" i="17" s="1"/>
  <c r="Y324" i="17"/>
  <c r="Y323" i="17"/>
  <c r="Q323" i="17"/>
  <c r="Z323" i="17" s="1"/>
  <c r="O323" i="17"/>
  <c r="P323" i="17" s="1"/>
  <c r="Y322" i="17"/>
  <c r="Q322" i="17"/>
  <c r="O322" i="17"/>
  <c r="R322" i="17" s="1"/>
  <c r="Y321" i="17"/>
  <c r="X321" i="17"/>
  <c r="L321" i="17"/>
  <c r="O321" i="17" s="1"/>
  <c r="P321" i="17" s="1"/>
  <c r="Y320" i="17"/>
  <c r="Q320" i="17"/>
  <c r="K320" i="17" s="1"/>
  <c r="W320" i="17" s="1"/>
  <c r="O320" i="17"/>
  <c r="R320" i="17" s="1"/>
  <c r="Y319" i="17"/>
  <c r="Q319" i="17"/>
  <c r="Z319" i="17" s="1"/>
  <c r="O319" i="17"/>
  <c r="P319" i="17" s="1"/>
  <c r="Y318" i="17"/>
  <c r="Q318" i="17"/>
  <c r="Z318" i="17" s="1"/>
  <c r="O318" i="17"/>
  <c r="R318" i="17" s="1"/>
  <c r="Y317" i="17"/>
  <c r="L317" i="17"/>
  <c r="Q317" i="17" s="1"/>
  <c r="Z317" i="17" s="1"/>
  <c r="Y316" i="17"/>
  <c r="Q316" i="17"/>
  <c r="Z316" i="17" s="1"/>
  <c r="O316" i="17"/>
  <c r="P316" i="17" s="1"/>
  <c r="Y315" i="17"/>
  <c r="L315" i="17"/>
  <c r="O315" i="17" s="1"/>
  <c r="P315" i="17" s="1"/>
  <c r="Y314" i="17"/>
  <c r="Q314" i="17"/>
  <c r="K314" i="17" s="1"/>
  <c r="W314" i="17" s="1"/>
  <c r="O314" i="17"/>
  <c r="R314" i="17" s="1"/>
  <c r="Y313" i="17"/>
  <c r="Q313" i="17"/>
  <c r="K313" i="17" s="1"/>
  <c r="W313" i="17" s="1"/>
  <c r="O313" i="17"/>
  <c r="R313" i="17" s="1"/>
  <c r="Y312" i="17"/>
  <c r="X312" i="17"/>
  <c r="L312" i="17"/>
  <c r="O312" i="17" s="1"/>
  <c r="R312" i="17" s="1"/>
  <c r="Y311" i="17"/>
  <c r="Q311" i="17"/>
  <c r="Z311" i="17" s="1"/>
  <c r="O311" i="17"/>
  <c r="P311" i="17" s="1"/>
  <c r="Y310" i="17"/>
  <c r="Q310" i="17"/>
  <c r="K310" i="17" s="1"/>
  <c r="W310" i="17" s="1"/>
  <c r="O310" i="17"/>
  <c r="R310" i="17" s="1"/>
  <c r="Y309" i="17"/>
  <c r="Q309" i="17"/>
  <c r="Z309" i="17" s="1"/>
  <c r="O309" i="17"/>
  <c r="P309" i="17" s="1"/>
  <c r="Y308" i="17"/>
  <c r="Q308" i="17"/>
  <c r="Z308" i="17" s="1"/>
  <c r="O308" i="17"/>
  <c r="R308" i="17" s="1"/>
  <c r="Y307" i="17"/>
  <c r="Q307" i="17"/>
  <c r="Z307" i="17" s="1"/>
  <c r="O307" i="17"/>
  <c r="P307" i="17" s="1"/>
  <c r="Y306" i="17"/>
  <c r="Q306" i="17"/>
  <c r="Z306" i="17" s="1"/>
  <c r="O306" i="17"/>
  <c r="R306" i="17" s="1"/>
  <c r="Y305" i="17"/>
  <c r="Q305" i="17"/>
  <c r="Z305" i="17" s="1"/>
  <c r="O305" i="17"/>
  <c r="R305" i="17" s="1"/>
  <c r="Y302" i="17"/>
  <c r="Q302" i="17"/>
  <c r="K302" i="17" s="1"/>
  <c r="W302" i="17" s="1"/>
  <c r="O302" i="17"/>
  <c r="R302" i="17" s="1"/>
  <c r="Y301" i="17"/>
  <c r="Q301" i="17"/>
  <c r="K301" i="17" s="1"/>
  <c r="W301" i="17" s="1"/>
  <c r="O301" i="17"/>
  <c r="R301" i="17" s="1"/>
  <c r="Y304" i="17"/>
  <c r="Q304" i="17"/>
  <c r="K304" i="17" s="1"/>
  <c r="W304" i="17" s="1"/>
  <c r="O304" i="17"/>
  <c r="R304" i="17" s="1"/>
  <c r="Y303" i="17"/>
  <c r="Q303" i="17"/>
  <c r="O303" i="17"/>
  <c r="P303" i="17" s="1"/>
  <c r="T313" i="17"/>
  <c r="T328" i="17"/>
  <c r="T335" i="17"/>
  <c r="T338" i="17"/>
  <c r="T318" i="17"/>
  <c r="T327" i="17"/>
  <c r="T310" i="17"/>
  <c r="T323" i="17"/>
  <c r="T301" i="17"/>
  <c r="T333" i="17"/>
  <c r="T319" i="17"/>
  <c r="T326" i="17"/>
  <c r="T322" i="17"/>
  <c r="T303" i="17"/>
  <c r="T320" i="17"/>
  <c r="T331" i="17"/>
  <c r="T302" i="17"/>
  <c r="T325" i="17"/>
  <c r="T307" i="17"/>
  <c r="T332" i="17"/>
  <c r="T337" i="17"/>
  <c r="T336" i="17"/>
  <c r="T321" i="17"/>
  <c r="T339" i="17"/>
  <c r="T315" i="17"/>
  <c r="T316" i="17"/>
  <c r="T311" i="17"/>
  <c r="T305" i="17"/>
  <c r="T309" i="17"/>
  <c r="T314" i="17"/>
  <c r="T312" i="17"/>
  <c r="T334" i="17"/>
  <c r="T308" i="17"/>
  <c r="T329" i="17"/>
  <c r="T304" i="17"/>
  <c r="T340" i="17"/>
  <c r="T324" i="17"/>
  <c r="T317" i="17"/>
  <c r="T330" i="17"/>
  <c r="T306" i="17"/>
  <c r="L107" i="1"/>
  <c r="M23" i="7" l="1"/>
  <c r="Z303" i="17"/>
  <c r="Z322" i="17"/>
  <c r="F4" i="25"/>
  <c r="W339" i="17"/>
  <c r="Q340" i="17"/>
  <c r="Z340" i="17" s="1"/>
  <c r="K345" i="17"/>
  <c r="W345" i="17" s="1"/>
  <c r="S345" i="17"/>
  <c r="X345" i="17" s="1"/>
  <c r="Z320" i="17"/>
  <c r="O317" i="17"/>
  <c r="P317" i="17" s="1"/>
  <c r="S317" i="17" s="1"/>
  <c r="X317" i="17" s="1"/>
  <c r="K337" i="17"/>
  <c r="W337" i="17" s="1"/>
  <c r="K23" i="7"/>
  <c r="J23" i="7"/>
  <c r="I23" i="7"/>
  <c r="R309" i="17"/>
  <c r="R334" i="17"/>
  <c r="Z337" i="17"/>
  <c r="P335" i="17"/>
  <c r="S335" i="17" s="1"/>
  <c r="X335" i="17" s="1"/>
  <c r="R340" i="17"/>
  <c r="S325" i="17"/>
  <c r="X325" i="17" s="1"/>
  <c r="S331" i="17"/>
  <c r="X331" i="17" s="1"/>
  <c r="Z327" i="17"/>
  <c r="R331" i="17"/>
  <c r="K326" i="17"/>
  <c r="W326" i="17" s="1"/>
  <c r="Z313" i="17"/>
  <c r="P308" i="17"/>
  <c r="S308" i="17" s="1"/>
  <c r="X308" i="17" s="1"/>
  <c r="Z339" i="17"/>
  <c r="Z302" i="17"/>
  <c r="Z324" i="17"/>
  <c r="Q312" i="17"/>
  <c r="R307" i="17"/>
  <c r="R323" i="17"/>
  <c r="R333" i="17"/>
  <c r="Z335" i="17"/>
  <c r="Z310" i="17"/>
  <c r="P339" i="17"/>
  <c r="Z301" i="17"/>
  <c r="R317" i="17"/>
  <c r="Z336" i="17"/>
  <c r="Z304" i="17"/>
  <c r="Z314" i="17"/>
  <c r="Z346" i="17"/>
  <c r="K346" i="17"/>
  <c r="W346" i="17" s="1"/>
  <c r="K341" i="17"/>
  <c r="W341" i="17" s="1"/>
  <c r="R338" i="17"/>
  <c r="S338" i="17"/>
  <c r="X338" i="17" s="1"/>
  <c r="K338" i="17"/>
  <c r="W338" i="17" s="1"/>
  <c r="P337" i="17"/>
  <c r="P336" i="17"/>
  <c r="S336" i="17" s="1"/>
  <c r="X336" i="17" s="1"/>
  <c r="S334" i="17"/>
  <c r="X334" i="17" s="1"/>
  <c r="K334" i="17"/>
  <c r="W334" i="17" s="1"/>
  <c r="S333" i="17"/>
  <c r="X333" i="17" s="1"/>
  <c r="K333" i="17"/>
  <c r="W333" i="17" s="1"/>
  <c r="R332" i="17"/>
  <c r="S332" i="17"/>
  <c r="X332" i="17" s="1"/>
  <c r="K332" i="17"/>
  <c r="W332" i="17" s="1"/>
  <c r="K331" i="17"/>
  <c r="W331" i="17" s="1"/>
  <c r="R330" i="17"/>
  <c r="S330" i="17"/>
  <c r="X330" i="17" s="1"/>
  <c r="K330" i="17"/>
  <c r="W330" i="17" s="1"/>
  <c r="P329" i="17"/>
  <c r="S329" i="17" s="1"/>
  <c r="X329" i="17" s="1"/>
  <c r="K329" i="17"/>
  <c r="W329" i="17" s="1"/>
  <c r="R328" i="17"/>
  <c r="S328" i="17"/>
  <c r="X328" i="17" s="1"/>
  <c r="K328" i="17"/>
  <c r="W328" i="17" s="1"/>
  <c r="P327" i="17"/>
  <c r="S327" i="17" s="1"/>
  <c r="X327" i="17" s="1"/>
  <c r="S326" i="17"/>
  <c r="X326" i="17" s="1"/>
  <c r="R326" i="17"/>
  <c r="R325" i="17"/>
  <c r="Z325" i="17"/>
  <c r="S324" i="17"/>
  <c r="X324" i="17" s="1"/>
  <c r="R324" i="17"/>
  <c r="S323" i="17"/>
  <c r="X323" i="17" s="1"/>
  <c r="K323" i="17"/>
  <c r="W323" i="17" s="1"/>
  <c r="P322" i="17"/>
  <c r="S322" i="17" s="1"/>
  <c r="X322" i="17" s="1"/>
  <c r="K322" i="17"/>
  <c r="W322" i="17" s="1"/>
  <c r="Q321" i="17"/>
  <c r="R321" i="17"/>
  <c r="P320" i="17"/>
  <c r="S320" i="17" s="1"/>
  <c r="X320" i="17" s="1"/>
  <c r="R319" i="17"/>
  <c r="S319" i="17"/>
  <c r="X319" i="17" s="1"/>
  <c r="K319" i="17"/>
  <c r="W319" i="17" s="1"/>
  <c r="P318" i="17"/>
  <c r="S318" i="17" s="1"/>
  <c r="X318" i="17" s="1"/>
  <c r="K318" i="17"/>
  <c r="W318" i="17" s="1"/>
  <c r="K317" i="17"/>
  <c r="W317" i="17" s="1"/>
  <c r="R316" i="17"/>
  <c r="S316" i="17"/>
  <c r="X316" i="17" s="1"/>
  <c r="K316" i="17"/>
  <c r="W316" i="17" s="1"/>
  <c r="Q315" i="17"/>
  <c r="R315" i="17"/>
  <c r="P314" i="17"/>
  <c r="S314" i="17" s="1"/>
  <c r="X314" i="17" s="1"/>
  <c r="P313" i="17"/>
  <c r="S313" i="17" s="1"/>
  <c r="X313" i="17" s="1"/>
  <c r="P312" i="17"/>
  <c r="R311" i="17"/>
  <c r="K311" i="17"/>
  <c r="W311" i="17" s="1"/>
  <c r="S311" i="17"/>
  <c r="X311" i="17" s="1"/>
  <c r="P310" i="17"/>
  <c r="S310" i="17" s="1"/>
  <c r="X310" i="17" s="1"/>
  <c r="K309" i="17"/>
  <c r="W309" i="17" s="1"/>
  <c r="S309" i="17"/>
  <c r="X309" i="17" s="1"/>
  <c r="W308" i="17"/>
  <c r="K307" i="17"/>
  <c r="W307" i="17" s="1"/>
  <c r="S307" i="17"/>
  <c r="X307" i="17" s="1"/>
  <c r="P306" i="17"/>
  <c r="S306" i="17" s="1"/>
  <c r="X306" i="17" s="1"/>
  <c r="K306" i="17"/>
  <c r="W306" i="17" s="1"/>
  <c r="P305" i="17"/>
  <c r="S305" i="17" s="1"/>
  <c r="X305" i="17" s="1"/>
  <c r="K305" i="17"/>
  <c r="W305" i="17" s="1"/>
  <c r="P302" i="17"/>
  <c r="S302" i="17" s="1"/>
  <c r="X302" i="17" s="1"/>
  <c r="P301" i="17"/>
  <c r="S301" i="17" s="1"/>
  <c r="X301" i="17" s="1"/>
  <c r="P304" i="17"/>
  <c r="S304" i="17" s="1"/>
  <c r="X304" i="17" s="1"/>
  <c r="R303" i="17"/>
  <c r="K303" i="17"/>
  <c r="W303" i="17" s="1"/>
  <c r="S303" i="17"/>
  <c r="X303" i="17" s="1"/>
  <c r="C109" i="1"/>
  <c r="N109" i="1" s="1"/>
  <c r="J109" i="1"/>
  <c r="K109" i="1" s="1"/>
  <c r="L104" i="1"/>
  <c r="L113" i="1"/>
  <c r="L103" i="1"/>
  <c r="L102" i="1"/>
  <c r="L106" i="1"/>
  <c r="L105" i="1"/>
  <c r="L100" i="1"/>
  <c r="L101" i="1"/>
  <c r="L109" i="1"/>
  <c r="G4" i="25" l="1"/>
  <c r="H4" i="25" s="1"/>
  <c r="G5" i="25"/>
  <c r="H5" i="25" s="1"/>
  <c r="K340" i="17"/>
  <c r="W340" i="17" s="1"/>
  <c r="S337" i="17"/>
  <c r="X337" i="17" s="1"/>
  <c r="F23" i="7"/>
  <c r="S339" i="17"/>
  <c r="X339" i="17" s="1"/>
  <c r="G23" i="7"/>
  <c r="L23" i="7"/>
  <c r="K312" i="17"/>
  <c r="W312" i="17" s="1"/>
  <c r="Z312" i="17"/>
  <c r="Z321" i="17"/>
  <c r="K321" i="17"/>
  <c r="W321" i="17" s="1"/>
  <c r="Z315" i="17"/>
  <c r="K315" i="17"/>
  <c r="W315" i="17" s="1"/>
  <c r="S315" i="17"/>
  <c r="X315" i="17" s="1"/>
  <c r="C113" i="1"/>
  <c r="N113" i="1" s="1"/>
  <c r="C106" i="1"/>
  <c r="N106" i="1" s="1"/>
  <c r="C104" i="1"/>
  <c r="N104" i="1" s="1"/>
  <c r="C105" i="1"/>
  <c r="N105" i="1" s="1"/>
  <c r="C107" i="1"/>
  <c r="N107" i="1" s="1"/>
  <c r="J113" i="1"/>
  <c r="K113" i="1" s="1"/>
  <c r="J106" i="1"/>
  <c r="K106" i="1" s="1"/>
  <c r="J104" i="1"/>
  <c r="K104" i="1" s="1"/>
  <c r="J105" i="1"/>
  <c r="K105" i="1" s="1"/>
  <c r="J107" i="1"/>
  <c r="K107" i="1" s="1"/>
  <c r="H23" i="7" l="1"/>
  <c r="J103" i="1"/>
  <c r="K103" i="1" s="1"/>
  <c r="J101" i="1"/>
  <c r="K101" i="1" s="1"/>
  <c r="J100" i="1"/>
  <c r="K100" i="1" s="1"/>
  <c r="C103" i="1"/>
  <c r="N103" i="1" s="1"/>
  <c r="C102" i="1"/>
  <c r="N102" i="1" s="1"/>
  <c r="C100" i="1"/>
  <c r="N100" i="1" s="1"/>
  <c r="C101" i="1"/>
  <c r="N101" i="1" s="1"/>
  <c r="Y294" i="17" l="1"/>
  <c r="Q294" i="17"/>
  <c r="K294" i="17" s="1"/>
  <c r="W294" i="17" s="1"/>
  <c r="O294" i="17"/>
  <c r="R294" i="17" s="1"/>
  <c r="Y291" i="17"/>
  <c r="Q291" i="17"/>
  <c r="Z291" i="17" s="1"/>
  <c r="O291" i="17"/>
  <c r="R291" i="17" s="1"/>
  <c r="Y288" i="17"/>
  <c r="Q288" i="17"/>
  <c r="K288" i="17" s="1"/>
  <c r="W288" i="17" s="1"/>
  <c r="O288" i="17"/>
  <c r="R288" i="17" s="1"/>
  <c r="Y287" i="17"/>
  <c r="Q287" i="17"/>
  <c r="Z287" i="17" s="1"/>
  <c r="O287" i="17"/>
  <c r="R287" i="17" s="1"/>
  <c r="Y286" i="17"/>
  <c r="Q286" i="17"/>
  <c r="K286" i="17" s="1"/>
  <c r="W286" i="17" s="1"/>
  <c r="O286" i="17"/>
  <c r="P286" i="17" s="1"/>
  <c r="Y284" i="17"/>
  <c r="Q284" i="17"/>
  <c r="O284" i="17"/>
  <c r="R284" i="17" s="1"/>
  <c r="Y279" i="17"/>
  <c r="X279" i="17"/>
  <c r="L279" i="17"/>
  <c r="O279" i="17" s="1"/>
  <c r="P279" i="17" s="1"/>
  <c r="Y274" i="17"/>
  <c r="Q274" i="17"/>
  <c r="K274" i="17" s="1"/>
  <c r="W274" i="17" s="1"/>
  <c r="O274" i="17"/>
  <c r="P274" i="17" s="1"/>
  <c r="Y273" i="17"/>
  <c r="Q273" i="17"/>
  <c r="Z273" i="17" s="1"/>
  <c r="O273" i="17"/>
  <c r="R273" i="17" s="1"/>
  <c r="T291" i="17"/>
  <c r="T274" i="17"/>
  <c r="T273" i="17"/>
  <c r="T287" i="17"/>
  <c r="T279" i="17"/>
  <c r="T286" i="17"/>
  <c r="T288" i="17"/>
  <c r="T284" i="17"/>
  <c r="T294" i="17"/>
  <c r="K284" i="17" l="1"/>
  <c r="W284" i="17" s="1"/>
  <c r="F3" i="25"/>
  <c r="Z288" i="17"/>
  <c r="Z286" i="17"/>
  <c r="P287" i="17"/>
  <c r="S287" i="17" s="1"/>
  <c r="X287" i="17" s="1"/>
  <c r="R286" i="17"/>
  <c r="Z284" i="17"/>
  <c r="Z294" i="17"/>
  <c r="K273" i="17"/>
  <c r="W273" i="17" s="1"/>
  <c r="Z274" i="17"/>
  <c r="P294" i="17"/>
  <c r="S294" i="17" s="1"/>
  <c r="X294" i="17" s="1"/>
  <c r="P291" i="17"/>
  <c r="S291" i="17" s="1"/>
  <c r="X291" i="17" s="1"/>
  <c r="K291" i="17"/>
  <c r="W291" i="17" s="1"/>
  <c r="P288" i="17"/>
  <c r="S288" i="17" s="1"/>
  <c r="X288" i="17" s="1"/>
  <c r="K287" i="17"/>
  <c r="W287" i="17" s="1"/>
  <c r="S286" i="17"/>
  <c r="X286" i="17" s="1"/>
  <c r="P284" i="17"/>
  <c r="S284" i="17" s="1"/>
  <c r="X284" i="17" s="1"/>
  <c r="Q279" i="17"/>
  <c r="R279" i="17"/>
  <c r="R274" i="17"/>
  <c r="S274" i="17"/>
  <c r="X274" i="17" s="1"/>
  <c r="P273" i="17"/>
  <c r="S273" i="17" s="1"/>
  <c r="X273" i="17" s="1"/>
  <c r="Y300" i="17"/>
  <c r="Q300" i="17"/>
  <c r="L8" i="28" s="1"/>
  <c r="O300" i="17"/>
  <c r="R300" i="17" s="1"/>
  <c r="Y299" i="17"/>
  <c r="Q299" i="17"/>
  <c r="Z299" i="17" s="1"/>
  <c r="O299" i="17"/>
  <c r="P299" i="17" s="1"/>
  <c r="Y298" i="17"/>
  <c r="O298" i="17"/>
  <c r="M298" i="17"/>
  <c r="Q298" i="17" s="1"/>
  <c r="Z298" i="17" s="1"/>
  <c r="Y297" i="17"/>
  <c r="Q297" i="17"/>
  <c r="K297" i="17" s="1"/>
  <c r="W297" i="17" s="1"/>
  <c r="O297" i="17"/>
  <c r="R297" i="17" s="1"/>
  <c r="Y296" i="17"/>
  <c r="Q296" i="17"/>
  <c r="Z296" i="17" s="1"/>
  <c r="O296" i="17"/>
  <c r="P296" i="17" s="1"/>
  <c r="Y295" i="17"/>
  <c r="Q295" i="17"/>
  <c r="K295" i="17" s="1"/>
  <c r="W295" i="17" s="1"/>
  <c r="O295" i="17"/>
  <c r="R295" i="17" s="1"/>
  <c r="Y293" i="17"/>
  <c r="Q293" i="17"/>
  <c r="Z293" i="17" s="1"/>
  <c r="O293" i="17"/>
  <c r="P293" i="17" s="1"/>
  <c r="Y292" i="17"/>
  <c r="Q292" i="17"/>
  <c r="K292" i="17" s="1"/>
  <c r="W292" i="17" s="1"/>
  <c r="O292" i="17"/>
  <c r="R292" i="17" s="1"/>
  <c r="Y290" i="17"/>
  <c r="Q290" i="17"/>
  <c r="K290" i="17" s="1"/>
  <c r="W290" i="17" s="1"/>
  <c r="O290" i="17"/>
  <c r="P290" i="17" s="1"/>
  <c r="Y289" i="17"/>
  <c r="Q289" i="17"/>
  <c r="Z289" i="17" s="1"/>
  <c r="O289" i="17"/>
  <c r="P289" i="17" s="1"/>
  <c r="Y285" i="17"/>
  <c r="Q285" i="17"/>
  <c r="K285" i="17" s="1"/>
  <c r="W285" i="17" s="1"/>
  <c r="O285" i="17"/>
  <c r="R285" i="17" s="1"/>
  <c r="Y282" i="17"/>
  <c r="Q282" i="17"/>
  <c r="Z282" i="17" s="1"/>
  <c r="O282" i="17"/>
  <c r="P282" i="17" s="1"/>
  <c r="Y281" i="17"/>
  <c r="Q281" i="17"/>
  <c r="Z281" i="17" s="1"/>
  <c r="O281" i="17"/>
  <c r="R281" i="17" s="1"/>
  <c r="Y283" i="17"/>
  <c r="Q283" i="17"/>
  <c r="Z283" i="17" s="1"/>
  <c r="O283" i="17"/>
  <c r="P283" i="17" s="1"/>
  <c r="Y280" i="17"/>
  <c r="Q280" i="17"/>
  <c r="K280" i="17" s="1"/>
  <c r="W280" i="17" s="1"/>
  <c r="O280" i="17"/>
  <c r="R280" i="17" s="1"/>
  <c r="Y278" i="17"/>
  <c r="Q278" i="17"/>
  <c r="K278" i="17" s="1"/>
  <c r="W278" i="17" s="1"/>
  <c r="O278" i="17"/>
  <c r="R278" i="17" s="1"/>
  <c r="Y277" i="17"/>
  <c r="Q277" i="17"/>
  <c r="K277" i="17" s="1"/>
  <c r="W277" i="17" s="1"/>
  <c r="O277" i="17"/>
  <c r="P277" i="17" s="1"/>
  <c r="Y276" i="17"/>
  <c r="L276" i="17"/>
  <c r="O276" i="17" s="1"/>
  <c r="P276" i="17" s="1"/>
  <c r="Y275" i="17"/>
  <c r="Q275" i="17"/>
  <c r="Z275" i="17" s="1"/>
  <c r="O275" i="17"/>
  <c r="R275" i="17" s="1"/>
  <c r="Y272" i="17"/>
  <c r="X272" i="17"/>
  <c r="L272" i="17"/>
  <c r="Q272" i="17" s="1"/>
  <c r="L271" i="17"/>
  <c r="Y271" i="17"/>
  <c r="T283" i="17"/>
  <c r="T289" i="17"/>
  <c r="T276" i="17"/>
  <c r="T285" i="17"/>
  <c r="T275" i="17"/>
  <c r="T300" i="17"/>
  <c r="T292" i="17"/>
  <c r="T295" i="17"/>
  <c r="T296" i="17"/>
  <c r="T282" i="17"/>
  <c r="T297" i="17"/>
  <c r="T299" i="17"/>
  <c r="T278" i="17"/>
  <c r="T290" i="17"/>
  <c r="T293" i="17"/>
  <c r="T272" i="17"/>
  <c r="T280" i="17"/>
  <c r="T298" i="17"/>
  <c r="T271" i="17"/>
  <c r="T281" i="17"/>
  <c r="T277" i="17"/>
  <c r="S8" i="28" l="1"/>
  <c r="W8" i="28"/>
  <c r="P8" i="28"/>
  <c r="K300" i="17"/>
  <c r="W300" i="17" s="1"/>
  <c r="F8" i="24"/>
  <c r="P298" i="17"/>
  <c r="S298" i="17" s="1"/>
  <c r="X298" i="17" s="1"/>
  <c r="Z277" i="17"/>
  <c r="Z292" i="17"/>
  <c r="O272" i="17"/>
  <c r="P272" i="17" s="1"/>
  <c r="Z295" i="17"/>
  <c r="K275" i="17"/>
  <c r="W275" i="17" s="1"/>
  <c r="Z280" i="17"/>
  <c r="Z278" i="17"/>
  <c r="R283" i="17"/>
  <c r="P280" i="17"/>
  <c r="S280" i="17" s="1"/>
  <c r="X280" i="17" s="1"/>
  <c r="P281" i="17"/>
  <c r="S281" i="17" s="1"/>
  <c r="X281" i="17" s="1"/>
  <c r="R276" i="17"/>
  <c r="Z297" i="17"/>
  <c r="Z279" i="17"/>
  <c r="K279" i="17"/>
  <c r="W279" i="17" s="1"/>
  <c r="P300" i="17"/>
  <c r="S300" i="17" s="1"/>
  <c r="X300" i="17" s="1"/>
  <c r="Z300" i="17"/>
  <c r="R299" i="17"/>
  <c r="S299" i="17"/>
  <c r="X299" i="17" s="1"/>
  <c r="K299" i="17"/>
  <c r="W299" i="17" s="1"/>
  <c r="R298" i="17"/>
  <c r="K298" i="17"/>
  <c r="W298" i="17" s="1"/>
  <c r="P297" i="17"/>
  <c r="S297" i="17" s="1"/>
  <c r="X297" i="17" s="1"/>
  <c r="R296" i="17"/>
  <c r="S296" i="17"/>
  <c r="X296" i="17" s="1"/>
  <c r="K296" i="17"/>
  <c r="W296" i="17" s="1"/>
  <c r="P295" i="17"/>
  <c r="S295" i="17" s="1"/>
  <c r="X295" i="17" s="1"/>
  <c r="R293" i="17"/>
  <c r="S293" i="17"/>
  <c r="X293" i="17" s="1"/>
  <c r="K293" i="17"/>
  <c r="W293" i="17" s="1"/>
  <c r="P292" i="17"/>
  <c r="S292" i="17" s="1"/>
  <c r="X292" i="17" s="1"/>
  <c r="Z290" i="17"/>
  <c r="R290" i="17"/>
  <c r="S290" i="17"/>
  <c r="X290" i="17" s="1"/>
  <c r="R289" i="17"/>
  <c r="S289" i="17"/>
  <c r="X289" i="17" s="1"/>
  <c r="K289" i="17"/>
  <c r="W289" i="17" s="1"/>
  <c r="P285" i="17"/>
  <c r="S285" i="17" s="1"/>
  <c r="X285" i="17" s="1"/>
  <c r="Z285" i="17"/>
  <c r="R282" i="17"/>
  <c r="S282" i="17"/>
  <c r="X282" i="17" s="1"/>
  <c r="K282" i="17"/>
  <c r="W282" i="17" s="1"/>
  <c r="K281" i="17"/>
  <c r="W281" i="17" s="1"/>
  <c r="K283" i="17"/>
  <c r="W283" i="17" s="1"/>
  <c r="S283" i="17"/>
  <c r="X283" i="17" s="1"/>
  <c r="P278" i="17"/>
  <c r="S278" i="17" s="1"/>
  <c r="X278" i="17" s="1"/>
  <c r="R277" i="17"/>
  <c r="S277" i="17"/>
  <c r="X277" i="17" s="1"/>
  <c r="Q276" i="17"/>
  <c r="P275" i="17"/>
  <c r="S275" i="17" s="1"/>
  <c r="X275" i="17" s="1"/>
  <c r="K272" i="17"/>
  <c r="W272" i="17" s="1"/>
  <c r="Z272" i="17"/>
  <c r="X271" i="17"/>
  <c r="L93" i="1"/>
  <c r="L97" i="1"/>
  <c r="L98" i="1"/>
  <c r="L86" i="1"/>
  <c r="L94" i="1"/>
  <c r="L91" i="1"/>
  <c r="L87" i="1"/>
  <c r="L99" i="1"/>
  <c r="L90" i="1"/>
  <c r="L92" i="1"/>
  <c r="L88" i="1"/>
  <c r="L95" i="1"/>
  <c r="L96" i="1"/>
  <c r="L85" i="1"/>
  <c r="L89" i="1"/>
  <c r="R272" i="17" l="1"/>
  <c r="K276" i="17"/>
  <c r="W276" i="17" s="1"/>
  <c r="S276" i="17"/>
  <c r="X276" i="17" s="1"/>
  <c r="Z276" i="17"/>
  <c r="Y270" i="17"/>
  <c r="Q270" i="17"/>
  <c r="Z270" i="17" s="1"/>
  <c r="O270" i="17"/>
  <c r="R270" i="17" s="1"/>
  <c r="Y269" i="17"/>
  <c r="Q269" i="17"/>
  <c r="W269" i="17" s="1"/>
  <c r="O269" i="17"/>
  <c r="R269" i="17" s="1"/>
  <c r="Y268" i="17"/>
  <c r="Q268" i="17"/>
  <c r="K268" i="17" s="1"/>
  <c r="W268" i="17" s="1"/>
  <c r="O268" i="17"/>
  <c r="R268" i="17" s="1"/>
  <c r="Y267" i="17"/>
  <c r="Q267" i="17"/>
  <c r="O267" i="17"/>
  <c r="R267" i="17" s="1"/>
  <c r="Y266" i="17"/>
  <c r="Q266" i="17"/>
  <c r="Z266" i="17" s="1"/>
  <c r="O266" i="17"/>
  <c r="R266" i="17" s="1"/>
  <c r="Y265" i="17"/>
  <c r="Q265" i="17"/>
  <c r="K265" i="17" s="1"/>
  <c r="W265" i="17" s="1"/>
  <c r="O265" i="17"/>
  <c r="P265" i="17" s="1"/>
  <c r="Y264" i="17"/>
  <c r="Q264" i="17"/>
  <c r="Z264" i="17" s="1"/>
  <c r="O264" i="17"/>
  <c r="P264" i="17" s="1"/>
  <c r="Y263" i="17"/>
  <c r="Q263" i="17"/>
  <c r="K263" i="17" s="1"/>
  <c r="W263" i="17" s="1"/>
  <c r="O263" i="17"/>
  <c r="R263" i="17" s="1"/>
  <c r="Y262" i="17"/>
  <c r="Q262" i="17"/>
  <c r="Z262" i="17" s="1"/>
  <c r="O262" i="17"/>
  <c r="R262" i="17" s="1"/>
  <c r="Y261" i="17"/>
  <c r="Q261" i="17"/>
  <c r="Z261" i="17" s="1"/>
  <c r="O261" i="17"/>
  <c r="R261" i="17" s="1"/>
  <c r="Y260" i="17"/>
  <c r="Q260" i="17"/>
  <c r="K260" i="17" s="1"/>
  <c r="W260" i="17" s="1"/>
  <c r="O260" i="17"/>
  <c r="R260" i="17" s="1"/>
  <c r="Y259" i="17"/>
  <c r="Q259" i="17"/>
  <c r="K259" i="17" s="1"/>
  <c r="W259" i="17" s="1"/>
  <c r="O259" i="17"/>
  <c r="R259" i="17" s="1"/>
  <c r="Y258" i="17"/>
  <c r="Q258" i="17"/>
  <c r="Z258" i="17" s="1"/>
  <c r="O258" i="17"/>
  <c r="R258" i="17" s="1"/>
  <c r="Y257" i="17"/>
  <c r="Q257" i="17"/>
  <c r="K257" i="17" s="1"/>
  <c r="W257" i="17" s="1"/>
  <c r="O257" i="17"/>
  <c r="P257" i="17" s="1"/>
  <c r="Y256" i="17"/>
  <c r="Q256" i="17"/>
  <c r="Z256" i="17" s="1"/>
  <c r="O256" i="17"/>
  <c r="P256" i="17" s="1"/>
  <c r="Y255" i="17"/>
  <c r="Q255" i="17"/>
  <c r="K255" i="17" s="1"/>
  <c r="W255" i="17" s="1"/>
  <c r="O255" i="17"/>
  <c r="R255" i="17" s="1"/>
  <c r="Y254" i="17"/>
  <c r="Q254" i="17"/>
  <c r="Z254" i="17" s="1"/>
  <c r="O254" i="17"/>
  <c r="P254" i="17" s="1"/>
  <c r="Y253" i="17"/>
  <c r="Q253" i="17"/>
  <c r="K253" i="17" s="1"/>
  <c r="O253" i="17"/>
  <c r="R253" i="17" s="1"/>
  <c r="Y252" i="17"/>
  <c r="Q252" i="17"/>
  <c r="O252" i="17"/>
  <c r="R252" i="17" s="1"/>
  <c r="Y251" i="17"/>
  <c r="Q251" i="17"/>
  <c r="K251" i="17" s="1"/>
  <c r="W251" i="17" s="1"/>
  <c r="O251" i="17"/>
  <c r="R251" i="17" s="1"/>
  <c r="T268" i="17"/>
  <c r="T255" i="17"/>
  <c r="T270" i="17"/>
  <c r="T256" i="17"/>
  <c r="T267" i="17"/>
  <c r="T251" i="17"/>
  <c r="T261" i="17"/>
  <c r="T262" i="17"/>
  <c r="T265" i="17"/>
  <c r="T258" i="17"/>
  <c r="T263" i="17"/>
  <c r="T260" i="17"/>
  <c r="T252" i="17"/>
  <c r="T254" i="17"/>
  <c r="T266" i="17"/>
  <c r="T264" i="17"/>
  <c r="T269" i="17"/>
  <c r="T253" i="17"/>
  <c r="T259" i="17"/>
  <c r="T257" i="17"/>
  <c r="Z267" i="17" l="1"/>
  <c r="Z269" i="17"/>
  <c r="K270" i="17"/>
  <c r="W270" i="17" s="1"/>
  <c r="Z252" i="17"/>
  <c r="N22" i="7"/>
  <c r="O22" i="7"/>
  <c r="K252" i="17"/>
  <c r="W252" i="17" s="1"/>
  <c r="K256" i="17"/>
  <c r="W256" i="17" s="1"/>
  <c r="K261" i="17"/>
  <c r="W261" i="17" s="1"/>
  <c r="Z253" i="17"/>
  <c r="K258" i="17"/>
  <c r="W258" i="17" s="1"/>
  <c r="K267" i="17"/>
  <c r="W267" i="17" s="1"/>
  <c r="K264" i="17"/>
  <c r="W264" i="17" s="1"/>
  <c r="K262" i="17"/>
  <c r="W262" i="17" s="1"/>
  <c r="Z255" i="17"/>
  <c r="Z259" i="17"/>
  <c r="Z260" i="17"/>
  <c r="P270" i="17"/>
  <c r="S270" i="17" s="1"/>
  <c r="X270" i="17" s="1"/>
  <c r="P269" i="17"/>
  <c r="S269" i="17" s="1"/>
  <c r="X269" i="17" s="1"/>
  <c r="P268" i="17"/>
  <c r="S268" i="17" s="1"/>
  <c r="X268" i="17" s="1"/>
  <c r="K266" i="17"/>
  <c r="W266" i="17" s="1"/>
  <c r="Z268" i="17"/>
  <c r="S265" i="17"/>
  <c r="X265" i="17" s="1"/>
  <c r="R265" i="17"/>
  <c r="Z265" i="17"/>
  <c r="P266" i="17"/>
  <c r="S266" i="17" s="1"/>
  <c r="X266" i="17" s="1"/>
  <c r="P267" i="17"/>
  <c r="S267" i="17" s="1"/>
  <c r="X267" i="17" s="1"/>
  <c r="S264" i="17"/>
  <c r="X264" i="17" s="1"/>
  <c r="R264" i="17"/>
  <c r="Z263" i="17"/>
  <c r="P263" i="17"/>
  <c r="S263" i="17" s="1"/>
  <c r="X263" i="17" s="1"/>
  <c r="P262" i="17"/>
  <c r="S262" i="17" s="1"/>
  <c r="X262" i="17" s="1"/>
  <c r="P261" i="17"/>
  <c r="S261" i="17" s="1"/>
  <c r="X261" i="17" s="1"/>
  <c r="P260" i="17"/>
  <c r="S260" i="17" s="1"/>
  <c r="X260" i="17" s="1"/>
  <c r="P259" i="17"/>
  <c r="S259" i="17" s="1"/>
  <c r="X259" i="17" s="1"/>
  <c r="P258" i="17"/>
  <c r="S258" i="17" s="1"/>
  <c r="X258" i="17" s="1"/>
  <c r="Z257" i="17"/>
  <c r="R257" i="17"/>
  <c r="S257" i="17"/>
  <c r="X257" i="17" s="1"/>
  <c r="S256" i="17"/>
  <c r="X256" i="17" s="1"/>
  <c r="R256" i="17"/>
  <c r="P255" i="17"/>
  <c r="S255" i="17" s="1"/>
  <c r="X255" i="17" s="1"/>
  <c r="R254" i="17"/>
  <c r="K254" i="17"/>
  <c r="W254" i="17" s="1"/>
  <c r="S254" i="17"/>
  <c r="X254" i="17" s="1"/>
  <c r="W253" i="17"/>
  <c r="P253" i="17"/>
  <c r="S253" i="17" s="1"/>
  <c r="X253" i="17" s="1"/>
  <c r="P252" i="17"/>
  <c r="S252" i="17" s="1"/>
  <c r="X252" i="17" s="1"/>
  <c r="M22" i="7" s="1"/>
  <c r="P251" i="17"/>
  <c r="S251" i="17" s="1"/>
  <c r="X251" i="17" s="1"/>
  <c r="Z251" i="17"/>
  <c r="J102" i="1"/>
  <c r="K102" i="1" s="1"/>
  <c r="J98" i="1"/>
  <c r="K98" i="1" s="1"/>
  <c r="C98" i="1"/>
  <c r="N98" i="1" s="1"/>
  <c r="Z8" i="9" l="1"/>
  <c r="AA8" i="9" s="1"/>
  <c r="Y250" i="17" l="1"/>
  <c r="Q250" i="17"/>
  <c r="K250" i="17" s="1"/>
  <c r="W250" i="17" s="1"/>
  <c r="O250" i="17"/>
  <c r="R250" i="17" s="1"/>
  <c r="O249" i="17"/>
  <c r="Y249" i="17"/>
  <c r="L248" i="17"/>
  <c r="Y248" i="17"/>
  <c r="M248" i="17"/>
  <c r="Y247" i="17"/>
  <c r="Q247" i="17"/>
  <c r="Z247" i="17" s="1"/>
  <c r="O247" i="17"/>
  <c r="R247" i="17" s="1"/>
  <c r="Y246" i="17"/>
  <c r="Q246" i="17"/>
  <c r="Z246" i="17" s="1"/>
  <c r="O246" i="17"/>
  <c r="P246" i="17" s="1"/>
  <c r="Y245" i="17"/>
  <c r="L245" i="17"/>
  <c r="O245" i="17" s="1"/>
  <c r="P245" i="17" s="1"/>
  <c r="Y244" i="17"/>
  <c r="X244" i="17"/>
  <c r="L244" i="17"/>
  <c r="Q244" i="17" s="1"/>
  <c r="Z244" i="17" s="1"/>
  <c r="Y243" i="17"/>
  <c r="Q243" i="17"/>
  <c r="F2" i="25" s="1"/>
  <c r="O243" i="17"/>
  <c r="P243" i="17" s="1"/>
  <c r="O242" i="17"/>
  <c r="R242" i="17" s="1"/>
  <c r="Q242" i="17"/>
  <c r="Z242" i="17" s="1"/>
  <c r="Y242" i="17"/>
  <c r="Y241" i="17"/>
  <c r="O241" i="17"/>
  <c r="P241" i="17" s="1"/>
  <c r="Q241" i="17"/>
  <c r="T249" i="17"/>
  <c r="T250" i="17"/>
  <c r="T248" i="17"/>
  <c r="T245" i="17"/>
  <c r="T242" i="17"/>
  <c r="T243" i="17"/>
  <c r="T247" i="17"/>
  <c r="T241" i="17"/>
  <c r="T246" i="17"/>
  <c r="T244" i="17"/>
  <c r="F14" i="25" l="1"/>
  <c r="Z243" i="17"/>
  <c r="K22" i="7"/>
  <c r="J22" i="7"/>
  <c r="I22" i="7"/>
  <c r="Q248" i="17"/>
  <c r="Z248" i="17" s="1"/>
  <c r="W242" i="17"/>
  <c r="Z250" i="17"/>
  <c r="Q245" i="17"/>
  <c r="K245" i="17" s="1"/>
  <c r="W245" i="17" s="1"/>
  <c r="O248" i="17"/>
  <c r="R248" i="17" s="1"/>
  <c r="P242" i="17"/>
  <c r="S242" i="17" s="1"/>
  <c r="X242" i="17" s="1"/>
  <c r="R245" i="17"/>
  <c r="P250" i="17"/>
  <c r="S250" i="17" s="1"/>
  <c r="X250" i="17" s="1"/>
  <c r="P249" i="17"/>
  <c r="R249" i="17"/>
  <c r="Q249" i="17"/>
  <c r="P247" i="17"/>
  <c r="S247" i="17" s="1"/>
  <c r="X247" i="17" s="1"/>
  <c r="W247" i="17"/>
  <c r="R246" i="17"/>
  <c r="S246" i="17"/>
  <c r="X246" i="17" s="1"/>
  <c r="W246" i="17"/>
  <c r="O244" i="17"/>
  <c r="R244" i="17" s="1"/>
  <c r="K244" i="17"/>
  <c r="W244" i="17" s="1"/>
  <c r="R243" i="17"/>
  <c r="S243" i="17"/>
  <c r="X243" i="17" s="1"/>
  <c r="K243" i="17"/>
  <c r="W243" i="17" s="1"/>
  <c r="K241" i="17"/>
  <c r="W241" i="17" s="1"/>
  <c r="S241" i="17"/>
  <c r="X241" i="17" s="1"/>
  <c r="Z241" i="17"/>
  <c r="R241" i="17"/>
  <c r="Y240" i="17"/>
  <c r="Q240" i="17"/>
  <c r="O240" i="17"/>
  <c r="R240" i="17" s="1"/>
  <c r="Y239" i="17"/>
  <c r="Q239" i="17"/>
  <c r="K239" i="17" s="1"/>
  <c r="W239" i="17" s="1"/>
  <c r="O239" i="17"/>
  <c r="R239" i="17" s="1"/>
  <c r="Y238" i="17"/>
  <c r="O238" i="17"/>
  <c r="R238" i="17" s="1"/>
  <c r="Y237" i="17"/>
  <c r="Q237" i="17"/>
  <c r="Z237" i="17" s="1"/>
  <c r="O237" i="17"/>
  <c r="R237" i="17" s="1"/>
  <c r="L236" i="17"/>
  <c r="Q236" i="17" s="1"/>
  <c r="Z236" i="17" s="1"/>
  <c r="Y236" i="17"/>
  <c r="Y235" i="17"/>
  <c r="Q235" i="17"/>
  <c r="Z235" i="17" s="1"/>
  <c r="O235" i="17"/>
  <c r="P235" i="17" s="1"/>
  <c r="Y234" i="17"/>
  <c r="Q234" i="17"/>
  <c r="K234" i="17" s="1"/>
  <c r="W234" i="17" s="1"/>
  <c r="O234" i="17"/>
  <c r="R234" i="17" s="1"/>
  <c r="L233" i="17"/>
  <c r="Q233" i="17" s="1"/>
  <c r="Z233" i="17" s="1"/>
  <c r="Y233" i="17"/>
  <c r="L232" i="17"/>
  <c r="O232" i="17" s="1"/>
  <c r="Y232" i="17"/>
  <c r="Y231" i="17"/>
  <c r="O231" i="17"/>
  <c r="T233" i="17"/>
  <c r="T238" i="17"/>
  <c r="T235" i="17"/>
  <c r="T237" i="17"/>
  <c r="T239" i="17"/>
  <c r="T231" i="17"/>
  <c r="T232" i="17"/>
  <c r="T234" i="17"/>
  <c r="T240" i="17"/>
  <c r="T236" i="17"/>
  <c r="F22" i="7" l="1"/>
  <c r="Z240" i="17"/>
  <c r="G2" i="25"/>
  <c r="K248" i="17"/>
  <c r="W248" i="17" s="1"/>
  <c r="Z239" i="17"/>
  <c r="O233" i="17"/>
  <c r="P233" i="17" s="1"/>
  <c r="P240" i="17"/>
  <c r="W240" i="17"/>
  <c r="Z234" i="17"/>
  <c r="P248" i="17"/>
  <c r="S248" i="17" s="1"/>
  <c r="X248" i="17" s="1"/>
  <c r="Q232" i="17"/>
  <c r="X232" i="17" s="1"/>
  <c r="S245" i="17"/>
  <c r="X245" i="17" s="1"/>
  <c r="Z245" i="17"/>
  <c r="Z249" i="17"/>
  <c r="S249" i="17"/>
  <c r="X249" i="17" s="1"/>
  <c r="K249" i="17"/>
  <c r="W249" i="17" s="1"/>
  <c r="P244" i="17"/>
  <c r="P239" i="17"/>
  <c r="S239" i="17" s="1"/>
  <c r="X239" i="17" s="1"/>
  <c r="P237" i="17"/>
  <c r="S237" i="17" s="1"/>
  <c r="X237" i="17" s="1"/>
  <c r="K237" i="17"/>
  <c r="W237" i="17" s="1"/>
  <c r="O236" i="17"/>
  <c r="R236" i="17" s="1"/>
  <c r="X236" i="17"/>
  <c r="K236" i="17"/>
  <c r="W236" i="17" s="1"/>
  <c r="R235" i="17"/>
  <c r="S235" i="17"/>
  <c r="X235" i="17" s="1"/>
  <c r="K235" i="17"/>
  <c r="W235" i="17" s="1"/>
  <c r="P234" i="17"/>
  <c r="S234" i="17" s="1"/>
  <c r="X234" i="17" s="1"/>
  <c r="K233" i="17"/>
  <c r="W233" i="17" s="1"/>
  <c r="X233" i="17"/>
  <c r="P232" i="17"/>
  <c r="R232" i="17"/>
  <c r="R231" i="17"/>
  <c r="H2" i="25" l="1"/>
  <c r="S240" i="17"/>
  <c r="X240" i="17" s="1"/>
  <c r="Z232" i="17"/>
  <c r="R233" i="17"/>
  <c r="K232" i="17"/>
  <c r="W232" i="17" s="1"/>
  <c r="P236" i="17"/>
  <c r="H94" i="1"/>
  <c r="R94" i="1" s="1"/>
  <c r="C94" i="1"/>
  <c r="N94" i="1" s="1"/>
  <c r="C93" i="1"/>
  <c r="N93" i="1" s="1"/>
  <c r="H92" i="1"/>
  <c r="C92" i="1"/>
  <c r="N92" i="1" s="1"/>
  <c r="R92" i="1" l="1"/>
  <c r="G2" i="27"/>
  <c r="G15" i="27" s="1"/>
  <c r="J94" i="1"/>
  <c r="K94" i="1" s="1"/>
  <c r="J92" i="1"/>
  <c r="K92" i="1" s="1"/>
  <c r="B8" i="9"/>
  <c r="J93" i="1"/>
  <c r="K93" i="1" s="1"/>
  <c r="J96" i="1"/>
  <c r="K96" i="1" s="1"/>
  <c r="C96" i="1"/>
  <c r="N96" i="1" s="1"/>
  <c r="J99" i="1"/>
  <c r="K99" i="1" s="1"/>
  <c r="C99" i="1"/>
  <c r="N99" i="1" s="1"/>
  <c r="C95" i="1"/>
  <c r="N95" i="1" s="1"/>
  <c r="J95" i="1"/>
  <c r="K95" i="1" s="1"/>
  <c r="N8" i="9" l="1"/>
  <c r="C97" i="1"/>
  <c r="N97" i="1" s="1"/>
  <c r="J97" i="1"/>
  <c r="K97" i="1" s="1"/>
  <c r="J91" i="1"/>
  <c r="K91" i="1" s="1"/>
  <c r="C91" i="1"/>
  <c r="N91" i="1" s="1"/>
  <c r="L226" i="17" l="1"/>
  <c r="O230" i="17" l="1"/>
  <c r="R230" i="17" s="1"/>
  <c r="Q230" i="17"/>
  <c r="K230" i="17" s="1"/>
  <c r="W230" i="17" s="1"/>
  <c r="Y230" i="17"/>
  <c r="O229" i="17"/>
  <c r="Q229" i="17"/>
  <c r="K229" i="17" s="1"/>
  <c r="W229" i="17" s="1"/>
  <c r="Y229" i="17"/>
  <c r="Y228" i="17"/>
  <c r="Y227" i="17"/>
  <c r="Q227" i="17"/>
  <c r="K227" i="17" s="1"/>
  <c r="W227" i="17" s="1"/>
  <c r="O227" i="17"/>
  <c r="R227" i="17" s="1"/>
  <c r="Y226" i="17"/>
  <c r="M226" i="17"/>
  <c r="Q226" i="17" s="1"/>
  <c r="Z226" i="17" s="1"/>
  <c r="O226" i="17"/>
  <c r="R226" i="17" s="1"/>
  <c r="Y225" i="17"/>
  <c r="Q225" i="17"/>
  <c r="Z225" i="17" s="1"/>
  <c r="O225" i="17"/>
  <c r="P225" i="17" s="1"/>
  <c r="O224" i="17"/>
  <c r="Q224" i="17"/>
  <c r="K224" i="17" s="1"/>
  <c r="W224" i="17" s="1"/>
  <c r="Y224" i="17"/>
  <c r="Y223" i="17"/>
  <c r="L223" i="17"/>
  <c r="O223" i="17" s="1"/>
  <c r="O222" i="17"/>
  <c r="R222" i="17" s="1"/>
  <c r="Q222" i="17"/>
  <c r="K222" i="17" s="1"/>
  <c r="W222" i="17" s="1"/>
  <c r="Y222" i="17"/>
  <c r="Y221" i="17"/>
  <c r="Q221" i="17"/>
  <c r="Z221" i="17" s="1"/>
  <c r="O221" i="17"/>
  <c r="R221" i="17" s="1"/>
  <c r="Y220" i="17"/>
  <c r="L220" i="17"/>
  <c r="Q220" i="17" s="1"/>
  <c r="Z220" i="17" s="1"/>
  <c r="O219" i="17"/>
  <c r="P219" i="17" s="1"/>
  <c r="Q219" i="17"/>
  <c r="Z219" i="17" s="1"/>
  <c r="Y219" i="17"/>
  <c r="Y218" i="17"/>
  <c r="Q218" i="17"/>
  <c r="K218" i="17" s="1"/>
  <c r="W218" i="17" s="1"/>
  <c r="O218" i="17"/>
  <c r="R218" i="17" s="1"/>
  <c r="Y217" i="17"/>
  <c r="Q217" i="17"/>
  <c r="Z217" i="17" s="1"/>
  <c r="O217" i="17"/>
  <c r="R217" i="17" s="1"/>
  <c r="Q216" i="17"/>
  <c r="O216" i="17"/>
  <c r="R216" i="17" s="1"/>
  <c r="Y216" i="17"/>
  <c r="Y215" i="17"/>
  <c r="O215" i="17"/>
  <c r="R215" i="17" s="1"/>
  <c r="T226" i="17"/>
  <c r="T221" i="17"/>
  <c r="T220" i="17"/>
  <c r="T224" i="17"/>
  <c r="T227" i="17"/>
  <c r="T228" i="17"/>
  <c r="T222" i="17"/>
  <c r="T215" i="17"/>
  <c r="T223" i="17"/>
  <c r="T218" i="17"/>
  <c r="T219" i="17"/>
  <c r="T216" i="17"/>
  <c r="T229" i="17"/>
  <c r="T230" i="17"/>
  <c r="T217" i="17"/>
  <c r="T225" i="17"/>
  <c r="O220" i="17" l="1"/>
  <c r="P220" i="17" s="1"/>
  <c r="S220" i="17" s="1"/>
  <c r="X220" i="17" s="1"/>
  <c r="Q223" i="17"/>
  <c r="Z223" i="17" s="1"/>
  <c r="Z229" i="17"/>
  <c r="P222" i="17"/>
  <c r="S222" i="17" s="1"/>
  <c r="X222" i="17" s="1"/>
  <c r="Z222" i="17"/>
  <c r="P230" i="17"/>
  <c r="S230" i="17" s="1"/>
  <c r="X230" i="17" s="1"/>
  <c r="Z218" i="17"/>
  <c r="R223" i="17"/>
  <c r="P223" i="17"/>
  <c r="Z227" i="17"/>
  <c r="S219" i="17"/>
  <c r="X219" i="17" s="1"/>
  <c r="Z230" i="17"/>
  <c r="P229" i="17"/>
  <c r="S229" i="17" s="1"/>
  <c r="X229" i="17" s="1"/>
  <c r="R229" i="17"/>
  <c r="P227" i="17"/>
  <c r="S227" i="17" s="1"/>
  <c r="X227" i="17" s="1"/>
  <c r="P226" i="17"/>
  <c r="S226" i="17" s="1"/>
  <c r="X226" i="17" s="1"/>
  <c r="K226" i="17"/>
  <c r="W226" i="17" s="1"/>
  <c r="S225" i="17"/>
  <c r="X225" i="17" s="1"/>
  <c r="R225" i="17"/>
  <c r="K225" i="17"/>
  <c r="W225" i="17" s="1"/>
  <c r="Z224" i="17"/>
  <c r="R224" i="17"/>
  <c r="P224" i="17"/>
  <c r="S224" i="17" s="1"/>
  <c r="X224" i="17" s="1"/>
  <c r="P221" i="17"/>
  <c r="S221" i="17" s="1"/>
  <c r="X221" i="17" s="1"/>
  <c r="K221" i="17"/>
  <c r="W221" i="17" s="1"/>
  <c r="K220" i="17"/>
  <c r="W220" i="17" s="1"/>
  <c r="K219" i="17"/>
  <c r="W219" i="17" s="1"/>
  <c r="R219" i="17"/>
  <c r="P218" i="17"/>
  <c r="S218" i="17" s="1"/>
  <c r="X218" i="17" s="1"/>
  <c r="P217" i="17"/>
  <c r="S217" i="17" s="1"/>
  <c r="X217" i="17" s="1"/>
  <c r="K217" i="17"/>
  <c r="W217" i="17" s="1"/>
  <c r="W216" i="17"/>
  <c r="Z216" i="17"/>
  <c r="P216" i="17"/>
  <c r="S216" i="17" s="1"/>
  <c r="X216" i="17" s="1"/>
  <c r="M7" i="9"/>
  <c r="C90" i="1"/>
  <c r="N90" i="1" s="1"/>
  <c r="J90" i="1"/>
  <c r="K90" i="1" s="1"/>
  <c r="K223" i="17" l="1"/>
  <c r="W223" i="17" s="1"/>
  <c r="R220" i="17"/>
  <c r="S223" i="17"/>
  <c r="X223" i="17" s="1"/>
  <c r="J89" i="1"/>
  <c r="K89" i="1" s="1"/>
  <c r="J88" i="1"/>
  <c r="K88" i="1" s="1"/>
  <c r="C89" i="1"/>
  <c r="N89" i="1" s="1"/>
  <c r="C86" i="1"/>
  <c r="N86" i="1" s="1"/>
  <c r="C88" i="1"/>
  <c r="N88" i="1" s="1"/>
  <c r="Y214" i="17" l="1"/>
  <c r="Q214" i="17"/>
  <c r="Z214" i="17" s="1"/>
  <c r="O214" i="17"/>
  <c r="R214" i="17" s="1"/>
  <c r="Q213" i="17"/>
  <c r="Z213" i="17" s="1"/>
  <c r="Y213" i="17"/>
  <c r="Y212" i="17"/>
  <c r="Q212" i="17"/>
  <c r="Z212" i="17" s="1"/>
  <c r="O212" i="17"/>
  <c r="P212" i="17" s="1"/>
  <c r="Y211" i="17"/>
  <c r="Q211" i="17"/>
  <c r="Z211" i="17" s="1"/>
  <c r="O211" i="17"/>
  <c r="R211" i="17" s="1"/>
  <c r="Y210" i="17"/>
  <c r="Q210" i="17"/>
  <c r="Z210" i="17" s="1"/>
  <c r="O210" i="17"/>
  <c r="R210" i="17" s="1"/>
  <c r="Y209" i="17"/>
  <c r="Q209" i="17"/>
  <c r="K209" i="17" s="1"/>
  <c r="O209" i="17"/>
  <c r="R209" i="17" s="1"/>
  <c r="Y208" i="17"/>
  <c r="Q208" i="17"/>
  <c r="K208" i="17" s="1"/>
  <c r="W208" i="17" s="1"/>
  <c r="O208" i="17"/>
  <c r="R208" i="17" s="1"/>
  <c r="Y207" i="17"/>
  <c r="O207" i="17"/>
  <c r="R207" i="17" s="1"/>
  <c r="Y206" i="17"/>
  <c r="Q206" i="17"/>
  <c r="Z206" i="17" s="1"/>
  <c r="O206" i="17"/>
  <c r="P206" i="17" s="1"/>
  <c r="Y205" i="17"/>
  <c r="Q205" i="17"/>
  <c r="K205" i="17" s="1"/>
  <c r="W205" i="17" s="1"/>
  <c r="O205" i="17"/>
  <c r="R205" i="17" s="1"/>
  <c r="O204" i="17"/>
  <c r="R204" i="17" s="1"/>
  <c r="Q204" i="17"/>
  <c r="Z204" i="17" s="1"/>
  <c r="Y204" i="17"/>
  <c r="O203" i="17"/>
  <c r="R203" i="17" s="1"/>
  <c r="Q203" i="17"/>
  <c r="K203" i="17" s="1"/>
  <c r="W203" i="17" s="1"/>
  <c r="Y203" i="17"/>
  <c r="Y202" i="17"/>
  <c r="Q202" i="17"/>
  <c r="K202" i="17" s="1"/>
  <c r="W202" i="17" s="1"/>
  <c r="O202" i="17"/>
  <c r="R202" i="17" s="1"/>
  <c r="L201" i="17"/>
  <c r="Q201" i="17" s="1"/>
  <c r="Y201" i="17"/>
  <c r="O200" i="17"/>
  <c r="P200" i="17" s="1"/>
  <c r="Q200" i="17"/>
  <c r="K200" i="17" s="1"/>
  <c r="W200" i="17" s="1"/>
  <c r="Y200" i="17"/>
  <c r="T207" i="17"/>
  <c r="T209" i="17"/>
  <c r="T204" i="17"/>
  <c r="T201" i="17"/>
  <c r="T210" i="17"/>
  <c r="T205" i="17"/>
  <c r="T200" i="17"/>
  <c r="T202" i="17"/>
  <c r="T213" i="17"/>
  <c r="T212" i="17"/>
  <c r="T206" i="17"/>
  <c r="T203" i="17"/>
  <c r="T214" i="17"/>
  <c r="T211" i="17"/>
  <c r="T208" i="17"/>
  <c r="Z209" i="17" l="1"/>
  <c r="R200" i="17"/>
  <c r="K204" i="17"/>
  <c r="W204" i="17" s="1"/>
  <c r="P209" i="17"/>
  <c r="S209" i="17" s="1"/>
  <c r="X209" i="17" s="1"/>
  <c r="Z200" i="17"/>
  <c r="Z208" i="17"/>
  <c r="Z202" i="17"/>
  <c r="P203" i="17"/>
  <c r="S203" i="17" s="1"/>
  <c r="X203" i="17" s="1"/>
  <c r="S200" i="17"/>
  <c r="X200" i="17" s="1"/>
  <c r="Z205" i="17"/>
  <c r="P208" i="17"/>
  <c r="S208" i="17" s="1"/>
  <c r="X208" i="17" s="1"/>
  <c r="P204" i="17"/>
  <c r="S204" i="17" s="1"/>
  <c r="X204" i="17" s="1"/>
  <c r="R206" i="17"/>
  <c r="P214" i="17"/>
  <c r="S214" i="17" s="1"/>
  <c r="X214" i="17" s="1"/>
  <c r="K214" i="17"/>
  <c r="W214" i="17" s="1"/>
  <c r="O213" i="17"/>
  <c r="K213" i="17"/>
  <c r="W213" i="17" s="1"/>
  <c r="S212" i="17"/>
  <c r="X212" i="17" s="1"/>
  <c r="R212" i="17"/>
  <c r="K212" i="17"/>
  <c r="W212" i="17" s="1"/>
  <c r="P211" i="17"/>
  <c r="S211" i="17" s="1"/>
  <c r="X211" i="17" s="1"/>
  <c r="K211" i="17"/>
  <c r="W211" i="17" s="1"/>
  <c r="P210" i="17"/>
  <c r="S210" i="17" s="1"/>
  <c r="X210" i="17" s="1"/>
  <c r="K210" i="17"/>
  <c r="W210" i="17" s="1"/>
  <c r="W209" i="17"/>
  <c r="S206" i="17"/>
  <c r="X206" i="17" s="1"/>
  <c r="K206" i="17"/>
  <c r="W206" i="17" s="1"/>
  <c r="P205" i="17"/>
  <c r="S205" i="17" s="1"/>
  <c r="X205" i="17" s="1"/>
  <c r="Z203" i="17"/>
  <c r="P202" i="17"/>
  <c r="S202" i="17" s="1"/>
  <c r="X202" i="17" s="1"/>
  <c r="Z201" i="17"/>
  <c r="O201" i="17"/>
  <c r="K201" i="17"/>
  <c r="W201" i="17" s="1"/>
  <c r="J87" i="1"/>
  <c r="K87" i="1" s="1"/>
  <c r="P213" i="17" l="1"/>
  <c r="S213" i="17" s="1"/>
  <c r="X213" i="17" s="1"/>
  <c r="R213" i="17"/>
  <c r="R201" i="17"/>
  <c r="P201" i="17"/>
  <c r="S201" i="17" s="1"/>
  <c r="X201" i="17" s="1"/>
  <c r="C87" i="1"/>
  <c r="N87" i="1" s="1"/>
  <c r="Y184" i="17" l="1"/>
  <c r="Q184" i="17"/>
  <c r="K184" i="17" s="1"/>
  <c r="W184" i="17" s="1"/>
  <c r="O184" i="17"/>
  <c r="R184" i="17" s="1"/>
  <c r="Y183" i="17"/>
  <c r="Q183" i="17"/>
  <c r="Z183" i="17" s="1"/>
  <c r="O183" i="17"/>
  <c r="P183" i="17" s="1"/>
  <c r="T184" i="17"/>
  <c r="T183" i="17"/>
  <c r="Z184" i="17" l="1"/>
  <c r="P184" i="17"/>
  <c r="S184" i="17" s="1"/>
  <c r="X184" i="17" s="1"/>
  <c r="R183" i="17"/>
  <c r="S183" i="17"/>
  <c r="X183" i="17" s="1"/>
  <c r="K183" i="17"/>
  <c r="W183" i="17" s="1"/>
  <c r="Y194" i="17"/>
  <c r="Q194" i="17"/>
  <c r="K194" i="17" s="1"/>
  <c r="W194" i="17" s="1"/>
  <c r="O194" i="17"/>
  <c r="R194" i="17" s="1"/>
  <c r="Y192" i="17"/>
  <c r="L192" i="17"/>
  <c r="Q192" i="17" s="1"/>
  <c r="K192" i="17" s="1"/>
  <c r="W192" i="17" s="1"/>
  <c r="L190" i="17"/>
  <c r="Y189" i="17"/>
  <c r="L189" i="17"/>
  <c r="L188" i="17"/>
  <c r="Y188" i="17"/>
  <c r="L187" i="17"/>
  <c r="Q187" i="17" s="1"/>
  <c r="Y187" i="17"/>
  <c r="Y186" i="17"/>
  <c r="Q186" i="17"/>
  <c r="Z186" i="17" s="1"/>
  <c r="O186" i="17"/>
  <c r="R186" i="17" s="1"/>
  <c r="Y185" i="17"/>
  <c r="Q185" i="17"/>
  <c r="Z185" i="17" s="1"/>
  <c r="O185" i="17"/>
  <c r="R185" i="17" s="1"/>
  <c r="T189" i="17"/>
  <c r="T188" i="17"/>
  <c r="T192" i="17"/>
  <c r="T185" i="17"/>
  <c r="T187" i="17"/>
  <c r="T186" i="17"/>
  <c r="T194" i="17"/>
  <c r="O192" i="17" l="1"/>
  <c r="P192" i="17" s="1"/>
  <c r="S192" i="17" s="1"/>
  <c r="X192" i="17" s="1"/>
  <c r="Z194" i="17"/>
  <c r="Z192" i="17"/>
  <c r="W186" i="17"/>
  <c r="K185" i="17"/>
  <c r="W185" i="17" s="1"/>
  <c r="P194" i="17"/>
  <c r="S194" i="17" s="1"/>
  <c r="X194" i="17" s="1"/>
  <c r="O189" i="17"/>
  <c r="P189" i="17" s="1"/>
  <c r="Q189" i="17"/>
  <c r="O188" i="17"/>
  <c r="P188" i="17" s="1"/>
  <c r="Q188" i="17"/>
  <c r="K187" i="17"/>
  <c r="W187" i="17" s="1"/>
  <c r="Z187" i="17"/>
  <c r="O187" i="17"/>
  <c r="P187" i="17" s="1"/>
  <c r="S187" i="17" s="1"/>
  <c r="X187" i="17" s="1"/>
  <c r="P186" i="17"/>
  <c r="S186" i="17" s="1"/>
  <c r="X186" i="17" s="1"/>
  <c r="P185" i="17"/>
  <c r="S185" i="17" s="1"/>
  <c r="X185" i="17" s="1"/>
  <c r="Y190" i="17"/>
  <c r="M190" i="17"/>
  <c r="Y195" i="17"/>
  <c r="Q195" i="17"/>
  <c r="Z195" i="17" s="1"/>
  <c r="O195" i="17"/>
  <c r="R195" i="17" s="1"/>
  <c r="Y196" i="17"/>
  <c r="O196" i="17"/>
  <c r="R196" i="17" s="1"/>
  <c r="Y191" i="17"/>
  <c r="Q191" i="17"/>
  <c r="K191" i="17" s="1"/>
  <c r="W191" i="17" s="1"/>
  <c r="O191" i="17"/>
  <c r="R191" i="17" s="1"/>
  <c r="Y193" i="17"/>
  <c r="Q193" i="17"/>
  <c r="Z193" i="17" s="1"/>
  <c r="O193" i="17"/>
  <c r="R193" i="17" s="1"/>
  <c r="Y197" i="17"/>
  <c r="Q197" i="17"/>
  <c r="K197" i="17" s="1"/>
  <c r="W197" i="17" s="1"/>
  <c r="O197" i="17"/>
  <c r="R197" i="17" s="1"/>
  <c r="Y198" i="17"/>
  <c r="Q198" i="17"/>
  <c r="Z198" i="17" s="1"/>
  <c r="O198" i="17"/>
  <c r="R198" i="17" s="1"/>
  <c r="Y199" i="17"/>
  <c r="Q199" i="17"/>
  <c r="K199" i="17" s="1"/>
  <c r="W199" i="17" s="1"/>
  <c r="O199" i="17"/>
  <c r="P199" i="17" s="1"/>
  <c r="T196" i="17"/>
  <c r="T199" i="17"/>
  <c r="T190" i="17"/>
  <c r="T198" i="17"/>
  <c r="T191" i="17"/>
  <c r="T195" i="17"/>
  <c r="T193" i="17"/>
  <c r="T197" i="17"/>
  <c r="R192" i="17" l="1"/>
  <c r="Z197" i="17"/>
  <c r="Z199" i="17"/>
  <c r="Z191" i="17"/>
  <c r="K195" i="17"/>
  <c r="W195" i="17" s="1"/>
  <c r="K193" i="17"/>
  <c r="W193" i="17" s="1"/>
  <c r="R189" i="17"/>
  <c r="K189" i="17"/>
  <c r="W189" i="17" s="1"/>
  <c r="Z189" i="17"/>
  <c r="S189" i="17"/>
  <c r="X189" i="17" s="1"/>
  <c r="R188" i="17"/>
  <c r="S188" i="17"/>
  <c r="X188" i="17" s="1"/>
  <c r="K188" i="17"/>
  <c r="W188" i="17" s="1"/>
  <c r="Z188" i="17"/>
  <c r="R187" i="17"/>
  <c r="O190" i="17"/>
  <c r="P190" i="17" s="1"/>
  <c r="Q190" i="17"/>
  <c r="K190" i="17" s="1"/>
  <c r="P195" i="17"/>
  <c r="S195" i="17" s="1"/>
  <c r="X195" i="17" s="1"/>
  <c r="P191" i="17"/>
  <c r="S191" i="17" s="1"/>
  <c r="X191" i="17" s="1"/>
  <c r="P193" i="17"/>
  <c r="S193" i="17" s="1"/>
  <c r="X193" i="17" s="1"/>
  <c r="P197" i="17"/>
  <c r="S197" i="17" s="1"/>
  <c r="X197" i="17" s="1"/>
  <c r="P198" i="17"/>
  <c r="S198" i="17" s="1"/>
  <c r="X198" i="17" s="1"/>
  <c r="K198" i="17"/>
  <c r="W198" i="17" s="1"/>
  <c r="S199" i="17"/>
  <c r="X199" i="17" s="1"/>
  <c r="R199" i="17"/>
  <c r="R190" i="17" l="1"/>
  <c r="Z190" i="17"/>
  <c r="W190" i="17"/>
  <c r="S190" i="17"/>
  <c r="X190" i="17" s="1"/>
  <c r="J86" i="1"/>
  <c r="K86" i="1" s="1"/>
  <c r="J85" i="1" l="1"/>
  <c r="K85" i="1" s="1"/>
  <c r="C85" i="1"/>
  <c r="N85" i="1" s="1"/>
  <c r="Y182" i="17" l="1"/>
  <c r="Q182" i="17"/>
  <c r="Z182" i="17" s="1"/>
  <c r="O182" i="17"/>
  <c r="R182" i="17" s="1"/>
  <c r="Y181" i="17"/>
  <c r="O181" i="17"/>
  <c r="P181" i="17" s="1"/>
  <c r="Y180" i="17"/>
  <c r="Q180" i="17"/>
  <c r="W180" i="17" s="1"/>
  <c r="O180" i="17"/>
  <c r="P180" i="17" s="1"/>
  <c r="Y179" i="17"/>
  <c r="Q179" i="17"/>
  <c r="K179" i="17" s="1"/>
  <c r="W179" i="17" s="1"/>
  <c r="O179" i="17"/>
  <c r="R179" i="17" s="1"/>
  <c r="Y178" i="17"/>
  <c r="O178" i="17"/>
  <c r="R178" i="17" s="1"/>
  <c r="Y177" i="17"/>
  <c r="Q177" i="17"/>
  <c r="Z177" i="17" s="1"/>
  <c r="O177" i="17"/>
  <c r="R177" i="17" s="1"/>
  <c r="Y176" i="17"/>
  <c r="Q176" i="17"/>
  <c r="Z176" i="17" s="1"/>
  <c r="O176" i="17"/>
  <c r="R176" i="17" s="1"/>
  <c r="Y175" i="17"/>
  <c r="Q175" i="17"/>
  <c r="Z175" i="17" s="1"/>
  <c r="O175" i="17"/>
  <c r="R175" i="17" s="1"/>
  <c r="Y174" i="17"/>
  <c r="Q174" i="17"/>
  <c r="Z174" i="17" s="1"/>
  <c r="O174" i="17"/>
  <c r="R174" i="17" s="1"/>
  <c r="Y173" i="17"/>
  <c r="O173" i="17"/>
  <c r="R173" i="17" s="1"/>
  <c r="Y172" i="17"/>
  <c r="Q172" i="17"/>
  <c r="Z172" i="17" s="1"/>
  <c r="O172" i="17"/>
  <c r="P172" i="17" s="1"/>
  <c r="Y171" i="17"/>
  <c r="Q171" i="17"/>
  <c r="Z171" i="17" s="1"/>
  <c r="O171" i="17"/>
  <c r="R171" i="17" s="1"/>
  <c r="L170" i="17"/>
  <c r="Q170" i="17" s="1"/>
  <c r="Z170" i="17" s="1"/>
  <c r="Y170" i="17"/>
  <c r="Y169" i="17"/>
  <c r="Q169" i="17"/>
  <c r="Z169" i="17" s="1"/>
  <c r="O169" i="17"/>
  <c r="P169" i="17" s="1"/>
  <c r="Y168" i="17"/>
  <c r="M168" i="17"/>
  <c r="L168" i="17"/>
  <c r="O168" i="17" s="1"/>
  <c r="Y167" i="17"/>
  <c r="Q167" i="17"/>
  <c r="Z167" i="17" s="1"/>
  <c r="O167" i="17"/>
  <c r="R167" i="17" s="1"/>
  <c r="Y166" i="17"/>
  <c r="L166" i="17"/>
  <c r="Q166" i="17" s="1"/>
  <c r="K166" i="17" s="1"/>
  <c r="W166" i="17" s="1"/>
  <c r="Y165" i="17"/>
  <c r="Y164" i="17"/>
  <c r="Q164" i="17"/>
  <c r="Z164" i="17" s="1"/>
  <c r="O164" i="17"/>
  <c r="P164" i="17" s="1"/>
  <c r="Y163" i="17"/>
  <c r="L163" i="17"/>
  <c r="Q163" i="17" s="1"/>
  <c r="Z163" i="17" s="1"/>
  <c r="Y162" i="17"/>
  <c r="Y161" i="17"/>
  <c r="L161" i="17"/>
  <c r="O161" i="17" s="1"/>
  <c r="P161" i="17" s="1"/>
  <c r="Y160" i="17"/>
  <c r="Q160" i="17"/>
  <c r="Z160" i="17" s="1"/>
  <c r="O160" i="17"/>
  <c r="R160" i="17" s="1"/>
  <c r="Y159" i="17"/>
  <c r="Q159" i="17"/>
  <c r="Z159" i="17" s="1"/>
  <c r="O159" i="17"/>
  <c r="R159" i="17" s="1"/>
  <c r="Y158" i="17"/>
  <c r="Q158" i="17"/>
  <c r="W158" i="17" s="1"/>
  <c r="O158" i="17"/>
  <c r="R158" i="17" s="1"/>
  <c r="Y157" i="17"/>
  <c r="Q157" i="17"/>
  <c r="Z157" i="17" s="1"/>
  <c r="O157" i="17"/>
  <c r="R157" i="17" s="1"/>
  <c r="Y156" i="17"/>
  <c r="Q156" i="17"/>
  <c r="Z156" i="17" s="1"/>
  <c r="O156" i="17"/>
  <c r="R156" i="17" s="1"/>
  <c r="Y155" i="17"/>
  <c r="O155" i="17"/>
  <c r="R155" i="17" s="1"/>
  <c r="Q155" i="17"/>
  <c r="Y154" i="17"/>
  <c r="O154" i="17"/>
  <c r="R154" i="17" s="1"/>
  <c r="L153" i="17"/>
  <c r="Q153" i="17" s="1"/>
  <c r="Z153" i="17" s="1"/>
  <c r="Y153" i="17"/>
  <c r="T160" i="17"/>
  <c r="T162" i="17"/>
  <c r="T169" i="17"/>
  <c r="T177" i="17"/>
  <c r="T156" i="17"/>
  <c r="T154" i="17"/>
  <c r="T159" i="17"/>
  <c r="T166" i="17"/>
  <c r="T176" i="17"/>
  <c r="T171" i="17"/>
  <c r="T167" i="17"/>
  <c r="T165" i="17"/>
  <c r="T153" i="17"/>
  <c r="T155" i="17"/>
  <c r="T163" i="17"/>
  <c r="T175" i="17"/>
  <c r="T158" i="17"/>
  <c r="T161" i="17"/>
  <c r="T181" i="17"/>
  <c r="T179" i="17"/>
  <c r="T173" i="17"/>
  <c r="T174" i="17"/>
  <c r="T172" i="17"/>
  <c r="T182" i="17"/>
  <c r="T170" i="17"/>
  <c r="T180" i="17"/>
  <c r="T178" i="17"/>
  <c r="T164" i="17"/>
  <c r="T168" i="17"/>
  <c r="T157" i="17"/>
  <c r="O153" i="17" l="1"/>
  <c r="R153" i="17" s="1"/>
  <c r="P168" i="17"/>
  <c r="O163" i="17"/>
  <c r="R163" i="17" s="1"/>
  <c r="O166" i="17"/>
  <c r="R166" i="17" s="1"/>
  <c r="K175" i="17"/>
  <c r="W175" i="17" s="1"/>
  <c r="K160" i="17"/>
  <c r="W160" i="17" s="1"/>
  <c r="K172" i="17"/>
  <c r="W172" i="17" s="1"/>
  <c r="K176" i="17"/>
  <c r="W176" i="17" s="1"/>
  <c r="K167" i="17"/>
  <c r="W167" i="17" s="1"/>
  <c r="Z166" i="17"/>
  <c r="Z179" i="17"/>
  <c r="K171" i="17"/>
  <c r="W171" i="17" s="1"/>
  <c r="K174" i="17"/>
  <c r="W174" i="17" s="1"/>
  <c r="K177" i="17"/>
  <c r="W177" i="17" s="1"/>
  <c r="K153" i="17"/>
  <c r="W153" i="17" s="1"/>
  <c r="R168" i="17"/>
  <c r="R161" i="17"/>
  <c r="K159" i="17"/>
  <c r="W159" i="17" s="1"/>
  <c r="K169" i="17"/>
  <c r="W169" i="17" s="1"/>
  <c r="W163" i="17"/>
  <c r="K182" i="17"/>
  <c r="W182" i="17" s="1"/>
  <c r="P182" i="17"/>
  <c r="S182" i="17" s="1"/>
  <c r="X182" i="17" s="1"/>
  <c r="R181" i="17"/>
  <c r="Q181" i="17"/>
  <c r="Z180" i="17"/>
  <c r="R180" i="17"/>
  <c r="S180" i="17"/>
  <c r="X180" i="17" s="1"/>
  <c r="P179" i="17"/>
  <c r="S179" i="17" s="1"/>
  <c r="X179" i="17" s="1"/>
  <c r="P177" i="17"/>
  <c r="S177" i="17" s="1"/>
  <c r="X177" i="17" s="1"/>
  <c r="P176" i="17"/>
  <c r="S176" i="17" s="1"/>
  <c r="X176" i="17" s="1"/>
  <c r="P175" i="17"/>
  <c r="S175" i="17" s="1"/>
  <c r="X175" i="17" s="1"/>
  <c r="P174" i="17"/>
  <c r="S174" i="17" s="1"/>
  <c r="X174" i="17" s="1"/>
  <c r="R172" i="17"/>
  <c r="S172" i="17"/>
  <c r="X172" i="17" s="1"/>
  <c r="P171" i="17"/>
  <c r="S171" i="17" s="1"/>
  <c r="X171" i="17" s="1"/>
  <c r="O170" i="17"/>
  <c r="R170" i="17" s="1"/>
  <c r="K170" i="17"/>
  <c r="W170" i="17" s="1"/>
  <c r="R169" i="17"/>
  <c r="S169" i="17"/>
  <c r="X169" i="17" s="1"/>
  <c r="Q168" i="17"/>
  <c r="P167" i="17"/>
  <c r="S167" i="17" s="1"/>
  <c r="X167" i="17" s="1"/>
  <c r="O165" i="17"/>
  <c r="P165" i="17" s="1"/>
  <c r="Q165" i="17"/>
  <c r="R164" i="17"/>
  <c r="W164" i="17"/>
  <c r="S164" i="17"/>
  <c r="X164" i="17" s="1"/>
  <c r="O162" i="17"/>
  <c r="P162" i="17" s="1"/>
  <c r="Q162" i="17"/>
  <c r="Q161" i="17"/>
  <c r="P160" i="17"/>
  <c r="S160" i="17" s="1"/>
  <c r="X160" i="17" s="1"/>
  <c r="P159" i="17"/>
  <c r="S159" i="17" s="1"/>
  <c r="X159" i="17" s="1"/>
  <c r="Z158" i="17"/>
  <c r="P158" i="17"/>
  <c r="S158" i="17" s="1"/>
  <c r="X158" i="17" s="1"/>
  <c r="W157" i="17"/>
  <c r="P157" i="17"/>
  <c r="K156" i="17"/>
  <c r="W156" i="17" s="1"/>
  <c r="P156" i="17"/>
  <c r="S156" i="17" s="1"/>
  <c r="X156" i="17" s="1"/>
  <c r="Z155" i="17"/>
  <c r="K155" i="17"/>
  <c r="W155" i="17" s="1"/>
  <c r="P155" i="17"/>
  <c r="S155" i="17" s="1"/>
  <c r="X155" i="17" s="1"/>
  <c r="L83" i="1"/>
  <c r="L84" i="1"/>
  <c r="L82" i="1"/>
  <c r="P153" i="17" l="1"/>
  <c r="S153" i="17" s="1"/>
  <c r="X153" i="17" s="1"/>
  <c r="P163" i="17"/>
  <c r="S163" i="17" s="1"/>
  <c r="X163" i="17" s="1"/>
  <c r="P166" i="17"/>
  <c r="S166" i="17" s="1"/>
  <c r="X166" i="17" s="1"/>
  <c r="S157" i="17"/>
  <c r="X157" i="17" s="1"/>
  <c r="S181" i="17"/>
  <c r="X181" i="17" s="1"/>
  <c r="K181" i="17"/>
  <c r="W181" i="17" s="1"/>
  <c r="Z181" i="17"/>
  <c r="P170" i="17"/>
  <c r="S170" i="17" s="1"/>
  <c r="X170" i="17" s="1"/>
  <c r="S168" i="17"/>
  <c r="X168" i="17" s="1"/>
  <c r="Z168" i="17"/>
  <c r="K168" i="17"/>
  <c r="W168" i="17" s="1"/>
  <c r="S165" i="17"/>
  <c r="X165" i="17" s="1"/>
  <c r="K165" i="17"/>
  <c r="W165" i="17" s="1"/>
  <c r="Z165" i="17"/>
  <c r="R165" i="17"/>
  <c r="S162" i="17"/>
  <c r="X162" i="17" s="1"/>
  <c r="Z162" i="17"/>
  <c r="K162" i="17"/>
  <c r="W162" i="17" s="1"/>
  <c r="R162" i="17"/>
  <c r="Z161" i="17"/>
  <c r="S161" i="17"/>
  <c r="X161" i="17" s="1"/>
  <c r="K161" i="17"/>
  <c r="W161" i="17" s="1"/>
  <c r="J84" i="1"/>
  <c r="K84" i="1" s="1"/>
  <c r="C84" i="1"/>
  <c r="N84" i="1" s="1"/>
  <c r="J83" i="1" l="1"/>
  <c r="K83" i="1" s="1"/>
  <c r="C83" i="1"/>
  <c r="N83" i="1" s="1"/>
  <c r="J82" i="1"/>
  <c r="K82" i="1" s="1"/>
  <c r="C82" i="1"/>
  <c r="N82" i="1" s="1"/>
  <c r="J81" i="1"/>
  <c r="K81" i="1" s="1"/>
  <c r="C81" i="1"/>
  <c r="N81" i="1" s="1"/>
  <c r="J80" i="1"/>
  <c r="K80" i="1" s="1"/>
  <c r="C80" i="1"/>
  <c r="N80" i="1" s="1"/>
  <c r="J79" i="1"/>
  <c r="K79" i="1" s="1"/>
  <c r="C79" i="1"/>
  <c r="N79" i="1" s="1"/>
  <c r="L81" i="1"/>
  <c r="L80" i="1"/>
  <c r="L79" i="1"/>
  <c r="Y151" i="17" l="1"/>
  <c r="Q151" i="17"/>
  <c r="K151" i="17" s="1"/>
  <c r="W151" i="17" s="1"/>
  <c r="O151" i="17"/>
  <c r="R151" i="17" s="1"/>
  <c r="L150" i="17"/>
  <c r="O150" i="17" s="1"/>
  <c r="R150" i="17" s="1"/>
  <c r="Y149" i="17"/>
  <c r="Q149" i="17"/>
  <c r="Z149" i="17" s="1"/>
  <c r="O149" i="17"/>
  <c r="P149" i="17" s="1"/>
  <c r="L146" i="17"/>
  <c r="Q146" i="17" s="1"/>
  <c r="L145" i="17"/>
  <c r="Y145" i="17"/>
  <c r="L142" i="17"/>
  <c r="Q142" i="17" s="1"/>
  <c r="K142" i="17" s="1"/>
  <c r="W142" i="17" s="1"/>
  <c r="L141" i="17"/>
  <c r="Q141" i="17" s="1"/>
  <c r="Y141" i="17"/>
  <c r="L140" i="17"/>
  <c r="O140" i="17" s="1"/>
  <c r="R140" i="17" s="1"/>
  <c r="L139" i="17"/>
  <c r="Q139" i="17" s="1"/>
  <c r="Z139" i="17" s="1"/>
  <c r="Y139" i="17"/>
  <c r="Y137" i="17"/>
  <c r="Q137" i="17"/>
  <c r="K137" i="17" s="1"/>
  <c r="W137" i="17" s="1"/>
  <c r="O137" i="17"/>
  <c r="P137" i="17" s="1"/>
  <c r="Y136" i="17"/>
  <c r="Q136" i="17"/>
  <c r="K136" i="17" s="1"/>
  <c r="W136" i="17" s="1"/>
  <c r="O136" i="17"/>
  <c r="P136" i="17" s="1"/>
  <c r="Y135" i="17"/>
  <c r="M135" i="17"/>
  <c r="L135" i="17"/>
  <c r="O135" i="17" s="1"/>
  <c r="L133" i="17"/>
  <c r="Y152" i="17"/>
  <c r="Q152" i="17"/>
  <c r="K152" i="17" s="1"/>
  <c r="W152" i="17" s="1"/>
  <c r="O152" i="17"/>
  <c r="R152" i="17" s="1"/>
  <c r="Y150" i="17"/>
  <c r="Q150" i="17"/>
  <c r="K150" i="17" s="1"/>
  <c r="W150" i="17" s="1"/>
  <c r="Y148" i="17"/>
  <c r="Q148" i="17"/>
  <c r="K148" i="17" s="1"/>
  <c r="W148" i="17" s="1"/>
  <c r="O148" i="17"/>
  <c r="R148" i="17" s="1"/>
  <c r="Y147" i="17"/>
  <c r="Y146" i="17"/>
  <c r="Y144" i="17"/>
  <c r="O144" i="17"/>
  <c r="R144" i="17" s="1"/>
  <c r="Y143" i="17"/>
  <c r="Y142" i="17"/>
  <c r="Y140" i="17"/>
  <c r="Y138" i="17"/>
  <c r="Q138" i="17"/>
  <c r="K138" i="17" s="1"/>
  <c r="W138" i="17" s="1"/>
  <c r="O138" i="17"/>
  <c r="P138" i="17" s="1"/>
  <c r="Y134" i="17"/>
  <c r="Q134" i="17"/>
  <c r="K134" i="17" s="1"/>
  <c r="W134" i="17" s="1"/>
  <c r="O134" i="17"/>
  <c r="P134" i="17" s="1"/>
  <c r="Y133" i="17"/>
  <c r="L132" i="17"/>
  <c r="Y132" i="17"/>
  <c r="T146" i="17"/>
  <c r="T142" i="17"/>
  <c r="T152" i="17"/>
  <c r="T150" i="17"/>
  <c r="T138" i="17"/>
  <c r="T141" i="17"/>
  <c r="T135" i="17"/>
  <c r="T143" i="17"/>
  <c r="T144" i="17"/>
  <c r="T134" i="17"/>
  <c r="T136" i="17"/>
  <c r="T139" i="17"/>
  <c r="T133" i="17"/>
  <c r="T145" i="17"/>
  <c r="T151" i="17"/>
  <c r="T140" i="17"/>
  <c r="T149" i="17"/>
  <c r="T148" i="17"/>
  <c r="T147" i="17"/>
  <c r="T132" i="17"/>
  <c r="T137" i="17"/>
  <c r="O146" i="17" l="1"/>
  <c r="R146" i="17" s="1"/>
  <c r="Q140" i="17"/>
  <c r="K140" i="17" s="1"/>
  <c r="W140" i="17" s="1"/>
  <c r="Q135" i="17"/>
  <c r="Z135" i="17" s="1"/>
  <c r="Z136" i="17"/>
  <c r="Z137" i="17"/>
  <c r="Z138" i="17"/>
  <c r="Z148" i="17"/>
  <c r="Z151" i="17"/>
  <c r="P151" i="17"/>
  <c r="S151" i="17" s="1"/>
  <c r="X151" i="17" s="1"/>
  <c r="R149" i="17"/>
  <c r="S149" i="17"/>
  <c r="X149" i="17" s="1"/>
  <c r="K149" i="17"/>
  <c r="W149" i="17" s="1"/>
  <c r="K146" i="17"/>
  <c r="W146" i="17" s="1"/>
  <c r="Z146" i="17"/>
  <c r="O145" i="17"/>
  <c r="R145" i="17" s="1"/>
  <c r="O142" i="17"/>
  <c r="R142" i="17" s="1"/>
  <c r="K141" i="17"/>
  <c r="W141" i="17" s="1"/>
  <c r="Z141" i="17"/>
  <c r="O141" i="17"/>
  <c r="R141" i="17" s="1"/>
  <c r="O139" i="17"/>
  <c r="K139" i="17"/>
  <c r="W139" i="17" s="1"/>
  <c r="R137" i="17"/>
  <c r="S137" i="17"/>
  <c r="X137" i="17" s="1"/>
  <c r="R136" i="17"/>
  <c r="S136" i="17"/>
  <c r="X136" i="17" s="1"/>
  <c r="R135" i="17"/>
  <c r="P135" i="17"/>
  <c r="Z134" i="17"/>
  <c r="Z150" i="17"/>
  <c r="Z142" i="17"/>
  <c r="Z152" i="17"/>
  <c r="P140" i="17"/>
  <c r="P148" i="17"/>
  <c r="S148" i="17" s="1"/>
  <c r="X148" i="17" s="1"/>
  <c r="P150" i="17"/>
  <c r="S150" i="17" s="1"/>
  <c r="X150" i="17" s="1"/>
  <c r="P152" i="17"/>
  <c r="S152" i="17" s="1"/>
  <c r="X152" i="17" s="1"/>
  <c r="R138" i="17"/>
  <c r="O133" i="17"/>
  <c r="P133" i="17" s="1"/>
  <c r="S134" i="17"/>
  <c r="X134" i="17" s="1"/>
  <c r="S138" i="17"/>
  <c r="X138" i="17" s="1"/>
  <c r="O143" i="17"/>
  <c r="P143" i="17" s="1"/>
  <c r="O147" i="17"/>
  <c r="P147" i="17" s="1"/>
  <c r="R134" i="17"/>
  <c r="Q133" i="17"/>
  <c r="Q143" i="17"/>
  <c r="Q147" i="17"/>
  <c r="Q132" i="17"/>
  <c r="O132" i="17"/>
  <c r="P132" i="17" s="1"/>
  <c r="J78" i="1"/>
  <c r="K78" i="1" s="1"/>
  <c r="L131" i="17"/>
  <c r="Q131" i="17" s="1"/>
  <c r="K131" i="17" s="1"/>
  <c r="Y131" i="17"/>
  <c r="Y130" i="17"/>
  <c r="L130" i="17"/>
  <c r="O130" i="17" s="1"/>
  <c r="R130" i="17" s="1"/>
  <c r="T130" i="17"/>
  <c r="T131" i="17"/>
  <c r="L78" i="1"/>
  <c r="O131" i="17" l="1"/>
  <c r="P131" i="17" s="1"/>
  <c r="S131" i="17" s="1"/>
  <c r="X131" i="17" s="1"/>
  <c r="S140" i="17"/>
  <c r="X140" i="17" s="1"/>
  <c r="Z140" i="17"/>
  <c r="Q130" i="17"/>
  <c r="Z130" i="17" s="1"/>
  <c r="P146" i="17"/>
  <c r="S146" i="17" s="1"/>
  <c r="X146" i="17" s="1"/>
  <c r="S135" i="17"/>
  <c r="X135" i="17" s="1"/>
  <c r="P141" i="17"/>
  <c r="S141" i="17" s="1"/>
  <c r="X141" i="17" s="1"/>
  <c r="R132" i="17"/>
  <c r="P142" i="17"/>
  <c r="S142" i="17" s="1"/>
  <c r="X142" i="17" s="1"/>
  <c r="P139" i="17"/>
  <c r="S139" i="17" s="1"/>
  <c r="X139" i="17" s="1"/>
  <c r="R139" i="17"/>
  <c r="R147" i="17"/>
  <c r="R143" i="17"/>
  <c r="K135" i="17"/>
  <c r="W135" i="17" s="1"/>
  <c r="K133" i="17"/>
  <c r="W133" i="17" s="1"/>
  <c r="S133" i="17"/>
  <c r="X133" i="17" s="1"/>
  <c r="Z133" i="17"/>
  <c r="S143" i="17"/>
  <c r="X143" i="17" s="1"/>
  <c r="Z143" i="17"/>
  <c r="K143" i="17"/>
  <c r="W143" i="17" s="1"/>
  <c r="R133" i="17"/>
  <c r="K147" i="17"/>
  <c r="W147" i="17" s="1"/>
  <c r="S147" i="17"/>
  <c r="X147" i="17" s="1"/>
  <c r="Z147" i="17"/>
  <c r="S132" i="17"/>
  <c r="X132" i="17" s="1"/>
  <c r="K132" i="17"/>
  <c r="W132" i="17" s="1"/>
  <c r="Z132" i="17"/>
  <c r="W131" i="17"/>
  <c r="Z131" i="17"/>
  <c r="P130" i="17"/>
  <c r="Y129" i="17"/>
  <c r="L129" i="17"/>
  <c r="Q129" i="17" s="1"/>
  <c r="K129" i="17" s="1"/>
  <c r="W129" i="17" s="1"/>
  <c r="Y128" i="17"/>
  <c r="Q128" i="17"/>
  <c r="K128" i="17" s="1"/>
  <c r="W128" i="17" s="1"/>
  <c r="O128" i="17"/>
  <c r="R128" i="17" s="1"/>
  <c r="L127" i="17"/>
  <c r="Y127" i="17"/>
  <c r="Y126" i="17"/>
  <c r="T128" i="17"/>
  <c r="T126" i="17"/>
  <c r="T129" i="17"/>
  <c r="T127" i="17"/>
  <c r="R131" i="17" l="1"/>
  <c r="S130" i="17"/>
  <c r="X130" i="17" s="1"/>
  <c r="K130" i="17"/>
  <c r="W130" i="17" s="1"/>
  <c r="O129" i="17"/>
  <c r="R129" i="17" s="1"/>
  <c r="O127" i="17"/>
  <c r="R127" i="17" s="1"/>
  <c r="Z129" i="17"/>
  <c r="Z128" i="17"/>
  <c r="P128" i="17"/>
  <c r="S128" i="17" s="1"/>
  <c r="X128" i="17" s="1"/>
  <c r="O126" i="17"/>
  <c r="R126" i="17" s="1"/>
  <c r="Y125" i="17"/>
  <c r="Q125" i="17"/>
  <c r="K125" i="17" s="1"/>
  <c r="W125" i="17" s="1"/>
  <c r="O125" i="17"/>
  <c r="R125" i="17" s="1"/>
  <c r="Y124" i="17"/>
  <c r="Q124" i="17"/>
  <c r="Z124" i="17" s="1"/>
  <c r="O124" i="17"/>
  <c r="P124" i="17" s="1"/>
  <c r="Y123" i="17"/>
  <c r="Q123" i="17"/>
  <c r="K123" i="17" s="1"/>
  <c r="W123" i="17" s="1"/>
  <c r="O123" i="17"/>
  <c r="P123" i="17" s="1"/>
  <c r="Y122" i="17"/>
  <c r="Q122" i="17"/>
  <c r="K122" i="17" s="1"/>
  <c r="W122" i="17" s="1"/>
  <c r="O122" i="17"/>
  <c r="P122" i="17" s="1"/>
  <c r="L121" i="17"/>
  <c r="Q121" i="17" s="1"/>
  <c r="Z121" i="17" s="1"/>
  <c r="Y121" i="17"/>
  <c r="Y120" i="17"/>
  <c r="Y119" i="17"/>
  <c r="Y118" i="17"/>
  <c r="Y117" i="17"/>
  <c r="Q120" i="17"/>
  <c r="Z120" i="17" s="1"/>
  <c r="O120" i="17"/>
  <c r="R120" i="17" s="1"/>
  <c r="O119" i="17"/>
  <c r="R119" i="17" s="1"/>
  <c r="Q119" i="17"/>
  <c r="Z119" i="17" s="1"/>
  <c r="O118" i="17"/>
  <c r="Q117" i="17"/>
  <c r="Z117" i="17" s="1"/>
  <c r="O117" i="17"/>
  <c r="R117" i="17" s="1"/>
  <c r="C78" i="1"/>
  <c r="N78" i="1" s="1"/>
  <c r="T125" i="17"/>
  <c r="T122" i="17"/>
  <c r="T121" i="17"/>
  <c r="T117" i="17"/>
  <c r="T124" i="17"/>
  <c r="T118" i="17"/>
  <c r="T123" i="17"/>
  <c r="T119" i="17"/>
  <c r="T120" i="17"/>
  <c r="P129" i="17" l="1"/>
  <c r="S129" i="17" s="1"/>
  <c r="X129" i="17" s="1"/>
  <c r="O121" i="17"/>
  <c r="P121" i="17" s="1"/>
  <c r="S121" i="17" s="1"/>
  <c r="X121" i="17" s="1"/>
  <c r="S122" i="17"/>
  <c r="X122" i="17" s="1"/>
  <c r="W117" i="17"/>
  <c r="W119" i="17"/>
  <c r="W120" i="17"/>
  <c r="R118" i="17"/>
  <c r="Z122" i="17"/>
  <c r="Z123" i="17"/>
  <c r="Z125" i="17"/>
  <c r="P125" i="17"/>
  <c r="S125" i="17" s="1"/>
  <c r="X125" i="17" s="1"/>
  <c r="S124" i="17"/>
  <c r="X124" i="17" s="1"/>
  <c r="R124" i="17"/>
  <c r="K124" i="17"/>
  <c r="W124" i="17" s="1"/>
  <c r="R123" i="17"/>
  <c r="S123" i="17"/>
  <c r="X123" i="17" s="1"/>
  <c r="R122" i="17"/>
  <c r="W121" i="17"/>
  <c r="P120" i="17"/>
  <c r="S120" i="17" s="1"/>
  <c r="X120" i="17" s="1"/>
  <c r="P119" i="17"/>
  <c r="S119" i="17" s="1"/>
  <c r="X119" i="17" s="1"/>
  <c r="P117" i="17"/>
  <c r="S117" i="17" s="1"/>
  <c r="X117" i="17" s="1"/>
  <c r="J77" i="1"/>
  <c r="K77" i="1" s="1"/>
  <c r="C77" i="1"/>
  <c r="N77" i="1" s="1"/>
  <c r="L77" i="1"/>
  <c r="L76" i="1"/>
  <c r="R121" i="17" l="1"/>
  <c r="Y114" i="17"/>
  <c r="Y115" i="17"/>
  <c r="Q115" i="17"/>
  <c r="Z115" i="17" s="1"/>
  <c r="O115" i="17"/>
  <c r="P115" i="17" s="1"/>
  <c r="Y116" i="17"/>
  <c r="O116" i="17"/>
  <c r="R116" i="17" s="1"/>
  <c r="T114" i="17"/>
  <c r="T115" i="17"/>
  <c r="T116" i="17"/>
  <c r="K115" i="17" l="1"/>
  <c r="W115" i="17" s="1"/>
  <c r="S115" i="17"/>
  <c r="X115" i="17" s="1"/>
  <c r="O114" i="17"/>
  <c r="P114" i="17" s="1"/>
  <c r="Q114" i="17"/>
  <c r="R115" i="17"/>
  <c r="J76" i="1"/>
  <c r="K76" i="1" s="1"/>
  <c r="C76" i="1"/>
  <c r="N76" i="1" s="1"/>
  <c r="X114" i="17" l="1"/>
  <c r="Z114" i="17"/>
  <c r="K114" i="17"/>
  <c r="W114" i="17" s="1"/>
  <c r="L79" i="17"/>
  <c r="Y113" i="17" l="1"/>
  <c r="M113" i="17"/>
  <c r="L113" i="17"/>
  <c r="Y112" i="17"/>
  <c r="L111" i="17"/>
  <c r="Y111" i="17"/>
  <c r="Y110" i="17"/>
  <c r="L110" i="17"/>
  <c r="O110" i="17" s="1"/>
  <c r="P110" i="17" s="1"/>
  <c r="L109" i="17"/>
  <c r="Y108" i="17"/>
  <c r="Q108" i="17"/>
  <c r="Z108" i="17" s="1"/>
  <c r="O108" i="17"/>
  <c r="R108" i="17" s="1"/>
  <c r="Y107" i="17"/>
  <c r="Q107" i="17"/>
  <c r="Z107" i="17" s="1"/>
  <c r="O107" i="17"/>
  <c r="P107" i="17" s="1"/>
  <c r="Y106" i="17"/>
  <c r="O106" i="17"/>
  <c r="R106" i="17" s="1"/>
  <c r="T112" i="17"/>
  <c r="T111" i="17"/>
  <c r="T113" i="17"/>
  <c r="T108" i="17"/>
  <c r="T110" i="17"/>
  <c r="T106" i="17"/>
  <c r="T107" i="17"/>
  <c r="Q110" i="17" l="1"/>
  <c r="K110" i="17" s="1"/>
  <c r="W110" i="17" s="1"/>
  <c r="R110" i="17"/>
  <c r="K108" i="17"/>
  <c r="W108" i="17" s="1"/>
  <c r="O113" i="17"/>
  <c r="P113" i="17" s="1"/>
  <c r="Q113" i="17"/>
  <c r="O112" i="17"/>
  <c r="P112" i="17" s="1"/>
  <c r="Q112" i="17"/>
  <c r="O111" i="17"/>
  <c r="P111" i="17" s="1"/>
  <c r="Q111" i="17"/>
  <c r="R107" i="17"/>
  <c r="S107" i="17"/>
  <c r="X107" i="17" s="1"/>
  <c r="K107" i="17"/>
  <c r="W107" i="17" s="1"/>
  <c r="P108" i="17"/>
  <c r="S108" i="17" s="1"/>
  <c r="X108" i="17" s="1"/>
  <c r="C75" i="1"/>
  <c r="N75" i="1" s="1"/>
  <c r="J75" i="1"/>
  <c r="K75" i="1" s="1"/>
  <c r="L70" i="1"/>
  <c r="L65" i="1"/>
  <c r="L74" i="1"/>
  <c r="L66" i="1"/>
  <c r="L69" i="1"/>
  <c r="L73" i="1"/>
  <c r="L68" i="1"/>
  <c r="L67" i="1"/>
  <c r="L75" i="1"/>
  <c r="L72" i="1"/>
  <c r="L71" i="1"/>
  <c r="Z110" i="17" l="1"/>
  <c r="S110" i="17"/>
  <c r="X110" i="17" s="1"/>
  <c r="R113" i="17"/>
  <c r="K113" i="17"/>
  <c r="W113" i="17" s="1"/>
  <c r="S113" i="17"/>
  <c r="X113" i="17" s="1"/>
  <c r="Z113" i="17"/>
  <c r="S112" i="17"/>
  <c r="X112" i="17" s="1"/>
  <c r="K112" i="17"/>
  <c r="W112" i="17" s="1"/>
  <c r="Z112" i="17"/>
  <c r="R112" i="17"/>
  <c r="S111" i="17"/>
  <c r="X111" i="17" s="1"/>
  <c r="Z111" i="17"/>
  <c r="K111" i="17"/>
  <c r="W111" i="17" s="1"/>
  <c r="R111" i="17"/>
  <c r="Y104" i="17"/>
  <c r="Q104" i="17"/>
  <c r="K104" i="17" s="1"/>
  <c r="W104" i="17" s="1"/>
  <c r="O104" i="17"/>
  <c r="R104" i="17" s="1"/>
  <c r="L101" i="17"/>
  <c r="Q101" i="17" s="1"/>
  <c r="K101" i="17" s="1"/>
  <c r="W101" i="17" s="1"/>
  <c r="O99" i="17"/>
  <c r="P99" i="17" s="1"/>
  <c r="Q99" i="17"/>
  <c r="K99" i="17" s="1"/>
  <c r="W99" i="17" s="1"/>
  <c r="Y99" i="17"/>
  <c r="O100" i="17"/>
  <c r="P100" i="17" s="1"/>
  <c r="Q100" i="17"/>
  <c r="Z100" i="17" s="1"/>
  <c r="Y100" i="17"/>
  <c r="Y101" i="17"/>
  <c r="O102" i="17"/>
  <c r="R102" i="17" s="1"/>
  <c r="Q102" i="17"/>
  <c r="K102" i="17" s="1"/>
  <c r="W102" i="17" s="1"/>
  <c r="Y102" i="17"/>
  <c r="O103" i="17"/>
  <c r="P103" i="17" s="1"/>
  <c r="Q103" i="17"/>
  <c r="Y103" i="17"/>
  <c r="O105" i="17"/>
  <c r="R105" i="17" s="1"/>
  <c r="Q105" i="17"/>
  <c r="Y105" i="17"/>
  <c r="O109" i="17"/>
  <c r="P109" i="17" s="1"/>
  <c r="Q109" i="17"/>
  <c r="K109" i="17" s="1"/>
  <c r="W109" i="17" s="1"/>
  <c r="Y109" i="17"/>
  <c r="Y95" i="17"/>
  <c r="Q95" i="17"/>
  <c r="K95" i="17" s="1"/>
  <c r="W95" i="17" s="1"/>
  <c r="O95" i="17"/>
  <c r="R95" i="17" s="1"/>
  <c r="Y94" i="17"/>
  <c r="O94" i="17"/>
  <c r="R94" i="17" s="1"/>
  <c r="Y93" i="17"/>
  <c r="Q93" i="17"/>
  <c r="O93" i="17"/>
  <c r="R93" i="17" s="1"/>
  <c r="Y92" i="17"/>
  <c r="M92" i="17"/>
  <c r="L92" i="17"/>
  <c r="O92" i="17" s="1"/>
  <c r="Y90" i="17"/>
  <c r="L90" i="17"/>
  <c r="Q90" i="17" s="1"/>
  <c r="K90" i="17" s="1"/>
  <c r="W90" i="17" s="1"/>
  <c r="Y98" i="17"/>
  <c r="Q98" i="17"/>
  <c r="K98" i="17" s="1"/>
  <c r="O98" i="17"/>
  <c r="R98" i="17" s="1"/>
  <c r="Y97" i="17"/>
  <c r="Q97" i="17"/>
  <c r="Z97" i="17" s="1"/>
  <c r="O97" i="17"/>
  <c r="R97" i="17" s="1"/>
  <c r="Y96" i="17"/>
  <c r="Q96" i="17"/>
  <c r="Z96" i="17" s="1"/>
  <c r="O96" i="17"/>
  <c r="P96" i="17" s="1"/>
  <c r="Y91" i="17"/>
  <c r="Q91" i="17"/>
  <c r="K91" i="17" s="1"/>
  <c r="O91" i="17"/>
  <c r="R91" i="17" s="1"/>
  <c r="Y89" i="17"/>
  <c r="Q89" i="17"/>
  <c r="Z89" i="17" s="1"/>
  <c r="O89" i="17"/>
  <c r="R89" i="17" s="1"/>
  <c r="Y88" i="17"/>
  <c r="Q88" i="17"/>
  <c r="K88" i="17" s="1"/>
  <c r="O88" i="17"/>
  <c r="P88" i="17" s="1"/>
  <c r="Y87" i="17"/>
  <c r="Q87" i="17"/>
  <c r="Z87" i="17" s="1"/>
  <c r="O87" i="17"/>
  <c r="R87" i="17" s="1"/>
  <c r="Y86" i="17"/>
  <c r="Q86" i="17"/>
  <c r="K86" i="17" s="1"/>
  <c r="W86" i="17" s="1"/>
  <c r="O86" i="17"/>
  <c r="P86" i="17" s="1"/>
  <c r="O85" i="17"/>
  <c r="R85" i="17" s="1"/>
  <c r="Y85" i="17"/>
  <c r="Q85" i="17"/>
  <c r="Z85" i="17" s="1"/>
  <c r="H74" i="1"/>
  <c r="C9" i="27" s="1"/>
  <c r="H73" i="1"/>
  <c r="C8" i="27" s="1"/>
  <c r="C74" i="1"/>
  <c r="N74" i="1" s="1"/>
  <c r="T85" i="17"/>
  <c r="T90" i="17"/>
  <c r="T98" i="17"/>
  <c r="T89" i="17"/>
  <c r="T92" i="17"/>
  <c r="T99" i="17"/>
  <c r="T100" i="17"/>
  <c r="T109" i="17"/>
  <c r="T94" i="17"/>
  <c r="T93" i="17"/>
  <c r="T87" i="17"/>
  <c r="T88" i="17"/>
  <c r="T101" i="17"/>
  <c r="T96" i="17"/>
  <c r="T104" i="17"/>
  <c r="T105" i="17"/>
  <c r="T95" i="17"/>
  <c r="T103" i="17"/>
  <c r="T91" i="17"/>
  <c r="T97" i="17"/>
  <c r="T102" i="17"/>
  <c r="T86" i="17"/>
  <c r="J74" i="1" l="1"/>
  <c r="K74" i="1" s="1"/>
  <c r="C15" i="27"/>
  <c r="Q92" i="17"/>
  <c r="Z92" i="17" s="1"/>
  <c r="P92" i="17"/>
  <c r="O90" i="17"/>
  <c r="R90" i="17" s="1"/>
  <c r="Z93" i="17"/>
  <c r="Z86" i="17"/>
  <c r="P102" i="17"/>
  <c r="S102" i="17" s="1"/>
  <c r="X102" i="17" s="1"/>
  <c r="S103" i="17"/>
  <c r="X103" i="17" s="1"/>
  <c r="K100" i="17"/>
  <c r="W100" i="17" s="1"/>
  <c r="K93" i="17"/>
  <c r="W93" i="17" s="1"/>
  <c r="Z99" i="17"/>
  <c r="K85" i="17"/>
  <c r="W85" i="17" s="1"/>
  <c r="K96" i="17"/>
  <c r="W96" i="17" s="1"/>
  <c r="Z98" i="17"/>
  <c r="Z88" i="17"/>
  <c r="Z95" i="17"/>
  <c r="Z109" i="17"/>
  <c r="Z105" i="17"/>
  <c r="P105" i="17"/>
  <c r="S105" i="17" s="1"/>
  <c r="X105" i="17" s="1"/>
  <c r="Z104" i="17"/>
  <c r="P85" i="17"/>
  <c r="S85" i="17" s="1"/>
  <c r="X85" i="17" s="1"/>
  <c r="Z103" i="17"/>
  <c r="Z91" i="17"/>
  <c r="Z102" i="17"/>
  <c r="Z90" i="17"/>
  <c r="S88" i="17"/>
  <c r="X88" i="17" s="1"/>
  <c r="R103" i="17"/>
  <c r="Z101" i="17"/>
  <c r="R109" i="17"/>
  <c r="P104" i="17"/>
  <c r="S104" i="17" s="1"/>
  <c r="X104" i="17" s="1"/>
  <c r="O101" i="17"/>
  <c r="P101" i="17" s="1"/>
  <c r="S101" i="17" s="1"/>
  <c r="X101" i="17" s="1"/>
  <c r="S100" i="17"/>
  <c r="X100" i="17" s="1"/>
  <c r="S109" i="17"/>
  <c r="X109" i="17" s="1"/>
  <c r="R100" i="17"/>
  <c r="S99" i="17"/>
  <c r="X99" i="17" s="1"/>
  <c r="K105" i="17"/>
  <c r="W105" i="17" s="1"/>
  <c r="K103" i="17"/>
  <c r="W103" i="17" s="1"/>
  <c r="R99" i="17"/>
  <c r="P97" i="17"/>
  <c r="S97" i="17" s="1"/>
  <c r="X97" i="17" s="1"/>
  <c r="K97" i="17"/>
  <c r="W97" i="17" s="1"/>
  <c r="S96" i="17"/>
  <c r="X96" i="17" s="1"/>
  <c r="P95" i="17"/>
  <c r="S95" i="17" s="1"/>
  <c r="X95" i="17" s="1"/>
  <c r="P93" i="17"/>
  <c r="S93" i="17" s="1"/>
  <c r="X93" i="17" s="1"/>
  <c r="R92" i="17"/>
  <c r="K89" i="17"/>
  <c r="W89" i="17" s="1"/>
  <c r="K87" i="17"/>
  <c r="W87" i="17" s="1"/>
  <c r="W88" i="17"/>
  <c r="W91" i="17"/>
  <c r="W98" i="17"/>
  <c r="P89" i="17"/>
  <c r="R96" i="17"/>
  <c r="P98" i="17"/>
  <c r="S98" i="17" s="1"/>
  <c r="X98" i="17" s="1"/>
  <c r="R88" i="17"/>
  <c r="S86" i="17"/>
  <c r="X86" i="17" s="1"/>
  <c r="P91" i="17"/>
  <c r="S91" i="17" s="1"/>
  <c r="X91" i="17" s="1"/>
  <c r="P87" i="17"/>
  <c r="S87" i="17" s="1"/>
  <c r="X87" i="17" s="1"/>
  <c r="R86" i="17"/>
  <c r="C73" i="1"/>
  <c r="N73" i="1" s="1"/>
  <c r="C72" i="1"/>
  <c r="N72" i="1" s="1"/>
  <c r="C71" i="1"/>
  <c r="N71" i="1" s="1"/>
  <c r="C70" i="1"/>
  <c r="N70" i="1" s="1"/>
  <c r="J73" i="1"/>
  <c r="K73" i="1" s="1"/>
  <c r="J72" i="1"/>
  <c r="K72" i="1" s="1"/>
  <c r="J71" i="1"/>
  <c r="J70" i="1"/>
  <c r="K70" i="1" s="1"/>
  <c r="J69" i="1"/>
  <c r="K69" i="1" s="1"/>
  <c r="C69" i="1"/>
  <c r="N69" i="1" s="1"/>
  <c r="S92" i="17" l="1"/>
  <c r="X92" i="17" s="1"/>
  <c r="K92" i="17"/>
  <c r="W92" i="17" s="1"/>
  <c r="P90" i="17"/>
  <c r="S90" i="17" s="1"/>
  <c r="X90" i="17" s="1"/>
  <c r="S89" i="17"/>
  <c r="X89" i="17" s="1"/>
  <c r="R101" i="17"/>
  <c r="Y83" i="17"/>
  <c r="Q83" i="17"/>
  <c r="Z83" i="17" s="1"/>
  <c r="O83" i="17"/>
  <c r="R83" i="17" s="1"/>
  <c r="R82" i="17"/>
  <c r="Y82" i="17"/>
  <c r="Q82" i="17"/>
  <c r="Z82" i="17" s="1"/>
  <c r="R81" i="17"/>
  <c r="Y81" i="17"/>
  <c r="Q81" i="17"/>
  <c r="Y84" i="17"/>
  <c r="O84" i="17"/>
  <c r="R84" i="17" s="1"/>
  <c r="Y80" i="17"/>
  <c r="L80" i="17"/>
  <c r="Q80" i="17" s="1"/>
  <c r="Y79" i="17"/>
  <c r="O79" i="17"/>
  <c r="R79" i="17" s="1"/>
  <c r="Y78" i="17"/>
  <c r="O78" i="17"/>
  <c r="R78" i="17" s="1"/>
  <c r="Q78" i="17"/>
  <c r="Z78" i="17" s="1"/>
  <c r="Y77" i="17"/>
  <c r="O77" i="17"/>
  <c r="R77" i="17" s="1"/>
  <c r="Y76" i="17"/>
  <c r="Q76" i="17"/>
  <c r="O76" i="17"/>
  <c r="R76" i="17" s="1"/>
  <c r="Y75" i="17"/>
  <c r="Q75" i="17"/>
  <c r="O75" i="17"/>
  <c r="R75" i="17" s="1"/>
  <c r="T79" i="17"/>
  <c r="T77" i="17"/>
  <c r="T76" i="17"/>
  <c r="T80" i="17"/>
  <c r="T78" i="17"/>
  <c r="T84" i="17"/>
  <c r="T82" i="17"/>
  <c r="T75" i="17"/>
  <c r="T81" i="17"/>
  <c r="T83" i="17"/>
  <c r="O80" i="17" l="1"/>
  <c r="R80" i="17" s="1"/>
  <c r="K83" i="17"/>
  <c r="W83" i="17" s="1"/>
  <c r="W75" i="17"/>
  <c r="Z75" i="17"/>
  <c r="K76" i="17"/>
  <c r="W76" i="17" s="1"/>
  <c r="Z76" i="17"/>
  <c r="K81" i="17"/>
  <c r="W81" i="17" s="1"/>
  <c r="Z81" i="17"/>
  <c r="W80" i="17"/>
  <c r="Z80" i="17"/>
  <c r="P83" i="17"/>
  <c r="S83" i="17" s="1"/>
  <c r="X83" i="17" s="1"/>
  <c r="S82" i="17"/>
  <c r="X82" i="17" s="1"/>
  <c r="K82" i="17"/>
  <c r="W82" i="17" s="1"/>
  <c r="S81" i="17"/>
  <c r="X81" i="17" s="1"/>
  <c r="K78" i="17"/>
  <c r="W78" i="17" s="1"/>
  <c r="P78" i="17"/>
  <c r="S78" i="17" s="1"/>
  <c r="X78" i="17" s="1"/>
  <c r="P76" i="17"/>
  <c r="S76" i="17" s="1"/>
  <c r="X76" i="17" s="1"/>
  <c r="P75" i="17"/>
  <c r="S75" i="17" s="1"/>
  <c r="X75" i="17" s="1"/>
  <c r="J68" i="1"/>
  <c r="K68" i="1" s="1"/>
  <c r="C68" i="1"/>
  <c r="N68" i="1" s="1"/>
  <c r="P80" i="17" l="1"/>
  <c r="S80" i="17" s="1"/>
  <c r="X80" i="17" s="1"/>
  <c r="Y74" i="17"/>
  <c r="Q74" i="17"/>
  <c r="O74" i="17"/>
  <c r="R74" i="17" s="1"/>
  <c r="Y73" i="17"/>
  <c r="Q73" i="17"/>
  <c r="O73" i="17"/>
  <c r="R73" i="17" s="1"/>
  <c r="Y72" i="17"/>
  <c r="M72" i="17"/>
  <c r="L72" i="17"/>
  <c r="O72" i="17" s="1"/>
  <c r="P72" i="17" s="1"/>
  <c r="Y71" i="17"/>
  <c r="Q71" i="17"/>
  <c r="Z71" i="17" s="1"/>
  <c r="O71" i="17"/>
  <c r="P71" i="17" s="1"/>
  <c r="Y70" i="17"/>
  <c r="L70" i="17"/>
  <c r="O70" i="17" s="1"/>
  <c r="R70" i="17" s="1"/>
  <c r="Y69" i="17"/>
  <c r="O69" i="17"/>
  <c r="Y68" i="17"/>
  <c r="Q68" i="17"/>
  <c r="Z68" i="17" s="1"/>
  <c r="T74" i="17"/>
  <c r="T73" i="17"/>
  <c r="T71" i="17"/>
  <c r="T69" i="17"/>
  <c r="T72" i="17"/>
  <c r="T68" i="17"/>
  <c r="T70" i="17"/>
  <c r="Q70" i="17" l="1"/>
  <c r="K70" i="17" s="1"/>
  <c r="W70" i="17" s="1"/>
  <c r="R72" i="17"/>
  <c r="P70" i="17"/>
  <c r="W73" i="17"/>
  <c r="Z73" i="17"/>
  <c r="W74" i="17"/>
  <c r="Z74" i="17"/>
  <c r="K71" i="17"/>
  <c r="W71" i="17" s="1"/>
  <c r="P74" i="17"/>
  <c r="S74" i="17" s="1"/>
  <c r="X74" i="17" s="1"/>
  <c r="P73" i="17"/>
  <c r="S73" i="17" s="1"/>
  <c r="X73" i="17" s="1"/>
  <c r="Q72" i="17"/>
  <c r="Z72" i="17" s="1"/>
  <c r="R71" i="17"/>
  <c r="S71" i="17"/>
  <c r="X71" i="17" s="1"/>
  <c r="R69" i="17"/>
  <c r="K68" i="17"/>
  <c r="W68" i="17" s="1"/>
  <c r="O68" i="17"/>
  <c r="J67" i="1"/>
  <c r="K67" i="1" s="1"/>
  <c r="C67" i="1"/>
  <c r="N67" i="1" s="1"/>
  <c r="Z70" i="17" l="1"/>
  <c r="S70" i="17"/>
  <c r="X70" i="17" s="1"/>
  <c r="K72" i="17"/>
  <c r="W72" i="17" s="1"/>
  <c r="S72" i="17"/>
  <c r="X72" i="17" s="1"/>
  <c r="R68" i="17"/>
  <c r="P68" i="17"/>
  <c r="S68" i="17" s="1"/>
  <c r="X68" i="17" s="1"/>
  <c r="Y67" i="17"/>
  <c r="Q67" i="17"/>
  <c r="O67" i="17"/>
  <c r="R67" i="17" s="1"/>
  <c r="Y66" i="17"/>
  <c r="Q66" i="17"/>
  <c r="Z66" i="17" s="1"/>
  <c r="O66" i="17"/>
  <c r="R66" i="17" s="1"/>
  <c r="Y65" i="17"/>
  <c r="O65" i="17"/>
  <c r="R65" i="17" s="1"/>
  <c r="Y64" i="17"/>
  <c r="Q64" i="17"/>
  <c r="O64" i="17"/>
  <c r="R64" i="17" s="1"/>
  <c r="Y63" i="17"/>
  <c r="O63" i="17"/>
  <c r="R63" i="17" s="1"/>
  <c r="Q63" i="17"/>
  <c r="Z63" i="17" s="1"/>
  <c r="T64" i="17"/>
  <c r="T65" i="17"/>
  <c r="T63" i="17"/>
  <c r="T66" i="17"/>
  <c r="T67" i="17"/>
  <c r="K66" i="17" l="1"/>
  <c r="W66" i="17" s="1"/>
  <c r="P67" i="17"/>
  <c r="S67" i="17" s="1"/>
  <c r="X67" i="17" s="1"/>
  <c r="K67" i="17"/>
  <c r="W67" i="17" s="1"/>
  <c r="Z67" i="17"/>
  <c r="K64" i="17"/>
  <c r="W64" i="17" s="1"/>
  <c r="Z64" i="17"/>
  <c r="P66" i="17"/>
  <c r="S66" i="17" s="1"/>
  <c r="X66" i="17" s="1"/>
  <c r="P64" i="17"/>
  <c r="S64" i="17" s="1"/>
  <c r="X64" i="17" s="1"/>
  <c r="K63" i="17"/>
  <c r="W63" i="17" s="1"/>
  <c r="P63" i="17"/>
  <c r="S63" i="17" s="1"/>
  <c r="X63" i="17" s="1"/>
  <c r="Y62" i="17" l="1"/>
  <c r="O62" i="17"/>
  <c r="R62" i="17" s="1"/>
  <c r="L61" i="17"/>
  <c r="Q61" i="17" s="1"/>
  <c r="Y61" i="17"/>
  <c r="Y60" i="17"/>
  <c r="Y59" i="17"/>
  <c r="Q59" i="17"/>
  <c r="O59" i="17"/>
  <c r="R59" i="17" s="1"/>
  <c r="L58" i="17"/>
  <c r="O58" i="17" s="1"/>
  <c r="R58" i="17" s="1"/>
  <c r="Y58" i="17"/>
  <c r="M58" i="17"/>
  <c r="Y57" i="17"/>
  <c r="L57" i="17"/>
  <c r="O57" i="17" s="1"/>
  <c r="R57" i="17" s="1"/>
  <c r="L56" i="17"/>
  <c r="O56" i="17" s="1"/>
  <c r="R56" i="17" s="1"/>
  <c r="Y56" i="17"/>
  <c r="Y55" i="17"/>
  <c r="L55" i="17"/>
  <c r="Q55" i="17" s="1"/>
  <c r="Y54" i="17"/>
  <c r="L54" i="17"/>
  <c r="Q54" i="17" s="1"/>
  <c r="Y53" i="17"/>
  <c r="L53" i="17"/>
  <c r="O53" i="17" s="1"/>
  <c r="P53" i="17" s="1"/>
  <c r="E49" i="17"/>
  <c r="T58" i="17"/>
  <c r="T57" i="17"/>
  <c r="T61" i="17"/>
  <c r="T60" i="17"/>
  <c r="T62" i="17"/>
  <c r="T53" i="17"/>
  <c r="T54" i="17"/>
  <c r="T59" i="17"/>
  <c r="T56" i="17"/>
  <c r="T55" i="17"/>
  <c r="Q56" i="17" l="1"/>
  <c r="Z56" i="17" s="1"/>
  <c r="Q57" i="17"/>
  <c r="K57" i="17" s="1"/>
  <c r="W57" i="17" s="1"/>
  <c r="Q53" i="17"/>
  <c r="K53" i="17" s="1"/>
  <c r="W53" i="17" s="1"/>
  <c r="O54" i="17"/>
  <c r="R54" i="17" s="1"/>
  <c r="O55" i="17"/>
  <c r="R55" i="17" s="1"/>
  <c r="Q58" i="17"/>
  <c r="Z58" i="17" s="1"/>
  <c r="P58" i="17"/>
  <c r="P59" i="17"/>
  <c r="S59" i="17" s="1"/>
  <c r="X59" i="17" s="1"/>
  <c r="K54" i="17"/>
  <c r="W54" i="17" s="1"/>
  <c r="Z54" i="17"/>
  <c r="K61" i="17"/>
  <c r="W61" i="17" s="1"/>
  <c r="Z61" i="17"/>
  <c r="K59" i="17"/>
  <c r="W59" i="17" s="1"/>
  <c r="Z59" i="17"/>
  <c r="R53" i="17"/>
  <c r="K55" i="17"/>
  <c r="W55" i="17" s="1"/>
  <c r="Z55" i="17"/>
  <c r="O61" i="17"/>
  <c r="R61" i="17" s="1"/>
  <c r="O60" i="17"/>
  <c r="P60" i="17" s="1"/>
  <c r="Q60" i="17"/>
  <c r="Z60" i="17" s="1"/>
  <c r="P57" i="17"/>
  <c r="P56" i="17"/>
  <c r="Q7" i="17"/>
  <c r="Z7" i="17" s="1"/>
  <c r="Q18" i="17"/>
  <c r="Z18" i="17" s="1"/>
  <c r="K56" i="17" l="1"/>
  <c r="W56" i="17" s="1"/>
  <c r="S56" i="17"/>
  <c r="X56" i="17" s="1"/>
  <c r="S58" i="17"/>
  <c r="X58" i="17" s="1"/>
  <c r="P54" i="17"/>
  <c r="S54" i="17" s="1"/>
  <c r="X54" i="17" s="1"/>
  <c r="P55" i="17"/>
  <c r="S55" i="17" s="1"/>
  <c r="X55" i="17" s="1"/>
  <c r="S57" i="17"/>
  <c r="X57" i="17" s="1"/>
  <c r="Z57" i="17"/>
  <c r="K58" i="17"/>
  <c r="W58" i="17" s="1"/>
  <c r="Z53" i="17"/>
  <c r="S53" i="17"/>
  <c r="X53" i="17" s="1"/>
  <c r="P61" i="17"/>
  <c r="S61" i="17" s="1"/>
  <c r="X61" i="17" s="1"/>
  <c r="K60" i="17"/>
  <c r="W60" i="17" s="1"/>
  <c r="S60" i="17"/>
  <c r="X60" i="17" s="1"/>
  <c r="R60" i="17"/>
  <c r="Y52" i="17"/>
  <c r="Q52" i="17"/>
  <c r="O52" i="17"/>
  <c r="R52" i="17" s="1"/>
  <c r="Y51" i="17"/>
  <c r="Q51" i="17"/>
  <c r="O51" i="17"/>
  <c r="R51" i="17" s="1"/>
  <c r="Y50" i="17"/>
  <c r="O50" i="17"/>
  <c r="R50" i="17" s="1"/>
  <c r="Y49" i="17"/>
  <c r="Q49" i="17"/>
  <c r="O49" i="17"/>
  <c r="R49" i="17" s="1"/>
  <c r="Y48" i="17"/>
  <c r="Q48" i="17"/>
  <c r="O48" i="17"/>
  <c r="R48" i="17" s="1"/>
  <c r="Y47" i="17"/>
  <c r="M47" i="17"/>
  <c r="L47" i="17"/>
  <c r="O47" i="17" s="1"/>
  <c r="R47" i="17" s="1"/>
  <c r="Y46" i="17"/>
  <c r="Q46" i="17"/>
  <c r="O46" i="17"/>
  <c r="R46" i="17" s="1"/>
  <c r="Y45" i="17"/>
  <c r="Q45" i="17"/>
  <c r="O45" i="17"/>
  <c r="R45" i="17" s="1"/>
  <c r="Y44" i="17"/>
  <c r="Q44" i="17"/>
  <c r="O44" i="17"/>
  <c r="R44" i="17" s="1"/>
  <c r="Z7" i="9"/>
  <c r="B7" i="9"/>
  <c r="T52" i="17"/>
  <c r="T48" i="17"/>
  <c r="T51" i="17"/>
  <c r="T50" i="17"/>
  <c r="T44" i="17"/>
  <c r="T49" i="17"/>
  <c r="T45" i="17"/>
  <c r="T47" i="17"/>
  <c r="T46" i="17"/>
  <c r="K44" i="17" l="1"/>
  <c r="W44" i="17" s="1"/>
  <c r="Z44" i="17"/>
  <c r="K45" i="17"/>
  <c r="W45" i="17" s="1"/>
  <c r="Z45" i="17"/>
  <c r="K48" i="17"/>
  <c r="W48" i="17" s="1"/>
  <c r="Z48" i="17"/>
  <c r="K52" i="17"/>
  <c r="W52" i="17" s="1"/>
  <c r="Z52" i="17"/>
  <c r="K46" i="17"/>
  <c r="W46" i="17" s="1"/>
  <c r="Z46" i="17"/>
  <c r="K49" i="17"/>
  <c r="W49" i="17" s="1"/>
  <c r="Z49" i="17"/>
  <c r="K51" i="17"/>
  <c r="W51" i="17" s="1"/>
  <c r="Z51" i="17"/>
  <c r="Q47" i="17"/>
  <c r="Z47" i="17" s="1"/>
  <c r="P51" i="17"/>
  <c r="S51" i="17" s="1"/>
  <c r="X51" i="17" s="1"/>
  <c r="P47" i="17"/>
  <c r="P52" i="17"/>
  <c r="S52" i="17" s="1"/>
  <c r="X52" i="17" s="1"/>
  <c r="P49" i="17"/>
  <c r="S49" i="17" s="1"/>
  <c r="X49" i="17" s="1"/>
  <c r="P48" i="17"/>
  <c r="S48" i="17" s="1"/>
  <c r="X48" i="17" s="1"/>
  <c r="P45" i="17"/>
  <c r="S45" i="17" s="1"/>
  <c r="X45" i="17" s="1"/>
  <c r="P44" i="17"/>
  <c r="S44" i="17" s="1"/>
  <c r="X44" i="17" s="1"/>
  <c r="P46" i="17"/>
  <c r="S46" i="17" s="1"/>
  <c r="X46" i="17" s="1"/>
  <c r="J66" i="1"/>
  <c r="K66" i="1" s="1"/>
  <c r="C66" i="1"/>
  <c r="N66" i="1" s="1"/>
  <c r="K47" i="17" l="1"/>
  <c r="W47" i="17" s="1"/>
  <c r="S47" i="17"/>
  <c r="X47" i="17" s="1"/>
  <c r="M109" i="20" l="1"/>
  <c r="M93" i="20"/>
  <c r="M80" i="20"/>
  <c r="M72" i="20"/>
  <c r="M66" i="20"/>
  <c r="M57" i="20"/>
  <c r="M46" i="20"/>
  <c r="M27" i="20"/>
  <c r="M21" i="20"/>
  <c r="P109" i="20"/>
  <c r="N109" i="20"/>
  <c r="T109" i="20" s="1"/>
  <c r="T93" i="20"/>
  <c r="P93" i="20"/>
  <c r="N93" i="20"/>
  <c r="P80" i="20"/>
  <c r="N80" i="20"/>
  <c r="T80" i="20" s="1"/>
  <c r="P72" i="20"/>
  <c r="U72" i="20" s="1"/>
  <c r="N72" i="20"/>
  <c r="P66" i="20"/>
  <c r="U66" i="20" s="1"/>
  <c r="N66" i="20"/>
  <c r="T66" i="20" s="1"/>
  <c r="P57" i="20"/>
  <c r="N57" i="20"/>
  <c r="T46" i="20"/>
  <c r="P46" i="20"/>
  <c r="N46" i="20"/>
  <c r="P27" i="20"/>
  <c r="U27" i="20" s="1"/>
  <c r="N27" i="20"/>
  <c r="T27" i="20" s="1"/>
  <c r="P12" i="20"/>
  <c r="N12" i="20"/>
  <c r="M12" i="20"/>
  <c r="T16" i="20"/>
  <c r="P16" i="20"/>
  <c r="U16" i="20" s="1"/>
  <c r="N16" i="20"/>
  <c r="M16" i="20"/>
  <c r="P21" i="20"/>
  <c r="N21" i="20"/>
  <c r="N4" i="20"/>
  <c r="T4" i="20"/>
  <c r="M4" i="20"/>
  <c r="P4" i="20"/>
  <c r="P126" i="20"/>
  <c r="P125" i="20"/>
  <c r="P124" i="20"/>
  <c r="P123" i="20"/>
  <c r="P122" i="20"/>
  <c r="P121" i="20"/>
  <c r="P120" i="20"/>
  <c r="P119" i="20"/>
  <c r="P118" i="20"/>
  <c r="P117" i="20"/>
  <c r="P116" i="20"/>
  <c r="P115" i="20"/>
  <c r="D115" i="20"/>
  <c r="P114" i="20"/>
  <c r="D114" i="20"/>
  <c r="P113" i="20"/>
  <c r="D113" i="20"/>
  <c r="P112" i="20"/>
  <c r="D112" i="20"/>
  <c r="P111" i="20"/>
  <c r="D111" i="20"/>
  <c r="P110" i="20"/>
  <c r="D110" i="20"/>
  <c r="D109" i="20"/>
  <c r="P108" i="20"/>
  <c r="D108" i="20"/>
  <c r="P107" i="20"/>
  <c r="D107" i="20"/>
  <c r="P106" i="20"/>
  <c r="D106" i="20"/>
  <c r="P105" i="20"/>
  <c r="D105" i="20"/>
  <c r="P104" i="20"/>
  <c r="D104" i="20"/>
  <c r="P103" i="20"/>
  <c r="D103" i="20"/>
  <c r="P102" i="20"/>
  <c r="D102" i="20"/>
  <c r="P101" i="20"/>
  <c r="D101" i="20"/>
  <c r="P100" i="20"/>
  <c r="D100" i="20"/>
  <c r="P99" i="20"/>
  <c r="D99" i="20"/>
  <c r="P98" i="20"/>
  <c r="D98" i="20"/>
  <c r="P97" i="20"/>
  <c r="D97" i="20"/>
  <c r="P96" i="20"/>
  <c r="D96" i="20"/>
  <c r="P95" i="20"/>
  <c r="D95" i="20"/>
  <c r="P94" i="20"/>
  <c r="D94" i="20"/>
  <c r="D93" i="20"/>
  <c r="P92" i="20"/>
  <c r="D92" i="20"/>
  <c r="P91" i="20"/>
  <c r="D91" i="20"/>
  <c r="P90" i="20"/>
  <c r="D90" i="20"/>
  <c r="P89" i="20"/>
  <c r="D89" i="20"/>
  <c r="P88" i="20"/>
  <c r="D88" i="20"/>
  <c r="P87" i="20"/>
  <c r="D87" i="20"/>
  <c r="P86" i="20"/>
  <c r="D86" i="20"/>
  <c r="P85" i="20"/>
  <c r="D85" i="20"/>
  <c r="P84" i="20"/>
  <c r="D84" i="20"/>
  <c r="P83" i="20"/>
  <c r="D83" i="20"/>
  <c r="P82" i="20"/>
  <c r="D82" i="20"/>
  <c r="P81" i="20"/>
  <c r="D81" i="20"/>
  <c r="D80" i="20"/>
  <c r="P79" i="20"/>
  <c r="D79" i="20"/>
  <c r="P78" i="20"/>
  <c r="D78" i="20"/>
  <c r="P77" i="20"/>
  <c r="D77" i="20"/>
  <c r="P76" i="20"/>
  <c r="D76" i="20"/>
  <c r="P75" i="20"/>
  <c r="D75" i="20"/>
  <c r="P74" i="20"/>
  <c r="D74" i="20"/>
  <c r="P73" i="20"/>
  <c r="D73" i="20"/>
  <c r="D72" i="20"/>
  <c r="P71" i="20"/>
  <c r="D71" i="20"/>
  <c r="P70" i="20"/>
  <c r="D70" i="20"/>
  <c r="P69" i="20"/>
  <c r="D69" i="20"/>
  <c r="P68" i="20"/>
  <c r="D68" i="20"/>
  <c r="P67" i="20"/>
  <c r="D67" i="20"/>
  <c r="D66" i="20"/>
  <c r="P65" i="20"/>
  <c r="D65" i="20"/>
  <c r="P64" i="20"/>
  <c r="D64" i="20"/>
  <c r="P63" i="20"/>
  <c r="D63" i="20"/>
  <c r="P62" i="20"/>
  <c r="D62" i="20"/>
  <c r="P61" i="20"/>
  <c r="D61" i="20"/>
  <c r="P60" i="20"/>
  <c r="D60" i="20"/>
  <c r="P59" i="20"/>
  <c r="D59" i="20"/>
  <c r="P58" i="20"/>
  <c r="D58" i="20"/>
  <c r="D57" i="20"/>
  <c r="P56" i="20"/>
  <c r="D56" i="20"/>
  <c r="P55" i="20"/>
  <c r="D55" i="20"/>
  <c r="P54" i="20"/>
  <c r="D54" i="20"/>
  <c r="P53" i="20"/>
  <c r="D53" i="20"/>
  <c r="P52" i="20"/>
  <c r="D52" i="20"/>
  <c r="P51" i="20"/>
  <c r="D51" i="20"/>
  <c r="P50" i="20"/>
  <c r="D50" i="20"/>
  <c r="P49" i="20"/>
  <c r="D49" i="20"/>
  <c r="P48" i="20"/>
  <c r="D48" i="20"/>
  <c r="P47" i="20"/>
  <c r="D47" i="20"/>
  <c r="D46" i="20"/>
  <c r="P45" i="20"/>
  <c r="D45" i="20"/>
  <c r="P44" i="20"/>
  <c r="D44" i="20"/>
  <c r="P43" i="20"/>
  <c r="D43" i="20"/>
  <c r="P42" i="20"/>
  <c r="D42" i="20"/>
  <c r="P41" i="20"/>
  <c r="D41" i="20"/>
  <c r="P40" i="20"/>
  <c r="D40" i="20"/>
  <c r="P39" i="20"/>
  <c r="D39" i="20"/>
  <c r="P38" i="20"/>
  <c r="D38" i="20"/>
  <c r="P37" i="20"/>
  <c r="D37" i="20"/>
  <c r="P36" i="20"/>
  <c r="D36" i="20"/>
  <c r="P35" i="20"/>
  <c r="D35" i="20"/>
  <c r="P34" i="20"/>
  <c r="D34" i="20"/>
  <c r="P33" i="20"/>
  <c r="D33" i="20"/>
  <c r="P32" i="20"/>
  <c r="D32" i="20"/>
  <c r="P31" i="20"/>
  <c r="D31" i="20"/>
  <c r="P30" i="20"/>
  <c r="D30" i="20"/>
  <c r="P29" i="20"/>
  <c r="D29" i="20"/>
  <c r="P28" i="20"/>
  <c r="D28" i="20"/>
  <c r="D27" i="20"/>
  <c r="P26" i="20"/>
  <c r="D26" i="20"/>
  <c r="P25" i="20"/>
  <c r="D25" i="20"/>
  <c r="P24" i="20"/>
  <c r="D24" i="20"/>
  <c r="P23" i="20"/>
  <c r="D23" i="20"/>
  <c r="P22" i="20"/>
  <c r="D22" i="20"/>
  <c r="D21" i="20"/>
  <c r="P20" i="20"/>
  <c r="D20" i="20"/>
  <c r="P19" i="20"/>
  <c r="D19" i="20"/>
  <c r="P18" i="20"/>
  <c r="D18" i="20"/>
  <c r="P17" i="20"/>
  <c r="D17" i="20"/>
  <c r="D16" i="20"/>
  <c r="P15" i="20"/>
  <c r="D15" i="20"/>
  <c r="P14" i="20"/>
  <c r="D14" i="20"/>
  <c r="P13" i="20"/>
  <c r="D13" i="20"/>
  <c r="D12" i="20"/>
  <c r="P11" i="20"/>
  <c r="D11" i="20"/>
  <c r="P10" i="20"/>
  <c r="D10" i="20"/>
  <c r="P9" i="20"/>
  <c r="D9" i="20"/>
  <c r="P8" i="20"/>
  <c r="D8" i="20"/>
  <c r="P7" i="20"/>
  <c r="D7" i="20"/>
  <c r="P6" i="20"/>
  <c r="D6" i="20"/>
  <c r="P5" i="20"/>
  <c r="D5" i="20"/>
  <c r="D4" i="20"/>
  <c r="P3" i="20"/>
  <c r="D3" i="20"/>
  <c r="P2" i="20"/>
  <c r="D2" i="20"/>
  <c r="L3" i="19"/>
  <c r="L4" i="19"/>
  <c r="L5" i="19"/>
  <c r="L6" i="19"/>
  <c r="L7" i="19"/>
  <c r="L8" i="19"/>
  <c r="L9" i="19"/>
  <c r="L10" i="19"/>
  <c r="L11" i="19"/>
  <c r="L12" i="19"/>
  <c r="L2" i="19"/>
  <c r="P115" i="18"/>
  <c r="P114" i="18"/>
  <c r="P113" i="18"/>
  <c r="P112" i="18"/>
  <c r="P111" i="18"/>
  <c r="P110" i="18"/>
  <c r="P109" i="18"/>
  <c r="P108" i="18"/>
  <c r="P107" i="18"/>
  <c r="P106" i="18"/>
  <c r="P105" i="18"/>
  <c r="P104" i="18"/>
  <c r="P103" i="18"/>
  <c r="P102" i="18"/>
  <c r="P101" i="18"/>
  <c r="P100" i="18"/>
  <c r="P99" i="18"/>
  <c r="P98" i="18"/>
  <c r="P97" i="18"/>
  <c r="P96" i="18"/>
  <c r="P95" i="18"/>
  <c r="P94" i="18"/>
  <c r="P93" i="18"/>
  <c r="P92" i="18"/>
  <c r="P91" i="18"/>
  <c r="P90" i="18"/>
  <c r="P89" i="18"/>
  <c r="P88" i="18"/>
  <c r="P87" i="18"/>
  <c r="P86" i="18"/>
  <c r="P85" i="18"/>
  <c r="P84" i="18"/>
  <c r="P83" i="18"/>
  <c r="P82" i="18"/>
  <c r="P81" i="18"/>
  <c r="P80" i="18"/>
  <c r="P79" i="18"/>
  <c r="P78" i="18"/>
  <c r="P77" i="18"/>
  <c r="P76" i="18"/>
  <c r="P75" i="18"/>
  <c r="P74" i="18"/>
  <c r="P73" i="18"/>
  <c r="P72" i="18"/>
  <c r="P71" i="18"/>
  <c r="P70" i="18"/>
  <c r="P69" i="18"/>
  <c r="P68" i="18"/>
  <c r="P67" i="18"/>
  <c r="P66" i="18"/>
  <c r="P65" i="18"/>
  <c r="P64" i="18"/>
  <c r="P63" i="18"/>
  <c r="P62" i="18"/>
  <c r="P61" i="18"/>
  <c r="P60" i="18"/>
  <c r="P59" i="18"/>
  <c r="P58" i="18"/>
  <c r="P57" i="18"/>
  <c r="P56" i="18"/>
  <c r="P55" i="18"/>
  <c r="P54" i="18"/>
  <c r="P53" i="18"/>
  <c r="P52" i="18"/>
  <c r="P51" i="18"/>
  <c r="P50" i="18"/>
  <c r="P49" i="18"/>
  <c r="P48" i="18"/>
  <c r="P47" i="18"/>
  <c r="P46" i="18"/>
  <c r="P45" i="18"/>
  <c r="P44" i="18"/>
  <c r="P43" i="18"/>
  <c r="P42" i="18"/>
  <c r="P41" i="18"/>
  <c r="P40" i="18"/>
  <c r="P39" i="18"/>
  <c r="P38" i="18"/>
  <c r="P37" i="18"/>
  <c r="P36" i="18"/>
  <c r="P35" i="18"/>
  <c r="P34" i="18"/>
  <c r="P33" i="18"/>
  <c r="P32" i="18"/>
  <c r="P31" i="18"/>
  <c r="P30" i="18"/>
  <c r="P29" i="18"/>
  <c r="P28" i="18"/>
  <c r="P27" i="18"/>
  <c r="P26" i="18"/>
  <c r="P25" i="18"/>
  <c r="P24" i="18"/>
  <c r="P23" i="18"/>
  <c r="P22" i="18"/>
  <c r="P21" i="18"/>
  <c r="P20" i="18"/>
  <c r="P19" i="18"/>
  <c r="P18" i="18"/>
  <c r="P17" i="18"/>
  <c r="P16" i="18"/>
  <c r="P15" i="18"/>
  <c r="P14" i="18"/>
  <c r="P13" i="18"/>
  <c r="P12" i="18"/>
  <c r="P11" i="18"/>
  <c r="P10" i="18"/>
  <c r="P9" i="18"/>
  <c r="P8" i="18"/>
  <c r="P7" i="18"/>
  <c r="P6" i="18"/>
  <c r="P5" i="18"/>
  <c r="P4" i="18"/>
  <c r="P3" i="18"/>
  <c r="P2" i="18"/>
  <c r="D115" i="18"/>
  <c r="D114" i="18"/>
  <c r="D113" i="18"/>
  <c r="D112" i="18"/>
  <c r="D111" i="18"/>
  <c r="D110" i="18"/>
  <c r="D109" i="18"/>
  <c r="D108" i="18"/>
  <c r="D107" i="18"/>
  <c r="D106" i="18"/>
  <c r="D105" i="18"/>
  <c r="D104" i="18"/>
  <c r="D103" i="18"/>
  <c r="D102" i="18"/>
  <c r="D101" i="18"/>
  <c r="D100" i="18"/>
  <c r="D99" i="18"/>
  <c r="D98" i="18"/>
  <c r="D97" i="18"/>
  <c r="D96" i="18"/>
  <c r="D95" i="18"/>
  <c r="D94" i="18"/>
  <c r="D93" i="18"/>
  <c r="D92" i="18"/>
  <c r="D91" i="18"/>
  <c r="D90" i="18"/>
  <c r="D89" i="18"/>
  <c r="D88" i="18"/>
  <c r="D87" i="18"/>
  <c r="D86" i="18"/>
  <c r="D85" i="18"/>
  <c r="D84" i="18"/>
  <c r="D83" i="18"/>
  <c r="D82" i="18"/>
  <c r="D81" i="18"/>
  <c r="D80" i="18"/>
  <c r="D79" i="18"/>
  <c r="D78" i="18"/>
  <c r="D77" i="18"/>
  <c r="D76" i="18"/>
  <c r="D75" i="18"/>
  <c r="D74" i="18"/>
  <c r="D73" i="18"/>
  <c r="D72" i="18"/>
  <c r="D71" i="18"/>
  <c r="D70" i="18"/>
  <c r="D69" i="18"/>
  <c r="D68" i="18"/>
  <c r="D67" i="18"/>
  <c r="D66" i="18"/>
  <c r="D65" i="18"/>
  <c r="D64" i="18"/>
  <c r="D63" i="18"/>
  <c r="D62" i="18"/>
  <c r="D61" i="18"/>
  <c r="D60" i="18"/>
  <c r="D59" i="18"/>
  <c r="D58" i="18"/>
  <c r="D57" i="18"/>
  <c r="D56" i="18"/>
  <c r="D55" i="18"/>
  <c r="D54" i="18"/>
  <c r="D53" i="18"/>
  <c r="D52" i="18"/>
  <c r="D51" i="18"/>
  <c r="D50" i="18"/>
  <c r="D49" i="18"/>
  <c r="D48" i="18"/>
  <c r="D47" i="18"/>
  <c r="D46" i="18"/>
  <c r="D45" i="18"/>
  <c r="D44" i="18"/>
  <c r="D43" i="18"/>
  <c r="D42" i="18"/>
  <c r="D41" i="18"/>
  <c r="D40" i="18"/>
  <c r="D39" i="18"/>
  <c r="D38" i="18"/>
  <c r="D37" i="18"/>
  <c r="D36" i="18"/>
  <c r="D35" i="18"/>
  <c r="D34" i="18"/>
  <c r="D33" i="18"/>
  <c r="D32" i="18"/>
  <c r="D31" i="18"/>
  <c r="D30" i="18"/>
  <c r="D29" i="18"/>
  <c r="D28" i="18"/>
  <c r="D27" i="18"/>
  <c r="D26" i="18"/>
  <c r="D25" i="18"/>
  <c r="D24" i="18"/>
  <c r="D23" i="18"/>
  <c r="D22" i="18"/>
  <c r="D21" i="18"/>
  <c r="D20" i="18"/>
  <c r="D19" i="18"/>
  <c r="D18" i="18"/>
  <c r="D17" i="18"/>
  <c r="D16" i="18"/>
  <c r="D15" i="18"/>
  <c r="D14" i="18"/>
  <c r="D13" i="18"/>
  <c r="D12" i="18"/>
  <c r="D11" i="18"/>
  <c r="D10" i="18"/>
  <c r="D9" i="18"/>
  <c r="D8" i="18"/>
  <c r="D7" i="18"/>
  <c r="D6" i="18"/>
  <c r="D5" i="18"/>
  <c r="D4" i="18"/>
  <c r="D3" i="18"/>
  <c r="D2" i="18"/>
  <c r="T12" i="20" l="1"/>
  <c r="U4" i="20"/>
  <c r="O4" i="20" s="1"/>
  <c r="T21" i="20"/>
  <c r="U46" i="20"/>
  <c r="U12" i="20"/>
  <c r="O12" i="20" s="1"/>
  <c r="U57" i="20"/>
  <c r="O57" i="20" s="1"/>
  <c r="T57" i="20"/>
  <c r="T72" i="20"/>
  <c r="U21" i="20"/>
  <c r="O21" i="20" s="1"/>
  <c r="U93" i="20"/>
  <c r="O93" i="20" s="1"/>
  <c r="O16" i="20"/>
  <c r="O27" i="20"/>
  <c r="U109" i="20"/>
  <c r="O109" i="20" s="1"/>
  <c r="U80" i="20"/>
  <c r="O80" i="20" s="1"/>
  <c r="O72" i="20"/>
  <c r="O66" i="20"/>
  <c r="O46" i="20"/>
  <c r="C65" i="1"/>
  <c r="N65" i="1" s="1"/>
  <c r="C64" i="1"/>
  <c r="N64" i="1" s="1"/>
  <c r="C63" i="1"/>
  <c r="N63" i="1" s="1"/>
  <c r="C62" i="1"/>
  <c r="N62" i="1" s="1"/>
  <c r="J65" i="1" l="1"/>
  <c r="K65" i="1" s="1"/>
  <c r="J64" i="1"/>
  <c r="K64" i="1" s="1"/>
  <c r="J63" i="1"/>
  <c r="K63" i="1" s="1"/>
  <c r="L64" i="1"/>
  <c r="L63" i="1"/>
  <c r="L62" i="1"/>
  <c r="J62" i="1" l="1"/>
  <c r="K62" i="1" s="1"/>
  <c r="Y43" i="17"/>
  <c r="O43" i="17"/>
  <c r="P43" i="17" s="1"/>
  <c r="Q43" i="17"/>
  <c r="Y42" i="17"/>
  <c r="Q42" i="17"/>
  <c r="O42" i="17"/>
  <c r="P42" i="17" s="1"/>
  <c r="T42" i="17"/>
  <c r="T43" i="17"/>
  <c r="K42" i="17" l="1"/>
  <c r="W42" i="17" s="1"/>
  <c r="Z42" i="17"/>
  <c r="K43" i="17"/>
  <c r="W43" i="17" s="1"/>
  <c r="Z43" i="17"/>
  <c r="R42" i="17"/>
  <c r="R43" i="17"/>
  <c r="S43" i="17"/>
  <c r="X43" i="17" s="1"/>
  <c r="S42" i="17"/>
  <c r="X42" i="17" s="1"/>
  <c r="L41" i="17"/>
  <c r="Y39" i="17"/>
  <c r="Y38" i="17"/>
  <c r="O38" i="17"/>
  <c r="R38" i="17" s="1"/>
  <c r="K7" i="17"/>
  <c r="L37" i="17"/>
  <c r="Y36" i="17"/>
  <c r="Q36" i="17"/>
  <c r="O36" i="17"/>
  <c r="R36" i="17" s="1"/>
  <c r="T39" i="17"/>
  <c r="T38" i="17"/>
  <c r="T36" i="17"/>
  <c r="K36" i="17" l="1"/>
  <c r="W36" i="17" s="1"/>
  <c r="Z36" i="17"/>
  <c r="O39" i="17"/>
  <c r="P39" i="17" s="1"/>
  <c r="Q39" i="17"/>
  <c r="Z39" i="17" s="1"/>
  <c r="P36" i="17"/>
  <c r="S36" i="17" s="1"/>
  <c r="X36" i="17" s="1"/>
  <c r="Y35" i="17"/>
  <c r="O35" i="17"/>
  <c r="R35" i="17" s="1"/>
  <c r="Y33" i="17"/>
  <c r="Q33" i="17"/>
  <c r="O33" i="17"/>
  <c r="R33" i="17" s="1"/>
  <c r="Y32" i="17"/>
  <c r="Q32" i="17"/>
  <c r="O32" i="17"/>
  <c r="R32" i="17" s="1"/>
  <c r="L31" i="17"/>
  <c r="O31" i="17" s="1"/>
  <c r="R31" i="17" s="1"/>
  <c r="Y31" i="17"/>
  <c r="M31" i="17"/>
  <c r="L30" i="17"/>
  <c r="Q30" i="17" s="1"/>
  <c r="Z30" i="17" s="1"/>
  <c r="Y30" i="17"/>
  <c r="Y41" i="17"/>
  <c r="Q41" i="17"/>
  <c r="Z41" i="17" s="1"/>
  <c r="O41" i="17"/>
  <c r="R41" i="17" s="1"/>
  <c r="Y40" i="17"/>
  <c r="Q40" i="17"/>
  <c r="O40" i="17"/>
  <c r="P40" i="17" s="1"/>
  <c r="Y37" i="17"/>
  <c r="Q37" i="17"/>
  <c r="O37" i="17"/>
  <c r="R37" i="17" s="1"/>
  <c r="Y34" i="17"/>
  <c r="Q34" i="17"/>
  <c r="O34" i="17"/>
  <c r="P34" i="17" s="1"/>
  <c r="Y29" i="17"/>
  <c r="Q29" i="17"/>
  <c r="Z29" i="17" s="1"/>
  <c r="O29" i="17"/>
  <c r="R29" i="17" s="1"/>
  <c r="Y28" i="17"/>
  <c r="L28" i="17"/>
  <c r="O23" i="17"/>
  <c r="R23" i="17" s="1"/>
  <c r="T40" i="17"/>
  <c r="T34" i="17"/>
  <c r="T35" i="17"/>
  <c r="T37" i="17"/>
  <c r="T41" i="17"/>
  <c r="T33" i="17"/>
  <c r="T29" i="17"/>
  <c r="T28" i="17"/>
  <c r="T31" i="17"/>
  <c r="T30" i="17"/>
  <c r="T32" i="17"/>
  <c r="K33" i="17" l="1"/>
  <c r="W33" i="17" s="1"/>
  <c r="Z33" i="17"/>
  <c r="K37" i="17"/>
  <c r="W37" i="17" s="1"/>
  <c r="Z37" i="17"/>
  <c r="K34" i="17"/>
  <c r="W34" i="17" s="1"/>
  <c r="Z34" i="17"/>
  <c r="K32" i="17"/>
  <c r="W32" i="17" s="1"/>
  <c r="Z32" i="17"/>
  <c r="K40" i="17"/>
  <c r="W40" i="17" s="1"/>
  <c r="Z40" i="17"/>
  <c r="Q31" i="17"/>
  <c r="O30" i="17"/>
  <c r="P30" i="17" s="1"/>
  <c r="S30" i="17" s="1"/>
  <c r="X30" i="17" s="1"/>
  <c r="K29" i="17"/>
  <c r="W29" i="17" s="1"/>
  <c r="K30" i="17"/>
  <c r="W30" i="17" s="1"/>
  <c r="S40" i="17"/>
  <c r="X40" i="17" s="1"/>
  <c r="P41" i="17"/>
  <c r="S41" i="17" s="1"/>
  <c r="X41" i="17" s="1"/>
  <c r="K41" i="17"/>
  <c r="W41" i="17" s="1"/>
  <c r="R40" i="17"/>
  <c r="S39" i="17"/>
  <c r="X39" i="17" s="1"/>
  <c r="K39" i="17"/>
  <c r="W39" i="17" s="1"/>
  <c r="R39" i="17"/>
  <c r="P37" i="17"/>
  <c r="S37" i="17" s="1"/>
  <c r="X37" i="17" s="1"/>
  <c r="R34" i="17"/>
  <c r="P33" i="17"/>
  <c r="S33" i="17" s="1"/>
  <c r="X33" i="17" s="1"/>
  <c r="P32" i="17"/>
  <c r="S32" i="17" s="1"/>
  <c r="X32" i="17" s="1"/>
  <c r="P31" i="17"/>
  <c r="S34" i="17"/>
  <c r="X34" i="17" s="1"/>
  <c r="P29" i="17"/>
  <c r="S29" i="17" s="1"/>
  <c r="X29" i="17" s="1"/>
  <c r="O28" i="17"/>
  <c r="P28" i="17" s="1"/>
  <c r="Q28" i="17"/>
  <c r="Y20" i="17"/>
  <c r="O20" i="17"/>
  <c r="R20" i="17" s="1"/>
  <c r="Y19" i="17"/>
  <c r="Q19" i="17"/>
  <c r="Z19" i="17" s="1"/>
  <c r="O19" i="17"/>
  <c r="P19" i="17" s="1"/>
  <c r="T20" i="17"/>
  <c r="T19" i="17"/>
  <c r="R30" i="17" l="1"/>
  <c r="S31" i="17"/>
  <c r="X31" i="17" s="1"/>
  <c r="K28" i="17"/>
  <c r="W28" i="17" s="1"/>
  <c r="Z28" i="17"/>
  <c r="K31" i="17"/>
  <c r="W31" i="17" s="1"/>
  <c r="Z31" i="17"/>
  <c r="K19" i="17"/>
  <c r="W19" i="17" s="1"/>
  <c r="S28" i="17"/>
  <c r="X28" i="17" s="1"/>
  <c r="R28" i="17"/>
  <c r="R19" i="17"/>
  <c r="S19" i="17"/>
  <c r="X19" i="17" s="1"/>
  <c r="L17" i="17"/>
  <c r="L14" i="17"/>
  <c r="Y14" i="17"/>
  <c r="Y15" i="17"/>
  <c r="M15" i="17"/>
  <c r="L15" i="17"/>
  <c r="O15" i="17" s="1"/>
  <c r="R15" i="17" s="1"/>
  <c r="L13" i="17"/>
  <c r="T15" i="17"/>
  <c r="T14" i="17"/>
  <c r="Q15" i="17" l="1"/>
  <c r="K15" i="17" s="1"/>
  <c r="O14" i="17"/>
  <c r="P14" i="17" s="1"/>
  <c r="Q14" i="17"/>
  <c r="P15" i="17"/>
  <c r="M6" i="17"/>
  <c r="L6" i="17"/>
  <c r="L11" i="17"/>
  <c r="L10" i="17"/>
  <c r="J61" i="1"/>
  <c r="K61" i="1" s="1"/>
  <c r="J60" i="1"/>
  <c r="K60" i="1" s="1"/>
  <c r="L60" i="1"/>
  <c r="L61" i="1"/>
  <c r="Z15" i="17" l="1"/>
  <c r="S15" i="17"/>
  <c r="X15" i="17" s="1"/>
  <c r="K14" i="17"/>
  <c r="W14" i="17" s="1"/>
  <c r="Z14" i="17"/>
  <c r="R14" i="17"/>
  <c r="S14" i="17"/>
  <c r="X14" i="17" s="1"/>
  <c r="Y2" i="17"/>
  <c r="L2" i="17"/>
  <c r="Q2" i="17" s="1"/>
  <c r="Z2" i="17" s="1"/>
  <c r="Y27" i="17"/>
  <c r="Y26" i="17"/>
  <c r="Y25" i="17"/>
  <c r="Y24" i="17"/>
  <c r="Y23" i="17"/>
  <c r="Y22" i="17"/>
  <c r="Y21" i="17"/>
  <c r="Y18" i="17"/>
  <c r="Y17" i="17"/>
  <c r="Y16" i="17"/>
  <c r="Y13" i="17"/>
  <c r="Y12" i="17"/>
  <c r="Y11" i="17"/>
  <c r="Y10" i="17"/>
  <c r="Y9" i="17"/>
  <c r="Y8" i="17"/>
  <c r="Y7" i="17"/>
  <c r="W7" i="17"/>
  <c r="Y6" i="17"/>
  <c r="Y5" i="17"/>
  <c r="W15" i="17"/>
  <c r="Q27" i="17"/>
  <c r="Z27" i="17" s="1"/>
  <c r="O27" i="17"/>
  <c r="P27" i="17" s="1"/>
  <c r="Q26" i="17"/>
  <c r="O26" i="17"/>
  <c r="R26" i="17" s="1"/>
  <c r="O25" i="17"/>
  <c r="Q24" i="17"/>
  <c r="O24" i="17"/>
  <c r="P24" i="17" s="1"/>
  <c r="O22" i="17"/>
  <c r="R22" i="17" s="1"/>
  <c r="Q21" i="17"/>
  <c r="O21" i="17"/>
  <c r="R21" i="17" s="1"/>
  <c r="K18" i="17"/>
  <c r="W18" i="17" s="1"/>
  <c r="O18" i="17"/>
  <c r="R18" i="17" s="1"/>
  <c r="Q17" i="17"/>
  <c r="Z17" i="17" s="1"/>
  <c r="O17" i="17"/>
  <c r="R17" i="17" s="1"/>
  <c r="Q16" i="17"/>
  <c r="O16" i="17"/>
  <c r="R16" i="17" s="1"/>
  <c r="Q13" i="17"/>
  <c r="O13" i="17"/>
  <c r="P13" i="17" s="1"/>
  <c r="Q12" i="17"/>
  <c r="O12" i="17"/>
  <c r="R12" i="17" s="1"/>
  <c r="Q11" i="17"/>
  <c r="O11" i="17"/>
  <c r="R11" i="17" s="1"/>
  <c r="Q10" i="17"/>
  <c r="O10" i="17"/>
  <c r="R10" i="17" s="1"/>
  <c r="O9" i="17"/>
  <c r="R9" i="17" s="1"/>
  <c r="Q8" i="17"/>
  <c r="Z8" i="17" s="1"/>
  <c r="O8" i="17"/>
  <c r="P8" i="17" s="1"/>
  <c r="O7" i="17"/>
  <c r="R7" i="17" s="1"/>
  <c r="Q6" i="17"/>
  <c r="Z6" i="17" s="1"/>
  <c r="O6" i="17"/>
  <c r="R6" i="17" s="1"/>
  <c r="L5" i="17"/>
  <c r="O5" i="17" s="1"/>
  <c r="R5" i="17" s="1"/>
  <c r="T6" i="17"/>
  <c r="T2" i="17"/>
  <c r="T27" i="17"/>
  <c r="T21" i="17"/>
  <c r="T17" i="17"/>
  <c r="T12" i="17"/>
  <c r="T9" i="17"/>
  <c r="T25" i="17"/>
  <c r="T11" i="17"/>
  <c r="T5" i="17"/>
  <c r="T22" i="17"/>
  <c r="T7" i="17"/>
  <c r="T13" i="17"/>
  <c r="T16" i="17"/>
  <c r="T24" i="17"/>
  <c r="T23" i="17"/>
  <c r="T18" i="17"/>
  <c r="T26" i="17"/>
  <c r="T8" i="17"/>
  <c r="T10" i="17"/>
  <c r="F7" i="24" l="1"/>
  <c r="H7" i="24" s="1"/>
  <c r="H8" i="24" s="1"/>
  <c r="H9" i="24" s="1"/>
  <c r="L7" i="28"/>
  <c r="Q5" i="17"/>
  <c r="Z5" i="17" s="1"/>
  <c r="K26" i="17"/>
  <c r="W26" i="17" s="1"/>
  <c r="Z26" i="17"/>
  <c r="K11" i="17"/>
  <c r="W11" i="17" s="1"/>
  <c r="Z11" i="17"/>
  <c r="K21" i="17"/>
  <c r="W21" i="17" s="1"/>
  <c r="Z21" i="17"/>
  <c r="K10" i="17"/>
  <c r="W10" i="17" s="1"/>
  <c r="Z10" i="17"/>
  <c r="K16" i="17"/>
  <c r="W16" i="17" s="1"/>
  <c r="Z16" i="17"/>
  <c r="K13" i="17"/>
  <c r="W13" i="17" s="1"/>
  <c r="Z13" i="17"/>
  <c r="K12" i="17"/>
  <c r="W12" i="17" s="1"/>
  <c r="Z12" i="17"/>
  <c r="K24" i="17"/>
  <c r="W24" i="17" s="1"/>
  <c r="Z24" i="17"/>
  <c r="P7" i="17"/>
  <c r="S7" i="17" s="1"/>
  <c r="X7" i="17" s="1"/>
  <c r="O2" i="17"/>
  <c r="R2" i="17" s="1"/>
  <c r="P5" i="17"/>
  <c r="P11" i="17"/>
  <c r="S11" i="17" s="1"/>
  <c r="X11" i="17" s="1"/>
  <c r="K17" i="17"/>
  <c r="W17" i="17" s="1"/>
  <c r="K27" i="17"/>
  <c r="W27" i="17" s="1"/>
  <c r="K8" i="17"/>
  <c r="W8" i="17" s="1"/>
  <c r="K2" i="17"/>
  <c r="K6" i="17"/>
  <c r="W6" i="17" s="1"/>
  <c r="R27" i="17"/>
  <c r="R25" i="17"/>
  <c r="S24" i="17"/>
  <c r="X24" i="17" s="1"/>
  <c r="R24" i="17"/>
  <c r="P21" i="17"/>
  <c r="S21" i="17" s="1"/>
  <c r="X21" i="17" s="1"/>
  <c r="P16" i="17"/>
  <c r="S16" i="17" s="1"/>
  <c r="X16" i="17" s="1"/>
  <c r="P17" i="17"/>
  <c r="S17" i="17" s="1"/>
  <c r="X17" i="17" s="1"/>
  <c r="R13" i="17"/>
  <c r="R8" i="17"/>
  <c r="S8" i="17"/>
  <c r="X8" i="17" s="1"/>
  <c r="S13" i="17"/>
  <c r="X13" i="17" s="1"/>
  <c r="P12" i="17"/>
  <c r="S12" i="17" s="1"/>
  <c r="X12" i="17" s="1"/>
  <c r="S27" i="17"/>
  <c r="X27" i="17" s="1"/>
  <c r="P6" i="17"/>
  <c r="S6" i="17" s="1"/>
  <c r="X6" i="17" s="1"/>
  <c r="P10" i="17"/>
  <c r="S10" i="17" s="1"/>
  <c r="X10" i="17" s="1"/>
  <c r="P18" i="17"/>
  <c r="S18" i="17" s="1"/>
  <c r="X18" i="17" s="1"/>
  <c r="P26" i="17"/>
  <c r="S26" i="17" s="1"/>
  <c r="X26" i="17" s="1"/>
  <c r="Y3" i="17"/>
  <c r="Q3" i="17"/>
  <c r="Z3" i="17" s="1"/>
  <c r="O3" i="17"/>
  <c r="R3" i="17" s="1"/>
  <c r="Y4" i="17"/>
  <c r="Q4" i="17"/>
  <c r="Z4" i="17" s="1"/>
  <c r="O4" i="17"/>
  <c r="R4" i="17" s="1"/>
  <c r="T4" i="17"/>
  <c r="T3" i="17"/>
  <c r="W7" i="28" l="1"/>
  <c r="P7" i="28"/>
  <c r="S7" i="28"/>
  <c r="L19" i="28"/>
  <c r="M19" i="28" s="1"/>
  <c r="M7" i="28"/>
  <c r="M8" i="28" s="1"/>
  <c r="M9" i="28" s="1"/>
  <c r="M10" i="28" s="1"/>
  <c r="W2" i="17"/>
  <c r="K5" i="17"/>
  <c r="W5" i="17" s="1"/>
  <c r="S5" i="17"/>
  <c r="X5" i="17" s="1"/>
  <c r="P2" i="17"/>
  <c r="S2" i="17" s="1"/>
  <c r="X2" i="17" s="1"/>
  <c r="P3" i="17"/>
  <c r="S3" i="17" s="1"/>
  <c r="X3" i="17" s="1"/>
  <c r="K3" i="17"/>
  <c r="W3" i="17" s="1"/>
  <c r="K4" i="17"/>
  <c r="W4" i="17" s="1"/>
  <c r="P4" i="17"/>
  <c r="S4" i="17" l="1"/>
  <c r="X4" i="17" s="1"/>
  <c r="AB418" i="2"/>
  <c r="R418" i="2"/>
  <c r="U418" i="2" s="1"/>
  <c r="AB417" i="2"/>
  <c r="R417" i="2"/>
  <c r="U417" i="2" s="1"/>
  <c r="W417" i="2"/>
  <c r="W418" i="2"/>
  <c r="AB412" i="2" l="1"/>
  <c r="U412" i="2"/>
  <c r="AB416" i="2"/>
  <c r="T416" i="2"/>
  <c r="R416" i="2"/>
  <c r="S416" i="2" s="1"/>
  <c r="AB415" i="2"/>
  <c r="T415" i="2"/>
  <c r="R415" i="2"/>
  <c r="U415" i="2" s="1"/>
  <c r="AB414" i="2"/>
  <c r="R414" i="2"/>
  <c r="AB413" i="2"/>
  <c r="T413" i="2"/>
  <c r="N413" i="2" s="1"/>
  <c r="Z413" i="2" s="1"/>
  <c r="R413" i="2"/>
  <c r="S413" i="2" s="1"/>
  <c r="AB411" i="2"/>
  <c r="T411" i="2"/>
  <c r="R411" i="2"/>
  <c r="U411" i="2" s="1"/>
  <c r="AB410" i="2"/>
  <c r="T410" i="2"/>
  <c r="R410" i="2"/>
  <c r="S410" i="2" s="1"/>
  <c r="AB409" i="2"/>
  <c r="T409" i="2"/>
  <c r="N410" i="2" s="1"/>
  <c r="R409" i="2"/>
  <c r="U409" i="2" s="1"/>
  <c r="AB408" i="2"/>
  <c r="R408" i="2"/>
  <c r="U408" i="2" s="1"/>
  <c r="AB407" i="2"/>
  <c r="T407" i="2"/>
  <c r="N408" i="2" s="1"/>
  <c r="R407" i="2"/>
  <c r="U407" i="2" s="1"/>
  <c r="AB406" i="2"/>
  <c r="T406" i="2"/>
  <c r="N407" i="2" s="1"/>
  <c r="Z407" i="2" s="1"/>
  <c r="O416" i="2"/>
  <c r="M414" i="2"/>
  <c r="G414" i="2"/>
  <c r="P412" i="2"/>
  <c r="T412" i="2" s="1"/>
  <c r="O406" i="2"/>
  <c r="R406" i="2" s="1"/>
  <c r="S406" i="2" s="1"/>
  <c r="AB405" i="2"/>
  <c r="T405" i="2"/>
  <c r="N405" i="2" s="1"/>
  <c r="R405" i="2"/>
  <c r="U405" i="2" s="1"/>
  <c r="AB404" i="2"/>
  <c r="R404" i="2"/>
  <c r="U404" i="2" s="1"/>
  <c r="AB403" i="2"/>
  <c r="T403" i="2"/>
  <c r="N403" i="2" s="1"/>
  <c r="R403" i="2"/>
  <c r="U403" i="2" s="1"/>
  <c r="AB402" i="2"/>
  <c r="R402" i="2"/>
  <c r="U402" i="2" s="1"/>
  <c r="W405" i="2"/>
  <c r="W408" i="2"/>
  <c r="W407" i="2"/>
  <c r="W406" i="2"/>
  <c r="W412" i="2"/>
  <c r="W404" i="2"/>
  <c r="W409" i="2"/>
  <c r="W402" i="2"/>
  <c r="W410" i="2"/>
  <c r="W414" i="2"/>
  <c r="W416" i="2"/>
  <c r="W415" i="2"/>
  <c r="W413" i="2"/>
  <c r="W411" i="2"/>
  <c r="W403" i="2"/>
  <c r="S412" i="2" l="1"/>
  <c r="U406" i="2"/>
  <c r="Z410" i="2"/>
  <c r="V413" i="2"/>
  <c r="AA413" i="2" s="1"/>
  <c r="S407" i="2"/>
  <c r="S415" i="2"/>
  <c r="V415" i="2" s="1"/>
  <c r="AA415" i="2" s="1"/>
  <c r="V412" i="2"/>
  <c r="AA412" i="2" s="1"/>
  <c r="V410" i="2"/>
  <c r="AA410" i="2" s="1"/>
  <c r="N411" i="2"/>
  <c r="Z411" i="2" s="1"/>
  <c r="U413" i="2"/>
  <c r="N416" i="2"/>
  <c r="Z416" i="2" s="1"/>
  <c r="U414" i="2"/>
  <c r="U416" i="2"/>
  <c r="V416" i="2"/>
  <c r="AA416" i="2" s="1"/>
  <c r="V406" i="2"/>
  <c r="AA406" i="2" s="1"/>
  <c r="S409" i="2"/>
  <c r="V409" i="2" s="1"/>
  <c r="AA409" i="2" s="1"/>
  <c r="V407" i="2"/>
  <c r="AA407" i="2" s="1"/>
  <c r="S411" i="2"/>
  <c r="V411" i="2" s="1"/>
  <c r="AA411" i="2" s="1"/>
  <c r="U410" i="2"/>
  <c r="N406" i="2"/>
  <c r="Z406" i="2" s="1"/>
  <c r="N415" i="2"/>
  <c r="Z415" i="2" s="1"/>
  <c r="Z405" i="2"/>
  <c r="S405" i="2"/>
  <c r="V405" i="2" s="1"/>
  <c r="AA405" i="2" s="1"/>
  <c r="S403" i="2"/>
  <c r="V403" i="2" s="1"/>
  <c r="AA403" i="2" s="1"/>
  <c r="Z403" i="2"/>
  <c r="Z6" i="9"/>
  <c r="N412" i="2" l="1"/>
  <c r="Z412" i="2" s="1"/>
  <c r="C59" i="1"/>
  <c r="N59" i="1" s="1"/>
  <c r="C58" i="1"/>
  <c r="N58" i="1" s="1"/>
  <c r="C57" i="1"/>
  <c r="N57" i="1" s="1"/>
  <c r="C56" i="1"/>
  <c r="N56" i="1" s="1"/>
  <c r="J59" i="1"/>
  <c r="K59" i="1" s="1"/>
  <c r="J58" i="1"/>
  <c r="K58" i="1" s="1"/>
  <c r="J57" i="1"/>
  <c r="K57" i="1" s="1"/>
  <c r="J56" i="1"/>
  <c r="K56" i="1" s="1"/>
  <c r="J55" i="1"/>
  <c r="K55" i="1" s="1"/>
  <c r="J54" i="1"/>
  <c r="K54" i="1" s="1"/>
  <c r="C54" i="1"/>
  <c r="N54" i="1" s="1"/>
  <c r="C55" i="1"/>
  <c r="N55" i="1" s="1"/>
  <c r="L54" i="1"/>
  <c r="L57" i="1"/>
  <c r="L56" i="1"/>
  <c r="L55" i="1"/>
  <c r="L59" i="1"/>
  <c r="L58" i="1"/>
  <c r="J53" i="1" l="1"/>
  <c r="K53" i="1" s="1"/>
  <c r="C53" i="1"/>
  <c r="N53" i="1" s="1"/>
  <c r="L53" i="1"/>
  <c r="AB395" i="2" l="1"/>
  <c r="AB385" i="2"/>
  <c r="AB386" i="2"/>
  <c r="AB387" i="2"/>
  <c r="AB388" i="2"/>
  <c r="AB389" i="2"/>
  <c r="AB390" i="2"/>
  <c r="AB391" i="2"/>
  <c r="AB392" i="2"/>
  <c r="AB393" i="2"/>
  <c r="AB394" i="2"/>
  <c r="R385" i="2"/>
  <c r="S385" i="2" s="1"/>
  <c r="T385" i="2"/>
  <c r="AB364" i="2"/>
  <c r="AB363" i="2"/>
  <c r="AB384" i="2"/>
  <c r="AB383" i="2"/>
  <c r="AB382" i="2"/>
  <c r="AB381" i="2"/>
  <c r="AB380" i="2"/>
  <c r="AB379" i="2"/>
  <c r="AB378" i="2"/>
  <c r="AB377" i="2"/>
  <c r="AB376" i="2"/>
  <c r="AB375" i="2"/>
  <c r="AB374" i="2"/>
  <c r="AB373" i="2"/>
  <c r="AB372" i="2"/>
  <c r="AB371" i="2"/>
  <c r="AB370" i="2"/>
  <c r="AB401" i="2"/>
  <c r="AB400" i="2"/>
  <c r="AB399" i="2"/>
  <c r="AB398" i="2"/>
  <c r="AB397" i="2"/>
  <c r="AB396" i="2"/>
  <c r="T401" i="2"/>
  <c r="N401" i="2" s="1"/>
  <c r="Z401" i="2" s="1"/>
  <c r="R401" i="2"/>
  <c r="U401" i="2" s="1"/>
  <c r="T400" i="2"/>
  <c r="N400" i="2" s="1"/>
  <c r="Z400" i="2" s="1"/>
  <c r="R400" i="2"/>
  <c r="S400" i="2" s="1"/>
  <c r="T399" i="2"/>
  <c r="N399" i="2" s="1"/>
  <c r="Z399" i="2" s="1"/>
  <c r="R399" i="2"/>
  <c r="S399" i="2" s="1"/>
  <c r="T398" i="2"/>
  <c r="R398" i="2"/>
  <c r="U398" i="2" s="1"/>
  <c r="T397" i="2"/>
  <c r="R397" i="2"/>
  <c r="U397" i="2" s="1"/>
  <c r="U396" i="2"/>
  <c r="P396" i="2"/>
  <c r="T396" i="2" s="1"/>
  <c r="R395" i="2"/>
  <c r="S395" i="2" s="1"/>
  <c r="T395" i="2"/>
  <c r="N395" i="2" s="1"/>
  <c r="Z395" i="2" s="1"/>
  <c r="T394" i="2"/>
  <c r="N394" i="2" s="1"/>
  <c r="Z394" i="2" s="1"/>
  <c r="R394" i="2"/>
  <c r="S394" i="2" s="1"/>
  <c r="T393" i="2"/>
  <c r="N393" i="2" s="1"/>
  <c r="Z393" i="2" s="1"/>
  <c r="R393" i="2"/>
  <c r="U393" i="2" s="1"/>
  <c r="R392" i="2"/>
  <c r="U392" i="2" s="1"/>
  <c r="M392" i="2"/>
  <c r="G392" i="2"/>
  <c r="W394" i="2"/>
  <c r="W385" i="2"/>
  <c r="W400" i="2"/>
  <c r="W397" i="2"/>
  <c r="W395" i="2"/>
  <c r="W399" i="2"/>
  <c r="W388" i="2"/>
  <c r="W392" i="2"/>
  <c r="W396" i="2"/>
  <c r="W386" i="2"/>
  <c r="W387" i="2"/>
  <c r="W391" i="2"/>
  <c r="W393" i="2"/>
  <c r="W398" i="2"/>
  <c r="W390" i="2"/>
  <c r="W401" i="2"/>
  <c r="W389" i="2"/>
  <c r="V395" i="2" l="1"/>
  <c r="AA395" i="2" s="1"/>
  <c r="U395" i="2"/>
  <c r="U385" i="2"/>
  <c r="S397" i="2"/>
  <c r="V397" i="2" s="1"/>
  <c r="AA397" i="2" s="1"/>
  <c r="U400" i="2"/>
  <c r="V385" i="2"/>
  <c r="AA385" i="2" s="1"/>
  <c r="S401" i="2"/>
  <c r="V401" i="2" s="1"/>
  <c r="AA401" i="2" s="1"/>
  <c r="V400" i="2"/>
  <c r="AA400" i="2" s="1"/>
  <c r="U399" i="2"/>
  <c r="S398" i="2"/>
  <c r="V398" i="2" s="1"/>
  <c r="AA398" i="2" s="1"/>
  <c r="N398" i="2"/>
  <c r="Z398" i="2" s="1"/>
  <c r="V399" i="2"/>
  <c r="AA399" i="2" s="1"/>
  <c r="N397" i="2"/>
  <c r="Z397" i="2" s="1"/>
  <c r="N396" i="2"/>
  <c r="Z396" i="2" s="1"/>
  <c r="S396" i="2"/>
  <c r="V396" i="2" s="1"/>
  <c r="AA396" i="2" s="1"/>
  <c r="V394" i="2"/>
  <c r="AA394" i="2" s="1"/>
  <c r="U394" i="2"/>
  <c r="S393" i="2"/>
  <c r="V393" i="2" s="1"/>
  <c r="AA393" i="2" s="1"/>
  <c r="T391" i="2"/>
  <c r="N391" i="2" s="1"/>
  <c r="Z391" i="2" s="1"/>
  <c r="R391" i="2"/>
  <c r="U391" i="2" s="1"/>
  <c r="T390" i="2"/>
  <c r="R390" i="2"/>
  <c r="S390" i="2" s="1"/>
  <c r="M390" i="2"/>
  <c r="T389" i="2"/>
  <c r="R389" i="2"/>
  <c r="U389" i="2" s="1"/>
  <c r="M389" i="2"/>
  <c r="T388" i="2"/>
  <c r="R388" i="2"/>
  <c r="U388" i="2" s="1"/>
  <c r="M388" i="2"/>
  <c r="U383" i="2"/>
  <c r="P383" i="2"/>
  <c r="T383" i="2" s="1"/>
  <c r="T384" i="2"/>
  <c r="R384" i="2"/>
  <c r="S384" i="2" s="1"/>
  <c r="R386" i="2"/>
  <c r="U386" i="2" s="1"/>
  <c r="W383" i="2"/>
  <c r="W384" i="2"/>
  <c r="L52" i="1"/>
  <c r="N389" i="2" l="1"/>
  <c r="Z389" i="2" s="1"/>
  <c r="N388" i="2"/>
  <c r="Z388" i="2" s="1"/>
  <c r="S389" i="2"/>
  <c r="V389" i="2" s="1"/>
  <c r="AA389" i="2" s="1"/>
  <c r="U390" i="2"/>
  <c r="V390" i="2"/>
  <c r="AA390" i="2" s="1"/>
  <c r="N390" i="2"/>
  <c r="Z390" i="2" s="1"/>
  <c r="S391" i="2"/>
  <c r="V391" i="2" s="1"/>
  <c r="AA391" i="2" s="1"/>
  <c r="V384" i="2"/>
  <c r="AA384" i="2" s="1"/>
  <c r="S388" i="2"/>
  <c r="V388" i="2" s="1"/>
  <c r="AA388" i="2" s="1"/>
  <c r="S383" i="2"/>
  <c r="V383" i="2" s="1"/>
  <c r="AA383" i="2" s="1"/>
  <c r="U384" i="2"/>
  <c r="O387" i="2"/>
  <c r="R387" i="2" s="1"/>
  <c r="U387" i="2" s="1"/>
  <c r="M387" i="2"/>
  <c r="G387" i="2"/>
  <c r="M386" i="2"/>
  <c r="G386" i="2"/>
  <c r="N384" i="2"/>
  <c r="Z384" i="2" s="1"/>
  <c r="N383" i="2"/>
  <c r="Z383" i="2" s="1"/>
  <c r="J52" i="1" l="1"/>
  <c r="K52" i="1" s="1"/>
  <c r="C52" i="1"/>
  <c r="N52" i="1" s="1"/>
  <c r="J51" i="1"/>
  <c r="K51" i="1" s="1"/>
  <c r="C51" i="1"/>
  <c r="N51" i="1" s="1"/>
  <c r="L51" i="1"/>
  <c r="T382" i="2" l="1"/>
  <c r="R382" i="2"/>
  <c r="S382" i="2" s="1"/>
  <c r="T381" i="2"/>
  <c r="R381" i="2"/>
  <c r="U381" i="2" s="1"/>
  <c r="R380" i="2"/>
  <c r="U380" i="2" s="1"/>
  <c r="M380" i="2"/>
  <c r="G380" i="2"/>
  <c r="T379" i="2"/>
  <c r="R379" i="2"/>
  <c r="S379" i="2" s="1"/>
  <c r="R378" i="2"/>
  <c r="U378" i="2" s="1"/>
  <c r="M378" i="2"/>
  <c r="O377" i="2"/>
  <c r="M377" i="2"/>
  <c r="G377" i="2"/>
  <c r="W381" i="2"/>
  <c r="W378" i="2"/>
  <c r="W382" i="2"/>
  <c r="W379" i="2"/>
  <c r="W380" i="2"/>
  <c r="W377" i="2"/>
  <c r="R377" i="2" l="1"/>
  <c r="U377" i="2" s="1"/>
  <c r="V382" i="2"/>
  <c r="AA382" i="2" s="1"/>
  <c r="U382" i="2"/>
  <c r="S381" i="2"/>
  <c r="V381" i="2" s="1"/>
  <c r="AA381" i="2" s="1"/>
  <c r="U379" i="2"/>
  <c r="V379" i="2"/>
  <c r="AA379" i="2" s="1"/>
  <c r="T247" i="2" l="1"/>
  <c r="N247" i="2" s="1"/>
  <c r="Z247" i="2" s="1"/>
  <c r="AC247" i="2" s="1"/>
  <c r="R247" i="2"/>
  <c r="S247" i="2" s="1"/>
  <c r="AB247" i="2"/>
  <c r="O246" i="2"/>
  <c r="T246" i="2" s="1"/>
  <c r="L89" i="14"/>
  <c r="L89" i="16"/>
  <c r="W247" i="2"/>
  <c r="R246" i="2" l="1"/>
  <c r="U246" i="2" s="1"/>
  <c r="V247" i="2"/>
  <c r="AA247" i="2" s="1"/>
  <c r="U247" i="2"/>
  <c r="S246" i="2"/>
  <c r="V246" i="2" s="1"/>
  <c r="G111" i="16" l="1"/>
  <c r="H111" i="16"/>
  <c r="G112" i="16"/>
  <c r="H112" i="16"/>
  <c r="G113" i="16"/>
  <c r="H113" i="16"/>
  <c r="G114" i="16"/>
  <c r="H114" i="16"/>
  <c r="G115" i="16"/>
  <c r="H115" i="16"/>
  <c r="G116" i="16"/>
  <c r="H116" i="16"/>
  <c r="G117" i="16"/>
  <c r="H117" i="16"/>
  <c r="G118" i="16"/>
  <c r="H118" i="16"/>
  <c r="G119" i="16"/>
  <c r="H119" i="16"/>
  <c r="G120" i="16"/>
  <c r="H120" i="16"/>
  <c r="G121" i="16"/>
  <c r="H121" i="16"/>
  <c r="G122" i="16"/>
  <c r="H122" i="16"/>
  <c r="L122" i="16"/>
  <c r="L121" i="16"/>
  <c r="L120" i="16"/>
  <c r="L119" i="16"/>
  <c r="L118" i="16"/>
  <c r="L117" i="16"/>
  <c r="L116" i="16"/>
  <c r="L115" i="16"/>
  <c r="L114" i="16"/>
  <c r="L113" i="16"/>
  <c r="L112" i="16"/>
  <c r="N112" i="16"/>
  <c r="I112" i="16" s="1"/>
  <c r="L111" i="16"/>
  <c r="L87" i="16"/>
  <c r="L86" i="16"/>
  <c r="L85" i="16"/>
  <c r="L84" i="16"/>
  <c r="L83" i="16"/>
  <c r="L82" i="16"/>
  <c r="L81" i="16"/>
  <c r="L80" i="16"/>
  <c r="L79" i="16"/>
  <c r="L78" i="16"/>
  <c r="L76" i="16"/>
  <c r="L75" i="16"/>
  <c r="L74" i="16"/>
  <c r="L73" i="16"/>
  <c r="L72" i="16"/>
  <c r="L71" i="16"/>
  <c r="L70" i="16"/>
  <c r="L69" i="16"/>
  <c r="L68" i="16"/>
  <c r="L67" i="16"/>
  <c r="L66" i="16"/>
  <c r="L65" i="16"/>
  <c r="L64" i="16"/>
  <c r="L63" i="16"/>
  <c r="L62" i="16"/>
  <c r="L61" i="16"/>
  <c r="L60" i="16"/>
  <c r="L59" i="16"/>
  <c r="L58" i="16"/>
  <c r="L57" i="16"/>
  <c r="L56" i="16"/>
  <c r="L55" i="16"/>
  <c r="L54" i="16"/>
  <c r="L53" i="16"/>
  <c r="L52" i="16"/>
  <c r="L51" i="16"/>
  <c r="L50" i="16"/>
  <c r="L49" i="16"/>
  <c r="L48" i="16"/>
  <c r="L47" i="16"/>
  <c r="L46" i="16"/>
  <c r="L45" i="16"/>
  <c r="L44" i="16"/>
  <c r="L43" i="16"/>
  <c r="L42" i="16"/>
  <c r="L41" i="16"/>
  <c r="L40" i="16"/>
  <c r="L39" i="16"/>
  <c r="L38" i="16"/>
  <c r="L37" i="16"/>
  <c r="L36" i="16"/>
  <c r="L35" i="16"/>
  <c r="L34" i="16"/>
  <c r="L33" i="16"/>
  <c r="L32" i="16"/>
  <c r="L31" i="16"/>
  <c r="L30" i="16"/>
  <c r="L29" i="16"/>
  <c r="L28" i="16"/>
  <c r="L27" i="16"/>
  <c r="L26" i="16"/>
  <c r="L25" i="16"/>
  <c r="L24" i="16"/>
  <c r="L23" i="16"/>
  <c r="L22" i="16"/>
  <c r="L21" i="16"/>
  <c r="L20" i="16"/>
  <c r="L19" i="16"/>
  <c r="L18" i="16"/>
  <c r="L17" i="16"/>
  <c r="L15" i="16"/>
  <c r="L14" i="16"/>
  <c r="L13" i="16"/>
  <c r="L12" i="16"/>
  <c r="L10" i="16"/>
  <c r="L8" i="16"/>
  <c r="L7" i="16"/>
  <c r="L6" i="16"/>
  <c r="L5" i="16"/>
  <c r="L4" i="16"/>
  <c r="L3" i="16"/>
  <c r="L2" i="16"/>
  <c r="L11" i="15"/>
  <c r="L10" i="15"/>
  <c r="L9" i="15"/>
  <c r="L8" i="15"/>
  <c r="L7" i="15"/>
  <c r="L6" i="15"/>
  <c r="L5" i="15"/>
  <c r="L4" i="15"/>
  <c r="L3" i="15"/>
  <c r="L2" i="15"/>
  <c r="O311" i="2"/>
  <c r="O310" i="2"/>
  <c r="R310" i="2" s="1"/>
  <c r="O309" i="2"/>
  <c r="R309" i="2" s="1"/>
  <c r="O308" i="2"/>
  <c r="R308" i="2" s="1"/>
  <c r="O307" i="2"/>
  <c r="R307" i="2" s="1"/>
  <c r="O306" i="2"/>
  <c r="R306" i="2" s="1"/>
  <c r="O305" i="2"/>
  <c r="R305" i="2" s="1"/>
  <c r="O304" i="2"/>
  <c r="R304" i="2" s="1"/>
  <c r="O303" i="2"/>
  <c r="O302" i="2"/>
  <c r="R302" i="2" s="1"/>
  <c r="U302" i="2" s="1"/>
  <c r="P313" i="2"/>
  <c r="P312" i="2"/>
  <c r="P311" i="2"/>
  <c r="P310" i="2"/>
  <c r="P309" i="2"/>
  <c r="P308" i="2"/>
  <c r="P307" i="2"/>
  <c r="P306" i="2"/>
  <c r="P305" i="2"/>
  <c r="P304" i="2"/>
  <c r="P303" i="2"/>
  <c r="R311" i="2"/>
  <c r="R303" i="2"/>
  <c r="P302" i="2"/>
  <c r="O313" i="2"/>
  <c r="R313" i="2" s="1"/>
  <c r="O312" i="2"/>
  <c r="R312" i="2" s="1"/>
  <c r="G120" i="14"/>
  <c r="O120" i="14" s="1"/>
  <c r="G119" i="14"/>
  <c r="O119" i="14" s="1"/>
  <c r="G118" i="14"/>
  <c r="O118" i="14" s="1"/>
  <c r="G117" i="14"/>
  <c r="G116" i="14"/>
  <c r="O116" i="14" s="1"/>
  <c r="G115" i="14"/>
  <c r="G114" i="14"/>
  <c r="O114" i="14" s="1"/>
  <c r="G113" i="14"/>
  <c r="O113" i="14" s="1"/>
  <c r="G112" i="14"/>
  <c r="O112" i="14" s="1"/>
  <c r="G111" i="14"/>
  <c r="O111" i="14" s="1"/>
  <c r="G121" i="14"/>
  <c r="O121" i="14" s="1"/>
  <c r="O115" i="14"/>
  <c r="H121" i="14"/>
  <c r="H120" i="14"/>
  <c r="H119" i="14"/>
  <c r="H118" i="14"/>
  <c r="I118" i="14" s="1"/>
  <c r="H117" i="14"/>
  <c r="H116" i="14"/>
  <c r="H115" i="14"/>
  <c r="H114" i="14"/>
  <c r="H113" i="14"/>
  <c r="H112" i="14"/>
  <c r="H111" i="14"/>
  <c r="H122" i="14"/>
  <c r="G122" i="14"/>
  <c r="O122" i="14" s="1"/>
  <c r="L56" i="14"/>
  <c r="L55" i="14"/>
  <c r="O55" i="14"/>
  <c r="L122" i="14"/>
  <c r="L121" i="14"/>
  <c r="L120" i="14"/>
  <c r="L119" i="14"/>
  <c r="L118" i="14"/>
  <c r="L117" i="14"/>
  <c r="L116" i="14"/>
  <c r="L115" i="14"/>
  <c r="L114" i="14"/>
  <c r="L113" i="14"/>
  <c r="L112" i="14"/>
  <c r="L111" i="14"/>
  <c r="L87" i="14"/>
  <c r="L86" i="14"/>
  <c r="L85" i="14"/>
  <c r="L84" i="14"/>
  <c r="L83" i="14"/>
  <c r="L82" i="14"/>
  <c r="L81" i="14"/>
  <c r="L80" i="14"/>
  <c r="L79" i="14"/>
  <c r="L78" i="14"/>
  <c r="L76" i="14"/>
  <c r="L75" i="14"/>
  <c r="L74" i="14"/>
  <c r="L73" i="14"/>
  <c r="L72" i="14"/>
  <c r="L71" i="14"/>
  <c r="L70" i="14"/>
  <c r="L69" i="14"/>
  <c r="L68" i="14"/>
  <c r="L67" i="14"/>
  <c r="L66" i="14"/>
  <c r="L65" i="14"/>
  <c r="L64" i="14"/>
  <c r="L63" i="14"/>
  <c r="L62" i="14"/>
  <c r="L61" i="14"/>
  <c r="L60" i="14"/>
  <c r="L59" i="14"/>
  <c r="L58" i="14"/>
  <c r="L57" i="14"/>
  <c r="L54" i="14"/>
  <c r="L53" i="14"/>
  <c r="L52" i="14"/>
  <c r="L51" i="14"/>
  <c r="L50" i="14"/>
  <c r="L49" i="14"/>
  <c r="L48" i="14"/>
  <c r="L47" i="14"/>
  <c r="L46" i="14"/>
  <c r="L45" i="14"/>
  <c r="L44" i="14"/>
  <c r="L43" i="14"/>
  <c r="L42" i="14"/>
  <c r="L41" i="14"/>
  <c r="L40" i="14"/>
  <c r="L39" i="14"/>
  <c r="L38" i="14"/>
  <c r="L37" i="14"/>
  <c r="L36" i="14"/>
  <c r="L35" i="14"/>
  <c r="L34" i="14"/>
  <c r="L33" i="14"/>
  <c r="L32" i="14"/>
  <c r="L31" i="14"/>
  <c r="L30" i="14"/>
  <c r="L29" i="14"/>
  <c r="L28" i="14"/>
  <c r="L27" i="14"/>
  <c r="L26" i="14"/>
  <c r="L25" i="14"/>
  <c r="L24" i="14"/>
  <c r="L23" i="14"/>
  <c r="L22" i="14"/>
  <c r="L21" i="14"/>
  <c r="L20" i="14"/>
  <c r="L19" i="14"/>
  <c r="L18" i="14"/>
  <c r="L17" i="14"/>
  <c r="L16" i="14"/>
  <c r="L15" i="14"/>
  <c r="L14" i="14"/>
  <c r="L13" i="14"/>
  <c r="L12" i="14"/>
  <c r="L11" i="14"/>
  <c r="L10" i="14"/>
  <c r="L8" i="14"/>
  <c r="L7" i="14"/>
  <c r="L6" i="14"/>
  <c r="L5" i="14"/>
  <c r="L4" i="14"/>
  <c r="L3" i="14"/>
  <c r="L2" i="14"/>
  <c r="N116" i="16" l="1"/>
  <c r="I116" i="16" s="1"/>
  <c r="N114" i="16"/>
  <c r="I114" i="16" s="1"/>
  <c r="N121" i="16"/>
  <c r="I121" i="16" s="1"/>
  <c r="N122" i="16"/>
  <c r="I122" i="16" s="1"/>
  <c r="N118" i="16"/>
  <c r="I118" i="16" s="1"/>
  <c r="I114" i="14"/>
  <c r="N120" i="14"/>
  <c r="N117" i="16"/>
  <c r="I117" i="16" s="1"/>
  <c r="N113" i="16"/>
  <c r="I113" i="16" s="1"/>
  <c r="N115" i="16"/>
  <c r="I115" i="16" s="1"/>
  <c r="N120" i="16"/>
  <c r="I120" i="16" s="1"/>
  <c r="N111" i="16"/>
  <c r="I111" i="16" s="1"/>
  <c r="N119" i="16"/>
  <c r="I119" i="16" s="1"/>
  <c r="I115" i="14"/>
  <c r="I122" i="14"/>
  <c r="N117" i="14"/>
  <c r="I112" i="14"/>
  <c r="I120" i="14"/>
  <c r="N121" i="14"/>
  <c r="I113" i="14"/>
  <c r="I121" i="14"/>
  <c r="I111" i="14"/>
  <c r="I119" i="14"/>
  <c r="N118" i="14"/>
  <c r="I116" i="14"/>
  <c r="N122" i="14"/>
  <c r="N112" i="14"/>
  <c r="O117" i="14"/>
  <c r="I117" i="14" s="1"/>
  <c r="N115" i="14"/>
  <c r="N113" i="14"/>
  <c r="N116" i="14"/>
  <c r="N111" i="14"/>
  <c r="N119" i="14"/>
  <c r="N114" i="14"/>
  <c r="T376" i="2"/>
  <c r="N376" i="2" s="1"/>
  <c r="Z376" i="2" s="1"/>
  <c r="R376" i="2"/>
  <c r="U376" i="2" s="1"/>
  <c r="U375" i="2"/>
  <c r="P375" i="2"/>
  <c r="S375" i="2" s="1"/>
  <c r="T374" i="2"/>
  <c r="R374" i="2"/>
  <c r="S374" i="2" s="1"/>
  <c r="M374" i="2"/>
  <c r="T373" i="2"/>
  <c r="N373" i="2" s="1"/>
  <c r="Z373" i="2" s="1"/>
  <c r="R373" i="2"/>
  <c r="U373" i="2" s="1"/>
  <c r="R372" i="2"/>
  <c r="U372" i="2" s="1"/>
  <c r="M372" i="2"/>
  <c r="G372" i="2"/>
  <c r="O371" i="2"/>
  <c r="R371" i="2" s="1"/>
  <c r="U371" i="2" s="1"/>
  <c r="M371" i="2"/>
  <c r="G371" i="2"/>
  <c r="T370" i="2"/>
  <c r="R370" i="2"/>
  <c r="U370" i="2" s="1"/>
  <c r="AB369" i="2"/>
  <c r="U369" i="2"/>
  <c r="P369" i="2"/>
  <c r="S369" i="2" s="1"/>
  <c r="AB368" i="2"/>
  <c r="R368" i="2"/>
  <c r="U368" i="2" s="1"/>
  <c r="M368" i="2"/>
  <c r="G368" i="2"/>
  <c r="AB367" i="2"/>
  <c r="T367" i="2"/>
  <c r="R367" i="2"/>
  <c r="U367" i="2" s="1"/>
  <c r="M367" i="2"/>
  <c r="AB366" i="2"/>
  <c r="O366" i="2"/>
  <c r="R366" i="2" s="1"/>
  <c r="M366" i="2"/>
  <c r="G366" i="2"/>
  <c r="AB365" i="2"/>
  <c r="R365" i="2"/>
  <c r="U365" i="2" s="1"/>
  <c r="M365" i="2"/>
  <c r="G365" i="2"/>
  <c r="T364" i="2"/>
  <c r="N364" i="2" s="1"/>
  <c r="Z364" i="2" s="1"/>
  <c r="R364" i="2"/>
  <c r="U364" i="2" s="1"/>
  <c r="N385" i="2"/>
  <c r="Z385" i="2" s="1"/>
  <c r="N382" i="2"/>
  <c r="Z382" i="2" s="1"/>
  <c r="N381" i="2"/>
  <c r="Z381" i="2" s="1"/>
  <c r="N379" i="2"/>
  <c r="Z379" i="2" s="1"/>
  <c r="T363" i="2"/>
  <c r="N363" i="2" s="1"/>
  <c r="Z363" i="2" s="1"/>
  <c r="R363" i="2"/>
  <c r="U363" i="2" s="1"/>
  <c r="W363" i="2"/>
  <c r="W373" i="2"/>
  <c r="W370" i="2"/>
  <c r="W366" i="2"/>
  <c r="W372" i="2"/>
  <c r="W375" i="2"/>
  <c r="W367" i="2"/>
  <c r="W374" i="2"/>
  <c r="W368" i="2"/>
  <c r="W371" i="2"/>
  <c r="W365" i="2"/>
  <c r="W369" i="2"/>
  <c r="W376" i="2"/>
  <c r="W364" i="2"/>
  <c r="N374" i="2" l="1"/>
  <c r="Z374" i="2" s="1"/>
  <c r="S376" i="2"/>
  <c r="V376" i="2" s="1"/>
  <c r="AA376" i="2" s="1"/>
  <c r="N367" i="2"/>
  <c r="Z367" i="2" s="1"/>
  <c r="S367" i="2"/>
  <c r="V367" i="2" s="1"/>
  <c r="AA367" i="2" s="1"/>
  <c r="T375" i="2"/>
  <c r="V374" i="2"/>
  <c r="AA374" i="2" s="1"/>
  <c r="U374" i="2"/>
  <c r="S373" i="2"/>
  <c r="V373" i="2" s="1"/>
  <c r="AA373" i="2" s="1"/>
  <c r="S370" i="2"/>
  <c r="V370" i="2" s="1"/>
  <c r="AA370" i="2" s="1"/>
  <c r="N370" i="2"/>
  <c r="Z370" i="2" s="1"/>
  <c r="T369" i="2"/>
  <c r="U366" i="2"/>
  <c r="S364" i="2"/>
  <c r="V364" i="2" s="1"/>
  <c r="AA364" i="2" s="1"/>
  <c r="S363" i="2"/>
  <c r="V363" i="2" s="1"/>
  <c r="AA363" i="2" s="1"/>
  <c r="J50" i="1"/>
  <c r="J49" i="1"/>
  <c r="K49" i="1" s="1"/>
  <c r="C50" i="1"/>
  <c r="N50" i="1" s="1"/>
  <c r="C49" i="1"/>
  <c r="N49" i="1" s="1"/>
  <c r="L48" i="1"/>
  <c r="L50" i="1"/>
  <c r="L49" i="1"/>
  <c r="L47" i="1"/>
  <c r="N375" i="2" l="1"/>
  <c r="Z375" i="2" s="1"/>
  <c r="V375" i="2"/>
  <c r="AA375" i="2" s="1"/>
  <c r="N369" i="2"/>
  <c r="Z369" i="2" s="1"/>
  <c r="V369" i="2"/>
  <c r="AA369" i="2" s="1"/>
  <c r="AB362" i="2"/>
  <c r="T362" i="2"/>
  <c r="Z362" i="2" s="1"/>
  <c r="R362" i="2"/>
  <c r="U362" i="2" s="1"/>
  <c r="AB361" i="2"/>
  <c r="T361" i="2"/>
  <c r="Z361" i="2" s="1"/>
  <c r="R361" i="2"/>
  <c r="U361" i="2" s="1"/>
  <c r="AB360" i="2"/>
  <c r="U360" i="2"/>
  <c r="P360" i="2"/>
  <c r="S360" i="2" s="1"/>
  <c r="AB357" i="2"/>
  <c r="O357" i="2"/>
  <c r="T357" i="2" s="1"/>
  <c r="AB359" i="2"/>
  <c r="T359" i="2"/>
  <c r="Z359" i="2" s="1"/>
  <c r="R359" i="2"/>
  <c r="U359" i="2" s="1"/>
  <c r="AB358" i="2"/>
  <c r="T358" i="2"/>
  <c r="Z358" i="2" s="1"/>
  <c r="R358" i="2"/>
  <c r="U358" i="2" s="1"/>
  <c r="G255" i="2"/>
  <c r="R356" i="2"/>
  <c r="U356" i="2" s="1"/>
  <c r="T356" i="2"/>
  <c r="Z356" i="2" s="1"/>
  <c r="AB356" i="2"/>
  <c r="R355" i="2"/>
  <c r="S355" i="2" s="1"/>
  <c r="T355" i="2"/>
  <c r="Z355" i="2" s="1"/>
  <c r="AB355" i="2"/>
  <c r="AB353" i="2"/>
  <c r="R353" i="2"/>
  <c r="U353" i="2" s="1"/>
  <c r="M353" i="2"/>
  <c r="G353" i="2"/>
  <c r="R354" i="2"/>
  <c r="U354" i="2" s="1"/>
  <c r="T354" i="2"/>
  <c r="Z354" i="2" s="1"/>
  <c r="AB354" i="2"/>
  <c r="AB350" i="2"/>
  <c r="O350" i="2"/>
  <c r="R350" i="2" s="1"/>
  <c r="M350" i="2"/>
  <c r="G350" i="2"/>
  <c r="P349" i="2"/>
  <c r="T349" i="2" s="1"/>
  <c r="AB349" i="2"/>
  <c r="U349" i="2"/>
  <c r="R351" i="2"/>
  <c r="U351" i="2" s="1"/>
  <c r="T351" i="2"/>
  <c r="N351" i="2" s="1"/>
  <c r="Z351" i="2" s="1"/>
  <c r="AB351" i="2"/>
  <c r="R352" i="2"/>
  <c r="S352" i="2" s="1"/>
  <c r="T352" i="2"/>
  <c r="Z352" i="2" s="1"/>
  <c r="AB352" i="2"/>
  <c r="AB348" i="2"/>
  <c r="T348" i="2"/>
  <c r="N348" i="2" s="1"/>
  <c r="Z348" i="2" s="1"/>
  <c r="R348" i="2"/>
  <c r="S348" i="2" s="1"/>
  <c r="AB347" i="2"/>
  <c r="T347" i="2"/>
  <c r="N347" i="2" s="1"/>
  <c r="Z347" i="2" s="1"/>
  <c r="R347" i="2"/>
  <c r="U347" i="2" s="1"/>
  <c r="AB346" i="2"/>
  <c r="T346" i="2"/>
  <c r="N346" i="2" s="1"/>
  <c r="Z346" i="2" s="1"/>
  <c r="R346" i="2"/>
  <c r="U346" i="2" s="1"/>
  <c r="AB345" i="2"/>
  <c r="T345" i="2"/>
  <c r="R345" i="2"/>
  <c r="U345" i="2" s="1"/>
  <c r="C48" i="1"/>
  <c r="N48" i="1" s="1"/>
  <c r="C47" i="1"/>
  <c r="N47" i="1" s="1"/>
  <c r="J47" i="1"/>
  <c r="K47" i="1" s="1"/>
  <c r="J48" i="1"/>
  <c r="K48" i="1" s="1"/>
  <c r="W347" i="2"/>
  <c r="W354" i="2"/>
  <c r="W350" i="2"/>
  <c r="W356" i="2"/>
  <c r="W349" i="2"/>
  <c r="W362" i="2"/>
  <c r="W346" i="2"/>
  <c r="W353" i="2"/>
  <c r="W352" i="2"/>
  <c r="W359" i="2"/>
  <c r="W361" i="2"/>
  <c r="W355" i="2"/>
  <c r="W357" i="2"/>
  <c r="W351" i="2"/>
  <c r="W345" i="2"/>
  <c r="W348" i="2"/>
  <c r="W360" i="2"/>
  <c r="W358" i="2"/>
  <c r="R357" i="2" l="1"/>
  <c r="U357" i="2" s="1"/>
  <c r="S356" i="2"/>
  <c r="V352" i="2"/>
  <c r="AA352" i="2" s="1"/>
  <c r="S361" i="2"/>
  <c r="V361" i="2" s="1"/>
  <c r="AA361" i="2" s="1"/>
  <c r="S345" i="2"/>
  <c r="V345" i="2" s="1"/>
  <c r="AA345" i="2" s="1"/>
  <c r="V355" i="2"/>
  <c r="AA355" i="2" s="1"/>
  <c r="N345" i="2"/>
  <c r="Z345" i="2" s="1"/>
  <c r="U352" i="2"/>
  <c r="S362" i="2"/>
  <c r="V362" i="2" s="1"/>
  <c r="AA362" i="2" s="1"/>
  <c r="T360" i="2"/>
  <c r="S359" i="2"/>
  <c r="V359" i="2" s="1"/>
  <c r="AA359" i="2" s="1"/>
  <c r="S358" i="2"/>
  <c r="V358" i="2" s="1"/>
  <c r="AA358" i="2" s="1"/>
  <c r="Z357" i="2"/>
  <c r="V356" i="2"/>
  <c r="AA356" i="2" s="1"/>
  <c r="U355" i="2"/>
  <c r="S354" i="2"/>
  <c r="V354" i="2" s="1"/>
  <c r="AA354" i="2" s="1"/>
  <c r="S351" i="2"/>
  <c r="V351" i="2" s="1"/>
  <c r="AA351" i="2" s="1"/>
  <c r="U350" i="2"/>
  <c r="N349" i="2"/>
  <c r="Z349" i="2" s="1"/>
  <c r="S349" i="2"/>
  <c r="V349" i="2" s="1"/>
  <c r="AA349" i="2" s="1"/>
  <c r="U348" i="2"/>
  <c r="V348" i="2"/>
  <c r="AA348" i="2" s="1"/>
  <c r="S347" i="2"/>
  <c r="V347" i="2" s="1"/>
  <c r="AA347" i="2" s="1"/>
  <c r="S346" i="2"/>
  <c r="V346" i="2" s="1"/>
  <c r="AA346" i="2" s="1"/>
  <c r="AB344" i="2"/>
  <c r="T344" i="2"/>
  <c r="R344" i="2"/>
  <c r="U344" i="2" s="1"/>
  <c r="M344" i="2"/>
  <c r="AB343" i="2"/>
  <c r="T343" i="2"/>
  <c r="R343" i="2"/>
  <c r="S343" i="2" s="1"/>
  <c r="M343" i="2"/>
  <c r="T342" i="2"/>
  <c r="R342" i="2"/>
  <c r="U342" i="2" s="1"/>
  <c r="M341" i="2"/>
  <c r="T341" i="2"/>
  <c r="R341" i="2"/>
  <c r="U341" i="2" s="1"/>
  <c r="T340" i="2"/>
  <c r="R340" i="2"/>
  <c r="S340" i="2" s="1"/>
  <c r="AB339" i="2"/>
  <c r="T339" i="2"/>
  <c r="R339" i="2"/>
  <c r="U339" i="2" s="1"/>
  <c r="M339" i="2"/>
  <c r="AB338" i="2"/>
  <c r="T338" i="2"/>
  <c r="N338" i="2" s="1"/>
  <c r="Z338" i="2" s="1"/>
  <c r="R338" i="2"/>
  <c r="U338" i="2" s="1"/>
  <c r="AB337" i="2"/>
  <c r="T337" i="2"/>
  <c r="R337" i="2"/>
  <c r="U337" i="2" s="1"/>
  <c r="M337" i="2"/>
  <c r="T336" i="2"/>
  <c r="R336" i="2"/>
  <c r="U336" i="2" s="1"/>
  <c r="T335" i="2"/>
  <c r="R335" i="2"/>
  <c r="U335" i="2" s="1"/>
  <c r="P330" i="2"/>
  <c r="S330" i="2" s="1"/>
  <c r="AB334" i="2"/>
  <c r="R334" i="2"/>
  <c r="U334" i="2" s="1"/>
  <c r="M334" i="2"/>
  <c r="G334" i="2"/>
  <c r="AB333" i="2"/>
  <c r="O333" i="2"/>
  <c r="R333" i="2" s="1"/>
  <c r="U333" i="2" s="1"/>
  <c r="M333" i="2"/>
  <c r="G333" i="2"/>
  <c r="AB332" i="2"/>
  <c r="T332" i="2"/>
  <c r="N332" i="2" s="1"/>
  <c r="Z332" i="2" s="1"/>
  <c r="R332" i="2"/>
  <c r="U332" i="2" s="1"/>
  <c r="G332" i="2"/>
  <c r="AB331" i="2"/>
  <c r="T331" i="2"/>
  <c r="R331" i="2"/>
  <c r="U331" i="2" s="1"/>
  <c r="M331" i="2"/>
  <c r="AB330" i="2"/>
  <c r="U330" i="2"/>
  <c r="AB329" i="2"/>
  <c r="R329" i="2"/>
  <c r="M329" i="2"/>
  <c r="G329" i="2"/>
  <c r="W344" i="2"/>
  <c r="W340" i="2"/>
  <c r="W331" i="2"/>
  <c r="W339" i="2"/>
  <c r="W332" i="2"/>
  <c r="W330" i="2"/>
  <c r="W335" i="2"/>
  <c r="W333" i="2"/>
  <c r="W328" i="2"/>
  <c r="W342" i="2"/>
  <c r="W337" i="2"/>
  <c r="W343" i="2"/>
  <c r="W341" i="2"/>
  <c r="W338" i="2"/>
  <c r="W334" i="2"/>
  <c r="W336" i="2"/>
  <c r="W329" i="2"/>
  <c r="N339" i="2" l="1"/>
  <c r="Z339" i="2" s="1"/>
  <c r="S357" i="2"/>
  <c r="V357" i="2" s="1"/>
  <c r="AA357" i="2" s="1"/>
  <c r="N331" i="2"/>
  <c r="Z331" i="2" s="1"/>
  <c r="N344" i="2"/>
  <c r="Z344" i="2" s="1"/>
  <c r="N360" i="2"/>
  <c r="Z360" i="2" s="1"/>
  <c r="V360" i="2"/>
  <c r="AA360" i="2" s="1"/>
  <c r="U340" i="2"/>
  <c r="S335" i="2"/>
  <c r="V335" i="2" s="1"/>
  <c r="U329" i="2"/>
  <c r="N343" i="2"/>
  <c r="Z343" i="2" s="1"/>
  <c r="V340" i="2"/>
  <c r="S337" i="2"/>
  <c r="V337" i="2" s="1"/>
  <c r="AA337" i="2" s="1"/>
  <c r="S339" i="2"/>
  <c r="V339" i="2" s="1"/>
  <c r="AA339" i="2" s="1"/>
  <c r="S344" i="2"/>
  <c r="V344" i="2" s="1"/>
  <c r="AA344" i="2" s="1"/>
  <c r="N337" i="2"/>
  <c r="Z337" i="2" s="1"/>
  <c r="V343" i="2"/>
  <c r="AA343" i="2" s="1"/>
  <c r="U343" i="2"/>
  <c r="S342" i="2"/>
  <c r="V342" i="2" s="1"/>
  <c r="S341" i="2"/>
  <c r="V341" i="2" s="1"/>
  <c r="S338" i="2"/>
  <c r="V338" i="2" s="1"/>
  <c r="AA338" i="2" s="1"/>
  <c r="S336" i="2"/>
  <c r="V336" i="2" s="1"/>
  <c r="S332" i="2"/>
  <c r="V332" i="2" s="1"/>
  <c r="AA332" i="2" s="1"/>
  <c r="S331" i="2"/>
  <c r="V331" i="2" s="1"/>
  <c r="AA331" i="2" s="1"/>
  <c r="T330" i="2"/>
  <c r="AB317" i="2"/>
  <c r="R317" i="2"/>
  <c r="U317" i="2" s="1"/>
  <c r="T317" i="2"/>
  <c r="W317" i="2"/>
  <c r="N330" i="2" l="1"/>
  <c r="Z330" i="2" s="1"/>
  <c r="V330" i="2"/>
  <c r="AA330" i="2" s="1"/>
  <c r="S317" i="2"/>
  <c r="V317" i="2" s="1"/>
  <c r="AA317" i="2" s="1"/>
  <c r="Z5" i="9"/>
  <c r="B5" i="9"/>
  <c r="B6" i="9" l="1"/>
  <c r="J46" i="1"/>
  <c r="K46" i="1" s="1"/>
  <c r="J45" i="1"/>
  <c r="K45" i="1" s="1"/>
  <c r="C46" i="1"/>
  <c r="N46" i="1" s="1"/>
  <c r="C45" i="1"/>
  <c r="N45" i="1" s="1"/>
  <c r="L45" i="1"/>
  <c r="L46" i="1"/>
  <c r="AB328" i="2" l="1"/>
  <c r="T328" i="2"/>
  <c r="Z328" i="2" s="1"/>
  <c r="R328" i="2"/>
  <c r="S328" i="2" s="1"/>
  <c r="AB327" i="2"/>
  <c r="O327" i="2"/>
  <c r="M327" i="2"/>
  <c r="G327" i="2"/>
  <c r="AB326" i="2"/>
  <c r="R326" i="2"/>
  <c r="U326" i="2" s="1"/>
  <c r="M326" i="2"/>
  <c r="G326" i="2"/>
  <c r="AB325" i="2"/>
  <c r="T325" i="2"/>
  <c r="R325" i="2"/>
  <c r="S325" i="2" s="1"/>
  <c r="V325" i="2" s="1"/>
  <c r="AA325" i="2" s="1"/>
  <c r="M325" i="2"/>
  <c r="W326" i="2"/>
  <c r="W325" i="2"/>
  <c r="W327" i="2"/>
  <c r="V328" i="2" l="1"/>
  <c r="AA328" i="2" s="1"/>
  <c r="U325" i="2"/>
  <c r="N325" i="2"/>
  <c r="Z325" i="2" s="1"/>
  <c r="U328" i="2"/>
  <c r="R327" i="2"/>
  <c r="N317" i="2"/>
  <c r="Z317" i="2" s="1"/>
  <c r="AB324" i="2"/>
  <c r="P324" i="2"/>
  <c r="S324" i="2" s="1"/>
  <c r="P319" i="2"/>
  <c r="O324" i="2"/>
  <c r="U324" i="2" s="1"/>
  <c r="AB323" i="2"/>
  <c r="R323" i="2"/>
  <c r="U323" i="2" s="1"/>
  <c r="M323" i="2"/>
  <c r="G323" i="2"/>
  <c r="W323" i="2"/>
  <c r="W324" i="2"/>
  <c r="T324" i="2" l="1"/>
  <c r="N324" i="2" s="1"/>
  <c r="Z324" i="2" s="1"/>
  <c r="U327" i="2"/>
  <c r="AB322" i="2"/>
  <c r="T322" i="2"/>
  <c r="R322" i="2"/>
  <c r="U322" i="2" s="1"/>
  <c r="M322" i="2"/>
  <c r="O321" i="2"/>
  <c r="R321" i="2" s="1"/>
  <c r="U321" i="2" s="1"/>
  <c r="AB321" i="2"/>
  <c r="M321" i="2"/>
  <c r="G321" i="2"/>
  <c r="AB320" i="2"/>
  <c r="T320" i="2"/>
  <c r="R320" i="2"/>
  <c r="U320" i="2" s="1"/>
  <c r="M320" i="2"/>
  <c r="W322" i="2"/>
  <c r="W321" i="2"/>
  <c r="W320" i="2"/>
  <c r="N320" i="2" l="1"/>
  <c r="Z320" i="2" s="1"/>
  <c r="N322" i="2"/>
  <c r="Z322" i="2" s="1"/>
  <c r="V324" i="2"/>
  <c r="AA324" i="2" s="1"/>
  <c r="S322" i="2"/>
  <c r="V322" i="2" s="1"/>
  <c r="AA322" i="2" s="1"/>
  <c r="S320" i="2"/>
  <c r="V320" i="2" s="1"/>
  <c r="AA320" i="2" s="1"/>
  <c r="AB319" i="2"/>
  <c r="U319" i="2"/>
  <c r="T319" i="2"/>
  <c r="M319" i="2"/>
  <c r="R318" i="2"/>
  <c r="AB318" i="2"/>
  <c r="M318" i="2"/>
  <c r="G318" i="2"/>
  <c r="W318" i="2"/>
  <c r="W319" i="2"/>
  <c r="N319" i="2" l="1"/>
  <c r="Z319" i="2" s="1"/>
  <c r="S319" i="2"/>
  <c r="V319" i="2" s="1"/>
  <c r="AA319" i="2" s="1"/>
  <c r="U318" i="2"/>
  <c r="AB316" i="2"/>
  <c r="R316" i="2"/>
  <c r="U316" i="2" s="1"/>
  <c r="M316" i="2"/>
  <c r="G316" i="2"/>
  <c r="W316" i="2"/>
  <c r="M315" i="2" l="1"/>
  <c r="M314" i="2"/>
  <c r="M313" i="2"/>
  <c r="M312" i="2"/>
  <c r="M311" i="2"/>
  <c r="M310" i="2"/>
  <c r="M309" i="2"/>
  <c r="M308" i="2"/>
  <c r="M307" i="2"/>
  <c r="M306" i="2"/>
  <c r="M305" i="2"/>
  <c r="M303" i="2"/>
  <c r="M302" i="2"/>
  <c r="M301" i="2"/>
  <c r="M300" i="2"/>
  <c r="M299" i="2"/>
  <c r="M298" i="2"/>
  <c r="M297" i="2"/>
  <c r="M296" i="2"/>
  <c r="M295" i="2"/>
  <c r="M294" i="2"/>
  <c r="M293" i="2"/>
  <c r="M292" i="2"/>
  <c r="M291" i="2"/>
  <c r="M290" i="2"/>
  <c r="M289" i="2"/>
  <c r="M288" i="2"/>
  <c r="M287" i="2"/>
  <c r="M286" i="2"/>
  <c r="M285" i="2"/>
  <c r="M284" i="2"/>
  <c r="M283" i="2"/>
  <c r="M282" i="2"/>
  <c r="M281" i="2"/>
  <c r="O299" i="2" l="1"/>
  <c r="AB315" i="2"/>
  <c r="U315" i="2"/>
  <c r="P315" i="2"/>
  <c r="T315" i="2" s="1"/>
  <c r="N315" i="2" s="1"/>
  <c r="AB314" i="2"/>
  <c r="T314" i="2"/>
  <c r="R314" i="2"/>
  <c r="U314" i="2" s="1"/>
  <c r="W315" i="2"/>
  <c r="W314" i="2"/>
  <c r="N314" i="2" l="1"/>
  <c r="Z314" i="2" s="1"/>
  <c r="S314" i="2"/>
  <c r="V314" i="2" s="1"/>
  <c r="AA314" i="2" s="1"/>
  <c r="Z315" i="2"/>
  <c r="S315" i="2"/>
  <c r="V315" i="2" s="1"/>
  <c r="AA315" i="2" s="1"/>
  <c r="T311" i="2"/>
  <c r="N311" i="2" s="1"/>
  <c r="T310" i="2"/>
  <c r="N310" i="2" s="1"/>
  <c r="T309" i="2"/>
  <c r="N309" i="2" s="1"/>
  <c r="T308" i="2"/>
  <c r="N308" i="2" s="1"/>
  <c r="S307" i="2"/>
  <c r="T305" i="2"/>
  <c r="N305" i="2" s="1"/>
  <c r="S304" i="2"/>
  <c r="T302" i="2"/>
  <c r="N302" i="2" s="1"/>
  <c r="AB302" i="2"/>
  <c r="AB303" i="2"/>
  <c r="AB304" i="2"/>
  <c r="AB305" i="2"/>
  <c r="U305" i="2"/>
  <c r="AB306" i="2"/>
  <c r="U306" i="2"/>
  <c r="T306" i="2"/>
  <c r="N306" i="2" s="1"/>
  <c r="S306" i="2"/>
  <c r="AB307" i="2"/>
  <c r="U307" i="2"/>
  <c r="T307" i="2"/>
  <c r="N307" i="2" s="1"/>
  <c r="AB308" i="2"/>
  <c r="U308" i="2"/>
  <c r="AB309" i="2"/>
  <c r="U309" i="2"/>
  <c r="AB310" i="2"/>
  <c r="U310" i="2"/>
  <c r="AB311" i="2"/>
  <c r="U311" i="2"/>
  <c r="AB312" i="2"/>
  <c r="U312" i="2"/>
  <c r="S312" i="2"/>
  <c r="T313" i="2"/>
  <c r="N313" i="2" s="1"/>
  <c r="AB313" i="2"/>
  <c r="U313" i="2"/>
  <c r="W308" i="2"/>
  <c r="W306" i="2"/>
  <c r="W303" i="2"/>
  <c r="W312" i="2"/>
  <c r="W309" i="2"/>
  <c r="W310" i="2"/>
  <c r="W311" i="2"/>
  <c r="W313" i="2"/>
  <c r="W305" i="2"/>
  <c r="W307" i="2"/>
  <c r="W304" i="2"/>
  <c r="W302" i="2"/>
  <c r="S308" i="2" l="1"/>
  <c r="V308" i="2" s="1"/>
  <c r="AA308" i="2" s="1"/>
  <c r="S302" i="2"/>
  <c r="T312" i="2"/>
  <c r="V307" i="2"/>
  <c r="AA307" i="2" s="1"/>
  <c r="Z310" i="2"/>
  <c r="AC310" i="2" s="1"/>
  <c r="Z308" i="2"/>
  <c r="AC308" i="2" s="1"/>
  <c r="Z302" i="2"/>
  <c r="AC302" i="2" s="1"/>
  <c r="Z305" i="2"/>
  <c r="AC305" i="2" s="1"/>
  <c r="Z311" i="2"/>
  <c r="AC311" i="2" s="1"/>
  <c r="Z306" i="2"/>
  <c r="AC306" i="2" s="1"/>
  <c r="Z307" i="2"/>
  <c r="AC307" i="2" s="1"/>
  <c r="S305" i="2"/>
  <c r="V305" i="2" s="1"/>
  <c r="AA305" i="2" s="1"/>
  <c r="S303" i="2"/>
  <c r="S310" i="2"/>
  <c r="V310" i="2" s="1"/>
  <c r="AA310" i="2" s="1"/>
  <c r="S311" i="2"/>
  <c r="V311" i="2" s="1"/>
  <c r="AA311" i="2" s="1"/>
  <c r="Z309" i="2"/>
  <c r="AC309" i="2" s="1"/>
  <c r="S309" i="2"/>
  <c r="V309" i="2" s="1"/>
  <c r="AA309" i="2" s="1"/>
  <c r="V306" i="2"/>
  <c r="AA306" i="2" s="1"/>
  <c r="V302" i="2"/>
  <c r="AA302" i="2" s="1"/>
  <c r="Z313" i="2"/>
  <c r="AC313" i="2" s="1"/>
  <c r="S313" i="2"/>
  <c r="V313" i="2" s="1"/>
  <c r="AA313" i="2" s="1"/>
  <c r="AB301" i="2"/>
  <c r="T301" i="2"/>
  <c r="R301" i="2"/>
  <c r="U301" i="2" s="1"/>
  <c r="AB300" i="2"/>
  <c r="T300" i="2"/>
  <c r="R300" i="2"/>
  <c r="S300" i="2" s="1"/>
  <c r="AB299" i="2"/>
  <c r="R299" i="2"/>
  <c r="G299" i="2"/>
  <c r="AB298" i="2"/>
  <c r="R298" i="2"/>
  <c r="G298" i="2"/>
  <c r="AB297" i="2"/>
  <c r="R297" i="2"/>
  <c r="G297" i="2"/>
  <c r="AB296" i="2"/>
  <c r="U296" i="2"/>
  <c r="P296" i="2"/>
  <c r="T296" i="2" s="1"/>
  <c r="AB295" i="2"/>
  <c r="U295" i="2"/>
  <c r="P295" i="2"/>
  <c r="S295" i="2" s="1"/>
  <c r="AB294" i="2"/>
  <c r="U294" i="2"/>
  <c r="P294" i="2"/>
  <c r="T294" i="2" s="1"/>
  <c r="N294" i="2" s="1"/>
  <c r="AB293" i="2"/>
  <c r="U293" i="2"/>
  <c r="P293" i="2"/>
  <c r="T293" i="2" s="1"/>
  <c r="N293" i="2" s="1"/>
  <c r="AB292" i="2"/>
  <c r="U292" i="2"/>
  <c r="P292" i="2"/>
  <c r="T292" i="2" s="1"/>
  <c r="N292" i="2" s="1"/>
  <c r="AB291" i="2"/>
  <c r="U291" i="2"/>
  <c r="P291" i="2"/>
  <c r="T291" i="2" s="1"/>
  <c r="N291" i="2" s="1"/>
  <c r="AB290" i="2"/>
  <c r="U290" i="2"/>
  <c r="P290" i="2"/>
  <c r="S290" i="2" s="1"/>
  <c r="AB289" i="2"/>
  <c r="U289" i="2"/>
  <c r="P289" i="2"/>
  <c r="S289" i="2" s="1"/>
  <c r="AB288" i="2"/>
  <c r="U288" i="2"/>
  <c r="P288" i="2"/>
  <c r="S288" i="2" s="1"/>
  <c r="AB287" i="2"/>
  <c r="U287" i="2"/>
  <c r="P287" i="2"/>
  <c r="T287" i="2" s="1"/>
  <c r="AB286" i="2"/>
  <c r="U286" i="2"/>
  <c r="P286" i="2"/>
  <c r="S286" i="2" s="1"/>
  <c r="AB285" i="2"/>
  <c r="U285" i="2"/>
  <c r="P285" i="2"/>
  <c r="T285" i="2" s="1"/>
  <c r="N285" i="2" s="1"/>
  <c r="P283" i="2"/>
  <c r="W298" i="2"/>
  <c r="W292" i="2"/>
  <c r="W287" i="2"/>
  <c r="W290" i="2"/>
  <c r="W297" i="2"/>
  <c r="W296" i="2"/>
  <c r="W286" i="2"/>
  <c r="W288" i="2"/>
  <c r="W294" i="2"/>
  <c r="W285" i="2"/>
  <c r="W289" i="2"/>
  <c r="W293" i="2"/>
  <c r="W291" i="2"/>
  <c r="W299" i="2"/>
  <c r="W300" i="2"/>
  <c r="W301" i="2"/>
  <c r="W295" i="2"/>
  <c r="T288" i="2" l="1"/>
  <c r="S296" i="2"/>
  <c r="V296" i="2" s="1"/>
  <c r="AA296" i="2" s="1"/>
  <c r="T295" i="2"/>
  <c r="V295" i="2" s="1"/>
  <c r="AA295" i="2" s="1"/>
  <c r="N287" i="2"/>
  <c r="Z287" i="2" s="1"/>
  <c r="N296" i="2"/>
  <c r="Z296" i="2" s="1"/>
  <c r="N288" i="2"/>
  <c r="Z288" i="2" s="1"/>
  <c r="N295" i="2"/>
  <c r="Z295" i="2" s="1"/>
  <c r="N301" i="2"/>
  <c r="Z301" i="2" s="1"/>
  <c r="S287" i="2"/>
  <c r="V287" i="2" s="1"/>
  <c r="AA287" i="2" s="1"/>
  <c r="S292" i="2"/>
  <c r="V292" i="2" s="1"/>
  <c r="AA292" i="2" s="1"/>
  <c r="N312" i="2"/>
  <c r="Z312" i="2" s="1"/>
  <c r="AC312" i="2" s="1"/>
  <c r="T286" i="2"/>
  <c r="V286" i="2" s="1"/>
  <c r="AA286" i="2" s="1"/>
  <c r="V312" i="2"/>
  <c r="AA312" i="2" s="1"/>
  <c r="N300" i="2"/>
  <c r="Z300" i="2" s="1"/>
  <c r="U299" i="2"/>
  <c r="U300" i="2"/>
  <c r="U298" i="2"/>
  <c r="V300" i="2"/>
  <c r="AA300" i="2" s="1"/>
  <c r="S301" i="2"/>
  <c r="V301" i="2" s="1"/>
  <c r="AA301" i="2" s="1"/>
  <c r="U297" i="2"/>
  <c r="Z293" i="2"/>
  <c r="Z291" i="2"/>
  <c r="Z285" i="2"/>
  <c r="Z294" i="2"/>
  <c r="Z292" i="2"/>
  <c r="V288" i="2"/>
  <c r="AA288" i="2" s="1"/>
  <c r="T290" i="2"/>
  <c r="N290" i="2" s="1"/>
  <c r="S291" i="2"/>
  <c r="V291" i="2" s="1"/>
  <c r="AA291" i="2" s="1"/>
  <c r="S285" i="2"/>
  <c r="V285" i="2" s="1"/>
  <c r="AA285" i="2" s="1"/>
  <c r="S293" i="2"/>
  <c r="V293" i="2" s="1"/>
  <c r="AA293" i="2" s="1"/>
  <c r="T289" i="2"/>
  <c r="N289" i="2" s="1"/>
  <c r="S294" i="2"/>
  <c r="V294" i="2" s="1"/>
  <c r="AA294" i="2" s="1"/>
  <c r="AB284" i="2"/>
  <c r="T284" i="2"/>
  <c r="R284" i="2"/>
  <c r="U284" i="2" s="1"/>
  <c r="S283" i="2"/>
  <c r="U283" i="2"/>
  <c r="T283" i="2"/>
  <c r="AB283" i="2"/>
  <c r="AB282" i="2"/>
  <c r="T282" i="2"/>
  <c r="R282" i="2"/>
  <c r="U282" i="2" s="1"/>
  <c r="W283" i="2"/>
  <c r="W282" i="2"/>
  <c r="W284" i="2"/>
  <c r="N282" i="2" l="1"/>
  <c r="Z282" i="2" s="1"/>
  <c r="N283" i="2"/>
  <c r="Z283" i="2" s="1"/>
  <c r="N284" i="2"/>
  <c r="Z284" i="2" s="1"/>
  <c r="N286" i="2"/>
  <c r="Z286" i="2" s="1"/>
  <c r="Z290" i="2"/>
  <c r="V290" i="2"/>
  <c r="AA290" i="2" s="1"/>
  <c r="V289" i="2"/>
  <c r="AA289" i="2" s="1"/>
  <c r="Z289" i="2"/>
  <c r="S284" i="2"/>
  <c r="V284" i="2" s="1"/>
  <c r="AA284" i="2" s="1"/>
  <c r="V283" i="2"/>
  <c r="AA283" i="2" s="1"/>
  <c r="S282" i="2"/>
  <c r="V282" i="2" s="1"/>
  <c r="AA282" i="2" s="1"/>
  <c r="G278" i="2"/>
  <c r="G277" i="2"/>
  <c r="G276" i="2"/>
  <c r="G275" i="2"/>
  <c r="G274" i="2"/>
  <c r="G273" i="2"/>
  <c r="G272" i="2"/>
  <c r="G271" i="2"/>
  <c r="G270" i="2"/>
  <c r="G269" i="2"/>
  <c r="G268" i="2"/>
  <c r="G267" i="2"/>
  <c r="G266" i="2"/>
  <c r="G265" i="2"/>
  <c r="G264" i="2"/>
  <c r="G263" i="2"/>
  <c r="G262" i="2"/>
  <c r="G261" i="2"/>
  <c r="G260" i="2"/>
  <c r="G259" i="2"/>
  <c r="G258" i="2"/>
  <c r="G257" i="2"/>
  <c r="G256" i="2"/>
  <c r="G254" i="2"/>
  <c r="G253" i="2"/>
  <c r="G252" i="2"/>
  <c r="G251" i="2"/>
  <c r="G250" i="2"/>
  <c r="G249" i="2"/>
  <c r="G248" i="2"/>
  <c r="G246" i="2"/>
  <c r="G245" i="2"/>
  <c r="G244" i="2"/>
  <c r="G243" i="2"/>
  <c r="G242" i="2"/>
  <c r="G241" i="2"/>
  <c r="G240" i="2"/>
  <c r="G239" i="2"/>
  <c r="G238" i="2"/>
  <c r="G237" i="2"/>
  <c r="G236" i="2"/>
  <c r="G235" i="2"/>
  <c r="G234" i="2"/>
  <c r="G233" i="2"/>
  <c r="G232" i="2"/>
  <c r="G231" i="2"/>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90"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G8" i="2"/>
  <c r="G7" i="2"/>
  <c r="G6" i="2"/>
  <c r="G5" i="2"/>
  <c r="G4" i="2"/>
  <c r="G3" i="2"/>
  <c r="G2" i="2"/>
  <c r="F38" i="4" l="1"/>
  <c r="E38" i="4"/>
  <c r="D38" i="4"/>
  <c r="F37" i="4"/>
  <c r="E37" i="4"/>
  <c r="D37" i="4"/>
  <c r="AB281" i="2" l="1"/>
  <c r="AB280" i="2"/>
  <c r="AB279" i="2"/>
  <c r="F281" i="2"/>
  <c r="E281" i="2"/>
  <c r="F280" i="2"/>
  <c r="E280" i="2"/>
  <c r="F279" i="2"/>
  <c r="E279" i="2"/>
  <c r="B6" i="11"/>
  <c r="B5" i="11"/>
  <c r="J281" i="2" s="1"/>
  <c r="G281" i="2" s="1"/>
  <c r="B4" i="11"/>
  <c r="J280" i="2" s="1"/>
  <c r="G280" i="2" s="1"/>
  <c r="B3" i="11"/>
  <c r="J279" i="2" s="1"/>
  <c r="G279" i="2" s="1"/>
  <c r="B2" i="11"/>
  <c r="Z78" i="2"/>
  <c r="Z66" i="2"/>
  <c r="R278" i="2"/>
  <c r="U278" i="2" s="1"/>
  <c r="T278" i="2"/>
  <c r="N278" i="2" s="1"/>
  <c r="W280" i="2"/>
  <c r="W281" i="2"/>
  <c r="W278" i="2"/>
  <c r="W279" i="2"/>
  <c r="M6" i="9" l="1"/>
  <c r="M5" i="9"/>
  <c r="S278" i="2"/>
  <c r="V278" i="2" s="1"/>
  <c r="AA278" i="2" s="1"/>
  <c r="Z278" i="2"/>
  <c r="AC278" i="2" s="1"/>
  <c r="AB278" i="2"/>
  <c r="AB277" i="2"/>
  <c r="O277" i="2"/>
  <c r="R277" i="2" s="1"/>
  <c r="U277" i="2" s="1"/>
  <c r="AB276" i="2"/>
  <c r="R276" i="2"/>
  <c r="U276" i="2" s="1"/>
  <c r="T276" i="2"/>
  <c r="AB275" i="2"/>
  <c r="W275" i="2"/>
  <c r="W276" i="2"/>
  <c r="W277" i="2"/>
  <c r="N7" i="9" l="1"/>
  <c r="AA7" i="9"/>
  <c r="AA6" i="9"/>
  <c r="N6" i="9"/>
  <c r="N5" i="9"/>
  <c r="AA5" i="9"/>
  <c r="T277" i="2"/>
  <c r="N277" i="2" s="1"/>
  <c r="N276" i="2"/>
  <c r="Z276" i="2" s="1"/>
  <c r="AC276" i="2" s="1"/>
  <c r="S277" i="2"/>
  <c r="S276" i="2"/>
  <c r="V276" i="2" s="1"/>
  <c r="AA276" i="2" s="1"/>
  <c r="R275" i="2"/>
  <c r="U275" i="2" s="1"/>
  <c r="T275" i="2"/>
  <c r="N275" i="2" s="1"/>
  <c r="G37" i="4" s="1"/>
  <c r="AB274" i="2"/>
  <c r="R274" i="2"/>
  <c r="U274" i="2" s="1"/>
  <c r="AB273" i="2"/>
  <c r="R273" i="2"/>
  <c r="Z4" i="9"/>
  <c r="M4" i="9"/>
  <c r="B4" i="9"/>
  <c r="W274" i="2"/>
  <c r="W273" i="2"/>
  <c r="Z277" i="2" l="1"/>
  <c r="AC277" i="2" s="1"/>
  <c r="G38" i="4"/>
  <c r="V277" i="2"/>
  <c r="AA277" i="2" s="1"/>
  <c r="H38" i="4"/>
  <c r="U273" i="2"/>
  <c r="Z275" i="2"/>
  <c r="AC275" i="2" s="1"/>
  <c r="S275" i="2"/>
  <c r="AA4" i="9"/>
  <c r="N4" i="9"/>
  <c r="C44" i="1"/>
  <c r="N44" i="1" s="1"/>
  <c r="J44" i="1"/>
  <c r="K44" i="1" s="1"/>
  <c r="J43" i="1"/>
  <c r="K43" i="1" s="1"/>
  <c r="C43" i="1"/>
  <c r="N43" i="1" s="1"/>
  <c r="L44" i="1"/>
  <c r="L42" i="1"/>
  <c r="L43" i="1"/>
  <c r="V275" i="2" l="1"/>
  <c r="AA275" i="2" s="1"/>
  <c r="H37" i="4"/>
  <c r="C42" i="1"/>
  <c r="N42" i="1" s="1"/>
  <c r="J42" i="1"/>
  <c r="K42" i="1" s="1"/>
  <c r="D33" i="4" l="1"/>
  <c r="E33" i="4"/>
  <c r="F33" i="4"/>
  <c r="D34" i="4"/>
  <c r="E34" i="4"/>
  <c r="F34" i="4"/>
  <c r="D35" i="4"/>
  <c r="E35" i="4"/>
  <c r="F35" i="4"/>
  <c r="D36" i="4"/>
  <c r="E36" i="4"/>
  <c r="F36" i="4"/>
  <c r="G36" i="4"/>
  <c r="O272" i="2"/>
  <c r="R272" i="2" s="1"/>
  <c r="U272" i="2" s="1"/>
  <c r="AB272" i="2"/>
  <c r="AB271" i="2"/>
  <c r="R271" i="2"/>
  <c r="U271" i="2" s="1"/>
  <c r="T271" i="2"/>
  <c r="AB270" i="2"/>
  <c r="R270" i="2"/>
  <c r="U270" i="2" s="1"/>
  <c r="AB269" i="2"/>
  <c r="T269" i="2"/>
  <c r="N269" i="2" s="1"/>
  <c r="Z269" i="2" s="1"/>
  <c r="AC269" i="2" s="1"/>
  <c r="R269" i="2"/>
  <c r="U269" i="2" s="1"/>
  <c r="AB268" i="2"/>
  <c r="AB267" i="2"/>
  <c r="R268" i="2"/>
  <c r="U268" i="2" s="1"/>
  <c r="T268" i="2"/>
  <c r="N268" i="2" s="1"/>
  <c r="Z268" i="2" s="1"/>
  <c r="AC268" i="2" s="1"/>
  <c r="T267" i="2"/>
  <c r="N267" i="2" s="1"/>
  <c r="Z267" i="2" s="1"/>
  <c r="AC267" i="2" s="1"/>
  <c r="R267" i="2"/>
  <c r="U267" i="2" s="1"/>
  <c r="W272" i="2"/>
  <c r="W271" i="2"/>
  <c r="W269" i="2"/>
  <c r="W268" i="2"/>
  <c r="W270" i="2"/>
  <c r="W267" i="2"/>
  <c r="G34" i="4" l="1"/>
  <c r="G33" i="4"/>
  <c r="G35" i="4"/>
  <c r="S268" i="2"/>
  <c r="V268" i="2" s="1"/>
  <c r="AA268" i="2" s="1"/>
  <c r="S270" i="2"/>
  <c r="T272" i="2"/>
  <c r="Z272" i="2" s="1"/>
  <c r="AC272" i="2" s="1"/>
  <c r="S272" i="2"/>
  <c r="Z271" i="2"/>
  <c r="AC271" i="2" s="1"/>
  <c r="S271" i="2"/>
  <c r="T270" i="2"/>
  <c r="S269" i="2"/>
  <c r="H34" i="4" s="1"/>
  <c r="S267" i="2"/>
  <c r="F32" i="4"/>
  <c r="E32" i="4"/>
  <c r="D32" i="4"/>
  <c r="F31" i="4"/>
  <c r="E31" i="4"/>
  <c r="D31" i="4"/>
  <c r="F30" i="4"/>
  <c r="E30" i="4"/>
  <c r="D30" i="4"/>
  <c r="F29" i="4"/>
  <c r="E29" i="4"/>
  <c r="D29" i="4"/>
  <c r="F28" i="4"/>
  <c r="E28" i="4"/>
  <c r="D28" i="4"/>
  <c r="F27" i="4"/>
  <c r="E27" i="4"/>
  <c r="D27" i="4"/>
  <c r="F26" i="4"/>
  <c r="E26" i="4"/>
  <c r="D26" i="4"/>
  <c r="F25" i="4"/>
  <c r="E25" i="4"/>
  <c r="D25" i="4"/>
  <c r="F24" i="4"/>
  <c r="E24" i="4"/>
  <c r="D24" i="4"/>
  <c r="F23" i="4"/>
  <c r="E23" i="4"/>
  <c r="D23" i="4"/>
  <c r="F22" i="4"/>
  <c r="E22" i="4"/>
  <c r="D22" i="4"/>
  <c r="F21" i="4"/>
  <c r="E21" i="4"/>
  <c r="D21" i="4"/>
  <c r="F20" i="4"/>
  <c r="E20" i="4"/>
  <c r="D20" i="4"/>
  <c r="F19" i="4"/>
  <c r="E19" i="4"/>
  <c r="D19" i="4"/>
  <c r="F18" i="4"/>
  <c r="E18" i="4"/>
  <c r="D18" i="4"/>
  <c r="F17" i="4"/>
  <c r="E17" i="4"/>
  <c r="D17" i="4"/>
  <c r="F16" i="4"/>
  <c r="E16" i="4"/>
  <c r="D16" i="4"/>
  <c r="F15" i="4"/>
  <c r="E15" i="4"/>
  <c r="D15" i="4"/>
  <c r="H35" i="4" l="1"/>
  <c r="V269" i="2"/>
  <c r="AA269" i="2" s="1"/>
  <c r="H33" i="4"/>
  <c r="V267" i="2"/>
  <c r="AA267" i="2" s="1"/>
  <c r="V271" i="2"/>
  <c r="AA271" i="2" s="1"/>
  <c r="H36" i="4"/>
  <c r="V272" i="2"/>
  <c r="AA272" i="2" s="1"/>
  <c r="Z270" i="2"/>
  <c r="AC270" i="2" s="1"/>
  <c r="V270" i="2"/>
  <c r="AA270" i="2" s="1"/>
  <c r="AB266" i="2"/>
  <c r="R266" i="2"/>
  <c r="T266" i="2"/>
  <c r="Z266" i="2" s="1"/>
  <c r="AC266" i="2" s="1"/>
  <c r="AB265" i="2"/>
  <c r="R265" i="2"/>
  <c r="T265" i="2"/>
  <c r="AB264" i="2"/>
  <c r="R264" i="2"/>
  <c r="T264" i="2"/>
  <c r="Z264" i="2" s="1"/>
  <c r="AC264" i="2" s="1"/>
  <c r="AB263" i="2"/>
  <c r="R263" i="2"/>
  <c r="AB262" i="2"/>
  <c r="T262" i="2"/>
  <c r="Z262" i="2" s="1"/>
  <c r="AC262" i="2" s="1"/>
  <c r="R262" i="2"/>
  <c r="AB261" i="2"/>
  <c r="R261" i="2"/>
  <c r="T261" i="2"/>
  <c r="Z261" i="2" s="1"/>
  <c r="AC261" i="2" s="1"/>
  <c r="AB260" i="2"/>
  <c r="R260" i="2"/>
  <c r="T260" i="2"/>
  <c r="Z260" i="2" s="1"/>
  <c r="AC260" i="2" s="1"/>
  <c r="AB259" i="2"/>
  <c r="R259" i="2"/>
  <c r="AB258" i="2"/>
  <c r="T258" i="2"/>
  <c r="Z258" i="2" s="1"/>
  <c r="AC258" i="2" s="1"/>
  <c r="R258" i="2"/>
  <c r="AB257" i="2"/>
  <c r="R257" i="2"/>
  <c r="T257" i="2"/>
  <c r="Z257" i="2" s="1"/>
  <c r="AC257" i="2" s="1"/>
  <c r="AB256" i="2"/>
  <c r="T256" i="2"/>
  <c r="Z256" i="2" s="1"/>
  <c r="AC256" i="2" s="1"/>
  <c r="R256" i="2"/>
  <c r="AB255" i="2"/>
  <c r="R255" i="2"/>
  <c r="AB254" i="2"/>
  <c r="R254" i="2"/>
  <c r="T254" i="2"/>
  <c r="Z254" i="2" s="1"/>
  <c r="AC254" i="2" s="1"/>
  <c r="AB253" i="2"/>
  <c r="R253" i="2"/>
  <c r="T253" i="2"/>
  <c r="Z253" i="2" s="1"/>
  <c r="AC253" i="2" s="1"/>
  <c r="AB252" i="2"/>
  <c r="R252" i="2"/>
  <c r="T252" i="2"/>
  <c r="Z252" i="2" s="1"/>
  <c r="AC252" i="2" s="1"/>
  <c r="AB251" i="2"/>
  <c r="T251" i="2"/>
  <c r="Z251" i="2" s="1"/>
  <c r="AC251" i="2" s="1"/>
  <c r="R251" i="2"/>
  <c r="AB250" i="2"/>
  <c r="R250" i="2"/>
  <c r="T250" i="2"/>
  <c r="Z250" i="2" s="1"/>
  <c r="AC250" i="2" s="1"/>
  <c r="AB249" i="2"/>
  <c r="T249" i="2"/>
  <c r="Z249" i="2" s="1"/>
  <c r="AC249" i="2" s="1"/>
  <c r="R249" i="2"/>
  <c r="AB248" i="2"/>
  <c r="R248" i="2"/>
  <c r="U248" i="2" s="1"/>
  <c r="W262" i="2"/>
  <c r="W253" i="2"/>
  <c r="W256" i="2"/>
  <c r="W249" i="2"/>
  <c r="W255" i="2"/>
  <c r="W250" i="2"/>
  <c r="W266" i="2"/>
  <c r="W252" i="2"/>
  <c r="W248" i="2"/>
  <c r="W257" i="2"/>
  <c r="W251" i="2"/>
  <c r="W261" i="2"/>
  <c r="W265" i="2"/>
  <c r="W259" i="2"/>
  <c r="W258" i="2"/>
  <c r="W254" i="2"/>
  <c r="W264" i="2"/>
  <c r="W260" i="2"/>
  <c r="W263" i="2"/>
  <c r="U255" i="2" l="1"/>
  <c r="G21" i="4"/>
  <c r="U262" i="2"/>
  <c r="G28" i="4"/>
  <c r="U253" i="2"/>
  <c r="G19" i="4"/>
  <c r="U260" i="2"/>
  <c r="G26" i="4"/>
  <c r="U251" i="2"/>
  <c r="G17" i="4"/>
  <c r="U258" i="2"/>
  <c r="G24" i="4"/>
  <c r="U265" i="2"/>
  <c r="G31" i="4"/>
  <c r="U256" i="2"/>
  <c r="G22" i="4"/>
  <c r="U263" i="2"/>
  <c r="G29" i="4"/>
  <c r="U254" i="2"/>
  <c r="G20" i="4"/>
  <c r="U261" i="2"/>
  <c r="G27" i="4"/>
  <c r="U266" i="2"/>
  <c r="G32" i="4"/>
  <c r="U249" i="2"/>
  <c r="G15" i="4"/>
  <c r="U259" i="2"/>
  <c r="G25" i="4"/>
  <c r="U252" i="2"/>
  <c r="G18" i="4"/>
  <c r="U250" i="2"/>
  <c r="G16" i="4"/>
  <c r="U257" i="2"/>
  <c r="G23" i="4"/>
  <c r="U264" i="2"/>
  <c r="G30" i="4"/>
  <c r="S263" i="2"/>
  <c r="S249" i="2"/>
  <c r="V249" i="2" s="1"/>
  <c r="AA249" i="2" s="1"/>
  <c r="S259" i="2"/>
  <c r="H25" i="4" s="1"/>
  <c r="S255" i="2"/>
  <c r="H21" i="4" s="1"/>
  <c r="T255" i="2"/>
  <c r="Z255" i="2" s="1"/>
  <c r="AC255" i="2" s="1"/>
  <c r="T259" i="2"/>
  <c r="Z259" i="2" s="1"/>
  <c r="AC259" i="2" s="1"/>
  <c r="T263" i="2"/>
  <c r="Z263" i="2" s="1"/>
  <c r="AC263" i="2" s="1"/>
  <c r="S266" i="2"/>
  <c r="S262" i="2"/>
  <c r="H28" i="4" s="1"/>
  <c r="S258" i="2"/>
  <c r="H24" i="4" s="1"/>
  <c r="S254" i="2"/>
  <c r="S253" i="2"/>
  <c r="S251" i="2"/>
  <c r="S250" i="2"/>
  <c r="Z265" i="2"/>
  <c r="AC265" i="2" s="1"/>
  <c r="S252" i="2"/>
  <c r="H18" i="4" s="1"/>
  <c r="S256" i="2"/>
  <c r="H22" i="4" s="1"/>
  <c r="S260" i="2"/>
  <c r="S264" i="2"/>
  <c r="H30" i="4" s="1"/>
  <c r="S257" i="2"/>
  <c r="S261" i="2"/>
  <c r="S265" i="2"/>
  <c r="J41" i="1"/>
  <c r="K41" i="1" s="1"/>
  <c r="C41" i="1"/>
  <c r="N41" i="1" s="1"/>
  <c r="L41" i="1"/>
  <c r="H15" i="4" l="1"/>
  <c r="H29" i="4"/>
  <c r="V263" i="2"/>
  <c r="AA263" i="2" s="1"/>
  <c r="V262" i="2"/>
  <c r="AA262" i="2" s="1"/>
  <c r="V255" i="2"/>
  <c r="AA255" i="2" s="1"/>
  <c r="V254" i="2"/>
  <c r="AA254" i="2" s="1"/>
  <c r="H20" i="4"/>
  <c r="V252" i="2"/>
  <c r="AA252" i="2" s="1"/>
  <c r="V265" i="2"/>
  <c r="AA265" i="2" s="1"/>
  <c r="H31" i="4"/>
  <c r="V250" i="2"/>
  <c r="AA250" i="2" s="1"/>
  <c r="H16" i="4"/>
  <c r="V266" i="2"/>
  <c r="AA266" i="2" s="1"/>
  <c r="H32" i="4"/>
  <c r="V260" i="2"/>
  <c r="AA260" i="2" s="1"/>
  <c r="H26" i="4"/>
  <c r="V264" i="2"/>
  <c r="AA264" i="2" s="1"/>
  <c r="V258" i="2"/>
  <c r="AA258" i="2" s="1"/>
  <c r="V256" i="2"/>
  <c r="AA256" i="2" s="1"/>
  <c r="V261" i="2"/>
  <c r="AA261" i="2" s="1"/>
  <c r="H27" i="4"/>
  <c r="V251" i="2"/>
  <c r="AA251" i="2" s="1"/>
  <c r="H17" i="4"/>
  <c r="V259" i="2"/>
  <c r="AA259" i="2" s="1"/>
  <c r="V257" i="2"/>
  <c r="AA257" i="2" s="1"/>
  <c r="H23" i="4"/>
  <c r="V253" i="2"/>
  <c r="AA253" i="2" s="1"/>
  <c r="H19" i="4"/>
  <c r="J40" i="1"/>
  <c r="K40" i="1" s="1"/>
  <c r="C40" i="1"/>
  <c r="N40" i="1" s="1"/>
  <c r="L40" i="1"/>
  <c r="AB246" i="2" l="1"/>
  <c r="AA246" i="2"/>
  <c r="N246" i="2"/>
  <c r="Z246" i="2" s="1"/>
  <c r="AC246" i="2" s="1"/>
  <c r="AB245" i="2"/>
  <c r="T245" i="2"/>
  <c r="N245" i="2" s="1"/>
  <c r="Z245" i="2" s="1"/>
  <c r="AC245" i="2" s="1"/>
  <c r="R245" i="2"/>
  <c r="U245" i="2" s="1"/>
  <c r="W246" i="2"/>
  <c r="W245" i="2"/>
  <c r="S245" i="2" l="1"/>
  <c r="V245" i="2" s="1"/>
  <c r="AA245" i="2" s="1"/>
  <c r="AB244" i="2"/>
  <c r="T244" i="2"/>
  <c r="N244" i="2" s="1"/>
  <c r="Z244" i="2" s="1"/>
  <c r="AC244" i="2" s="1"/>
  <c r="R244" i="2"/>
  <c r="U244" i="2" s="1"/>
  <c r="AB243" i="2"/>
  <c r="R243" i="2"/>
  <c r="W243" i="2"/>
  <c r="W244" i="2"/>
  <c r="S244" i="2" l="1"/>
  <c r="V244" i="2" s="1"/>
  <c r="AA244" i="2" s="1"/>
  <c r="U243" i="2"/>
  <c r="J39" i="1"/>
  <c r="K39" i="1" s="1"/>
  <c r="C39" i="1"/>
  <c r="N39" i="1" s="1"/>
  <c r="L39" i="1"/>
  <c r="L38" i="1"/>
  <c r="AB242" i="2" l="1"/>
  <c r="R242" i="2"/>
  <c r="U242" i="2" s="1"/>
  <c r="AB239" i="2"/>
  <c r="R239" i="2"/>
  <c r="U239" i="2" s="1"/>
  <c r="AB241" i="2"/>
  <c r="R241" i="2"/>
  <c r="U241" i="2" s="1"/>
  <c r="AB240" i="2"/>
  <c r="T240" i="2"/>
  <c r="N240" i="2" s="1"/>
  <c r="Z240" i="2" s="1"/>
  <c r="AC240" i="2" s="1"/>
  <c r="R240" i="2"/>
  <c r="U240" i="2" s="1"/>
  <c r="W241" i="2"/>
  <c r="W240" i="2"/>
  <c r="W239" i="2"/>
  <c r="W242" i="2"/>
  <c r="S240" i="2" l="1"/>
  <c r="V240" i="2" s="1"/>
  <c r="AA240" i="2" s="1"/>
  <c r="J38" i="1"/>
  <c r="K38" i="1" s="1"/>
  <c r="C38" i="1"/>
  <c r="N38" i="1" s="1"/>
  <c r="AB238" i="2"/>
  <c r="T238" i="2"/>
  <c r="N238" i="2" s="1"/>
  <c r="Z238" i="2" s="1"/>
  <c r="AC238" i="2" s="1"/>
  <c r="R238" i="2"/>
  <c r="U238" i="2" s="1"/>
  <c r="W237" i="2"/>
  <c r="W238" i="2"/>
  <c r="W236" i="2"/>
  <c r="S238" i="2" l="1"/>
  <c r="V238" i="2" s="1"/>
  <c r="AA238" i="2" s="1"/>
  <c r="AB237" i="2" l="1"/>
  <c r="R237" i="2"/>
  <c r="U237" i="2" s="1"/>
  <c r="AB236" i="2"/>
  <c r="R236" i="2"/>
  <c r="U236" i="2" s="1"/>
  <c r="AB235" i="2" l="1"/>
  <c r="T235" i="2"/>
  <c r="N235" i="2" s="1"/>
  <c r="Z235" i="2" s="1"/>
  <c r="AC235" i="2" s="1"/>
  <c r="R235" i="2"/>
  <c r="S235" i="2" s="1"/>
  <c r="AB232" i="2"/>
  <c r="T232" i="2"/>
  <c r="N232" i="2" s="1"/>
  <c r="Z232" i="2" s="1"/>
  <c r="AC232" i="2" s="1"/>
  <c r="R232" i="2"/>
  <c r="S232" i="2" s="1"/>
  <c r="R230" i="2"/>
  <c r="U230" i="2" s="1"/>
  <c r="AB227" i="2"/>
  <c r="R227" i="2"/>
  <c r="U227" i="2" s="1"/>
  <c r="AB230" i="2"/>
  <c r="AB231" i="2"/>
  <c r="R231" i="2"/>
  <c r="U231" i="2" s="1"/>
  <c r="AB234" i="2"/>
  <c r="R234" i="2"/>
  <c r="U234" i="2" s="1"/>
  <c r="AB228" i="2"/>
  <c r="R228" i="2"/>
  <c r="U228" i="2" s="1"/>
  <c r="AB229" i="2"/>
  <c r="R229" i="2"/>
  <c r="U229" i="2" s="1"/>
  <c r="AB233" i="2"/>
  <c r="R233" i="2"/>
  <c r="U233" i="2" s="1"/>
  <c r="W227" i="2"/>
  <c r="W233" i="2"/>
  <c r="W231" i="2"/>
  <c r="W232" i="2"/>
  <c r="W229" i="2"/>
  <c r="W228" i="2"/>
  <c r="W235" i="2"/>
  <c r="W230" i="2"/>
  <c r="W234" i="2"/>
  <c r="V235" i="2" l="1"/>
  <c r="AA235" i="2" s="1"/>
  <c r="U235" i="2"/>
  <c r="U232" i="2"/>
  <c r="V232" i="2"/>
  <c r="AA232" i="2" s="1"/>
  <c r="AB226" i="2"/>
  <c r="T226" i="2"/>
  <c r="N226" i="2" s="1"/>
  <c r="Z226" i="2" s="1"/>
  <c r="AC226" i="2" s="1"/>
  <c r="R226" i="2"/>
  <c r="U226" i="2" s="1"/>
  <c r="W226" i="2"/>
  <c r="S226" i="2" l="1"/>
  <c r="V226" i="2" s="1"/>
  <c r="AA226" i="2" s="1"/>
  <c r="AB225" i="2"/>
  <c r="R225" i="2"/>
  <c r="U225" i="2" s="1"/>
  <c r="R223" i="2"/>
  <c r="U223" i="2" s="1"/>
  <c r="AB223" i="2"/>
  <c r="R224" i="2"/>
  <c r="U224" i="2" s="1"/>
  <c r="AB224" i="2"/>
  <c r="AB222" i="2"/>
  <c r="R222" i="2"/>
  <c r="U222" i="2" s="1"/>
  <c r="AB221" i="2"/>
  <c r="R221" i="2"/>
  <c r="U221" i="2" s="1"/>
  <c r="AB220" i="2"/>
  <c r="R220" i="2"/>
  <c r="U220" i="2" s="1"/>
  <c r="AB219" i="2"/>
  <c r="R219" i="2"/>
  <c r="U219" i="2" s="1"/>
  <c r="AB218" i="2"/>
  <c r="R218" i="2"/>
  <c r="U218" i="2" s="1"/>
  <c r="AB217" i="2"/>
  <c r="R217" i="2"/>
  <c r="U217" i="2" s="1"/>
  <c r="AB216" i="2"/>
  <c r="R216" i="2"/>
  <c r="U216" i="2" s="1"/>
  <c r="AB215" i="2"/>
  <c r="R215" i="2"/>
  <c r="U215" i="2" s="1"/>
  <c r="AB214" i="2"/>
  <c r="R214" i="2"/>
  <c r="U214" i="2" s="1"/>
  <c r="AB213" i="2"/>
  <c r="R213" i="2"/>
  <c r="U213" i="2" s="1"/>
  <c r="W223" i="2"/>
  <c r="W225" i="2"/>
  <c r="W221" i="2"/>
  <c r="W222" i="2"/>
  <c r="W224" i="2"/>
  <c r="W218" i="2"/>
  <c r="W219" i="2"/>
  <c r="W215" i="2"/>
  <c r="W217" i="2"/>
  <c r="W216" i="2"/>
  <c r="W220" i="2"/>
  <c r="W213" i="2"/>
  <c r="W214" i="2"/>
  <c r="AB212" i="2" l="1"/>
  <c r="R212" i="2"/>
  <c r="U212" i="2" s="1"/>
  <c r="AB211" i="2"/>
  <c r="R211" i="2"/>
  <c r="U211" i="2" s="1"/>
  <c r="AB210" i="2"/>
  <c r="R210" i="2"/>
  <c r="U210" i="2" s="1"/>
  <c r="AB209" i="2"/>
  <c r="R209" i="2"/>
  <c r="AB208" i="2"/>
  <c r="AB204" i="2"/>
  <c r="T208" i="2"/>
  <c r="R208" i="2"/>
  <c r="U208" i="2" s="1"/>
  <c r="AB207" i="2"/>
  <c r="T207" i="2"/>
  <c r="N207" i="2" s="1"/>
  <c r="R207" i="2"/>
  <c r="S207" i="2" s="1"/>
  <c r="AB206" i="2"/>
  <c r="T206" i="2"/>
  <c r="N206" i="2" s="1"/>
  <c r="Z206" i="2" s="1"/>
  <c r="AC206" i="2" s="1"/>
  <c r="R206" i="2"/>
  <c r="U206" i="2" s="1"/>
  <c r="AB205" i="2"/>
  <c r="T205" i="2"/>
  <c r="N205" i="2" s="1"/>
  <c r="Z205" i="2" s="1"/>
  <c r="AC205" i="2" s="1"/>
  <c r="R205" i="2"/>
  <c r="U205" i="2" s="1"/>
  <c r="W205" i="2"/>
  <c r="W207" i="2"/>
  <c r="W211" i="2"/>
  <c r="W212" i="2"/>
  <c r="W210" i="2"/>
  <c r="W208" i="2"/>
  <c r="W206" i="2"/>
  <c r="W209" i="2"/>
  <c r="U209" i="2" l="1"/>
  <c r="Z207" i="2"/>
  <c r="AC207" i="2" s="1"/>
  <c r="S208" i="2"/>
  <c r="V208" i="2" s="1"/>
  <c r="AA208" i="2" s="1"/>
  <c r="N208" i="2"/>
  <c r="Z208" i="2" s="1"/>
  <c r="AC208" i="2" s="1"/>
  <c r="U207" i="2"/>
  <c r="V207" i="2"/>
  <c r="AA207" i="2" s="1"/>
  <c r="S206" i="2"/>
  <c r="V206" i="2" s="1"/>
  <c r="AA206" i="2" s="1"/>
  <c r="S205" i="2"/>
  <c r="V205" i="2" s="1"/>
  <c r="AA205" i="2" s="1"/>
  <c r="AB203" i="2"/>
  <c r="T203" i="2" l="1"/>
  <c r="N203" i="2" s="1"/>
  <c r="Z203" i="2" s="1"/>
  <c r="AC203" i="2" s="1"/>
  <c r="R203" i="2"/>
  <c r="S203" i="2" s="1"/>
  <c r="T204" i="2"/>
  <c r="N204" i="2" s="1"/>
  <c r="Z204" i="2" s="1"/>
  <c r="AC204" i="2" s="1"/>
  <c r="R204" i="2"/>
  <c r="U204" i="2" s="1"/>
  <c r="AB202" i="2"/>
  <c r="T202" i="2"/>
  <c r="N202" i="2" s="1"/>
  <c r="Z202" i="2" s="1"/>
  <c r="AC202" i="2" s="1"/>
  <c r="R202" i="2"/>
  <c r="S202" i="2" s="1"/>
  <c r="W202" i="2"/>
  <c r="W203" i="2"/>
  <c r="W204" i="2"/>
  <c r="V202" i="2" l="1"/>
  <c r="AA202" i="2" s="1"/>
  <c r="U202" i="2"/>
  <c r="V203" i="2"/>
  <c r="AA203" i="2" s="1"/>
  <c r="S204" i="2"/>
  <c r="V204" i="2" s="1"/>
  <c r="AA204" i="2" s="1"/>
  <c r="U203" i="2"/>
  <c r="J37" i="1"/>
  <c r="K37" i="1" s="1"/>
  <c r="C37" i="1"/>
  <c r="N37" i="1" s="1"/>
  <c r="L37" i="1"/>
  <c r="J36" i="1" l="1"/>
  <c r="K36" i="1" s="1"/>
  <c r="C36" i="1"/>
  <c r="N36" i="1" s="1"/>
  <c r="L36" i="1"/>
  <c r="AB201" i="2" l="1"/>
  <c r="AB200" i="2"/>
  <c r="AB199" i="2"/>
  <c r="S199" i="2"/>
  <c r="U199" i="2"/>
  <c r="T201" i="2"/>
  <c r="R201" i="2"/>
  <c r="S201" i="2" s="1"/>
  <c r="T200" i="2"/>
  <c r="N200" i="2" s="1"/>
  <c r="Z200" i="2" s="1"/>
  <c r="AC200" i="2" s="1"/>
  <c r="R200" i="2"/>
  <c r="S200" i="2" s="1"/>
  <c r="T199" i="2"/>
  <c r="N199" i="2" s="1"/>
  <c r="Z199" i="2" s="1"/>
  <c r="AC199" i="2" s="1"/>
  <c r="AB198" i="2"/>
  <c r="T198" i="2"/>
  <c r="R198" i="2"/>
  <c r="S198" i="2" s="1"/>
  <c r="W199" i="2"/>
  <c r="W201" i="2"/>
  <c r="W198" i="2"/>
  <c r="W200" i="2"/>
  <c r="V198" i="2" l="1"/>
  <c r="AA198" i="2" s="1"/>
  <c r="N198" i="2"/>
  <c r="Z198" i="2" s="1"/>
  <c r="AC198" i="2" s="1"/>
  <c r="V201" i="2"/>
  <c r="AA201" i="2" s="1"/>
  <c r="V199" i="2"/>
  <c r="AA199" i="2" s="1"/>
  <c r="U201" i="2"/>
  <c r="N201" i="2"/>
  <c r="Z201" i="2" s="1"/>
  <c r="AC201" i="2" s="1"/>
  <c r="U198" i="2"/>
  <c r="V200" i="2"/>
  <c r="AA200" i="2" s="1"/>
  <c r="U200" i="2"/>
  <c r="AB197" i="2"/>
  <c r="T197" i="2"/>
  <c r="N197" i="2" s="1"/>
  <c r="Z197" i="2" s="1"/>
  <c r="R197" i="2"/>
  <c r="S197" i="2" s="1"/>
  <c r="W197" i="2"/>
  <c r="U197" i="2" l="1"/>
  <c r="V197" i="2"/>
  <c r="AA197" i="2" s="1"/>
  <c r="AB196" i="2"/>
  <c r="T196" i="2"/>
  <c r="N196" i="2" s="1"/>
  <c r="Z196" i="2" s="1"/>
  <c r="AC196" i="2" s="1"/>
  <c r="R196" i="2"/>
  <c r="U196" i="2" s="1"/>
  <c r="W196" i="2"/>
  <c r="S196" i="2" l="1"/>
  <c r="V196" i="2" s="1"/>
  <c r="AA196" i="2" s="1"/>
  <c r="AB195" i="2"/>
  <c r="T195" i="2"/>
  <c r="N195" i="2" s="1"/>
  <c r="Z195" i="2" s="1"/>
  <c r="AC195" i="2" s="1"/>
  <c r="R195" i="2"/>
  <c r="U195" i="2" s="1"/>
  <c r="AB194" i="2"/>
  <c r="T194" i="2"/>
  <c r="N194" i="2" s="1"/>
  <c r="Z194" i="2" s="1"/>
  <c r="AC194" i="2" s="1"/>
  <c r="R194" i="2"/>
  <c r="U194" i="2" s="1"/>
  <c r="AB193" i="2"/>
  <c r="T193" i="2"/>
  <c r="N193" i="2" s="1"/>
  <c r="Z193" i="2" s="1"/>
  <c r="AC193" i="2" s="1"/>
  <c r="R193" i="2"/>
  <c r="U193" i="2" s="1"/>
  <c r="AB192" i="2"/>
  <c r="T192" i="2"/>
  <c r="N192" i="2" s="1"/>
  <c r="Z192" i="2" s="1"/>
  <c r="AC192" i="2" s="1"/>
  <c r="R192" i="2"/>
  <c r="U192" i="2" s="1"/>
  <c r="W192" i="2"/>
  <c r="W193" i="2"/>
  <c r="W195" i="2"/>
  <c r="W194" i="2"/>
  <c r="S195" i="2" l="1"/>
  <c r="V195" i="2" s="1"/>
  <c r="AA195" i="2" s="1"/>
  <c r="S194" i="2"/>
  <c r="V194" i="2" s="1"/>
  <c r="AA194" i="2" s="1"/>
  <c r="S193" i="2"/>
  <c r="V193" i="2" s="1"/>
  <c r="AA193" i="2" s="1"/>
  <c r="S192" i="2"/>
  <c r="V192" i="2" s="1"/>
  <c r="AA192" i="2" s="1"/>
  <c r="AB191" i="2" l="1"/>
  <c r="T191" i="2"/>
  <c r="N191" i="2" s="1"/>
  <c r="Z191" i="2" s="1"/>
  <c r="AC191" i="2" s="1"/>
  <c r="R191" i="2"/>
  <c r="S191" i="2" s="1"/>
  <c r="AB190" i="2"/>
  <c r="AB189" i="2"/>
  <c r="AB188" i="2"/>
  <c r="AB187" i="2"/>
  <c r="R190" i="2"/>
  <c r="U190" i="2" s="1"/>
  <c r="R189" i="2"/>
  <c r="R188" i="2"/>
  <c r="U188" i="2" s="1"/>
  <c r="R187" i="2"/>
  <c r="U187" i="2" s="1"/>
  <c r="AB186" i="2"/>
  <c r="R186" i="2"/>
  <c r="U186" i="2" s="1"/>
  <c r="W189" i="2"/>
  <c r="W191" i="2"/>
  <c r="W190" i="2"/>
  <c r="W185" i="2"/>
  <c r="W187" i="2"/>
  <c r="W186" i="2"/>
  <c r="W188" i="2"/>
  <c r="U189" i="2" l="1"/>
  <c r="U191" i="2"/>
  <c r="V191" i="2"/>
  <c r="AA191" i="2" s="1"/>
  <c r="J35" i="1" l="1"/>
  <c r="K35" i="1" s="1"/>
  <c r="C35" i="1"/>
  <c r="N35" i="1" s="1"/>
  <c r="L35" i="1"/>
  <c r="AB184" i="2" l="1"/>
  <c r="T184" i="2"/>
  <c r="N184" i="2" s="1"/>
  <c r="Z184" i="2" s="1"/>
  <c r="AC184" i="2" s="1"/>
  <c r="R184" i="2"/>
  <c r="U184" i="2" s="1"/>
  <c r="AB185" i="2"/>
  <c r="T185" i="2"/>
  <c r="N185" i="2" s="1"/>
  <c r="Z185" i="2" s="1"/>
  <c r="AC185" i="2" s="1"/>
  <c r="R185" i="2"/>
  <c r="U185" i="2" s="1"/>
  <c r="W184" i="2"/>
  <c r="S184" i="2" l="1"/>
  <c r="V184" i="2" s="1"/>
  <c r="AA184" i="2" s="1"/>
  <c r="S185" i="2"/>
  <c r="V185" i="2" s="1"/>
  <c r="AA185" i="2" s="1"/>
  <c r="AB183" i="2"/>
  <c r="T183" i="2"/>
  <c r="N183" i="2" s="1"/>
  <c r="Z183" i="2" s="1"/>
  <c r="R183" i="2"/>
  <c r="U183" i="2" s="1"/>
  <c r="AB182" i="2"/>
  <c r="T182" i="2"/>
  <c r="N182" i="2" s="1"/>
  <c r="Z182" i="2" s="1"/>
  <c r="R182" i="2"/>
  <c r="U182" i="2" s="1"/>
  <c r="W183" i="2"/>
  <c r="W182" i="2"/>
  <c r="S182" i="2" l="1"/>
  <c r="V182" i="2" s="1"/>
  <c r="AA182" i="2" s="1"/>
  <c r="S183" i="2"/>
  <c r="V183" i="2" s="1"/>
  <c r="AA183" i="2" s="1"/>
  <c r="AB181" i="2"/>
  <c r="T181" i="2"/>
  <c r="Z181" i="2" s="1"/>
  <c r="R181" i="2"/>
  <c r="U181" i="2" s="1"/>
  <c r="W181" i="2"/>
  <c r="S181" i="2" l="1"/>
  <c r="V181" i="2" s="1"/>
  <c r="AA181" i="2" s="1"/>
  <c r="R180" i="2"/>
  <c r="U180" i="2" s="1"/>
  <c r="AB180" i="2"/>
  <c r="T180" i="2"/>
  <c r="N180" i="2" s="1"/>
  <c r="Z180" i="2" s="1"/>
  <c r="AB179" i="2"/>
  <c r="T179" i="2"/>
  <c r="N179" i="2" s="1"/>
  <c r="Z179" i="2" s="1"/>
  <c r="R179" i="2"/>
  <c r="S179" i="2" s="1"/>
  <c r="AB175" i="2"/>
  <c r="AB176" i="2"/>
  <c r="T176" i="2"/>
  <c r="N176" i="2" s="1"/>
  <c r="Z176" i="2" s="1"/>
  <c r="R176" i="2"/>
  <c r="U176" i="2" s="1"/>
  <c r="AB178" i="2"/>
  <c r="AB177" i="2"/>
  <c r="T178" i="2"/>
  <c r="N178" i="2" s="1"/>
  <c r="Z178" i="2" s="1"/>
  <c r="R178" i="2"/>
  <c r="U178" i="2" s="1"/>
  <c r="T177" i="2"/>
  <c r="N177" i="2" s="1"/>
  <c r="Z177" i="2" s="1"/>
  <c r="R177" i="2"/>
  <c r="S177" i="2" s="1"/>
  <c r="W179" i="2"/>
  <c r="W180" i="2"/>
  <c r="W178" i="2"/>
  <c r="W176" i="2"/>
  <c r="W177" i="2"/>
  <c r="U177" i="2" l="1"/>
  <c r="S180" i="2"/>
  <c r="V180" i="2" s="1"/>
  <c r="AA180" i="2" s="1"/>
  <c r="U179" i="2"/>
  <c r="V179" i="2"/>
  <c r="AA179" i="2" s="1"/>
  <c r="S176" i="2"/>
  <c r="V176" i="2" s="1"/>
  <c r="AA176" i="2" s="1"/>
  <c r="V177" i="2"/>
  <c r="AA177" i="2" s="1"/>
  <c r="S178" i="2"/>
  <c r="V178" i="2" s="1"/>
  <c r="AA178" i="2" s="1"/>
  <c r="Z3" i="9" l="1"/>
  <c r="Z2" i="9"/>
  <c r="T175" i="2"/>
  <c r="R175" i="2"/>
  <c r="S175" i="2" s="1"/>
  <c r="W175" i="2"/>
  <c r="V175" i="2" l="1"/>
  <c r="AA175" i="2" s="1"/>
  <c r="N175" i="2"/>
  <c r="Z175" i="2" s="1"/>
  <c r="U175" i="2"/>
  <c r="J34" i="1"/>
  <c r="K34" i="1" s="1"/>
  <c r="C33" i="1"/>
  <c r="N33" i="1" s="1"/>
  <c r="C34" i="1"/>
  <c r="N34" i="1" s="1"/>
  <c r="L34" i="1"/>
  <c r="AB173" i="2" l="1"/>
  <c r="T173" i="2"/>
  <c r="Z173" i="2" s="1"/>
  <c r="R173" i="2"/>
  <c r="U173" i="2" s="1"/>
  <c r="T174" i="2"/>
  <c r="N174" i="2" s="1"/>
  <c r="Z174" i="2" s="1"/>
  <c r="AB174" i="2"/>
  <c r="R174" i="2"/>
  <c r="S174" i="2" s="1"/>
  <c r="AB172" i="2"/>
  <c r="T172" i="2"/>
  <c r="R172" i="2"/>
  <c r="U172" i="2" s="1"/>
  <c r="W174" i="2"/>
  <c r="W173" i="2"/>
  <c r="W172" i="2"/>
  <c r="N172" i="2" l="1"/>
  <c r="Z172" i="2" s="1"/>
  <c r="S173" i="2"/>
  <c r="V173" i="2" s="1"/>
  <c r="AA173" i="2" s="1"/>
  <c r="AA174" i="2"/>
  <c r="S172" i="2"/>
  <c r="V172" i="2" s="1"/>
  <c r="AA172" i="2" s="1"/>
  <c r="C32" i="1"/>
  <c r="N32" i="1" s="1"/>
  <c r="J33" i="1"/>
  <c r="K33" i="1" s="1"/>
  <c r="J32" i="1"/>
  <c r="K32" i="1" s="1"/>
  <c r="L32" i="1"/>
  <c r="L33" i="1"/>
  <c r="U10" i="2" l="1"/>
  <c r="U28" i="2"/>
  <c r="U38" i="2"/>
  <c r="U91" i="2"/>
  <c r="U95" i="2"/>
  <c r="U110"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T170" i="2"/>
  <c r="R170" i="2"/>
  <c r="U170" i="2" s="1"/>
  <c r="T171" i="2"/>
  <c r="R171" i="2"/>
  <c r="U171" i="2" s="1"/>
  <c r="W118" i="2"/>
  <c r="W81" i="2"/>
  <c r="W156" i="2"/>
  <c r="W4" i="2"/>
  <c r="W92" i="2"/>
  <c r="W27" i="2"/>
  <c r="W33" i="2"/>
  <c r="W128" i="2"/>
  <c r="W20" i="2"/>
  <c r="W152" i="2"/>
  <c r="W136" i="2"/>
  <c r="W108" i="2"/>
  <c r="W46" i="2"/>
  <c r="W40" i="2"/>
  <c r="W18" i="2"/>
  <c r="W44" i="2"/>
  <c r="W95" i="2"/>
  <c r="W60" i="2"/>
  <c r="W50" i="2"/>
  <c r="W130" i="2"/>
  <c r="W83" i="2"/>
  <c r="W131" i="2"/>
  <c r="W78" i="2"/>
  <c r="W64" i="2"/>
  <c r="W71" i="2"/>
  <c r="W166" i="2"/>
  <c r="W113" i="2"/>
  <c r="W73" i="2"/>
  <c r="W9" i="2"/>
  <c r="W110" i="2"/>
  <c r="W19" i="2"/>
  <c r="W132" i="2"/>
  <c r="W88" i="2"/>
  <c r="W165" i="2"/>
  <c r="W155" i="2"/>
  <c r="W119" i="2"/>
  <c r="W67" i="2"/>
  <c r="W161" i="2"/>
  <c r="W32" i="2"/>
  <c r="W127" i="2"/>
  <c r="W99" i="2"/>
  <c r="W89" i="2"/>
  <c r="W149" i="2"/>
  <c r="W137" i="2"/>
  <c r="W90" i="2"/>
  <c r="W120" i="2"/>
  <c r="W125" i="2"/>
  <c r="W68" i="2"/>
  <c r="W112" i="2"/>
  <c r="W102" i="2"/>
  <c r="W37" i="2"/>
  <c r="W170" i="2"/>
  <c r="W142" i="2"/>
  <c r="W82" i="2"/>
  <c r="W11" i="2"/>
  <c r="W129" i="2"/>
  <c r="W150" i="2"/>
  <c r="W54" i="2"/>
  <c r="W13" i="2"/>
  <c r="W159" i="2"/>
  <c r="W24" i="2"/>
  <c r="W62" i="2"/>
  <c r="W6" i="2"/>
  <c r="W16" i="2"/>
  <c r="W85" i="2"/>
  <c r="W2" i="2"/>
  <c r="W41" i="2"/>
  <c r="W143" i="2"/>
  <c r="W158" i="2"/>
  <c r="W115" i="2"/>
  <c r="W163" i="2"/>
  <c r="W91" i="2"/>
  <c r="W58" i="2"/>
  <c r="W98" i="2"/>
  <c r="W48" i="2"/>
  <c r="W121" i="2"/>
  <c r="W45" i="2"/>
  <c r="W171" i="2"/>
  <c r="W157" i="2"/>
  <c r="W144" i="2"/>
  <c r="W145" i="2"/>
  <c r="W25" i="2"/>
  <c r="W164" i="2"/>
  <c r="W30" i="2"/>
  <c r="W107" i="2"/>
  <c r="W57" i="2"/>
  <c r="W122" i="2"/>
  <c r="W162" i="2"/>
  <c r="W100" i="2"/>
  <c r="W35" i="2"/>
  <c r="W87" i="2"/>
  <c r="W139" i="2"/>
  <c r="W154" i="2"/>
  <c r="W105" i="2"/>
  <c r="W153" i="2"/>
  <c r="W15" i="2"/>
  <c r="W133" i="2"/>
  <c r="W101" i="2"/>
  <c r="W59" i="2"/>
  <c r="W116" i="2"/>
  <c r="W72" i="2"/>
  <c r="W49" i="2"/>
  <c r="W43" i="2"/>
  <c r="W29" i="2"/>
  <c r="W55" i="2"/>
  <c r="W52" i="2"/>
  <c r="W39" i="2"/>
  <c r="W134" i="2"/>
  <c r="W74" i="2"/>
  <c r="W10" i="2"/>
  <c r="W28" i="2"/>
  <c r="W12" i="2"/>
  <c r="W147" i="2"/>
  <c r="W21" i="2"/>
  <c r="W104" i="2"/>
  <c r="W167" i="2"/>
  <c r="W93" i="2"/>
  <c r="W126" i="2"/>
  <c r="W36" i="2"/>
  <c r="W51" i="2"/>
  <c r="W42" i="2"/>
  <c r="W31" i="2"/>
  <c r="W65" i="2"/>
  <c r="W63" i="2"/>
  <c r="W34" i="2"/>
  <c r="W97" i="2"/>
  <c r="W86" i="2"/>
  <c r="W123" i="2"/>
  <c r="W23" i="2"/>
  <c r="W135" i="2"/>
  <c r="W96" i="2"/>
  <c r="W53" i="2"/>
  <c r="W14" i="2"/>
  <c r="W38" i="2"/>
  <c r="W7" i="2"/>
  <c r="W168" i="2"/>
  <c r="W22" i="2"/>
  <c r="W138" i="2"/>
  <c r="W94" i="2"/>
  <c r="W140" i="2"/>
  <c r="W70" i="2"/>
  <c r="W109" i="2"/>
  <c r="W69" i="2"/>
  <c r="W146" i="2"/>
  <c r="W75" i="2"/>
  <c r="W148" i="2"/>
  <c r="W79" i="2"/>
  <c r="W124" i="2"/>
  <c r="W151" i="2"/>
  <c r="W66" i="2"/>
  <c r="W103" i="2"/>
  <c r="W8" i="2"/>
  <c r="W160" i="2"/>
  <c r="W47" i="2"/>
  <c r="W77" i="2"/>
  <c r="W117" i="2"/>
  <c r="W61" i="2"/>
  <c r="W169" i="2"/>
  <c r="W111" i="2"/>
  <c r="W26" i="2"/>
  <c r="W80" i="2"/>
  <c r="W5" i="2"/>
  <c r="W84" i="2"/>
  <c r="W56" i="2"/>
  <c r="W114" i="2"/>
  <c r="W76" i="2"/>
  <c r="W3" i="2"/>
  <c r="W141" i="2"/>
  <c r="W17" i="2"/>
  <c r="W106" i="2"/>
  <c r="N170" i="2" l="1"/>
  <c r="Z170" i="2" s="1"/>
  <c r="N171" i="2"/>
  <c r="Z171" i="2" s="1"/>
  <c r="S170" i="2"/>
  <c r="V170" i="2" s="1"/>
  <c r="AA170" i="2" s="1"/>
  <c r="S171" i="2"/>
  <c r="V171" i="2" s="1"/>
  <c r="AA171" i="2" s="1"/>
  <c r="J31" i="1"/>
  <c r="K31" i="1" s="1"/>
  <c r="C31" i="1"/>
  <c r="N31" i="1" s="1"/>
  <c r="L30" i="1"/>
  <c r="L31" i="1"/>
  <c r="C30" i="1" l="1"/>
  <c r="N30" i="1" s="1"/>
  <c r="J30" i="1"/>
  <c r="K30" i="1" s="1"/>
  <c r="T169" i="2" l="1"/>
  <c r="R169" i="2"/>
  <c r="U169" i="2" s="1"/>
  <c r="N169" i="2" l="1"/>
  <c r="Z169" i="2" s="1"/>
  <c r="S169" i="2"/>
  <c r="V169" i="2" s="1"/>
  <c r="AA169" i="2" s="1"/>
  <c r="T165" i="2"/>
  <c r="R165" i="2"/>
  <c r="T164" i="2"/>
  <c r="R164" i="2"/>
  <c r="U164" i="2" s="1"/>
  <c r="R168" i="2"/>
  <c r="U168" i="2" s="1"/>
  <c r="F14" i="4"/>
  <c r="E14" i="4"/>
  <c r="D14" i="4"/>
  <c r="T167" i="2"/>
  <c r="R167" i="2"/>
  <c r="U167" i="2" s="1"/>
  <c r="T166" i="2"/>
  <c r="R166" i="2"/>
  <c r="T163" i="2"/>
  <c r="R163" i="2"/>
  <c r="U163" i="2" s="1"/>
  <c r="O162" i="2"/>
  <c r="R161" i="2"/>
  <c r="U161" i="2" s="1"/>
  <c r="R160" i="2"/>
  <c r="U160" i="2" s="1"/>
  <c r="R159" i="2"/>
  <c r="U159" i="2" s="1"/>
  <c r="T158" i="2"/>
  <c r="R158" i="2"/>
  <c r="R162" i="2" l="1"/>
  <c r="S166" i="2"/>
  <c r="V166" i="2" s="1"/>
  <c r="AA166" i="2" s="1"/>
  <c r="U166" i="2"/>
  <c r="S165" i="2"/>
  <c r="U165" i="2"/>
  <c r="S158" i="2"/>
  <c r="V158" i="2" s="1"/>
  <c r="AA158" i="2" s="1"/>
  <c r="U158" i="2"/>
  <c r="Z164" i="2"/>
  <c r="N158" i="2"/>
  <c r="Z158" i="2" s="1"/>
  <c r="N166" i="2"/>
  <c r="Z166" i="2" s="1"/>
  <c r="Z165" i="2"/>
  <c r="N167" i="2"/>
  <c r="Z167" i="2" s="1"/>
  <c r="N163" i="2"/>
  <c r="Z163" i="2" s="1"/>
  <c r="S164" i="2"/>
  <c r="V164" i="2" s="1"/>
  <c r="AA164" i="2" s="1"/>
  <c r="S167" i="2"/>
  <c r="V167" i="2" s="1"/>
  <c r="AA167" i="2" s="1"/>
  <c r="S163" i="2"/>
  <c r="V163" i="2" s="1"/>
  <c r="AA163" i="2" s="1"/>
  <c r="T157" i="2"/>
  <c r="R157" i="2"/>
  <c r="T156" i="2"/>
  <c r="R156" i="2"/>
  <c r="U156" i="2" s="1"/>
  <c r="T155" i="2"/>
  <c r="R155" i="2"/>
  <c r="U155" i="2" s="1"/>
  <c r="T154" i="2"/>
  <c r="R154" i="2"/>
  <c r="G14" i="4" l="1"/>
  <c r="H14" i="4"/>
  <c r="U162" i="2"/>
  <c r="S154" i="2"/>
  <c r="V154" i="2" s="1"/>
  <c r="AA154" i="2" s="1"/>
  <c r="U154" i="2"/>
  <c r="S157" i="2"/>
  <c r="V157" i="2" s="1"/>
  <c r="AA157" i="2" s="1"/>
  <c r="U157" i="2"/>
  <c r="V165" i="2"/>
  <c r="AA165" i="2" s="1"/>
  <c r="Z155" i="2"/>
  <c r="N156" i="2"/>
  <c r="Z156" i="2" s="1"/>
  <c r="N157" i="2"/>
  <c r="Z157" i="2" s="1"/>
  <c r="Z154" i="2"/>
  <c r="S156" i="2"/>
  <c r="V156" i="2" s="1"/>
  <c r="AA156" i="2" s="1"/>
  <c r="S155" i="2"/>
  <c r="V155" i="2" s="1"/>
  <c r="AA155" i="2" s="1"/>
  <c r="R148" i="2" l="1"/>
  <c r="U148" i="2" s="1"/>
  <c r="T149" i="2"/>
  <c r="R149" i="2"/>
  <c r="U149" i="2" s="1"/>
  <c r="T150" i="2"/>
  <c r="R150" i="2"/>
  <c r="U150" i="2" s="1"/>
  <c r="T151" i="2"/>
  <c r="R151" i="2"/>
  <c r="U151" i="2" s="1"/>
  <c r="T152" i="2"/>
  <c r="R152" i="2"/>
  <c r="U152" i="2" s="1"/>
  <c r="T153" i="2"/>
  <c r="R153" i="2"/>
  <c r="U153" i="2" s="1"/>
  <c r="Z149" i="2" l="1"/>
  <c r="N152" i="2"/>
  <c r="Z152" i="2" s="1"/>
  <c r="Z151" i="2"/>
  <c r="Z150" i="2"/>
  <c r="N153" i="2"/>
  <c r="Z153" i="2" s="1"/>
  <c r="S149" i="2"/>
  <c r="V149" i="2" s="1"/>
  <c r="AA149" i="2" s="1"/>
  <c r="S150" i="2"/>
  <c r="V150" i="2" s="1"/>
  <c r="AA150" i="2" s="1"/>
  <c r="S151" i="2"/>
  <c r="V151" i="2" s="1"/>
  <c r="AA151" i="2" s="1"/>
  <c r="S152" i="2"/>
  <c r="V152" i="2" s="1"/>
  <c r="AA152" i="2" s="1"/>
  <c r="S153" i="2"/>
  <c r="V153" i="2" s="1"/>
  <c r="AA153" i="2" s="1"/>
  <c r="R142" i="2"/>
  <c r="U142" i="2" s="1"/>
  <c r="R147" i="2" l="1"/>
  <c r="U147" i="2" s="1"/>
  <c r="R146" i="2"/>
  <c r="U146" i="2" s="1"/>
  <c r="R145" i="2"/>
  <c r="U145" i="2" s="1"/>
  <c r="R144" i="2"/>
  <c r="U144" i="2" s="1"/>
  <c r="E11" i="4"/>
  <c r="E10" i="4"/>
  <c r="T143" i="2" l="1"/>
  <c r="R143" i="2"/>
  <c r="U143" i="2" s="1"/>
  <c r="T141" i="2"/>
  <c r="R141" i="2"/>
  <c r="U141" i="2" s="1"/>
  <c r="F13" i="4"/>
  <c r="E13" i="4"/>
  <c r="D13" i="4"/>
  <c r="F12" i="4"/>
  <c r="E12" i="4"/>
  <c r="D12" i="4"/>
  <c r="F11" i="4"/>
  <c r="D11" i="4"/>
  <c r="F10" i="4"/>
  <c r="D10" i="4"/>
  <c r="T139" i="2"/>
  <c r="R139" i="2"/>
  <c r="U139" i="2" s="1"/>
  <c r="T138" i="2"/>
  <c r="R138" i="2"/>
  <c r="U138" i="2" s="1"/>
  <c r="T140" i="2"/>
  <c r="R140" i="2"/>
  <c r="T136" i="2"/>
  <c r="R136" i="2"/>
  <c r="U136" i="2" s="1"/>
  <c r="T137" i="2"/>
  <c r="R137" i="2"/>
  <c r="U137" i="2" s="1"/>
  <c r="R135" i="2"/>
  <c r="T135" i="2"/>
  <c r="R134" i="2"/>
  <c r="O134" i="2"/>
  <c r="T133" i="2"/>
  <c r="R133" i="2"/>
  <c r="U133" i="2" s="1"/>
  <c r="T132" i="2"/>
  <c r="R132" i="2"/>
  <c r="T131" i="2"/>
  <c r="R131" i="2"/>
  <c r="D131" i="2"/>
  <c r="S140" i="2" l="1"/>
  <c r="G13" i="4" s="1"/>
  <c r="U140" i="2"/>
  <c r="T134" i="2"/>
  <c r="Z134" i="2" s="1"/>
  <c r="U134" i="2"/>
  <c r="S131" i="2"/>
  <c r="V131" i="2" s="1"/>
  <c r="U131" i="2"/>
  <c r="S135" i="2"/>
  <c r="H10" i="4" s="1"/>
  <c r="U135" i="2"/>
  <c r="S132" i="2"/>
  <c r="V132" i="2" s="1"/>
  <c r="AA133" i="2" s="1"/>
  <c r="U132" i="2"/>
  <c r="Z140" i="2"/>
  <c r="Z141" i="2"/>
  <c r="Z133" i="2"/>
  <c r="Z135" i="2"/>
  <c r="Z138" i="2"/>
  <c r="N131" i="2"/>
  <c r="Z131" i="2" s="1"/>
  <c r="Z132" i="2"/>
  <c r="N137" i="2"/>
  <c r="Z137" i="2" s="1"/>
  <c r="Z139" i="2"/>
  <c r="N136" i="2"/>
  <c r="Z136" i="2" s="1"/>
  <c r="G10" i="4"/>
  <c r="N143" i="2"/>
  <c r="Z143" i="2" s="1"/>
  <c r="S143" i="2"/>
  <c r="V143" i="2" s="1"/>
  <c r="AA143" i="2" s="1"/>
  <c r="S141" i="2"/>
  <c r="V141" i="2" s="1"/>
  <c r="AA141" i="2" s="1"/>
  <c r="S138" i="2"/>
  <c r="G11" i="4" s="1"/>
  <c r="S139" i="2"/>
  <c r="G12" i="4" s="1"/>
  <c r="S136" i="2"/>
  <c r="V136" i="2" s="1"/>
  <c r="AA136" i="2" s="1"/>
  <c r="S137" i="2"/>
  <c r="V137" i="2" s="1"/>
  <c r="AA137" i="2" s="1"/>
  <c r="S134" i="2"/>
  <c r="S133" i="2"/>
  <c r="V133" i="2" s="1"/>
  <c r="AA134" i="2" s="1"/>
  <c r="J29" i="1"/>
  <c r="K29" i="1" s="1"/>
  <c r="J28" i="1"/>
  <c r="K28" i="1" s="1"/>
  <c r="C29" i="1"/>
  <c r="N29" i="1" s="1"/>
  <c r="C28" i="1"/>
  <c r="N28" i="1" s="1"/>
  <c r="L28" i="1"/>
  <c r="L29" i="1"/>
  <c r="H12" i="4" l="1"/>
  <c r="H11" i="4"/>
  <c r="H13" i="4"/>
  <c r="V140" i="2"/>
  <c r="AA140" i="2" s="1"/>
  <c r="V134" i="2"/>
  <c r="AA135" i="2" s="1"/>
  <c r="V135" i="2"/>
  <c r="V139" i="2"/>
  <c r="AA139" i="2" s="1"/>
  <c r="AA132" i="2"/>
  <c r="AA131" i="2"/>
  <c r="V138" i="2"/>
  <c r="AA138" i="2" s="1"/>
  <c r="R130" i="2"/>
  <c r="U130" i="2" s="1"/>
  <c r="T129" i="2"/>
  <c r="R129" i="2"/>
  <c r="U129" i="2" s="1"/>
  <c r="T128" i="2"/>
  <c r="R128" i="2"/>
  <c r="U128" i="2" s="1"/>
  <c r="T127" i="2"/>
  <c r="R127" i="2"/>
  <c r="R126" i="2"/>
  <c r="U126" i="2" s="1"/>
  <c r="T126" i="2"/>
  <c r="R125" i="2"/>
  <c r="U125" i="2" s="1"/>
  <c r="R124" i="2"/>
  <c r="U124" i="2" s="1"/>
  <c r="R123" i="2"/>
  <c r="R122" i="2"/>
  <c r="T122" i="2"/>
  <c r="S122" i="2" l="1"/>
  <c r="V122" i="2" s="1"/>
  <c r="AA122" i="2" s="1"/>
  <c r="U122" i="2"/>
  <c r="S127" i="2"/>
  <c r="V127" i="2" s="1"/>
  <c r="AA127" i="2" s="1"/>
  <c r="U127" i="2"/>
  <c r="N122" i="2"/>
  <c r="Z122" i="2" s="1"/>
  <c r="N129" i="2"/>
  <c r="Z129" i="2" s="1"/>
  <c r="N126" i="2"/>
  <c r="Z126" i="2" s="1"/>
  <c r="N127" i="2"/>
  <c r="Z127" i="2" s="1"/>
  <c r="N128" i="2"/>
  <c r="Z128" i="2" s="1"/>
  <c r="S129" i="2"/>
  <c r="V129" i="2" s="1"/>
  <c r="AA129" i="2" s="1"/>
  <c r="S128" i="2"/>
  <c r="V128" i="2" s="1"/>
  <c r="AA128" i="2" s="1"/>
  <c r="S126" i="2"/>
  <c r="V126" i="2" s="1"/>
  <c r="T121" i="2"/>
  <c r="R121" i="2"/>
  <c r="U121" i="2" s="1"/>
  <c r="J27" i="1"/>
  <c r="K27" i="1" s="1"/>
  <c r="C27" i="1"/>
  <c r="N27" i="1" s="1"/>
  <c r="L27" i="1"/>
  <c r="N121" i="2" l="1"/>
  <c r="Z121" i="2" s="1"/>
  <c r="S121" i="2"/>
  <c r="V121" i="2" s="1"/>
  <c r="AA121" i="2" s="1"/>
  <c r="B3" i="9" l="1"/>
  <c r="R120" i="2" l="1"/>
  <c r="T120" i="2"/>
  <c r="S120" i="2" l="1"/>
  <c r="V120" i="2" s="1"/>
  <c r="AA120" i="2" s="1"/>
  <c r="U120" i="2"/>
  <c r="N120" i="2"/>
  <c r="Z120" i="2" s="1"/>
  <c r="T119" i="2"/>
  <c r="R119" i="2"/>
  <c r="U119" i="2" s="1"/>
  <c r="N119" i="2" l="1"/>
  <c r="Z119" i="2" s="1"/>
  <c r="S119" i="2"/>
  <c r="V119" i="2" s="1"/>
  <c r="AA119" i="2" s="1"/>
  <c r="T118" i="2"/>
  <c r="R118" i="2"/>
  <c r="S118" i="2" l="1"/>
  <c r="V118" i="2" s="1"/>
  <c r="AA118" i="2" s="1"/>
  <c r="U118" i="2"/>
  <c r="N118" i="2"/>
  <c r="Z118" i="2" s="1"/>
  <c r="T117" i="2"/>
  <c r="R117" i="2"/>
  <c r="U117" i="2" s="1"/>
  <c r="Z117" i="2" l="1"/>
  <c r="S117" i="2"/>
  <c r="V117" i="2" s="1"/>
  <c r="F9" i="4"/>
  <c r="E9" i="4"/>
  <c r="D9" i="4"/>
  <c r="T116" i="2"/>
  <c r="R116" i="2"/>
  <c r="S116" i="2" l="1"/>
  <c r="G9" i="4" s="1"/>
  <c r="U116" i="2"/>
  <c r="Z116" i="2"/>
  <c r="T115" i="2"/>
  <c r="R115" i="2"/>
  <c r="U115" i="2" s="1"/>
  <c r="H9" i="4" l="1"/>
  <c r="V116" i="2"/>
  <c r="AA117" i="2" s="1"/>
  <c r="N115" i="2"/>
  <c r="Z115" i="2" s="1"/>
  <c r="S115" i="2"/>
  <c r="V115" i="2" s="1"/>
  <c r="T114" i="2"/>
  <c r="R114" i="2"/>
  <c r="U114" i="2" s="1"/>
  <c r="R113" i="2"/>
  <c r="U113" i="2" s="1"/>
  <c r="L26" i="1"/>
  <c r="L25" i="1"/>
  <c r="AA116" i="2" l="1"/>
  <c r="AA115" i="2"/>
  <c r="N114" i="2"/>
  <c r="Z114" i="2" s="1"/>
  <c r="S114" i="2"/>
  <c r="V114" i="2" s="1"/>
  <c r="AA114" i="2" s="1"/>
  <c r="R112" i="2"/>
  <c r="U112" i="2" s="1"/>
  <c r="R111" i="2"/>
  <c r="U111" i="2" s="1"/>
  <c r="T112" i="2"/>
  <c r="Z112" i="2" l="1"/>
  <c r="S112" i="2"/>
  <c r="V112" i="2" s="1"/>
  <c r="T111" i="2"/>
  <c r="S111" i="2"/>
  <c r="N111" i="2" l="1"/>
  <c r="Z111" i="2" s="1"/>
  <c r="V111" i="2"/>
  <c r="AA112" i="2" s="1"/>
  <c r="F8" i="4"/>
  <c r="E8" i="4"/>
  <c r="D8" i="4"/>
  <c r="T110" i="2"/>
  <c r="S110" i="2"/>
  <c r="H8" i="4" l="1"/>
  <c r="V110" i="2"/>
  <c r="AA111" i="2" s="1"/>
  <c r="N110" i="2"/>
  <c r="Z110" i="2" s="1"/>
  <c r="D21" i="2"/>
  <c r="G8" i="4" l="1"/>
  <c r="R109" i="2"/>
  <c r="U109" i="2" s="1"/>
  <c r="T108" i="2" l="1"/>
  <c r="R108" i="2"/>
  <c r="U108" i="2" s="1"/>
  <c r="T107" i="2"/>
  <c r="R107" i="2"/>
  <c r="U107" i="2" s="1"/>
  <c r="T106" i="2"/>
  <c r="R106" i="2"/>
  <c r="R105" i="2"/>
  <c r="U105" i="2" s="1"/>
  <c r="R104" i="2"/>
  <c r="U104" i="2" s="1"/>
  <c r="T103" i="2"/>
  <c r="R103" i="2"/>
  <c r="S106" i="2" l="1"/>
  <c r="V106" i="2" s="1"/>
  <c r="AA106" i="2" s="1"/>
  <c r="U106" i="2"/>
  <c r="S103" i="2"/>
  <c r="V103" i="2" s="1"/>
  <c r="AA103" i="2" s="1"/>
  <c r="U103" i="2"/>
  <c r="N106" i="2"/>
  <c r="Z106" i="2" s="1"/>
  <c r="N107" i="2"/>
  <c r="Z107" i="2" s="1"/>
  <c r="N103" i="2"/>
  <c r="Z103" i="2" s="1"/>
  <c r="N108" i="2"/>
  <c r="Z108" i="2" s="1"/>
  <c r="S108" i="2"/>
  <c r="V108" i="2" s="1"/>
  <c r="AA108" i="2" s="1"/>
  <c r="S107" i="2"/>
  <c r="V107" i="2" s="1"/>
  <c r="AA107" i="2" s="1"/>
  <c r="J26" i="1"/>
  <c r="K26" i="1" s="1"/>
  <c r="C26" i="1"/>
  <c r="N26" i="1" s="1"/>
  <c r="T102" i="2" l="1"/>
  <c r="R102" i="2"/>
  <c r="U102" i="2" s="1"/>
  <c r="F7" i="4"/>
  <c r="E7" i="4"/>
  <c r="D7" i="4"/>
  <c r="N102" i="2" l="1"/>
  <c r="Z102" i="2" s="1"/>
  <c r="S102" i="2"/>
  <c r="V102" i="2" s="1"/>
  <c r="AA102" i="2" s="1"/>
  <c r="T101" i="2"/>
  <c r="R101" i="2"/>
  <c r="U101" i="2" s="1"/>
  <c r="H7" i="4" l="1"/>
  <c r="N101" i="2"/>
  <c r="Z101" i="2" s="1"/>
  <c r="G7" i="4"/>
  <c r="S101" i="2"/>
  <c r="V101" i="2" s="1"/>
  <c r="AA101" i="2" s="1"/>
  <c r="J25" i="1"/>
  <c r="K25" i="1" s="1"/>
  <c r="C25" i="1"/>
  <c r="N25" i="1" s="1"/>
  <c r="R100" i="2" l="1"/>
  <c r="U100" i="2" s="1"/>
  <c r="T98" i="2" l="1"/>
  <c r="R98" i="2"/>
  <c r="U98" i="2" s="1"/>
  <c r="T97" i="2"/>
  <c r="R97" i="2"/>
  <c r="U97" i="2" s="1"/>
  <c r="T96" i="2"/>
  <c r="R96" i="2"/>
  <c r="R99" i="2"/>
  <c r="T99" i="2"/>
  <c r="S96" i="2" l="1"/>
  <c r="V96" i="2" s="1"/>
  <c r="AA96" i="2" s="1"/>
  <c r="U96" i="2"/>
  <c r="S99" i="2"/>
  <c r="V99" i="2" s="1"/>
  <c r="AA99" i="2" s="1"/>
  <c r="U99" i="2"/>
  <c r="N99" i="2"/>
  <c r="Z99" i="2" s="1"/>
  <c r="N96" i="2"/>
  <c r="Z96" i="2" s="1"/>
  <c r="N97" i="2"/>
  <c r="Z97" i="2" s="1"/>
  <c r="N98" i="2"/>
  <c r="Z98" i="2" s="1"/>
  <c r="S98" i="2"/>
  <c r="V98" i="2" s="1"/>
  <c r="AA98" i="2" s="1"/>
  <c r="S97" i="2"/>
  <c r="V97" i="2" s="1"/>
  <c r="AA97" i="2" s="1"/>
  <c r="J24" i="1"/>
  <c r="K24" i="1" s="1"/>
  <c r="C24" i="1"/>
  <c r="N24" i="1" s="1"/>
  <c r="L24" i="1"/>
  <c r="C23" i="1" l="1"/>
  <c r="N23" i="1" s="1"/>
  <c r="J23" i="1"/>
  <c r="K23" i="1" s="1"/>
  <c r="L23" i="1"/>
  <c r="F6" i="4" l="1"/>
  <c r="E6" i="4"/>
  <c r="D6" i="4"/>
  <c r="T95" i="2" l="1"/>
  <c r="T94" i="2"/>
  <c r="R94" i="2"/>
  <c r="T93" i="2"/>
  <c r="R93" i="2"/>
  <c r="S94" i="2" l="1"/>
  <c r="V94" i="2" s="1"/>
  <c r="U94" i="2"/>
  <c r="S93" i="2"/>
  <c r="V93" i="2" s="1"/>
  <c r="U93" i="2"/>
  <c r="N93" i="2"/>
  <c r="N94" i="2"/>
  <c r="Z94" i="2" s="1"/>
  <c r="N95" i="2"/>
  <c r="Z95" i="2" s="1"/>
  <c r="S95" i="2"/>
  <c r="H6" i="4" s="1"/>
  <c r="J22" i="1"/>
  <c r="K22" i="1" s="1"/>
  <c r="C22" i="1"/>
  <c r="N22" i="1" s="1"/>
  <c r="J21" i="1"/>
  <c r="K21" i="1" s="1"/>
  <c r="C21" i="1"/>
  <c r="N21" i="1" s="1"/>
  <c r="L22" i="1"/>
  <c r="L19" i="1"/>
  <c r="L20" i="1"/>
  <c r="L21" i="1"/>
  <c r="V95" i="2" l="1"/>
  <c r="AA95" i="2"/>
  <c r="AA94" i="2"/>
  <c r="G6" i="4"/>
  <c r="F5" i="4"/>
  <c r="E5" i="4"/>
  <c r="D5" i="4"/>
  <c r="T91" i="2"/>
  <c r="T92" i="2"/>
  <c r="R92" i="2"/>
  <c r="T90" i="2"/>
  <c r="R90" i="2"/>
  <c r="S90" i="2" l="1"/>
  <c r="V90" i="2" s="1"/>
  <c r="AA90" i="2" s="1"/>
  <c r="U90" i="2"/>
  <c r="S92" i="2"/>
  <c r="U92" i="2"/>
  <c r="N90" i="2"/>
  <c r="Z90" i="2" s="1"/>
  <c r="N92" i="2"/>
  <c r="Z91" i="2" s="1"/>
  <c r="V92" i="2"/>
  <c r="N91" i="2"/>
  <c r="Z92" i="2" s="1"/>
  <c r="Z93" i="2" l="1"/>
  <c r="AA91" i="2"/>
  <c r="AA93" i="2"/>
  <c r="S91" i="2"/>
  <c r="H5" i="4" s="1"/>
  <c r="F4" i="4"/>
  <c r="E4" i="4"/>
  <c r="D4" i="4"/>
  <c r="E3" i="4"/>
  <c r="D3" i="4"/>
  <c r="F3" i="4"/>
  <c r="T89" i="2"/>
  <c r="R89" i="2"/>
  <c r="U89" i="2" s="1"/>
  <c r="T88" i="2"/>
  <c r="R88" i="2"/>
  <c r="R71" i="2"/>
  <c r="U71" i="2" s="1"/>
  <c r="S88" i="2" l="1"/>
  <c r="U88" i="2"/>
  <c r="V91" i="2"/>
  <c r="AA92" i="2" s="1"/>
  <c r="N88" i="2"/>
  <c r="Z88" i="2" s="1"/>
  <c r="N89" i="2"/>
  <c r="Z89" i="2" s="1"/>
  <c r="G5" i="4"/>
  <c r="S89" i="2"/>
  <c r="V89" i="2" s="1"/>
  <c r="AA89" i="2" s="1"/>
  <c r="G4" i="4" l="1"/>
  <c r="H4" i="4"/>
  <c r="V88" i="2"/>
  <c r="AA88" i="2" s="1"/>
  <c r="T87" i="2"/>
  <c r="M3" i="9" s="1"/>
  <c r="R87" i="2"/>
  <c r="U87" i="2" s="1"/>
  <c r="R86" i="2"/>
  <c r="U86" i="2" s="1"/>
  <c r="R85" i="2"/>
  <c r="U85" i="2" s="1"/>
  <c r="R84" i="2"/>
  <c r="U84" i="2" s="1"/>
  <c r="R83" i="2"/>
  <c r="U83" i="2" s="1"/>
  <c r="AA3" i="9" l="1"/>
  <c r="N3" i="9"/>
  <c r="N87" i="2"/>
  <c r="Z87" i="2" s="1"/>
  <c r="S87" i="2"/>
  <c r="V87" i="2" s="1"/>
  <c r="AA87" i="2" s="1"/>
  <c r="T77" i="2" l="1"/>
  <c r="R77" i="2"/>
  <c r="T76" i="2"/>
  <c r="R76" i="2"/>
  <c r="U76" i="2" s="1"/>
  <c r="T82" i="2"/>
  <c r="R82" i="2"/>
  <c r="U82" i="2" s="1"/>
  <c r="T81" i="2"/>
  <c r="R81" i="2"/>
  <c r="U81" i="2" s="1"/>
  <c r="T80" i="2"/>
  <c r="R80" i="2"/>
  <c r="U80" i="2" s="1"/>
  <c r="T79" i="2"/>
  <c r="R79" i="2"/>
  <c r="U79" i="2" s="1"/>
  <c r="T78" i="2"/>
  <c r="R78" i="2"/>
  <c r="U78" i="2" s="1"/>
  <c r="S77" i="2" l="1"/>
  <c r="V77" i="2" s="1"/>
  <c r="AA77" i="2" s="1"/>
  <c r="U77" i="2"/>
  <c r="N77" i="2"/>
  <c r="Z77" i="2" s="1"/>
  <c r="N81" i="2"/>
  <c r="Z81" i="2" s="1"/>
  <c r="N82" i="2"/>
  <c r="Z82" i="2" s="1"/>
  <c r="N79" i="2"/>
  <c r="Z79" i="2" s="1"/>
  <c r="N76" i="2"/>
  <c r="Z76" i="2" s="1"/>
  <c r="N80" i="2"/>
  <c r="Z80" i="2" s="1"/>
  <c r="S76" i="2"/>
  <c r="V76" i="2" s="1"/>
  <c r="AA76" i="2" s="1"/>
  <c r="S82" i="2"/>
  <c r="V82" i="2" s="1"/>
  <c r="AA82" i="2" s="1"/>
  <c r="S81" i="2"/>
  <c r="V81" i="2" s="1"/>
  <c r="AA81" i="2" s="1"/>
  <c r="S80" i="2"/>
  <c r="V80" i="2" s="1"/>
  <c r="AA80" i="2" s="1"/>
  <c r="S79" i="2"/>
  <c r="V79" i="2" s="1"/>
  <c r="AA79" i="2" s="1"/>
  <c r="S78" i="2"/>
  <c r="V78" i="2" s="1"/>
  <c r="AA78" i="2" s="1"/>
  <c r="T75" i="2"/>
  <c r="R75" i="2"/>
  <c r="U75" i="2" s="1"/>
  <c r="N75" i="2" l="1"/>
  <c r="Z75" i="2" s="1"/>
  <c r="S75" i="2"/>
  <c r="V75" i="2" s="1"/>
  <c r="AA75" i="2" s="1"/>
  <c r="J20" i="1" l="1"/>
  <c r="K20" i="1" s="1"/>
  <c r="C20" i="1"/>
  <c r="N20" i="1" s="1"/>
  <c r="R73" i="2" l="1"/>
  <c r="U73" i="2" s="1"/>
  <c r="R72" i="2"/>
  <c r="U72" i="2" s="1"/>
  <c r="T74" i="2"/>
  <c r="R74" i="2"/>
  <c r="T70" i="2"/>
  <c r="R70" i="2"/>
  <c r="T69" i="2"/>
  <c r="R69" i="2"/>
  <c r="U69" i="2" s="1"/>
  <c r="T68" i="2"/>
  <c r="R68" i="2"/>
  <c r="T64" i="2"/>
  <c r="R64" i="2"/>
  <c r="T63" i="2"/>
  <c r="R63" i="2"/>
  <c r="S74" i="2" l="1"/>
  <c r="V74" i="2" s="1"/>
  <c r="AA74" i="2" s="1"/>
  <c r="U74" i="2"/>
  <c r="S70" i="2"/>
  <c r="V70" i="2" s="1"/>
  <c r="AA70" i="2" s="1"/>
  <c r="U70" i="2"/>
  <c r="S64" i="2"/>
  <c r="V64" i="2" s="1"/>
  <c r="AA64" i="2" s="1"/>
  <c r="U64" i="2"/>
  <c r="S63" i="2"/>
  <c r="V63" i="2" s="1"/>
  <c r="AA63" i="2" s="1"/>
  <c r="U63" i="2"/>
  <c r="S68" i="2"/>
  <c r="V68" i="2" s="1"/>
  <c r="AA68" i="2" s="1"/>
  <c r="U68" i="2"/>
  <c r="N74" i="2"/>
  <c r="Z74" i="2" s="1"/>
  <c r="N63" i="2"/>
  <c r="Z63" i="2" s="1"/>
  <c r="N70" i="2"/>
  <c r="Z70" i="2" s="1"/>
  <c r="N64" i="2"/>
  <c r="Z64" i="2" s="1"/>
  <c r="N68" i="2"/>
  <c r="Z68" i="2" s="1"/>
  <c r="N69" i="2"/>
  <c r="Z69" i="2" s="1"/>
  <c r="S69" i="2"/>
  <c r="V69" i="2" s="1"/>
  <c r="AA69" i="2" s="1"/>
  <c r="C19" i="1"/>
  <c r="N19" i="1" s="1"/>
  <c r="J19" i="1"/>
  <c r="K19" i="1" s="1"/>
  <c r="T67" i="2" l="1"/>
  <c r="T66" i="2"/>
  <c r="R67" i="2"/>
  <c r="U67" i="2" s="1"/>
  <c r="R66" i="2"/>
  <c r="S66" i="2" l="1"/>
  <c r="V66" i="2" s="1"/>
  <c r="AA66" i="2" s="1"/>
  <c r="U66" i="2"/>
  <c r="N67" i="2"/>
  <c r="Z67" i="2" s="1"/>
  <c r="S67" i="2"/>
  <c r="V67" i="2" s="1"/>
  <c r="AA67" i="2" s="1"/>
  <c r="J18" i="1" l="1"/>
  <c r="K18" i="1" s="1"/>
  <c r="C18" i="1"/>
  <c r="N18" i="1" s="1"/>
  <c r="L18" i="1"/>
  <c r="J17" i="1" l="1"/>
  <c r="K17" i="1" s="1"/>
  <c r="C17" i="1"/>
  <c r="N17" i="1" s="1"/>
  <c r="L17" i="1"/>
  <c r="R65" i="2" l="1"/>
  <c r="U65" i="2" s="1"/>
  <c r="C16" i="1"/>
  <c r="N16" i="1" s="1"/>
  <c r="J16" i="1"/>
  <c r="K16" i="1" s="1"/>
  <c r="J15" i="1"/>
  <c r="K15" i="1" s="1"/>
  <c r="C15" i="1"/>
  <c r="N15" i="1" s="1"/>
  <c r="L16" i="1"/>
  <c r="L15" i="1"/>
  <c r="T54" i="2" l="1"/>
  <c r="R54" i="2"/>
  <c r="U54" i="2" s="1"/>
  <c r="T58" i="2"/>
  <c r="R58" i="2"/>
  <c r="U58" i="2" s="1"/>
  <c r="T60" i="2"/>
  <c r="R60" i="2"/>
  <c r="U60" i="2" s="1"/>
  <c r="T59" i="2"/>
  <c r="R59" i="2"/>
  <c r="R61" i="2"/>
  <c r="U61" i="2" s="1"/>
  <c r="T61" i="2"/>
  <c r="T62" i="2"/>
  <c r="R62" i="2"/>
  <c r="S62" i="2" l="1"/>
  <c r="V62" i="2" s="1"/>
  <c r="AA62" i="2" s="1"/>
  <c r="U62" i="2"/>
  <c r="S59" i="2"/>
  <c r="V59" i="2" s="1"/>
  <c r="AA59" i="2" s="1"/>
  <c r="U59" i="2"/>
  <c r="N58" i="2"/>
  <c r="Z58" i="2" s="1"/>
  <c r="N61" i="2"/>
  <c r="Z61" i="2" s="1"/>
  <c r="N54" i="2"/>
  <c r="Z54" i="2" s="1"/>
  <c r="N60" i="2"/>
  <c r="Z60" i="2" s="1"/>
  <c r="N62" i="2"/>
  <c r="Z62" i="2" s="1"/>
  <c r="N59" i="2"/>
  <c r="Z59" i="2" s="1"/>
  <c r="S54" i="2"/>
  <c r="V54" i="2" s="1"/>
  <c r="AA54" i="2" s="1"/>
  <c r="S58" i="2" l="1"/>
  <c r="V58" i="2" s="1"/>
  <c r="AA58" i="2" s="1"/>
  <c r="S60" i="2"/>
  <c r="V60" i="2" s="1"/>
  <c r="AA60" i="2" s="1"/>
  <c r="S61" i="2"/>
  <c r="V61" i="2" s="1"/>
  <c r="AA61" i="2" s="1"/>
  <c r="J14" i="1" l="1"/>
  <c r="K14" i="1" s="1"/>
  <c r="C14" i="1"/>
  <c r="N14" i="1" s="1"/>
  <c r="L14" i="1"/>
  <c r="L13" i="1"/>
  <c r="R57" i="2" l="1"/>
  <c r="U57" i="2" s="1"/>
  <c r="T57" i="2"/>
  <c r="R56" i="2"/>
  <c r="T56" i="2"/>
  <c r="S56" i="2" l="1"/>
  <c r="V56" i="2" s="1"/>
  <c r="AA56" i="2" s="1"/>
  <c r="U56" i="2"/>
  <c r="N56" i="2"/>
  <c r="Z56" i="2" s="1"/>
  <c r="N57" i="2"/>
  <c r="Z57" i="2" s="1"/>
  <c r="S57" i="2"/>
  <c r="V57" i="2" s="1"/>
  <c r="AA57" i="2" s="1"/>
  <c r="D34" i="2"/>
  <c r="D18" i="2"/>
  <c r="T55" i="2" l="1"/>
  <c r="R55" i="2"/>
  <c r="U55" i="2" s="1"/>
  <c r="S53" i="2"/>
  <c r="R53" i="2"/>
  <c r="O53" i="2"/>
  <c r="T53" i="2" l="1"/>
  <c r="V53" i="2" s="1"/>
  <c r="AA53" i="2" s="1"/>
  <c r="U53" i="2"/>
  <c r="N55" i="2"/>
  <c r="Z55" i="2" s="1"/>
  <c r="S55" i="2"/>
  <c r="V55" i="2" s="1"/>
  <c r="AA55" i="2" s="1"/>
  <c r="J13" i="1"/>
  <c r="K13" i="1" s="1"/>
  <c r="L7" i="1"/>
  <c r="L9" i="1"/>
  <c r="L12" i="1"/>
  <c r="L11" i="1"/>
  <c r="L6" i="1"/>
  <c r="L3" i="1"/>
  <c r="L8" i="1"/>
  <c r="L4" i="1"/>
  <c r="L10" i="1"/>
  <c r="L2" i="1"/>
  <c r="L5" i="1"/>
  <c r="N53" i="2" l="1"/>
  <c r="Z53" i="2" s="1"/>
  <c r="C13" i="1"/>
  <c r="N13" i="1" s="1"/>
  <c r="C12" i="1" l="1"/>
  <c r="N12" i="1" s="1"/>
  <c r="C11" i="1"/>
  <c r="N11" i="1" s="1"/>
  <c r="C10" i="1"/>
  <c r="N10" i="1" s="1"/>
  <c r="C9" i="1"/>
  <c r="N9" i="1" s="1"/>
  <c r="C8" i="1"/>
  <c r="N8" i="1" s="1"/>
  <c r="C7" i="1"/>
  <c r="N7" i="1" s="1"/>
  <c r="C6" i="1"/>
  <c r="N6" i="1" s="1"/>
  <c r="C5" i="1"/>
  <c r="N5" i="1" s="1"/>
  <c r="C2" i="1"/>
  <c r="N2" i="1" s="1"/>
  <c r="C3" i="1"/>
  <c r="N3" i="1" s="1"/>
  <c r="C4" i="1"/>
  <c r="N4" i="1" s="1"/>
  <c r="T51" i="2" l="1"/>
  <c r="R51" i="2"/>
  <c r="U51" i="2" s="1"/>
  <c r="N51" i="2" l="1"/>
  <c r="Z51" i="2" s="1"/>
  <c r="S51" i="2"/>
  <c r="V51" i="2" s="1"/>
  <c r="AA51" i="2" s="1"/>
  <c r="T50" i="2" l="1"/>
  <c r="R50" i="2"/>
  <c r="S50" i="2" l="1"/>
  <c r="V50" i="2" s="1"/>
  <c r="AA50" i="2" s="1"/>
  <c r="U50" i="2"/>
  <c r="N50" i="2"/>
  <c r="Z50" i="2" s="1"/>
  <c r="T49" i="2"/>
  <c r="R49" i="2"/>
  <c r="U49" i="2" s="1"/>
  <c r="N49" i="2" l="1"/>
  <c r="Z49" i="2" s="1"/>
  <c r="S49" i="2"/>
  <c r="V49" i="2" s="1"/>
  <c r="AA49" i="2" s="1"/>
  <c r="J11" i="1"/>
  <c r="K11" i="1" s="1"/>
  <c r="J12" i="1"/>
  <c r="K12" i="1" s="1"/>
  <c r="T48" i="2"/>
  <c r="R48" i="2"/>
  <c r="U48" i="2" s="1"/>
  <c r="B2" i="9"/>
  <c r="N48" i="2" l="1"/>
  <c r="Z48" i="2" s="1"/>
  <c r="S48" i="2"/>
  <c r="V48" i="2" s="1"/>
  <c r="AA48" i="2" s="1"/>
  <c r="R47" i="2"/>
  <c r="T47" i="2"/>
  <c r="S47" i="2" l="1"/>
  <c r="V47" i="2" s="1"/>
  <c r="AA47" i="2" s="1"/>
  <c r="U47" i="2"/>
  <c r="N47" i="2"/>
  <c r="Z47" i="2" s="1"/>
  <c r="J10" i="1"/>
  <c r="K10" i="1" s="1"/>
  <c r="T44" i="2" l="1"/>
  <c r="R44" i="2"/>
  <c r="U44" i="2" s="1"/>
  <c r="T46" i="2"/>
  <c r="R46" i="2"/>
  <c r="S46" i="2" l="1"/>
  <c r="V46" i="2" s="1"/>
  <c r="AA46" i="2" s="1"/>
  <c r="U46" i="2"/>
  <c r="N46" i="2"/>
  <c r="Z46" i="2" s="1"/>
  <c r="N44" i="2"/>
  <c r="Z44" i="2" s="1"/>
  <c r="S44" i="2" l="1"/>
  <c r="V44" i="2" s="1"/>
  <c r="T43" i="2"/>
  <c r="R43" i="2"/>
  <c r="U43" i="2" s="1"/>
  <c r="N43" i="2" l="1"/>
  <c r="Z43" i="2" s="1"/>
  <c r="S43" i="2"/>
  <c r="V43" i="2" s="1"/>
  <c r="AA43" i="2" s="1"/>
  <c r="J9" i="1"/>
  <c r="K9" i="1" s="1"/>
  <c r="R41" i="2" l="1"/>
  <c r="U41" i="2" s="1"/>
  <c r="R42" i="2"/>
  <c r="U42" i="2" s="1"/>
  <c r="R40" i="2" l="1"/>
  <c r="U40" i="2" s="1"/>
  <c r="T40" i="2"/>
  <c r="N40" i="2" l="1"/>
  <c r="Z40" i="2" s="1"/>
  <c r="S40" i="2"/>
  <c r="V40" i="2" s="1"/>
  <c r="R35" i="2" l="1"/>
  <c r="U35" i="2" s="1"/>
  <c r="J8" i="1" l="1"/>
  <c r="K8" i="1" s="1"/>
  <c r="T39" i="2" l="1"/>
  <c r="R39" i="2"/>
  <c r="U39" i="2" s="1"/>
  <c r="T38" i="2"/>
  <c r="S38" i="2"/>
  <c r="T37" i="2"/>
  <c r="R37" i="2"/>
  <c r="U37" i="2" s="1"/>
  <c r="J7" i="1"/>
  <c r="K7" i="1" s="1"/>
  <c r="V38" i="2" l="1"/>
  <c r="N38" i="2"/>
  <c r="Z38" i="2" s="1"/>
  <c r="N39" i="2"/>
  <c r="Z39" i="2" s="1"/>
  <c r="N37" i="2"/>
  <c r="Z37" i="2" s="1"/>
  <c r="S39" i="2"/>
  <c r="V39" i="2" s="1"/>
  <c r="S37" i="2"/>
  <c r="V37" i="2" s="1"/>
  <c r="R36" i="2"/>
  <c r="T36" i="2"/>
  <c r="S36" i="2" l="1"/>
  <c r="U36" i="2"/>
  <c r="N36" i="2"/>
  <c r="Z36" i="2" s="1"/>
  <c r="R23" i="2"/>
  <c r="S23" i="2" s="1"/>
  <c r="O23" i="2"/>
  <c r="G3" i="4" l="1"/>
  <c r="H3" i="4"/>
  <c r="V36" i="2"/>
  <c r="U23" i="2"/>
  <c r="T23" i="2"/>
  <c r="V23" i="2" s="1"/>
  <c r="T33" i="2"/>
  <c r="R33" i="2"/>
  <c r="T32" i="2"/>
  <c r="R32" i="2"/>
  <c r="S32" i="2" l="1"/>
  <c r="V32" i="2" s="1"/>
  <c r="U32" i="2"/>
  <c r="N32" i="2"/>
  <c r="Z32" i="2" s="1"/>
  <c r="N33" i="2"/>
  <c r="Z33" i="2" s="1"/>
  <c r="N23" i="2"/>
  <c r="Z23" i="2" s="1"/>
  <c r="S33" i="2"/>
  <c r="R31" i="2"/>
  <c r="U31" i="2" s="1"/>
  <c r="S30" i="2"/>
  <c r="O30" i="2"/>
  <c r="U30" i="2" s="1"/>
  <c r="T29" i="2"/>
  <c r="R29" i="2"/>
  <c r="U29" i="2" s="1"/>
  <c r="T25" i="2"/>
  <c r="R25" i="2"/>
  <c r="S25" i="2" s="1"/>
  <c r="N29" i="2" l="1"/>
  <c r="Z29" i="2" s="1"/>
  <c r="N25" i="2"/>
  <c r="Z25" i="2" s="1"/>
  <c r="T30" i="2"/>
  <c r="V30" i="2" s="1"/>
  <c r="S29" i="2"/>
  <c r="V29" i="2" s="1"/>
  <c r="S28" i="2"/>
  <c r="R27" i="2"/>
  <c r="U27" i="2" s="1"/>
  <c r="R26" i="2"/>
  <c r="U26" i="2" s="1"/>
  <c r="R24" i="2"/>
  <c r="U24" i="2" s="1"/>
  <c r="R22" i="2"/>
  <c r="U22" i="2" s="1"/>
  <c r="R21" i="2"/>
  <c r="U21" i="2" s="1"/>
  <c r="R20" i="2"/>
  <c r="U20" i="2" s="1"/>
  <c r="R19" i="2"/>
  <c r="U19" i="2" s="1"/>
  <c r="T28" i="2"/>
  <c r="V28" i="2" l="1"/>
  <c r="N30" i="2"/>
  <c r="Z30" i="2" s="1"/>
  <c r="N28" i="2"/>
  <c r="Z28" i="2" s="1"/>
  <c r="S24" i="2"/>
  <c r="T24" i="2"/>
  <c r="V24" i="2" l="1"/>
  <c r="N24" i="2"/>
  <c r="Z24" i="2" s="1"/>
  <c r="S27" i="2"/>
  <c r="T27" i="2"/>
  <c r="T26" i="2"/>
  <c r="S26" i="2"/>
  <c r="V27" i="2" l="1"/>
  <c r="V26" i="2"/>
  <c r="N27" i="2"/>
  <c r="Z27" i="2" s="1"/>
  <c r="N26" i="2"/>
  <c r="Z26" i="2" s="1"/>
  <c r="J6" i="1"/>
  <c r="K6" i="1" s="1"/>
  <c r="D52" i="2" l="1"/>
  <c r="D45" i="2"/>
  <c r="R52" i="2"/>
  <c r="U52" i="2" s="1"/>
  <c r="R34" i="2"/>
  <c r="U34" i="2" s="1"/>
  <c r="R45" i="2"/>
  <c r="U45" i="2" s="1"/>
  <c r="T22" i="2"/>
  <c r="M2" i="9" s="1"/>
  <c r="S22" i="2"/>
  <c r="AA2" i="9" l="1"/>
  <c r="N2" i="9"/>
  <c r="V22" i="2"/>
  <c r="N22" i="2"/>
  <c r="Z22" i="2" s="1"/>
  <c r="S20" i="2"/>
  <c r="T20" i="2"/>
  <c r="V20" i="2" l="1"/>
  <c r="N20" i="2"/>
  <c r="Z20" i="2" s="1"/>
  <c r="T19" i="2"/>
  <c r="R4" i="2"/>
  <c r="T4" i="2"/>
  <c r="S4" i="2" l="1"/>
  <c r="V4" i="2" s="1"/>
  <c r="U4" i="2"/>
  <c r="N4" i="2"/>
  <c r="Z4" i="2" s="1"/>
  <c r="N19" i="2"/>
  <c r="Z19" i="2" s="1"/>
  <c r="S19" i="2"/>
  <c r="V19" i="2" s="1"/>
  <c r="J5" i="1"/>
  <c r="K5" i="1" s="1"/>
  <c r="T17" i="2" l="1"/>
  <c r="R17" i="2"/>
  <c r="U17" i="2" s="1"/>
  <c r="N17" i="2" l="1"/>
  <c r="Z17" i="2" s="1"/>
  <c r="S17" i="2"/>
  <c r="V17" i="2" s="1"/>
  <c r="R16" i="2"/>
  <c r="T16" i="2"/>
  <c r="S16" i="2" l="1"/>
  <c r="V16" i="2" s="1"/>
  <c r="U16" i="2"/>
  <c r="N16" i="2"/>
  <c r="Z16" i="2" s="1"/>
  <c r="T15" i="2"/>
  <c r="R15" i="2"/>
  <c r="U15" i="2" s="1"/>
  <c r="N15" i="2" l="1"/>
  <c r="Z15" i="2" s="1"/>
  <c r="S15" i="2"/>
  <c r="V15" i="2" s="1"/>
  <c r="J4" i="1" l="1"/>
  <c r="K4" i="1" s="1"/>
  <c r="R14" i="2" l="1"/>
  <c r="U14" i="2" s="1"/>
  <c r="R13" i="2"/>
  <c r="U13" i="2" s="1"/>
  <c r="B3" i="7" l="1"/>
  <c r="B4" i="7" s="1"/>
  <c r="B5" i="7" s="1"/>
  <c r="B6" i="7" s="1"/>
  <c r="B7" i="7" s="1"/>
  <c r="B8" i="7" s="1"/>
  <c r="B9" i="7" s="1"/>
  <c r="B10" i="7" s="1"/>
  <c r="B11" i="7" s="1"/>
  <c r="B12" i="7" s="1"/>
  <c r="B13" i="7" s="1"/>
  <c r="B14" i="7" s="1"/>
  <c r="B15" i="7" s="1"/>
  <c r="B16" i="7" s="1"/>
  <c r="B17" i="7" s="1"/>
  <c r="C3" i="7"/>
  <c r="D2" i="7"/>
  <c r="E3" i="7"/>
  <c r="E2" i="7"/>
  <c r="M2" i="7" l="1"/>
  <c r="O2" i="7"/>
  <c r="N2" i="7"/>
  <c r="L2" i="7"/>
  <c r="K2" i="7"/>
  <c r="I2" i="7"/>
  <c r="J2" i="7"/>
  <c r="G2" i="7"/>
  <c r="F2" i="7"/>
  <c r="C4" i="7"/>
  <c r="D3" i="7"/>
  <c r="E4" i="7"/>
  <c r="N3" i="7" l="1"/>
  <c r="O3" i="7"/>
  <c r="M3" i="7"/>
  <c r="K3" i="7"/>
  <c r="I3" i="7"/>
  <c r="J3" i="7"/>
  <c r="H2" i="7"/>
  <c r="F3" i="7"/>
  <c r="D4" i="7"/>
  <c r="C5" i="7"/>
  <c r="E5" i="7"/>
  <c r="N4" i="7" l="1"/>
  <c r="M4" i="7"/>
  <c r="O4" i="7"/>
  <c r="I4" i="7"/>
  <c r="K4" i="7"/>
  <c r="J4" i="7"/>
  <c r="D5" i="7"/>
  <c r="C6" i="7"/>
  <c r="E6" i="7"/>
  <c r="O5" i="7" l="1"/>
  <c r="N5" i="7"/>
  <c r="M5" i="7"/>
  <c r="I5" i="7"/>
  <c r="K5" i="7"/>
  <c r="J5" i="7"/>
  <c r="F5" i="7"/>
  <c r="C7" i="7"/>
  <c r="D6" i="7"/>
  <c r="T11" i="2"/>
  <c r="R11" i="2"/>
  <c r="T12" i="2"/>
  <c r="R12" i="2"/>
  <c r="T9" i="2"/>
  <c r="R9" i="2"/>
  <c r="E7" i="7"/>
  <c r="S11" i="2" l="1"/>
  <c r="V11" i="2" s="1"/>
  <c r="U11" i="2"/>
  <c r="S12" i="2"/>
  <c r="V12" i="2" s="1"/>
  <c r="U12" i="2"/>
  <c r="S9" i="2"/>
  <c r="V9" i="2" s="1"/>
  <c r="U9" i="2"/>
  <c r="J6" i="7"/>
  <c r="N6" i="7"/>
  <c r="O6" i="7"/>
  <c r="M6" i="7"/>
  <c r="N11" i="2"/>
  <c r="Z11" i="2" s="1"/>
  <c r="N9" i="2"/>
  <c r="Z9" i="2" s="1"/>
  <c r="N12" i="2"/>
  <c r="Z12" i="2" s="1"/>
  <c r="K6" i="7"/>
  <c r="I6" i="7"/>
  <c r="F6" i="7"/>
  <c r="C8" i="7"/>
  <c r="D7" i="7"/>
  <c r="R18" i="2"/>
  <c r="U18" i="2" s="1"/>
  <c r="T10" i="2"/>
  <c r="V10" i="2" s="1"/>
  <c r="E8" i="7"/>
  <c r="M7" i="7" l="1"/>
  <c r="N7" i="7"/>
  <c r="O7" i="7"/>
  <c r="N10" i="2"/>
  <c r="Z10" i="2" s="1"/>
  <c r="I7" i="7"/>
  <c r="K7" i="7"/>
  <c r="J7" i="7"/>
  <c r="F7" i="7"/>
  <c r="C9" i="7"/>
  <c r="D8" i="7"/>
  <c r="J2" i="1"/>
  <c r="J3" i="1"/>
  <c r="K3" i="1" s="1"/>
  <c r="E9" i="7"/>
  <c r="M8" i="7" l="1"/>
  <c r="O8" i="7"/>
  <c r="N8" i="7"/>
  <c r="K8" i="7"/>
  <c r="I8" i="7"/>
  <c r="J8" i="7"/>
  <c r="K2" i="1"/>
  <c r="F4" i="7"/>
  <c r="F8" i="7"/>
  <c r="D9" i="7"/>
  <c r="N9" i="7" s="1"/>
  <c r="C10" i="7"/>
  <c r="R6" i="2"/>
  <c r="U6" i="2" s="1"/>
  <c r="T6" i="2"/>
  <c r="T7" i="2"/>
  <c r="R7" i="2"/>
  <c r="R5" i="2"/>
  <c r="R8" i="2"/>
  <c r="U8" i="2" s="1"/>
  <c r="R3" i="2"/>
  <c r="U3" i="2" s="1"/>
  <c r="R2" i="2"/>
  <c r="U2" i="2" s="1"/>
  <c r="E10" i="7"/>
  <c r="S7" i="2" l="1"/>
  <c r="V7" i="2" s="1"/>
  <c r="U7" i="2"/>
  <c r="O9" i="7"/>
  <c r="M9" i="7"/>
  <c r="N7" i="2"/>
  <c r="Z7" i="2" s="1"/>
  <c r="N6" i="2"/>
  <c r="Z6" i="2" s="1"/>
  <c r="I9" i="7"/>
  <c r="K9" i="7"/>
  <c r="J9" i="7"/>
  <c r="F9" i="7"/>
  <c r="D10" i="7"/>
  <c r="C11" i="7"/>
  <c r="S6" i="2"/>
  <c r="V6" i="2" s="1"/>
  <c r="O5" i="2"/>
  <c r="U5" i="2" s="1"/>
  <c r="S5" i="2"/>
  <c r="E11" i="7"/>
  <c r="M10" i="7" l="1"/>
  <c r="O10" i="7"/>
  <c r="N10" i="7"/>
  <c r="I10" i="7"/>
  <c r="K10" i="7"/>
  <c r="J10" i="7"/>
  <c r="F10" i="7"/>
  <c r="C12" i="7"/>
  <c r="D11" i="7"/>
  <c r="T5" i="2"/>
  <c r="V5" i="2" s="1"/>
  <c r="S3" i="2"/>
  <c r="S2" i="2"/>
  <c r="T3" i="2"/>
  <c r="T2" i="2"/>
  <c r="B3" i="5"/>
  <c r="E12" i="7"/>
  <c r="P392" i="2" l="1"/>
  <c r="M238" i="17"/>
  <c r="M231" i="17"/>
  <c r="M215" i="17"/>
  <c r="M196" i="17"/>
  <c r="M173" i="17"/>
  <c r="M144" i="17"/>
  <c r="M207" i="17"/>
  <c r="M178" i="17"/>
  <c r="M154" i="17"/>
  <c r="M145" i="17"/>
  <c r="M127" i="17"/>
  <c r="M118" i="17"/>
  <c r="M126" i="17"/>
  <c r="M116" i="17"/>
  <c r="M106" i="17"/>
  <c r="M94" i="17"/>
  <c r="M79" i="17"/>
  <c r="M84" i="17"/>
  <c r="M77" i="17"/>
  <c r="M69" i="17"/>
  <c r="M65" i="17"/>
  <c r="M62" i="17"/>
  <c r="M50" i="17"/>
  <c r="M38" i="17"/>
  <c r="M23" i="17"/>
  <c r="M25" i="17"/>
  <c r="M35" i="17"/>
  <c r="M22" i="17"/>
  <c r="M20" i="17"/>
  <c r="M9" i="17"/>
  <c r="P418" i="2"/>
  <c r="P417" i="2"/>
  <c r="P402" i="2"/>
  <c r="P408" i="2"/>
  <c r="P414" i="2"/>
  <c r="P404" i="2"/>
  <c r="T392" i="2"/>
  <c r="N392" i="2" s="1"/>
  <c r="Z392" i="2" s="1"/>
  <c r="S392" i="2"/>
  <c r="P387" i="2"/>
  <c r="P386" i="2"/>
  <c r="P378" i="2"/>
  <c r="P380" i="2"/>
  <c r="P377" i="2"/>
  <c r="P365" i="2"/>
  <c r="P366" i="2"/>
  <c r="P372" i="2"/>
  <c r="P368" i="2"/>
  <c r="P371" i="2"/>
  <c r="P353" i="2"/>
  <c r="P350" i="2"/>
  <c r="P329" i="2"/>
  <c r="P333" i="2"/>
  <c r="P334" i="2"/>
  <c r="P8" i="2"/>
  <c r="T8" i="2" s="1"/>
  <c r="N8" i="2" s="1"/>
  <c r="Z8" i="2" s="1"/>
  <c r="P326" i="2"/>
  <c r="P327" i="2"/>
  <c r="P323" i="2"/>
  <c r="P321" i="2"/>
  <c r="P318" i="2"/>
  <c r="P316" i="2"/>
  <c r="P299" i="2"/>
  <c r="P297" i="2"/>
  <c r="P298" i="2"/>
  <c r="P274" i="2"/>
  <c r="P273" i="2"/>
  <c r="P248" i="2"/>
  <c r="P243" i="2"/>
  <c r="P241" i="2"/>
  <c r="P242" i="2"/>
  <c r="P239" i="2"/>
  <c r="P237" i="2"/>
  <c r="P236" i="2"/>
  <c r="P228" i="2"/>
  <c r="P234" i="2"/>
  <c r="P231" i="2"/>
  <c r="P229" i="2"/>
  <c r="P233" i="2"/>
  <c r="P227" i="2"/>
  <c r="P230" i="2"/>
  <c r="P225" i="2"/>
  <c r="P215" i="2"/>
  <c r="P224" i="2"/>
  <c r="P218" i="2"/>
  <c r="P223" i="2"/>
  <c r="P220" i="2"/>
  <c r="P213" i="2"/>
  <c r="P222" i="2"/>
  <c r="P217" i="2"/>
  <c r="P219" i="2"/>
  <c r="P214" i="2"/>
  <c r="P216" i="2"/>
  <c r="P221" i="2"/>
  <c r="P210" i="2"/>
  <c r="P212" i="2"/>
  <c r="P209" i="2"/>
  <c r="P211" i="2"/>
  <c r="P186" i="2"/>
  <c r="P188" i="2"/>
  <c r="P190" i="2"/>
  <c r="P187" i="2"/>
  <c r="P189" i="2"/>
  <c r="P159" i="2"/>
  <c r="P162" i="2"/>
  <c r="P161" i="2"/>
  <c r="P160" i="2"/>
  <c r="P168" i="2"/>
  <c r="P148" i="2"/>
  <c r="P142" i="2"/>
  <c r="P145" i="2"/>
  <c r="P144" i="2"/>
  <c r="P147" i="2"/>
  <c r="P146" i="2"/>
  <c r="P123" i="2"/>
  <c r="P125" i="2"/>
  <c r="P130" i="2"/>
  <c r="P124" i="2"/>
  <c r="V2" i="2"/>
  <c r="V3" i="2"/>
  <c r="M11" i="7"/>
  <c r="O11" i="7"/>
  <c r="N11" i="7"/>
  <c r="P113" i="2"/>
  <c r="P109" i="2"/>
  <c r="P105" i="2"/>
  <c r="P104" i="2"/>
  <c r="P100" i="2"/>
  <c r="P83" i="2"/>
  <c r="P84" i="2"/>
  <c r="P86" i="2"/>
  <c r="P85" i="2"/>
  <c r="P71" i="2"/>
  <c r="P73" i="2"/>
  <c r="P72" i="2"/>
  <c r="P65" i="2"/>
  <c r="P41" i="2"/>
  <c r="P42" i="2"/>
  <c r="P35" i="2"/>
  <c r="P31" i="2"/>
  <c r="P45" i="2"/>
  <c r="P34" i="2"/>
  <c r="P52" i="2"/>
  <c r="P21" i="2"/>
  <c r="P13" i="2"/>
  <c r="P14" i="2"/>
  <c r="P18" i="2"/>
  <c r="N2" i="2"/>
  <c r="Z2" i="2" s="1"/>
  <c r="N5" i="2"/>
  <c r="Z5" i="2" s="1"/>
  <c r="N3" i="2"/>
  <c r="Z3" i="2" s="1"/>
  <c r="K11" i="7"/>
  <c r="I11" i="7"/>
  <c r="J11" i="7"/>
  <c r="F11" i="7"/>
  <c r="C13" i="7"/>
  <c r="D12" i="7"/>
  <c r="E13" i="7"/>
  <c r="T414" i="2" l="1"/>
  <c r="S414" i="2"/>
  <c r="Q50" i="17"/>
  <c r="P50" i="17"/>
  <c r="Q127" i="17"/>
  <c r="P127" i="17"/>
  <c r="T402" i="2"/>
  <c r="N402" i="2" s="1"/>
  <c r="Z402" i="2" s="1"/>
  <c r="S402" i="2"/>
  <c r="V402" i="2" s="1"/>
  <c r="AA402" i="2" s="1"/>
  <c r="Q154" i="17"/>
  <c r="P154" i="17"/>
  <c r="Q62" i="17"/>
  <c r="P62" i="17"/>
  <c r="T417" i="2"/>
  <c r="S417" i="2"/>
  <c r="V417" i="2" s="1"/>
  <c r="AA417" i="2" s="1"/>
  <c r="Q69" i="17"/>
  <c r="P69" i="17"/>
  <c r="Q178" i="17"/>
  <c r="P178" i="17"/>
  <c r="T418" i="2"/>
  <c r="S418" i="2"/>
  <c r="Q77" i="17"/>
  <c r="P77" i="17"/>
  <c r="Q207" i="17"/>
  <c r="P207" i="17"/>
  <c r="Q145" i="17"/>
  <c r="P145" i="17"/>
  <c r="Q9" i="17"/>
  <c r="P9" i="17"/>
  <c r="Q84" i="17"/>
  <c r="P84" i="17"/>
  <c r="Q144" i="17"/>
  <c r="P144" i="17"/>
  <c r="Q20" i="17"/>
  <c r="P20" i="17"/>
  <c r="Q79" i="17"/>
  <c r="P79" i="17"/>
  <c r="Q173" i="17"/>
  <c r="P173" i="17"/>
  <c r="T408" i="2"/>
  <c r="S408" i="2"/>
  <c r="V408" i="2" s="1"/>
  <c r="AA408" i="2" s="1"/>
  <c r="Q65" i="17"/>
  <c r="P65" i="17"/>
  <c r="Q22" i="17"/>
  <c r="P22" i="17"/>
  <c r="Q94" i="17"/>
  <c r="P94" i="17"/>
  <c r="Q196" i="17"/>
  <c r="P196" i="17"/>
  <c r="Q35" i="17"/>
  <c r="P35" i="17"/>
  <c r="Q106" i="17"/>
  <c r="P106" i="17"/>
  <c r="Q215" i="17"/>
  <c r="P215" i="17"/>
  <c r="Q25" i="17"/>
  <c r="P25" i="17"/>
  <c r="P116" i="17"/>
  <c r="Q116" i="17"/>
  <c r="Q231" i="17"/>
  <c r="P231" i="17"/>
  <c r="Q23" i="17"/>
  <c r="P23" i="17"/>
  <c r="Q126" i="17"/>
  <c r="P126" i="17"/>
  <c r="P238" i="17"/>
  <c r="Q238" i="17"/>
  <c r="T404" i="2"/>
  <c r="N404" i="2" s="1"/>
  <c r="Z404" i="2" s="1"/>
  <c r="S404" i="2"/>
  <c r="V404" i="2" s="1"/>
  <c r="AA404" i="2" s="1"/>
  <c r="Q38" i="17"/>
  <c r="P38" i="17"/>
  <c r="Q118" i="17"/>
  <c r="P118" i="17"/>
  <c r="V392" i="2"/>
  <c r="AA392" i="2" s="1"/>
  <c r="T387" i="2"/>
  <c r="N387" i="2" s="1"/>
  <c r="Z387" i="2" s="1"/>
  <c r="S387" i="2"/>
  <c r="S8" i="2"/>
  <c r="V8" i="2" s="1"/>
  <c r="S377" i="2"/>
  <c r="T377" i="2"/>
  <c r="T380" i="2"/>
  <c r="N380" i="2" s="1"/>
  <c r="Z380" i="2" s="1"/>
  <c r="S380" i="2"/>
  <c r="T378" i="2"/>
  <c r="N378" i="2" s="1"/>
  <c r="Z378" i="2" s="1"/>
  <c r="S378" i="2"/>
  <c r="T386" i="2"/>
  <c r="N386" i="2" s="1"/>
  <c r="Z386" i="2" s="1"/>
  <c r="S386" i="2"/>
  <c r="T371" i="2"/>
  <c r="S371" i="2"/>
  <c r="T368" i="2"/>
  <c r="N368" i="2" s="1"/>
  <c r="Z368" i="2" s="1"/>
  <c r="S368" i="2"/>
  <c r="T372" i="2"/>
  <c r="S372" i="2"/>
  <c r="T366" i="2"/>
  <c r="S366" i="2"/>
  <c r="T365" i="2"/>
  <c r="N365" i="2" s="1"/>
  <c r="Z365" i="2" s="1"/>
  <c r="S365" i="2"/>
  <c r="T334" i="2"/>
  <c r="N334" i="2" s="1"/>
  <c r="Z334" i="2" s="1"/>
  <c r="S334" i="2"/>
  <c r="T333" i="2"/>
  <c r="N333" i="2" s="1"/>
  <c r="Z333" i="2" s="1"/>
  <c r="S333" i="2"/>
  <c r="T329" i="2"/>
  <c r="S329" i="2"/>
  <c r="T350" i="2"/>
  <c r="S350" i="2"/>
  <c r="T353" i="2"/>
  <c r="N353" i="2" s="1"/>
  <c r="Z353" i="2" s="1"/>
  <c r="S353" i="2"/>
  <c r="T145" i="2"/>
  <c r="N145" i="2" s="1"/>
  <c r="Z145" i="2" s="1"/>
  <c r="S145" i="2"/>
  <c r="T189" i="2"/>
  <c r="N189" i="2" s="1"/>
  <c r="Z189" i="2" s="1"/>
  <c r="AC189" i="2" s="1"/>
  <c r="S189" i="2"/>
  <c r="T210" i="2"/>
  <c r="N210" i="2" s="1"/>
  <c r="Z210" i="2" s="1"/>
  <c r="AC210" i="2" s="1"/>
  <c r="S210" i="2"/>
  <c r="T220" i="2"/>
  <c r="N220" i="2" s="1"/>
  <c r="Z220" i="2" s="1"/>
  <c r="AC220" i="2" s="1"/>
  <c r="S220" i="2"/>
  <c r="T233" i="2"/>
  <c r="N233" i="2" s="1"/>
  <c r="Z233" i="2" s="1"/>
  <c r="AC233" i="2" s="1"/>
  <c r="S233" i="2"/>
  <c r="T242" i="2"/>
  <c r="N242" i="2" s="1"/>
  <c r="Z242" i="2" s="1"/>
  <c r="AC242" i="2" s="1"/>
  <c r="S242" i="2"/>
  <c r="T299" i="2"/>
  <c r="N299" i="2" s="1"/>
  <c r="Z299" i="2" s="1"/>
  <c r="S299" i="2"/>
  <c r="T130" i="2"/>
  <c r="N130" i="2" s="1"/>
  <c r="Z130" i="2" s="1"/>
  <c r="S130" i="2"/>
  <c r="T148" i="2"/>
  <c r="S148" i="2"/>
  <c r="T190" i="2"/>
  <c r="N190" i="2" s="1"/>
  <c r="Z190" i="2" s="1"/>
  <c r="AC190" i="2" s="1"/>
  <c r="S190" i="2"/>
  <c r="T216" i="2"/>
  <c r="N216" i="2" s="1"/>
  <c r="Z216" i="2" s="1"/>
  <c r="AC216" i="2" s="1"/>
  <c r="S216" i="2"/>
  <c r="T218" i="2"/>
  <c r="N218" i="2" s="1"/>
  <c r="Z218" i="2" s="1"/>
  <c r="S218" i="2"/>
  <c r="S231" i="2"/>
  <c r="T231" i="2"/>
  <c r="T243" i="2"/>
  <c r="S243" i="2"/>
  <c r="S318" i="2"/>
  <c r="T318" i="2"/>
  <c r="T125" i="2"/>
  <c r="N125" i="2" s="1"/>
  <c r="Z125" i="2" s="1"/>
  <c r="S125" i="2"/>
  <c r="G3" i="7" s="1"/>
  <c r="H3" i="7" s="1"/>
  <c r="T168" i="2"/>
  <c r="N168" i="2" s="1"/>
  <c r="Z168" i="2" s="1"/>
  <c r="S168" i="2"/>
  <c r="T188" i="2"/>
  <c r="N188" i="2" s="1"/>
  <c r="Z188" i="2" s="1"/>
  <c r="S188" i="2"/>
  <c r="T214" i="2"/>
  <c r="N214" i="2" s="1"/>
  <c r="Z214" i="2" s="1"/>
  <c r="S214" i="2"/>
  <c r="T224" i="2"/>
  <c r="N224" i="2" s="1"/>
  <c r="Z224" i="2" s="1"/>
  <c r="AC224" i="2" s="1"/>
  <c r="S224" i="2"/>
  <c r="T234" i="2"/>
  <c r="N234" i="2" s="1"/>
  <c r="Z234" i="2" s="1"/>
  <c r="AC234" i="2" s="1"/>
  <c r="S234" i="2"/>
  <c r="T248" i="2"/>
  <c r="N248" i="2" s="1"/>
  <c r="Z248" i="2" s="1"/>
  <c r="AC248" i="2" s="1"/>
  <c r="S248" i="2"/>
  <c r="T321" i="2"/>
  <c r="N321" i="2" s="1"/>
  <c r="Z321" i="2" s="1"/>
  <c r="S321" i="2"/>
  <c r="T123" i="2"/>
  <c r="N123" i="2" s="1"/>
  <c r="Z123" i="2" s="1"/>
  <c r="S123" i="2"/>
  <c r="T160" i="2"/>
  <c r="N160" i="2" s="1"/>
  <c r="Z160" i="2" s="1"/>
  <c r="S160" i="2"/>
  <c r="T186" i="2"/>
  <c r="N186" i="2" s="1"/>
  <c r="Z186" i="2" s="1"/>
  <c r="S186" i="2"/>
  <c r="T219" i="2"/>
  <c r="N219" i="2" s="1"/>
  <c r="Z219" i="2" s="1"/>
  <c r="S219" i="2"/>
  <c r="T215" i="2"/>
  <c r="N215" i="2" s="1"/>
  <c r="Z215" i="2" s="1"/>
  <c r="AC215" i="2" s="1"/>
  <c r="S215" i="2"/>
  <c r="S228" i="2"/>
  <c r="T228" i="2"/>
  <c r="T273" i="2"/>
  <c r="N273" i="2" s="1"/>
  <c r="Z273" i="2" s="1"/>
  <c r="AC273" i="2" s="1"/>
  <c r="S273" i="2"/>
  <c r="T323" i="2"/>
  <c r="N323" i="2" s="1"/>
  <c r="Z323" i="2" s="1"/>
  <c r="S323" i="2"/>
  <c r="S146" i="2"/>
  <c r="T146" i="2"/>
  <c r="T161" i="2"/>
  <c r="S161" i="2"/>
  <c r="T211" i="2"/>
  <c r="N211" i="2" s="1"/>
  <c r="Z211" i="2" s="1"/>
  <c r="AC211" i="2" s="1"/>
  <c r="S211" i="2"/>
  <c r="T217" i="2"/>
  <c r="N217" i="2" s="1"/>
  <c r="Z217" i="2" s="1"/>
  <c r="S217" i="2"/>
  <c r="T225" i="2"/>
  <c r="N225" i="2" s="1"/>
  <c r="Z225" i="2" s="1"/>
  <c r="AC225" i="2" s="1"/>
  <c r="S225" i="2"/>
  <c r="T236" i="2"/>
  <c r="N236" i="2" s="1"/>
  <c r="Z236" i="2" s="1"/>
  <c r="AC236" i="2" s="1"/>
  <c r="S236" i="2"/>
  <c r="T274" i="2"/>
  <c r="N274" i="2" s="1"/>
  <c r="Z274" i="2" s="1"/>
  <c r="AC274" i="2" s="1"/>
  <c r="S274" i="2"/>
  <c r="T327" i="2"/>
  <c r="S327" i="2"/>
  <c r="T124" i="2"/>
  <c r="N124" i="2" s="1"/>
  <c r="Z124" i="2" s="1"/>
  <c r="S124" i="2"/>
  <c r="S142" i="2"/>
  <c r="T142" i="2"/>
  <c r="T187" i="2"/>
  <c r="N187" i="2" s="1"/>
  <c r="Z187" i="2" s="1"/>
  <c r="S187" i="2"/>
  <c r="T221" i="2"/>
  <c r="N221" i="2" s="1"/>
  <c r="Z221" i="2" s="1"/>
  <c r="AC221" i="2" s="1"/>
  <c r="S221" i="2"/>
  <c r="T223" i="2"/>
  <c r="S223" i="2"/>
  <c r="T229" i="2"/>
  <c r="N229" i="2" s="1"/>
  <c r="Z229" i="2" s="1"/>
  <c r="AC229" i="2" s="1"/>
  <c r="S229" i="2"/>
  <c r="T241" i="2"/>
  <c r="N241" i="2" s="1"/>
  <c r="Z241" i="2" s="1"/>
  <c r="AC241" i="2" s="1"/>
  <c r="S241" i="2"/>
  <c r="T316" i="2"/>
  <c r="S316" i="2"/>
  <c r="T147" i="2"/>
  <c r="N147" i="2" s="1"/>
  <c r="Z147" i="2" s="1"/>
  <c r="S147" i="2"/>
  <c r="T162" i="2"/>
  <c r="S162" i="2"/>
  <c r="T209" i="2"/>
  <c r="N209" i="2" s="1"/>
  <c r="Z209" i="2" s="1"/>
  <c r="AC209" i="2" s="1"/>
  <c r="S209" i="2"/>
  <c r="T222" i="2"/>
  <c r="N222" i="2" s="1"/>
  <c r="Z222" i="2" s="1"/>
  <c r="AC222" i="2" s="1"/>
  <c r="S222" i="2"/>
  <c r="S230" i="2"/>
  <c r="T230" i="2"/>
  <c r="T237" i="2"/>
  <c r="N237" i="2" s="1"/>
  <c r="Z237" i="2" s="1"/>
  <c r="AC237" i="2" s="1"/>
  <c r="S237" i="2"/>
  <c r="T298" i="2"/>
  <c r="S298" i="2"/>
  <c r="T326" i="2"/>
  <c r="S326" i="2"/>
  <c r="T144" i="2"/>
  <c r="N144" i="2" s="1"/>
  <c r="Z144" i="2" s="1"/>
  <c r="S144" i="2"/>
  <c r="T159" i="2"/>
  <c r="N159" i="2" s="1"/>
  <c r="Z159" i="2" s="1"/>
  <c r="S159" i="2"/>
  <c r="T212" i="2"/>
  <c r="N212" i="2" s="1"/>
  <c r="Z212" i="2" s="1"/>
  <c r="AC212" i="2" s="1"/>
  <c r="S212" i="2"/>
  <c r="T213" i="2"/>
  <c r="N213" i="2" s="1"/>
  <c r="Z213" i="2" s="1"/>
  <c r="S213" i="2"/>
  <c r="T227" i="2"/>
  <c r="N227" i="2" s="1"/>
  <c r="Z227" i="2" s="1"/>
  <c r="AC227" i="2" s="1"/>
  <c r="S227" i="2"/>
  <c r="T239" i="2"/>
  <c r="N239" i="2" s="1"/>
  <c r="Z239" i="2" s="1"/>
  <c r="AC239" i="2" s="1"/>
  <c r="S239" i="2"/>
  <c r="T297" i="2"/>
  <c r="N297" i="2" s="1"/>
  <c r="Z297" i="2" s="1"/>
  <c r="S297" i="2"/>
  <c r="T14" i="2"/>
  <c r="S14" i="2"/>
  <c r="T42" i="2"/>
  <c r="S42" i="2"/>
  <c r="T84" i="2"/>
  <c r="S84" i="2"/>
  <c r="T52" i="2"/>
  <c r="S52" i="2"/>
  <c r="T72" i="2"/>
  <c r="S72" i="2"/>
  <c r="T104" i="2"/>
  <c r="S104" i="2"/>
  <c r="T18" i="2"/>
  <c r="S18" i="2"/>
  <c r="S35" i="2"/>
  <c r="T35" i="2"/>
  <c r="T86" i="2"/>
  <c r="S86" i="2"/>
  <c r="T34" i="2"/>
  <c r="S34" i="2"/>
  <c r="T73" i="2"/>
  <c r="S73" i="2"/>
  <c r="T105" i="2"/>
  <c r="S105" i="2"/>
  <c r="T13" i="2"/>
  <c r="S13" i="2"/>
  <c r="T41" i="2"/>
  <c r="S41" i="2"/>
  <c r="S83" i="2"/>
  <c r="T83" i="2"/>
  <c r="T21" i="2"/>
  <c r="S21" i="2"/>
  <c r="T65" i="2"/>
  <c r="S65" i="2"/>
  <c r="S100" i="2"/>
  <c r="T100" i="2"/>
  <c r="T45" i="2"/>
  <c r="S45" i="2"/>
  <c r="S71" i="2"/>
  <c r="T71" i="2"/>
  <c r="T109" i="2"/>
  <c r="S109" i="2"/>
  <c r="M12" i="7"/>
  <c r="O12" i="7"/>
  <c r="N12" i="7"/>
  <c r="L12" i="7"/>
  <c r="T31" i="2"/>
  <c r="S31" i="2"/>
  <c r="T85" i="2"/>
  <c r="S85" i="2"/>
  <c r="T113" i="2"/>
  <c r="S113" i="2"/>
  <c r="L3" i="7"/>
  <c r="I12" i="7"/>
  <c r="K12" i="7"/>
  <c r="J12" i="7"/>
  <c r="F12" i="7"/>
  <c r="D13" i="7"/>
  <c r="C14" i="7"/>
  <c r="E14" i="7"/>
  <c r="E7" i="9" l="1"/>
  <c r="S38" i="17"/>
  <c r="X38" i="17" s="1"/>
  <c r="S65" i="17"/>
  <c r="X65" i="17" s="1"/>
  <c r="S126" i="17"/>
  <c r="X126" i="17" s="1"/>
  <c r="S215" i="17"/>
  <c r="X215" i="17" s="1"/>
  <c r="S106" i="17"/>
  <c r="X106" i="17" s="1"/>
  <c r="S22" i="17"/>
  <c r="X22" i="17" s="1"/>
  <c r="S94" i="17"/>
  <c r="X94" i="17" s="1"/>
  <c r="S20" i="17"/>
  <c r="X20" i="17" s="1"/>
  <c r="S77" i="17"/>
  <c r="X77" i="17" s="1"/>
  <c r="S154" i="17"/>
  <c r="X154" i="17" s="1"/>
  <c r="S84" i="17"/>
  <c r="X84" i="17" s="1"/>
  <c r="S178" i="17"/>
  <c r="X178" i="17" s="1"/>
  <c r="S9" i="17"/>
  <c r="X9" i="17" s="1"/>
  <c r="S50" i="17"/>
  <c r="X50" i="17" s="1"/>
  <c r="S127" i="17"/>
  <c r="X127" i="17" s="1"/>
  <c r="S144" i="17"/>
  <c r="X144" i="17" s="1"/>
  <c r="S23" i="17"/>
  <c r="X23" i="17" s="1"/>
  <c r="S173" i="17"/>
  <c r="X173" i="17" s="1"/>
  <c r="S145" i="17"/>
  <c r="X145" i="17" s="1"/>
  <c r="S196" i="17"/>
  <c r="X196" i="17" s="1"/>
  <c r="S62" i="17"/>
  <c r="X62" i="17" s="1"/>
  <c r="Z116" i="17"/>
  <c r="K116" i="17"/>
  <c r="W116" i="17" s="1"/>
  <c r="S116" i="17"/>
  <c r="X116" i="17" s="1"/>
  <c r="Z38" i="17"/>
  <c r="K38" i="17"/>
  <c r="W38" i="17" s="1"/>
  <c r="Z94" i="17"/>
  <c r="K94" i="17"/>
  <c r="W94" i="17" s="1"/>
  <c r="K20" i="17"/>
  <c r="W20" i="17" s="1"/>
  <c r="Z20" i="17"/>
  <c r="Z77" i="17"/>
  <c r="K77" i="17"/>
  <c r="W77" i="17" s="1"/>
  <c r="Z154" i="17"/>
  <c r="K154" i="17"/>
  <c r="W154" i="17" s="1"/>
  <c r="V418" i="2"/>
  <c r="AA418" i="2" s="1"/>
  <c r="K25" i="17"/>
  <c r="W25" i="17" s="1"/>
  <c r="Z25" i="17"/>
  <c r="S25" i="17"/>
  <c r="X25" i="17" s="1"/>
  <c r="Z22" i="17"/>
  <c r="K22" i="17"/>
  <c r="W22" i="17" s="1"/>
  <c r="K144" i="17"/>
  <c r="W144" i="17" s="1"/>
  <c r="Z144" i="17"/>
  <c r="Z238" i="17"/>
  <c r="K238" i="17"/>
  <c r="W238" i="17" s="1"/>
  <c r="S238" i="17"/>
  <c r="X238" i="17" s="1"/>
  <c r="K215" i="17"/>
  <c r="W215" i="17" s="1"/>
  <c r="Z215" i="17"/>
  <c r="Z65" i="17"/>
  <c r="K65" i="17"/>
  <c r="W65" i="17" s="1"/>
  <c r="Z84" i="17"/>
  <c r="K84" i="17"/>
  <c r="W84" i="17" s="1"/>
  <c r="Z178" i="17"/>
  <c r="K178" i="17"/>
  <c r="W178" i="17" s="1"/>
  <c r="Z127" i="17"/>
  <c r="K127" i="17"/>
  <c r="W127" i="17" s="1"/>
  <c r="K118" i="17"/>
  <c r="W118" i="17" s="1"/>
  <c r="Z118" i="17"/>
  <c r="S118" i="17"/>
  <c r="X118" i="17" s="1"/>
  <c r="K231" i="17"/>
  <c r="W231" i="17" s="1"/>
  <c r="S231" i="17"/>
  <c r="X231" i="17" s="1"/>
  <c r="Z231" i="17"/>
  <c r="K196" i="17"/>
  <c r="W196" i="17" s="1"/>
  <c r="Z196" i="17"/>
  <c r="Z79" i="17"/>
  <c r="K79" i="17"/>
  <c r="W79" i="17" s="1"/>
  <c r="S79" i="17"/>
  <c r="X79" i="17" s="1"/>
  <c r="Z207" i="17"/>
  <c r="K207" i="17"/>
  <c r="W207" i="17" s="1"/>
  <c r="S207" i="17"/>
  <c r="X207" i="17" s="1"/>
  <c r="Z62" i="17"/>
  <c r="K62" i="17"/>
  <c r="W62" i="17" s="1"/>
  <c r="Z126" i="17"/>
  <c r="K126" i="17"/>
  <c r="W126" i="17" s="1"/>
  <c r="K106" i="17"/>
  <c r="W106" i="17" s="1"/>
  <c r="Z106" i="17"/>
  <c r="N409" i="2"/>
  <c r="Z409" i="2" s="1"/>
  <c r="Z408" i="2"/>
  <c r="Z9" i="17"/>
  <c r="K9" i="17"/>
  <c r="Z69" i="17"/>
  <c r="S69" i="17"/>
  <c r="X69" i="17" s="1"/>
  <c r="K69" i="17"/>
  <c r="W69" i="17" s="1"/>
  <c r="Z50" i="17"/>
  <c r="K50" i="17"/>
  <c r="W50" i="17" s="1"/>
  <c r="Z23" i="17"/>
  <c r="K23" i="17"/>
  <c r="W23" i="17" s="1"/>
  <c r="K35" i="17"/>
  <c r="W35" i="17" s="1"/>
  <c r="Z35" i="17"/>
  <c r="S35" i="17"/>
  <c r="X35" i="17" s="1"/>
  <c r="Z173" i="17"/>
  <c r="K173" i="17"/>
  <c r="W173" i="17" s="1"/>
  <c r="K145" i="17"/>
  <c r="W145" i="17" s="1"/>
  <c r="Z145" i="17"/>
  <c r="N418" i="2"/>
  <c r="Z418" i="2" s="1"/>
  <c r="N417" i="2"/>
  <c r="Z417" i="2" s="1"/>
  <c r="N414" i="2"/>
  <c r="Z414" i="2" s="1"/>
  <c r="V414" i="2"/>
  <c r="AA414" i="2" s="1"/>
  <c r="V380" i="2"/>
  <c r="AA380" i="2" s="1"/>
  <c r="V386" i="2"/>
  <c r="AA386" i="2" s="1"/>
  <c r="V378" i="2"/>
  <c r="AA378" i="2" s="1"/>
  <c r="V368" i="2"/>
  <c r="AA368" i="2" s="1"/>
  <c r="N377" i="2"/>
  <c r="Z377" i="2" s="1"/>
  <c r="V377" i="2"/>
  <c r="AA377" i="2" s="1"/>
  <c r="V387" i="2"/>
  <c r="AA387" i="2" s="1"/>
  <c r="G12" i="7"/>
  <c r="H12" i="7" s="1"/>
  <c r="V365" i="2"/>
  <c r="AA365" i="2" s="1"/>
  <c r="V334" i="2"/>
  <c r="AA334" i="2" s="1"/>
  <c r="V210" i="2"/>
  <c r="AA210" i="2" s="1"/>
  <c r="N366" i="2"/>
  <c r="Z366" i="2" s="1"/>
  <c r="V366" i="2"/>
  <c r="AA366" i="2" s="1"/>
  <c r="V333" i="2"/>
  <c r="AA333" i="2" s="1"/>
  <c r="V372" i="2"/>
  <c r="AA372" i="2" s="1"/>
  <c r="N372" i="2"/>
  <c r="Z372" i="2" s="1"/>
  <c r="N371" i="2"/>
  <c r="Z371" i="2" s="1"/>
  <c r="V371" i="2"/>
  <c r="AA371" i="2" s="1"/>
  <c r="V353" i="2"/>
  <c r="AA353" i="2" s="1"/>
  <c r="V350" i="2"/>
  <c r="AA350" i="2" s="1"/>
  <c r="N350" i="2"/>
  <c r="Z350" i="2" s="1"/>
  <c r="N329" i="2"/>
  <c r="Z329" i="2" s="1"/>
  <c r="V329" i="2"/>
  <c r="AA329" i="2" s="1"/>
  <c r="V220" i="2"/>
  <c r="AA220" i="2" s="1"/>
  <c r="V145" i="2"/>
  <c r="AA145" i="2" s="1"/>
  <c r="V227" i="2"/>
  <c r="AA227" i="2" s="1"/>
  <c r="V144" i="2"/>
  <c r="AA144" i="2" s="1"/>
  <c r="N230" i="2"/>
  <c r="Z230" i="2" s="1"/>
  <c r="AC230" i="2" s="1"/>
  <c r="V230" i="2"/>
  <c r="AA230" i="2" s="1"/>
  <c r="V147" i="2"/>
  <c r="AA147" i="2" s="1"/>
  <c r="V124" i="2"/>
  <c r="AA124" i="2" s="1"/>
  <c r="V225" i="2"/>
  <c r="AA225" i="2" s="1"/>
  <c r="V146" i="2"/>
  <c r="AA146" i="2" s="1"/>
  <c r="N146" i="2"/>
  <c r="Z146" i="2" s="1"/>
  <c r="V215" i="2"/>
  <c r="AA215" i="2" s="1"/>
  <c r="V123" i="2"/>
  <c r="AA123" i="2" s="1"/>
  <c r="V224" i="2"/>
  <c r="AA224" i="2" s="1"/>
  <c r="V125" i="2"/>
  <c r="V218" i="2"/>
  <c r="AA218" i="2" s="1"/>
  <c r="V130" i="2"/>
  <c r="AA130" i="2" s="1"/>
  <c r="N223" i="2"/>
  <c r="Z223" i="2" s="1"/>
  <c r="AC223" i="2" s="1"/>
  <c r="V223" i="2"/>
  <c r="AA223" i="2" s="1"/>
  <c r="L8" i="7"/>
  <c r="G8" i="7"/>
  <c r="H8" i="7" s="1"/>
  <c r="V213" i="2"/>
  <c r="AA213" i="2" s="1"/>
  <c r="V222" i="2"/>
  <c r="AA222" i="2" s="1"/>
  <c r="V221" i="2"/>
  <c r="AA221" i="2" s="1"/>
  <c r="V217" i="2"/>
  <c r="AA217" i="2" s="1"/>
  <c r="V323" i="2"/>
  <c r="AA323" i="2" s="1"/>
  <c r="V219" i="2"/>
  <c r="AA219" i="2" s="1"/>
  <c r="V321" i="2"/>
  <c r="AA321" i="2" s="1"/>
  <c r="V214" i="2"/>
  <c r="AA214" i="2" s="1"/>
  <c r="V318" i="2"/>
  <c r="AA318" i="2" s="1"/>
  <c r="N318" i="2"/>
  <c r="Z318" i="2" s="1"/>
  <c r="V216" i="2"/>
  <c r="AA216" i="2" s="1"/>
  <c r="V299" i="2"/>
  <c r="AA299" i="2" s="1"/>
  <c r="N326" i="2"/>
  <c r="Z326" i="2" s="1"/>
  <c r="V326" i="2"/>
  <c r="AA326" i="2" s="1"/>
  <c r="V316" i="2"/>
  <c r="AA316" i="2" s="1"/>
  <c r="N316" i="2"/>
  <c r="Z316" i="2" s="1"/>
  <c r="V327" i="2"/>
  <c r="AA327" i="2" s="1"/>
  <c r="N327" i="2"/>
  <c r="Z327" i="2" s="1"/>
  <c r="V297" i="2"/>
  <c r="AA297" i="2" s="1"/>
  <c r="V212" i="2"/>
  <c r="AA212" i="2" s="1"/>
  <c r="V298" i="2"/>
  <c r="AA298" i="2" s="1"/>
  <c r="V209" i="2"/>
  <c r="AA209" i="2" s="1"/>
  <c r="V241" i="2"/>
  <c r="AA241" i="2" s="1"/>
  <c r="V187" i="2"/>
  <c r="AA187" i="2" s="1"/>
  <c r="L9" i="7"/>
  <c r="G9" i="7"/>
  <c r="H9" i="7" s="1"/>
  <c r="V274" i="2"/>
  <c r="AA274" i="2" s="1"/>
  <c r="V211" i="2"/>
  <c r="AA211" i="2" s="1"/>
  <c r="G11" i="7"/>
  <c r="H11" i="7" s="1"/>
  <c r="L11" i="7"/>
  <c r="V273" i="2"/>
  <c r="AA273" i="2" s="1"/>
  <c r="V186" i="2"/>
  <c r="AA186" i="2" s="1"/>
  <c r="V248" i="2"/>
  <c r="AA248" i="2" s="1"/>
  <c r="V188" i="2"/>
  <c r="AA188" i="2" s="1"/>
  <c r="V243" i="2"/>
  <c r="AA243" i="2" s="1"/>
  <c r="V190" i="2"/>
  <c r="AA190" i="2" s="1"/>
  <c r="V242" i="2"/>
  <c r="AA242" i="2" s="1"/>
  <c r="V189" i="2"/>
  <c r="AA189" i="2" s="1"/>
  <c r="N298" i="2"/>
  <c r="Z298" i="2" s="1"/>
  <c r="AD243" i="2"/>
  <c r="N243" i="2"/>
  <c r="Z243" i="2" s="1"/>
  <c r="AC243" i="2" s="1"/>
  <c r="V239" i="2"/>
  <c r="AA239" i="2" s="1"/>
  <c r="V159" i="2"/>
  <c r="AA159" i="2" s="1"/>
  <c r="V237" i="2"/>
  <c r="AA237" i="2" s="1"/>
  <c r="V229" i="2"/>
  <c r="AA229" i="2" s="1"/>
  <c r="V142" i="2"/>
  <c r="AA142" i="2" s="1"/>
  <c r="N142" i="2"/>
  <c r="Z142" i="2" s="1"/>
  <c r="V236" i="2"/>
  <c r="AA236" i="2" s="1"/>
  <c r="V228" i="2"/>
  <c r="AA228" i="2" s="1"/>
  <c r="N228" i="2"/>
  <c r="Z228" i="2" s="1"/>
  <c r="AC228" i="2" s="1"/>
  <c r="V160" i="2"/>
  <c r="AA160" i="2" s="1"/>
  <c r="V234" i="2"/>
  <c r="AA234" i="2" s="1"/>
  <c r="V168" i="2"/>
  <c r="AA168" i="2" s="1"/>
  <c r="N231" i="2"/>
  <c r="Z231" i="2" s="1"/>
  <c r="AC231" i="2" s="1"/>
  <c r="V231" i="2"/>
  <c r="AA231" i="2" s="1"/>
  <c r="V233" i="2"/>
  <c r="AA233" i="2" s="1"/>
  <c r="V162" i="2"/>
  <c r="AA162" i="2" s="1"/>
  <c r="N162" i="2"/>
  <c r="Z162" i="2" s="1"/>
  <c r="N161" i="2"/>
  <c r="Z161" i="2" s="1"/>
  <c r="V161" i="2"/>
  <c r="AA161" i="2" s="1"/>
  <c r="V148" i="2"/>
  <c r="AA148" i="2" s="1"/>
  <c r="N148" i="2"/>
  <c r="Z148" i="2" s="1"/>
  <c r="V100" i="2"/>
  <c r="AA100" i="2" s="1"/>
  <c r="V83" i="2"/>
  <c r="AA83" i="2" s="1"/>
  <c r="V71" i="2"/>
  <c r="AA71" i="2" s="1"/>
  <c r="V35" i="2"/>
  <c r="N31" i="2"/>
  <c r="Z31" i="2" s="1"/>
  <c r="V31" i="2"/>
  <c r="N21" i="2"/>
  <c r="Z21" i="2" s="1"/>
  <c r="V21" i="2"/>
  <c r="N105" i="2"/>
  <c r="Z105" i="2" s="1"/>
  <c r="V105" i="2"/>
  <c r="AA105" i="2" s="1"/>
  <c r="V52" i="2"/>
  <c r="AA52" i="2" s="1"/>
  <c r="N45" i="2"/>
  <c r="Z45" i="2" s="1"/>
  <c r="V45" i="2"/>
  <c r="N73" i="2"/>
  <c r="Z73" i="2" s="1"/>
  <c r="V73" i="2"/>
  <c r="AA73" i="2" s="1"/>
  <c r="N18" i="2"/>
  <c r="Z18" i="2" s="1"/>
  <c r="V18" i="2"/>
  <c r="N84" i="2"/>
  <c r="Z84" i="2" s="1"/>
  <c r="V84" i="2"/>
  <c r="AA84" i="2" s="1"/>
  <c r="N41" i="2"/>
  <c r="Z41" i="2" s="1"/>
  <c r="V41" i="2"/>
  <c r="N34" i="2"/>
  <c r="Z34" i="2" s="1"/>
  <c r="V34" i="2"/>
  <c r="V104" i="2"/>
  <c r="AA104" i="2" s="1"/>
  <c r="N42" i="2"/>
  <c r="Z42" i="2" s="1"/>
  <c r="V42" i="2"/>
  <c r="N113" i="2"/>
  <c r="Z113" i="2" s="1"/>
  <c r="V113" i="2"/>
  <c r="AA113" i="2" s="1"/>
  <c r="N85" i="2"/>
  <c r="Z85" i="2" s="1"/>
  <c r="V85" i="2"/>
  <c r="AA85" i="2" s="1"/>
  <c r="N109" i="2"/>
  <c r="Z109" i="2" s="1"/>
  <c r="V109" i="2"/>
  <c r="N65" i="2"/>
  <c r="Z65" i="2" s="1"/>
  <c r="V65" i="2"/>
  <c r="AA65" i="2" s="1"/>
  <c r="V13" i="2"/>
  <c r="N86" i="2"/>
  <c r="Z86" i="2" s="1"/>
  <c r="V86" i="2"/>
  <c r="AA86" i="2" s="1"/>
  <c r="N72" i="2"/>
  <c r="Z72" i="2" s="1"/>
  <c r="V72" i="2"/>
  <c r="AA72" i="2" s="1"/>
  <c r="N14" i="2"/>
  <c r="Z14" i="2" s="1"/>
  <c r="V14" i="2"/>
  <c r="N13" i="7"/>
  <c r="L13" i="7"/>
  <c r="M13" i="7"/>
  <c r="O13" i="7"/>
  <c r="N71" i="2"/>
  <c r="Z71" i="2" s="1"/>
  <c r="N35" i="2"/>
  <c r="Z35" i="2" s="1"/>
  <c r="L5" i="7"/>
  <c r="G5" i="7"/>
  <c r="H5" i="7" s="1"/>
  <c r="N52" i="2"/>
  <c r="Z52" i="2" s="1"/>
  <c r="N83" i="2"/>
  <c r="Z83" i="2" s="1"/>
  <c r="N100" i="2"/>
  <c r="Z100" i="2" s="1"/>
  <c r="N104" i="2"/>
  <c r="Z104" i="2" s="1"/>
  <c r="L4" i="7"/>
  <c r="G4" i="7"/>
  <c r="H4" i="7" s="1"/>
  <c r="L7" i="7"/>
  <c r="G7" i="7"/>
  <c r="H7" i="7" s="1"/>
  <c r="N13" i="2"/>
  <c r="Z13" i="2" s="1"/>
  <c r="K13" i="7"/>
  <c r="I13" i="7"/>
  <c r="J13" i="7"/>
  <c r="F13" i="7"/>
  <c r="G13" i="7"/>
  <c r="C15" i="7"/>
  <c r="D14" i="7"/>
  <c r="E15" i="7"/>
  <c r="W9" i="17" l="1"/>
  <c r="AA125" i="2"/>
  <c r="AA126" i="2"/>
  <c r="D2" i="9"/>
  <c r="AA109" i="2"/>
  <c r="AA110" i="2"/>
  <c r="N14" i="7"/>
  <c r="M14" i="7"/>
  <c r="O14" i="7"/>
  <c r="K14" i="7"/>
  <c r="I14" i="7"/>
  <c r="J14" i="7"/>
  <c r="F14" i="7"/>
  <c r="H13" i="7"/>
  <c r="D15" i="7"/>
  <c r="C16" i="7"/>
  <c r="E16" i="7"/>
  <c r="F2" i="9" l="1"/>
  <c r="G2" i="9" s="1"/>
  <c r="K2" i="9" s="1"/>
  <c r="M15" i="7"/>
  <c r="N15" i="7"/>
  <c r="L15" i="7"/>
  <c r="O15" i="7"/>
  <c r="K15" i="7"/>
  <c r="I15" i="7"/>
  <c r="J15" i="7"/>
  <c r="G15" i="7"/>
  <c r="F15" i="7"/>
  <c r="C17" i="7"/>
  <c r="C18" i="7" s="1"/>
  <c r="C19" i="7" s="1"/>
  <c r="C20" i="7" s="1"/>
  <c r="D16" i="7"/>
  <c r="P2" i="9" l="1"/>
  <c r="R2" i="9" s="1"/>
  <c r="H2" i="9"/>
  <c r="L2" i="9" s="1"/>
  <c r="D20" i="7"/>
  <c r="C21" i="7"/>
  <c r="D19" i="7"/>
  <c r="D18" i="7"/>
  <c r="M16" i="7"/>
  <c r="O16" i="7"/>
  <c r="N16" i="7"/>
  <c r="L16" i="7"/>
  <c r="I16" i="7"/>
  <c r="K16" i="7"/>
  <c r="J16" i="7"/>
  <c r="G16" i="7"/>
  <c r="F16" i="7"/>
  <c r="H15" i="7"/>
  <c r="D17" i="7"/>
  <c r="E17" i="7"/>
  <c r="E20" i="7"/>
  <c r="E18" i="7"/>
  <c r="E19" i="7"/>
  <c r="Q2" i="9" l="1"/>
  <c r="T2" i="9" s="1"/>
  <c r="U2" i="9" s="1"/>
  <c r="I2" i="9"/>
  <c r="J2" i="9" s="1"/>
  <c r="V2" i="9"/>
  <c r="D21" i="7"/>
  <c r="N20" i="7"/>
  <c r="O20" i="7"/>
  <c r="K20" i="7"/>
  <c r="I20" i="7"/>
  <c r="J20" i="7"/>
  <c r="M20" i="7"/>
  <c r="F20" i="7"/>
  <c r="L20" i="7"/>
  <c r="G20" i="7"/>
  <c r="O19" i="7"/>
  <c r="M19" i="7"/>
  <c r="L19" i="7"/>
  <c r="I19" i="7"/>
  <c r="G19" i="7"/>
  <c r="F19" i="7"/>
  <c r="K19" i="7"/>
  <c r="N19" i="7"/>
  <c r="J19" i="7"/>
  <c r="O18" i="7"/>
  <c r="N18" i="7"/>
  <c r="M18" i="7"/>
  <c r="K18" i="7"/>
  <c r="I18" i="7"/>
  <c r="J18" i="7"/>
  <c r="F18" i="7"/>
  <c r="G18" i="7"/>
  <c r="L18" i="7"/>
  <c r="M17" i="7"/>
  <c r="O17" i="7"/>
  <c r="L17" i="7"/>
  <c r="N17" i="7"/>
  <c r="I17" i="7"/>
  <c r="K17" i="7"/>
  <c r="J17" i="7"/>
  <c r="G17" i="7"/>
  <c r="F17" i="7"/>
  <c r="H16" i="7"/>
  <c r="E21" i="7"/>
  <c r="AB2" i="9" l="1"/>
  <c r="AC2" i="9" s="1"/>
  <c r="W2" i="9"/>
  <c r="H20" i="7"/>
  <c r="N21" i="7"/>
  <c r="O21" i="7"/>
  <c r="F21" i="7"/>
  <c r="M21" i="7"/>
  <c r="I21" i="7"/>
  <c r="J21" i="7"/>
  <c r="K21" i="7"/>
  <c r="H19" i="7"/>
  <c r="H18" i="7"/>
  <c r="H17" i="7"/>
  <c r="R279" i="2" l="1"/>
  <c r="U279" i="2" s="1"/>
  <c r="T279" i="2"/>
  <c r="N279" i="2" l="1"/>
  <c r="Z279" i="2" s="1"/>
  <c r="D3" i="9" s="1"/>
  <c r="F3" i="9" s="1"/>
  <c r="G3" i="9" s="1"/>
  <c r="S279" i="2"/>
  <c r="G6" i="7" s="1"/>
  <c r="H6" i="7" s="1"/>
  <c r="L6" i="7"/>
  <c r="V279" i="2" l="1"/>
  <c r="AA279" i="2" s="1"/>
  <c r="K3" i="9"/>
  <c r="H3" i="9"/>
  <c r="P3" i="9"/>
  <c r="R3" i="9" l="1"/>
  <c r="Q3" i="9"/>
  <c r="L3" i="9"/>
  <c r="AI3" i="9"/>
  <c r="V3" i="9"/>
  <c r="I3" i="9"/>
  <c r="J3" i="9" s="1"/>
  <c r="W3" i="9" l="1"/>
  <c r="AB3" i="9"/>
  <c r="AC3" i="9" s="1"/>
  <c r="T3" i="9"/>
  <c r="U3" i="9" s="1"/>
  <c r="R280" i="2"/>
  <c r="U280" i="2" s="1"/>
  <c r="T280" i="2"/>
  <c r="N280" i="2" s="1"/>
  <c r="Z280" i="2" s="1"/>
  <c r="AC280" i="2" s="1"/>
  <c r="S280" i="2" l="1"/>
  <c r="L10" i="7" l="1"/>
  <c r="G10" i="7"/>
  <c r="H10" i="7" s="1"/>
  <c r="V280" i="2"/>
  <c r="AA280" i="2" s="1"/>
  <c r="R281" i="2" l="1"/>
  <c r="U281" i="2" s="1"/>
  <c r="T281" i="2"/>
  <c r="N281" i="2" s="1"/>
  <c r="Z281" i="2" s="1"/>
  <c r="D5" i="9" l="1"/>
  <c r="F6" i="9"/>
  <c r="G6" i="9" s="1"/>
  <c r="S281" i="2"/>
  <c r="F5" i="9" l="1"/>
  <c r="G5" i="9" s="1"/>
  <c r="K5" i="9" s="1"/>
  <c r="K6" i="9"/>
  <c r="H6" i="9"/>
  <c r="P6" i="9"/>
  <c r="G14" i="7"/>
  <c r="H14" i="7" s="1"/>
  <c r="L14" i="7"/>
  <c r="V281" i="2"/>
  <c r="AA281" i="2" s="1"/>
  <c r="U304" i="2"/>
  <c r="T304" i="2"/>
  <c r="N304" i="2" s="1"/>
  <c r="Z304" i="2" s="1"/>
  <c r="AC304" i="2" s="1"/>
  <c r="U303" i="2"/>
  <c r="T303" i="2"/>
  <c r="V303" i="2" s="1"/>
  <c r="AA303" i="2" s="1"/>
  <c r="H5" i="9" l="1"/>
  <c r="I5" i="9" s="1"/>
  <c r="J5" i="9" s="1"/>
  <c r="P5" i="9"/>
  <c r="R5" i="9" s="1"/>
  <c r="I6" i="9"/>
  <c r="J6" i="9" s="1"/>
  <c r="V6" i="9"/>
  <c r="L6" i="9"/>
  <c r="R6" i="9"/>
  <c r="Q6" i="9"/>
  <c r="N303" i="2"/>
  <c r="Z303" i="2" s="1"/>
  <c r="AC303" i="2" s="1"/>
  <c r="V304" i="2"/>
  <c r="AA304" i="2" s="1"/>
  <c r="C2" i="11"/>
  <c r="C3" i="11"/>
  <c r="C6" i="11"/>
  <c r="D4" i="9"/>
  <c r="F4" i="9" s="1"/>
  <c r="G4" i="9" s="1"/>
  <c r="C5" i="11"/>
  <c r="C4" i="11"/>
  <c r="W5" i="9" l="1"/>
  <c r="V5" i="9"/>
  <c r="AB5" i="9"/>
  <c r="L5" i="9"/>
  <c r="Q5" i="9"/>
  <c r="T5" i="9" s="1"/>
  <c r="U5" i="9" s="1"/>
  <c r="T6" i="9"/>
  <c r="U6" i="9" s="1"/>
  <c r="W6" i="9"/>
  <c r="AB6" i="9"/>
  <c r="AC6" i="9" s="1"/>
  <c r="P4" i="9"/>
  <c r="H4" i="9"/>
  <c r="K4" i="9"/>
  <c r="AC5" i="9" l="1"/>
  <c r="V4" i="9"/>
  <c r="L4" i="9"/>
  <c r="R4" i="9"/>
  <c r="Q4" i="9"/>
  <c r="I4" i="9"/>
  <c r="J4" i="9" s="1"/>
  <c r="T4" i="9" l="1"/>
  <c r="U4" i="9" s="1"/>
  <c r="W4" i="9"/>
  <c r="AB4" i="9"/>
  <c r="AC4" i="9" s="1"/>
  <c r="L228" i="17"/>
  <c r="Q228" i="17" s="1"/>
  <c r="X228" i="17"/>
  <c r="K228" i="17" l="1"/>
  <c r="Z228" i="17"/>
  <c r="O228" i="17"/>
  <c r="P228" i="17" s="1"/>
  <c r="W228" i="17" l="1"/>
  <c r="D7" i="9"/>
  <c r="F7" i="9" s="1"/>
  <c r="G7" i="9" s="1"/>
  <c r="K7" i="9" s="1"/>
  <c r="L21" i="7"/>
  <c r="G21" i="7"/>
  <c r="H21" i="7" s="1"/>
  <c r="R228" i="17"/>
  <c r="P7" i="9" l="1"/>
  <c r="Q7" i="9" s="1"/>
  <c r="H7" i="9"/>
  <c r="L7" i="9" s="1"/>
  <c r="Q271" i="17"/>
  <c r="O271" i="17"/>
  <c r="P271" i="17" s="1"/>
  <c r="Z271" i="17" l="1"/>
  <c r="G3" i="25"/>
  <c r="I7" i="9"/>
  <c r="J7" i="9" s="1"/>
  <c r="V7" i="9"/>
  <c r="R7" i="9"/>
  <c r="T7" i="9" s="1"/>
  <c r="U7" i="9" s="1"/>
  <c r="L22" i="7"/>
  <c r="G22" i="7"/>
  <c r="H22" i="7" s="1"/>
  <c r="K271" i="17"/>
  <c r="R271" i="17"/>
  <c r="W271" i="17" l="1"/>
  <c r="D8" i="9"/>
  <c r="F8" i="9" s="1"/>
  <c r="G8" i="9" s="1"/>
  <c r="K8" i="9" s="1"/>
  <c r="H3" i="25"/>
  <c r="H14" i="25" s="1"/>
  <c r="G14" i="25"/>
  <c r="W7" i="9"/>
  <c r="AB7" i="9"/>
  <c r="AC7" i="9" s="1"/>
  <c r="H8" i="9" l="1"/>
  <c r="I8" i="9" s="1"/>
  <c r="P8" i="9"/>
  <c r="J8" i="9" l="1"/>
  <c r="W8" i="9"/>
  <c r="R8" i="9"/>
  <c r="Q8" i="9"/>
  <c r="AB8" i="9"/>
  <c r="L8" i="9"/>
  <c r="V8" i="9"/>
  <c r="T8" i="9" l="1"/>
  <c r="U8" i="9" s="1"/>
  <c r="AC8"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tc={B7A4B9F8-27A0-4826-A60F-3640903DF466}</author>
    <author>tc={FF521C89-ED84-45E1-9842-9FE2BB22BD7B}</author>
  </authors>
  <commentList>
    <comment ref="K106" authorId="0" shapeId="0" xr:uid="{B7A4B9F8-27A0-4826-A60F-3640903DF46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Bezahlt: 131,25</t>
      </text>
    </comment>
    <comment ref="H125" authorId="1" shapeId="0" xr:uid="{FF521C89-ED84-45E1-9842-9FE2BB22BD7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Kunde hat R2020029 und R2020030 gemeinsam bezahlt und dabei 0,50 € netto, 0,60 € brutto zu viel überwiesen.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Autor</author>
    <author>Michael Jaros</author>
    <author>tc={25385ADA-2966-4D5A-AD01-257717B93DFE}</author>
    <author>tc={20EB3878-3CD3-4170-9206-E814920BA037}</author>
    <author>tc={3E2A49D8-5619-4D48-92A6-B25766AE5870}</author>
    <author>tc={B41A52A9-9747-4F9C-8B17-977F7EC91E2B}</author>
    <author>tc={D47ED945-4FA6-4DE9-AC3F-BFB11FCB9950}</author>
    <author>tc={4F90DD4B-4503-4C8F-8EEE-65E0E360F679}</author>
    <author>tc={FFFB47A7-3C92-4150-B363-786F98655D6F}</author>
    <author>tc={AACAD50D-78F7-4BCE-B5F5-28A8B9D2E0A0}</author>
    <author>tc={1478494B-F57F-40A2-9AA8-73F0B9659D29}</author>
    <author>tc={43E3D07B-B8A8-415F-A976-1A684C49E219}</author>
    <author>tc={79130EC4-ACDA-45B7-BA45-BAF602112DF3}</author>
    <author>tc={17D13E91-36A0-43E8-9235-87962F6BDF33}</author>
    <author>tc={2ABE2160-4AAB-4DA4-9344-E7B4CFE464C4}</author>
    <author>tc={DAADFC53-E99D-4770-AB8D-E1C2E429CD6A}</author>
    <author>tc={4BA14774-5F44-4869-B9F4-329990017643}</author>
    <author>tc={A9B49644-0C6D-479B-B440-A6738703FC49}</author>
    <author>tc={049C8580-DEE9-4A4C-A64B-92B888BA63A6}</author>
    <author>tc={3158CF0D-99E7-48B6-9876-10EF9CDC57C7}</author>
    <author>tc={A48DB83F-BBB5-43EC-A933-6664476B3AB8}</author>
    <author>tc={0DF93013-CBBB-48B7-8308-51F7FFD26012}</author>
    <author>tc={9C792607-E993-4D62-AC0E-B058B7F6CCD6}</author>
    <author>tc={1B917146-1182-44AB-9F08-9C36AEC5FD64}</author>
    <author>tc={C01EF6CA-7EE7-456B-9934-4A86C2A676DE}</author>
    <author>tc={C1467E77-C7E0-4781-9EA4-2BCFB6E877F3}</author>
    <author>tc={61380646-2FD7-47FB-9171-50E29ED2A54D}</author>
    <author>tc={77965A9D-CE75-487A-B08D-0E1E5666D7DD}</author>
    <author>tc={89AC78AF-CAFF-4756-8AD0-13B7048260FE}</author>
    <author>tc={9A51A95E-6A4E-4EBE-AB6D-0BFF5776999D}</author>
    <author>tc={917D8FD2-4C5A-4A1B-805B-5E28D1DD8823}</author>
    <author>tc={E6091324-1DAA-4027-88E4-051F8E8B69E1}</author>
    <author>tc={752C531F-5FEF-4338-B93B-777F23D935A2}</author>
    <author>tc={A639C76A-B503-454C-A63B-1F1D34347071}</author>
    <author>tc={0B707B23-0F9C-4F0C-90CD-16E2FEE7987B}</author>
    <author>tc={4ADAF93C-E6A5-4266-8DE1-60B53CCF5185}</author>
    <author>tc={C4C845D8-679C-45DC-B725-E85D10C2D617}</author>
    <author>tc={27BF703C-2016-4151-B23E-0BE49823E5B9}</author>
    <author>tc={73AA40BB-C821-42F3-BF85-45FA73D54DA8}</author>
    <author>tc={3235AC48-B73C-4A19-BA8A-F31860CB9B39}</author>
    <author>tc={30696039-BD13-46B7-9AE1-8E766A7DB3A7}</author>
    <author>tc={49B42150-984A-4797-8861-5C284A965EBC}</author>
    <author>tc={1A10E514-BE84-4590-9587-D037D8AEED5C}</author>
    <author>tc={8F79301C-5BEA-441F-9CF1-F0586601CAB8}</author>
    <author>tc={6A93D1B7-3B04-40E0-93E3-AF574B0272E8}</author>
    <author>tc={7309D2C7-20C9-45A6-9CA1-04350C2F4CB0}</author>
    <author>tc={84C48D2E-8BA8-45F6-BA51-4E664653C71F}</author>
    <author>tc={6B97939B-A66F-4699-8ADA-6B67B7198026}</author>
    <author>tc={11E9C6AE-6785-4542-8948-61F0A7B908A3}</author>
    <author>tc={B8C12E65-C708-4F4D-B15C-8E1AF945BA9E}</author>
    <author>tc={6080B42F-D6FD-463A-838A-A64C7936A48E}</author>
    <author>tc={AEAC2617-4F5D-4F15-988E-6CE5422C7EED}</author>
    <author>tc={8093CD33-C888-4CFC-B0D6-2F793325E506}</author>
    <author>tc={00366139-ABE8-4A27-9980-1367133CDA40}</author>
    <author>tc={319E707D-59EB-42A9-87A1-A4C709B37DDF}</author>
    <author>tc={E923E379-3C51-4D1B-9E5B-AADCCA656F34}</author>
    <author>tc={25264579-4F43-4C2A-A678-54C256135987}</author>
    <author>tc={876227DC-62A4-488A-B009-7D41653E3398}</author>
    <author>tc={28B3543F-5886-400C-B9A2-184078DE797C}</author>
    <author>tc={D1E2F4DF-CBFF-4958-942F-AEF187BEE4EF}</author>
    <author>tc={0208A588-FF6A-463E-96DD-FFFAD9163D44}</author>
    <author>tc={DA955C79-24CF-4DF6-99D9-50629B01326F}</author>
    <author>tc={CC829BC5-B194-4526-8CE6-E9B257947B78}</author>
    <author>tc={E6213449-C12F-4ACD-9AF3-ED9ADD8DD080}</author>
    <author>tc={929EEAFE-2691-4EAB-8A0C-7EF0631867AC}</author>
    <author>tc={AC4F9EC5-5994-4B38-BC62-F751023FB0D4}</author>
    <author>tc={44D2BF95-A919-4A9E-9B5C-441EAE717293}</author>
    <author>tc={412CE68C-0D46-4764-A980-6BEC5E2A98C8}</author>
    <author>tc={2B0F83EC-9AA9-4B78-AE2F-23D245BD5B83}</author>
    <author>tc={1FE08DE0-6C97-4567-AE36-DFA3835B9682}</author>
    <author>tc={7486D636-D589-4A43-9F62-157B8081BD99}</author>
    <author>tc={9D035762-B16E-4438-9A9F-BE8F3D534B02}</author>
    <author>tc={4625D844-481E-42B0-B243-364385616BC1}</author>
    <author>tc={D2EC5A73-EA84-4072-A6BA-4BD29C5B3C19}</author>
    <author>tc={B19E7C4C-2124-4752-8CA3-B217E6391422}</author>
    <author>tc={57C3E629-C344-4099-A10C-6ABCD5C95CD2}</author>
    <author>tc={B2453794-788C-48DC-A3C2-4613635B090C}</author>
    <author>tc={61094B34-0885-4C55-8D62-9FDB991CB8E6}</author>
    <author>tc={AD1F6E63-7DE9-44C9-A941-C42B86E9876B}</author>
    <author>tc={244478DF-044F-448A-AB22-BB5EB16DE885}</author>
    <author>tc={06773D5C-012A-4683-A7D5-6E950BD0D2B6}</author>
    <author>tc={B257496E-E7C7-47B7-8D9F-7C66B7DD14B3}</author>
    <author>tc={ADCD1BB6-9084-4E3B-8D28-E82F9269932D}</author>
    <author>tc={4EC48B81-1F71-40A8-97D4-3B74282A51CC}</author>
    <author>tc={43EEB1FA-3914-4E14-9AD2-5D7D71BA513F}</author>
    <author>tc={B719E481-B51A-4641-A4DC-864FDA5E0EC1}</author>
    <author>tc={76E53C84-91A3-494C-B809-6C00E9A143C7}</author>
    <author>tc={D7F15248-B220-4B4F-89A0-D739B0C6AB63}</author>
    <author>tc={DD30D2EE-699F-48F8-9C8A-BE4BF7016AB5}</author>
    <author>tc={95C3E553-689A-42F2-BE83-6B595ADFB217}</author>
    <author>tc={18A74498-0181-4878-89C9-654B5C78E1A9}</author>
    <author>tc={DFD78BD1-67C3-43F2-8C88-28F48BDA1A6A}</author>
    <author>tc={0CA5BCA9-23D5-4FEB-A81E-5B07FA592C46}</author>
    <author>tc={66430F29-81D3-4E9C-89D2-0B255AE0EE1C}</author>
    <author>tc={3E2AEE88-1452-4F00-A762-0C3586EC9DE2}</author>
    <author>tc={03025E90-3C3F-4B81-91CE-389325718ACD}</author>
    <author>tc={1A227796-B56D-4578-B0C8-25F6B73BD506}</author>
    <author>tc={A6AD300E-1FAC-4227-A668-1979F0DD0CF4}</author>
    <author>tc={24D2404C-7581-4613-8911-897F5986118D}</author>
    <author>tc={1D8169D5-89E4-4BFF-9A06-94F41354FD3B}</author>
    <author>tc={63C1BB48-6F42-4CE7-AB71-76ED0B753C68}</author>
    <author>tc={93D5E803-2EAC-4CB5-8972-254FB27A269C}</author>
    <author>tc={6B4E7D10-27D0-4566-AA93-98F6C30169A0}</author>
    <author>tc={A33B102F-9CF6-4696-A3A4-30EA17F84E7A}</author>
    <author>tc={5A5F04D8-55C8-4EB2-8599-1B9DF1E992F1}</author>
    <author>tc={24B0E589-5291-4D56-B1BA-211A24E73192}</author>
    <author>tc={4E474553-55A7-4368-90FD-D5AB5EF36AA0}</author>
    <author>tc={5346B95C-9003-451C-98A3-EE55018BC9A0}</author>
    <author>tc={3F0BF46C-5692-49D5-AD26-CFBADB771170}</author>
  </authors>
  <commentList>
    <comment ref="J1" authorId="0" shapeId="0" xr:uid="{EC2C9E68-C905-48B6-9326-B28CC2FD1A1B}">
      <text>
        <r>
          <rPr>
            <b/>
            <sz val="8"/>
            <color indexed="81"/>
            <rFont val="Segoe UI"/>
            <family val="2"/>
          </rPr>
          <t>Autor:</t>
        </r>
        <r>
          <rPr>
            <sz val="8"/>
            <color indexed="81"/>
            <rFont val="Segoe UI"/>
            <family val="2"/>
          </rPr>
          <t xml:space="preserve">
Rechnungsbetrag
inkl. USt.</t>
        </r>
      </text>
    </comment>
    <comment ref="K1" authorId="0" shapeId="0" xr:uid="{E758B603-8222-4FAC-9BCB-738E668298E5}">
      <text>
        <r>
          <rPr>
            <b/>
            <sz val="8"/>
            <color indexed="81"/>
            <rFont val="Segoe UI"/>
            <family val="2"/>
          </rPr>
          <t>Autor:</t>
        </r>
        <r>
          <rPr>
            <sz val="8"/>
            <color indexed="81"/>
            <rFont val="Segoe UI"/>
            <family val="2"/>
          </rPr>
          <t xml:space="preserve">
als Betriebsausgabe abzugfsähiger Anteil</t>
        </r>
      </text>
    </comment>
    <comment ref="P1" authorId="1" shapeId="0" xr:uid="{FB6FBA49-7D95-421E-A6B9-FE8473C49878}">
      <text>
        <r>
          <rPr>
            <b/>
            <sz val="8"/>
            <color indexed="81"/>
            <rFont val="Segoe UI"/>
            <family val="2"/>
          </rPr>
          <t>Michael Jaros:</t>
        </r>
        <r>
          <rPr>
            <sz val="8"/>
            <color indexed="81"/>
            <rFont val="Segoe UI"/>
            <family val="2"/>
          </rPr>
          <t xml:space="preserve">
bei teils privater Nutzung Gesamtpreis
</t>
        </r>
      </text>
    </comment>
    <comment ref="S1" authorId="1" shapeId="0" xr:uid="{2A0AE047-4153-433E-BF71-937E3D232851}">
      <text>
        <r>
          <rPr>
            <b/>
            <sz val="8"/>
            <color indexed="81"/>
            <rFont val="Segoe UI"/>
            <family val="2"/>
          </rPr>
          <t>Michael Jaros:</t>
        </r>
        <r>
          <rPr>
            <sz val="8"/>
            <color indexed="81"/>
            <rFont val="Segoe UI"/>
            <family val="2"/>
          </rPr>
          <t xml:space="preserve">
steuerfreie IG lieferung; 0% reverse charge</t>
        </r>
      </text>
    </comment>
    <comment ref="L10" authorId="2" shapeId="0" xr:uid="{25385ADA-2966-4D5A-AD01-257717B93DF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F20" authorId="3" shapeId="0" xr:uid="{20EB3878-3CD3-4170-9206-E814920BA03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Beleg fehlt</t>
      </text>
    </comment>
    <comment ref="F23" authorId="4" shapeId="0" xr:uid="{3E2A49D8-5619-4D48-92A6-B25766AE58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Zinsen / Finanzierungskosten</t>
      </text>
    </comment>
    <comment ref="F28" authorId="5" shapeId="0" xr:uid="{B41A52A9-9747-4F9C-8B17-977F7EC91E2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Vorauszahlung Beiträge Eva Jaros-Kolbitsch 2024/1-12</t>
      </text>
    </comment>
    <comment ref="B32" authorId="6" shapeId="0" xr:uid="{D47ED945-4FA6-4DE9-AC3F-BFB11FCB995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2024-031 bis 2024-048: Belegnummern in einnahmen-ausgaben-rechnung.xlsm sind korrekt, belegnummern an den PDFs waren durch duplikate falsch; Korrektur: Umbenennung der PDFs, jetzt passt wieder alles</t>
      </text>
    </comment>
    <comment ref="P34" authorId="7" shapeId="0" xr:uid="{4F90DD4B-4503-4C8F-8EEE-65E0E360F67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F36" authorId="8" shapeId="0" xr:uid="{FFFB47A7-3C92-4150-B363-786F98655D6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P47" authorId="9" shapeId="0" xr:uid="{AACAD50D-78F7-4BCE-B5F5-28A8B9D2E0A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56" authorId="10" shapeId="0" xr:uid="{1478494B-F57F-40A2-9AA8-73F0B9659D2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63" authorId="11" shapeId="0" xr:uid="{43E3D07B-B8A8-415F-A976-1A684C49E21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63" authorId="12" shapeId="0" xr:uid="{79130EC4-ACDA-45B7-BA45-BAF602112DF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F67" authorId="13" shapeId="0" xr:uid="{17D13E91-36A0-43E8-9235-87962F6BDF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N67" authorId="14" shapeId="0" xr:uid="{2ABE2160-4AAB-4DA4-9344-E7B4CFE464C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gemischter Steuersatz, siehe Abrechnung</t>
      </text>
    </comment>
    <comment ref="P67" authorId="15" shapeId="0" xr:uid="{DAADFC53-E99D-4770-AB8D-E1C2E429CD6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gemischter Steuersatz, siehe Abrechnung</t>
      </text>
    </comment>
    <comment ref="L69" authorId="16" shapeId="0" xr:uid="{4BA14774-5F44-4869-B9F4-32999001764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74" authorId="17" shapeId="0" xr:uid="{A9B49644-0C6D-479B-B440-A6738703FC4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74" authorId="18" shapeId="0" xr:uid="{049C8580-DEE9-4A4C-A64B-92B888BA63A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J79" authorId="19" shapeId="0" xr:uid="{3158CF0D-99E7-48B6-9876-10EF9CDC57C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USD 49,-</t>
      </text>
    </comment>
    <comment ref="L82" authorId="20" shapeId="0" xr:uid="{A48DB83F-BBB5-43EC-A933-6664476B3AB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90" authorId="21" shapeId="0" xr:uid="{0DF93013-CBBB-48B7-8308-51F7FFD2601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J91" authorId="22" shapeId="0" xr:uid="{9C792607-E993-4D62-AC0E-B058B7F6CCD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91" authorId="23" shapeId="0" xr:uid="{1B917146-1182-44AB-9F08-9C36AEC5FD6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99" authorId="24" shapeId="0" xr:uid="{C01EF6CA-7EE7-456B-9934-4A86C2A676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105" authorId="25" shapeId="0" xr:uid="{C1467E77-C7E0-4781-9EA4-2BCFB6E877F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105" authorId="26" shapeId="0" xr:uid="{61380646-2FD7-47FB-9171-50E29ED2A5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111" authorId="27" shapeId="0" xr:uid="{77965A9D-CE75-487A-B08D-0E1E5666D7D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F112" authorId="28" shapeId="0" xr:uid="{89AC78AF-CAFF-4756-8AD0-13B7048260F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J118" authorId="29" shapeId="0" xr:uid="{9A51A95E-6A4E-4EBE-AB6D-0BFF5776999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118" authorId="30" shapeId="0" xr:uid="{917D8FD2-4C5A-4A1B-805B-5E28D1DD882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J120" authorId="31" shapeId="0" xr:uid="{E6091324-1DAA-4027-88E4-051F8E8B69E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L129" authorId="32" shapeId="0" xr:uid="{752C531F-5FEF-4338-B93B-777F23D935A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134" authorId="33" shapeId="0" xr:uid="{A639C76A-B503-454C-A63B-1F1D3434707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134" authorId="34" shapeId="0" xr:uid="{0B707B23-0F9C-4F0C-90CD-16E2FEE7987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141" authorId="35" shapeId="0" xr:uid="{4ADAF93C-E6A5-4266-8DE1-60B53CCF518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147" authorId="36" shapeId="0" xr:uid="{C4C845D8-679C-45DC-B725-E85D10C2D61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147" authorId="37" shapeId="0" xr:uid="{27BF703C-2016-4151-B23E-0BE49823E5B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F150" authorId="38" shapeId="0" xr:uid="{73AA40BB-C821-42F3-BF85-45FA73D54DA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N150" authorId="39" shapeId="0" xr:uid="{3235AC48-B73C-4A19-BA8A-F31860CB9B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P150" authorId="40" shapeId="0" xr:uid="{30696039-BD13-46B7-9AE1-8E766A7DB3A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L156" authorId="41" shapeId="0" xr:uid="{49B42150-984A-4797-8861-5C284A965EB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158" authorId="42" shapeId="0" xr:uid="{1A10E514-BE84-4590-9587-D037D8AEED5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158" authorId="43" shapeId="0" xr:uid="{8F79301C-5BEA-441F-9CF1-F0586601CAB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166" authorId="44" shapeId="0" xr:uid="{6A93D1B7-3B04-40E0-93E3-AF574B0272E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173" authorId="45" shapeId="0" xr:uid="{7309D2C7-20C9-45A6-9CA1-04350C2F4CB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173" authorId="46" shapeId="0" xr:uid="{84C48D2E-8BA8-45F6-BA51-4E664653C71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183" authorId="47" shapeId="0" xr:uid="{6B97939B-A66F-4699-8ADA-6B67B719802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E186" authorId="48" shapeId="0" xr:uid="{11E9C6AE-6785-4542-8948-61F0A7B908A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Beleg fehlt</t>
      </text>
    </comment>
    <comment ref="J187" authorId="49" shapeId="0" xr:uid="{B8C12E65-C708-4F4D-B15C-8E1AF945BA9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187" authorId="50" shapeId="0" xr:uid="{6080B42F-D6FD-463A-838A-A64C7936A48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F188" authorId="51" shapeId="0" xr:uid="{AEAC2617-4F5D-4F15-988E-6CE5422C7EE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N188" authorId="52" shapeId="0" xr:uid="{8093CD33-C888-4CFC-B0D6-2F793325E50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P188" authorId="53" shapeId="0" xr:uid="{00366139-ABE8-4A27-9980-1367133CDA4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L195" authorId="54" shapeId="0" xr:uid="{319E707D-59EB-42A9-87A1-A4C709B37DD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198" authorId="55" shapeId="0" xr:uid="{E923E379-3C51-4D1B-9E5B-AADCCA656F3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198" authorId="56" shapeId="0" xr:uid="{25264579-4F43-4C2A-A678-54C25613598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203" authorId="57" shapeId="0" xr:uid="{876227DC-62A4-488A-B009-7D41653E339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207" authorId="58" shapeId="0" xr:uid="{28B3543F-5886-400C-B9A2-184078DE797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207" authorId="59" shapeId="0" xr:uid="{D1E2F4DF-CBFF-4958-942F-AEF187BEE4E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218" authorId="60" shapeId="0" xr:uid="{0208A588-FF6A-463E-96DD-FFFAD9163D4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223" authorId="61" shapeId="0" xr:uid="{DA955C79-24CF-4DF6-99D9-50629B01326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223" authorId="62" shapeId="0" xr:uid="{CC829BC5-B194-4526-8CE6-E9B257947B7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231" authorId="63" shapeId="0" xr:uid="{E6213449-C12F-4ACD-9AF3-ED9ADD8DD08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234" authorId="64" shapeId="0" xr:uid="{929EEAFE-2691-4EAB-8A0C-7EF0631867A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234" authorId="65" shapeId="0" xr:uid="{AC4F9EC5-5994-4B38-BC62-F751023FB0D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F235" authorId="66" shapeId="0" xr:uid="{44D2BF95-A919-4A9E-9B5C-441EAE71729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N235" authorId="67" shapeId="0" xr:uid="{412CE68C-0D46-4764-A980-6BEC5E2A98C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P235" authorId="68" shapeId="0" xr:uid="{2B0F83EC-9AA9-4B78-AE2F-23D245BD5B8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J239" authorId="69" shapeId="0" xr:uid="{1FE08DE0-6C97-4567-AE36-DFA3835B968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USD 49,-</t>
      </text>
    </comment>
    <comment ref="L241" authorId="70" shapeId="0" xr:uid="{7486D636-D589-4A43-9F62-157B8081BD9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244" authorId="71" shapeId="0" xr:uid="{9D035762-B16E-4438-9A9F-BE8F3D534B0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Beleg fehlt, Prüfe IG?</t>
      </text>
    </comment>
    <comment ref="J247" authorId="72" shapeId="0" xr:uid="{4625D844-481E-42B0-B243-364385616BC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247" authorId="73" shapeId="0" xr:uid="{D2EC5A73-EA84-4072-A6BA-4BD29C5B3C1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J250" authorId="74" shapeId="0" xr:uid="{B19E7C4C-2124-4752-8CA3-B217E639142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Beleg fehlt</t>
      </text>
    </comment>
    <comment ref="L252" authorId="75" shapeId="0" xr:uid="{57C3E629-C344-4099-A10C-6ABCD5C95CD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256" authorId="76" shapeId="0" xr:uid="{B2453794-788C-48DC-A3C2-4613635B090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Beleg fehlt</t>
      </text>
    </comment>
    <comment ref="J257" authorId="77" shapeId="0" xr:uid="{61094B34-0885-4C55-8D62-9FDB991CB8E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257" authorId="78" shapeId="0" xr:uid="{AD1F6E63-7DE9-44C9-A941-C42B86E9876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F261" authorId="79" shapeId="0" xr:uid="{244478DF-044F-448A-AB22-BB5EB16DE88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N261" authorId="80" shapeId="0" xr:uid="{06773D5C-012A-4683-A7D5-6E950BD0D2B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P261" authorId="81" shapeId="0" xr:uid="{B257496E-E7C7-47B7-8D9F-7C66B7DD14B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J269" authorId="82" shapeId="0" xr:uid="{ADCD1BB6-9084-4E3B-8D28-E82F9269932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269" authorId="83" shapeId="0" xr:uid="{4EC48B81-1F71-40A8-97D4-3B74282A51C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276" authorId="84" shapeId="0" xr:uid="{43EEB1FA-3914-4E14-9AD2-5D7D71BA513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F277" authorId="85" shapeId="0" xr:uid="{B719E481-B51A-4641-A4DC-864FDA5E0EC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Beleg fehlt</t>
      </text>
    </comment>
    <comment ref="J282" authorId="86" shapeId="0" xr:uid="{76E53C84-91A3-494C-B809-6C00E9A143C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282" authorId="87" shapeId="0" xr:uid="{D7F15248-B220-4B4F-89A0-D739B0C6AB6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289" authorId="88" shapeId="0" xr:uid="{DD30D2EE-699F-48F8-9C8A-BE4BF7016AB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292" authorId="89" shapeId="0" xr:uid="{95C3E553-689A-42F2-BE83-6B595ADFB21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292" authorId="90" shapeId="0" xr:uid="{18A74498-0181-4878-89C9-654B5C78E1A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F294" authorId="91" shapeId="0" xr:uid="{DFD78BD1-67C3-43F2-8C88-28F48BDA1A6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N294" authorId="92" shapeId="0" xr:uid="{0CA5BCA9-23D5-4FEB-A81E-5B07FA592C4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P294" authorId="93" shapeId="0" xr:uid="{66430F29-81D3-4E9C-89D2-0B255AE0EE1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L302" authorId="94" shapeId="0" xr:uid="{3E2AEE88-1452-4F00-A762-0C3586EC9DE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305" authorId="95" shapeId="0" xr:uid="{03025E90-3C3F-4B81-91CE-389325718AC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305" authorId="96" shapeId="0" xr:uid="{1A227796-B56D-4578-B0C8-25F6B73BD50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312" authorId="97" shapeId="0" xr:uid="{A6AD300E-1FAC-4227-A668-1979F0DD0CF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318" authorId="98" shapeId="0" xr:uid="{24D2404C-7581-4613-8911-897F5986118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318" authorId="99" shapeId="0" xr:uid="{1D8169D5-89E4-4BFF-9A06-94F41354F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324" authorId="100" shapeId="0" xr:uid="{63C1BB48-6F42-4CE7-AB71-76ED0B753C6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327" authorId="101" shapeId="0" xr:uid="{93D5E803-2EAC-4CB5-8972-254FB27A269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327" authorId="102" shapeId="0" xr:uid="{6B4E7D10-27D0-4566-AA93-98F6C30169A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J337" authorId="103" shapeId="0" xr:uid="{A33B102F-9CF6-4696-A3A4-30EA17F84E7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337" authorId="104" shapeId="0" xr:uid="{5A5F04D8-55C8-4EB2-8599-1B9DF1E992F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J347" authorId="105" shapeId="0" xr:uid="{24B0E589-5291-4D56-B1BA-211A24E7319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347" authorId="106" shapeId="0" xr:uid="{4E474553-55A7-4368-90FD-D5AB5EF36AA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J348" authorId="107" shapeId="0" xr:uid="{5346B95C-9003-451C-98A3-EE55018BC9A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348" authorId="108" shapeId="0" xr:uid="{3F0BF46C-5692-49D5-AD26-CFBADB7711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Michael Jaros</author>
  </authors>
  <commentList>
    <comment ref="N1" authorId="0" shapeId="0" xr:uid="{FF54E5CC-3E51-45E6-8320-3771A6C24DC3}">
      <text>
        <r>
          <rPr>
            <b/>
            <sz val="8"/>
            <color indexed="81"/>
            <rFont val="Segoe UI"/>
            <family val="2"/>
          </rPr>
          <t>Michael Jaros:</t>
        </r>
        <r>
          <rPr>
            <sz val="8"/>
            <color indexed="81"/>
            <rFont val="Segoe UI"/>
            <family val="2"/>
          </rPr>
          <t xml:space="preserve">
Gesamtbetrag der Bemessungsgrundlagen für innergemeinschaftliche Erwerbe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tc={FF6066C0-7609-4F7C-BBA1-BB0850AAC44D}</author>
    <author>tc={F21A4503-9BE0-4C17-9E89-B82305232E0D}</author>
    <author>mj</author>
    <author>Michael Jaros</author>
    <author>tc={23B5ED95-209E-4F83-ABC5-C5E037605F70}</author>
  </authors>
  <commentList>
    <comment ref="B1" authorId="0" shapeId="0" xr:uid="{FF6066C0-7609-4F7C-BBA1-BB0850AAC4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berechnet aus ReAusgang</t>
      </text>
    </comment>
    <comment ref="C1" authorId="1" shapeId="0" xr:uid="{F21A4503-9BE0-4C17-9E89-B82305232E0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berechnet aus Journal</t>
      </text>
    </comment>
    <comment ref="Y2" authorId="2" shapeId="0" xr:uid="{00000000-0006-0000-0600-000001000000}">
      <text>
        <r>
          <rPr>
            <b/>
            <sz val="9"/>
            <color indexed="81"/>
            <rFont val="Segoe UI"/>
            <family val="2"/>
          </rPr>
          <t>mj:</t>
        </r>
        <r>
          <rPr>
            <sz val="9"/>
            <color indexed="81"/>
            <rFont val="Segoe UI"/>
            <family val="2"/>
          </rPr>
          <t xml:space="preserve">
Im Kalenderjahr des Beginns einer Pflichtversicherung und im folgenden Kalenderjahr gibt es in der Krankenversicherung keine Nachbemessung anhand des Einkommensteuerbescheides, wenn in den letzten 10 Jahren keine Pflichtversicherung nach dem GSVG vorgelegen hat.
Daher wird neben dem „Monatsbeitrag in Euro“ auch der „Fixe Monatsbeitrag in Euro in einem Neuzugangsjahr“ angezeigt.
Liegen die Voraussetzungen für die fixe Beitragsgrundlage vor, dann gilt
nicht
die Anzeige in der Zeile „Monatsbeitrag in Euro“, sondern die Anzeige in der Zeile „Fixer Monatsbeitrag in Euro in einem Neuzugangsjahr“. </t>
        </r>
      </text>
    </comment>
    <comment ref="Y3" authorId="2" shapeId="0" xr:uid="{00000000-0006-0000-0600-000002000000}">
      <text>
        <r>
          <rPr>
            <b/>
            <sz val="9"/>
            <color indexed="81"/>
            <rFont val="Segoe UI"/>
            <family val="2"/>
          </rPr>
          <t>mj:</t>
        </r>
        <r>
          <rPr>
            <sz val="9"/>
            <color indexed="81"/>
            <rFont val="Segoe UI"/>
            <family val="2"/>
          </rPr>
          <t xml:space="preserve">
Im Kalenderjahr des Beginns einer Pflichtversicherung und im folgenden Kalenderjahr gibt es in der Krankenversicherung keine Nachbemessung anhand des Einkommensteuerbescheides, wenn in den letzten 10 Jahren keine Pflichtversicherung nach dem GSVG vorgelegen hat.
Daher wird neben dem „Monatsbeitrag in Euro“ auch der „Fixe Monatsbeitrag in Euro in einem Neuzugangsjahr“ angezeigt.
Liegen die Voraussetzungen für die fixe Beitragsgrundlage vor, dann gilt
nicht
die Anzeige in der Zeile „Monatsbeitrag in Euro“, sondern die Anzeige in der Zeile „Fixer Monatsbeitrag in Euro in einem Neuzugangsjahr“. </t>
        </r>
      </text>
    </comment>
    <comment ref="A6" authorId="3" shapeId="0" xr:uid="{E8A82C20-8B33-4C99-A4A7-573D41A2B862}">
      <text>
        <r>
          <rPr>
            <b/>
            <sz val="9"/>
            <color indexed="81"/>
            <rFont val="Segoe UI"/>
            <family val="2"/>
          </rPr>
          <t>Michael Jaros:</t>
        </r>
        <r>
          <rPr>
            <sz val="9"/>
            <color indexed="81"/>
            <rFont val="Segoe UI"/>
            <family val="2"/>
          </rPr>
          <t xml:space="preserve">
inkl. Foxcraft: 11681 €</t>
        </r>
      </text>
    </comment>
    <comment ref="C10" authorId="4" shapeId="0" xr:uid="{23B5ED95-209E-4F83-ABC5-C5E037605F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Umsätze Journal != Umsätze Re Ausgang</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Autor</author>
    <author>Michael Jaros</author>
    <author>tc={C17BE41B-EE50-445F-91D8-FD678F2C16C4}</author>
    <author>tc={773C0977-5D98-4615-AF51-1A9D47A0F7A0}</author>
    <author>tc={8F14DF68-3F18-44BF-985A-7C9704C3AA81}</author>
    <author>tc={CBC166E9-6425-4DCC-AB11-BF9398BAB85D}</author>
    <author>tc={63E5D637-A1FF-4DD6-8AFE-77BEC9EBB9AA}</author>
    <author>tc={B55BB635-EC09-489A-9F86-B4301E7A64E4}</author>
    <author>tc={C22F3155-6851-41B2-BA3D-AD65C0983B84}</author>
    <author>tc={4B62E413-D5C3-4E10-A620-FB02B7E4BBBF}</author>
    <author>tc={B162CE12-92A0-441F-834F-F4F26FAD7252}</author>
    <author>tc={09281BA4-845F-48B0-8D38-3F60C0DC775D}</author>
    <author>tc={86215971-47A0-4B3D-A699-7E526DF2679E}</author>
    <author>tc={4FC39057-E4CC-4519-9B2F-DBCBAF879E35}</author>
    <author>tc={5D87EE06-F433-47FF-BC9E-F32C416EC9E9}</author>
    <author>tc={C6B1727C-66EE-4CDF-BC76-BE9D93A8BCC5}</author>
    <author>tc={66F3EF5F-4F01-45A3-A9EA-822F1025B55E}</author>
    <author>tc={C8CCAEA1-E9A5-4C98-A63A-075AC8488E10}</author>
    <author>tc={7B1E46E6-86B3-484C-A722-32D8F145F791}</author>
    <author>tc={24D4614B-32CB-4C96-B6E3-8A08820AD992}</author>
    <author>tc={57B0F0B8-221D-40B3-A111-8B35CCA988F6}</author>
    <author>tc={6C7180B6-F03B-4DC0-8AAD-1FC87683E20A}</author>
    <author>tc={B330357F-DA18-4B9F-A5FA-2A75532625DB}</author>
    <author>tc={C14952B7-1F9E-4B8E-80D0-C7C7F6D0CDBE}</author>
    <author>tc={9632EF3E-D045-458B-8871-04A197AFB875}</author>
    <author>tc={84F3F9BB-31C1-426E-92C1-D59D7DE3A02D}</author>
    <author>tc={35DEF9E6-C9ED-4840-841A-27555068A845}</author>
    <author>tc={28567E00-787B-47F5-9FC3-F6182AD31CC3}</author>
    <author>tc={F77F57FA-C236-4181-AFC5-619BA64C8608}</author>
    <author>tc={1689FEDB-0912-4013-A803-8511CBE0B430}</author>
    <author>tc={72224643-BE07-4877-B954-A1497D1BB238}</author>
    <author>tc={1C47FE9F-8D4C-4AD6-92D9-0E48EC13B0E5}</author>
    <author>tc={B72AC535-ED44-42F0-AA56-CD681224F246}</author>
    <author>tc={68BAB287-FDFB-46D5-847E-BB40C80A3A4B}</author>
    <author>tc={B523C881-B09D-4C06-B2DE-74AE323F70E9}</author>
    <author>tc={E2515134-E429-4B9A-AB46-F766FFEAF861}</author>
    <author>tc={5FD63359-EEF1-446D-9827-87F72DAD58D2}</author>
    <author>tc={7809F247-5B90-4B96-BFF8-9EA796672CD7}</author>
    <author>tc={F4A54195-9D04-42E2-B34B-053B7AD29597}</author>
    <author>tc={1CB22FE2-3609-4120-B7BA-E38474219821}</author>
    <author>tc={5640BA49-41C4-4B08-AB77-863C30164BC0}</author>
    <author>tc={DED5FCFE-8983-41FE-9A91-C58100E89135}</author>
    <author>tc={88A75A50-6FD2-4824-A385-04C36D749C0E}</author>
    <author>tc={7BB5C92E-8E1D-4E7C-84D0-04E0018F609C}</author>
    <author>tc={F31C3845-D9B1-47EA-92EA-6BBCCADC80D2}</author>
    <author>tc={900A9EF5-BBBE-4BF2-A0ED-C098FA782A49}</author>
    <author>tc={B58445B6-1AE4-4740-9CF0-F7E030D59962}</author>
  </authors>
  <commentList>
    <comment ref="F1" authorId="0" shapeId="0" xr:uid="{3749CD43-3177-435F-AE66-69225C98EB46}">
      <text>
        <r>
          <rPr>
            <b/>
            <sz val="8"/>
            <color indexed="81"/>
            <rFont val="Segoe UI"/>
            <family val="2"/>
          </rPr>
          <t>Autor:</t>
        </r>
        <r>
          <rPr>
            <sz val="8"/>
            <color indexed="81"/>
            <rFont val="Segoe UI"/>
            <family val="2"/>
          </rPr>
          <t xml:space="preserve">
als Betriebsausgabe abzugfsähiger Anteil</t>
        </r>
      </text>
    </comment>
    <comment ref="R1" authorId="0" shapeId="0" xr:uid="{2C588887-D4FA-4606-9FC7-9A7DB01B5829}">
      <text>
        <r>
          <rPr>
            <b/>
            <sz val="8"/>
            <color indexed="81"/>
            <rFont val="Segoe UI"/>
            <family val="2"/>
          </rPr>
          <t>Autor:</t>
        </r>
        <r>
          <rPr>
            <sz val="8"/>
            <color indexed="81"/>
            <rFont val="Segoe UI"/>
            <family val="2"/>
          </rPr>
          <t xml:space="preserve">
Rechnungsbetrag
inkl. USt.</t>
        </r>
      </text>
    </comment>
    <comment ref="S1" authorId="0" shapeId="0" xr:uid="{DE59A622-AE62-4290-BCE2-5DC2B277EC14}">
      <text>
        <r>
          <rPr>
            <b/>
            <sz val="8"/>
            <color indexed="81"/>
            <rFont val="Segoe UI"/>
            <family val="2"/>
          </rPr>
          <t>Autor:</t>
        </r>
        <r>
          <rPr>
            <sz val="8"/>
            <color indexed="81"/>
            <rFont val="Segoe UI"/>
            <family val="2"/>
          </rPr>
          <t xml:space="preserve">
als Betriebsausgabe abzugfsähiger Anteil</t>
        </r>
      </text>
    </comment>
    <comment ref="X1" authorId="1" shapeId="0" xr:uid="{5B1F70B8-046D-4AA1-BD00-E477BDD5C224}">
      <text>
        <r>
          <rPr>
            <b/>
            <sz val="8"/>
            <color indexed="81"/>
            <rFont val="Segoe UI"/>
            <family val="2"/>
          </rPr>
          <t>Michael Jaros:</t>
        </r>
        <r>
          <rPr>
            <sz val="8"/>
            <color indexed="81"/>
            <rFont val="Segoe UI"/>
            <family val="2"/>
          </rPr>
          <t xml:space="preserve">
bei teils privater Nutzung Gesamtpreis
</t>
        </r>
      </text>
    </comment>
    <comment ref="AA1" authorId="1" shapeId="0" xr:uid="{8E215C58-E2E4-43AD-A449-0327D0E5512B}">
      <text>
        <r>
          <rPr>
            <b/>
            <sz val="8"/>
            <color indexed="81"/>
            <rFont val="Segoe UI"/>
            <family val="2"/>
          </rPr>
          <t>Michael Jaros:</t>
        </r>
        <r>
          <rPr>
            <sz val="8"/>
            <color indexed="81"/>
            <rFont val="Segoe UI"/>
            <family val="2"/>
          </rPr>
          <t xml:space="preserve">
steuerfreie IG lieferung; 0% reverse charge</t>
        </r>
      </text>
    </comment>
    <comment ref="T10" authorId="2" shapeId="0" xr:uid="{C17BE41B-EE50-445F-91D8-FD678F2C16C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N20" authorId="3" shapeId="0" xr:uid="{773C0977-5D98-4615-AF51-1A9D47A0F7A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Beleg fehlt</t>
      </text>
    </comment>
    <comment ref="N23" authorId="4" shapeId="0" xr:uid="{8F14DF68-3F18-44BF-985A-7C9704C3AA8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Zinsen / Finanzierungskosten</t>
      </text>
    </comment>
    <comment ref="N28" authorId="5" shapeId="0" xr:uid="{CBC166E9-6425-4DCC-AB11-BF9398BAB85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Vorauszahlung Beiträge Eva Jaros-Kolbitsch 2024/1-12</t>
      </text>
    </comment>
    <comment ref="X34" authorId="6" shapeId="0" xr:uid="{63E5D637-A1FF-4DD6-8AFE-77BEC9EBB9A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N36" authorId="7" shapeId="0" xr:uid="{B55BB635-EC09-489A-9F86-B4301E7A64E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X47" authorId="8" shapeId="0" xr:uid="{C22F3155-6851-41B2-BA3D-AD65C0983B8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T56" authorId="9" shapeId="0" xr:uid="{4B62E413-D5C3-4E10-A620-FB02B7E4BBB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R63" authorId="10" shapeId="0" xr:uid="{B162CE12-92A0-441F-834F-F4F26FAD725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63" authorId="11" shapeId="0" xr:uid="{09281BA4-845F-48B0-8D38-3F60C0DC775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N67" authorId="12" shapeId="0" xr:uid="{86215971-47A0-4B3D-A699-7E526DF2679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U67" authorId="13" shapeId="0" xr:uid="{4FC39057-E4CC-4519-9B2F-DBCBAF879E3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Gemischter Steuersatz, siehe Abrechnung</t>
      </text>
    </comment>
    <comment ref="V67" authorId="14" shapeId="0" xr:uid="{5D87EE06-F433-47FF-BC9E-F32C416EC9E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gemischter Steuersatz, siehe Abrechnung</t>
      </text>
    </comment>
    <comment ref="X67" authorId="15" shapeId="0" xr:uid="{C6B1727C-66EE-4CDF-BC76-BE9D93A8BCC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gemischter Steuersatz, siehe Abrechnung</t>
      </text>
    </comment>
    <comment ref="T69" authorId="16" shapeId="0" xr:uid="{66F3EF5F-4F01-45A3-A9EA-822F1025B55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R74" authorId="17" shapeId="0" xr:uid="{C8CCAEA1-E9A5-4C98-A63A-075AC8488E1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74" authorId="18" shapeId="0" xr:uid="{7B1E46E6-86B3-484C-A722-32D8F145F79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R79" authorId="19" shapeId="0" xr:uid="{24D4614B-32CB-4C96-B6E3-8A08820AD99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USD 49,-</t>
      </text>
    </comment>
    <comment ref="T82" authorId="20" shapeId="0" xr:uid="{57B0F0B8-221D-40B3-A111-8B35CCA988F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R90" authorId="21" shapeId="0" xr:uid="{6C7180B6-F03B-4DC0-8AAD-1FC87683E20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R91" authorId="22" shapeId="0" xr:uid="{B330357F-DA18-4B9F-A5FA-2A75532625D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91" authorId="23" shapeId="0" xr:uid="{C14952B7-1F9E-4B8E-80D0-C7C7F6D0CDB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T99" authorId="24" shapeId="0" xr:uid="{9632EF3E-D045-458B-8871-04A197AFB87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R105" authorId="25" shapeId="0" xr:uid="{84F3F9BB-31C1-426E-92C1-D59D7DE3A02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105" authorId="26" shapeId="0" xr:uid="{35DEF9E6-C9ED-4840-841A-27555068A84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T111" authorId="27" shapeId="0" xr:uid="{28567E00-787B-47F5-9FC3-F6182AD31CC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N112" authorId="28" shapeId="0" xr:uid="{F77F57FA-C236-4181-AFC5-619BA64C860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R118" authorId="29" shapeId="0" xr:uid="{1689FEDB-0912-4013-A803-8511CBE0B43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118" authorId="30" shapeId="0" xr:uid="{72224643-BE07-4877-B954-A1497D1BB23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R120" authorId="31" shapeId="0" xr:uid="{1C47FE9F-8D4C-4AD6-92D9-0E48EC13B0E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T129" authorId="32" shapeId="0" xr:uid="{B72AC535-ED44-42F0-AA56-CD681224F24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R134" authorId="33" shapeId="0" xr:uid="{68BAB287-FDFB-46D5-847E-BB40C80A3A4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134" authorId="34" shapeId="0" xr:uid="{B523C881-B09D-4C06-B2DE-74AE323F70E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T141" authorId="35" shapeId="0" xr:uid="{E2515134-E429-4B9A-AB46-F766FFEAF86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R147" authorId="36" shapeId="0" xr:uid="{5FD63359-EEF1-446D-9827-87F72DAD58D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147" authorId="37" shapeId="0" xr:uid="{7809F247-5B90-4B96-BFF8-9EA796672CD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N150" authorId="38" shapeId="0" xr:uid="{F4A54195-9D04-42E2-B34B-053B7AD2959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V150" authorId="39" shapeId="0" xr:uid="{1CB22FE2-3609-4120-B7BA-E3847421982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X150" authorId="40" shapeId="0" xr:uid="{5640BA49-41C4-4B08-AB77-863C30164BC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T156" authorId="41" shapeId="0" xr:uid="{DED5FCFE-8983-41FE-9A91-C58100E8913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R158" authorId="42" shapeId="0" xr:uid="{88A75A50-6FD2-4824-A385-04C36D749C0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158" authorId="43" shapeId="0" xr:uid="{7BB5C92E-8E1D-4E7C-84D0-04E0018F609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T166" authorId="44" shapeId="0" xr:uid="{F31C3845-D9B1-47EA-92EA-6BBCCADC80D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R173" authorId="45" shapeId="0" xr:uid="{900A9EF5-BBBE-4BF2-A0ED-C098FA782A4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173" authorId="46" shapeId="0" xr:uid="{B58445B6-1AE4-4740-9CF0-F7E030D5996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Michael Jaros</author>
    <author>tc={7C338E8A-7BD1-4545-AD58-7110E5CC48EF}</author>
  </authors>
  <commentList>
    <comment ref="N1" authorId="0" shapeId="0" xr:uid="{00000000-0006-0000-0500-000001000000}">
      <text>
        <r>
          <rPr>
            <b/>
            <sz val="8"/>
            <color indexed="81"/>
            <rFont val="Segoe UI"/>
            <family val="2"/>
          </rPr>
          <t>Michael Jaros:</t>
        </r>
        <r>
          <rPr>
            <sz val="8"/>
            <color indexed="81"/>
            <rFont val="Segoe UI"/>
            <family val="2"/>
          </rPr>
          <t xml:space="preserve">
Gesamtbetrag der Bemessungsgrundlagen für innergemeinschaftliche Erwerbe</t>
        </r>
      </text>
    </comment>
    <comment ref="A18" authorId="1" shapeId="0" xr:uid="{7C338E8A-7BD1-4545-AD58-7110E5CC48E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ab 2019 anderes Tabellenformat (Journal_ab_2019)</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tc={2A32960B-13A7-4C88-A872-10B08A14BA86}</author>
    <author>tc={80DE5CF2-6452-4DAE-A880-DEF5327D3324}</author>
    <author>tc={5139B916-C5A1-42B9-8B9A-FF537CA2B195}</author>
    <author>tc={36E93AB5-D165-46FF-AC09-386F21CB832C}</author>
    <author>tc={A0BA146D-BFE0-4D7B-861D-8D78520C1F9B}</author>
    <author>tc={88633872-3063-40BB-945B-CD8A70E51813}</author>
    <author>tc={785DB0AE-BE1F-4D9C-A24E-8F19E2FE5331}</author>
  </authors>
  <commentList>
    <comment ref="C1" authorId="0" shapeId="0" xr:uid="{2A32960B-13A7-4C88-A872-10B08A14BA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Versicherungspflichtige Einkünfte (vor Abzug der Absätzbeträge)</t>
      </text>
    </comment>
    <comment ref="D1" authorId="1" shapeId="0" xr:uid="{80DE5CF2-6452-4DAE-A880-DEF5327D332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Vorgeschrieben im Quartal X lt. Kontoauszug (nur für das aktuelle Jahr, ohne Berichtigungen, Nachbemessungen, Kostenanteile, ...)</t>
      </text>
    </comment>
    <comment ref="K1" authorId="2" shapeId="0" xr:uid="{5139B916-C5A1-42B9-8B9A-FF537CA2B19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endgültige monatliche Beitragsgrundlage = ( Einkünfte + vorgeschrieben ) / Monate</t>
      </text>
    </comment>
    <comment ref="I5" authorId="3" shapeId="0" xr:uid="{36E93AB5-D165-46FF-AC09-386F21CB832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26.01.2019</t>
      </text>
    </comment>
    <comment ref="I6" authorId="4" shapeId="0" xr:uid="{A0BA146D-BFE0-4D7B-861D-8D78520C1F9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26.10.2019</t>
      </text>
    </comment>
    <comment ref="I7" authorId="5" shapeId="0" xr:uid="{88633872-3063-40BB-945B-CD8A70E5181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24.4.2021</t>
      </text>
    </comment>
    <comment ref="I8" authorId="6" shapeId="0" xr:uid="{785DB0AE-BE1F-4D9C-A24E-8F19E2FE53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24.6.2021</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Michael Jaros</author>
    <author>Autor</author>
    <author>tc={14065946-B662-4C5F-B957-A1E686902DEA}</author>
    <author>tc={A69BD719-A14B-4756-88E6-4F513E303D3F}</author>
    <author>tc={03AC7D07-A30C-4DBB-8541-80DE09B5C63A}</author>
    <author>tc={F9F2122E-C88F-4A09-AC15-66A23EB108B0}</author>
    <author>tc={FD792798-A154-4371-83C7-99B57908A047}</author>
    <author>tc={96229B44-3723-442C-8E1C-1294EF707687}</author>
    <author>tc={3190480F-0174-46E7-B9AC-6B492344D0C5}</author>
    <author>tc={BD69E6B0-9839-4FFD-964B-C631B3009A70}</author>
    <author>tc={605AEC26-CFAC-4B25-9977-189A6291D45E}</author>
    <author>tc={E791DE14-BD15-4EE3-B6CC-4CCD523CBE7B}</author>
    <author>tc={897ED521-3A41-470F-9053-0AA940A24FE3}</author>
    <author>tc={BD02C625-F1C4-4200-8551-4959BACA8CAA}</author>
    <author>tc={9D09B634-3193-44AF-9D75-7532F25F9AF6}</author>
    <author>tc={54516054-E474-4CC2-9305-23CDB5B0489F}</author>
    <author>tc={8BE1422C-720A-4E7F-9D42-AF1D138474A2}</author>
    <author>tc={1A99B477-3AA9-4D76-AB41-07359AED2F8E}</author>
    <author>tc={E22F295E-268E-4210-A778-1C8478CF70DE}</author>
    <author>tc={4B7B8534-945B-4B33-8FE9-8FB542BF6001}</author>
    <author>tc={123D7C06-30E9-44DE-BFF8-D4A52907A3E2}</author>
    <author>tc={71CDC193-9ED1-4DA0-B14C-C8EAB38B9792}</author>
    <author>tc={8EAD2EF6-16D6-4711-9D29-3CEE4D7AD02A}</author>
    <author>tc={D44898C7-F8A1-4E5D-8A65-258F82C57F77}</author>
    <author>tc={5D5DAABE-227F-40E0-B00C-5002F055DFDA}</author>
    <author>tc={3D072528-7C04-471B-973A-90E8CEE36924}</author>
    <author>tc={20B49C3E-E9B3-427E-989C-2E96A384B3A7}</author>
    <author>tc={21FB791F-EDAD-4DBA-9F0A-FA58808A6574}</author>
    <author>tc={B4BD28D7-20F7-4A40-A12D-FCDD097FF27D}</author>
    <author>tc={8C53FCF8-0A8A-4AFB-B974-F23175E448D3}</author>
    <author>tc={1C8C6F2F-DBC1-41CE-9A90-CF8AA11A1B40}</author>
    <author>tc={96D98279-2D1E-4EEC-8FAB-0B362F5798F8}</author>
    <author>tc={3559F652-D672-4794-88A5-BDE265238368}</author>
    <author>tc={BB4DE87F-3F55-4807-9B9A-701845BF82DB}</author>
    <author>tc={DFC3423A-ABB9-4C10-87C9-B801594B31FB}</author>
    <author>tc={8CD93EFF-ED66-4101-829B-752064E33E2C}</author>
    <author>tc={733181B1-8E66-4D59-A670-D03C949E5CE5}</author>
    <author>tc={00C7ABE5-26F4-4362-AF3F-364988F944C9}</author>
    <author>tc={8FF4789F-05CF-412E-89D3-BD60BFDDED27}</author>
    <author>tc={48A7736B-2B62-4CC7-9045-7125C81FCB11}</author>
    <author>tc={5D4268E3-A46E-46B2-96A1-33747B8056AE}</author>
    <author>tc={BCEEA907-36E5-45B5-9742-A7073DB8214E}</author>
    <author>tc={46B2151D-B509-4765-BA83-D3D90110939F}</author>
    <author>tc={D4937267-03CB-4DE6-9929-8775A7FC31D9}</author>
    <author>tc={13DA710B-4A63-4851-9151-862DDE45185F}</author>
    <author>tc={138F8A5B-0E30-48EB-9ABC-07B6A5BA35E6}</author>
    <author>tc={F24726DF-4068-422B-9555-36C786DE2EA4}</author>
    <author>tc={630C6F4E-5CD2-4483-A8A7-6A01D646FE6A}</author>
    <author>tc={97D111D6-F961-405E-9F67-25F30A6C4795}</author>
    <author>tc={248687DA-E7CC-4FAD-9B70-CA691FEC712D}</author>
    <author>tc={1DDE6ACE-1E46-4F17-81D9-68DCCD02A5B5}</author>
    <author>tc={EF3A174E-3D8B-466A-B96A-20FFEE281CE9}</author>
    <author>tc={0CC3601F-DF1B-43EA-AB5C-629C7001D3DB}</author>
    <author>tc={75824636-3406-4909-B2BF-D1AECD0CCB87}</author>
    <author>tc={FBDE7EB4-38BB-482E-BE96-E0ECF7DC729E}</author>
    <author>tc={137BAC12-7663-4880-A493-CB55A1B9DCE1}</author>
    <author>tc={F5D52B2B-3592-49EC-9CF7-1B23D9AAB11A}</author>
    <author>tc={A4DC3C9A-17EB-4F2D-B74A-196CDF72AD1E}</author>
    <author>tc={6C4860D3-4415-43E3-B2F5-31D68EF817A3}</author>
    <author>tc={44827C6C-414A-4F1E-9735-171FCD840F0F}</author>
    <author>tc={9F5B2DCA-C061-42B1-A5AB-EC839A7E3F9F}</author>
    <author>tc={AA979325-A654-4303-949C-F78AD99A52D1}</author>
    <author>tc={7D1B58D8-6F4F-4A65-9393-CB728E5384DE}</author>
    <author>tc={D48F7A70-C233-4957-9984-A9C2E9772FC0}</author>
    <author>tc={16A4E8E4-EE0B-4531-8A5B-71858D35D82A}</author>
    <author>tc={70BB908F-FDDC-4618-8343-BA1FA8355A25}</author>
    <author>tc={4B56DDEC-CDFB-41C6-97ED-0660501ED083}</author>
    <author>tc={269C3E81-C5F2-40CB-9584-9DAD2705CD92}</author>
    <author>tc={EE6BAE1E-F4A5-44E1-911A-18B49992A93C}</author>
    <author>tc={0AEAF478-A213-4483-8E2F-389D200B03EF}</author>
    <author>tc={8A62FC80-B011-43FD-81E2-62CAD83FD9C0}</author>
    <author>tc={10BFE72A-28EC-41C9-8A84-5766FFB2E1AE}</author>
    <author>tc={4EE69B66-FC70-4E27-A033-2FACB803878C}</author>
    <author>tc={EA5B2211-B10D-4307-9549-D8D0656E2C0B}</author>
    <author>tc={BED79239-AC0A-47A8-9C20-CA923F1A0862}</author>
    <author>tc={7AB58450-C72B-4005-A8A9-A118A51B0C5F}</author>
    <author>tc={98FA17B8-3B36-4CCD-918C-BC1CDEF84DC3}</author>
    <author>tc={EA7CAD8B-B588-4684-9E7C-C12BE188359E}</author>
    <author>tc={E70DF482-C9BD-4130-99F6-FE594493DC3D}</author>
    <author>tc={AD7ABD06-D323-4603-BF1D-81F1EFB0DF48}</author>
    <author>tc={A4B33202-3EB5-41B0-BE2C-08008B914E6D}</author>
    <author>tc={2F23FB02-7433-4ED0-9828-4D75944524EB}</author>
    <author>tc={7F5508F6-78B4-4E0D-BBF4-6A72C91463E4}</author>
    <author>tc={B60EE1AB-9510-4680-BD8D-29FA0B3A397E}</author>
    <author>tc={951A0B29-9798-45FD-AF07-1FBAF61DFB75}</author>
    <author>tc={01075438-2CBD-461D-ABBD-66AE9C28148F}</author>
    <author>tc={88C2FAF6-BD6D-4533-AAA0-8C2C06D1FCC5}</author>
    <author>tc={BFB0D29E-14CF-4AFA-AECD-0E66628BBE7D}</author>
    <author>tc={06845B11-3449-45FA-9CCC-DEC0975EFA35}</author>
    <author>tc={32BBDD3A-3F17-4F83-B13D-788F8D0B128C}</author>
    <author>tc={91A30EC1-015C-4D6E-9A68-E9FB4A090D41}</author>
    <author>tc={BDB14DE4-082F-4A8E-AC28-BB3C19FA2624}</author>
    <author>tc={70459B8E-75C0-4D3E-937B-AFA70660F912}</author>
    <author>tc={7383BD14-EC03-4F49-8CD3-4584CADF1EDE}</author>
    <author>tc={12A5C43A-3793-4340-94E5-F40360AEC94D}</author>
    <author>tc={B3B37A24-1BF6-45B9-8DB9-3CC4BDEB2765}</author>
    <author>tc={EFD42100-DA61-4F0C-96AC-D5D66F58C1D6}</author>
    <author>tc={68C6FC02-361F-4704-AB4F-A719FEDDEAC7}</author>
    <author>tc={342D919F-D66B-4DF8-8EE6-A72776BFDFEC}</author>
    <author>tc={39C60537-7FD1-4A12-ACCC-7D5B46A6665E}</author>
    <author>tc={0524C6CD-2BB9-404D-9E22-A29C1E760418}</author>
    <author>tc={B1873CD8-C20E-4814-9E62-730E8F196915}</author>
    <author>tc={FF44B642-26D1-4ECD-BA5F-E6F6C73D2836}</author>
    <author>tc={E425ED52-1CC6-4069-921A-A9D3E5CB0506}</author>
    <author>tc={931C6A54-40FA-4C87-92F1-4B6687E40EA5}</author>
    <author>tc={7BE7CE30-C4E6-473A-BB62-1B131DE1FA0E}</author>
    <author>tc={2077BDCB-AAD0-45AE-B49A-B59D3D52EC39}</author>
    <author>tc={A2BA0D68-FD70-4664-8F8D-8A6B5BBDF8D2}</author>
    <author>tc={20F35640-C1C7-47FA-BD45-D999AEDCD1B1}</author>
    <author>tc={F463C75D-A049-4469-9307-292409D69450}</author>
    <author>tc={9285CCAC-95CF-4D3C-98DE-1EFD95C638C8}</author>
    <author>tc={BD605C9C-7A07-4865-8842-2F1EBA324A34}</author>
    <author>tc={48C3BC58-81B9-4762-BEC7-CB8E39D929D7}</author>
    <author>tc={87C1FE78-A24F-44FD-B5E6-6AF745297103}</author>
    <author>tc={46B0000D-D63D-4364-83FF-110BB3E2AAD8}</author>
    <author>tc={C5CEF47E-9148-442F-83BE-5B3DE6D69500}</author>
    <author>tc={E8DD0C0E-2B2A-45F3-9DBA-D81F2D83B9F1}</author>
    <author>tc={D9370094-D1E0-420B-BB60-209E3BE5C7EB}</author>
    <author>tc={8014577A-18C0-43D8-A285-EE6AB5D541A5}</author>
    <author>tc={95A0BEE9-5522-40D0-AD1C-6D3AF838E0F2}</author>
    <author>tc={7A70423C-4560-44AB-AE0D-7B815E60CAFE}</author>
    <author>tc={B2342585-B9E2-4B7F-9CBC-03E24D7F7A95}</author>
    <author>tc={8BF3B013-21A4-4E2D-96B5-0E25D34FE2FF}</author>
    <author>tc={94E26532-EDB2-4996-9E2F-D318C93968F5}</author>
    <author>tc={29A86E7B-0489-461A-AFE2-7B9B82DD05DF}</author>
    <author>tc={1AA69BDF-E8D9-442A-AA70-F3FF1B69821D}</author>
    <author>tc={265F11EC-01F2-41D7-A424-097F7641DE19}</author>
    <author>tc={D380E424-AA66-41C7-B333-3DB534004913}</author>
    <author>tc={E5F75673-3628-4827-A7C0-3A6344080A57}</author>
    <author>tc={B7B56DAA-8192-41EF-A44F-611DB1523FDA}</author>
    <author>tc={C14C7A9A-7DD2-4C0A-868F-054BB6251886}</author>
    <author>tc={96326AD1-8BE4-4B00-84E4-C8EFD0059999}</author>
    <author>tc={2F410A75-715D-4A3B-B809-9B62E11B83C0}</author>
    <author>tc={F8361FC1-05B0-4308-BD4D-2EC942FFA2B7}</author>
    <author>tc={12BF4112-F5B9-4642-AD39-4E948825D789}</author>
    <author>tc={D1F865B9-9A60-4E99-BA6C-6A8191E60D2F}</author>
    <author>tc={FFBEBED2-FBFA-4E58-9656-2FCB3B6619F8}</author>
    <author>tc={C74DA5B6-97D0-465A-9199-6D296CB57AC5}</author>
  </authors>
  <commentList>
    <comment ref="L1" authorId="0" shapeId="0" xr:uid="{9CA46629-793F-40BE-BB7F-D336485E4675}">
      <text>
        <r>
          <rPr>
            <b/>
            <sz val="8"/>
            <color indexed="81"/>
            <rFont val="Segoe UI"/>
            <family val="2"/>
          </rPr>
          <t>Michael Jaros:</t>
        </r>
        <r>
          <rPr>
            <sz val="8"/>
            <color indexed="81"/>
            <rFont val="Segoe UI"/>
            <family val="2"/>
          </rPr>
          <t xml:space="preserve">
bei teils privater Nutzung Gesamtpreis
</t>
        </r>
      </text>
    </comment>
    <comment ref="M1" authorId="0" shapeId="0" xr:uid="{4EB42824-B2AB-4E03-B670-DF0074555470}">
      <text>
        <r>
          <rPr>
            <b/>
            <sz val="8"/>
            <color indexed="81"/>
            <rFont val="Segoe UI"/>
            <family val="2"/>
          </rPr>
          <t>Michael Jaros:</t>
        </r>
        <r>
          <rPr>
            <sz val="8"/>
            <color indexed="81"/>
            <rFont val="Segoe UI"/>
            <family val="2"/>
          </rPr>
          <t xml:space="preserve">
geschäftlich genutzter Anteil, zB bei teils priv. Nutzung</t>
        </r>
      </text>
    </comment>
    <comment ref="R1" authorId="1" shapeId="0" xr:uid="{FF13DE9D-CB8E-4F7C-879A-E6D5ABD6C15B}">
      <text>
        <r>
          <rPr>
            <b/>
            <sz val="8"/>
            <color indexed="81"/>
            <rFont val="Segoe UI"/>
            <family val="2"/>
          </rPr>
          <t>Autor:</t>
        </r>
        <r>
          <rPr>
            <sz val="8"/>
            <color indexed="81"/>
            <rFont val="Segoe UI"/>
            <family val="2"/>
          </rPr>
          <t xml:space="preserve">
Rechnungsbetrag
inkl. USt.</t>
        </r>
      </text>
    </comment>
    <comment ref="S1" authorId="1" shapeId="0" xr:uid="{C4901D6D-585F-4DB7-87CB-8C44E8C058A7}">
      <text>
        <r>
          <rPr>
            <b/>
            <sz val="8"/>
            <color indexed="81"/>
            <rFont val="Segoe UI"/>
            <family val="2"/>
          </rPr>
          <t>Autor:</t>
        </r>
        <r>
          <rPr>
            <sz val="8"/>
            <color indexed="81"/>
            <rFont val="Segoe UI"/>
            <family val="2"/>
          </rPr>
          <t xml:space="preserve">
als Betriebsausgabe abzugfsähiger Anteil</t>
        </r>
      </text>
    </comment>
    <comment ref="V1" authorId="0" shapeId="0" xr:uid="{46F1DC97-0D61-446D-A598-8570717B82DB}">
      <text>
        <r>
          <rPr>
            <b/>
            <sz val="8"/>
            <color indexed="81"/>
            <rFont val="Segoe UI"/>
            <family val="2"/>
          </rPr>
          <t>Michael Jaros:</t>
        </r>
        <r>
          <rPr>
            <sz val="8"/>
            <color indexed="81"/>
            <rFont val="Segoe UI"/>
            <family val="2"/>
          </rPr>
          <t xml:space="preserve">
steuerfreie IG lieferung; 0% reverse charge</t>
        </r>
      </text>
    </comment>
    <comment ref="L6" authorId="2" shapeId="0" xr:uid="{14065946-B662-4C5F-B957-A1E686902D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L15" authorId="3" shapeId="0" xr:uid="{A69BD719-A14B-4756-88E6-4F513E303D3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L17" authorId="4" shapeId="0" xr:uid="{03AC7D07-A30C-4DBB-8541-80DE09B5C63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ohne Passbilder: (Porträt1+Porträt2)/1,2 (wegen 20%  USt inklusive)</t>
      </text>
    </comment>
    <comment ref="L31" authorId="5" shapeId="0" xr:uid="{F9F2122E-C88F-4A09-AC15-66A23EB108B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L47" authorId="6" shapeId="0" xr:uid="{FD792798-A154-4371-83C7-99B57908A04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N51" authorId="7" shapeId="0" xr:uid="{96229B44-3723-442C-8E1C-1294EF70768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Fremde USt. (DE): 19%</t>
      </text>
    </comment>
    <comment ref="L58" authorId="8" shapeId="0" xr:uid="{3190480F-0174-46E7-B9AC-6B492344D0C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L72" authorId="9" shapeId="0" xr:uid="{BD69E6B0-9839-4FFD-964B-C631B3009A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O81" authorId="10" shapeId="0" xr:uid="{605AEC26-CFAC-4B25-9977-189A6291D45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Cent-Fehler in USt auf Rechnung, as-is übernommen</t>
      </text>
    </comment>
    <comment ref="O82" authorId="11" shapeId="0" xr:uid="{E791DE14-BD15-4EE3-B6CC-4CCD523CBE7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Cent-Fehler in USt auf Rechnung, as-is übernommen</t>
      </text>
    </comment>
    <comment ref="L92" authorId="12" shapeId="0" xr:uid="{897ED521-3A41-470F-9053-0AA940A24FE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L113" authorId="13" shapeId="0" xr:uid="{BD02C625-F1C4-4200-8551-4959BACA8CA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S114" authorId="14" shapeId="0" xr:uid="{9D09B634-3193-44AF-9D75-7532F25F9AF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Betrag manuell wg Rundungsfehler</t>
      </text>
    </comment>
    <comment ref="L121" authorId="15" shapeId="0" xr:uid="{54516054-E474-4CC2-9305-23CDB5B0489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Nettobetrag durch Abzug o.g. Finanzamtsgebühr und Division durch 1,2 vom Bruttobetrag ermittelt</t>
      </text>
    </comment>
    <comment ref="L135" authorId="16" shapeId="0" xr:uid="{8BE1422C-720A-4E7F-9D42-AF1D138474A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L168" authorId="17" shapeId="0" xr:uid="{1A99B477-3AA9-4D76-AB41-07359AED2F8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L190" authorId="18" shapeId="0" xr:uid="{E22F295E-268E-4210-A778-1C8478CF70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L226" authorId="19" shapeId="0" xr:uid="{4B7B8534-945B-4B33-8FE9-8FB542BF600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E244" authorId="20" shapeId="0" xr:uid="{123D7C06-30E9-44DE-BFF8-D4A52907A3E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L248" authorId="21" shapeId="0" xr:uid="{71CDC193-9ED1-4DA0-B14C-C8EAB38B979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E249" authorId="22" shapeId="0" xr:uid="{8EAD2EF6-16D6-4711-9D29-3CEE4D7AD02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E272" authorId="23" shapeId="0" xr:uid="{D44898C7-F8A1-4E5D-8A65-258F82C57F7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279" authorId="24" shapeId="0" xr:uid="{5D5DAABE-227F-40E0-B00C-5002F055DFD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L298" authorId="25" shapeId="0" xr:uid="{3D072528-7C04-471B-973A-90E8CEE3692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E312" authorId="26" shapeId="0" xr:uid="{20B49C3E-E9B3-427E-989C-2E96A384B3A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317" authorId="27" shapeId="0" xr:uid="{21FB791F-EDAD-4DBA-9F0A-FA58808A657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321" authorId="28" shapeId="0" xr:uid="{B4BD28D7-20F7-4A40-A12D-FCDD097FF27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E340" authorId="29" shapeId="0" xr:uid="{8C53FCF8-0A8A-4AFB-B974-F23175E448D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345" authorId="30" shapeId="0" xr:uid="{1C8C6F2F-DBC1-41CE-9A90-CF8AA11A1B4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353" authorId="31" shapeId="0" xr:uid="{96D98279-2D1E-4EEC-8FAB-0B362F5798F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354" authorId="32" shapeId="0" xr:uid="{3559F652-D672-4794-88A5-BDE26523836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357" authorId="33" shapeId="0" xr:uid="{BB4DE87F-3F55-4807-9B9A-701845BF82D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E365" authorId="34" shapeId="0" xr:uid="{DFC3423A-ABB9-4C10-87C9-B801594B31F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376" authorId="35" shapeId="0" xr:uid="{8CD93EFF-ED66-4101-829B-752064E33E2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384" authorId="36" shapeId="0" xr:uid="{733181B1-8E66-4D59-A670-D03C949E5CE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E393" authorId="37" shapeId="0" xr:uid="{00C7ABE5-26F4-4362-AF3F-364988F944C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E394" authorId="38" shapeId="0" xr:uid="{8FF4789F-05CF-412E-89D3-BD60BFDDED2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397" authorId="39" shapeId="0" xr:uid="{48A7736B-2B62-4CC7-9045-7125C81FCB1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E408" authorId="40" shapeId="0" xr:uid="{5D4268E3-A46E-46B2-96A1-33747B8056A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413" authorId="41" shapeId="0" xr:uid="{BCEEA907-36E5-45B5-9742-A7073DB8214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E416" authorId="42" shapeId="0" xr:uid="{46B2151D-B509-4765-BA83-D3D90110939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L420" authorId="43" shapeId="0" xr:uid="{D4937267-03CB-4DE6-9929-8775A7FC31D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Brutto 0,6 € zu viel bezahlt</t>
      </text>
    </comment>
    <comment ref="H423" authorId="44" shapeId="0" xr:uid="{13DA710B-4A63-4851-9151-862DDE45185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ausländische USt auf der Rechnung - kein Vorsteuerabzug</t>
      </text>
    </comment>
    <comment ref="E429" authorId="45" shapeId="0" xr:uid="{138F8A5B-0E30-48EB-9ABC-07B6A5BA35E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430" authorId="46" shapeId="0" xr:uid="{F24726DF-4068-422B-9555-36C786DE2EA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E432" authorId="47" shapeId="0" xr:uid="{630C6F4E-5CD2-4483-A8A7-6A01D646FE6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O440" authorId="48" shapeId="0" xr:uid="{97D111D6-F961-405E-9F67-25F30A6C479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P440" authorId="49" shapeId="0" xr:uid="{248687DA-E7CC-4FAD-9B70-CA691FEC712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E442" authorId="50" shapeId="0" xr:uid="{1DDE6ACE-1E46-4F17-81D9-68DCCD02A5B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443" authorId="51" shapeId="0" xr:uid="{EF3A174E-3D8B-466A-B96A-20FFEE281CE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E447" authorId="52" shapeId="0" xr:uid="{0CC3601F-DF1B-43EA-AB5C-629C7001D3D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O458" authorId="53" shapeId="0" xr:uid="{75824636-3406-4909-B2BF-D1AECD0CCB8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P458" authorId="54" shapeId="0" xr:uid="{FBDE7EB4-38BB-482E-BE96-E0ECF7DC729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E460" authorId="55" shapeId="0" xr:uid="{137BAC12-7663-4880-A493-CB55A1B9DCE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461" authorId="56" shapeId="0" xr:uid="{F5D52B2B-3592-49EC-9CF7-1B23D9AAB11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E467" authorId="57" shapeId="0" xr:uid="{A4DC3C9A-17EB-4F2D-B74A-196CDF72AD1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471" authorId="58" shapeId="0" xr:uid="{6C4860D3-4415-43E3-B2F5-31D68EF817A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O472" authorId="59" shapeId="0" xr:uid="{44827C6C-414A-4F1E-9735-171FCD840F0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P472" authorId="60" shapeId="0" xr:uid="{9F5B2DCA-C061-42B1-A5AB-EC839A7E3F9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O475" authorId="61" shapeId="0" xr:uid="{AA979325-A654-4303-949C-F78AD99A52D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P475" authorId="62" shapeId="0" xr:uid="{7D1B58D8-6F4F-4A65-9393-CB728E5384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E476" authorId="63" shapeId="0" xr:uid="{D48F7A70-C233-4957-9984-A9C2E9772FC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Bankbeleg statt Rechnung</t>
      </text>
    </comment>
    <comment ref="E477" authorId="64" shapeId="0" xr:uid="{16A4E8E4-EE0B-4531-8A5B-71858D35D82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481" authorId="65" shapeId="0" xr:uid="{70BB908F-FDDC-4618-8343-BA1FA8355A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497" authorId="66" shapeId="0" xr:uid="{4B56DDEC-CDFB-41C6-97ED-0660501ED08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499" authorId="67" shapeId="0" xr:uid="{269C3E81-C5F2-40CB-9584-9DAD2705CD9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503" authorId="68" shapeId="0" xr:uid="{EE6BAE1E-F4A5-44E1-911A-18B49992A93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505" authorId="69" shapeId="0" xr:uid="{0AEAF478-A213-4483-8E2F-389D200B03E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512" authorId="70" shapeId="0" xr:uid="{8A62FC80-B011-43FD-81E2-62CAD83FD9C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516" authorId="71" shapeId="0" xr:uid="{10BFE72A-28EC-41C9-8A84-5766FFB2E1A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518" authorId="72" shapeId="0" xr:uid="{4EE69B66-FC70-4E27-A033-2FACB803878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530" authorId="73" shapeId="0" xr:uid="{EA5B2211-B10D-4307-9549-D8D0656E2C0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532" authorId="74" shapeId="0" xr:uid="{BED79239-AC0A-47A8-9C20-CA923F1A086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536" authorId="75" shapeId="0" xr:uid="{7AB58450-C72B-4005-A8A9-A118A51B0C5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538" authorId="76" shapeId="0" xr:uid="{98FA17B8-3B36-4CCD-918C-BC1CDEF84DC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RNr -1 (31.3.21): 57,49
RNr -2 (30.4.21): -3,42
------------------------
Payment 4/21:    54,07</t>
      </text>
    </comment>
    <comment ref="O540" authorId="77" shapeId="0" xr:uid="{EA7CAD8B-B588-4684-9E7C-C12BE188359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Mahnspesen sind USt befreit</t>
      </text>
    </comment>
    <comment ref="E546" authorId="78" shapeId="0" xr:uid="{E70DF482-C9BD-4130-99F6-FE594493DC3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547" authorId="79" shapeId="0" xr:uid="{AD7ABD06-D323-4603-BF1D-81F1EFB0DF4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549" authorId="80" shapeId="0" xr:uid="{A4B33202-3EB5-41B0-BE2C-08008B914E6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552" authorId="81" shapeId="0" xr:uid="{2F23FB02-7433-4ED0-9828-4D75944524E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Bankbeleg statt Rechnung</t>
      </text>
    </comment>
    <comment ref="E557" authorId="82" shapeId="0" xr:uid="{7F5508F6-78B4-4E0D-BBF4-6A72C91463E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558" authorId="83" shapeId="0" xr:uid="{B60EE1AB-9510-4680-BD8D-29FA0B3A397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561" authorId="84" shapeId="0" xr:uid="{951A0B29-9798-45FD-AF07-1FBAF61DFB7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575" authorId="85" shapeId="0" xr:uid="{01075438-2CBD-461D-ABBD-66AE9C28148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576" authorId="86" shapeId="0" xr:uid="{88C2FAF6-BD6D-4533-AAA0-8C2C06D1FCC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t>
      </text>
    </comment>
    <comment ref="E578" authorId="87" shapeId="0" xr:uid="{BFB0D29E-14CF-4AFA-AECD-0E66628BBE7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584" authorId="88" shapeId="0" xr:uid="{06845B11-3449-45FA-9CCC-DEC0975EFA3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585" authorId="89" shapeId="0" xr:uid="{32BBDD3A-3F17-4F83-B13D-788F8D0B128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Nachtragszahlung zu 21/9001/VS00472</t>
      </text>
    </comment>
    <comment ref="E589" authorId="90" shapeId="0" xr:uid="{91A30EC1-015C-4D6E-9A68-E9FB4A090D4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592" authorId="91" shapeId="0" xr:uid="{BDB14DE4-082F-4A8E-AC28-BB3C19FA262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596" authorId="92" shapeId="0" xr:uid="{70459B8E-75C0-4D3E-937B-AFA70660F91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604" authorId="93" shapeId="0" xr:uid="{7383BD14-EC03-4F49-8CD3-4584CADF1E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606" authorId="94" shapeId="0" xr:uid="{12A5C43A-3793-4340-94E5-F40360AEC9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609" authorId="95" shapeId="0" xr:uid="{B3B37A24-1BF6-45B9-8DB9-3CC4BDEB276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619" authorId="96" shapeId="0" xr:uid="{EFD42100-DA61-4F0C-96AC-D5D66F58C1D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620" authorId="97" shapeId="0" xr:uid="{68C6FC02-361F-4704-AB4F-A719FEDDEAC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621" authorId="98" shapeId="0" xr:uid="{342D919F-D66B-4DF8-8EE6-A72776BFDFE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633" authorId="99" shapeId="0" xr:uid="{39C60537-7FD1-4A12-ACCC-7D5B46A6665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Es ist nicht ganz klar, ob das die richtige Rechnung ist (Rechnungsdatum 30.9.)</t>
      </text>
    </comment>
    <comment ref="E634" authorId="100" shapeId="0" xr:uid="{0524C6CD-2BB9-404D-9E22-A29C1E76041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635" authorId="101" shapeId="0" xr:uid="{B1873CD8-C20E-4814-9E62-730E8F19691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638" authorId="102" shapeId="0" xr:uid="{FF44B642-26D1-4ECD-BA5F-E6F6C73D283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652" authorId="103" shapeId="0" xr:uid="{E425ED52-1CC6-4069-921A-A9D3E5CB050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653" authorId="104" shapeId="0" xr:uid="{931C6A54-40FA-4C87-92F1-4B6687E40EA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672" authorId="105" shapeId="0" xr:uid="{7BE7CE30-C4E6-473A-BB62-1B131DE1FA0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674" authorId="106" shapeId="0" xr:uid="{2077BDCB-AAD0-45AE-B49A-B59D3D52EC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676" authorId="107" shapeId="0" xr:uid="{A2BA0D68-FD70-4664-8F8D-8A6B5BBDF8D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679" authorId="108" shapeId="0" xr:uid="{20F35640-C1C7-47FA-BD45-D999AEDCD1B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690" authorId="109" shapeId="0" xr:uid="{F463C75D-A049-4469-9307-292409D6945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693" authorId="110" shapeId="0" xr:uid="{9285CCAC-95CF-4D3C-98DE-1EFD95C638C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694" authorId="111" shapeId="0" xr:uid="{BD605C9C-7A07-4865-8842-2F1EBA324A3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701" authorId="112" shapeId="0" xr:uid="{48C3BC58-81B9-4762-BEC7-CB8E39D929D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Rechnung nicht über vollen Betrag, siehe Mailverkehr</t>
      </text>
    </comment>
    <comment ref="E704" authorId="113" shapeId="0" xr:uid="{87C1FE78-A24F-44FD-B5E6-6AF74529710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706" authorId="114" shapeId="0" xr:uid="{46B0000D-D63D-4364-83FF-110BB3E2AAD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709" authorId="115" shapeId="0" xr:uid="{C5CEF47E-9148-442F-83BE-5B3DE6D6950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724" authorId="116" shapeId="0" xr:uid="{E8DD0C0E-2B2A-45F3-9DBA-D81F2D83B9F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725" authorId="117" shapeId="0" xr:uid="{D9370094-D1E0-420B-BB60-209E3BE5C7E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728" authorId="118" shapeId="0" xr:uid="{8014577A-18C0-43D8-A285-EE6AB5D541A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733" authorId="119" shapeId="0" xr:uid="{95A0BEE9-5522-40D0-AD1C-6D3AF838E0F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Rechnung nicht über vollen Betrag, siehe Mailverkehr</t>
      </text>
    </comment>
    <comment ref="E742" authorId="120" shapeId="0" xr:uid="{7A70423C-4560-44AB-AE0D-7B815E60CAF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743" authorId="121" shapeId="0" xr:uid="{B2342585-B9E2-4B7F-9CBC-03E24D7F7A9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744" authorId="122" shapeId="0" xr:uid="{8BF3B013-21A4-4E2D-96B5-0E25D34FE2F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747" authorId="123" shapeId="0" xr:uid="{94E26532-EDB2-4996-9E2F-D318C93968F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Google Storage</t>
      </text>
    </comment>
    <comment ref="E754" authorId="124" shapeId="0" xr:uid="{29A86E7B-0489-461A-AFE2-7B9B82DD05D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755" authorId="125" shapeId="0" xr:uid="{1AA69BDF-E8D9-442A-AA70-F3FF1B69821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757" authorId="126" shapeId="0" xr:uid="{265F11EC-01F2-41D7-A424-097F7641DE1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758" authorId="127" shapeId="0" xr:uid="{D380E424-AA66-41C7-B333-3DB53400491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761" authorId="128" shapeId="0" xr:uid="{E5F75673-3628-4827-A7C0-3A6344080A5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Google Storage</t>
      </text>
    </comment>
    <comment ref="E772" authorId="129" shapeId="0" xr:uid="{B7B56DAA-8192-41EF-A44F-611DB1523FD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774" authorId="130" shapeId="0" xr:uid="{C14C7A9A-7DD2-4C0A-868F-054BB62518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775" authorId="131" shapeId="0" xr:uid="{96326AD1-8BE4-4B00-84E4-C8EFD005999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788" authorId="132" shapeId="0" xr:uid="{2F410A75-715D-4A3B-B809-9B62E11B83C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801" authorId="133" shapeId="0" xr:uid="{F8361FC1-05B0-4308-BD4D-2EC942FFA2B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820" authorId="134" shapeId="0" xr:uid="{12BF4112-F5B9-4642-AD39-4E948825D78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841" authorId="135" shapeId="0" xr:uid="{D1F865B9-9A60-4E99-BA6C-6A8191E60D2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856" authorId="136" shapeId="0" xr:uid="{FFBEBED2-FBFA-4E58-9656-2FCB3B6619F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L977" authorId="137" shapeId="0" xr:uid="{C74DA5B6-97D0-465A-9199-6D296CB57AC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Normalerweise immer ohne Steuer- Beleg prüfen</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Michael Jaros</author>
    <author>Autor</author>
    <author>mj</author>
  </authors>
  <commentList>
    <comment ref="O1" authorId="0" shapeId="0" xr:uid="{00000000-0006-0000-0200-000001000000}">
      <text>
        <r>
          <rPr>
            <b/>
            <sz val="8"/>
            <color indexed="81"/>
            <rFont val="Segoe UI"/>
            <family val="2"/>
          </rPr>
          <t>Michael Jaros:</t>
        </r>
        <r>
          <rPr>
            <sz val="8"/>
            <color indexed="81"/>
            <rFont val="Segoe UI"/>
            <family val="2"/>
          </rPr>
          <t xml:space="preserve">
bei teils privater Nutzung Gesamtpreis
</t>
        </r>
      </text>
    </comment>
    <comment ref="P1" authorId="0" shapeId="0" xr:uid="{00000000-0006-0000-0200-000002000000}">
      <text>
        <r>
          <rPr>
            <b/>
            <sz val="8"/>
            <color indexed="81"/>
            <rFont val="Segoe UI"/>
            <family val="2"/>
          </rPr>
          <t>Michael Jaros:</t>
        </r>
        <r>
          <rPr>
            <sz val="8"/>
            <color indexed="81"/>
            <rFont val="Segoe UI"/>
            <family val="2"/>
          </rPr>
          <t xml:space="preserve">
geschäftlich genutzter Anteil, zB bei teils priv. Nutzung</t>
        </r>
      </text>
    </comment>
    <comment ref="U1" authorId="1" shapeId="0" xr:uid="{00000000-0006-0000-0200-000003000000}">
      <text>
        <r>
          <rPr>
            <b/>
            <sz val="8"/>
            <color indexed="81"/>
            <rFont val="Segoe UI"/>
            <family val="2"/>
          </rPr>
          <t>Autor:</t>
        </r>
        <r>
          <rPr>
            <sz val="8"/>
            <color indexed="81"/>
            <rFont val="Segoe UI"/>
            <family val="2"/>
          </rPr>
          <t xml:space="preserve">
Rechnungsbetrag
inkl. USt.</t>
        </r>
      </text>
    </comment>
    <comment ref="V1" authorId="1" shapeId="0" xr:uid="{00000000-0006-0000-0200-000004000000}">
      <text>
        <r>
          <rPr>
            <b/>
            <sz val="8"/>
            <color indexed="81"/>
            <rFont val="Segoe UI"/>
            <family val="2"/>
          </rPr>
          <t>Autor:</t>
        </r>
        <r>
          <rPr>
            <sz val="8"/>
            <color indexed="81"/>
            <rFont val="Segoe UI"/>
            <family val="2"/>
          </rPr>
          <t xml:space="preserve">
als Betriebsausgabe abzugfsähiger Anteil</t>
        </r>
      </text>
    </comment>
    <comment ref="Y1" authorId="0" shapeId="0" xr:uid="{00000000-0006-0000-0200-000005000000}">
      <text>
        <r>
          <rPr>
            <b/>
            <sz val="8"/>
            <color indexed="81"/>
            <rFont val="Segoe UI"/>
            <family val="2"/>
          </rPr>
          <t>Michael Jaros:</t>
        </r>
        <r>
          <rPr>
            <sz val="8"/>
            <color indexed="81"/>
            <rFont val="Segoe UI"/>
            <family val="2"/>
          </rPr>
          <t xml:space="preserve">
steuerfreie IG lieferung; 0% reverse charge</t>
        </r>
      </text>
    </comment>
    <comment ref="AA1" authorId="0" shapeId="0" xr:uid="{00000000-0006-0000-0200-000006000000}">
      <text>
        <r>
          <rPr>
            <b/>
            <sz val="8"/>
            <color indexed="81"/>
            <rFont val="Segoe UI"/>
            <family val="2"/>
          </rPr>
          <t>Michael Jaros:</t>
        </r>
        <r>
          <rPr>
            <sz val="8"/>
            <color indexed="81"/>
            <rFont val="Segoe UI"/>
            <family val="2"/>
          </rPr>
          <t xml:space="preserve">
in Ö zu entrichtende Vorsteuer (auf dem Papier, da Vorsteuer-abzugsberechtigt)</t>
        </r>
      </text>
    </comment>
    <comment ref="U25" authorId="0" shapeId="0" xr:uid="{00000000-0006-0000-0200-000007000000}">
      <text>
        <r>
          <rPr>
            <b/>
            <sz val="8"/>
            <color indexed="81"/>
            <rFont val="Segoe UI"/>
            <family val="2"/>
          </rPr>
          <t>Michael Jaros:</t>
        </r>
        <r>
          <rPr>
            <sz val="8"/>
            <color indexed="81"/>
            <rFont val="Segoe UI"/>
            <family val="2"/>
          </rPr>
          <t xml:space="preserve">
manuell
</t>
        </r>
      </text>
    </comment>
    <comment ref="V25" authorId="0" shapeId="0" xr:uid="{00000000-0006-0000-0200-000008000000}">
      <text>
        <r>
          <rPr>
            <b/>
            <sz val="8"/>
            <color indexed="81"/>
            <rFont val="Segoe UI"/>
            <family val="2"/>
          </rPr>
          <t>Michael Jaros:</t>
        </r>
        <r>
          <rPr>
            <sz val="8"/>
            <color indexed="81"/>
            <rFont val="Segoe UI"/>
            <family val="2"/>
          </rPr>
          <t xml:space="preserve">
manuell
</t>
        </r>
      </text>
    </comment>
    <comment ref="T28" authorId="0" shapeId="0" xr:uid="{00000000-0006-0000-0200-000009000000}">
      <text>
        <r>
          <rPr>
            <b/>
            <sz val="8"/>
            <color indexed="81"/>
            <rFont val="Segoe UI"/>
            <family val="2"/>
          </rPr>
          <t>Michael Jaros:</t>
        </r>
        <r>
          <rPr>
            <sz val="8"/>
            <color indexed="81"/>
            <rFont val="Segoe UI"/>
            <family val="2"/>
          </rPr>
          <t xml:space="preserve">
manuell - Rundungsfehler auf Rechnung?
</t>
        </r>
      </text>
    </comment>
    <comment ref="Q30" authorId="0" shapeId="0" xr:uid="{00000000-0006-0000-0200-00000A000000}">
      <text>
        <r>
          <rPr>
            <b/>
            <sz val="8"/>
            <color indexed="81"/>
            <rFont val="Segoe UI"/>
            <family val="2"/>
          </rPr>
          <t>Michael Jaros:</t>
        </r>
        <r>
          <rPr>
            <sz val="8"/>
            <color indexed="81"/>
            <rFont val="Segoe UI"/>
            <family val="2"/>
          </rPr>
          <t xml:space="preserve">
manuell</t>
        </r>
      </text>
    </comment>
    <comment ref="R30" authorId="0" shapeId="0" xr:uid="{00000000-0006-0000-0200-00000B000000}">
      <text>
        <r>
          <rPr>
            <b/>
            <sz val="8"/>
            <color indexed="81"/>
            <rFont val="Segoe UI"/>
            <family val="2"/>
          </rPr>
          <t>Michael Jaros:</t>
        </r>
        <r>
          <rPr>
            <sz val="8"/>
            <color indexed="81"/>
            <rFont val="Segoe UI"/>
            <family val="2"/>
          </rPr>
          <t xml:space="preserve">
manuell</t>
        </r>
      </text>
    </comment>
    <comment ref="U33" authorId="0" shapeId="0" xr:uid="{00000000-0006-0000-0200-00000C000000}">
      <text>
        <r>
          <rPr>
            <b/>
            <sz val="8"/>
            <color indexed="81"/>
            <rFont val="Segoe UI"/>
            <family val="2"/>
          </rPr>
          <t>Michael Jaros:</t>
        </r>
        <r>
          <rPr>
            <sz val="8"/>
            <color indexed="81"/>
            <rFont val="Segoe UI"/>
            <family val="2"/>
          </rPr>
          <t xml:space="preserve">
manuell</t>
        </r>
      </text>
    </comment>
    <comment ref="V33" authorId="0" shapeId="0" xr:uid="{00000000-0006-0000-0200-00000D000000}">
      <text>
        <r>
          <rPr>
            <b/>
            <sz val="8"/>
            <color indexed="81"/>
            <rFont val="Segoe UI"/>
            <family val="2"/>
          </rPr>
          <t>Michael Jaros:</t>
        </r>
        <r>
          <rPr>
            <sz val="8"/>
            <color indexed="81"/>
            <rFont val="Segoe UI"/>
            <family val="2"/>
          </rPr>
          <t xml:space="preserve">
manuell</t>
        </r>
      </text>
    </comment>
    <comment ref="D42" authorId="0" shapeId="0" xr:uid="{00000000-0006-0000-0200-00000E000000}">
      <text>
        <r>
          <rPr>
            <b/>
            <sz val="8"/>
            <color indexed="81"/>
            <rFont val="Segoe UI"/>
            <family val="2"/>
          </rPr>
          <t>Michael Jaros:</t>
        </r>
        <r>
          <rPr>
            <sz val="8"/>
            <color indexed="81"/>
            <rFont val="Segoe UI"/>
            <family val="2"/>
          </rPr>
          <t xml:space="preserve">
ab diesem Teilzahlungbetrag erst 2016 abgerechnet</t>
        </r>
      </text>
    </comment>
    <comment ref="R61" authorId="0" shapeId="0" xr:uid="{00000000-0006-0000-0200-00000F000000}">
      <text>
        <r>
          <rPr>
            <b/>
            <sz val="8"/>
            <color indexed="81"/>
            <rFont val="Segoe UI"/>
            <family val="2"/>
          </rPr>
          <t>Michael Jaros:</t>
        </r>
        <r>
          <rPr>
            <sz val="8"/>
            <color indexed="81"/>
            <rFont val="Segoe UI"/>
            <family val="2"/>
          </rPr>
          <t xml:space="preserve">
Betrag manuell
</t>
        </r>
      </text>
    </comment>
    <comment ref="T61" authorId="0" shapeId="0" xr:uid="{00000000-0006-0000-0200-000010000000}">
      <text>
        <r>
          <rPr>
            <b/>
            <sz val="8"/>
            <color indexed="81"/>
            <rFont val="Segoe UI"/>
            <family val="2"/>
          </rPr>
          <t>Michael Jaros:</t>
        </r>
        <r>
          <rPr>
            <sz val="8"/>
            <color indexed="81"/>
            <rFont val="Segoe UI"/>
            <family val="2"/>
          </rPr>
          <t xml:space="preserve">
manuell - Rundungsfehler auf Rechnung?
</t>
        </r>
      </text>
    </comment>
    <comment ref="D73" authorId="0" shapeId="0" xr:uid="{00000000-0006-0000-0200-000011000000}">
      <text>
        <r>
          <rPr>
            <b/>
            <sz val="8"/>
            <color indexed="81"/>
            <rFont val="Segoe UI"/>
            <family val="2"/>
          </rPr>
          <t>Michael Jaros:</t>
        </r>
        <r>
          <rPr>
            <sz val="8"/>
            <color indexed="81"/>
            <rFont val="Segoe UI"/>
            <family val="2"/>
          </rPr>
          <t xml:space="preserve">
ab diesem Teilzahlungbetrag erst 2016 abgerechnet</t>
        </r>
      </text>
    </comment>
    <comment ref="R91" authorId="0" shapeId="0" xr:uid="{00000000-0006-0000-0200-000012000000}">
      <text>
        <r>
          <rPr>
            <b/>
            <sz val="8"/>
            <color indexed="81"/>
            <rFont val="Segoe UI"/>
            <family val="2"/>
          </rPr>
          <t>Michael Jaros:</t>
        </r>
        <r>
          <rPr>
            <sz val="8"/>
            <color indexed="81"/>
            <rFont val="Segoe UI"/>
            <family val="2"/>
          </rPr>
          <t xml:space="preserve">
Betrag manuell</t>
        </r>
      </text>
    </comment>
    <comment ref="R93" authorId="0" shapeId="0" xr:uid="{00000000-0006-0000-0200-000013000000}">
      <text>
        <r>
          <rPr>
            <b/>
            <sz val="8"/>
            <color indexed="81"/>
            <rFont val="Segoe UI"/>
            <family val="2"/>
          </rPr>
          <t>Michael Jaros:</t>
        </r>
        <r>
          <rPr>
            <sz val="8"/>
            <color indexed="81"/>
            <rFont val="Segoe UI"/>
            <family val="2"/>
          </rPr>
          <t xml:space="preserve">
Betrag manuell
</t>
        </r>
      </text>
    </comment>
    <comment ref="T93" authorId="0" shapeId="0" xr:uid="{00000000-0006-0000-0200-000014000000}">
      <text>
        <r>
          <rPr>
            <b/>
            <sz val="8"/>
            <color indexed="81"/>
            <rFont val="Segoe UI"/>
            <family val="2"/>
          </rPr>
          <t>Michael Jaros:</t>
        </r>
        <r>
          <rPr>
            <sz val="8"/>
            <color indexed="81"/>
            <rFont val="Segoe UI"/>
            <family val="2"/>
          </rPr>
          <t xml:space="preserve">
manuell - Rundungsfehler auf Rechnung?
</t>
        </r>
      </text>
    </comment>
    <comment ref="R95" authorId="0" shapeId="0" xr:uid="{00000000-0006-0000-0200-000015000000}">
      <text>
        <r>
          <rPr>
            <b/>
            <sz val="8"/>
            <color indexed="81"/>
            <rFont val="Segoe UI"/>
            <family val="2"/>
          </rPr>
          <t>Michael Jaros:</t>
        </r>
        <r>
          <rPr>
            <sz val="8"/>
            <color indexed="81"/>
            <rFont val="Segoe UI"/>
            <family val="2"/>
          </rPr>
          <t xml:space="preserve">
Betrag manuell</t>
        </r>
      </text>
    </comment>
    <comment ref="A100" authorId="2" shapeId="0" xr:uid="{00000000-0006-0000-0200-000016000000}">
      <text>
        <r>
          <rPr>
            <b/>
            <sz val="9"/>
            <color indexed="81"/>
            <rFont val="Segoe UI"/>
            <family val="2"/>
          </rPr>
          <t>mj:</t>
        </r>
        <r>
          <rPr>
            <sz val="9"/>
            <color indexed="81"/>
            <rFont val="Segoe UI"/>
            <family val="2"/>
          </rPr>
          <t xml:space="preserve">
Zahlung war: 62,80, Rechnung sagt 63,00;
</t>
        </r>
      </text>
    </comment>
    <comment ref="R110" authorId="0" shapeId="0" xr:uid="{00000000-0006-0000-0200-000017000000}">
      <text>
        <r>
          <rPr>
            <b/>
            <sz val="8"/>
            <color indexed="81"/>
            <rFont val="Segoe UI"/>
            <family val="2"/>
          </rPr>
          <t>Michael Jaros:</t>
        </r>
        <r>
          <rPr>
            <sz val="8"/>
            <color indexed="81"/>
            <rFont val="Segoe UI"/>
            <family val="2"/>
          </rPr>
          <t xml:space="preserve">
Betrag manuell</t>
        </r>
      </text>
    </comment>
    <comment ref="A122" authorId="2" shapeId="0" xr:uid="{00000000-0006-0000-0200-000018000000}">
      <text>
        <r>
          <rPr>
            <b/>
            <sz val="9"/>
            <color indexed="81"/>
            <rFont val="Segoe UI"/>
            <family val="2"/>
          </rPr>
          <t>mj:</t>
        </r>
        <r>
          <rPr>
            <sz val="9"/>
            <color indexed="81"/>
            <rFont val="Segoe UI"/>
            <family val="2"/>
          </rPr>
          <t xml:space="preserve">
Nacherfassung am 23.6.
</t>
        </r>
      </text>
    </comment>
    <comment ref="P122" authorId="2" shapeId="0" xr:uid="{00000000-0006-0000-0200-000019000000}">
      <text>
        <r>
          <rPr>
            <b/>
            <sz val="9"/>
            <color indexed="81"/>
            <rFont val="Segoe UI"/>
            <family val="2"/>
          </rPr>
          <t>mj:</t>
        </r>
        <r>
          <rPr>
            <sz val="9"/>
            <color indexed="81"/>
            <rFont val="Segoe UI"/>
            <family val="2"/>
          </rPr>
          <t xml:space="preserve">
Anteil 1 stimmt nicht, oder?</t>
        </r>
      </text>
    </comment>
    <comment ref="A123" authorId="2" shapeId="0" xr:uid="{00000000-0006-0000-0200-00001A000000}">
      <text>
        <r>
          <rPr>
            <b/>
            <sz val="9"/>
            <color indexed="81"/>
            <rFont val="Segoe UI"/>
            <family val="2"/>
          </rPr>
          <t>mj:</t>
        </r>
        <r>
          <rPr>
            <sz val="9"/>
            <color indexed="81"/>
            <rFont val="Segoe UI"/>
            <family val="2"/>
          </rPr>
          <t xml:space="preserve">
Nacherfassung am 23.6.</t>
        </r>
      </text>
    </comment>
    <comment ref="U123" authorId="2" shapeId="0" xr:uid="{00000000-0006-0000-0200-00001B000000}">
      <text>
        <r>
          <rPr>
            <b/>
            <sz val="9"/>
            <color indexed="81"/>
            <rFont val="Segoe UI"/>
            <family val="2"/>
          </rPr>
          <t>mj:</t>
        </r>
        <r>
          <rPr>
            <sz val="9"/>
            <color indexed="81"/>
            <rFont val="Segoe UI"/>
            <family val="2"/>
          </rPr>
          <t xml:space="preserve">
Betrag manuell</t>
        </r>
      </text>
    </comment>
    <comment ref="A124" authorId="2" shapeId="0" xr:uid="{00000000-0006-0000-0200-00001C000000}">
      <text>
        <r>
          <rPr>
            <b/>
            <sz val="9"/>
            <color indexed="81"/>
            <rFont val="Segoe UI"/>
            <family val="2"/>
          </rPr>
          <t>mj:</t>
        </r>
        <r>
          <rPr>
            <sz val="9"/>
            <color indexed="81"/>
            <rFont val="Segoe UI"/>
            <family val="2"/>
          </rPr>
          <t xml:space="preserve">
Nacherfassung am 23.6.</t>
        </r>
      </text>
    </comment>
    <comment ref="A125" authorId="2" shapeId="0" xr:uid="{00000000-0006-0000-0200-00001D000000}">
      <text>
        <r>
          <rPr>
            <b/>
            <sz val="9"/>
            <color indexed="81"/>
            <rFont val="Segoe UI"/>
            <family val="2"/>
          </rPr>
          <t>mj:</t>
        </r>
        <r>
          <rPr>
            <sz val="9"/>
            <color indexed="81"/>
            <rFont val="Segoe UI"/>
            <family val="2"/>
          </rPr>
          <t xml:space="preserve">
Nacherfassung am 23.6.</t>
        </r>
      </text>
    </comment>
    <comment ref="A126" authorId="2" shapeId="0" xr:uid="{00000000-0006-0000-0200-00001E000000}">
      <text>
        <r>
          <rPr>
            <b/>
            <sz val="9"/>
            <color indexed="81"/>
            <rFont val="Segoe UI"/>
            <family val="2"/>
          </rPr>
          <t>mj:</t>
        </r>
        <r>
          <rPr>
            <sz val="9"/>
            <color indexed="81"/>
            <rFont val="Segoe UI"/>
            <family val="2"/>
          </rPr>
          <t xml:space="preserve">
Nacherfassung am 23.6.</t>
        </r>
      </text>
    </comment>
    <comment ref="A127" authorId="2" shapeId="0" xr:uid="{00000000-0006-0000-0200-00001F000000}">
      <text>
        <r>
          <rPr>
            <b/>
            <sz val="9"/>
            <color indexed="81"/>
            <rFont val="Segoe UI"/>
            <family val="2"/>
          </rPr>
          <t>mj:</t>
        </r>
        <r>
          <rPr>
            <sz val="9"/>
            <color indexed="81"/>
            <rFont val="Segoe UI"/>
            <family val="2"/>
          </rPr>
          <t xml:space="preserve">
Nacherfassung am 23.6.</t>
        </r>
      </text>
    </comment>
    <comment ref="A128" authorId="2" shapeId="0" xr:uid="{00000000-0006-0000-0200-000020000000}">
      <text>
        <r>
          <rPr>
            <b/>
            <sz val="9"/>
            <color indexed="81"/>
            <rFont val="Segoe UI"/>
            <family val="2"/>
          </rPr>
          <t>mj:</t>
        </r>
        <r>
          <rPr>
            <sz val="9"/>
            <color indexed="81"/>
            <rFont val="Segoe UI"/>
            <family val="2"/>
          </rPr>
          <t xml:space="preserve">
Nacherfassung am 23.6.</t>
        </r>
      </text>
    </comment>
    <comment ref="A129" authorId="2" shapeId="0" xr:uid="{00000000-0006-0000-0200-000021000000}">
      <text>
        <r>
          <rPr>
            <b/>
            <sz val="9"/>
            <color indexed="81"/>
            <rFont val="Segoe UI"/>
            <family val="2"/>
          </rPr>
          <t>mj:</t>
        </r>
        <r>
          <rPr>
            <sz val="9"/>
            <color indexed="81"/>
            <rFont val="Segoe UI"/>
            <family val="2"/>
          </rPr>
          <t xml:space="preserve">
Nacherfassung am 23.6.</t>
        </r>
      </text>
    </comment>
    <comment ref="A130" authorId="2" shapeId="0" xr:uid="{00000000-0006-0000-0200-000022000000}">
      <text>
        <r>
          <rPr>
            <b/>
            <sz val="9"/>
            <color indexed="81"/>
            <rFont val="Segoe UI"/>
            <family val="2"/>
          </rPr>
          <t>mj:</t>
        </r>
        <r>
          <rPr>
            <sz val="9"/>
            <color indexed="81"/>
            <rFont val="Segoe UI"/>
            <family val="2"/>
          </rPr>
          <t xml:space="preserve">
Nacherfassung am 23.6.</t>
        </r>
      </text>
    </comment>
    <comment ref="R134" authorId="2" shapeId="0" xr:uid="{00000000-0006-0000-0200-000023000000}">
      <text>
        <r>
          <rPr>
            <b/>
            <sz val="9"/>
            <color indexed="81"/>
            <rFont val="Segoe UI"/>
            <family val="2"/>
          </rPr>
          <t>mj:</t>
        </r>
        <r>
          <rPr>
            <sz val="9"/>
            <color indexed="81"/>
            <rFont val="Segoe UI"/>
            <family val="2"/>
          </rPr>
          <t xml:space="preserve">
Betrag manuell</t>
        </r>
      </text>
    </comment>
    <comment ref="R166" authorId="0" shapeId="0" xr:uid="{00000000-0006-0000-0200-000024000000}">
      <text>
        <r>
          <rPr>
            <b/>
            <sz val="8"/>
            <color indexed="81"/>
            <rFont val="Segoe UI"/>
            <family val="2"/>
          </rPr>
          <t>Michael Jaros:</t>
        </r>
        <r>
          <rPr>
            <sz val="8"/>
            <color indexed="81"/>
            <rFont val="Segoe UI"/>
            <family val="2"/>
          </rPr>
          <t xml:space="preserve">
Betrag manuell
</t>
        </r>
      </text>
    </comment>
    <comment ref="T166" authorId="0" shapeId="0" xr:uid="{00000000-0006-0000-0200-000025000000}">
      <text>
        <r>
          <rPr>
            <b/>
            <sz val="8"/>
            <color indexed="81"/>
            <rFont val="Segoe UI"/>
            <family val="2"/>
          </rPr>
          <t>Michael Jaros:</t>
        </r>
        <r>
          <rPr>
            <sz val="8"/>
            <color indexed="81"/>
            <rFont val="Segoe UI"/>
            <family val="2"/>
          </rPr>
          <t xml:space="preserve">
manuell - Rundungsfehler auf Rechnung?
</t>
        </r>
      </text>
    </comment>
    <comment ref="U174" authorId="2" shapeId="0" xr:uid="{00000000-0006-0000-0200-000026000000}">
      <text>
        <r>
          <rPr>
            <b/>
            <sz val="9"/>
            <color indexed="81"/>
            <rFont val="Segoe UI"/>
            <family val="2"/>
          </rPr>
          <t>mj:</t>
        </r>
        <r>
          <rPr>
            <sz val="9"/>
            <color indexed="81"/>
            <rFont val="Segoe UI"/>
            <family val="2"/>
          </rPr>
          <t xml:space="preserve">
Betrag manuell (Rundungsfehler)</t>
        </r>
      </text>
    </comment>
    <comment ref="V174" authorId="2" shapeId="0" xr:uid="{00000000-0006-0000-0200-000027000000}">
      <text>
        <r>
          <rPr>
            <b/>
            <sz val="9"/>
            <color indexed="81"/>
            <rFont val="Segoe UI"/>
            <family val="2"/>
          </rPr>
          <t>mj:</t>
        </r>
        <r>
          <rPr>
            <sz val="9"/>
            <color indexed="81"/>
            <rFont val="Segoe UI"/>
            <family val="2"/>
          </rPr>
          <t xml:space="preserve">
Betrag manuell (Rundungsfehler)</t>
        </r>
      </text>
    </comment>
    <comment ref="R176" authorId="0" shapeId="0" xr:uid="{00000000-0006-0000-0200-000028000000}">
      <text>
        <r>
          <rPr>
            <b/>
            <sz val="8"/>
            <color indexed="81"/>
            <rFont val="Segoe UI"/>
            <family val="2"/>
          </rPr>
          <t>Michael Jaros:</t>
        </r>
        <r>
          <rPr>
            <sz val="8"/>
            <color indexed="81"/>
            <rFont val="Segoe UI"/>
            <family val="2"/>
          </rPr>
          <t xml:space="preserve">
Betrag manuell
</t>
        </r>
      </text>
    </comment>
    <comment ref="T176" authorId="0" shapeId="0" xr:uid="{00000000-0006-0000-0200-000029000000}">
      <text>
        <r>
          <rPr>
            <b/>
            <sz val="8"/>
            <color indexed="81"/>
            <rFont val="Segoe UI"/>
            <family val="2"/>
          </rPr>
          <t>Michael Jaros:</t>
        </r>
        <r>
          <rPr>
            <sz val="8"/>
            <color indexed="81"/>
            <rFont val="Segoe UI"/>
            <family val="2"/>
          </rPr>
          <t xml:space="preserve">
manuell - Rundungsfehler auf Rechnung?
</t>
        </r>
      </text>
    </comment>
    <comment ref="P195" authorId="2" shapeId="0" xr:uid="{00000000-0006-0000-0200-00002A000000}">
      <text>
        <r>
          <rPr>
            <b/>
            <sz val="9"/>
            <color indexed="81"/>
            <rFont val="Segoe UI"/>
            <family val="2"/>
          </rPr>
          <t>mj:</t>
        </r>
        <r>
          <rPr>
            <sz val="9"/>
            <color indexed="81"/>
            <rFont val="Segoe UI"/>
            <family val="2"/>
          </rPr>
          <t xml:space="preserve">
Anteil 1 stimmt nicht, oder?</t>
        </r>
      </text>
    </comment>
    <comment ref="R199" authorId="2" shapeId="0" xr:uid="{00000000-0006-0000-0200-00002B000000}">
      <text>
        <r>
          <rPr>
            <b/>
            <sz val="9"/>
            <color indexed="81"/>
            <rFont val="Segoe UI"/>
            <family val="2"/>
          </rPr>
          <t>mj:</t>
        </r>
        <r>
          <rPr>
            <sz val="9"/>
            <color indexed="81"/>
            <rFont val="Segoe UI"/>
            <family val="2"/>
          </rPr>
          <t xml:space="preserve">
Betrag manuell</t>
        </r>
      </text>
    </comment>
    <comment ref="J276" authorId="0" shapeId="0" xr:uid="{52C50F24-9FC8-4DB7-AAA9-8F8B9162500E}">
      <text>
        <r>
          <rPr>
            <b/>
            <sz val="8"/>
            <color indexed="81"/>
            <rFont val="Segoe UI"/>
            <family val="2"/>
          </rPr>
          <t>Michael Jaros:</t>
        </r>
        <r>
          <rPr>
            <sz val="8"/>
            <color indexed="81"/>
            <rFont val="Segoe UI"/>
            <family val="2"/>
          </rPr>
          <t xml:space="preserve">
falsche Re-Adresse</t>
        </r>
      </text>
    </comment>
    <comment ref="P283" authorId="2" shapeId="0" xr:uid="{E71FAECD-6137-400A-B7D7-78DF0B89450E}">
      <text>
        <r>
          <rPr>
            <b/>
            <sz val="9"/>
            <color indexed="81"/>
            <rFont val="Segoe UI"/>
            <family val="2"/>
          </rPr>
          <t>mj:</t>
        </r>
        <r>
          <rPr>
            <sz val="9"/>
            <color indexed="81"/>
            <rFont val="Segoe UI"/>
            <family val="2"/>
          </rPr>
          <t xml:space="preserve">
20%USt-Anteil (d.h. ohne TV)= 20,3/39,11 x 2/3 (überwiegend geschäftlich)</t>
        </r>
      </text>
    </comment>
    <comment ref="P285" authorId="2" shapeId="0" xr:uid="{B13F5DE6-0D34-4AED-848E-3F3C66DA778C}">
      <text>
        <r>
          <rPr>
            <b/>
            <sz val="9"/>
            <color indexed="81"/>
            <rFont val="Segoe UI"/>
            <family val="2"/>
          </rPr>
          <t>mj:</t>
        </r>
        <r>
          <rPr>
            <sz val="9"/>
            <color indexed="81"/>
            <rFont val="Segoe UI"/>
            <family val="2"/>
          </rPr>
          <t xml:space="preserve">
20%USt-Anteil (d.h. ohne TV)= 20,3/39,11 x 2/3 (überwiegend geschäftlich)</t>
        </r>
      </text>
    </comment>
    <comment ref="P286" authorId="2" shapeId="0" xr:uid="{8D2E623C-6F41-466D-8229-7E67F1209122}">
      <text>
        <r>
          <rPr>
            <b/>
            <sz val="9"/>
            <color indexed="81"/>
            <rFont val="Segoe UI"/>
            <family val="2"/>
          </rPr>
          <t>mj:</t>
        </r>
        <r>
          <rPr>
            <sz val="9"/>
            <color indexed="81"/>
            <rFont val="Segoe UI"/>
            <family val="2"/>
          </rPr>
          <t xml:space="preserve">
20%USt-Anteil (d.h. ohne TV)= 20,3/39,11 x 2/3 (überwiegend geschäftlich)</t>
        </r>
      </text>
    </comment>
    <comment ref="P287" authorId="2" shapeId="0" xr:uid="{E7B48810-2E81-46D3-A218-4FBED8ED85BA}">
      <text>
        <r>
          <rPr>
            <b/>
            <sz val="9"/>
            <color indexed="81"/>
            <rFont val="Segoe UI"/>
            <family val="2"/>
          </rPr>
          <t>mj:</t>
        </r>
        <r>
          <rPr>
            <sz val="9"/>
            <color indexed="81"/>
            <rFont val="Segoe UI"/>
            <family val="2"/>
          </rPr>
          <t xml:space="preserve">
20%USt-Anteil (d.h. ohne TV)= 20,3/39,11 x 2/3 (überwiegend geschäftlich)</t>
        </r>
      </text>
    </comment>
    <comment ref="P288" authorId="2" shapeId="0" xr:uid="{4DD45409-B30C-4876-B0D5-E82171B5E543}">
      <text>
        <r>
          <rPr>
            <b/>
            <sz val="9"/>
            <color indexed="81"/>
            <rFont val="Segoe UI"/>
            <family val="2"/>
          </rPr>
          <t>mj:</t>
        </r>
        <r>
          <rPr>
            <sz val="9"/>
            <color indexed="81"/>
            <rFont val="Segoe UI"/>
            <family val="2"/>
          </rPr>
          <t xml:space="preserve">
20%USt-Anteil (d.h. ohne TV)= 20,3/39,11 x 2/3 (überwiegend geschäftlich)</t>
        </r>
      </text>
    </comment>
    <comment ref="P289" authorId="2" shapeId="0" xr:uid="{ACC68236-DEAF-4F0A-BB13-4418B14E07EB}">
      <text>
        <r>
          <rPr>
            <b/>
            <sz val="9"/>
            <color indexed="81"/>
            <rFont val="Segoe UI"/>
            <family val="2"/>
          </rPr>
          <t>mj:</t>
        </r>
        <r>
          <rPr>
            <sz val="9"/>
            <color indexed="81"/>
            <rFont val="Segoe UI"/>
            <family val="2"/>
          </rPr>
          <t xml:space="preserve">
20%USt-Anteil (d.h. ohne TV)= 20,3/39,11 x 2/3 (überwiegend geschäftlich)</t>
        </r>
      </text>
    </comment>
    <comment ref="P290" authorId="2" shapeId="0" xr:uid="{CF41C38A-D304-4C64-8C04-CB49D9F5CA70}">
      <text>
        <r>
          <rPr>
            <b/>
            <sz val="9"/>
            <color indexed="81"/>
            <rFont val="Segoe UI"/>
            <family val="2"/>
          </rPr>
          <t>mj:</t>
        </r>
        <r>
          <rPr>
            <sz val="9"/>
            <color indexed="81"/>
            <rFont val="Segoe UI"/>
            <family val="2"/>
          </rPr>
          <t xml:space="preserve">
20%USt-Anteil (d.h. ohne TV)= 20,3/39,11 x 2/3 (überwiegend geschäftlich)</t>
        </r>
      </text>
    </comment>
    <comment ref="P291" authorId="2" shapeId="0" xr:uid="{EA67F61B-332B-4A75-A265-A03B9564C2A9}">
      <text>
        <r>
          <rPr>
            <b/>
            <sz val="9"/>
            <color indexed="81"/>
            <rFont val="Segoe UI"/>
            <family val="2"/>
          </rPr>
          <t>mj:</t>
        </r>
        <r>
          <rPr>
            <sz val="9"/>
            <color indexed="81"/>
            <rFont val="Segoe UI"/>
            <family val="2"/>
          </rPr>
          <t xml:space="preserve">
20%USt-Anteil (d.h. ohne TV)= 20,3/39,11 x 2/3 (überwiegend geschäftlich)</t>
        </r>
      </text>
    </comment>
    <comment ref="P292" authorId="2" shapeId="0" xr:uid="{24DEB343-466F-429A-BA0C-8385507E807A}">
      <text>
        <r>
          <rPr>
            <b/>
            <sz val="9"/>
            <color indexed="81"/>
            <rFont val="Segoe UI"/>
            <family val="2"/>
          </rPr>
          <t>mj:</t>
        </r>
        <r>
          <rPr>
            <sz val="9"/>
            <color indexed="81"/>
            <rFont val="Segoe UI"/>
            <family val="2"/>
          </rPr>
          <t xml:space="preserve">
20%USt-Anteil (d.h. ohne TV)= 20,3/39,11 x 2/3 (überwiegend geschäftlich)</t>
        </r>
      </text>
    </comment>
    <comment ref="P293" authorId="2" shapeId="0" xr:uid="{2378A3DB-9928-4A68-BC6E-5444C29BD007}">
      <text>
        <r>
          <rPr>
            <b/>
            <sz val="9"/>
            <color indexed="81"/>
            <rFont val="Segoe UI"/>
            <family val="2"/>
          </rPr>
          <t>mj:</t>
        </r>
        <r>
          <rPr>
            <sz val="9"/>
            <color indexed="81"/>
            <rFont val="Segoe UI"/>
            <family val="2"/>
          </rPr>
          <t xml:space="preserve">
20%USt-Anteil (d.h. ohne TV)= 20,3/39,11 x 2/3 (überwiegend geschäftlich)</t>
        </r>
      </text>
    </comment>
    <comment ref="P294" authorId="2" shapeId="0" xr:uid="{475D9D7D-CA4F-4B19-8F44-01700083940C}">
      <text>
        <r>
          <rPr>
            <b/>
            <sz val="9"/>
            <color indexed="81"/>
            <rFont val="Segoe UI"/>
            <family val="2"/>
          </rPr>
          <t>mj:</t>
        </r>
        <r>
          <rPr>
            <sz val="9"/>
            <color indexed="81"/>
            <rFont val="Segoe UI"/>
            <family val="2"/>
          </rPr>
          <t xml:space="preserve">
20%USt-Anteil (d.h. ohne TV)= 20,3/39,11 x 2/3 (überwiegend geschäftlich)</t>
        </r>
      </text>
    </comment>
    <comment ref="P295" authorId="2" shapeId="0" xr:uid="{B2CA1A05-D850-4265-9FF0-6DB4B101050B}">
      <text>
        <r>
          <rPr>
            <b/>
            <sz val="9"/>
            <color indexed="81"/>
            <rFont val="Segoe UI"/>
            <family val="2"/>
          </rPr>
          <t>mj:</t>
        </r>
        <r>
          <rPr>
            <sz val="9"/>
            <color indexed="81"/>
            <rFont val="Segoe UI"/>
            <family val="2"/>
          </rPr>
          <t xml:space="preserve">
20%USt-Anteil (d.h. ohne TV)= 20,3/39,11 x 2/3 (überwiegend geschäftlich)</t>
        </r>
      </text>
    </comment>
    <comment ref="P296" authorId="2" shapeId="0" xr:uid="{BAE4B5F4-67B5-456D-9652-428D68DE00AC}">
      <text>
        <r>
          <rPr>
            <b/>
            <sz val="9"/>
            <color indexed="81"/>
            <rFont val="Segoe UI"/>
            <family val="2"/>
          </rPr>
          <t>mj:</t>
        </r>
        <r>
          <rPr>
            <sz val="9"/>
            <color indexed="81"/>
            <rFont val="Segoe UI"/>
            <family val="2"/>
          </rPr>
          <t xml:space="preserve">
20%USt-Anteil (d.h. ohne TV)= 20,3/39,11 x 2/3 (überwiegend geschäftlich)</t>
        </r>
      </text>
    </comment>
    <comment ref="O299" authorId="2" shapeId="0" xr:uid="{A87BA69C-A318-43BB-97B7-9753FD0D88F3}">
      <text>
        <r>
          <rPr>
            <b/>
            <sz val="9"/>
            <color indexed="81"/>
            <rFont val="Segoe UI"/>
            <family val="2"/>
          </rPr>
          <t>mj:</t>
        </r>
        <r>
          <rPr>
            <sz val="9"/>
            <color indexed="81"/>
            <rFont val="Segoe UI"/>
            <family val="2"/>
          </rPr>
          <t xml:space="preserve">
am 27.12.17 wurden 
    881,95-839,78=42,17 zu viel 
bezahlt, daher wurden am 25.1. nur 
    839,78-42,17=797,61 
bezahlt, ab nächsten Monat dann wieder 839,78 (alle Preise inkl. USt.)</t>
        </r>
      </text>
    </comment>
    <comment ref="O302" authorId="2" shapeId="0" xr:uid="{0A723AB1-1C9A-4C7F-84E2-67628FEE1A87}">
      <text>
        <r>
          <rPr>
            <b/>
            <sz val="9"/>
            <color indexed="81"/>
            <rFont val="Segoe UI"/>
            <family val="2"/>
          </rPr>
          <t>mj:</t>
        </r>
        <r>
          <rPr>
            <sz val="9"/>
            <color indexed="81"/>
            <rFont val="Segoe UI"/>
            <family val="2"/>
          </rPr>
          <t xml:space="preserve">
Summe der mit 20% besteuerten Posten (ohne TV)</t>
        </r>
      </text>
    </comment>
    <comment ref="P302" authorId="2" shapeId="0" xr:uid="{684554C3-9364-4567-8C8C-ADBEBDE7D87B}">
      <text>
        <r>
          <rPr>
            <b/>
            <sz val="9"/>
            <color indexed="81"/>
            <rFont val="Segoe UI"/>
            <family val="2"/>
          </rPr>
          <t>mj:</t>
        </r>
        <r>
          <rPr>
            <sz val="9"/>
            <color indexed="81"/>
            <rFont val="Segoe UI"/>
            <family val="2"/>
          </rPr>
          <t xml:space="preserve">
33 % privat
66 % geschäftlich</t>
        </r>
      </text>
    </comment>
    <comment ref="O303" authorId="2" shapeId="0" xr:uid="{903807B1-79DF-4268-B488-FD3771756D14}">
      <text>
        <r>
          <rPr>
            <b/>
            <sz val="9"/>
            <color indexed="81"/>
            <rFont val="Segoe UI"/>
            <family val="2"/>
          </rPr>
          <t>mj:</t>
        </r>
        <r>
          <rPr>
            <sz val="9"/>
            <color indexed="81"/>
            <rFont val="Segoe UI"/>
            <family val="2"/>
          </rPr>
          <t xml:space="preserve">
Summe der mit 20% besteuerten Posten (ohne TV)</t>
        </r>
      </text>
    </comment>
    <comment ref="P303" authorId="2" shapeId="0" xr:uid="{334B4D5A-8A5B-4AAC-8EB2-D6A3670D0168}">
      <text>
        <r>
          <rPr>
            <b/>
            <sz val="9"/>
            <color indexed="81"/>
            <rFont val="Segoe UI"/>
            <family val="2"/>
          </rPr>
          <t>mj:</t>
        </r>
        <r>
          <rPr>
            <sz val="9"/>
            <color indexed="81"/>
            <rFont val="Segoe UI"/>
            <family val="2"/>
          </rPr>
          <t xml:space="preserve">
33 % privat
66 % geschäftlich</t>
        </r>
      </text>
    </comment>
    <comment ref="O304" authorId="2" shapeId="0" xr:uid="{AFA30621-9921-4B39-8002-048099AC1FC0}">
      <text>
        <r>
          <rPr>
            <b/>
            <sz val="9"/>
            <color indexed="81"/>
            <rFont val="Segoe UI"/>
            <family val="2"/>
          </rPr>
          <t>mj:</t>
        </r>
        <r>
          <rPr>
            <sz val="9"/>
            <color indexed="81"/>
            <rFont val="Segoe UI"/>
            <family val="2"/>
          </rPr>
          <t xml:space="preserve">
Summe der mit 20% besteuerten Posten (ohne TV)</t>
        </r>
      </text>
    </comment>
    <comment ref="P304" authorId="2" shapeId="0" xr:uid="{1753CDAA-F16D-41BE-B2C7-5531370AA052}">
      <text>
        <r>
          <rPr>
            <b/>
            <sz val="9"/>
            <color indexed="81"/>
            <rFont val="Segoe UI"/>
            <family val="2"/>
          </rPr>
          <t>mj:</t>
        </r>
        <r>
          <rPr>
            <sz val="9"/>
            <color indexed="81"/>
            <rFont val="Segoe UI"/>
            <family val="2"/>
          </rPr>
          <t xml:space="preserve">
33 % privat
66 % geschäftlich</t>
        </r>
      </text>
    </comment>
    <comment ref="O305" authorId="2" shapeId="0" xr:uid="{E2420351-CF0F-4B1D-8403-C588F3502D27}">
      <text>
        <r>
          <rPr>
            <b/>
            <sz val="9"/>
            <color indexed="81"/>
            <rFont val="Segoe UI"/>
            <family val="2"/>
          </rPr>
          <t>mj:</t>
        </r>
        <r>
          <rPr>
            <sz val="9"/>
            <color indexed="81"/>
            <rFont val="Segoe UI"/>
            <family val="2"/>
          </rPr>
          <t xml:space="preserve">
Summe der mit 20% besteuerten Posten (ohne TV)</t>
        </r>
      </text>
    </comment>
    <comment ref="P305" authorId="2" shapeId="0" xr:uid="{0B67C1A3-BD95-4B36-A3D6-1B8A47112257}">
      <text>
        <r>
          <rPr>
            <b/>
            <sz val="9"/>
            <color indexed="81"/>
            <rFont val="Segoe UI"/>
            <family val="2"/>
          </rPr>
          <t>mj:</t>
        </r>
        <r>
          <rPr>
            <sz val="9"/>
            <color indexed="81"/>
            <rFont val="Segoe UI"/>
            <family val="2"/>
          </rPr>
          <t xml:space="preserve">
33 % privat
66 % geschäftlich</t>
        </r>
      </text>
    </comment>
    <comment ref="O306" authorId="2" shapeId="0" xr:uid="{05BE0E23-42C5-4DE7-8B98-425A3AEB7CE1}">
      <text>
        <r>
          <rPr>
            <b/>
            <sz val="9"/>
            <color indexed="81"/>
            <rFont val="Segoe UI"/>
            <family val="2"/>
          </rPr>
          <t>mj:</t>
        </r>
        <r>
          <rPr>
            <sz val="9"/>
            <color indexed="81"/>
            <rFont val="Segoe UI"/>
            <family val="2"/>
          </rPr>
          <t xml:space="preserve">
Summe der mit 20% besteuerten Posten (ohne TV)</t>
        </r>
      </text>
    </comment>
    <comment ref="P306" authorId="2" shapeId="0" xr:uid="{54779AE8-F365-46F3-898A-442EA87D469F}">
      <text>
        <r>
          <rPr>
            <b/>
            <sz val="9"/>
            <color indexed="81"/>
            <rFont val="Segoe UI"/>
            <family val="2"/>
          </rPr>
          <t>mj:</t>
        </r>
        <r>
          <rPr>
            <sz val="9"/>
            <color indexed="81"/>
            <rFont val="Segoe UI"/>
            <family val="2"/>
          </rPr>
          <t xml:space="preserve">
33 % privat
66 % geschäftlich</t>
        </r>
      </text>
    </comment>
    <comment ref="O307" authorId="2" shapeId="0" xr:uid="{86D02579-7B18-4452-9AE8-38932B98D372}">
      <text>
        <r>
          <rPr>
            <b/>
            <sz val="9"/>
            <color indexed="81"/>
            <rFont val="Segoe UI"/>
            <family val="2"/>
          </rPr>
          <t>mj:</t>
        </r>
        <r>
          <rPr>
            <sz val="9"/>
            <color indexed="81"/>
            <rFont val="Segoe UI"/>
            <family val="2"/>
          </rPr>
          <t xml:space="preserve">
Summe der mit 20% besteuerten Posten (ohne TV)</t>
        </r>
      </text>
    </comment>
    <comment ref="P307" authorId="2" shapeId="0" xr:uid="{A9FE763D-04EE-4BD7-AE6B-026C1366C503}">
      <text>
        <r>
          <rPr>
            <b/>
            <sz val="9"/>
            <color indexed="81"/>
            <rFont val="Segoe UI"/>
            <family val="2"/>
          </rPr>
          <t>mj:</t>
        </r>
        <r>
          <rPr>
            <sz val="9"/>
            <color indexed="81"/>
            <rFont val="Segoe UI"/>
            <family val="2"/>
          </rPr>
          <t xml:space="preserve">
33 % privat
66 % geschäftlich</t>
        </r>
      </text>
    </comment>
    <comment ref="O308" authorId="2" shapeId="0" xr:uid="{7AAA9B5C-CB09-4B0A-B612-869E37A4128B}">
      <text>
        <r>
          <rPr>
            <b/>
            <sz val="9"/>
            <color indexed="81"/>
            <rFont val="Segoe UI"/>
            <family val="2"/>
          </rPr>
          <t>mj:</t>
        </r>
        <r>
          <rPr>
            <sz val="9"/>
            <color indexed="81"/>
            <rFont val="Segoe UI"/>
            <family val="2"/>
          </rPr>
          <t xml:space="preserve">
Summe der mit 20% besteuerten Posten (ohne TV)</t>
        </r>
      </text>
    </comment>
    <comment ref="P308" authorId="2" shapeId="0" xr:uid="{6D0FE3EA-2379-4591-904E-8FDDE4919458}">
      <text>
        <r>
          <rPr>
            <b/>
            <sz val="9"/>
            <color indexed="81"/>
            <rFont val="Segoe UI"/>
            <family val="2"/>
          </rPr>
          <t>mj:</t>
        </r>
        <r>
          <rPr>
            <sz val="9"/>
            <color indexed="81"/>
            <rFont val="Segoe UI"/>
            <family val="2"/>
          </rPr>
          <t xml:space="preserve">
33 % privat
66 % geschäftlich</t>
        </r>
      </text>
    </comment>
    <comment ref="O309" authorId="2" shapeId="0" xr:uid="{C20DF3DA-E0A1-4FF6-8EF0-8AB1DCA44014}">
      <text>
        <r>
          <rPr>
            <b/>
            <sz val="9"/>
            <color indexed="81"/>
            <rFont val="Segoe UI"/>
            <family val="2"/>
          </rPr>
          <t>mj:</t>
        </r>
        <r>
          <rPr>
            <sz val="9"/>
            <color indexed="81"/>
            <rFont val="Segoe UI"/>
            <family val="2"/>
          </rPr>
          <t xml:space="preserve">
Summe der mit 20% besteuerten Posten (ohne TV)</t>
        </r>
      </text>
    </comment>
    <comment ref="P309" authorId="2" shapeId="0" xr:uid="{52C08634-612A-4EEF-BB24-FE30EA2148DB}">
      <text>
        <r>
          <rPr>
            <b/>
            <sz val="9"/>
            <color indexed="81"/>
            <rFont val="Segoe UI"/>
            <family val="2"/>
          </rPr>
          <t>mj:</t>
        </r>
        <r>
          <rPr>
            <sz val="9"/>
            <color indexed="81"/>
            <rFont val="Segoe UI"/>
            <family val="2"/>
          </rPr>
          <t xml:space="preserve">
33 % privat
66 % geschäftlich</t>
        </r>
      </text>
    </comment>
    <comment ref="O310" authorId="2" shapeId="0" xr:uid="{26099BF9-BBF8-45CE-A15C-29B83DDA4AF3}">
      <text>
        <r>
          <rPr>
            <b/>
            <sz val="9"/>
            <color indexed="81"/>
            <rFont val="Segoe UI"/>
            <family val="2"/>
          </rPr>
          <t>mj:</t>
        </r>
        <r>
          <rPr>
            <sz val="9"/>
            <color indexed="81"/>
            <rFont val="Segoe UI"/>
            <family val="2"/>
          </rPr>
          <t xml:space="preserve">
Summe der mit 20% besteuerten Posten (ohne TV)</t>
        </r>
      </text>
    </comment>
    <comment ref="P310" authorId="2" shapeId="0" xr:uid="{8203F3E4-0F82-4E7A-9A1C-9967544BBFF5}">
      <text>
        <r>
          <rPr>
            <b/>
            <sz val="9"/>
            <color indexed="81"/>
            <rFont val="Segoe UI"/>
            <family val="2"/>
          </rPr>
          <t>mj:</t>
        </r>
        <r>
          <rPr>
            <sz val="9"/>
            <color indexed="81"/>
            <rFont val="Segoe UI"/>
            <family val="2"/>
          </rPr>
          <t xml:space="preserve">
33 % privat
66 % geschäftlich</t>
        </r>
      </text>
    </comment>
    <comment ref="O311" authorId="2" shapeId="0" xr:uid="{EA533AD4-7717-46AD-BFBE-54FBC1432209}">
      <text>
        <r>
          <rPr>
            <b/>
            <sz val="9"/>
            <color indexed="81"/>
            <rFont val="Segoe UI"/>
            <family val="2"/>
          </rPr>
          <t>mj:</t>
        </r>
        <r>
          <rPr>
            <sz val="9"/>
            <color indexed="81"/>
            <rFont val="Segoe UI"/>
            <family val="2"/>
          </rPr>
          <t xml:space="preserve">
Summe der mit 20% besteuerten Posten (ohne TV)</t>
        </r>
      </text>
    </comment>
    <comment ref="P311" authorId="2" shapeId="0" xr:uid="{B579E9E4-BE4A-48CD-910E-342158E735A9}">
      <text>
        <r>
          <rPr>
            <b/>
            <sz val="9"/>
            <color indexed="81"/>
            <rFont val="Segoe UI"/>
            <family val="2"/>
          </rPr>
          <t>mj:</t>
        </r>
        <r>
          <rPr>
            <sz val="9"/>
            <color indexed="81"/>
            <rFont val="Segoe UI"/>
            <family val="2"/>
          </rPr>
          <t xml:space="preserve">
33 % privat
66 % geschäftlich</t>
        </r>
      </text>
    </comment>
    <comment ref="O312" authorId="2" shapeId="0" xr:uid="{14158533-F853-4D94-9633-7BE1981D5817}">
      <text>
        <r>
          <rPr>
            <b/>
            <sz val="9"/>
            <color indexed="81"/>
            <rFont val="Segoe UI"/>
            <family val="2"/>
          </rPr>
          <t>mj:</t>
        </r>
        <r>
          <rPr>
            <sz val="9"/>
            <color indexed="81"/>
            <rFont val="Segoe UI"/>
            <family val="2"/>
          </rPr>
          <t xml:space="preserve">
Summe der mit 20% besteuerten Posten (ohne TV)</t>
        </r>
      </text>
    </comment>
    <comment ref="P312" authorId="2" shapeId="0" xr:uid="{37E5140E-CE1B-4F82-BA91-6A2AF15E566E}">
      <text>
        <r>
          <rPr>
            <b/>
            <sz val="9"/>
            <color indexed="81"/>
            <rFont val="Segoe UI"/>
            <family val="2"/>
          </rPr>
          <t>mj:</t>
        </r>
        <r>
          <rPr>
            <sz val="9"/>
            <color indexed="81"/>
            <rFont val="Segoe UI"/>
            <family val="2"/>
          </rPr>
          <t xml:space="preserve">
33 % privat
66 % geschäftlich</t>
        </r>
      </text>
    </comment>
    <comment ref="O313" authorId="2" shapeId="0" xr:uid="{BBFB9BF6-57F1-40EC-9F9C-CF917B173C8B}">
      <text>
        <r>
          <rPr>
            <b/>
            <sz val="9"/>
            <color indexed="81"/>
            <rFont val="Segoe UI"/>
            <family val="2"/>
          </rPr>
          <t>mj:</t>
        </r>
        <r>
          <rPr>
            <sz val="9"/>
            <color indexed="81"/>
            <rFont val="Segoe UI"/>
            <family val="2"/>
          </rPr>
          <t xml:space="preserve">
Summe der mit 20% besteuerten Posten (ohne TV)</t>
        </r>
      </text>
    </comment>
    <comment ref="P313" authorId="2" shapeId="0" xr:uid="{9A6A02A3-5B97-4A34-A489-7ADAA1E789BE}">
      <text>
        <r>
          <rPr>
            <b/>
            <sz val="9"/>
            <color indexed="81"/>
            <rFont val="Segoe UI"/>
            <family val="2"/>
          </rPr>
          <t>mj:</t>
        </r>
        <r>
          <rPr>
            <sz val="9"/>
            <color indexed="81"/>
            <rFont val="Segoe UI"/>
            <family val="2"/>
          </rPr>
          <t xml:space="preserve">
33 % privat
66 % geschäftlich</t>
        </r>
      </text>
    </comment>
    <comment ref="P315" authorId="2" shapeId="0" xr:uid="{BF691048-7421-477E-AF4E-6E0D6CE4F855}">
      <text>
        <r>
          <rPr>
            <b/>
            <sz val="9"/>
            <color indexed="81"/>
            <rFont val="Segoe UI"/>
            <family val="2"/>
          </rPr>
          <t>mj:</t>
        </r>
        <r>
          <rPr>
            <sz val="9"/>
            <color indexed="81"/>
            <rFont val="Segoe UI"/>
            <family val="2"/>
          </rPr>
          <t xml:space="preserve">
20%USt-Anteil (d.h. ohne TV)= 20,3/39,11 x 2/3 (überwiegend geschäftlich)</t>
        </r>
      </text>
    </comment>
    <comment ref="P319" authorId="2" shapeId="0" xr:uid="{C8B611E2-84B5-48DC-A8B9-DE0C5C86DF57}">
      <text>
        <r>
          <rPr>
            <b/>
            <sz val="9"/>
            <color indexed="81"/>
            <rFont val="Segoe UI"/>
            <family val="2"/>
          </rPr>
          <t>mj:</t>
        </r>
        <r>
          <rPr>
            <sz val="9"/>
            <color indexed="81"/>
            <rFont val="Segoe UI"/>
            <family val="2"/>
          </rPr>
          <t xml:space="preserve">
20%USt-Anteil (d.h. ohne TV)= 20,3/39,11 x 2/3 (überwiegend geschäftlich)</t>
        </r>
      </text>
    </comment>
    <comment ref="P324" authorId="2" shapeId="0" xr:uid="{DB9426C4-8298-4EAD-A046-AC73784C8996}">
      <text>
        <r>
          <rPr>
            <b/>
            <sz val="9"/>
            <color indexed="81"/>
            <rFont val="Segoe UI"/>
            <family val="2"/>
          </rPr>
          <t>mj:</t>
        </r>
        <r>
          <rPr>
            <sz val="9"/>
            <color indexed="81"/>
            <rFont val="Segoe UI"/>
            <family val="2"/>
          </rPr>
          <t xml:space="preserve">
20%USt-Anteil (d.h. ohne TV)= 20,3/39,11 x 2/3 (überwiegend geschäftlich)</t>
        </r>
      </text>
    </comment>
    <comment ref="P330" authorId="2" shapeId="0" xr:uid="{21E2EC16-CEB6-4DB6-BEB3-1599FA09AED6}">
      <text>
        <r>
          <rPr>
            <b/>
            <sz val="9"/>
            <color indexed="81"/>
            <rFont val="Segoe UI"/>
            <family val="2"/>
          </rPr>
          <t>mj:</t>
        </r>
        <r>
          <rPr>
            <sz val="9"/>
            <color indexed="81"/>
            <rFont val="Segoe UI"/>
            <family val="2"/>
          </rPr>
          <t xml:space="preserve">
20%USt-Anteil (d.h. ohne TV)= 20,3/39,11 x 2/3 (überwiegend geschäftlich)</t>
        </r>
      </text>
    </comment>
    <comment ref="P349" authorId="2" shapeId="0" xr:uid="{76FEE3F8-056A-4386-8CC3-E1F5550A0D68}">
      <text>
        <r>
          <rPr>
            <b/>
            <sz val="9"/>
            <color indexed="81"/>
            <rFont val="Segoe UI"/>
            <family val="2"/>
          </rPr>
          <t>mj:</t>
        </r>
        <r>
          <rPr>
            <sz val="9"/>
            <color indexed="81"/>
            <rFont val="Segoe UI"/>
            <family val="2"/>
          </rPr>
          <t xml:space="preserve">
20%USt-Anteil (d.h. ohne TV)= 20,3/39,11 x 2/3 (überwiegend geschäftlich)</t>
        </r>
      </text>
    </comment>
    <comment ref="P360" authorId="2" shapeId="0" xr:uid="{CBCD11EF-489F-4682-A0F3-653E68376BFA}">
      <text>
        <r>
          <rPr>
            <b/>
            <sz val="9"/>
            <color indexed="81"/>
            <rFont val="Segoe UI"/>
            <family val="2"/>
          </rPr>
          <t>mj:</t>
        </r>
        <r>
          <rPr>
            <sz val="9"/>
            <color indexed="81"/>
            <rFont val="Segoe UI"/>
            <family val="2"/>
          </rPr>
          <t xml:space="preserve">
20%USt-Anteil (d.h. ohne TV)= 20,3/39,11 x 2/3 (überwiegend geschäftlich)</t>
        </r>
      </text>
    </comment>
    <comment ref="P369" authorId="2" shapeId="0" xr:uid="{0EF630A9-03F7-4135-98EC-E17971E5B20E}">
      <text>
        <r>
          <rPr>
            <b/>
            <sz val="9"/>
            <color indexed="81"/>
            <rFont val="Segoe UI"/>
            <family val="2"/>
          </rPr>
          <t>mj:</t>
        </r>
        <r>
          <rPr>
            <sz val="9"/>
            <color indexed="81"/>
            <rFont val="Segoe UI"/>
            <family val="2"/>
          </rPr>
          <t xml:space="preserve">
20%USt-Anteil (d.h. ohne TV)= 20,3/39,11 x 2/3 (überwiegend geschäftlich)</t>
        </r>
      </text>
    </comment>
    <comment ref="P375" authorId="2" shapeId="0" xr:uid="{95D0035F-9BDE-4D21-B4EB-03B4494CD940}">
      <text>
        <r>
          <rPr>
            <b/>
            <sz val="9"/>
            <color indexed="81"/>
            <rFont val="Segoe UI"/>
            <family val="2"/>
          </rPr>
          <t>mj:</t>
        </r>
        <r>
          <rPr>
            <sz val="9"/>
            <color indexed="81"/>
            <rFont val="Segoe UI"/>
            <family val="2"/>
          </rPr>
          <t xml:space="preserve">
20%USt-Anteil (d.h. ohne TV)= 20,3/39,11 x 2/3 (überwiegend geschäftlich)</t>
        </r>
      </text>
    </comment>
    <comment ref="P383" authorId="2" shapeId="0" xr:uid="{21208497-4121-4A8E-B734-3185312A9C8E}">
      <text>
        <r>
          <rPr>
            <b/>
            <sz val="9"/>
            <color indexed="81"/>
            <rFont val="Segoe UI"/>
            <family val="2"/>
          </rPr>
          <t>mj:</t>
        </r>
        <r>
          <rPr>
            <sz val="9"/>
            <color indexed="81"/>
            <rFont val="Segoe UI"/>
            <family val="2"/>
          </rPr>
          <t xml:space="preserve">
20%USt-Anteil (d.h. ohne TV)= 20,3/39,11 x 2/3 (überwiegend geschäftlich)</t>
        </r>
      </text>
    </comment>
    <comment ref="P396" authorId="2" shapeId="0" xr:uid="{6CD6B54C-AA89-4A2F-B3B8-B3E09696BB8F}">
      <text>
        <r>
          <rPr>
            <b/>
            <sz val="9"/>
            <color indexed="81"/>
            <rFont val="Segoe UI"/>
            <family val="2"/>
          </rPr>
          <t>mj:</t>
        </r>
        <r>
          <rPr>
            <sz val="9"/>
            <color indexed="81"/>
            <rFont val="Segoe UI"/>
            <family val="2"/>
          </rPr>
          <t xml:space="preserve">
20%USt-Anteil (d.h. ohne TV)= 20,3/39,11 x 2/3 (überwiegend geschäftlich)</t>
        </r>
      </text>
    </comment>
    <comment ref="P412" authorId="2" shapeId="0" xr:uid="{6B5C38A7-AB15-44F1-A213-6A438B419621}">
      <text>
        <r>
          <rPr>
            <b/>
            <sz val="9"/>
            <color indexed="81"/>
            <rFont val="Segoe UI"/>
            <family val="2"/>
          </rPr>
          <t>mj:</t>
        </r>
        <r>
          <rPr>
            <sz val="9"/>
            <color indexed="81"/>
            <rFont val="Segoe UI"/>
            <family val="2"/>
          </rPr>
          <t xml:space="preserve">
20%USt-Anteil (d.h. ohne TV)= 20,3/39,11 x 2/3 (überwiegend geschäftlich)</t>
        </r>
      </text>
    </comment>
    <comment ref="D414" authorId="2" shapeId="0" xr:uid="{37A9DE89-B3B6-46C8-8A6F-75C0DA2D055B}">
      <text>
        <r>
          <rPr>
            <b/>
            <sz val="9"/>
            <color indexed="81"/>
            <rFont val="Segoe UI"/>
            <family val="2"/>
          </rPr>
          <t>mj:</t>
        </r>
        <r>
          <rPr>
            <sz val="9"/>
            <color indexed="81"/>
            <rFont val="Segoe UI"/>
            <family val="2"/>
          </rPr>
          <t xml:space="preserve">
Betrag stimmt nicht mit Rechnung überein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Autor</author>
    <author>tc={7F6554BB-B2A9-4C8E-9D42-A6BA1F58DD19}</author>
  </authors>
  <commentList>
    <comment ref="F1" authorId="0" shapeId="0" xr:uid="{F4CCA8E7-438B-4A1A-95DE-6B1A75694A97}">
      <text>
        <r>
          <rPr>
            <b/>
            <sz val="8"/>
            <color indexed="81"/>
            <rFont val="Segoe UI"/>
            <family val="2"/>
          </rPr>
          <t>Autor:</t>
        </r>
        <r>
          <rPr>
            <sz val="8"/>
            <color indexed="81"/>
            <rFont val="Segoe UI"/>
            <family val="2"/>
          </rPr>
          <t xml:space="preserve">
als Betriebsausgabe abzugfsähiger Anteil</t>
        </r>
      </text>
    </comment>
    <comment ref="S104" authorId="1" shapeId="0" xr:uid="{7F6554BB-B2A9-4C8E-9D42-A6BA1F58DD1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Normalerweise immer ohne Steuer- Beleg prüfen</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Autor</author>
    <author>tc={213A58E8-99D6-4575-A6F0-CFBD0A5A22D0}</author>
    <author>tc={60948CBE-A945-4F40-8B75-A836BC4A4B63}</author>
    <author>tc={3E07034D-CC7B-48FF-A25F-6B4174F157B6}</author>
    <author>tc={0401887D-A8A0-430F-BEE9-D7981FC1D198}</author>
    <author>tc={491859D0-831B-42D6-8468-2DC0BC19FD80}</author>
    <author>tc={7398B6CC-A3B8-4B2A-8CD5-215EB1B4644A}</author>
    <author>tc={846D094D-165E-4710-95FB-3A49952CFE94}</author>
    <author>tc={D9809D2E-E694-468A-BE3D-65B1FD8D7CA5}</author>
    <author>tc={23B1619F-F7C9-44C8-8897-88491EC1A688}</author>
    <author>tc={12DC55E6-A23C-4287-9D59-DF5E5A4436B0}</author>
    <author>tc={43C60997-5AEA-4A9E-9CC8-4F2AAA6C9FC2}</author>
    <author>tc={8784A1CE-2590-4A74-A33D-9BBB99ED2C79}</author>
    <author>tc={DEDCC1E4-D8F7-4F99-87ED-0E79AE3345C9}</author>
    <author>tc={1E8419E3-34E1-4EA9-AB78-ECC6EEBD713B}</author>
    <author>tc={B4C869C5-B382-41EA-B0B0-EFAE93748168}</author>
    <author>tc={7BA74640-9329-4167-A045-51290B8878C7}</author>
    <author>tc={554886E4-E155-4DDD-B1FB-E16FC13C94B0}</author>
    <author>tc={72896896-9D15-48F0-806E-4FBB65D1BC3C}</author>
    <author>tc={5405AE28-FA38-484C-A01F-06CD9BC1A798}</author>
    <author>tc={79735996-1543-4A71-ACB1-ECAF2956F8AD}</author>
    <author>tc={9088CE69-BFE1-4560-A477-8F43425DDC17}</author>
    <author>tc={839C0E90-C500-4029-93F4-DE0751E3C75D}</author>
    <author>tc={AA1C5076-906A-48EA-B0B1-778BBED8BCA4}</author>
    <author>tc={48076BB7-9BD2-40B3-946D-B94F167EC1EB}</author>
    <author>tc={CC82B0FC-A43A-46A3-A949-5105F63BCD81}</author>
    <author>tc={0A34648C-0595-4640-B81E-164FE06EDFB8}</author>
    <author>tc={0EB24CEC-EEEA-4D09-8330-18C5054C2181}</author>
    <author>tc={362FC863-0B5F-4148-8C3C-EF1230207B15}</author>
    <author>tc={1BF0180B-F725-4A8D-A9A4-F6CECC0DCF46}</author>
    <author>tc={65D209F0-9625-4F11-9B5E-4AB87F5957FB}</author>
    <author>tc={21FCB45B-8863-424D-9FE1-E8AFFFE73851}</author>
    <author>tc={012D256A-B590-4F7F-ABF5-04F046C1C56C}</author>
  </authors>
  <commentList>
    <comment ref="F1" authorId="0" shapeId="0" xr:uid="{45564A1F-8666-4164-8AB1-F426E45D2240}">
      <text>
        <r>
          <rPr>
            <b/>
            <sz val="8"/>
            <color indexed="81"/>
            <rFont val="Segoe UI"/>
            <family val="2"/>
          </rPr>
          <t>Autor:</t>
        </r>
        <r>
          <rPr>
            <sz val="8"/>
            <color indexed="81"/>
            <rFont val="Segoe UI"/>
            <family val="2"/>
          </rPr>
          <t xml:space="preserve">
als Betriebsausgabe abzugfsähiger Anteil</t>
        </r>
      </text>
    </comment>
    <comment ref="M7" authorId="1" shapeId="0" xr:uid="{213A58E8-99D6-4575-A6F0-CFBD0A5A22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9" authorId="2" shapeId="0" xr:uid="{60948CBE-A945-4F40-8B75-A836BC4A4B6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11" authorId="3" shapeId="0" xr:uid="{3E07034D-CC7B-48FF-A25F-6B4174F157B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14" authorId="4" shapeId="0" xr:uid="{0401887D-A8A0-430F-BEE9-D7981FC1D19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25" authorId="5" shapeId="0" xr:uid="{491859D0-831B-42D6-8468-2DC0BC19FD8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28" authorId="6" shapeId="0" xr:uid="{7398B6CC-A3B8-4B2A-8CD5-215EB1B4644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29" authorId="7" shapeId="0" xr:uid="{846D094D-165E-4710-95FB-3A49952CFE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36" authorId="8" shapeId="0" xr:uid="{D9809D2E-E694-468A-BE3D-65B1FD8D7CA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Rechnung nicht über vollen Betrag, siehe Mailverkehr</t>
      </text>
    </comment>
    <comment ref="M39" authorId="9" shapeId="0" xr:uid="{23B1619F-F7C9-44C8-8897-88491EC1A68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41" authorId="10" shapeId="0" xr:uid="{12DC55E6-A23C-4287-9D59-DF5E5A4436B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44" authorId="11" shapeId="0" xr:uid="{43C60997-5AEA-4A9E-9CC8-4F2AAA6C9FC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59" authorId="12" shapeId="0" xr:uid="{8784A1CE-2590-4A74-A33D-9BBB99ED2C7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60" authorId="13" shapeId="0" xr:uid="{DEDCC1E4-D8F7-4F99-87ED-0E79AE3345C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63" authorId="14" shapeId="0" xr:uid="{1E8419E3-34E1-4EA9-AB78-ECC6EEBD71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68" authorId="15" shapeId="0" xr:uid="{B4C869C5-B382-41EA-B0B0-EFAE9374816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Rechnung nicht über vollen Betrag, siehe Mailverkehr</t>
      </text>
    </comment>
    <comment ref="M77" authorId="16" shapeId="0" xr:uid="{7BA74640-9329-4167-A045-51290B8878C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78" authorId="17" shapeId="0" xr:uid="{554886E4-E155-4DDD-B1FB-E16FC13C94B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79" authorId="18" shapeId="0" xr:uid="{72896896-9D15-48F0-806E-4FBB65D1BC3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82" authorId="19" shapeId="0" xr:uid="{5405AE28-FA38-484C-A01F-06CD9BC1A79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Google Storage</t>
      </text>
    </comment>
    <comment ref="M89" authorId="20" shapeId="0" xr:uid="{79735996-1543-4A71-ACB1-ECAF2956F8A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90" authorId="21" shapeId="0" xr:uid="{9088CE69-BFE1-4560-A477-8F43425DDC1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92" authorId="22" shapeId="0" xr:uid="{839C0E90-C500-4029-93F4-DE0751E3C75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93" authorId="23" shapeId="0" xr:uid="{AA1C5076-906A-48EA-B0B1-778BBED8BCA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96" authorId="24" shapeId="0" xr:uid="{48076BB7-9BD2-40B3-946D-B94F167EC1E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Google Storage</t>
      </text>
    </comment>
    <comment ref="M107" authorId="25" shapeId="0" xr:uid="{CC82B0FC-A43A-46A3-A949-5105F63BCD8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109" authorId="26" shapeId="0" xr:uid="{0A34648C-0595-4640-B81E-164FE06EDFB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110" authorId="27" shapeId="0" xr:uid="{0EB24CEC-EEEA-4D09-8330-18C5054C218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123" authorId="28" shapeId="0" xr:uid="{362FC863-0B5F-4148-8C3C-EF1230207B1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136" authorId="29" shapeId="0" xr:uid="{1BF0180B-F725-4A8D-A9A4-F6CECC0DCF4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155" authorId="30" shapeId="0" xr:uid="{65D209F0-9625-4F11-9B5E-4AB87F5957F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176" authorId="31" shapeId="0" xr:uid="{21FCB45B-8863-424D-9FE1-E8AFFFE738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191" authorId="32" shapeId="0" xr:uid="{012D256A-B590-4F7F-ABF5-04F046C1C56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Autor</author>
    <author>tc={DB4B3973-84A3-4864-8A19-132DFEF7D1D4}</author>
    <author>tc={08DB3B94-76B1-43E4-8698-F6D39B75C8C7}</author>
    <author>tc={FEAA0259-DE09-4418-B0B2-5E07E5626C42}</author>
    <author>tc={14AD921A-765A-483F-9534-EF714C6AA6BF}</author>
    <author>tc={5AA30F08-9715-4925-B42D-14AB0D48F9F7}</author>
    <author>tc={8E80F728-CEA2-4DE9-B0C5-8D5D509BD7E4}</author>
    <author>tc={3521C84C-7252-4753-8321-92E8FFCD2371}</author>
    <author>tc={6FAEF9E1-6716-4C4F-8E3F-2AE8705407AA}</author>
    <author>tc={FBF47011-5421-45CC-A837-9CACAE7FAD98}</author>
    <author>tc={7A6EA937-7FCA-4883-B4F0-D1D9E3938311}</author>
    <author>tc={34798BD4-D287-4629-B693-928E02C45471}</author>
    <author>tc={3C373ADD-820A-47A5-8342-7AD5B10E6A40}</author>
    <author>tc={BD9E4BA5-1229-4781-80C4-DE7E5BB4ACFF}</author>
    <author>tc={A211D076-9AAF-4288-B365-D65BE6AC8E3A}</author>
    <author>tc={EF5FB83F-30A0-43B1-9059-67DB84EAEC6A}</author>
    <author>tc={0CC9E41F-4579-4416-A818-3911F7C5765A}</author>
    <author>tc={2BB58E20-D77D-4088-9907-6C25895FECB1}</author>
    <author>tc={2DA476B1-C7C3-47D8-8F80-42CD99DFE4F9}</author>
    <author>tc={25C97D9E-C312-404F-9639-4E3C77A0E94D}</author>
    <author>tc={797EA2B5-31F1-4676-8BB5-31424903CE39}</author>
    <author>tc={CAED9545-13AB-448F-B56F-3C3DC94B9ECF}</author>
    <author>tc={E5EED6C8-EEDD-4C8C-BA78-8B11A08BE65D}</author>
    <author>tc={D87CEDB0-2604-494A-A19E-3AF51E2A7E1E}</author>
    <author>tc={9608BF26-92B4-4198-97CB-8219DDE50180}</author>
    <author>tc={DE11329A-EFF9-4638-9C4E-048EA5804ECD}</author>
    <author>tc={C24D9257-87CD-4ED4-9B8F-EF4C1990D9A5}</author>
    <author>tc={449657CA-549E-4A7C-A7C6-BE19CFFC6A93}</author>
    <author>tc={E8E28E8A-9C8B-4494-A203-9B9AF38D5053}</author>
    <author>tc={98BCB429-4C53-4C28-9B98-0E8922F18130}</author>
    <author>tc={FD4F041F-0AFF-4A50-93CB-9127FF48F38C}</author>
    <author>tc={CECE86CA-CDB9-4F00-9361-DE2EC7B5E03A}</author>
    <author>tc={31A90078-6DB0-4BE7-BFFD-79BE2D42FDA9}</author>
    <author>tc={046FEEF5-299E-41AB-A292-DD389A00EF3A}</author>
    <author>tc={34BE9742-0E83-4136-BEB5-8EE42910298C}</author>
    <author>tc={11B58AE5-12D7-4FAF-8428-B06F56C45E0B}</author>
    <author>tc={5C417FAC-28F8-40F7-9687-920C0CA89B9E}</author>
    <author>tc={9BC60375-AA13-42CD-A31F-937FB52EC905}</author>
    <author>tc={288142BC-37D7-4B5D-A10F-E37699B9C4C5}</author>
    <author>tc={7B11ABC5-4946-4D22-BB54-29AE92B63B15}</author>
    <author>tc={06840C74-DC83-4B34-A536-9FB26A73A755}</author>
    <author>tc={3EA3EADB-3AB2-479B-A3A1-9191CB822081}</author>
    <author>tc={9B1373C9-5DE8-49BA-9453-012DFC6BC9A4}</author>
    <author>tc={1211187D-6621-44CA-A086-7CBA14EDB779}</author>
    <author>tc={10814FD8-5AB1-41FF-8C27-9D530CC2503A}</author>
  </authors>
  <commentList>
    <comment ref="F1" authorId="0" shapeId="0" xr:uid="{DF847AD1-0634-4BB6-81CB-EF4E85F7C7BB}">
      <text>
        <r>
          <rPr>
            <b/>
            <sz val="8"/>
            <color indexed="81"/>
            <rFont val="Segoe UI"/>
            <family val="2"/>
          </rPr>
          <t>Autor:</t>
        </r>
        <r>
          <rPr>
            <sz val="8"/>
            <color indexed="81"/>
            <rFont val="Segoe UI"/>
            <family val="2"/>
          </rPr>
          <t xml:space="preserve">
als Betriebsausgabe abzugfsähiger Anteil</t>
        </r>
      </text>
    </comment>
    <comment ref="V3" authorId="1" shapeId="0" xr:uid="{DB4B3973-84A3-4864-8A19-132DFEF7D1D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W3" authorId="2" shapeId="0" xr:uid="{08DB3B94-76B1-43E4-8698-F6D39B75C8C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M4" authorId="3" shapeId="0" xr:uid="{FEAA0259-DE09-4418-B0B2-5E07E5626C4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Bankbeleg statt Rechnung</t>
      </text>
    </comment>
    <comment ref="M5" authorId="4" shapeId="0" xr:uid="{14AD921A-765A-483F-9534-EF714C6AA6B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9" authorId="5" shapeId="0" xr:uid="{5AA30F08-9715-4925-B42D-14AB0D48F9F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25" authorId="6" shapeId="0" xr:uid="{8E80F728-CEA2-4DE9-B0C5-8D5D509BD7E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27" authorId="7" shapeId="0" xr:uid="{3521C84C-7252-4753-8321-92E8FFCD237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31" authorId="8" shapeId="0" xr:uid="{6FAEF9E1-6716-4C4F-8E3F-2AE8705407A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33" authorId="9" shapeId="0" xr:uid="{FBF47011-5421-45CC-A837-9CACAE7FAD9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40" authorId="10" shapeId="0" xr:uid="{7A6EA937-7FCA-4883-B4F0-D1D9E393831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44" authorId="11" shapeId="0" xr:uid="{34798BD4-D287-4629-B693-928E02C4547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46" authorId="12" shapeId="0" xr:uid="{3C373ADD-820A-47A5-8342-7AD5B10E6A4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58" authorId="13" shapeId="0" xr:uid="{BD9E4BA5-1229-4781-80C4-DE7E5BB4ACF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60" authorId="14" shapeId="0" xr:uid="{A211D076-9AAF-4288-B365-D65BE6AC8E3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64" authorId="15" shapeId="0" xr:uid="{EF5FB83F-30A0-43B1-9059-67DB84EAEC6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66" authorId="16" shapeId="0" xr:uid="{0CC9E41F-4579-4416-A818-3911F7C5765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RNr -1 (31.3.21): 57,49
RNr -2 (30.4.21): -3,42
------------------------
Payment 4/21:    54,07</t>
      </text>
    </comment>
    <comment ref="V68" authorId="17" shapeId="0" xr:uid="{2BB58E20-D77D-4088-9907-6C25895FECB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Mahnspesen sind USt befreit</t>
      </text>
    </comment>
    <comment ref="M74" authorId="18" shapeId="0" xr:uid="{2DA476B1-C7C3-47D8-8F80-42CD99DFE4F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75" authorId="19" shapeId="0" xr:uid="{25C97D9E-C312-404F-9639-4E3C77A0E9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77" authorId="20" shapeId="0" xr:uid="{797EA2B5-31F1-4676-8BB5-31424903CE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80" authorId="21" shapeId="0" xr:uid="{CAED9545-13AB-448F-B56F-3C3DC94B9EC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Bankbeleg statt Rechnung</t>
      </text>
    </comment>
    <comment ref="M85" authorId="22" shapeId="0" xr:uid="{E5EED6C8-EEDD-4C8C-BA78-8B11A08BE65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86" authorId="23" shapeId="0" xr:uid="{D87CEDB0-2604-494A-A19E-3AF51E2A7E1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89" authorId="24" shapeId="0" xr:uid="{9608BF26-92B4-4198-97CB-8219DDE5018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103" authorId="25" shapeId="0" xr:uid="{DE11329A-EFF9-4638-9C4E-048EA5804EC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104" authorId="26" shapeId="0" xr:uid="{C24D9257-87CD-4ED4-9B8F-EF4C1990D9A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t>
      </text>
    </comment>
    <comment ref="M106" authorId="27" shapeId="0" xr:uid="{449657CA-549E-4A7C-A7C6-BE19CFFC6A9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112" authorId="28" shapeId="0" xr:uid="{E8E28E8A-9C8B-4494-A203-9B9AF38D505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113" authorId="29" shapeId="0" xr:uid="{98BCB429-4C53-4C28-9B98-0E8922F1813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Nachtragszahlung zu 21/9001/VS00472</t>
      </text>
    </comment>
    <comment ref="M117" authorId="30" shapeId="0" xr:uid="{FD4F041F-0AFF-4A50-93CB-9127FF48F38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120" authorId="31" shapeId="0" xr:uid="{CECE86CA-CDB9-4F00-9361-DE2EC7B5E03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124" authorId="32" shapeId="0" xr:uid="{31A90078-6DB0-4BE7-BFFD-79BE2D42FDA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132" authorId="33" shapeId="0" xr:uid="{046FEEF5-299E-41AB-A292-DD389A00EF3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134" authorId="34" shapeId="0" xr:uid="{34BE9742-0E83-4136-BEB5-8EE42910298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137" authorId="35" shapeId="0" xr:uid="{11B58AE5-12D7-4FAF-8428-B06F56C45E0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147" authorId="36" shapeId="0" xr:uid="{5C417FAC-28F8-40F7-9687-920C0CA89B9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148" authorId="37" shapeId="0" xr:uid="{9BC60375-AA13-42CD-A31F-937FB52EC90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149" authorId="38" shapeId="0" xr:uid="{288142BC-37D7-4B5D-A10F-E37699B9C4C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161" authorId="39" shapeId="0" xr:uid="{7B11ABC5-4946-4D22-BB54-29AE92B63B1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Es ist nicht ganz klar, ob das die richtige Rechnung ist (Rechnungsdatum 30.9.)</t>
      </text>
    </comment>
    <comment ref="M162" authorId="40" shapeId="0" xr:uid="{06840C74-DC83-4B34-A536-9FB26A73A7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163" authorId="41" shapeId="0" xr:uid="{3EA3EADB-3AB2-479B-A3A1-9191CB82208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166" authorId="42" shapeId="0" xr:uid="{9B1373C9-5DE8-49BA-9453-012DFC6BC9A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180" authorId="43" shapeId="0" xr:uid="{1211187D-6621-44CA-A086-7CBA14EDB77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181" authorId="44" shapeId="0" xr:uid="{10814FD8-5AB1-41FF-8C27-9D530CC2503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Autor</author>
    <author>tc={52A37AAB-69EA-466A-8D24-5D0B4265A0C3}</author>
    <author>tc={DEFBBB84-CEBA-4611-A873-361671B486B9}</author>
    <author>tc={6902C7AA-E2DF-4CF1-933E-04459E1FF006}</author>
    <author>tc={4F0EB94B-E363-4D3F-AE55-B8AF2DED4842}</author>
    <author>tc={5CA0A0CD-E90E-4748-8A99-DD6B69044269}</author>
    <author>tc={93ACAC1F-048C-47FD-AF23-354958A033DB}</author>
    <author>tc={796BC8EB-EF22-45C9-AC8C-F0711B4673F4}</author>
    <author>tc={527C0E20-CB77-450E-9498-1DD46EBEEF83}</author>
    <author>tc={48AD8649-613F-4200-9D16-BA4CC9B23E96}</author>
    <author>tc={1D4BFF34-C5F2-4160-B4D4-C657011B3C3D}</author>
    <author>tc={675AF910-6DF9-4AB7-939C-EABF811A2D27}</author>
    <author>tc={480BB9C1-D8ED-46A8-AA69-59AD09AE2E27}</author>
    <author>tc={FAD13A7D-BC1A-4538-99FD-670AE4B96EB4}</author>
    <author>tc={9D2CEC88-BD9F-43BF-9DE6-C91D9762126F}</author>
    <author>tc={A55E87FB-BB99-4947-B86D-CFF767F7D2DF}</author>
    <author>tc={27BADF59-5BA8-408B-82CA-8109AE8304CB}</author>
    <author>tc={3C92BFDB-7702-4442-9FA7-8012184ABB90}</author>
    <author>tc={42F311BB-EC1B-4271-B728-714686F7559E}</author>
    <author>tc={DFA0520F-74FB-4959-B169-5C29447100E0}</author>
    <author>tc={AB63EF2C-69E2-4F9B-B64D-0AC2B6A0A509}</author>
    <author>tc={60EB1809-859E-468C-AB69-BB6F2977EDF1}</author>
    <author>tc={0E6607A7-70FD-411B-BB95-AEE00CA2F738}</author>
    <author>tc={DC66A791-4944-45AA-87EE-E23E153C6A6C}</author>
    <author>tc={D739DD7D-8D36-471C-A139-22CCDE9652E0}</author>
    <author>tc={E48BD6C5-E9BE-4584-9380-EFD06BC22696}</author>
    <author>tc={884DFEA0-4AEC-4B7E-AE54-5D7B1ECE59D5}</author>
    <author>tc={35BD3DD5-04A8-4834-9316-B5E34BAB5C53}</author>
    <author>tc={BD158228-4FB7-4802-BFC9-BEE89329B442}</author>
    <author>tc={FBA4FFA6-1D82-46A1-8FBF-F15B5F37A346}</author>
    <author>tc={8307807A-25AE-4EEB-8021-7916F6C85841}</author>
    <author>tc={6C6A66CC-F066-4838-830C-A7EAFFAA54B4}</author>
    <author>tc={99E8F843-3120-4B9C-9F4D-26D048309579}</author>
    <author>tc={20827E7F-2D96-4C62-8492-B38FB9A066A1}</author>
    <author>tc={137D7052-FC6F-44B1-9D1D-9CE5234D4D4F}</author>
    <author>tc={B2538BBB-F2BF-4DF7-984A-F7C104D50F14}</author>
    <author>tc={A9EBE6FA-A062-4898-9096-7525186F078A}</author>
    <author>tc={A6B6689A-6CB1-450D-AAE5-28A95ACAC06C}</author>
    <author>tc={B4C46F14-8441-47C8-831B-528FB2E15A08}</author>
    <author>tc={48773C1F-5E31-4376-AF4B-4E357C5398ED}</author>
    <author>tc={B26FB52C-EB9D-440D-9DCE-3FFE3C9AC1C9}</author>
  </authors>
  <commentList>
    <comment ref="F1" authorId="0" shapeId="0" xr:uid="{BBD8590D-9788-4869-A311-E1BF65AC4BDE}">
      <text>
        <r>
          <rPr>
            <b/>
            <sz val="8"/>
            <color indexed="81"/>
            <rFont val="Segoe UI"/>
            <family val="2"/>
          </rPr>
          <t>Autor:</t>
        </r>
        <r>
          <rPr>
            <sz val="8"/>
            <color indexed="81"/>
            <rFont val="Segoe UI"/>
            <family val="2"/>
          </rPr>
          <t xml:space="preserve">
als Betriebsausgabe abzugfsähiger Anteil</t>
        </r>
      </text>
    </comment>
    <comment ref="M6" authorId="1" shapeId="0" xr:uid="{52A37AAB-69EA-466A-8D24-5D0B4265A0C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S10" authorId="2" shapeId="0" xr:uid="{DEFBBB84-CEBA-4611-A873-361671B486B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M11" authorId="3" shapeId="0" xr:uid="{6902C7AA-E2DF-4CF1-933E-04459E1FF00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M34" authorId="4" shapeId="0" xr:uid="{4F0EB94B-E363-4D3F-AE55-B8AF2DED484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41" authorId="5" shapeId="0" xr:uid="{5CA0A0CD-E90E-4748-8A99-DD6B6904426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S60" authorId="6" shapeId="0" xr:uid="{93ACAC1F-048C-47FD-AF23-354958A033D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M74" authorId="7" shapeId="0" xr:uid="{796BC8EB-EF22-45C9-AC8C-F0711B4673F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79" authorId="8" shapeId="0" xr:uid="{527C0E20-CB77-450E-9498-1DD46EBEEF8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83" authorId="9" shapeId="0" xr:uid="{48AD8649-613F-4200-9D16-BA4CC9B23E9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M102" authorId="10" shapeId="0" xr:uid="{1D4BFF34-C5F2-4160-B4D4-C657011B3C3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107" authorId="11" shapeId="0" xr:uid="{675AF910-6DF9-4AB7-939C-EABF811A2D2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115" authorId="12" shapeId="0" xr:uid="{480BB9C1-D8ED-46A8-AA69-59AD09AE2E2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116" authorId="13" shapeId="0" xr:uid="{FAD13A7D-BC1A-4538-99FD-670AE4B96EB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119" authorId="14" shapeId="0" xr:uid="{9D2CEC88-BD9F-43BF-9DE6-C91D9762126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M127" authorId="15" shapeId="0" xr:uid="{A55E87FB-BB99-4947-B86D-CFF767F7D2D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138" authorId="16" shapeId="0" xr:uid="{27BADF59-5BA8-408B-82CA-8109AE8304C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146" authorId="17" shapeId="0" xr:uid="{3C92BFDB-7702-4442-9FA7-8012184ABB9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M155" authorId="18" shapeId="0" xr:uid="{42F311BB-EC1B-4271-B728-714686F7559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M156" authorId="19" shapeId="0" xr:uid="{DFA0520F-74FB-4959-B169-5C29447100E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159" authorId="20" shapeId="0" xr:uid="{AB63EF2C-69E2-4F9B-B64D-0AC2B6A0A50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M170" authorId="21" shapeId="0" xr:uid="{60EB1809-859E-468C-AB69-BB6F2977EDF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175" authorId="22" shapeId="0" xr:uid="{0E6607A7-70FD-411B-BB95-AEE00CA2F73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M178" authorId="23" shapeId="0" xr:uid="{DC66A791-4944-45AA-87EE-E23E153C6A6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S182" authorId="24" shapeId="0" xr:uid="{D739DD7D-8D36-471C-A139-22CCDE9652E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Brutto 0,6 € zu viel bezahlt</t>
      </text>
    </comment>
    <comment ref="O185" authorId="25" shapeId="0" xr:uid="{E48BD6C5-E9BE-4584-9380-EFD06BC2269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ausländische USt auf der Rechnung - kein Vorsteuerabzug</t>
      </text>
    </comment>
    <comment ref="M191" authorId="26" shapeId="0" xr:uid="{884DFEA0-4AEC-4B7E-AE54-5D7B1ECE59D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192" authorId="27" shapeId="0" xr:uid="{35BD3DD5-04A8-4834-9316-B5E34BAB5C5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M194" authorId="28" shapeId="0" xr:uid="{BD158228-4FB7-4802-BFC9-BEE89329B44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V202" authorId="29" shapeId="0" xr:uid="{FBA4FFA6-1D82-46A1-8FBF-F15B5F37A34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W202" authorId="30" shapeId="0" xr:uid="{8307807A-25AE-4EEB-8021-7916F6C8584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M204" authorId="31" shapeId="0" xr:uid="{6C6A66CC-F066-4838-830C-A7EAFFAA54B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205" authorId="32" shapeId="0" xr:uid="{99E8F843-3120-4B9C-9F4D-26D04830957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M209" authorId="33" shapeId="0" xr:uid="{20827E7F-2D96-4C62-8492-B38FB9A066A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V220" authorId="34" shapeId="0" xr:uid="{137D7052-FC6F-44B1-9D1D-9CE5234D4D4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W220" authorId="35" shapeId="0" xr:uid="{B2538BBB-F2BF-4DF7-984A-F7C104D50F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M222" authorId="36" shapeId="0" xr:uid="{A9EBE6FA-A062-4898-9096-7525186F078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223" authorId="37" shapeId="0" xr:uid="{A6B6689A-6CB1-450D-AAE5-28A95ACAC06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M229" authorId="38" shapeId="0" xr:uid="{B4C46F14-8441-47C8-831B-528FB2E15A0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V234" authorId="39" shapeId="0" xr:uid="{48773C1F-5E31-4376-AF4B-4E357C5398E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W234" authorId="40" shapeId="0" xr:uid="{B26FB52C-EB9D-440D-9DCE-3FFE3C9AC1C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F1" authorId="0" shapeId="0" xr:uid="{A973E7BB-9D4C-4026-B007-87295B4232BD}">
      <text>
        <r>
          <rPr>
            <b/>
            <sz val="8"/>
            <color indexed="81"/>
            <rFont val="Segoe UI"/>
            <family val="2"/>
          </rPr>
          <t>Autor:</t>
        </r>
        <r>
          <rPr>
            <sz val="8"/>
            <color indexed="81"/>
            <rFont val="Segoe UI"/>
            <family val="2"/>
          </rPr>
          <t xml:space="preserve">
als Betriebsausgabe abzugfsähiger Anteil</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Michael Jaros</author>
    <author>Autor</author>
    <author>mj</author>
  </authors>
  <commentList>
    <comment ref="M1" authorId="0" shapeId="0" xr:uid="{6276FD50-C1DD-42BD-8A77-66D78F449917}">
      <text>
        <r>
          <rPr>
            <b/>
            <sz val="8"/>
            <color indexed="81"/>
            <rFont val="Segoe UI"/>
            <family val="2"/>
          </rPr>
          <t>Michael Jaros:</t>
        </r>
        <r>
          <rPr>
            <sz val="8"/>
            <color indexed="81"/>
            <rFont val="Segoe UI"/>
            <family val="2"/>
          </rPr>
          <t xml:space="preserve">
bei teils privater Nutzung Gesamtpreis
</t>
        </r>
      </text>
    </comment>
    <comment ref="N1" authorId="0" shapeId="0" xr:uid="{92FFF291-8087-4083-A197-42D79CB01A4D}">
      <text>
        <r>
          <rPr>
            <b/>
            <sz val="8"/>
            <color indexed="81"/>
            <rFont val="Segoe UI"/>
            <family val="2"/>
          </rPr>
          <t>Michael Jaros:</t>
        </r>
        <r>
          <rPr>
            <sz val="8"/>
            <color indexed="81"/>
            <rFont val="Segoe UI"/>
            <family val="2"/>
          </rPr>
          <t xml:space="preserve">
geschäftlich genutzter Anteil, zB bei teils priv. Nutzung</t>
        </r>
      </text>
    </comment>
    <comment ref="O1" authorId="1" shapeId="0" xr:uid="{B1956BBD-5579-4209-BA18-EC4036C56A2A}">
      <text>
        <r>
          <rPr>
            <b/>
            <sz val="8"/>
            <color indexed="81"/>
            <rFont val="Segoe UI"/>
            <family val="2"/>
          </rPr>
          <t>Autor:</t>
        </r>
        <r>
          <rPr>
            <sz val="8"/>
            <color indexed="81"/>
            <rFont val="Segoe UI"/>
            <family val="2"/>
          </rPr>
          <t xml:space="preserve">
als Betriebsausgabe abzugfsähiger Anteil</t>
        </r>
      </text>
    </comment>
    <comment ref="U1" authorId="1" shapeId="0" xr:uid="{8EEFC03F-20D7-4C79-B560-1A3498B9EC6D}">
      <text>
        <r>
          <rPr>
            <b/>
            <sz val="8"/>
            <color indexed="81"/>
            <rFont val="Segoe UI"/>
            <family val="2"/>
          </rPr>
          <t>Autor:</t>
        </r>
        <r>
          <rPr>
            <sz val="8"/>
            <color indexed="81"/>
            <rFont val="Segoe UI"/>
            <family val="2"/>
          </rPr>
          <t xml:space="preserve">
Rechnungsbetrag
inkl. USt.</t>
        </r>
      </text>
    </comment>
    <comment ref="X1" authorId="0" shapeId="0" xr:uid="{7623F4F7-96F4-451A-8542-2CD840EAE8E2}">
      <text>
        <r>
          <rPr>
            <b/>
            <sz val="8"/>
            <color indexed="81"/>
            <rFont val="Segoe UI"/>
            <family val="2"/>
          </rPr>
          <t>Michael Jaros:</t>
        </r>
        <r>
          <rPr>
            <sz val="8"/>
            <color indexed="81"/>
            <rFont val="Segoe UI"/>
            <family val="2"/>
          </rPr>
          <t xml:space="preserve">
steuerfreie IG lieferung; 0% reverse charge</t>
        </r>
      </text>
    </comment>
    <comment ref="Z1" authorId="0" shapeId="0" xr:uid="{65D44E60-EB95-4EB5-BAB4-3B17B12B08CC}">
      <text>
        <r>
          <rPr>
            <b/>
            <sz val="8"/>
            <color indexed="81"/>
            <rFont val="Segoe UI"/>
            <family val="2"/>
          </rPr>
          <t>Michael Jaros:</t>
        </r>
        <r>
          <rPr>
            <sz val="8"/>
            <color indexed="81"/>
            <rFont val="Segoe UI"/>
            <family val="2"/>
          </rPr>
          <t xml:space="preserve">
in Ö zu entrichtende Vorsteuer (auf dem Papier, da Vorsteuer-abzugsberechtigt)</t>
        </r>
      </text>
    </comment>
    <comment ref="N4" authorId="2" shapeId="0" xr:uid="{55B583C9-B8D2-4916-8D44-2660D5C21BDB}">
      <text>
        <r>
          <rPr>
            <b/>
            <sz val="9"/>
            <color indexed="81"/>
            <rFont val="Segoe UI"/>
            <family val="2"/>
          </rPr>
          <t>mj:</t>
        </r>
        <r>
          <rPr>
            <sz val="9"/>
            <color indexed="81"/>
            <rFont val="Segoe UI"/>
            <family val="2"/>
          </rPr>
          <t xml:space="preserve">
20%USt-Anteil (d.h. ohne TV)= 20,3/39,11 x 2/3 (überwiegend geschäftlich)</t>
        </r>
      </text>
    </comment>
    <comment ref="M8" authorId="2" shapeId="0" xr:uid="{664D913E-EB8C-49C7-81B6-04441A432EFF}">
      <text>
        <r>
          <rPr>
            <b/>
            <sz val="9"/>
            <color indexed="81"/>
            <rFont val="Segoe UI"/>
            <family val="2"/>
          </rPr>
          <t>mj:</t>
        </r>
        <r>
          <rPr>
            <sz val="9"/>
            <color indexed="81"/>
            <rFont val="Segoe UI"/>
            <family val="2"/>
          </rPr>
          <t xml:space="preserve">
am 27.12.17 wurden 
    881,95-839,78=42,17 zu viel 
bezahlt, daher wurden am 25.1. nur 
    839,78-42,17=797,61 
bezahlt, ab nächsten Monat dann wieder 839,78 (alle Preise inkl. USt.)</t>
        </r>
      </text>
    </comment>
    <comment ref="N12" authorId="2" shapeId="0" xr:uid="{7C91713E-BBC6-4E19-B865-98675A285CDB}">
      <text>
        <r>
          <rPr>
            <b/>
            <sz val="9"/>
            <color indexed="81"/>
            <rFont val="Segoe UI"/>
            <family val="2"/>
          </rPr>
          <t>mj:</t>
        </r>
        <r>
          <rPr>
            <sz val="9"/>
            <color indexed="81"/>
            <rFont val="Segoe UI"/>
            <family val="2"/>
          </rPr>
          <t xml:space="preserve">
20%USt-Anteil (d.h. ohne TV)= 20,3/39,11 x 2/3 (überwiegend geschäftlich)</t>
        </r>
      </text>
    </comment>
    <comment ref="N16" authorId="2" shapeId="0" xr:uid="{343F8DD5-58AF-400D-AF65-7B24A78609B6}">
      <text>
        <r>
          <rPr>
            <b/>
            <sz val="9"/>
            <color indexed="81"/>
            <rFont val="Segoe UI"/>
            <family val="2"/>
          </rPr>
          <t>mj:</t>
        </r>
        <r>
          <rPr>
            <sz val="9"/>
            <color indexed="81"/>
            <rFont val="Segoe UI"/>
            <family val="2"/>
          </rPr>
          <t xml:space="preserve">
20%USt-Anteil (d.h. ohne TV)= 20,3/39,11 x 2/3 (überwiegend geschäftlich)</t>
        </r>
      </text>
    </comment>
    <comment ref="N21" authorId="2" shapeId="0" xr:uid="{58FAFB44-3ECE-4C08-8174-61CCD8B7B34F}">
      <text>
        <r>
          <rPr>
            <b/>
            <sz val="9"/>
            <color indexed="81"/>
            <rFont val="Segoe UI"/>
            <family val="2"/>
          </rPr>
          <t>mj:</t>
        </r>
        <r>
          <rPr>
            <sz val="9"/>
            <color indexed="81"/>
            <rFont val="Segoe UI"/>
            <family val="2"/>
          </rPr>
          <t xml:space="preserve">
20%USt-Anteil (d.h. ohne TV)= 20,3/39,11 x 2/3 (überwiegend geschäftlich)</t>
        </r>
      </text>
    </comment>
    <comment ref="N27" authorId="2" shapeId="0" xr:uid="{35C9EA16-4C52-4E4D-9019-385A0E0E5784}">
      <text>
        <r>
          <rPr>
            <b/>
            <sz val="9"/>
            <color indexed="81"/>
            <rFont val="Segoe UI"/>
            <family val="2"/>
          </rPr>
          <t>mj:</t>
        </r>
        <r>
          <rPr>
            <sz val="9"/>
            <color indexed="81"/>
            <rFont val="Segoe UI"/>
            <family val="2"/>
          </rPr>
          <t xml:space="preserve">
20%USt-Anteil (d.h. ohne TV)= 20,3/39,11 x 2/3 (überwiegend geschäftlich)</t>
        </r>
      </text>
    </comment>
    <comment ref="N46" authorId="2" shapeId="0" xr:uid="{2319C9E7-970B-4080-8C58-D450BAE5241E}">
      <text>
        <r>
          <rPr>
            <b/>
            <sz val="9"/>
            <color indexed="81"/>
            <rFont val="Segoe UI"/>
            <family val="2"/>
          </rPr>
          <t>mj:</t>
        </r>
        <r>
          <rPr>
            <sz val="9"/>
            <color indexed="81"/>
            <rFont val="Segoe UI"/>
            <family val="2"/>
          </rPr>
          <t xml:space="preserve">
20%USt-Anteil (d.h. ohne TV)= 20,3/39,11 x 2/3 (überwiegend geschäftlich)</t>
        </r>
      </text>
    </comment>
    <comment ref="N57" authorId="2" shapeId="0" xr:uid="{8C226087-B9F5-4B52-8447-CB2A7F0E4C54}">
      <text>
        <r>
          <rPr>
            <b/>
            <sz val="9"/>
            <color indexed="81"/>
            <rFont val="Segoe UI"/>
            <family val="2"/>
          </rPr>
          <t>mj:</t>
        </r>
        <r>
          <rPr>
            <sz val="9"/>
            <color indexed="81"/>
            <rFont val="Segoe UI"/>
            <family val="2"/>
          </rPr>
          <t xml:space="preserve">
20%USt-Anteil (d.h. ohne TV)= 20,3/39,11 x 2/3 (überwiegend geschäftlich)</t>
        </r>
      </text>
    </comment>
    <comment ref="N66" authorId="2" shapeId="0" xr:uid="{58DC0EAC-78A7-4FB3-9450-8DB57A957D08}">
      <text>
        <r>
          <rPr>
            <b/>
            <sz val="9"/>
            <color indexed="81"/>
            <rFont val="Segoe UI"/>
            <family val="2"/>
          </rPr>
          <t>mj:</t>
        </r>
        <r>
          <rPr>
            <sz val="9"/>
            <color indexed="81"/>
            <rFont val="Segoe UI"/>
            <family val="2"/>
          </rPr>
          <t xml:space="preserve">
20%USt-Anteil (d.h. ohne TV)= 20,3/39,11 x 2/3 (überwiegend geschäftlich)</t>
        </r>
      </text>
    </comment>
    <comment ref="N72" authorId="2" shapeId="0" xr:uid="{96258A3C-E9E3-46BF-BEAA-BFABD9B8F109}">
      <text>
        <r>
          <rPr>
            <b/>
            <sz val="9"/>
            <color indexed="81"/>
            <rFont val="Segoe UI"/>
            <family val="2"/>
          </rPr>
          <t>mj:</t>
        </r>
        <r>
          <rPr>
            <sz val="9"/>
            <color indexed="81"/>
            <rFont val="Segoe UI"/>
            <family val="2"/>
          </rPr>
          <t xml:space="preserve">
20%USt-Anteil (d.h. ohne TV)= 20,3/39,11 x 2/3 (überwiegend geschäftlich)</t>
        </r>
      </text>
    </comment>
    <comment ref="N80" authorId="2" shapeId="0" xr:uid="{88DE890B-EA8F-47C4-A4B9-1B355880D78E}">
      <text>
        <r>
          <rPr>
            <b/>
            <sz val="9"/>
            <color indexed="81"/>
            <rFont val="Segoe UI"/>
            <family val="2"/>
          </rPr>
          <t>mj:</t>
        </r>
        <r>
          <rPr>
            <sz val="9"/>
            <color indexed="81"/>
            <rFont val="Segoe UI"/>
            <family val="2"/>
          </rPr>
          <t xml:space="preserve">
20%USt-Anteil (d.h. ohne TV)= 20,3/39,11 x 2/3 (überwiegend geschäftlich)</t>
        </r>
      </text>
    </comment>
    <comment ref="N93" authorId="2" shapeId="0" xr:uid="{FE3B2977-CC87-45A0-A843-78F6006E4B23}">
      <text>
        <r>
          <rPr>
            <b/>
            <sz val="9"/>
            <color indexed="81"/>
            <rFont val="Segoe UI"/>
            <family val="2"/>
          </rPr>
          <t>mj:</t>
        </r>
        <r>
          <rPr>
            <sz val="9"/>
            <color indexed="81"/>
            <rFont val="Segoe UI"/>
            <family val="2"/>
          </rPr>
          <t xml:space="preserve">
20%USt-Anteil (d.h. ohne TV)= 20,3/39,11 x 2/3 (überwiegend geschäftlich)</t>
        </r>
      </text>
    </comment>
    <comment ref="N109" authorId="2" shapeId="0" xr:uid="{ED1133AA-B1B1-4E9D-8210-4121C1BD2171}">
      <text>
        <r>
          <rPr>
            <b/>
            <sz val="9"/>
            <color indexed="81"/>
            <rFont val="Segoe UI"/>
            <family val="2"/>
          </rPr>
          <t>mj:</t>
        </r>
        <r>
          <rPr>
            <sz val="9"/>
            <color indexed="81"/>
            <rFont val="Segoe UI"/>
            <family val="2"/>
          </rPr>
          <t xml:space="preserve">
20%USt-Anteil (d.h. ohne TV)= 20,3/39,11 x 2/3 (überwiegend geschäftlich)</t>
        </r>
      </text>
    </comment>
    <comment ref="E111" authorId="2" shapeId="0" xr:uid="{1CF92CBD-8B29-4A34-94EB-2FDDE391F8DB}">
      <text>
        <r>
          <rPr>
            <b/>
            <sz val="9"/>
            <color indexed="81"/>
            <rFont val="Segoe UI"/>
            <family val="2"/>
          </rPr>
          <t>mj:</t>
        </r>
        <r>
          <rPr>
            <sz val="9"/>
            <color indexed="81"/>
            <rFont val="Segoe UI"/>
            <family val="2"/>
          </rPr>
          <t xml:space="preserve">
Betrag stimmt nicht mit Rechnung überein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Michael Jaros</author>
    <author>Autor</author>
    <author>mj</author>
  </authors>
  <commentList>
    <comment ref="M1" authorId="0" shapeId="0" xr:uid="{796F7EFF-0F87-4203-9455-34FDAE1A3CFF}">
      <text>
        <r>
          <rPr>
            <b/>
            <sz val="8"/>
            <color indexed="81"/>
            <rFont val="Segoe UI"/>
            <family val="2"/>
          </rPr>
          <t>Michael Jaros:</t>
        </r>
        <r>
          <rPr>
            <sz val="8"/>
            <color indexed="81"/>
            <rFont val="Segoe UI"/>
            <family val="2"/>
          </rPr>
          <t xml:space="preserve">
bei teils privater Nutzung Gesamtpreis
</t>
        </r>
      </text>
    </comment>
    <comment ref="N1" authorId="0" shapeId="0" xr:uid="{7B716B43-40F4-4E80-A118-5735870DF30F}">
      <text>
        <r>
          <rPr>
            <b/>
            <sz val="8"/>
            <color indexed="81"/>
            <rFont val="Segoe UI"/>
            <family val="2"/>
          </rPr>
          <t>Michael Jaros:</t>
        </r>
        <r>
          <rPr>
            <sz val="8"/>
            <color indexed="81"/>
            <rFont val="Segoe UI"/>
            <family val="2"/>
          </rPr>
          <t xml:space="preserve">
geschäftlich genutzter Anteil, zB bei teils priv. Nutzung</t>
        </r>
      </text>
    </comment>
    <comment ref="U1" authorId="1" shapeId="0" xr:uid="{CB62232E-507E-42C8-B3FA-738C04633F72}">
      <text>
        <r>
          <rPr>
            <b/>
            <sz val="8"/>
            <color indexed="81"/>
            <rFont val="Segoe UI"/>
            <family val="2"/>
          </rPr>
          <t>Autor:</t>
        </r>
        <r>
          <rPr>
            <sz val="8"/>
            <color indexed="81"/>
            <rFont val="Segoe UI"/>
            <family val="2"/>
          </rPr>
          <t xml:space="preserve">
Rechnungsbetrag
inkl. USt.</t>
        </r>
      </text>
    </comment>
    <comment ref="X1" authorId="0" shapeId="0" xr:uid="{4DBBBF01-B3B5-43C7-B006-C83732E8964B}">
      <text>
        <r>
          <rPr>
            <b/>
            <sz val="8"/>
            <color indexed="81"/>
            <rFont val="Segoe UI"/>
            <family val="2"/>
          </rPr>
          <t>Michael Jaros:</t>
        </r>
        <r>
          <rPr>
            <sz val="8"/>
            <color indexed="81"/>
            <rFont val="Segoe UI"/>
            <family val="2"/>
          </rPr>
          <t xml:space="preserve">
steuerfreie IG lieferung; 0% reverse charge</t>
        </r>
      </text>
    </comment>
    <comment ref="Z1" authorId="0" shapeId="0" xr:uid="{2E2D47A8-F3D8-495F-AB5D-1808FD90CBBF}">
      <text>
        <r>
          <rPr>
            <b/>
            <sz val="8"/>
            <color indexed="81"/>
            <rFont val="Segoe UI"/>
            <family val="2"/>
          </rPr>
          <t>Michael Jaros:</t>
        </r>
        <r>
          <rPr>
            <sz val="8"/>
            <color indexed="81"/>
            <rFont val="Segoe UI"/>
            <family val="2"/>
          </rPr>
          <t xml:space="preserve">
in Ö zu entrichtende Vorsteuer (auf dem Papier, da Vorsteuer-abzugsberechtigt)</t>
        </r>
      </text>
    </comment>
    <comment ref="M8" authorId="2" shapeId="0" xr:uid="{7247FF18-11BE-4A3A-8C55-ACA21DBFE7E2}">
      <text>
        <r>
          <rPr>
            <b/>
            <sz val="9"/>
            <color indexed="81"/>
            <rFont val="Segoe UI"/>
            <family val="2"/>
          </rPr>
          <t>mj:</t>
        </r>
        <r>
          <rPr>
            <sz val="9"/>
            <color indexed="81"/>
            <rFont val="Segoe UI"/>
            <family val="2"/>
          </rPr>
          <t xml:space="preserve">
am 27.12.17 wurden 
    881,95-839,78=42,17 zu viel 
bezahlt, daher wurden am 25.1. nur 
    839,78-42,17=797,61 
bezahlt, ab nächsten Monat dann wieder 839,78 (alle Preise inkl. USt.)</t>
        </r>
      </text>
    </comment>
    <comment ref="E111" authorId="2" shapeId="0" xr:uid="{0575CD5B-125B-41F2-8FD8-9225EA9B9192}">
      <text>
        <r>
          <rPr>
            <b/>
            <sz val="9"/>
            <color indexed="81"/>
            <rFont val="Segoe UI"/>
            <family val="2"/>
          </rPr>
          <t>mj:</t>
        </r>
        <r>
          <rPr>
            <sz val="9"/>
            <color indexed="81"/>
            <rFont val="Segoe UI"/>
            <family val="2"/>
          </rPr>
          <t xml:space="preserve">
Betrag stimmt nicht mit Rechnung überein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Michael Jaros</author>
    <author>Autor</author>
    <author>mj</author>
  </authors>
  <commentList>
    <comment ref="G1" authorId="0" shapeId="0" xr:uid="{0855317D-4DF4-4201-BD67-EBA003FA0D30}">
      <text>
        <r>
          <rPr>
            <b/>
            <sz val="8"/>
            <color indexed="81"/>
            <rFont val="Segoe UI"/>
            <family val="2"/>
          </rPr>
          <t>Michael Jaros:</t>
        </r>
        <r>
          <rPr>
            <sz val="8"/>
            <color indexed="81"/>
            <rFont val="Segoe UI"/>
            <family val="2"/>
          </rPr>
          <t xml:space="preserve">
bei teils privater Nutzung Gesamtpreis
</t>
        </r>
      </text>
    </comment>
    <comment ref="H1" authorId="0" shapeId="0" xr:uid="{20EFEE29-4101-4CCD-BB7B-090FD15BDFF0}">
      <text>
        <r>
          <rPr>
            <b/>
            <sz val="8"/>
            <color indexed="81"/>
            <rFont val="Segoe UI"/>
            <family val="2"/>
          </rPr>
          <t>Michael Jaros:</t>
        </r>
        <r>
          <rPr>
            <sz val="8"/>
            <color indexed="81"/>
            <rFont val="Segoe UI"/>
            <family val="2"/>
          </rPr>
          <t xml:space="preserve">
geschäftlich genutzter Anteil, zB bei teils priv. Nutzung</t>
        </r>
      </text>
    </comment>
    <comment ref="I1" authorId="1" shapeId="0" xr:uid="{43F63307-D0ED-442D-AB20-4B4DDA053340}">
      <text>
        <r>
          <rPr>
            <b/>
            <sz val="8"/>
            <color indexed="81"/>
            <rFont val="Segoe UI"/>
            <family val="2"/>
          </rPr>
          <t>Autor:</t>
        </r>
        <r>
          <rPr>
            <sz val="8"/>
            <color indexed="81"/>
            <rFont val="Segoe UI"/>
            <family val="2"/>
          </rPr>
          <t xml:space="preserve">
als Betriebsausgabe abzugfsähiger Anteil</t>
        </r>
      </text>
    </comment>
    <comment ref="O1" authorId="1" shapeId="0" xr:uid="{10006408-EAD7-4966-A726-F8F93FEE003C}">
      <text>
        <r>
          <rPr>
            <b/>
            <sz val="8"/>
            <color indexed="81"/>
            <rFont val="Segoe UI"/>
            <family val="2"/>
          </rPr>
          <t>Autor:</t>
        </r>
        <r>
          <rPr>
            <sz val="8"/>
            <color indexed="81"/>
            <rFont val="Segoe UI"/>
            <family val="2"/>
          </rPr>
          <t xml:space="preserve">
Rechnungsbetrag
inkl. USt.</t>
        </r>
      </text>
    </comment>
    <comment ref="H10" authorId="2" shapeId="0" xr:uid="{0343DA13-2ADB-45DE-ABA2-643C3FBC0F2F}">
      <text>
        <r>
          <rPr>
            <b/>
            <sz val="9"/>
            <color indexed="81"/>
            <rFont val="Segoe UI"/>
            <family val="2"/>
          </rPr>
          <t>mj:</t>
        </r>
        <r>
          <rPr>
            <sz val="9"/>
            <color indexed="81"/>
            <rFont val="Segoe UI"/>
            <family val="2"/>
          </rPr>
          <t xml:space="preserve">
Anteil 1 stimmt nicht, oder?</t>
        </r>
      </text>
    </comment>
    <comment ref="K13" authorId="2" shapeId="0" xr:uid="{93DA937F-969C-4BA2-B400-AFCA7D320D59}">
      <text>
        <r>
          <rPr>
            <b/>
            <sz val="9"/>
            <color indexed="81"/>
            <rFont val="Segoe UI"/>
            <family val="2"/>
          </rPr>
          <t>mj:</t>
        </r>
        <r>
          <rPr>
            <sz val="9"/>
            <color indexed="81"/>
            <rFont val="Segoe UI"/>
            <family val="2"/>
          </rPr>
          <t xml:space="preserve">
Betrag manuell</t>
        </r>
      </text>
    </comment>
    <comment ref="H111" authorId="2" shapeId="0" xr:uid="{F41C9B7B-EED1-4CC9-86D7-FDCFD01EDDC4}">
      <text>
        <r>
          <rPr>
            <b/>
            <sz val="9"/>
            <color indexed="81"/>
            <rFont val="Segoe UI"/>
            <family val="2"/>
          </rPr>
          <t>mj:</t>
        </r>
        <r>
          <rPr>
            <sz val="9"/>
            <color indexed="81"/>
            <rFont val="Segoe UI"/>
            <family val="2"/>
          </rPr>
          <t xml:space="preserve">
20%USt-Anteil (d.h. ohne TV)= 20,3/39,11 x 2/3 (überwiegend geschäftlich)</t>
        </r>
      </text>
    </comment>
    <comment ref="H112" authorId="2" shapeId="0" xr:uid="{749C8057-54ED-4A3E-B180-F2A88CA825B2}">
      <text>
        <r>
          <rPr>
            <b/>
            <sz val="9"/>
            <color indexed="81"/>
            <rFont val="Segoe UI"/>
            <family val="2"/>
          </rPr>
          <t>mj:</t>
        </r>
        <r>
          <rPr>
            <sz val="9"/>
            <color indexed="81"/>
            <rFont val="Segoe UI"/>
            <family val="2"/>
          </rPr>
          <t xml:space="preserve">
20%USt-Anteil (d.h. ohne TV)= 20,3/39,11 x 2/3 (überwiegend geschäftlich)</t>
        </r>
      </text>
    </comment>
    <comment ref="H113" authorId="2" shapeId="0" xr:uid="{D138A30F-EE1C-4DB5-9EA0-4983D55115AC}">
      <text>
        <r>
          <rPr>
            <b/>
            <sz val="9"/>
            <color indexed="81"/>
            <rFont val="Segoe UI"/>
            <family val="2"/>
          </rPr>
          <t>mj:</t>
        </r>
        <r>
          <rPr>
            <sz val="9"/>
            <color indexed="81"/>
            <rFont val="Segoe UI"/>
            <family val="2"/>
          </rPr>
          <t xml:space="preserve">
20%USt-Anteil (d.h. ohne TV)= 20,3/39,11 x 2/3 (überwiegend geschäftlich)</t>
        </r>
      </text>
    </comment>
    <comment ref="H114" authorId="2" shapeId="0" xr:uid="{3FDAD29B-6AF6-42CA-813B-9D0C611DC958}">
      <text>
        <r>
          <rPr>
            <b/>
            <sz val="9"/>
            <color indexed="81"/>
            <rFont val="Segoe UI"/>
            <family val="2"/>
          </rPr>
          <t>mj:</t>
        </r>
        <r>
          <rPr>
            <sz val="9"/>
            <color indexed="81"/>
            <rFont val="Segoe UI"/>
            <family val="2"/>
          </rPr>
          <t xml:space="preserve">
20%USt-Anteil (d.h. ohne TV)= 20,3/39,11 x 2/3 (überwiegend geschäftlich)</t>
        </r>
      </text>
    </comment>
    <comment ref="H115" authorId="2" shapeId="0" xr:uid="{2E740A06-AE94-4FDA-A330-263477207F89}">
      <text>
        <r>
          <rPr>
            <b/>
            <sz val="9"/>
            <color indexed="81"/>
            <rFont val="Segoe UI"/>
            <family val="2"/>
          </rPr>
          <t>mj:</t>
        </r>
        <r>
          <rPr>
            <sz val="9"/>
            <color indexed="81"/>
            <rFont val="Segoe UI"/>
            <family val="2"/>
          </rPr>
          <t xml:space="preserve">
20%USt-Anteil (d.h. ohne TV)= 20,3/39,11 x 2/3 (überwiegend geschäftlich)</t>
        </r>
      </text>
    </comment>
    <comment ref="H116" authorId="2" shapeId="0" xr:uid="{DB41D234-F614-4457-84A1-9555C74E703C}">
      <text>
        <r>
          <rPr>
            <b/>
            <sz val="9"/>
            <color indexed="81"/>
            <rFont val="Segoe UI"/>
            <family val="2"/>
          </rPr>
          <t>mj:</t>
        </r>
        <r>
          <rPr>
            <sz val="9"/>
            <color indexed="81"/>
            <rFont val="Segoe UI"/>
            <family val="2"/>
          </rPr>
          <t xml:space="preserve">
20%USt-Anteil (d.h. ohne TV)= 20,3/39,11 x 2/3 (überwiegend geschäftlich)</t>
        </r>
      </text>
    </comment>
    <comment ref="H117" authorId="2" shapeId="0" xr:uid="{F9B77375-19F7-49EB-8942-7158600668F5}">
      <text>
        <r>
          <rPr>
            <b/>
            <sz val="9"/>
            <color indexed="81"/>
            <rFont val="Segoe UI"/>
            <family val="2"/>
          </rPr>
          <t>mj:</t>
        </r>
        <r>
          <rPr>
            <sz val="9"/>
            <color indexed="81"/>
            <rFont val="Segoe UI"/>
            <family val="2"/>
          </rPr>
          <t xml:space="preserve">
20%USt-Anteil (d.h. ohne TV)= 20,3/39,11 x 2/3 (überwiegend geschäftlich)</t>
        </r>
      </text>
    </comment>
    <comment ref="H118" authorId="2" shapeId="0" xr:uid="{C748E16B-189C-4BE0-927E-D046F57CD173}">
      <text>
        <r>
          <rPr>
            <b/>
            <sz val="9"/>
            <color indexed="81"/>
            <rFont val="Segoe UI"/>
            <family val="2"/>
          </rPr>
          <t>mj:</t>
        </r>
        <r>
          <rPr>
            <sz val="9"/>
            <color indexed="81"/>
            <rFont val="Segoe UI"/>
            <family val="2"/>
          </rPr>
          <t xml:space="preserve">
20%USt-Anteil (d.h. ohne TV)= 20,3/39,11 x 2/3 (überwiegend geschäftlich)</t>
        </r>
      </text>
    </comment>
    <comment ref="H119" authorId="2" shapeId="0" xr:uid="{285946CA-4EB1-4423-905F-46B05CAEC852}">
      <text>
        <r>
          <rPr>
            <b/>
            <sz val="9"/>
            <color indexed="81"/>
            <rFont val="Segoe UI"/>
            <family val="2"/>
          </rPr>
          <t>mj:</t>
        </r>
        <r>
          <rPr>
            <sz val="9"/>
            <color indexed="81"/>
            <rFont val="Segoe UI"/>
            <family val="2"/>
          </rPr>
          <t xml:space="preserve">
20%USt-Anteil (d.h. ohne TV)= 20,3/39,11 x 2/3 (überwiegend geschäftlich)</t>
        </r>
      </text>
    </comment>
    <comment ref="H120" authorId="2" shapeId="0" xr:uid="{E74B665E-5D71-41C0-87A7-5F50418A28EA}">
      <text>
        <r>
          <rPr>
            <b/>
            <sz val="9"/>
            <color indexed="81"/>
            <rFont val="Segoe UI"/>
            <family val="2"/>
          </rPr>
          <t>mj:</t>
        </r>
        <r>
          <rPr>
            <sz val="9"/>
            <color indexed="81"/>
            <rFont val="Segoe UI"/>
            <family val="2"/>
          </rPr>
          <t xml:space="preserve">
20%USt-Anteil (d.h. ohne TV)= 20,3/39,11 x 2/3 (überwiegend geschäftlich)</t>
        </r>
      </text>
    </comment>
    <comment ref="H121" authorId="2" shapeId="0" xr:uid="{F8F6A6A2-12A6-447C-A030-C2ABBE5A406D}">
      <text>
        <r>
          <rPr>
            <b/>
            <sz val="9"/>
            <color indexed="81"/>
            <rFont val="Segoe UI"/>
            <family val="2"/>
          </rPr>
          <t>mj:</t>
        </r>
        <r>
          <rPr>
            <sz val="9"/>
            <color indexed="81"/>
            <rFont val="Segoe UI"/>
            <family val="2"/>
          </rPr>
          <t xml:space="preserve">
20%USt-Anteil (d.h. ohne TV)= 20,3/39,11 x 2/3 (überwiegend geschäftlich)</t>
        </r>
      </text>
    </comment>
    <comment ref="H122" authorId="2" shapeId="0" xr:uid="{978DAD7F-C0E9-445E-9643-B692B4E563E2}">
      <text>
        <r>
          <rPr>
            <b/>
            <sz val="9"/>
            <color indexed="81"/>
            <rFont val="Segoe UI"/>
            <family val="2"/>
          </rPr>
          <t>mj:</t>
        </r>
        <r>
          <rPr>
            <sz val="9"/>
            <color indexed="81"/>
            <rFont val="Segoe UI"/>
            <family val="2"/>
          </rPr>
          <t xml:space="preserve">
20%USt-Anteil (d.h. ohne TV)= 20,3/39,11 x 2/3 (überwiegend geschäftlich)</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Michael Jaros</author>
    <author>mj</author>
  </authors>
  <commentList>
    <comment ref="G1" authorId="0" shapeId="0" xr:uid="{455ACF28-7041-4F4B-9F82-967264283C62}">
      <text>
        <r>
          <rPr>
            <b/>
            <sz val="8"/>
            <color indexed="81"/>
            <rFont val="Segoe UI"/>
            <family val="2"/>
          </rPr>
          <t>Michael Jaros:</t>
        </r>
        <r>
          <rPr>
            <sz val="8"/>
            <color indexed="81"/>
            <rFont val="Segoe UI"/>
            <family val="2"/>
          </rPr>
          <t xml:space="preserve">
bei teils privater Nutzung Gesamtpreis
</t>
        </r>
      </text>
    </comment>
    <comment ref="H1" authorId="0" shapeId="0" xr:uid="{B67E9DD7-D02E-4484-9351-EDE7A8BF1ED9}">
      <text>
        <r>
          <rPr>
            <b/>
            <sz val="8"/>
            <color indexed="81"/>
            <rFont val="Segoe UI"/>
            <family val="2"/>
          </rPr>
          <t>Michael Jaros:</t>
        </r>
        <r>
          <rPr>
            <sz val="8"/>
            <color indexed="81"/>
            <rFont val="Segoe UI"/>
            <family val="2"/>
          </rPr>
          <t xml:space="preserve">
geschäftlich genutzter Anteil, zB bei teils priv. Nutzung</t>
        </r>
      </text>
    </comment>
    <comment ref="H10" authorId="1" shapeId="0" xr:uid="{901FDD5D-87E5-48EA-A9CC-AD94FFDB67DA}">
      <text>
        <r>
          <rPr>
            <b/>
            <sz val="9"/>
            <color indexed="81"/>
            <rFont val="Segoe UI"/>
            <family val="2"/>
          </rPr>
          <t>mj:</t>
        </r>
        <r>
          <rPr>
            <sz val="9"/>
            <color indexed="81"/>
            <rFont val="Segoe UI"/>
            <family val="2"/>
          </rPr>
          <t xml:space="preserve">
Anteil 1 stimmt nicht, oder?</t>
        </r>
      </text>
    </comment>
    <comment ref="K13" authorId="1" shapeId="0" xr:uid="{6A935080-FF54-46C8-BBC2-9120078FB4FC}">
      <text>
        <r>
          <rPr>
            <b/>
            <sz val="9"/>
            <color indexed="81"/>
            <rFont val="Segoe UI"/>
            <family val="2"/>
          </rPr>
          <t>mj:</t>
        </r>
        <r>
          <rPr>
            <sz val="9"/>
            <color indexed="81"/>
            <rFont val="Segoe UI"/>
            <family val="2"/>
          </rPr>
          <t xml:space="preserve">
Betrag manuell</t>
        </r>
      </text>
    </comment>
    <comment ref="H111" authorId="1" shapeId="0" xr:uid="{FFB1409E-034E-4597-8118-E35A57F74FE5}">
      <text>
        <r>
          <rPr>
            <b/>
            <sz val="9"/>
            <color indexed="81"/>
            <rFont val="Segoe UI"/>
            <family val="2"/>
          </rPr>
          <t>mj:</t>
        </r>
        <r>
          <rPr>
            <sz val="9"/>
            <color indexed="81"/>
            <rFont val="Segoe UI"/>
            <family val="2"/>
          </rPr>
          <t xml:space="preserve">
20%USt-Anteil (d.h. ohne TV)= 20,3/39,11 x 2/3 (überwiegend geschäftlich)</t>
        </r>
      </text>
    </comment>
    <comment ref="H112" authorId="1" shapeId="0" xr:uid="{5C00FEB4-D5DA-4985-B49E-92BFA7307F1D}">
      <text>
        <r>
          <rPr>
            <b/>
            <sz val="9"/>
            <color indexed="81"/>
            <rFont val="Segoe UI"/>
            <family val="2"/>
          </rPr>
          <t>mj:</t>
        </r>
        <r>
          <rPr>
            <sz val="9"/>
            <color indexed="81"/>
            <rFont val="Segoe UI"/>
            <family val="2"/>
          </rPr>
          <t xml:space="preserve">
20%USt-Anteil (d.h. ohne TV)= 20,3/39,11 x 2/3 (überwiegend geschäftlich)</t>
        </r>
      </text>
    </comment>
    <comment ref="H113" authorId="1" shapeId="0" xr:uid="{C8D6D7AF-8954-4A2E-AACC-6D9F6FCB54E7}">
      <text>
        <r>
          <rPr>
            <b/>
            <sz val="9"/>
            <color indexed="81"/>
            <rFont val="Segoe UI"/>
            <family val="2"/>
          </rPr>
          <t>mj:</t>
        </r>
        <r>
          <rPr>
            <sz val="9"/>
            <color indexed="81"/>
            <rFont val="Segoe UI"/>
            <family val="2"/>
          </rPr>
          <t xml:space="preserve">
20%USt-Anteil (d.h. ohne TV)= 20,3/39,11 x 2/3 (überwiegend geschäftlich)</t>
        </r>
      </text>
    </comment>
    <comment ref="H114" authorId="1" shapeId="0" xr:uid="{AABA2999-5ABC-49D7-B211-2780EEBBF1E4}">
      <text>
        <r>
          <rPr>
            <b/>
            <sz val="9"/>
            <color indexed="81"/>
            <rFont val="Segoe UI"/>
            <family val="2"/>
          </rPr>
          <t>mj:</t>
        </r>
        <r>
          <rPr>
            <sz val="9"/>
            <color indexed="81"/>
            <rFont val="Segoe UI"/>
            <family val="2"/>
          </rPr>
          <t xml:space="preserve">
20%USt-Anteil (d.h. ohne TV)= 20,3/39,11 x 2/3 (überwiegend geschäftlich)</t>
        </r>
      </text>
    </comment>
    <comment ref="H115" authorId="1" shapeId="0" xr:uid="{726FA8CB-A1A7-47D8-B0A1-C22B13EBB302}">
      <text>
        <r>
          <rPr>
            <b/>
            <sz val="9"/>
            <color indexed="81"/>
            <rFont val="Segoe UI"/>
            <family val="2"/>
          </rPr>
          <t>mj:</t>
        </r>
        <r>
          <rPr>
            <sz val="9"/>
            <color indexed="81"/>
            <rFont val="Segoe UI"/>
            <family val="2"/>
          </rPr>
          <t xml:space="preserve">
20%USt-Anteil (d.h. ohne TV)= 20,3/39,11 x 2/3 (überwiegend geschäftlich)</t>
        </r>
      </text>
    </comment>
    <comment ref="H116" authorId="1" shapeId="0" xr:uid="{AD31C188-03C7-4016-9DBC-D64D8B5B6AB4}">
      <text>
        <r>
          <rPr>
            <b/>
            <sz val="9"/>
            <color indexed="81"/>
            <rFont val="Segoe UI"/>
            <family val="2"/>
          </rPr>
          <t>mj:</t>
        </r>
        <r>
          <rPr>
            <sz val="9"/>
            <color indexed="81"/>
            <rFont val="Segoe UI"/>
            <family val="2"/>
          </rPr>
          <t xml:space="preserve">
20%USt-Anteil (d.h. ohne TV)= 20,3/39,11 x 2/3 (überwiegend geschäftlich)</t>
        </r>
      </text>
    </comment>
    <comment ref="H117" authorId="1" shapeId="0" xr:uid="{1ED62D67-86B0-4A87-9156-EC6DFCD87277}">
      <text>
        <r>
          <rPr>
            <b/>
            <sz val="9"/>
            <color indexed="81"/>
            <rFont val="Segoe UI"/>
            <family val="2"/>
          </rPr>
          <t>mj:</t>
        </r>
        <r>
          <rPr>
            <sz val="9"/>
            <color indexed="81"/>
            <rFont val="Segoe UI"/>
            <family val="2"/>
          </rPr>
          <t xml:space="preserve">
20%USt-Anteil (d.h. ohne TV)= 20,3/39,11 x 2/3 (überwiegend geschäftlich)</t>
        </r>
      </text>
    </comment>
    <comment ref="H118" authorId="1" shapeId="0" xr:uid="{9FF995E4-66D7-4954-A2F9-8ABB7FE1C739}">
      <text>
        <r>
          <rPr>
            <b/>
            <sz val="9"/>
            <color indexed="81"/>
            <rFont val="Segoe UI"/>
            <family val="2"/>
          </rPr>
          <t>mj:</t>
        </r>
        <r>
          <rPr>
            <sz val="9"/>
            <color indexed="81"/>
            <rFont val="Segoe UI"/>
            <family val="2"/>
          </rPr>
          <t xml:space="preserve">
20%USt-Anteil (d.h. ohne TV)= 20,3/39,11 x 2/3 (überwiegend geschäftlich)</t>
        </r>
      </text>
    </comment>
    <comment ref="H119" authorId="1" shapeId="0" xr:uid="{8194A795-2D04-447C-B5B4-B8780D3B3696}">
      <text>
        <r>
          <rPr>
            <b/>
            <sz val="9"/>
            <color indexed="81"/>
            <rFont val="Segoe UI"/>
            <family val="2"/>
          </rPr>
          <t>mj:</t>
        </r>
        <r>
          <rPr>
            <sz val="9"/>
            <color indexed="81"/>
            <rFont val="Segoe UI"/>
            <family val="2"/>
          </rPr>
          <t xml:space="preserve">
20%USt-Anteil (d.h. ohne TV)= 20,3/39,11 x 2/3 (überwiegend geschäftlich)</t>
        </r>
      </text>
    </comment>
    <comment ref="H120" authorId="1" shapeId="0" xr:uid="{A69EB877-9C68-4E9B-9080-D4E1F5F2A4D0}">
      <text>
        <r>
          <rPr>
            <b/>
            <sz val="9"/>
            <color indexed="81"/>
            <rFont val="Segoe UI"/>
            <family val="2"/>
          </rPr>
          <t>mj:</t>
        </r>
        <r>
          <rPr>
            <sz val="9"/>
            <color indexed="81"/>
            <rFont val="Segoe UI"/>
            <family val="2"/>
          </rPr>
          <t xml:space="preserve">
20%USt-Anteil (d.h. ohne TV)= 20,3/39,11 x 2/3 (überwiegend geschäftlich)</t>
        </r>
      </text>
    </comment>
    <comment ref="H121" authorId="1" shapeId="0" xr:uid="{235CDB85-EE54-4E14-B90B-D1EE7C5D7F01}">
      <text>
        <r>
          <rPr>
            <b/>
            <sz val="9"/>
            <color indexed="81"/>
            <rFont val="Segoe UI"/>
            <family val="2"/>
          </rPr>
          <t>mj:</t>
        </r>
        <r>
          <rPr>
            <sz val="9"/>
            <color indexed="81"/>
            <rFont val="Segoe UI"/>
            <family val="2"/>
          </rPr>
          <t xml:space="preserve">
20%USt-Anteil (d.h. ohne TV)= 20,3/39,11 x 2/3 (überwiegend geschäftlich)</t>
        </r>
      </text>
    </comment>
    <comment ref="H122" authorId="1" shapeId="0" xr:uid="{F0D60A3F-CAA8-416E-BA56-2437209376CF}">
      <text>
        <r>
          <rPr>
            <b/>
            <sz val="9"/>
            <color indexed="81"/>
            <rFont val="Segoe UI"/>
            <family val="2"/>
          </rPr>
          <t>mj:</t>
        </r>
        <r>
          <rPr>
            <sz val="9"/>
            <color indexed="81"/>
            <rFont val="Segoe UI"/>
            <family val="2"/>
          </rPr>
          <t xml:space="preserve">
20%USt-Anteil (d.h. ohne TV)= 20,3/39,11 x 2/3 (überwiegend geschäftlich)</t>
        </r>
      </text>
    </comment>
  </commentList>
</comments>
</file>

<file path=xl/sharedStrings.xml><?xml version="1.0" encoding="utf-8"?>
<sst xmlns="http://schemas.openxmlformats.org/spreadsheetml/2006/main" count="14224" uniqueCount="1874">
  <si>
    <t>Rechnungsnummer</t>
  </si>
  <si>
    <t>Bezeichnung</t>
  </si>
  <si>
    <t>Netto</t>
  </si>
  <si>
    <t>USt.</t>
  </si>
  <si>
    <t>Vorsteuer</t>
  </si>
  <si>
    <t>Brutto</t>
  </si>
  <si>
    <t>Rechungsdatum</t>
  </si>
  <si>
    <t>Zahlungsdatum</t>
  </si>
  <si>
    <t>Visitenkarten extradick</t>
  </si>
  <si>
    <t>USt.(%)</t>
  </si>
  <si>
    <t>2015-04202</t>
  </si>
  <si>
    <t>Haworth Comforto 62 Drehstuhl</t>
  </si>
  <si>
    <t>Anlagen-Nr.</t>
  </si>
  <si>
    <t>Anschaffungsdatum</t>
  </si>
  <si>
    <t>gemischt</t>
  </si>
  <si>
    <t>Anschaffungskosten/Herstellungskosten</t>
  </si>
  <si>
    <t>voraussichtliche Nutzungsdauer</t>
  </si>
  <si>
    <t>RE0281275</t>
  </si>
  <si>
    <t>R0004956134</t>
  </si>
  <si>
    <t>EQ4 Server #50605 30TB 188.40.75.200, 188.40.75.242</t>
  </si>
  <si>
    <t>qm ges</t>
  </si>
  <si>
    <t>qm AZ</t>
  </si>
  <si>
    <t>Anteil AZ</t>
  </si>
  <si>
    <t>Vorschreibung 7/2015</t>
  </si>
  <si>
    <t>IMV Immobilien Management GmbH</t>
  </si>
  <si>
    <t>Vorsteuer gesamt</t>
  </si>
  <si>
    <t>Rechnungsempfänger</t>
  </si>
  <si>
    <t>Rechnungsdatum</t>
  </si>
  <si>
    <t>Florianihof Inh. Markus Rühl, Florianigasse 45, 1080 Wien</t>
  </si>
  <si>
    <t>Arbeitsessen</t>
  </si>
  <si>
    <t>Lieferant</t>
  </si>
  <si>
    <t>RE0299353</t>
  </si>
  <si>
    <t>Domain: Fiber-Wire</t>
  </si>
  <si>
    <t>easyname GmbH, Fernkorngasse 10/3/501, 1110 Wien</t>
  </si>
  <si>
    <t>Hutchison Drei Austria GmbH, Brünner Straße 52, 1210 Wien, Österreich</t>
  </si>
  <si>
    <t>Rufnummer 0660 534 59 59</t>
  </si>
  <si>
    <t>Anteil (v1)</t>
  </si>
  <si>
    <t>Vistaprint B.V., Hudsonweg 8, 5928 LW Venlo, Niederlande</t>
  </si>
  <si>
    <t>Visitenkarten 2x100</t>
  </si>
  <si>
    <t>GVR-H-1352456</t>
  </si>
  <si>
    <t>WD Red 3TB WD30EFRX - Festplatte, 64 MB</t>
  </si>
  <si>
    <t>R0005032977</t>
  </si>
  <si>
    <t>Hetzner Online AG, Industriestr. 25, 91710 Gunzenhausen</t>
  </si>
  <si>
    <t>Primus Office products Handelsges.mb.H &amp; Co KG FN210677w - ATU52268004, Margaretengürtel 44, 1050 Wien</t>
  </si>
  <si>
    <t>TOPH-C4127X.RX + Versand</t>
  </si>
  <si>
    <t>USt abgerechnet</t>
  </si>
  <si>
    <t xml:space="preserve"> USt Fälligkeit</t>
  </si>
  <si>
    <t>Jahr</t>
  </si>
  <si>
    <t>Quartal</t>
  </si>
  <si>
    <t>Enddatum</t>
  </si>
  <si>
    <t>Startdatum</t>
  </si>
  <si>
    <t>USt. Einnahmen</t>
  </si>
  <si>
    <t>Frist</t>
  </si>
  <si>
    <t>USt. geschuldet (Negativ = Gutschrift)</t>
  </si>
  <si>
    <t>Istbesteuerung (Schuld entsteht bei Bezahlung), wenn Jahresumsatz in einem der beiden vorangegangenen Kalenderjahre &lt;= 100000</t>
  </si>
  <si>
    <t>Strom 1.7.-30.9.</t>
  </si>
  <si>
    <t>219794691/40/2015</t>
  </si>
  <si>
    <t>VERBUND AG, Postfach 8400, 1011 Wien, Österreich</t>
  </si>
  <si>
    <t>MONTANA Energie-Handel AT GmbH</t>
  </si>
  <si>
    <t>Dr. Arno Kolbitsch, Zivilingenieur, Gütleweg 1, 6822 Satteins</t>
  </si>
  <si>
    <t>Johann Stojadinovic, Weiglgasse 10c/11f, 1150 Wien</t>
  </si>
  <si>
    <t>A.P. Handelsges.m.b.H. - Amerlingstraße 13 - 1060 Wien</t>
  </si>
  <si>
    <t>redcoon GmbH, Bösendorferstraße 9, 1010 Wien</t>
  </si>
  <si>
    <t>Ruth Veres, Krottenbachstraße 94-96/4/6, 1190 Wien</t>
  </si>
  <si>
    <t>Abstandshonorar AK</t>
  </si>
  <si>
    <t>Microsoft Luxembourg Sàrl, 23-29, Rives de Clausen, L-2165 Luxembourg, Luxembourg, USt-IdNr.: LU19878750</t>
  </si>
  <si>
    <t>P15004MJ</t>
  </si>
  <si>
    <t>Think-Tanker GmbH., Fasangasse 38/15, 1030 Wien</t>
  </si>
  <si>
    <t>stempel-fabrik.at GmbH - 9 Warwitzstraße - 5023 Salzburg</t>
  </si>
  <si>
    <t>Trodat Professional 5203 - Textstempel - 49 x 28 mm - 6 Zeilen schwarz</t>
  </si>
  <si>
    <t>Sozialversicherungsanstalt der gewerblichen Wirtschaft, Landesstelle Wien, Wiedner Hauptstraße 84-86, A-1051 Wien</t>
  </si>
  <si>
    <t>Kontoauszug vom 25. Juli 2015</t>
  </si>
  <si>
    <t>Amazon EU Sàrl, 5 Rue Plaetis, L-2338, Luxemburg</t>
  </si>
  <si>
    <t>SwissGear Sensor 15 39cm (15 Zoll) Laptop Tasche</t>
  </si>
  <si>
    <t>Xing Premium 3 Monate</t>
  </si>
  <si>
    <t>e-tec electronic GmbH</t>
  </si>
  <si>
    <t>Linksys AE25000 Dual Band Wireless N</t>
  </si>
  <si>
    <t>Domain: raunz.info</t>
  </si>
  <si>
    <t>Restaurant Franz Ferdinand, Bennoplatz 2, 1080 Wien</t>
  </si>
  <si>
    <t>gemischt (10..5,84; 20..9,32)</t>
  </si>
  <si>
    <t>Thermenwartung</t>
  </si>
  <si>
    <t>Uhrmann Gasgerätetechnik OG, A-2353 Guntramsdorf, Sportplatzstraße 8a</t>
  </si>
  <si>
    <t>BIP Garagengesellschaft Breiteneder GesmbH &amp; Co KG, 1010 Wien, Sterngasse 5</t>
  </si>
  <si>
    <t>Kurzparkticket 10:30 - 11:13</t>
  </si>
  <si>
    <t>Digitus USB 2.0 Adapterkabel auf SATA und DIE</t>
  </si>
  <si>
    <t>mas-restaurante, 1080 Wien, Laudongasse 36, ATU 67132747</t>
  </si>
  <si>
    <t>gemischt (33,58x20%=6,72;53,36x10%=5,34)</t>
  </si>
  <si>
    <t>BA-Computer HandelsgesmbH., Oberlaaerstraße 92, 1100 Wien</t>
  </si>
  <si>
    <t>Fujitsu Celsius W530 Intel Core-i7-4790</t>
  </si>
  <si>
    <t>P15005MJ</t>
  </si>
  <si>
    <t>H. Jaros e.U., Fischhof 3/23, 1010 Wien, ATU 67698048</t>
  </si>
  <si>
    <t>Ing. Gerhard Gotz, Allandgasse 8, 2500 Baden</t>
  </si>
  <si>
    <t>BETRIEB</t>
  </si>
  <si>
    <t>Taxi 40100 W 3032TX</t>
  </si>
  <si>
    <t>Taxifahrt zu Besprechung mit Kunden</t>
  </si>
  <si>
    <t>Dipl.-Ing. Mag. Alexander Wagner, Beatrixgasse 5/7, 1030 Wien</t>
  </si>
  <si>
    <t>P15002MJ</t>
  </si>
  <si>
    <t>697764947</t>
  </si>
  <si>
    <t>RE0319352</t>
  </si>
  <si>
    <t>Domain: physio-weis.at</t>
  </si>
  <si>
    <t>Office 365</t>
  </si>
  <si>
    <t>diverse</t>
  </si>
  <si>
    <t>150029174</t>
  </si>
  <si>
    <t>nic.at GmbH, Jakob-Haringer-Strasse 8, 5020 Salzburg, Austria</t>
  </si>
  <si>
    <t>Domain: energiebalance-lichtherz.at</t>
  </si>
  <si>
    <t>Ausgaben</t>
  </si>
  <si>
    <t>ESt.</t>
  </si>
  <si>
    <t>EBT</t>
  </si>
  <si>
    <t>Jahresüberschuss (exkl. Rücklagen f. zukünftige Zahlungen wie SV)</t>
  </si>
  <si>
    <t>R0005265598</t>
  </si>
  <si>
    <t>Musikschule Bad Vöslau, z. Hd. Herr Christian Sauer, Hauptstraße 14, 2540 Bad Vöslau</t>
  </si>
  <si>
    <t>SAM International B.V., Mooslackengasse 17, A-1190 Wien</t>
  </si>
  <si>
    <t>VF00245414</t>
  </si>
  <si>
    <t>Whiteboard Pro Series 90x120 cm</t>
  </si>
  <si>
    <t>0968-20151016-01-7376</t>
  </si>
  <si>
    <t>Libro 1090 Wien, Alserstr 20, ATU 56240311</t>
  </si>
  <si>
    <t>Diverser Bürobedarf</t>
  </si>
  <si>
    <t>Wienerwald Musikanten, z. Hd. Hr. Christian Sauer, Rudolf Schöng. 18, 2540 Bad Vöslau</t>
  </si>
  <si>
    <t>Teilzahlungsbetrag Gas 1.7.-30.9. 11284276</t>
  </si>
  <si>
    <t>Teilzahlungsbetrag Gas 11338820</t>
  </si>
  <si>
    <t>Teilzahlungsbetrag Gas 11384488</t>
  </si>
  <si>
    <t>699393294</t>
  </si>
  <si>
    <t>Zahlungsziel</t>
  </si>
  <si>
    <t>Hays Österreich GmbH Personnel Services, Europaplatz 3/5, 1150 Wien</t>
  </si>
  <si>
    <t>P15009MJ</t>
  </si>
  <si>
    <t>0542</t>
  </si>
  <si>
    <t>Samrat, 1080 Wien, Florianigasse 20</t>
  </si>
  <si>
    <t>Libro 1080 Wien, Josefstädterstr. 105, ATU 56240311</t>
  </si>
  <si>
    <t>0893-20151031-01-1469</t>
  </si>
  <si>
    <t>Kuvert</t>
  </si>
  <si>
    <t>18.15</t>
  </si>
  <si>
    <t xml:space="preserve">R0005109874 </t>
  </si>
  <si>
    <t>45169</t>
  </si>
  <si>
    <t>EUVINS1-OFS-PL-89424751</t>
  </si>
  <si>
    <t>20320802</t>
  </si>
  <si>
    <t>696161858</t>
  </si>
  <si>
    <t>9195215070</t>
  </si>
  <si>
    <t>12040000011364671</t>
  </si>
  <si>
    <t>RE0312855</t>
  </si>
  <si>
    <t>421</t>
  </si>
  <si>
    <t>G15/173</t>
  </si>
  <si>
    <t>108703</t>
  </si>
  <si>
    <t>20327170</t>
  </si>
  <si>
    <t>4756071215</t>
  </si>
  <si>
    <t>294217</t>
  </si>
  <si>
    <t>1075334493</t>
  </si>
  <si>
    <t>9195746457</t>
  </si>
  <si>
    <t>R0005187788</t>
  </si>
  <si>
    <t>-</t>
  </si>
  <si>
    <t>Kleinbetragsrechnung (&lt;400): es entfällt Pflicht für RNr u UID</t>
  </si>
  <si>
    <t>GesBetr U netto (000)</t>
  </si>
  <si>
    <t>Ausg. Vorst. IG (065)</t>
  </si>
  <si>
    <t>UID</t>
  </si>
  <si>
    <t xml:space="preserve">ATU62044549 </t>
  </si>
  <si>
    <t>DE812871812</t>
  </si>
  <si>
    <t>Bem.grundlage USt.</t>
  </si>
  <si>
    <t>LU19878750</t>
  </si>
  <si>
    <t>ATU62353134</t>
  </si>
  <si>
    <t>XING AG, D-20354 Hamburg, Dammtorstrasse 30</t>
  </si>
  <si>
    <t>DE 230144235</t>
  </si>
  <si>
    <t>ATU44846609</t>
  </si>
  <si>
    <t>011561270283</t>
  </si>
  <si>
    <t>Kontoauszug vom 24.10.2015</t>
  </si>
  <si>
    <t>150010871465</t>
  </si>
  <si>
    <t>Grundumlage</t>
  </si>
  <si>
    <t>WKO</t>
  </si>
  <si>
    <t>P15001</t>
  </si>
  <si>
    <t>R0005423190</t>
  </si>
  <si>
    <t>12040000011806844</t>
  </si>
  <si>
    <t>1688323297</t>
  </si>
  <si>
    <t>6101068707</t>
  </si>
  <si>
    <t>R0005344055</t>
  </si>
  <si>
    <t>1487109119</t>
  </si>
  <si>
    <t>4756070116</t>
  </si>
  <si>
    <t>ATU60795919</t>
  </si>
  <si>
    <t>P15001MJ</t>
  </si>
  <si>
    <t>ESt % der Umsätze</t>
  </si>
  <si>
    <t>AfA</t>
  </si>
  <si>
    <t>Cyberport GmbH, Europaplatz 3, 1150 Wien</t>
  </si>
  <si>
    <t>Versand und Servicekosten</t>
  </si>
  <si>
    <t>Nutzungsdauer</t>
  </si>
  <si>
    <t>Dr. Katalin Schiller, Neustiftgasse 2, Top 3, 2500 Baden</t>
  </si>
  <si>
    <t>Hosting</t>
  </si>
  <si>
    <t>1895686731</t>
  </si>
  <si>
    <t>ATU 41029105</t>
  </si>
  <si>
    <t>6102822152</t>
  </si>
  <si>
    <t>RE0342056</t>
  </si>
  <si>
    <t>ATU68122177</t>
  </si>
  <si>
    <t>Domain: jarosoft.at</t>
  </si>
  <si>
    <t>R0005503276</t>
  </si>
  <si>
    <t>RE0344850</t>
  </si>
  <si>
    <t>Domain: dr-schiller.at</t>
  </si>
  <si>
    <t>2165251691</t>
  </si>
  <si>
    <t xml:space="preserve">Haushaltsversicherung POL.3647872/0 EP 01/2016 </t>
  </si>
  <si>
    <t>Niederösterr. Versicherung AG, Neue Herrengasse 10, 3100 St. Pölten</t>
  </si>
  <si>
    <t>ATU15362300</t>
  </si>
  <si>
    <t>Teilzahlungsbetrag Gas 140000099</t>
  </si>
  <si>
    <t>Teilzahlungsbetrag Strom 34000015227</t>
  </si>
  <si>
    <t>R0005584285</t>
  </si>
  <si>
    <t>HP Envy Phoenix 860-017ng PC i7-6700K 32GB/3TB 512GB SSD GTX 980 Ti Windows 10</t>
  </si>
  <si>
    <t>Rückerstattung wg. Nichtlieferbarkeit: HP Envy Phoenix 860-017ng PC i7-6700K 32GB/3TB 512GB SSD GTX 980 Ti Windows 10</t>
  </si>
  <si>
    <t>Rückerstattung wg. Nichtlieferbarkeit: Versand und Servicekosten</t>
  </si>
  <si>
    <t>Lenovo Ideacentre Y900-34ISZ -90DD000QGE</t>
  </si>
  <si>
    <t>Samsung SSD 850 EVO 500GB MZ-75E500B/EU</t>
  </si>
  <si>
    <t>Vorkasse: Cyberport GmbH, Europaplatz 3, 1150 Wien</t>
  </si>
  <si>
    <t>160171033</t>
  </si>
  <si>
    <t>DE195033395</t>
  </si>
  <si>
    <t xml:space="preserve">6104626580 </t>
  </si>
  <si>
    <t>RE0357031</t>
  </si>
  <si>
    <t>Domain: amweg.at</t>
  </si>
  <si>
    <t>davon z.v.m. 20% (022)</t>
  </si>
  <si>
    <t>IG / in Ö steuerbar</t>
  </si>
  <si>
    <t>Restbuchwert 31.12.</t>
  </si>
  <si>
    <t>GesBtr BmG IG (070)</t>
  </si>
  <si>
    <t>In Ö z.e. Vorsteuer</t>
  </si>
  <si>
    <t>ESt: Betrag abzugsfähig</t>
  </si>
  <si>
    <t>Vorsteuer (antlg.)</t>
  </si>
  <si>
    <t>Nettobetrag (antlg.)</t>
  </si>
  <si>
    <t>Bruttobetrag (antlg.)</t>
  </si>
  <si>
    <t>Netto Einzelpreis</t>
  </si>
  <si>
    <t>4756070216</t>
  </si>
  <si>
    <t>4756070316</t>
  </si>
  <si>
    <t>4756070416</t>
  </si>
  <si>
    <t>4756070516</t>
  </si>
  <si>
    <t>Vorschreibung 2/16</t>
  </si>
  <si>
    <t>Vorschreibung 3/16</t>
  </si>
  <si>
    <t>Vorschreibung 4/16</t>
  </si>
  <si>
    <t>Vorschreibung 5/16</t>
  </si>
  <si>
    <t>Vorschreibung 1/16</t>
  </si>
  <si>
    <t>Vorschreibung Q1/16</t>
  </si>
  <si>
    <t>Mahnungsdatum</t>
  </si>
  <si>
    <t>Lfd. Nr.</t>
  </si>
  <si>
    <t>Hier nur für den Weiterverkauf bestimmte Waren eintragen</t>
  </si>
  <si>
    <t>Lieferant/Name und Adresse</t>
  </si>
  <si>
    <t>Art der Ware</t>
  </si>
  <si>
    <t>Rechungs- Betrag brutto</t>
  </si>
  <si>
    <t>Nettobetrag</t>
  </si>
  <si>
    <t>Beleg abgelegt unter</t>
  </si>
  <si>
    <t>Ausgabe Nr.</t>
  </si>
  <si>
    <t>3647872/0</t>
  </si>
  <si>
    <t>1865451</t>
  </si>
  <si>
    <t>CXX4421</t>
  </si>
  <si>
    <t>Reichelt Elektronik GmbH &amp; Co. KG, Elektronikring 1, 26452 Sande, Deutschand</t>
  </si>
  <si>
    <t>DE259817039</t>
  </si>
  <si>
    <t>4 TB Samsung D3 Station USB 3.0</t>
  </si>
  <si>
    <t>computeruniverse GmbH, Grüner Weg 14, 61169 Friedberg, Deutschland</t>
  </si>
  <si>
    <t>DE812826949</t>
  </si>
  <si>
    <t>DeLOCK SATA Kabel, Crucial BX200 SSD, Zyxel GS-1050BV3 Switch</t>
  </si>
  <si>
    <t>Lieferdatum</t>
  </si>
  <si>
    <t>RE Eingang</t>
  </si>
  <si>
    <t>cBird elektronische Kassa</t>
  </si>
  <si>
    <t>ATU24200102</t>
  </si>
  <si>
    <t>Hartlauer Handelsges.m.b.H., Wipplingerstr. 15, 1010 Wien</t>
  </si>
  <si>
    <t>2470919447</t>
  </si>
  <si>
    <t>6106442838</t>
  </si>
  <si>
    <t>124643/Bon 5150/Filiale 054/1/Maestro Beleg 039118</t>
  </si>
  <si>
    <t>Datenrettung</t>
  </si>
  <si>
    <t>Josef Stojadinovic, Weiglgasse 10/BLOCK C/10/11, 1150 Wien</t>
  </si>
  <si>
    <t>Abgerechnet</t>
  </si>
  <si>
    <t>12040000012263459</t>
  </si>
  <si>
    <t>R0005666345</t>
  </si>
  <si>
    <t>Visitenkarten 1x100</t>
  </si>
  <si>
    <t>9216237576</t>
  </si>
  <si>
    <t>ATU62044549</t>
  </si>
  <si>
    <t>EUVINS1-OFS-CZ-22105214</t>
  </si>
  <si>
    <t>Lenovo TAB 2 A10-70F</t>
  </si>
  <si>
    <t>2707719875</t>
  </si>
  <si>
    <t>RE0368427</t>
  </si>
  <si>
    <t>Domain kolbitsch.eu</t>
  </si>
  <si>
    <t>6108264614</t>
  </si>
  <si>
    <t>EUVINS1-OFS-DE-182965008</t>
  </si>
  <si>
    <t>Rückerstattung: Lenovo TAB 2 A10-70F</t>
  </si>
  <si>
    <t>Samsung CLT-P406C/ELS Toner Rainbowkit B00Ef´4F1EMK</t>
  </si>
  <si>
    <t>P16001MJ</t>
  </si>
  <si>
    <t>Teilzahlungsbetrag Gas 140001498</t>
  </si>
  <si>
    <t>Teilzahlungsbetrag Gas 140000698</t>
  </si>
  <si>
    <t>6110088329</t>
  </si>
  <si>
    <t>R0005749273</t>
  </si>
  <si>
    <t>EUVINS1-VCN-DE-67614942</t>
  </si>
  <si>
    <t>2956802547</t>
  </si>
  <si>
    <t>34001715683/40/2016</t>
  </si>
  <si>
    <t>Teilzahlungsbetrag Strom 34001715683</t>
  </si>
  <si>
    <t>34000015227/40/2016</t>
  </si>
  <si>
    <t>14000149894/40/2016</t>
  </si>
  <si>
    <t>14000069801/40/2016</t>
  </si>
  <si>
    <t>14000231764/40/2016</t>
  </si>
  <si>
    <t>14000009963/40/2016</t>
  </si>
  <si>
    <t>Vorschreibung 9/2015</t>
  </si>
  <si>
    <t>Vorschreibung 12/2015</t>
  </si>
  <si>
    <t>Vorschreibung 8/2015</t>
  </si>
  <si>
    <t>Vorschreibung 10/2015</t>
  </si>
  <si>
    <t>221381502/40/2015</t>
  </si>
  <si>
    <t>11284276/40/2015</t>
  </si>
  <si>
    <t>Visitenkarten 500 extradick</t>
  </si>
  <si>
    <t>Lieferschein</t>
  </si>
  <si>
    <t>L12016004</t>
  </si>
  <si>
    <t>EUVINS1-OFS-DE-188019392</t>
  </si>
  <si>
    <t>Samsung CLX-6260ND/SEE Farblaser-Multifunktionsgerät (Drucken, Scannen, Kopieren, 9.600 x 600 dpi, 512 MB Speicher, 533 MHz Prozessor) | B008I7Z57K</t>
  </si>
  <si>
    <t>Zyxel GS-105BV3-EU0101F Metall 5x Switch |
B017JKGBYM; AmazonBasics Vorgeladene Ni-MH-Akkus, AAA
(1.000 Zyklen, typisch 800 mAh, minimal
750 mAh) 4 Stück | B00CWNMW1S</t>
  </si>
  <si>
    <t>EUVINS1-OFS-CZ-26232068</t>
  </si>
  <si>
    <t>Teilzahlungsbetrag Gas 140003141</t>
  </si>
  <si>
    <t>R0005832877</t>
  </si>
  <si>
    <t>Kontoauszug vom 23.4.2015</t>
  </si>
  <si>
    <t>EUVINS1-OFS-PL-179344673</t>
  </si>
  <si>
    <t>HP Display Port to VGA Adapter | B00IYETPXW</t>
  </si>
  <si>
    <t>L12016005</t>
  </si>
  <si>
    <t>Büroprofi Koch Papier GmbH, Josefstädterstraße 87, 1080 Wien</t>
  </si>
  <si>
    <t>ATU67999124</t>
  </si>
  <si>
    <t>01/00002949/00713877</t>
  </si>
  <si>
    <t>Kopierpapier A4 80g weiß</t>
  </si>
  <si>
    <t>Domain: wienerwaldmusikanten.at</t>
  </si>
  <si>
    <t>12014262</t>
  </si>
  <si>
    <t>electronic4you GmbH, Inglitschstraße 26, 9020 Klagenfurt</t>
  </si>
  <si>
    <t>ATU25777406</t>
  </si>
  <si>
    <t>Xperia Z5 Compact schwarz E5823 Smartphone</t>
  </si>
  <si>
    <t>201605/43</t>
  </si>
  <si>
    <t>Software Quality Lab GmbH, Gewerbepark Urfahr 6, 4040 Linz</t>
  </si>
  <si>
    <t>ATU62264668</t>
  </si>
  <si>
    <t>IREB CPRE-FL</t>
  </si>
  <si>
    <t>Ing Irene Weis, BSc., Tullnerstraße 15, 3462 Absdorf</t>
  </si>
  <si>
    <t>RE0387894</t>
  </si>
  <si>
    <t>Domain: msbadvoeslau.at</t>
  </si>
  <si>
    <t xml:space="preserve"> </t>
  </si>
  <si>
    <t>Wiener Linien GmbH &amp; Co KG, Erdbergstraße 202, 1031 Wien</t>
  </si>
  <si>
    <t>ATU47055001</t>
  </si>
  <si>
    <t>Jahreskarte</t>
  </si>
  <si>
    <t>11500319/40/2016</t>
  </si>
  <si>
    <t>Teilzahlungsbetrag Gas 11500319</t>
  </si>
  <si>
    <t>11446672/40/2015</t>
  </si>
  <si>
    <t>11231590/40/2016</t>
  </si>
  <si>
    <t>Teilzahlungsbetrag Gas 11446672</t>
  </si>
  <si>
    <t>Teilzahlungsbetrag Gas 11231590</t>
  </si>
  <si>
    <t>9188538999</t>
  </si>
  <si>
    <t>Visitenkarten 100</t>
  </si>
  <si>
    <t>Domain: kolbitsch.eu</t>
  </si>
  <si>
    <t>367490797</t>
  </si>
  <si>
    <t>559106395</t>
  </si>
  <si>
    <t>11559724/40/2015</t>
  </si>
  <si>
    <t>Mihajela Pejic-Studener, Rohrergasse 15, 1130 Wien</t>
  </si>
  <si>
    <t>Büromaterial</t>
  </si>
  <si>
    <t>0968-20160627-02-6148</t>
  </si>
  <si>
    <t>EUVINS1-OFS-CZ-30177017</t>
  </si>
  <si>
    <t>Da Capo, Pizzeria - Ristorante, 1010 Wien, Schulerstr. 18</t>
  </si>
  <si>
    <t>Bewirtung für DI Alexander Wagner</t>
  </si>
  <si>
    <t>haym.infotec GmbH, Petersbrunnstraße 9, 5020 Salzburg</t>
  </si>
  <si>
    <t>Eizo FlexScan EV2450 schwarz</t>
  </si>
  <si>
    <t>U036407</t>
  </si>
  <si>
    <t>6113730707</t>
  </si>
  <si>
    <t>6344312104</t>
  </si>
  <si>
    <t>Digital River Ireland, Ltd., Unit 153 Shannon Free Zone, Shannon, CO. Clare, Ireland</t>
  </si>
  <si>
    <t>ATU66641618</t>
  </si>
  <si>
    <t>ThinkPad P70</t>
  </si>
  <si>
    <t>6343653188</t>
  </si>
  <si>
    <t>ThinkPad Workstation Dock, Lenovo Mini-DP-DP-Kabel</t>
  </si>
  <si>
    <t>6344131574</t>
  </si>
  <si>
    <t>Lenovo HDMI-VGA</t>
  </si>
  <si>
    <t>ÖBB-Personenverkehr AG</t>
  </si>
  <si>
    <t>0769707885498422</t>
  </si>
  <si>
    <t>Wien-Feldkirch, Feldirch-Wien</t>
  </si>
  <si>
    <t>3456133875</t>
  </si>
  <si>
    <t>(072) davon zu verst. mit 20%</t>
  </si>
  <si>
    <t>ATU63337614</t>
  </si>
  <si>
    <t>6R14288</t>
  </si>
  <si>
    <t>Vorschreibung 6/16</t>
  </si>
  <si>
    <t>4756070716</t>
  </si>
  <si>
    <t>4756070916</t>
  </si>
  <si>
    <t>4756070816</t>
  </si>
  <si>
    <t>Vorschreibung 7/16</t>
  </si>
  <si>
    <t>Vorschreibung 8/16</t>
  </si>
  <si>
    <t>Vorschreibung 9/16</t>
  </si>
  <si>
    <t>L12016006</t>
  </si>
  <si>
    <t>L12016007</t>
  </si>
  <si>
    <t>4756070616</t>
  </si>
  <si>
    <t>14000314183/40/2016</t>
  </si>
  <si>
    <t>Teilzahlungsbetrag Gas 14000403096</t>
  </si>
  <si>
    <t>14000403096/40/2016</t>
  </si>
  <si>
    <t>Teilzahlungsbetrag Gas 11559724</t>
  </si>
  <si>
    <t>6115545802</t>
  </si>
  <si>
    <t>R0006002303</t>
  </si>
  <si>
    <t>Business Analysis und Requirements Engineering (Buch)</t>
  </si>
  <si>
    <t>EUVINS1-OFS-DE-211441587</t>
  </si>
  <si>
    <t>Samsung Galaxy Tab A (2016) T580N 25,54 cm (10,1 Zoll) Wi-Fi Tablet-PC B01ERY8650</t>
  </si>
  <si>
    <t>EUVINS1-OFS-DE-212159591</t>
  </si>
  <si>
    <t>FE0007366</t>
  </si>
  <si>
    <t>XXXLutz Feldkirch, Königshofstraße 56, A-6800 Feldkirch</t>
  </si>
  <si>
    <t>ATU65296645</t>
  </si>
  <si>
    <t>Drehstuhl Air Synchro Plus Typ SN80W G200 Schwarz</t>
  </si>
  <si>
    <t>Microsoft Natural Egonomic Keyboard 4000 Tastatur schnurgebunden B000A6DJKW</t>
  </si>
  <si>
    <t>Fehler bei "steuerbar"</t>
  </si>
  <si>
    <t>EUVINS1-OFS-PL-201740217</t>
  </si>
  <si>
    <t>SanDisk Extreme USB-Flash-Laufwerk 32GB USB 3.0 FFP bis zu 245 MB/Sek | B0095SIH2Q</t>
  </si>
  <si>
    <t>6362490</t>
  </si>
  <si>
    <t>HID Maus USB, R, 6 Tasten, optisch, 1600dpi, schwarz, vertikal, CSL / 260681 19,85 19,85 1000/1600dpi, vertikale Form</t>
  </si>
  <si>
    <t>Prüfungsgebühr IREB Certified Professional for Requirements Engineering - öffentliches Seminar</t>
  </si>
  <si>
    <t>201607/08</t>
  </si>
  <si>
    <t>R0006087987</t>
  </si>
  <si>
    <t>(Achtung: Zahlung über Amazon) Ganz Einfach GmbH · Wohlenbergstr. 16 · 30179 Hannover</t>
  </si>
  <si>
    <t>14000496682/40/2016</t>
  </si>
  <si>
    <t>Kontoauszug vom 23.7.2016</t>
  </si>
  <si>
    <t>34003523800/40/2016</t>
  </si>
  <si>
    <t>Teilzahlungsbetrag Strom</t>
  </si>
  <si>
    <t>Teilzahlungsbetrag Gas</t>
  </si>
  <si>
    <t>14000589176/40/2016</t>
  </si>
  <si>
    <t>Abrechnung Gas 11.8.15-8.8.16</t>
  </si>
  <si>
    <t>11000035059/10/2016</t>
  </si>
  <si>
    <t>6117360213</t>
  </si>
  <si>
    <t>12040000013145908</t>
  </si>
  <si>
    <t>ATU43116007</t>
  </si>
  <si>
    <t>My Passport Ultra 4 TB Noble Blue + Versand</t>
  </si>
  <si>
    <t>304331</t>
  </si>
  <si>
    <t>14000687997/40/2016</t>
  </si>
  <si>
    <t>AMEU-INV-AT-2016-3004881</t>
  </si>
  <si>
    <t>Zu teuer!: 118 freche, humorvolle, überzeugende und</t>
  </si>
  <si>
    <t>EUVINS1-OFS-DE-222276824</t>
  </si>
  <si>
    <t>Existenzgründung und Businessplan: Ein Leitfaden für erfolgreiche Start-ups | 3503158790</t>
  </si>
  <si>
    <t>R0006174765</t>
  </si>
  <si>
    <t>P15006MJ MSBV-Relaunch</t>
  </si>
  <si>
    <t>RE0414388</t>
  </si>
  <si>
    <t>6119172365</t>
  </si>
  <si>
    <t>Brutto (100%)</t>
  </si>
  <si>
    <t>R0006262678</t>
  </si>
  <si>
    <t>6120982130</t>
  </si>
  <si>
    <t>LU20944528</t>
  </si>
  <si>
    <t>Amazon Media EU S.à r.l., 5 rue Plaetis, L-2338 Luxemburg</t>
  </si>
  <si>
    <t>AMEU-INV-AT-2016-3710482</t>
  </si>
  <si>
    <t>Amazon Media EU Sàrl, 5 Rue Plaetis, L-2338, Luxemburg</t>
  </si>
  <si>
    <t>Marketing-Ansätze in öffentlichen Musikschulen</t>
  </si>
  <si>
    <t>SV % der Umsätze</t>
  </si>
  <si>
    <t>ESt % EBT</t>
  </si>
  <si>
    <t>SV % Jahresüberschuss</t>
  </si>
  <si>
    <t>Jahresüberschuss geschätzt nach EBT/2 (50:50)</t>
  </si>
  <si>
    <t>Kontoauszug vom 22.10.2016</t>
  </si>
  <si>
    <t>SV Beitrag lt. Beitragsrechner</t>
  </si>
  <si>
    <t>Vorauss. Nachzahlung</t>
  </si>
  <si>
    <t>PV lt. Beitragsrechner</t>
  </si>
  <si>
    <t>KV lt. Beitragsrechner</t>
  </si>
  <si>
    <t>Abgabenquote %</t>
  </si>
  <si>
    <t>SV % JÜ lt. Beitragsrechner</t>
  </si>
  <si>
    <t>R0006351833</t>
  </si>
  <si>
    <t>R0006441945</t>
  </si>
  <si>
    <t>PRM316110006369</t>
  </si>
  <si>
    <t>Three-month Premium membership</t>
  </si>
  <si>
    <t>160028239</t>
  </si>
  <si>
    <t>2015/22</t>
  </si>
  <si>
    <t>ATU12739205</t>
  </si>
  <si>
    <t>Jahresabschluss 2015</t>
  </si>
  <si>
    <t>Wilhelm Blaha, Steuerberater, 1080 Wien, Roter Hof 1a</t>
  </si>
  <si>
    <t>EUVINS1-OFS-PL-254222524</t>
  </si>
  <si>
    <t>Buchführung und Bilanzierung für Dummies |3527712518</t>
  </si>
  <si>
    <t>freiwillige Vorauszahlung 2015</t>
  </si>
  <si>
    <t>freiwillige Vorauszahlung 2016</t>
  </si>
  <si>
    <t>RE0439013</t>
  </si>
  <si>
    <t>6124616522</t>
  </si>
  <si>
    <t>nach altem Tarif:</t>
  </si>
  <si>
    <t>&lt;&lt;==Ersparnis durch Steuerreform 2016</t>
  </si>
  <si>
    <t>Achtung: ab 2016 andere Steuerformel</t>
  </si>
  <si>
    <t>Vorschreibung 10/16</t>
  </si>
  <si>
    <t>Vorschreibung 11/16</t>
  </si>
  <si>
    <t>Vorschreibung 12/16</t>
  </si>
  <si>
    <t>4756071016</t>
  </si>
  <si>
    <t>4756071116</t>
  </si>
  <si>
    <t>4756071216</t>
  </si>
  <si>
    <t>PREMIUM Laudongasse 58 GmbH &amp; Co KG</t>
  </si>
  <si>
    <t>2017/8058/14</t>
  </si>
  <si>
    <t>Dauerrechnung 2017-01</t>
  </si>
  <si>
    <t>Dauerrechnung 2017-D-2</t>
  </si>
  <si>
    <t>6126460995</t>
  </si>
  <si>
    <t>RE0447849</t>
  </si>
  <si>
    <t>RE0445823</t>
  </si>
  <si>
    <t>R0006532557</t>
  </si>
  <si>
    <t>R0006624857</t>
  </si>
  <si>
    <t>Canon 384 Tinte</t>
  </si>
  <si>
    <t>RE A103-102/00010275</t>
  </si>
  <si>
    <t>Saturn Handels GmbH, Mariahilfer Str. 42-48, 1070 Wien</t>
  </si>
  <si>
    <t>ATU41593904</t>
  </si>
  <si>
    <t>Ausg. Vorst. I (060)</t>
  </si>
  <si>
    <t>6128353497</t>
  </si>
  <si>
    <t>13263277</t>
  </si>
  <si>
    <t>Samsung Toner black CLT-K506L 6000 S.</t>
  </si>
  <si>
    <t>EUVINS1-OFS-PL-277465836</t>
  </si>
  <si>
    <t>PRM317020006273</t>
  </si>
  <si>
    <t>Sennheiser PC 7 USB Headset | B005HWEZ98</t>
  </si>
  <si>
    <t>GCINIE6426071CAT2017000000045250</t>
  </si>
  <si>
    <t>Digital River Ireland Ltd, Unit 153, Shannon Free Zone West, Shannon, Co. Clare, Ireland</t>
  </si>
  <si>
    <t>Dragon Professional Individual v15 elektron. Download</t>
  </si>
  <si>
    <t>6132930597</t>
  </si>
  <si>
    <t>6130716022</t>
  </si>
  <si>
    <t>171001871465</t>
  </si>
  <si>
    <t>Grundumlage UBIT</t>
  </si>
  <si>
    <t>AEU-INV-AT-2017-3205734</t>
  </si>
  <si>
    <t>Scythe USB_2FS-2 USB Fußschalter | B004FS0120</t>
  </si>
  <si>
    <t>6994178796</t>
  </si>
  <si>
    <t>Microsoft Ireland Operations Ltd., Atrium Building Block B, Carmenhall Rd., Sandyford Industrial Estate, Dublin 18, Ireland</t>
  </si>
  <si>
    <t>6134782309</t>
  </si>
  <si>
    <t>Dauerrechnung 2017-D-6</t>
  </si>
  <si>
    <t>Dauerrechnung 2017-D-5</t>
  </si>
  <si>
    <t>Dauerrechnung 2017-D-4</t>
  </si>
  <si>
    <t>Dauerrechnung 2017-D-3</t>
  </si>
  <si>
    <t>31000261808/10/2016</t>
  </si>
  <si>
    <t>ATU14703908</t>
  </si>
  <si>
    <t>Jahresabrechnung 12.8.2015-17.8.2016</t>
  </si>
  <si>
    <t>34005405993/40/2016</t>
  </si>
  <si>
    <t>Teilzahlungsvorschreibung</t>
  </si>
  <si>
    <t>34007307375/40/2017</t>
  </si>
  <si>
    <t>34009136817/40/2017</t>
  </si>
  <si>
    <t>14000784129/40/2016</t>
  </si>
  <si>
    <t>14000881645/40/2016</t>
  </si>
  <si>
    <t>14001051659/40/2016</t>
  </si>
  <si>
    <t>14001173053/40/2017</t>
  </si>
  <si>
    <t>14001281770/40/2017</t>
  </si>
  <si>
    <t>14001392296/40/2017</t>
  </si>
  <si>
    <t>14001507897/40/2017</t>
  </si>
  <si>
    <t>14001620291/40/2017</t>
  </si>
  <si>
    <t>14001738828/40/2017</t>
  </si>
  <si>
    <t>6136633132</t>
  </si>
  <si>
    <t>Dauerrechnung 2017-D-7</t>
  </si>
  <si>
    <t>Dauerrechnung 2017-D-8</t>
  </si>
  <si>
    <t>Dauerrechnung 2017-D-9</t>
  </si>
  <si>
    <t>Rückerstattung BK 2016</t>
  </si>
  <si>
    <t>34011068828</t>
  </si>
  <si>
    <t>14001855137</t>
  </si>
  <si>
    <t>14001975411</t>
  </si>
  <si>
    <t>6138487568</t>
  </si>
  <si>
    <t>14002088308/40/2017</t>
  </si>
  <si>
    <t>6140343821</t>
  </si>
  <si>
    <t>170025346</t>
  </si>
  <si>
    <t>34011068828/40/2017</t>
  </si>
  <si>
    <t>6142197321</t>
  </si>
  <si>
    <t>34013061966/40/2017</t>
  </si>
  <si>
    <t>14002205999/40/2017</t>
  </si>
  <si>
    <t>via VISA MJ: Domain: stokol.at</t>
  </si>
  <si>
    <t>RE0518946</t>
  </si>
  <si>
    <t>Mag. Barbara Hube, Huber Unternehmensberatung, 1210, Mühlschüttelgasse 59/2/9</t>
  </si>
  <si>
    <t>ATU63980589</t>
  </si>
  <si>
    <t>UB gefördert Art.Nr. 23</t>
  </si>
  <si>
    <t>2017-101</t>
  </si>
  <si>
    <t>Stokol GmbH, Weiglg. 10/10d/11, 1150 Wien</t>
  </si>
  <si>
    <t>Lemon Technologies GmbH</t>
  </si>
  <si>
    <t>650398</t>
  </si>
  <si>
    <t>Dock, 8GB RAM, ThinkServer TS-150</t>
  </si>
  <si>
    <t>Weiterverkauf</t>
  </si>
  <si>
    <t>AEU-INV-AT-2017-16243160</t>
  </si>
  <si>
    <t>LG 27BK550Y-B</t>
  </si>
  <si>
    <t>14002325371/40/2017</t>
  </si>
  <si>
    <t>AEU-INV-AT-2017-16231379</t>
  </si>
  <si>
    <t>AEU-INV-AT-2017-16363411</t>
  </si>
  <si>
    <t>Switch, AP</t>
  </si>
  <si>
    <t>AEU-INV-AT-2017-16236859</t>
  </si>
  <si>
    <t>AEU-INV-AT-2017-16329348</t>
  </si>
  <si>
    <t>Lenovo ideacentre Y700</t>
  </si>
  <si>
    <t>ATU65194167</t>
  </si>
  <si>
    <t>650802</t>
  </si>
  <si>
    <t>Office, Win16Svr</t>
  </si>
  <si>
    <t>AEU-INV-AT-2017-16575031</t>
  </si>
  <si>
    <t>APC Back UPS Pro USV 900VA</t>
  </si>
  <si>
    <t>AEU-INV-AT-2017-16221562</t>
  </si>
  <si>
    <t>Acer G246HYLbid 23,8 Zoll</t>
  </si>
  <si>
    <t>INV-AT-105173521-2017-37295</t>
  </si>
  <si>
    <t>Ganz Einfach GmbH, Wohlenbergstr 16, Hannover, 30179 DE</t>
  </si>
  <si>
    <t>ATU72593712</t>
  </si>
  <si>
    <t>3 7,5m HDMI 3f. geschirmt</t>
  </si>
  <si>
    <t>40048218</t>
  </si>
  <si>
    <t>E.Alt KG, MTS-Shop.eu, 1140 Wien, Mühlbergstrasse 18</t>
  </si>
  <si>
    <t>ATU47951202</t>
  </si>
  <si>
    <t>IPCam, TV-Wandhalterung</t>
  </si>
  <si>
    <t>AEU-INV-AT-2017-16695382</t>
  </si>
  <si>
    <t>Sony DVP-SR760HB</t>
  </si>
  <si>
    <t>AEU-INV-AT-2017-16695368</t>
  </si>
  <si>
    <t>Seagate STEL800200 8TB</t>
  </si>
  <si>
    <t>AEU-INV-AT-2017-16695375</t>
  </si>
  <si>
    <t>SP-Link TL-PoE150S</t>
  </si>
  <si>
    <t>AEU-INV-AT-2017-16673435</t>
  </si>
  <si>
    <t>LogiLink BP0004 TV-Halterung</t>
  </si>
  <si>
    <t>AEU-INV-AT-2017-16663299</t>
  </si>
  <si>
    <t>STRONG SRT 40FX4003</t>
  </si>
  <si>
    <t>AEU-INV-AT-2017-16842561</t>
  </si>
  <si>
    <t>2017101287</t>
  </si>
  <si>
    <t>myKey GmbH, Embelgasse 2-8/4/441, 1050 Wien</t>
  </si>
  <si>
    <t>ATU69957978</t>
  </si>
  <si>
    <t>Windows 10 Pro Key</t>
  </si>
  <si>
    <t>896454</t>
  </si>
  <si>
    <t>6145902558</t>
  </si>
  <si>
    <t>officeb2b GmbH - Stettenstr. 15 - 86482 Aystetten - (DE)</t>
  </si>
  <si>
    <t>DE212287479</t>
  </si>
  <si>
    <t>LogiLink TV-Wandhalterung BP0004</t>
  </si>
  <si>
    <t>1985221</t>
  </si>
  <si>
    <t>1attack.de Mundo del Arte GmbH</t>
  </si>
  <si>
    <t>DE236431386</t>
  </si>
  <si>
    <t>Patchkabel</t>
  </si>
  <si>
    <t>2017101374</t>
  </si>
  <si>
    <t>INV-AT-105173521-2017-56322</t>
  </si>
  <si>
    <t>CSL -4k UHD HDMI Splitter B01615JA3A</t>
  </si>
  <si>
    <t>6985995</t>
  </si>
  <si>
    <t>Veloce Botendienste GmbH</t>
  </si>
  <si>
    <t>ATU15403800</t>
  </si>
  <si>
    <t>Laudong. - Linzerstraße</t>
  </si>
  <si>
    <t>LAUFEND</t>
  </si>
  <si>
    <t>foxcraft OG, Laudongasse 58/16, 1080 Wien</t>
  </si>
  <si>
    <t>Wall-Art-Design, Patrick Dießl, Streudorfer Str. 124, D-98663 Westhausen</t>
  </si>
  <si>
    <t>DE270772562</t>
  </si>
  <si>
    <t>1101540</t>
  </si>
  <si>
    <t>14002443106/40/2017</t>
  </si>
  <si>
    <t>E050052CKO</t>
  </si>
  <si>
    <t>Microsoft Ireland Operations Ltd, One Microsoft Place, South County Business Park Leopardstown Dublin 18, D18 P521 Irland</t>
  </si>
  <si>
    <t>Office 365 Business Essentials (monatlich)</t>
  </si>
  <si>
    <t>2016/52</t>
  </si>
  <si>
    <t>SV: vorgeschrTeilbeträge</t>
  </si>
  <si>
    <t>Pflichtversicherungsmonate</t>
  </si>
  <si>
    <t>SV: Endgültige monatl. Beitragsgrundlage</t>
  </si>
  <si>
    <t>KV monatl.</t>
  </si>
  <si>
    <t>PV monatl.</t>
  </si>
  <si>
    <t>UV</t>
  </si>
  <si>
    <t>SV jährlich gesamt</t>
  </si>
  <si>
    <t>2016</t>
  </si>
  <si>
    <t>2017</t>
  </si>
  <si>
    <t>2018</t>
  </si>
  <si>
    <t>Buchungstext</t>
  </si>
  <si>
    <t>jarosoft</t>
  </si>
  <si>
    <t>SV Nachzahlung</t>
  </si>
  <si>
    <t>Lemon Thinkpad-Adapter, Maus</t>
  </si>
  <si>
    <t>167278439-00</t>
  </si>
  <si>
    <t>659185</t>
  </si>
  <si>
    <t>6147758411</t>
  </si>
  <si>
    <t>Nachtrag UPC 2016-1</t>
  </si>
  <si>
    <t>Nachtrag UPC 2016-2</t>
  </si>
  <si>
    <t>Nachtrag UPC 2016-3</t>
  </si>
  <si>
    <t>Nachtrag UPC 2016-4</t>
  </si>
  <si>
    <t>Nachtrag UPC 2016-5</t>
  </si>
  <si>
    <t>Nachtrag UPC 2016-6</t>
  </si>
  <si>
    <t>Nachtrag UPC 2016-7</t>
  </si>
  <si>
    <t>Nachtrag UPC 2016-8</t>
  </si>
  <si>
    <t>Nachtrag UPC 2016-9</t>
  </si>
  <si>
    <t>Nachtrag UPC 2016-10</t>
  </si>
  <si>
    <t>Nachtrag UPC 2016-11</t>
  </si>
  <si>
    <t>Nachtrag UPC 2016-12</t>
  </si>
  <si>
    <t>156482326-00</t>
  </si>
  <si>
    <t>157030140-00</t>
  </si>
  <si>
    <t>157519266-00</t>
  </si>
  <si>
    <t>157980843-00</t>
  </si>
  <si>
    <t>158223152-00</t>
  </si>
  <si>
    <t>158701040-00</t>
  </si>
  <si>
    <t>159167390-00</t>
  </si>
  <si>
    <t>159713325-00</t>
  </si>
  <si>
    <t>160189881-00</t>
  </si>
  <si>
    <t>160405182-00</t>
  </si>
  <si>
    <t>160916207-00</t>
  </si>
  <si>
    <t>161430714-00</t>
  </si>
  <si>
    <t>UPC Laudongasse</t>
  </si>
  <si>
    <t>34015135358</t>
  </si>
  <si>
    <t>Dauerrechnung 2018-D</t>
  </si>
  <si>
    <t>2018/8058/18</t>
  </si>
  <si>
    <t>Microsoft Ireland Operations Ltd, One Microsoft Place, South County Business Park Leopardstown Dublin 18, D18 P521 Irland: Office 365 Business Essentials (monatlich)</t>
  </si>
  <si>
    <t>easyname jarosoft.at</t>
  </si>
  <si>
    <t>RE0562181</t>
  </si>
  <si>
    <t>Nachtrag UPC 2017-2</t>
  </si>
  <si>
    <t>Nachtrag UPC 2017-12</t>
  </si>
  <si>
    <t>Nachtrag UPC 2017-11</t>
  </si>
  <si>
    <t>Nachtrag UPC 2017-10</t>
  </si>
  <si>
    <t>Nachtrag UPC 2017-9</t>
  </si>
  <si>
    <t>Nachtrag UPC 2017-8</t>
  </si>
  <si>
    <t>Nachtrag UPC 2017-7</t>
  </si>
  <si>
    <t>Nachtrag UPC 2017-6</t>
  </si>
  <si>
    <t>Nachtrag UPC 2017-5</t>
  </si>
  <si>
    <t>Nachtrag UPC 2017-4</t>
  </si>
  <si>
    <t>Nachtrag UPC 2017-3</t>
  </si>
  <si>
    <t>Nachtrag UPC 2017-1</t>
  </si>
  <si>
    <t>166818894-00</t>
  </si>
  <si>
    <t>166356416-00</t>
  </si>
  <si>
    <t>165891138-00</t>
  </si>
  <si>
    <t>165431550-00</t>
  </si>
  <si>
    <t>164944624-00</t>
  </si>
  <si>
    <t>164485132-00</t>
  </si>
  <si>
    <t>164194770-00</t>
  </si>
  <si>
    <t>163739259-00</t>
  </si>
  <si>
    <t>163259537-00</t>
  </si>
  <si>
    <t>162806671-00</t>
  </si>
  <si>
    <t>162355217-00</t>
  </si>
  <si>
    <t>161912688-00</t>
  </si>
  <si>
    <t>E050058GBA</t>
  </si>
  <si>
    <t>6149618312</t>
  </si>
  <si>
    <t>167750781-00</t>
  </si>
  <si>
    <t>Belegnr.</t>
  </si>
  <si>
    <t>Spesenart</t>
  </si>
  <si>
    <t>Waren, Rohstoffe, Hilfsstoffe</t>
  </si>
  <si>
    <t>Fremdpersonal</t>
  </si>
  <si>
    <t>Personalaufwand</t>
  </si>
  <si>
    <t>GWG</t>
  </si>
  <si>
    <t>Abschreibung Anlagevermögen</t>
  </si>
  <si>
    <t>Instandhaltungen Gebäude</t>
  </si>
  <si>
    <t>Reise- und Fahrtspesen inkl. Kilometergeld und Diäten</t>
  </si>
  <si>
    <t>Tatsächliche KfZ-Kosten</t>
  </si>
  <si>
    <t>Miet- und Pachtaufwand, Leasing</t>
  </si>
  <si>
    <t>Lizenzgebühren</t>
  </si>
  <si>
    <t>Werbe- und Repräsentationsaufwand</t>
  </si>
  <si>
    <t>Zinsen und ähnliche Aufwendungen</t>
  </si>
  <si>
    <t>Pflichversicherungsbeiträge</t>
  </si>
  <si>
    <t>betriebliche Spenden an Forschungs- und Lehreinrichtungen</t>
  </si>
  <si>
    <t>betriebliche Spenden an mildtätige Organisationen</t>
  </si>
  <si>
    <t>betriebliche Spenden an Umweltorganisationen und Tierheime</t>
  </si>
  <si>
    <t>betriebliche Spenden an freiwillige Feuerwehren</t>
  </si>
  <si>
    <t>Reinigungsmaterial</t>
  </si>
  <si>
    <t>Fachliteratur</t>
  </si>
  <si>
    <t>Seminargebühren</t>
  </si>
  <si>
    <t>Telefon/Internet</t>
  </si>
  <si>
    <t>Porto/Gebühren</t>
  </si>
  <si>
    <t>sonstige Betriebsausgaben</t>
  </si>
  <si>
    <t>Kategorie</t>
  </si>
  <si>
    <t>ID</t>
  </si>
  <si>
    <t>Einnahmen</t>
  </si>
  <si>
    <t>Waren-/Leistungserlöse</t>
  </si>
  <si>
    <t>Übrige Erträge</t>
  </si>
  <si>
    <t>12018006</t>
  </si>
  <si>
    <t>foxcraft OG, LAudongasse 58/16, 1080 Wien</t>
  </si>
  <si>
    <t>168210423-00</t>
  </si>
  <si>
    <t>6151479272</t>
  </si>
  <si>
    <t>14002906745/40/2018</t>
  </si>
  <si>
    <t>E05005ER62</t>
  </si>
  <si>
    <t>14002797636/40/2018</t>
  </si>
  <si>
    <t>AEU-INV-AT-2018-6321625</t>
  </si>
  <si>
    <t>6155179680</t>
  </si>
  <si>
    <t>169132529-00</t>
  </si>
  <si>
    <t>181001871465</t>
  </si>
  <si>
    <t>14003136019/40/2018</t>
  </si>
  <si>
    <t>14003021448/40/2018</t>
  </si>
  <si>
    <t>34017285963/40/2018</t>
  </si>
  <si>
    <t>6153332230</t>
  </si>
  <si>
    <t>168670526-00</t>
  </si>
  <si>
    <t>Amazon EU Sàrl, 5 Rue Plaetis, L-2338, Luxemburg: Toner magenta, gelb</t>
  </si>
  <si>
    <t>Amazon EU Sàrl, 5 Rue Plaetis, L-2338, Luxemburg: WLAN-AP</t>
  </si>
  <si>
    <t>AEU-INV-AT-2018-7711065</t>
  </si>
  <si>
    <t>354007</t>
  </si>
  <si>
    <t>Impro Group Sàrl, Rue Saint-Léger 6, 1205 Geneva, Switzerland: Toner Cyan</t>
  </si>
  <si>
    <t>E05005Y89R</t>
  </si>
  <si>
    <t>Flextronics Global Services Manchester Ltd, Stretton Green Distribution Cn, Langford Way, Appleton, Cheshire, WA4 4TQ, United Kingdom</t>
  </si>
  <si>
    <t>O-0000190422</t>
  </si>
  <si>
    <t>E05005LAV5</t>
  </si>
  <si>
    <t>AEU-INV-AT-2018-6088080</t>
  </si>
  <si>
    <t>Amazon EU Sàrl, 5 Rue Plaetis, L-2338, Luxemburg: Toner schwarz</t>
  </si>
  <si>
    <t>Amazon EU Sàrl, 5 Rue Plaetis, L-2338, Luxemburg: Logo modernism</t>
  </si>
  <si>
    <t>AEU-INV-AT-2018-10486099</t>
  </si>
  <si>
    <t>freiwerk GmbH, Drahthammerstr. 20, 92224 Amberg: Netzwerkkabel+Versand</t>
  </si>
  <si>
    <t>2131969</t>
  </si>
  <si>
    <t>E05005ROXE</t>
  </si>
  <si>
    <t>easyname mj1.at</t>
  </si>
  <si>
    <t>RE0600113</t>
  </si>
  <si>
    <t>Daimler Mobility Services GmbH, Fasanenweg 15-17, 70771 Leinfelden-Echterdingen, Germany</t>
  </si>
  <si>
    <t>3293000005973773</t>
  </si>
  <si>
    <t>3467622978</t>
  </si>
  <si>
    <t>Google Ireland Limited, Gordon House, Barrow Street, Dublin 4, Ireland, UID: IE6388047V</t>
  </si>
  <si>
    <t>6157023742</t>
  </si>
  <si>
    <t>169593506-00</t>
  </si>
  <si>
    <t>14003245753/40/2018</t>
  </si>
  <si>
    <t>11793156960</t>
  </si>
  <si>
    <t>E050064VW3</t>
  </si>
  <si>
    <t>Clean Coder Amazon EU S.à.r.l. - 5 Rue Plaetis, L-2338 Luxembourg, ATU62353134</t>
  </si>
  <si>
    <t>AEU-INV-AT-2018-13729083</t>
  </si>
  <si>
    <t>684492</t>
  </si>
  <si>
    <t xml:space="preserve">UEPC: Lemon Technologies GmbH,Unterweißenbach 181, 8330 Feldbach, Österreich </t>
  </si>
  <si>
    <t xml:space="preserve">Drucker+PCs+LCDs: Lemon Technologies GmbH,Unterweißenbach 181, 8330 Feldbach, Österreich </t>
  </si>
  <si>
    <t>1attack Patchkabel und Zyxel Switch, Steckdosenleisten: Amazon EU Sàrl, 5 Rue Plaetis, L-2338, Luxemburg</t>
  </si>
  <si>
    <t>Amazon: AEU-INV-AT-2018-13708794; 1attack: 2191562</t>
  </si>
  <si>
    <t>AEU-INV-AT-2018-13708984</t>
  </si>
  <si>
    <t>Steckdosenleisten Amazon Marketplace 5040</t>
  </si>
  <si>
    <t>AEU-INV-AT-2018-13708785</t>
  </si>
  <si>
    <t>Tastatur+Maus Logitech: Amazon Marketplace 3518</t>
  </si>
  <si>
    <t>170054282-00</t>
  </si>
  <si>
    <t>6055</t>
  </si>
  <si>
    <t>ProcessWire, Ryan Cramer Design, LLC, 204 Clarion Ave, Decatur, GA 30030, USA ==&gt; 129,00 USD</t>
  </si>
  <si>
    <t>Nemt GmbH</t>
  </si>
  <si>
    <t>AI2208418</t>
  </si>
  <si>
    <t>684128</t>
  </si>
  <si>
    <t>6158865234</t>
  </si>
  <si>
    <t>34019581014/40/2018</t>
  </si>
  <si>
    <t>14003364782/40/2018</t>
  </si>
  <si>
    <t>E05006BO0M</t>
  </si>
  <si>
    <t>170518765-00</t>
  </si>
  <si>
    <t>6160696858</t>
  </si>
  <si>
    <t>14003481874/40/2018</t>
  </si>
  <si>
    <t>6162525369</t>
  </si>
  <si>
    <t>easyname raunz.info</t>
  </si>
  <si>
    <t>RE0629060</t>
  </si>
  <si>
    <t>170981024-00</t>
  </si>
  <si>
    <t xml:space="preserve">Hutchison Drei Austria GmbH, Brünner Straße 52, 1210 Wien, Österreich: </t>
  </si>
  <si>
    <t>easyname GmbH, Fernkorngasse 10/3/501, 1110 Wien: Domain: dr-schiller.at</t>
  </si>
  <si>
    <t>easyname GmbH, Fernkorngasse 10/3/501, 1110 Wien: Domain: amweg.at</t>
  </si>
  <si>
    <t>easyname GmbH, Fernkorngasse 10/3/501, 1110 Wien: Domain: jarosoft.at</t>
  </si>
  <si>
    <t>Hetzner Online AG, Industriestr. 25, 91710 Gunzenhausen: EQ4 Server #50605 30TB 188.40.75.200, 188.40.75.242</t>
  </si>
  <si>
    <t>Wiener Linien GmbH &amp; Co KG, Erdbergstraße 202, 1031 Wien: Jahreskarte</t>
  </si>
  <si>
    <t>XING AG, D-20354 Hamburg, Dammtorstrasse 30: Three-month Premium membership</t>
  </si>
  <si>
    <t>Amazon EU Sàrl, 5 Rue Plaetis, L-2338, Luxemburg: Sennheiser PC 7 USB Headset | B005HWEZ98</t>
  </si>
  <si>
    <t>Primus Office products Handelsges.mb.H &amp; Co KG FN210677w - ATU52268004, Margaretengürtel 44, 1050 Wien: Samsung Toner black CLT-K506L 6000 S.</t>
  </si>
  <si>
    <t>Digital River Ireland Ltd, Unit 153, Shannon Free Zone West, Shannon, Co. Clare, Ireland: Dragon Professional Individual v15 elektron. Download</t>
  </si>
  <si>
    <t>WKO: Grundumlage UBIT</t>
  </si>
  <si>
    <t>Amazon EU Sàrl, 5 Rue Plaetis, L-2338, Luxemburg: Scythe USB_2FS-2 USB Fußschalter | B004FS0120</t>
  </si>
  <si>
    <t>Microsoft Ireland Operations Ltd., Atrium Building Block B, Carmenhall Rd., Sandyford Industrial Estate, Dublin 18, Ireland: Office 365</t>
  </si>
  <si>
    <t>MONTANA Energie-Handel AT GmbH: Teilzahlungsbetrag Gas</t>
  </si>
  <si>
    <t>nic.at GmbH, Jakob-Haringer-Strasse 8, 5020 Salzburg, Austria: Domain: energiebalance-lichtherz.at</t>
  </si>
  <si>
    <t>easyname GmbH, Fernkorngasse 10/3/501, 1110 Wien: via VISA MJ: Domain: stokol.at</t>
  </si>
  <si>
    <t>Lemon Technologies GmbH: Dock, 8GB RAM, ThinkServer TS-150</t>
  </si>
  <si>
    <t>Amazon EU Sàrl, 5 Rue Plaetis, L-2338, Luxemburg: LG 27BK550Y-B</t>
  </si>
  <si>
    <t>Amazon EU Sàrl, 5 Rue Plaetis, L-2338, Luxemburg: Switch, AP</t>
  </si>
  <si>
    <t>Amazon EU Sàrl, 5 Rue Plaetis, L-2338, Luxemburg: Lenovo ideacentre Y700</t>
  </si>
  <si>
    <t>Lemon Technologies GmbH: Office, Win16Svr</t>
  </si>
  <si>
    <t>Amazon EU Sàrl, 5 Rue Plaetis, L-2338, Luxemburg: APC Back UPS Pro USV 900VA</t>
  </si>
  <si>
    <t>Amazon EU Sàrl, 5 Rue Plaetis, L-2338, Luxemburg: Acer G246HYLbid 23,8 Zoll</t>
  </si>
  <si>
    <t>Ganz Einfach GmbH, Wohlenbergstr 16, Hannover, 30179 DE: 3 7,5m HDMI 3f. geschirmt</t>
  </si>
  <si>
    <t>E.Alt KG, MTS-Shop.eu, 1140 Wien, Mühlbergstrasse 18: IPCam, TV-Wandhalterung</t>
  </si>
  <si>
    <t>Amazon EU Sàrl, 5 Rue Plaetis, L-2338, Luxemburg: Sony DVP-SR760HB</t>
  </si>
  <si>
    <t>Amazon EU Sàrl, 5 Rue Plaetis, L-2338, Luxemburg: Seagate STEL800200 8TB</t>
  </si>
  <si>
    <t>Amazon EU Sàrl, 5 Rue Plaetis, L-2338, Luxemburg: SP-Link TL-PoE150S</t>
  </si>
  <si>
    <t>Amazon EU Sàrl, 5 Rue Plaetis, L-2338, Luxemburg: LogiLink BP0004 TV-Halterung</t>
  </si>
  <si>
    <t>Amazon EU Sàrl, 5 Rue Plaetis, L-2338, Luxemburg: STRONG SRT 40FX4003</t>
  </si>
  <si>
    <t>myKey GmbH, Embelgasse 2-8/4/441, 1050 Wien: Windows 10 Pro Key</t>
  </si>
  <si>
    <t>officeb2b GmbH - Stettenstr. 15 - 86482 Aystetten - (DE): LogiLink TV-Wandhalterung BP0004</t>
  </si>
  <si>
    <t>1attack.de Mundo del Arte GmbH: Patchkabel</t>
  </si>
  <si>
    <t>Ganz Einfach GmbH, Wohlenbergstr 16, Hannover, 30179 DE: CSL -4k UHD HDMI Splitter B01615JA3A</t>
  </si>
  <si>
    <t>Veloce Botendienste GmbH: Laudong. - Linzerstraße</t>
  </si>
  <si>
    <t xml:space="preserve">Wall-Art-Design, Patrick Dießl, Streudorfer Str. 124, D-98663 Westhausen: </t>
  </si>
  <si>
    <t xml:space="preserve">Vistaprint B.V., Hudsonweg 8, 5928 LW Venlo, Niederlande: </t>
  </si>
  <si>
    <t>Wilhelm Blaha, Steuerberater, 1080 Wien, Roter Hof 1a: Jahresabschluss 2015</t>
  </si>
  <si>
    <t>jarosoft: AfA 2017</t>
  </si>
  <si>
    <t>(nicht relevant) jarosoft: AfA 2016</t>
  </si>
  <si>
    <t>(nicht relevant)</t>
  </si>
  <si>
    <t>27,32 % von € 881,95: PREMIUM Laudongasse 58 GmbH &amp; Co KG: Dauerrechnung 2017-01</t>
  </si>
  <si>
    <t>27,32 % von € 881,95: PREMIUM Laudongasse 58 GmbH &amp; Co KG: Dauerrechnung 2017-D-2</t>
  </si>
  <si>
    <t>27,32 % von € 881,95: PREMIUM Laudongasse 58 GmbH &amp; Co KG: Dauerrechnung 2017-D-3</t>
  </si>
  <si>
    <t>27,32 % von € 881,95: PREMIUM Laudongasse 58 GmbH &amp; Co KG: Dauerrechnung 2017-D-4</t>
  </si>
  <si>
    <t>27,32 % von € 881,95: PREMIUM Laudongasse 58 GmbH &amp; Co KG: Dauerrechnung 2017-D-5</t>
  </si>
  <si>
    <t>27,32 % von € 881,95: PREMIUM Laudongasse 58 GmbH &amp; Co KG: Dauerrechnung 2017-D-6</t>
  </si>
  <si>
    <t>27,32 % von € 881,95: PREMIUM Laudongasse 58 GmbH &amp; Co KG: Dauerrechnung 2017-D-7</t>
  </si>
  <si>
    <t>27,32 % von € 881,95: PREMIUM Laudongasse 58 GmbH &amp; Co KG: Dauerrechnung 2017-D-8</t>
  </si>
  <si>
    <t>27,32 % von € 881,95: PREMIUM Laudongasse 58 GmbH &amp; Co KG: Dauerrechnung 2017-D-9</t>
  </si>
  <si>
    <t>27,32 % von -€ 366,91: PREMIUM Laudongasse 58 GmbH &amp; Co KG: Rückerstattung BK 2016</t>
  </si>
  <si>
    <t>27,32 % von € 99: MONTANA Energie-Handel AT GmbH: Teilzahlungsbetrag Gas</t>
  </si>
  <si>
    <t>27,32 % von € 138,12: MONTANA Energie-Handel AT GmbH: Teilzahlungsbetrag Gas</t>
  </si>
  <si>
    <t>27,32 % von € 96: MONTANA Energie-Handel AT GmbH: Teilzahlungsbetrag Gas</t>
  </si>
  <si>
    <t>27,32 % von € 171,00: VERBUND AG, Postfach 8400, 1011 Wien, Österreich: Teilzahlungsvorschreibung</t>
  </si>
  <si>
    <t>27,32 % von € 26,18: VERBUND AG, Postfach 8400, 1011 Wien, Österreich: Teilzahlungsvorschreibung</t>
  </si>
  <si>
    <t>27,32 % von € 182,00: VERBUND AG, Postfach 8400, 1011 Wien, Österreich: Teilzahlungsvorschreibung</t>
  </si>
  <si>
    <t>Ust%</t>
  </si>
  <si>
    <t>reverse charge</t>
  </si>
  <si>
    <t>ACHTUNG: Spezialfall; Mag. Barbara Hube, Huber Unternehmensberatung, 1210, Mühlschüttelgasse 59/2/9: UB gefördert Art.Nr. 23</t>
  </si>
  <si>
    <t>ACHTUNG: Spezialfall; Mag. Barbara Hube, Huber Unternehmensberatung, 1210, Mühlschüttelgasse 59/2/9: UB gefördert Art.Nr. 23 (man erhält das Geld nicht ausbezahlt, sondern man bezahlt den nicht geförderten Teil des Honorars + die USt des Gesamtbetrags)</t>
  </si>
  <si>
    <t>2/3 der mit 20% besteuerten Posten -  Nachtrag UPC 2017-12</t>
  </si>
  <si>
    <t>Steuersatz</t>
  </si>
  <si>
    <t>lfd. Nr.</t>
  </si>
  <si>
    <t>Datum</t>
  </si>
  <si>
    <t>Text</t>
  </si>
  <si>
    <t>Bruttobetrag</t>
  </si>
  <si>
    <t>Steuer
Betrag</t>
  </si>
  <si>
    <t>(WEITERVERKAUF) Lemon Technologies GmbH: Dock, 8GB RAM, ThinkServer TS-150</t>
  </si>
  <si>
    <t>(WEITERVERKAUF) Amazon EU Sàrl, 5 Rue Plaetis, L-2338, Luxemburg: Lenovo ideacentre Y700</t>
  </si>
  <si>
    <t>(WEITERVERKAUF) Lemon Technologies GmbH: Office, Win16Svr</t>
  </si>
  <si>
    <t>(nicht relevant) jarosoft: AfA 2016 (falsch einsortiert)</t>
  </si>
  <si>
    <t>Mag. Barbara Hube, Huber Unternehmensberatung, 1210, Mühlschüttelgasse 59/2/9: UB gefördert Art.Nr. 23</t>
  </si>
  <si>
    <t>??VERKÄUFER??: Avantree USB Bluetooth 4.0 Dongle</t>
  </si>
  <si>
    <t>20180901202</t>
  </si>
  <si>
    <t xml:space="preserve">Shenzhenshi Yunguihui Keji Youxian Gongsi: Türstopper Gummi 4 Stk. </t>
  </si>
  <si>
    <t>14003587017/40/2018</t>
  </si>
  <si>
    <t>E2EC180919000006</t>
  </si>
  <si>
    <t>PREMIUM Laudongasse 58 GmbH &amp; Co KG: Dauerrechnung 2018-D: Rückerstattung BK</t>
  </si>
  <si>
    <t>536000000024904222</t>
  </si>
  <si>
    <t>ÖBB Personenverkehr AG Wien St. Pölten &amp; retour</t>
  </si>
  <si>
    <t>10800180903823</t>
  </si>
  <si>
    <t>Österreichische Post AG Brief + Marken</t>
  </si>
  <si>
    <t>51643619</t>
  </si>
  <si>
    <t>Office Partner GmbH: Samsung CLX 6260ND/SEE</t>
  </si>
  <si>
    <t>Faxonline GmbH</t>
  </si>
  <si>
    <t>easyname stokol.at</t>
  </si>
  <si>
    <t>Microsoft Ireland Operations Ltd, One Microsoft Place, South County Business Park Leopardstown Dublin 18, D18 P521 Irland: Office 365 Business Essentials (jährlich)</t>
  </si>
  <si>
    <t>171443843-00</t>
  </si>
  <si>
    <t>Bezirksgericht Beglaubigung</t>
  </si>
  <si>
    <t>Bezirksgericht FB-Eintragung</t>
  </si>
  <si>
    <t>71 Fr 18314/18 i</t>
  </si>
  <si>
    <t>6164351414</t>
  </si>
  <si>
    <t>34021907236/40/2018</t>
  </si>
  <si>
    <t>14003700445/40/2018</t>
  </si>
  <si>
    <t>RE0641423</t>
  </si>
  <si>
    <t>E05006T0YG</t>
  </si>
  <si>
    <t>A18-7592</t>
  </si>
  <si>
    <t>IVIP28712590</t>
  </si>
  <si>
    <t>Envato Pty LTd, PO Box 16122, Collins St. West, Victoria   8007, Australia, EU VAT ID EU826409867</t>
  </si>
  <si>
    <t>6166179078</t>
  </si>
  <si>
    <t>IEE2018004924624</t>
  </si>
  <si>
    <t>Adobe Systems Software Ireland Ltd., 2-6 Riverwalk, Citywest Business Park, Dublin 24, Ireland</t>
  </si>
  <si>
    <t>171913896-00</t>
  </si>
  <si>
    <t>701930</t>
  </si>
  <si>
    <t>Lemon Technologies GmbH, Unterweißenbach 181, 8330 Feldbach: Seagate Skyhawk 8TB ST8000VX0022</t>
  </si>
  <si>
    <t>13337582</t>
  </si>
  <si>
    <t>Primus office products HandelsgmbH &amp; Co KG, Margaretengürtel 44,1050 Wien: Tonershop, TOSM-CLP360MULTI.O</t>
  </si>
  <si>
    <t>AT1756279</t>
  </si>
  <si>
    <t>Flyeralarm  online Druck GmbH, Brown-Boveri-Str. 8, 2351 Wr. Neudorf</t>
  </si>
  <si>
    <t>FDC6360477</t>
  </si>
  <si>
    <t>fonts.com Monotype, 600 Unicorn Park Drive, Woburn, MA 01801 USA, VAT ID EU826009166</t>
  </si>
  <si>
    <t>FDC6360492</t>
  </si>
  <si>
    <t>Franz Hauer GesmbH &amp; Co KG, Werksstraße 6, 3125 Statzendorf</t>
  </si>
  <si>
    <t>Koltschik GmbH, Josef Stadlmaiergasse 2/19, 3003 Gablitz</t>
  </si>
  <si>
    <t>Lemon Technologies GmbH, Unterweißenbach 181, 8330 Feldbach: HP Toner Samsung 4 Artikel</t>
  </si>
  <si>
    <t>704781</t>
  </si>
  <si>
    <t>Niederösterreichische Versicherung AG, Neue Herrengasse 10, 3100 St. Pölten; Polizze 3647872/0</t>
  </si>
  <si>
    <t>PRM318110005752</t>
  </si>
  <si>
    <t>XING AG, D-20354 Hamburg, Dammtorstrasse 30: Xing Premium 3 Monate</t>
  </si>
  <si>
    <t>AON Austria GmbH: UBIT Berufshaftpflicht-/Rechtschutzversicherung</t>
  </si>
  <si>
    <t>2/81/82354875~13113 0</t>
  </si>
  <si>
    <t>14003807434/40/2018</t>
  </si>
  <si>
    <t>AEU-INV-AT-2018-27151801</t>
  </si>
  <si>
    <t>Amazon EU Sàrl, 5 Rue Plaetis, L-2338, Luxemburg: Strong SRT 40FZ4003N</t>
  </si>
  <si>
    <t>10800281166026</t>
  </si>
  <si>
    <t>Österreichische Post AG Paket (Küche &amp; Co.)</t>
  </si>
  <si>
    <t>PREMIUM Laudongasse 58 GmbH &amp; Co KG: Dauerrechnung 2018-D</t>
  </si>
  <si>
    <t>Blaha Wilhelm Steuerberater, 1080 Wien, Roter Hof 1a</t>
  </si>
  <si>
    <t>2017/75</t>
  </si>
  <si>
    <t>Amazon EU Sàrl, 5 Rue Plaetis, L-2338, Luxemburg: Gutschrift für Strong TV (Kauf Vorjahr, Reklamation)</t>
  </si>
  <si>
    <t>172374600-00</t>
  </si>
  <si>
    <t>6168007977</t>
  </si>
  <si>
    <t>34022881671/40/2018</t>
  </si>
  <si>
    <t>AEU-INV-AT-2018-30447820</t>
  </si>
  <si>
    <t>Amazon EU Sàrl, 5 Rue Plaetis, L-2338, Luxemburg: Buch "der agile Festpreis" (Achtung: Weder Rechnung noch Zahlung geben exten Preis dieser Betriebsausgabe wieder)</t>
  </si>
  <si>
    <t>0893-20181203-01-3380</t>
  </si>
  <si>
    <t>Libro (Überwiesen an Eva Kolbitsch)</t>
  </si>
  <si>
    <t>MONTANA Energie-Handel AT GmbH: Teilzahlungsbetrag Gas + Jahresabrechnung (94-66,83=27,17 inkl. 20% USt.)</t>
  </si>
  <si>
    <t>14003915689/40/2018</t>
  </si>
  <si>
    <t>Lemon Technologies GmbH, Unterweißenbach 181, 7330 Feldbach: Google Pixel 2 Smartphone</t>
  </si>
  <si>
    <t>H. Jaros e.U., Kohlmarkt 16/2/2/15a, 1010 Wien</t>
  </si>
  <si>
    <t>Libro 1090</t>
  </si>
  <si>
    <t>UPC Telekabel Wien GmbH</t>
  </si>
  <si>
    <t>Stokol GmbH</t>
  </si>
  <si>
    <t>Hetzner Online GmbH</t>
  </si>
  <si>
    <t>R0009040148</t>
  </si>
  <si>
    <t>Montana Energie Handel AT GmbH</t>
  </si>
  <si>
    <t>Hays Österreich GmbH, Bahnhof City Wien West, Europaplatz 3/5, 1150 Wien; Gutschrift (Abrechnung durch Leistungsempfänger)</t>
  </si>
  <si>
    <t>14004053224/40/2019</t>
  </si>
  <si>
    <t>Hays Österreich GmbH</t>
  </si>
  <si>
    <t>Franz Hauer GmbH + Co KG</t>
  </si>
  <si>
    <t>Aon Austria GmbH</t>
  </si>
  <si>
    <t>2/81/82354875 13113 0 1384</t>
  </si>
  <si>
    <t>/GSV/168025016/80C20017801/20181</t>
  </si>
  <si>
    <t>0968-20190109-02-4758</t>
  </si>
  <si>
    <t>Anteil</t>
  </si>
  <si>
    <t>/GSV/168025007/80C20017801/20181</t>
  </si>
  <si>
    <t>173308653-00</t>
  </si>
  <si>
    <t>easyname GmbH, Fernkorngasse 10/3/501, A-1100 Wien</t>
  </si>
  <si>
    <t>RE0680616</t>
  </si>
  <si>
    <t>Fotostudio Nelson, Maria Nelson, Lederergasse 6, 1080 Wien</t>
  </si>
  <si>
    <t>A17849</t>
  </si>
  <si>
    <t>Koltschik GmbH</t>
  </si>
  <si>
    <t>R0009164503</t>
  </si>
  <si>
    <t>14004165330/40/2019</t>
  </si>
  <si>
    <t>Österreichische Post AG</t>
  </si>
  <si>
    <t>10800590223829</t>
  </si>
  <si>
    <t>2019/8058/14</t>
  </si>
  <si>
    <t>Premium Laudongasse 58 GmbH &amp; Co KG</t>
  </si>
  <si>
    <t>Sozialversicherung der gewerblichen Wirtshaft</t>
  </si>
  <si>
    <t>Verbund AG, Postfach 8400, 1011 Wien, Österreich</t>
  </si>
  <si>
    <t>34025353530/40/2019</t>
  </si>
  <si>
    <t>paybox Bank AG (Parkscheine)</t>
  </si>
  <si>
    <t>100000171597</t>
  </si>
  <si>
    <t>AEU-INV-AT-2019-5285480</t>
  </si>
  <si>
    <t>ja</t>
  </si>
  <si>
    <t>6173537012</t>
  </si>
  <si>
    <t>PRM319020005682</t>
  </si>
  <si>
    <t>Xing SE, Dammtorstraße 30, 20354 Hamburg</t>
  </si>
  <si>
    <t>Wiener Linien GmbH &amp; Co KG</t>
  </si>
  <si>
    <t>173771178-00</t>
  </si>
  <si>
    <t>AEU-INV-AT-2019-5947804</t>
  </si>
  <si>
    <t>R0009290830</t>
  </si>
  <si>
    <t>AEU-INV-AT-2019-6418956</t>
  </si>
  <si>
    <t>14004275516/40/2019</t>
  </si>
  <si>
    <t>(keine RNr)</t>
  </si>
  <si>
    <t>RE0702580</t>
  </si>
  <si>
    <t>725500</t>
  </si>
  <si>
    <t>Lemon Technologies GmbH, Unterweißenbach 181, 7330 Feldbach: Lenovo T580, Lenovo X1 Carbon etc.</t>
  </si>
  <si>
    <t>6175379895</t>
  </si>
  <si>
    <t>3293000007360286</t>
  </si>
  <si>
    <t>car2go Österreich GmbH, Hintere Zollamtstraße 9, 1030 Wien</t>
  </si>
  <si>
    <t>Büroprofi Koch Papier GmbH, 1080 Wien, Josefstädter Str  87</t>
  </si>
  <si>
    <t>01/00003810/00899151</t>
  </si>
  <si>
    <t>Amazon EU S. à r.l., 38 avenue John F. Kennedy, L-1855 Luxembourg: HJEU: Xperia XZ2 Compact</t>
  </si>
  <si>
    <t>Amazon EU S. à r.l., 38 avenue John F. Kennedy, L-1855 Luxembourg: HJEU: Sony 1312-4414</t>
  </si>
  <si>
    <t>Amazon EU S. à r.l., 38 avenue John F. Kennedy, L-1855 Luxembourg</t>
  </si>
  <si>
    <t>AEU-INV-AT-2019-8185106</t>
  </si>
  <si>
    <t>Amazon EU S. à r.l., 38 avenue John F. Kennedy, L-1855 Luxembourg: HJEU: DVI-HDMI, Logitech Maus</t>
  </si>
  <si>
    <t>Shenzhen Link Dream Electronics Co., Ltd., Rm 510,5/F, Huafa Bld, Huafa North Rd, Futian Dist, Shenzhen, China</t>
  </si>
  <si>
    <t>Schick Küchendesign e.U. Alexander Schick, Linzerstraße 247, 1140 Wien</t>
  </si>
  <si>
    <t>jarosoft: AfA 2018</t>
  </si>
  <si>
    <t/>
  </si>
  <si>
    <t>VERBUND AG, Postfach 8400, 1011 Wien, Österreich: Teilzahlungsvorschreibung</t>
  </si>
  <si>
    <t>WKO: Grundumlage</t>
  </si>
  <si>
    <t>Lfd.Nr.-Kombi</t>
  </si>
  <si>
    <t>USt</t>
  </si>
  <si>
    <t>(Gutschrift) Amazon EU Sàrl, 5 Rue Plaetis, L-2338, Luxemburg: Gutschrift für Strong TV (Kauf Vorjahr, Reklamation)</t>
  </si>
  <si>
    <t>174233995-00</t>
  </si>
  <si>
    <t>R0009419453</t>
  </si>
  <si>
    <t>Ryan Cramer Design, LLC, 204 Clarion Ave, Decatur, GA 30030, USA: ProcessWire ProDrafts Dev License</t>
  </si>
  <si>
    <t>14004391658/40/2019</t>
  </si>
  <si>
    <t>INV-DE-151452651-2019-22080</t>
  </si>
  <si>
    <t>shen zhen shi ben fei mao yi you xdian gong si, nan guang jie  jia da sha 1328 shi, fu tian jie dao shen nan zhong lu 3037 hao, shezhen, 518000, CN, UID: DE311758738</t>
  </si>
  <si>
    <t>AEU-INV-AT-2019-10874893</t>
  </si>
  <si>
    <t>3293000007521035</t>
  </si>
  <si>
    <t>3293000007520878</t>
  </si>
  <si>
    <t>3293000007520746</t>
  </si>
  <si>
    <t>6177220902</t>
  </si>
  <si>
    <t>3293000007544377</t>
  </si>
  <si>
    <t>174699356-00</t>
  </si>
  <si>
    <t>R0009550365</t>
  </si>
  <si>
    <t>12019005</t>
  </si>
  <si>
    <t>3293000007566628</t>
  </si>
  <si>
    <t>14004521047/40/2019</t>
  </si>
  <si>
    <t>Einlage: Laptop Lenovo Thinkpad von foxcraft</t>
  </si>
  <si>
    <t>AEU-INV-AT-2019-12351497</t>
  </si>
  <si>
    <t>PRM319050005413</t>
  </si>
  <si>
    <t>RE0723136</t>
  </si>
  <si>
    <t>Wedding Avenue e.U., Mayerweckstrasse 2-8/99/1, 1210 Wien</t>
  </si>
  <si>
    <t>3293000007649616</t>
  </si>
  <si>
    <t>34027667697/40/2019</t>
  </si>
  <si>
    <t>6179058867</t>
  </si>
  <si>
    <t>3293000007682096</t>
  </si>
  <si>
    <t>UPC Telekabel Wien GmbH, A1120 Wien, Postfach 47</t>
  </si>
  <si>
    <t>175162976-00</t>
  </si>
  <si>
    <t>EIN19/0026487</t>
  </si>
  <si>
    <t>A-Trust Gesellschaft für Sicherheitssysteme im elektronischen Datenverkehr GmbH, Landstraßer Hauptstraße 1b, E02, A-1030 Wien: a.sign light Zertifikat Nutzung 1J, Signaturvertrag 158279472050</t>
  </si>
  <si>
    <t>Wirtschaftskammer Wien Grundumlagen, Straße der Wiener Wirtschaft 1, 1020 Wien: GU UBIT</t>
  </si>
  <si>
    <t>MNr. 871465 / GU 2019</t>
  </si>
  <si>
    <t>RE12019006</t>
  </si>
  <si>
    <t>R0009683099</t>
  </si>
  <si>
    <t>14004659219/40/2019</t>
  </si>
  <si>
    <t>2019/118</t>
  </si>
  <si>
    <t>3W Steuerkanzlei, Roter Hof 1a, 1080 Wien</t>
  </si>
  <si>
    <t>E2ESPAC190618RBY9YAKZLMB3</t>
  </si>
  <si>
    <t>ÖBB-Personenverkehr AG, FN248742y</t>
  </si>
  <si>
    <t>0298363406567393</t>
  </si>
  <si>
    <t>3293000007737263</t>
  </si>
  <si>
    <t>Microsoft Ireland Operations Ltd. One Microsoft Place, South County, Business Park, Leopardstown, Dublin 18, D18 P521, Ireland</t>
  </si>
  <si>
    <t>18000131764</t>
  </si>
  <si>
    <t>3293000007733074</t>
  </si>
  <si>
    <t>20190624114511509441569</t>
  </si>
  <si>
    <t>Magistrat der Stadt Wien (via Paybox)</t>
  </si>
  <si>
    <t>12019001</t>
  </si>
  <si>
    <t>ZT DI Dr. Arno Kolbitsch, Gütleweg 1, 6822 Satteins</t>
  </si>
  <si>
    <t>12019007</t>
  </si>
  <si>
    <t>12019008</t>
  </si>
  <si>
    <t>12019009</t>
  </si>
  <si>
    <t>3293000007799738</t>
  </si>
  <si>
    <t>6180896045</t>
  </si>
  <si>
    <t>12019010</t>
  </si>
  <si>
    <t>Josef Stojadinovic, Weiglgasse 10/BLOCK C/10/11</t>
  </si>
  <si>
    <t>175626995-00</t>
  </si>
  <si>
    <t>R0009816826</t>
  </si>
  <si>
    <t>14004803751/40/2019</t>
  </si>
  <si>
    <t>3293000007767514</t>
  </si>
  <si>
    <t>12019011</t>
  </si>
  <si>
    <t>329300007846449</t>
  </si>
  <si>
    <t>3293000007846769</t>
  </si>
  <si>
    <t>3293000007861385</t>
  </si>
  <si>
    <t>12019012</t>
  </si>
  <si>
    <t>Wedding Avenue e.U., Mayerweckstrasse 2-8/99/1, 1210 Wien (Teilzahlung)</t>
  </si>
  <si>
    <t>9550188</t>
  </si>
  <si>
    <t>3293000007875767</t>
  </si>
  <si>
    <t>Althan Stube, Althanstraße 35 Gastronomie Bettriebs GmbH, 1090 Wien, Althanstraße 35: Mittagessen mit Andreas Reinisch (Grund: Trainingstätigkeit VEMAP)</t>
  </si>
  <si>
    <t>5906 (10%)</t>
  </si>
  <si>
    <t>5906 (20%)</t>
  </si>
  <si>
    <t>vemap Einkaufsmanagement GmbH, zHd. Frau Mag. Tina Zimmermann, Berggasse 31, 1090 Wien</t>
  </si>
  <si>
    <t>3293000007885927</t>
  </si>
  <si>
    <t>3293000007888293</t>
  </si>
  <si>
    <t>BELEG FEHLT</t>
  </si>
  <si>
    <t>6182733455</t>
  </si>
  <si>
    <t>vemap Einkaufsmanagement GmbH, Berggasse 31, 1080 Wien</t>
  </si>
  <si>
    <t>12019013</t>
  </si>
  <si>
    <t>176093565-00</t>
  </si>
  <si>
    <t>Lemon Technologies GmbH, Unterweißenbach 181, 7330 Feldbach: Toner für AKO, CLX 6260 (Satteins)</t>
  </si>
  <si>
    <t>14004954806/40/2019</t>
  </si>
  <si>
    <t>746115</t>
  </si>
  <si>
    <t>R0009952553</t>
  </si>
  <si>
    <t>ka/1167</t>
  </si>
  <si>
    <t>Gemeinde Satteins, Kirchstraße 15, 6822 Satteins: Briefmarken</t>
  </si>
  <si>
    <t>12019014</t>
  </si>
  <si>
    <t>Bontus Finanztamtsgebühr</t>
  </si>
  <si>
    <t>(Barbeleg Kassaeingang)</t>
  </si>
  <si>
    <t>PRM319080004574</t>
  </si>
  <si>
    <t>401561270283</t>
  </si>
  <si>
    <t>6184577322</t>
  </si>
  <si>
    <t>11000311900/10/2019</t>
  </si>
  <si>
    <t>34030101809/40/2019</t>
  </si>
  <si>
    <t>INVCZ2217051</t>
  </si>
  <si>
    <t>JetBrains s.r.o. Kavci Hory Office Park, Na hrebenech II 1718/10, Praha 4- Nusie 140 00, Ceska republika</t>
  </si>
  <si>
    <t>Eurospar Rennweg: Reinigungsartikel Büro Stutterheimstr.</t>
  </si>
  <si>
    <t>12019015</t>
  </si>
  <si>
    <t>12019016</t>
  </si>
  <si>
    <t>mehrere, siehe Belege</t>
  </si>
  <si>
    <t>AEU-INV-AT-2019-22168548</t>
  </si>
  <si>
    <t>3293000008071443</t>
  </si>
  <si>
    <t>176557664-00</t>
  </si>
  <si>
    <t>R0010089958</t>
  </si>
  <si>
    <t>3293000008076914</t>
  </si>
  <si>
    <t>3293000008076717</t>
  </si>
  <si>
    <t>3293000008081882</t>
  </si>
  <si>
    <t>MS E-COMMERCE GMBH, SCS-Bürocenter B2, 2334 Vösendorf, FN332512p</t>
  </si>
  <si>
    <t>siehe 140</t>
  </si>
  <si>
    <t>13388930</t>
  </si>
  <si>
    <t>Primus Office Products Handelsgesmbh,&amp; Co. KG, Margaretengürtel 44, 1050 Wien</t>
  </si>
  <si>
    <t>14005106841/40/2019</t>
  </si>
  <si>
    <t>31001801733/10/2019</t>
  </si>
  <si>
    <t>AEU-INV-AT-2019-23143185</t>
  </si>
  <si>
    <t>3293000008106236</t>
  </si>
  <si>
    <t>AEU-INV-PL-2019-3616393</t>
  </si>
  <si>
    <t>AEU-INV-IT-2019-36672</t>
  </si>
  <si>
    <t>E050098RU4</t>
  </si>
  <si>
    <t>3293000008118361</t>
  </si>
  <si>
    <t>PSK 1154 (Rücksendung Drei Paket)</t>
  </si>
  <si>
    <t>2019250</t>
  </si>
  <si>
    <t>Wien Energie Vertrieb GmbH &amp; Co KG, 1030 Wien, Pf 520</t>
  </si>
  <si>
    <t>5509690831</t>
  </si>
  <si>
    <t>3293000008148717</t>
  </si>
  <si>
    <t>Bontus Immobilienverwaltung GmbH, 1010 Wien, Franz Josefs Kai 65</t>
  </si>
  <si>
    <t>19/9801/VS00993</t>
  </si>
  <si>
    <t>1001884726776</t>
  </si>
  <si>
    <t>HoT Telekom und Service GmbH</t>
  </si>
  <si>
    <t>3293000008158834</t>
  </si>
  <si>
    <t>3293000008158751</t>
  </si>
  <si>
    <t>CP International Logistik GmbH,  Zweigniederlassung Wien Wolfgang Pauligasse 5, 1140 Wien (Teil 1/2)</t>
  </si>
  <si>
    <t>CP International Logistik GmbH,  Zweigniederlassung Wien Wolfgang Pauligasse 5, 1140 Wien (Teil 2/2)</t>
  </si>
  <si>
    <t>6186416712</t>
  </si>
  <si>
    <t>Amazon Gutschrift (Reklamation TV-Gerät Stoja 2016/Schick 2019; Ausgaben 262-263 nach alter Nummerierung)</t>
  </si>
  <si>
    <t>Bestellnr. 305-9869842-1958754</t>
  </si>
  <si>
    <t>AEU-INV-PL-2019-3855006</t>
  </si>
  <si>
    <t>Amazon EU S. à r.l., 38 avenue John F. Kennedy, L-1855 Luxembourg: Büromaterial inkl. Thunderbolt 3 Dock Lenovo</t>
  </si>
  <si>
    <t>12019018</t>
  </si>
  <si>
    <t>vemap Academy GmbH, Berggasse 31, 1080 Wien</t>
  </si>
  <si>
    <t>Techem Messtechnik GmbH; Abnehmernummer 501686-0003-11-(</t>
  </si>
  <si>
    <t>3293000008170774</t>
  </si>
  <si>
    <t>177021464-00</t>
  </si>
  <si>
    <t>R0010229018</t>
  </si>
  <si>
    <t>12019021</t>
  </si>
  <si>
    <t>12019020</t>
  </si>
  <si>
    <t>14005260623/40/2019</t>
  </si>
  <si>
    <t>3293000008236377</t>
  </si>
  <si>
    <t>3293000008254738</t>
  </si>
  <si>
    <t>3293000008253616</t>
  </si>
  <si>
    <t>3293000008262976</t>
  </si>
  <si>
    <t>AEU-INV-PL-2019-4223172</t>
  </si>
  <si>
    <t>12019019</t>
  </si>
  <si>
    <t>3293000008278159</t>
  </si>
  <si>
    <t>vemap academy GmbH, Berggasse 31, 1090 Wien</t>
  </si>
  <si>
    <t>VS/19-01-05428</t>
  </si>
  <si>
    <t>0968-20191011-01-7396</t>
  </si>
  <si>
    <t>11540490945965</t>
  </si>
  <si>
    <t>66860658_2</t>
  </si>
  <si>
    <t>12019023</t>
  </si>
  <si>
    <t>Magenta: T-Mobile Austria GmbH, A-1120 Wien, PF 47</t>
  </si>
  <si>
    <t>6188251348</t>
  </si>
  <si>
    <t>19/9801/VS00994</t>
  </si>
  <si>
    <t>2089-20191102-01-1733</t>
  </si>
  <si>
    <t>Libro 1200</t>
  </si>
  <si>
    <t>200000350755</t>
  </si>
  <si>
    <t>easy green energy</t>
  </si>
  <si>
    <t>177487223-00</t>
  </si>
  <si>
    <t>5116974390</t>
  </si>
  <si>
    <t>3293000008312577</t>
  </si>
  <si>
    <t>3293000008315648</t>
  </si>
  <si>
    <t>R0010369975</t>
  </si>
  <si>
    <t>14005428914/40/2019</t>
  </si>
  <si>
    <t>3293000008349967</t>
  </si>
  <si>
    <t>3293000008348869</t>
  </si>
  <si>
    <t>3293000008347916</t>
  </si>
  <si>
    <t>Bontus Kaution + 1. Miete</t>
  </si>
  <si>
    <t>0968-20190727-02-6155</t>
  </si>
  <si>
    <t>Hofer KG, Brunnengasse 38, 1160 Wien</t>
  </si>
  <si>
    <t>8143 634/010/005/017</t>
  </si>
  <si>
    <t>Österreichische Post AG, Bennogasse 1</t>
  </si>
  <si>
    <t>10800690774930</t>
  </si>
  <si>
    <t>Theresa Häfele-Kolbitsch, Josef-Mohrgasse 9, 2102 Bisamberg</t>
  </si>
  <si>
    <t>Maestro A0000000043060 B4C57BC8B 00CFE46</t>
  </si>
  <si>
    <t>Ikea Möbervertrieb OHG, Einrichtungshaus Wien Nord, Sverigestraße 1A, 1220 Wien</t>
  </si>
  <si>
    <t>3293000008372945</t>
  </si>
  <si>
    <t>3293000008377079</t>
  </si>
  <si>
    <t>AT2019741</t>
  </si>
  <si>
    <t>Flyeralarm, online Druck GmbH, Brown-Boveri-Str. 8, 2351 Wr. Neudorf</t>
  </si>
  <si>
    <t>3293000008381304</t>
  </si>
  <si>
    <t>901182361119</t>
  </si>
  <si>
    <t>T-Mobile Austria GmbH, A-1031 Wien, Postfach 676</t>
  </si>
  <si>
    <t>168029464</t>
  </si>
  <si>
    <t>12019025</t>
  </si>
  <si>
    <t>3293000008420030</t>
  </si>
  <si>
    <t>RE0783783</t>
  </si>
  <si>
    <t>PRM319110005266</t>
  </si>
  <si>
    <t>3293000008433733</t>
  </si>
  <si>
    <t>foxcraft - Dipl.-Ing. Mag. Alexander Wagner, Leschetitzkygasse 30/5, 1180 Wien</t>
  </si>
  <si>
    <t>34032524222/40/2019</t>
  </si>
  <si>
    <t>Niederösterreische Versicherung AG, Neue Herrengasse 10, 3100 St. Pölten</t>
  </si>
  <si>
    <t>6190088960</t>
  </si>
  <si>
    <t>12019026</t>
  </si>
  <si>
    <t>12019027</t>
  </si>
  <si>
    <t>0000225536</t>
  </si>
  <si>
    <t>3293000008464877</t>
  </si>
  <si>
    <t>3293000008464422</t>
  </si>
  <si>
    <t>DT-VO/19-01-253-8936866</t>
  </si>
  <si>
    <t>12019028</t>
  </si>
  <si>
    <t>foxcraft - DI Mag. Alexander Wagner, Leschetitzkygasse 30/5, 1180 Wien</t>
  </si>
  <si>
    <t>3293000008500508</t>
  </si>
  <si>
    <t>177956924-00</t>
  </si>
  <si>
    <t>R0010509288</t>
  </si>
  <si>
    <t>Hetzner Online GmbH, Industriestr. 25, 91710 Gunzenhausen</t>
  </si>
  <si>
    <t>3293000008510050</t>
  </si>
  <si>
    <t>3293000008513416</t>
  </si>
  <si>
    <t>3293000008526646</t>
  </si>
  <si>
    <t>Martin Dürauer e.U., Schreinergasse 7, A-3100 St. Pölten</t>
  </si>
  <si>
    <t>Netto /14</t>
  </si>
  <si>
    <t>14005597640</t>
  </si>
  <si>
    <t>12019024</t>
  </si>
  <si>
    <t>220004825202</t>
  </si>
  <si>
    <t>3293000008562171</t>
  </si>
  <si>
    <t>3293000008559926</t>
  </si>
  <si>
    <t>129195/100/2019</t>
  </si>
  <si>
    <t>3293000008569811</t>
  </si>
  <si>
    <t>12019029</t>
  </si>
  <si>
    <t>6191928426</t>
  </si>
  <si>
    <t>01012020</t>
  </si>
  <si>
    <t>Martin Dürauer e.U., Schreinergasse 7/1, A-3100 St. Pölten</t>
  </si>
  <si>
    <t>12020003</t>
  </si>
  <si>
    <t>DT-VO/20-01-005-9145552</t>
  </si>
  <si>
    <t>12020001</t>
  </si>
  <si>
    <t>178423174-00</t>
  </si>
  <si>
    <t>5112142283</t>
  </si>
  <si>
    <t>Wiener Netze GmbH, Erdbergstraße 236, 1110 Wien, Postfach 422</t>
  </si>
  <si>
    <t>3293000008687003</t>
  </si>
  <si>
    <t>807693</t>
  </si>
  <si>
    <t>20/9801/VS00042</t>
  </si>
  <si>
    <t>DCF - Digital Coding Factory GmbH, Bauernfeldplatz 4/12, 1090 Wien</t>
  </si>
  <si>
    <t>R0010654184</t>
  </si>
  <si>
    <t>772063</t>
  </si>
  <si>
    <t>12019031</t>
  </si>
  <si>
    <t>12019033</t>
  </si>
  <si>
    <t>Franz Hauer GmbH + Co KG, Werksstraße 6, 3125 Statzendorf</t>
  </si>
  <si>
    <t>12019030</t>
  </si>
  <si>
    <t>3293000008730029</t>
  </si>
  <si>
    <t>3293000008723880</t>
  </si>
  <si>
    <t>901192670120</t>
  </si>
  <si>
    <t>Lemon Technologies GmbH, Unterweißenbach 181, 7330 Feldbach: Toner</t>
  </si>
  <si>
    <t>Lemon Technologies GmbH, Unterweißenbach 181, 7330 Feldbach: Bildschirm</t>
  </si>
  <si>
    <t>774047</t>
  </si>
  <si>
    <t>3293000008770266</t>
  </si>
  <si>
    <t>3293000008773879</t>
  </si>
  <si>
    <t>RE0806899</t>
  </si>
  <si>
    <t>3293000008778470</t>
  </si>
  <si>
    <t>Ikea Möbelvertrieb OHG, Südring, 2334 Vösendorf</t>
  </si>
  <si>
    <t>ATINV20000000137701</t>
  </si>
  <si>
    <t>3293000008798136</t>
  </si>
  <si>
    <t>3293000008801077</t>
  </si>
  <si>
    <t>3293000008817893</t>
  </si>
  <si>
    <t>3293000008813656</t>
  </si>
  <si>
    <t>20/9801/VS00043</t>
  </si>
  <si>
    <t>3293000008839656</t>
  </si>
  <si>
    <t>Summe von Netto</t>
  </si>
  <si>
    <t>Zeilenbeschriftungen</t>
  </si>
  <si>
    <t>Gesamtergebnis</t>
  </si>
  <si>
    <t>AEU-INV-PL-2020-610134</t>
  </si>
  <si>
    <t>DT-VO/20-01-031-9351764</t>
  </si>
  <si>
    <t>AEU-INV-PL-2020-630433</t>
  </si>
  <si>
    <t>6193771061</t>
  </si>
  <si>
    <t>3293000008849768</t>
  </si>
  <si>
    <t>3293000008864776</t>
  </si>
  <si>
    <t>3293000008887530</t>
  </si>
  <si>
    <t>3293000008862527</t>
  </si>
  <si>
    <t>3293000008869186</t>
  </si>
  <si>
    <t>R0010801926</t>
  </si>
  <si>
    <t>12020004</t>
  </si>
  <si>
    <t>DCF - Digital Coding Factory GmbH, Bauernfeldgasse 4/12 1090 Wien</t>
  </si>
  <si>
    <t>12019032</t>
  </si>
  <si>
    <t>3293000008913647</t>
  </si>
  <si>
    <t>3293000008930885</t>
  </si>
  <si>
    <t>3293000008928478</t>
  </si>
  <si>
    <t>3293000008934542</t>
  </si>
  <si>
    <t>3293000008936157</t>
  </si>
  <si>
    <t>3293000008938059</t>
  </si>
  <si>
    <t>3293000008942791</t>
  </si>
  <si>
    <t>3293000008940642</t>
  </si>
  <si>
    <t>3293000008940557</t>
  </si>
  <si>
    <t>901196010220</t>
  </si>
  <si>
    <t>0968-20200224-02-8795</t>
  </si>
  <si>
    <t>3293000008953197</t>
  </si>
  <si>
    <t>0755-83646571</t>
  </si>
  <si>
    <t>3293000008843435</t>
  </si>
  <si>
    <t>3293000009002136</t>
  </si>
  <si>
    <t>3293000008997609</t>
  </si>
  <si>
    <t>3293000008977407</t>
  </si>
  <si>
    <t>3293000008984322</t>
  </si>
  <si>
    <t>3293000008990778</t>
  </si>
  <si>
    <t>3293000008992918</t>
  </si>
  <si>
    <t>3293000008990862</t>
  </si>
  <si>
    <t>PRM320020005234</t>
  </si>
  <si>
    <t>3293000009021473</t>
  </si>
  <si>
    <t>3293000009017540</t>
  </si>
  <si>
    <t>3293000009023446</t>
  </si>
  <si>
    <t>3293000009027007</t>
  </si>
  <si>
    <t>6197452672</t>
  </si>
  <si>
    <t>3293000009034738</t>
  </si>
  <si>
    <t>3293000009030357</t>
  </si>
  <si>
    <t>3293000009030587</t>
  </si>
  <si>
    <t>12020007</t>
  </si>
  <si>
    <t>12020006</t>
  </si>
  <si>
    <t>12020005</t>
  </si>
  <si>
    <t>R0010952121</t>
  </si>
  <si>
    <t>EIN20/0001381</t>
  </si>
  <si>
    <t>3293000009094304</t>
  </si>
  <si>
    <t>3293000009089205</t>
  </si>
  <si>
    <t>901188610320</t>
  </si>
  <si>
    <t>RE0828863</t>
  </si>
  <si>
    <t>2020/93924.A62916</t>
  </si>
  <si>
    <t>Syswork IT, Ein Unternehmen der Hackl KG, Neuseiersbergerstraße 115, A-8055 Graz</t>
  </si>
  <si>
    <t>2020/93923.A62915</t>
  </si>
  <si>
    <t>2020/93929.A62920</t>
  </si>
  <si>
    <t>781311</t>
  </si>
  <si>
    <t>12020011</t>
  </si>
  <si>
    <t>12020008</t>
  </si>
  <si>
    <t>2105969435</t>
  </si>
  <si>
    <t>TeamViewer Germany GmbH, Jahnstr. 30, 73037 Göppingen, Deutschland</t>
  </si>
  <si>
    <t>12020010</t>
  </si>
  <si>
    <t>12020012</t>
  </si>
  <si>
    <t>146759383120</t>
  </si>
  <si>
    <t>12020009</t>
  </si>
  <si>
    <t>R0011106041</t>
  </si>
  <si>
    <t>38935847</t>
  </si>
  <si>
    <t>Nespresso Österreich GmbH&amp;Co OHG, Wiedner Gürtel 9, 1100 Wien</t>
  </si>
  <si>
    <t>2019-2</t>
  </si>
  <si>
    <t>Ausgaben+AfA</t>
  </si>
  <si>
    <t>Achtung: AfA muss manuell aus Anlagenverzeichnis in Spalte Ausgaben+AfA übernommen werden</t>
  </si>
  <si>
    <t>20%</t>
  </si>
  <si>
    <t>0%</t>
  </si>
  <si>
    <t>10%</t>
  </si>
  <si>
    <t>Beleg-Nr.</t>
  </si>
  <si>
    <t>Von</t>
  </si>
  <si>
    <t>Nach</t>
  </si>
  <si>
    <t>Laudong. 58, 1080</t>
  </si>
  <si>
    <t>Fa. Hauer, Statzendorf, 3125</t>
  </si>
  <si>
    <t>Entfernung</t>
  </si>
  <si>
    <t>ibis acam, Geiselbergstr. 15, 1100</t>
  </si>
  <si>
    <t>Küche &amp; Co Wien Penzing, Linzer straße 247, 1140</t>
  </si>
  <si>
    <t>VE lt EStB</t>
  </si>
  <si>
    <t>Monate</t>
  </si>
  <si>
    <t>ESt lt. EStB</t>
  </si>
  <si>
    <t>endgültig</t>
  </si>
  <si>
    <t>Saldo</t>
  </si>
  <si>
    <t>bezahlt</t>
  </si>
  <si>
    <t>EMBG</t>
  </si>
  <si>
    <t>PV</t>
  </si>
  <si>
    <t>PV %</t>
  </si>
  <si>
    <t>KV %</t>
  </si>
  <si>
    <t>KV</t>
  </si>
  <si>
    <t>SVo</t>
  </si>
  <si>
    <t>SV Ges ber</t>
  </si>
  <si>
    <t>PV min</t>
  </si>
  <si>
    <t>KV min</t>
  </si>
  <si>
    <t>SVS min</t>
  </si>
  <si>
    <t>SVS %</t>
  </si>
  <si>
    <t>Inspire</t>
  </si>
  <si>
    <t>JLC</t>
  </si>
  <si>
    <t>Verzögerung</t>
  </si>
  <si>
    <t>12020015</t>
  </si>
  <si>
    <t>6201122126</t>
  </si>
  <si>
    <t>12020016</t>
  </si>
  <si>
    <t>12020014</t>
  </si>
  <si>
    <t>R0011263482</t>
  </si>
  <si>
    <t>RE0851004</t>
  </si>
  <si>
    <t>New Work SE, Dammtorstraße 30, 20354 Hamburg</t>
  </si>
  <si>
    <t>easy green energy GmbH &amp; Co KG</t>
  </si>
  <si>
    <t>6199292916</t>
  </si>
  <si>
    <t>R0011424001</t>
  </si>
  <si>
    <t>5104824361</t>
  </si>
  <si>
    <t>Woocommerce.com, 17 Shelley Road, Salt River, Cape Town 7625, South Africa</t>
  </si>
  <si>
    <t>12020017</t>
  </si>
  <si>
    <t>2020063</t>
  </si>
  <si>
    <t>PRM320050004841</t>
  </si>
  <si>
    <t>20/9801/VS00486</t>
  </si>
  <si>
    <t>Paperholic all 'bout paper e.U., Sandfeld 9F, 2100 Stetten</t>
  </si>
  <si>
    <t>RE NICHT GESCHICKT</t>
  </si>
  <si>
    <t>4293000000016407</t>
  </si>
  <si>
    <t>1002325367488</t>
  </si>
  <si>
    <t>1002378950684</t>
  </si>
  <si>
    <t>6202955483</t>
  </si>
  <si>
    <t>12020023</t>
  </si>
  <si>
    <t>R0011550257</t>
  </si>
  <si>
    <t>R0011586147</t>
  </si>
  <si>
    <t>12020022</t>
  </si>
  <si>
    <t>12020027</t>
  </si>
  <si>
    <t>Musikschule Bad Vöslau, Hauptstraße 14, 2540 Bad Vöslau</t>
  </si>
  <si>
    <t>Wirtschaftsagentur Wien Home-Office 2020 Endauszahlung 357,8 (sonstiger Ertrag, nicht steuerbar)</t>
  </si>
  <si>
    <t>12020021</t>
  </si>
  <si>
    <t>12020020</t>
  </si>
  <si>
    <t>Paperholic all bout paper e.U.</t>
  </si>
  <si>
    <t>12020019</t>
  </si>
  <si>
    <t>R0011713189</t>
  </si>
  <si>
    <t>R0011750762</t>
  </si>
  <si>
    <t>901188450620</t>
  </si>
  <si>
    <t>3293000009484102</t>
  </si>
  <si>
    <t>25054595567</t>
  </si>
  <si>
    <t>901190720520</t>
  </si>
  <si>
    <t>90118800720</t>
  </si>
  <si>
    <t>HKA/20-01-39452</t>
  </si>
  <si>
    <t>901187750420</t>
  </si>
  <si>
    <t>802540</t>
  </si>
  <si>
    <t>4293000000017140</t>
  </si>
  <si>
    <t>PRM320080004475</t>
  </si>
  <si>
    <t>INVCZ3082442</t>
  </si>
  <si>
    <t>JetBrains s.r.o, Kavci Hory Office Park, Na hrebenech II 1718/10, Praha 4- Nusle 14000, Ceska republika</t>
  </si>
  <si>
    <t>Google Ireland Ltd, Gordon House, Barrow Street, Dublin 4, Ireland; VAT number: IE 6388047V</t>
  </si>
  <si>
    <t>3798454186</t>
  </si>
  <si>
    <t>Leburger Wien 1070</t>
  </si>
  <si>
    <t>R0011878709</t>
  </si>
  <si>
    <t>AEU-INV-AT-2020-14459455</t>
  </si>
  <si>
    <t>R0011917182</t>
  </si>
  <si>
    <t>901202900920</t>
  </si>
  <si>
    <t>INV-CZ-136954441-2020-182</t>
  </si>
  <si>
    <t>3FCOM, 2 BIS, RUE DE L'INDUSTRIE, DRAVEIL, France, 91210, USt-IDNr. CZ685026459</t>
  </si>
  <si>
    <t>6208395543</t>
  </si>
  <si>
    <t>4293000000017710</t>
  </si>
  <si>
    <t>901202370820</t>
  </si>
  <si>
    <t>79988/2183087/512753/58187</t>
  </si>
  <si>
    <t>R0012046586</t>
  </si>
  <si>
    <t>R0012086246</t>
  </si>
  <si>
    <t>AEU-INV-PL-2020-5037886</t>
  </si>
  <si>
    <t>Reporty</t>
  </si>
  <si>
    <t>901200291020</t>
  </si>
  <si>
    <t>Amazon EU S. à r.l., 38 avenue John F. Kennedy, L-1855 Luxembourg: UID PL5262907815; Leitz Ordner 3er</t>
  </si>
  <si>
    <t>4293000000018200</t>
  </si>
  <si>
    <t>201001871465</t>
  </si>
  <si>
    <t>3810095756</t>
  </si>
  <si>
    <t>R0012216893</t>
  </si>
  <si>
    <t>R0012257918</t>
  </si>
  <si>
    <t>Software Quality Lab GmbH, Gewerbepark Urfahr 6, 4040 Linz: ISTQB CTFL online</t>
  </si>
  <si>
    <t>WEB-R-2020-11-0054</t>
  </si>
  <si>
    <t>901194491120</t>
  </si>
  <si>
    <t>RE0912489</t>
  </si>
  <si>
    <t>Digital River Ireland, Ltd., Dromore House, East Park, Shannon, County Clare, V14 AN23, Ireland; UID ATU66641618</t>
  </si>
  <si>
    <t>6568004907</t>
  </si>
  <si>
    <t>PRM320110004603</t>
  </si>
  <si>
    <t>4293000000018420</t>
  </si>
  <si>
    <t>12020031</t>
  </si>
  <si>
    <t>Techem Messtechnik GmbH; Abnehmernummer 501686-0003-11-( (NACHTRAG 25.12.)</t>
  </si>
  <si>
    <t>GSVG-Rechner</t>
  </si>
  <si>
    <t>R0012432377</t>
  </si>
  <si>
    <t>R0012390011</t>
  </si>
  <si>
    <t>6569277447</t>
  </si>
  <si>
    <t>901201021220</t>
  </si>
  <si>
    <t>6573659633</t>
  </si>
  <si>
    <t>I200002565115</t>
  </si>
  <si>
    <t>AfA 2020 - im letzten Jahr gab es diesen Posten nicht?</t>
  </si>
  <si>
    <t>12021001</t>
  </si>
  <si>
    <t>12021007</t>
  </si>
  <si>
    <t>12020038</t>
  </si>
  <si>
    <t>R0012565330</t>
  </si>
  <si>
    <t>6215644767</t>
  </si>
  <si>
    <t>R012609412</t>
  </si>
  <si>
    <t>415468190</t>
  </si>
  <si>
    <t>Adler Werbegeschenke Vertriebsgessellschaft &amp; Co KG</t>
  </si>
  <si>
    <t>12021004</t>
  </si>
  <si>
    <t>12021008</t>
  </si>
  <si>
    <t>RE0939549</t>
  </si>
  <si>
    <t>12021003</t>
  </si>
  <si>
    <t>13499319</t>
  </si>
  <si>
    <t>12021006</t>
  </si>
  <si>
    <t>4293000000019290</t>
  </si>
  <si>
    <t>6213824128</t>
  </si>
  <si>
    <t>Ryan Cramer Design, LLC, 204 Clarion Ave, Decatur, GA 30030, USA: ProcessWire ProCache Dev License for USD 169,00</t>
  </si>
  <si>
    <t>12021002</t>
  </si>
  <si>
    <t>R0012743958</t>
  </si>
  <si>
    <t>5137082649</t>
  </si>
  <si>
    <t>Wiener Netze GmbH, Erdbergstraße 236, 1110 Wien, Postfach 422; Jahresabrechnung vom 17.12.20: GUTSCHRIFT</t>
  </si>
  <si>
    <t>Monat</t>
  </si>
  <si>
    <t>Start</t>
  </si>
  <si>
    <t>Ende</t>
  </si>
  <si>
    <t>Tage</t>
  </si>
  <si>
    <t>Gesamt</t>
  </si>
  <si>
    <t>Nacherfassung</t>
  </si>
  <si>
    <t>TODO: Umsätze aus ReAusgang Tabellenblatt zu berechnen führt zu abweichungen, wenn Kunden nicht genauen ReBetrag einzahlen - sollten aus Journal berechnet werden</t>
  </si>
  <si>
    <t>Ausgaben Journal</t>
  </si>
  <si>
    <t>Einnahmen Journal</t>
  </si>
  <si>
    <t>KiBeG</t>
  </si>
  <si>
    <t>Zuverdienstgrenze nicht überschritten; ausbezahlt 9.9.</t>
  </si>
  <si>
    <t>Rumpfmonat, daher keine Zuverdienstgrenze; ausbezahlt 7.8.</t>
  </si>
  <si>
    <t>kein Bezug, daher keine Zuverdienstgrenze</t>
  </si>
  <si>
    <t>verzichtet, kein Bezug, daher keine Zuverdienstgrenze</t>
  </si>
  <si>
    <t>kein Bezug (da Mindestblockgröße unterschritten), daher keine Zuverdienstgrenze</t>
  </si>
  <si>
    <t>kein Bezug (da 426 Tage ab Geburt überschritten), daher keine Zuverdienstgrenze</t>
  </si>
  <si>
    <t>(Alle)</t>
  </si>
  <si>
    <t>2020-231</t>
  </si>
  <si>
    <t>Abschreibedatum</t>
  </si>
  <si>
    <t>abgeschrieben</t>
  </si>
  <si>
    <t>Abschreibung im ersten/letzten Jahr</t>
  </si>
  <si>
    <t>Ausgaben (abzugsfähig, ohne Anlagevermögen)</t>
  </si>
  <si>
    <t>Achtung: ab 2019 E+A im Journal-Format, davor getrennt</t>
  </si>
  <si>
    <t>TODO: Übrige Erträge sind im EBT nicht berücksichtigt</t>
  </si>
  <si>
    <t>R0012789151</t>
  </si>
  <si>
    <t>901195220221</t>
  </si>
  <si>
    <t>EIN21/0001210</t>
  </si>
  <si>
    <t>223168</t>
  </si>
  <si>
    <t>Wiener Linien GmbH &amp; Co KG: 8-Tage-Klimakarte</t>
  </si>
  <si>
    <t>223166</t>
  </si>
  <si>
    <t>4293000000019830</t>
  </si>
  <si>
    <t>211001871465</t>
  </si>
  <si>
    <t>PRM321020004603</t>
  </si>
  <si>
    <t>6217432904</t>
  </si>
  <si>
    <t>R0012925195</t>
  </si>
  <si>
    <t>R0012972046</t>
  </si>
  <si>
    <t>831938</t>
  </si>
  <si>
    <t>901197380321</t>
  </si>
  <si>
    <t>60793/100/2021</t>
  </si>
  <si>
    <t>Mag. DI Dr. Philipp Kolbitsch, Josef-Mohr-Gasse 9, 2102 Bisamberg</t>
  </si>
  <si>
    <t>Prognose (Worst Case)</t>
  </si>
  <si>
    <t>Umsatz</t>
  </si>
  <si>
    <t>Monat 2019</t>
  </si>
  <si>
    <t>Änderung ggü. 2019</t>
  </si>
  <si>
    <t>ab 16.9.</t>
  </si>
  <si>
    <t>RE0964139</t>
  </si>
  <si>
    <t>Kolbitsch Engineering &amp; Consulting KNr 45</t>
  </si>
  <si>
    <t>12021013</t>
  </si>
  <si>
    <t>12021009</t>
  </si>
  <si>
    <t>12021011</t>
  </si>
  <si>
    <t>Kontoauszug 01.03.21-31.03.21</t>
  </si>
  <si>
    <t>R00640873</t>
  </si>
  <si>
    <t>4293000000020110</t>
  </si>
  <si>
    <t>21/9801/VS00037</t>
  </si>
  <si>
    <t>21/9801/VS00038</t>
  </si>
  <si>
    <t>21/9801/VS00039</t>
  </si>
  <si>
    <t>21/9801/VS00040</t>
  </si>
  <si>
    <t>2021160</t>
  </si>
  <si>
    <t>R0013110660</t>
  </si>
  <si>
    <t>12021010</t>
  </si>
  <si>
    <t>R0013159645</t>
  </si>
  <si>
    <t>USt. Ausgaben</t>
  </si>
  <si>
    <t>vorgeschrieben</t>
  </si>
  <si>
    <t>Google Ireland Ltd., Gordon House, Barrow Street, Dublin 4, Ireland; VAT ID: IE 6388047V</t>
  </si>
  <si>
    <t>174264207124-1, 174264207124-2</t>
  </si>
  <si>
    <t>Bontus Immobilienverwaltung GmbH, 1010 Wien, Franz Josefs Kai 65 Mahnsaldo 23.4.21</t>
  </si>
  <si>
    <t>Bontus Immobilienverwaltung GmbH, 1010 Wien, Franz Josefs Kai 65 Mahngebühr 23.4.21</t>
  </si>
  <si>
    <t>Mahnung</t>
  </si>
  <si>
    <t>R12021012</t>
  </si>
  <si>
    <t>6221032088</t>
  </si>
  <si>
    <t>4293000000020500</t>
  </si>
  <si>
    <t>R0013299838</t>
  </si>
  <si>
    <t>R0013350626</t>
  </si>
  <si>
    <t>Wiener Linien 1010</t>
  </si>
  <si>
    <t>6222766899</t>
  </si>
  <si>
    <t>PRM321050004109</t>
  </si>
  <si>
    <t>901191780521</t>
  </si>
  <si>
    <t>immo 360 grad gmbh, Feldgasse 6-8, 1080 Wien; zHd. Fr. Mag Claudia Spielmeyer; Ihre Order ID: EK105139DV</t>
  </si>
  <si>
    <t>R0013491644</t>
  </si>
  <si>
    <t>R0013543327</t>
  </si>
  <si>
    <t>Marketpress GmbH</t>
  </si>
  <si>
    <t>12021020</t>
  </si>
  <si>
    <t>12021016</t>
  </si>
  <si>
    <t>4293000000021290</t>
  </si>
  <si>
    <t>12021017</t>
  </si>
  <si>
    <t>R0013684276</t>
  </si>
  <si>
    <t>R0013736658</t>
  </si>
  <si>
    <t>12021019</t>
  </si>
  <si>
    <t>AEU-INV-AT-2021-24480518</t>
  </si>
  <si>
    <t>immo 360 grad gmbh, Feldgasse 6-8, 1080 Wien; ATU51729508</t>
  </si>
  <si>
    <t>12021021</t>
  </si>
  <si>
    <t>Techem Messtechnik GmbH; Abnehmernummer 501686-0003-11-</t>
  </si>
  <si>
    <t>21/9801/JA03121</t>
  </si>
  <si>
    <t>21/9801(VS00372</t>
  </si>
  <si>
    <t>21/9801/VS00471</t>
  </si>
  <si>
    <t>34466948189</t>
  </si>
  <si>
    <t>901208980621</t>
  </si>
  <si>
    <t>842661</t>
  </si>
  <si>
    <t>901190590721</t>
  </si>
  <si>
    <t>HKA/20-01-58835</t>
  </si>
  <si>
    <t>4293000000020970</t>
  </si>
  <si>
    <t>MP-2021-33591</t>
  </si>
  <si>
    <t>21/9801/VS00413</t>
  </si>
  <si>
    <t>21/9801/VS00412</t>
  </si>
  <si>
    <t>AT2020-1130</t>
  </si>
  <si>
    <t>901200150421</t>
  </si>
  <si>
    <t>R0013878641</t>
  </si>
  <si>
    <t>AT177AHAEUI</t>
  </si>
  <si>
    <t>AT1PXC9AEUI</t>
  </si>
  <si>
    <t>PRM321080003319</t>
  </si>
  <si>
    <t>6227980180</t>
  </si>
  <si>
    <t>INVCZ4061060</t>
  </si>
  <si>
    <t>R0014075709</t>
  </si>
  <si>
    <t>R0014130118</t>
  </si>
  <si>
    <t>901185470921</t>
  </si>
  <si>
    <t>6229698678</t>
  </si>
  <si>
    <t>4293000000022560</t>
  </si>
  <si>
    <t>R0014275284</t>
  </si>
  <si>
    <t>R0014331001</t>
  </si>
  <si>
    <t>6226243184</t>
  </si>
  <si>
    <t>845629</t>
  </si>
  <si>
    <t>21/9801/VS00473</t>
  </si>
  <si>
    <t>21/9801/VS00474</t>
  </si>
  <si>
    <t>Hays Österreich GmbH, Bahnhof City Wien West, Europaplatz 3/5, 1150 Wien</t>
  </si>
  <si>
    <t>67723833</t>
  </si>
  <si>
    <t>Fontspring, 1813 Marsh Road, Suite H, Wilmington, DE 19810, USA; 105 USD</t>
  </si>
  <si>
    <t>901188321021</t>
  </si>
  <si>
    <t>3293000011951610</t>
  </si>
  <si>
    <t>Adobe Systems Software Ireland Ltd., 4-6 Riverwalk, Citywest Business Park, Dublin 24, Ireland, VAT ID IE6364992H</t>
  </si>
  <si>
    <t>IEE2021009286377</t>
  </si>
  <si>
    <t>4005917408</t>
  </si>
  <si>
    <t>21/9801/VS00475</t>
  </si>
  <si>
    <t>6231435320</t>
  </si>
  <si>
    <t>4293000000022460</t>
  </si>
  <si>
    <t>4293000000022463</t>
  </si>
  <si>
    <t>3293000012017639</t>
  </si>
  <si>
    <t>R0014477126</t>
  </si>
  <si>
    <t>R0014533637</t>
  </si>
  <si>
    <t>SRB20211110154912056</t>
  </si>
  <si>
    <t>LPD Wien</t>
  </si>
  <si>
    <t>3293000012088420</t>
  </si>
  <si>
    <t>901189031121</t>
  </si>
  <si>
    <t>AT184F1UAEUI</t>
  </si>
  <si>
    <t>3293000012123132</t>
  </si>
  <si>
    <t>3293000012142740</t>
  </si>
  <si>
    <t>21/9801/VS00476</t>
  </si>
  <si>
    <t>4027980636</t>
  </si>
  <si>
    <t>6233151878</t>
  </si>
  <si>
    <t>R0014682501</t>
  </si>
  <si>
    <t>R0014740755</t>
  </si>
  <si>
    <t>AT1B8GA1AEUI</t>
  </si>
  <si>
    <t>901209161221</t>
  </si>
  <si>
    <t>E0600GXXZJ</t>
  </si>
  <si>
    <t>227JS2212211155</t>
  </si>
  <si>
    <t>I210003034925</t>
  </si>
  <si>
    <t>Hetzner Online GmbH: .at Domainregistrierung (mj1.at)</t>
  </si>
  <si>
    <t>AT1B4K7KAEUI</t>
  </si>
  <si>
    <t>0893-20211020-01-5323</t>
  </si>
  <si>
    <t>"Libro" PL Handelsgesellschaft mbH, 1080 Wien, Josefstädter Straße 105, ATU 56240311</t>
  </si>
  <si>
    <t>0893-20211118-01-8116</t>
  </si>
  <si>
    <t>tats.bezahlt</t>
  </si>
  <si>
    <t>Nachbemessung</t>
  </si>
  <si>
    <t>Summe</t>
  </si>
  <si>
    <t>V Q1</t>
  </si>
  <si>
    <t>V Q2</t>
  </si>
  <si>
    <t>V Q3</t>
  </si>
  <si>
    <t>V Q4</t>
  </si>
  <si>
    <t>endgültiger Beitrag (v+N)</t>
  </si>
  <si>
    <t>32000220113-4027678-0001714</t>
  </si>
  <si>
    <t>201112105252ALB-00016VG017S0</t>
  </si>
  <si>
    <t>901190380821</t>
  </si>
  <si>
    <t>3996373128</t>
  </si>
  <si>
    <t>3965149853</t>
  </si>
  <si>
    <t>3293000011885509</t>
  </si>
  <si>
    <t>Falsche Tabelle</t>
  </si>
  <si>
    <t>168043041: 3/23</t>
  </si>
  <si>
    <t>168042941: 3/23</t>
  </si>
  <si>
    <t>6234885951</t>
  </si>
  <si>
    <t>4041935102</t>
  </si>
  <si>
    <t>12021034</t>
  </si>
  <si>
    <t>12021033</t>
  </si>
  <si>
    <t>R0014890736</t>
  </si>
  <si>
    <t>220008996902</t>
  </si>
  <si>
    <t>R00014950471</t>
  </si>
  <si>
    <t>168041072</t>
  </si>
  <si>
    <t>Hays Österreich GmbH, Bahnhof City Wien West , Europaplatz 3/5, 1150 Wien</t>
  </si>
  <si>
    <t>Aon Austria GmbH UBIT Haftpflicht</t>
  </si>
  <si>
    <t>RE1081302</t>
  </si>
  <si>
    <t>kein Beleg wie immer</t>
  </si>
  <si>
    <t>6236617303</t>
  </si>
  <si>
    <t>4293000000024389</t>
  </si>
  <si>
    <t>4060424772</t>
  </si>
  <si>
    <t>R0015102312</t>
  </si>
  <si>
    <t>12022002</t>
  </si>
  <si>
    <t>E0600HALL6</t>
  </si>
  <si>
    <t>901188460222</t>
  </si>
  <si>
    <t>e-tec electronic GmbH, Atterseestra0e 121, 4850 Timelkam</t>
  </si>
  <si>
    <t>R22339190</t>
  </si>
  <si>
    <t>4293000000024831</t>
  </si>
  <si>
    <t>4076656399</t>
  </si>
  <si>
    <t>2022121</t>
  </si>
  <si>
    <t>2022120</t>
  </si>
  <si>
    <t>201112204022ALB-00CV2QPBMX40</t>
  </si>
  <si>
    <t>go green energy GmbH &amp; Co KG</t>
  </si>
  <si>
    <t>Gutschrift</t>
  </si>
  <si>
    <t>R01371239</t>
  </si>
  <si>
    <t>168043041+168042941</t>
  </si>
  <si>
    <t>12022014</t>
  </si>
  <si>
    <t>168044680: 6/22</t>
  </si>
  <si>
    <t>168045114: 7/22</t>
  </si>
  <si>
    <t>168045568: 8/22</t>
  </si>
  <si>
    <t>168046740: 10/22</t>
  </si>
  <si>
    <t>168046160: 9/22</t>
  </si>
  <si>
    <t>DS-ASE-INV-AT-2022-23811775</t>
  </si>
  <si>
    <t>6246969218</t>
  </si>
  <si>
    <t>4322957079</t>
  </si>
  <si>
    <t>R0016545608</t>
  </si>
  <si>
    <t>DS-ASE-INV-AT-2022-26414264</t>
  </si>
  <si>
    <t>13616363</t>
  </si>
  <si>
    <t>901173800822</t>
  </si>
  <si>
    <t>E0600JIOEA</t>
  </si>
  <si>
    <t>R0016819083</t>
  </si>
  <si>
    <t>Honorar Eva Jaros-Kolbitsch</t>
  </si>
  <si>
    <t>901154810922</t>
  </si>
  <si>
    <t>12022020</t>
  </si>
  <si>
    <t>4293000000027958</t>
  </si>
  <si>
    <t>Österreichische Gesundheitskasse, Beiträge Eva Jaros-Kolbitsch 2022/9-12 (im 1. Monat nur UV, ab dem 2. Monat BV+UV)</t>
  </si>
  <si>
    <t>A.P. Handelsges.m.b.H., Absberggasse 29/6, 1100 Wien</t>
  </si>
  <si>
    <t>AT2KM5F3AEUI</t>
  </si>
  <si>
    <t>862295</t>
  </si>
  <si>
    <t>Lemon Technologies GmbH, Unterweißenbach 181, 7330 Feldbach</t>
  </si>
  <si>
    <t>siehe Jahresabrechnung</t>
  </si>
  <si>
    <t>siehe 2022-140</t>
  </si>
  <si>
    <t>foxcraft - Dipl.-Ing. Mag. Alexander Wagner, Guttmannstraße 14, 2540 Bad Vöslau</t>
  </si>
  <si>
    <t>Paperholic all 'bout paper e.U. - Birgit Horn, Koglgasse 15, 2111 Harmannsdorf</t>
  </si>
  <si>
    <t>STORNIERT Adobe Systems Software Ireland Ltd., 4-6 Riverwalk, Citywest Business Park, Dublin 24, Ireland, VAT ID IE6364992H</t>
  </si>
  <si>
    <t>STORNIERT Google Ireland Ltd, Gordon House, Barrow Street, Dublin 4, Ireland; VAT number: IE 6388047V</t>
  </si>
  <si>
    <t>STORNIERT car2go Österreich GmbH, Hintere Zollamtstraße 9, 1030 Wien</t>
  </si>
  <si>
    <t>STORNIERT Bontus Immobilienverwaltung GmbH, 1010 Wien, Franz Josefs Kai 65</t>
  </si>
  <si>
    <t>STORNIERT Hutchison Drei Austria GmbH, Brünner Straße 52, 1210 Wien, Österreich</t>
  </si>
  <si>
    <t>AT2LV7IUAEUI</t>
  </si>
  <si>
    <t>22542072</t>
  </si>
  <si>
    <t>Sketchup 1Y</t>
  </si>
  <si>
    <t>901150331122</t>
  </si>
  <si>
    <t>1561270283</t>
  </si>
  <si>
    <t>8040764924</t>
  </si>
  <si>
    <t>Thalia Wien Millenium City, Handelskai 94-96, 1200 Wien</t>
  </si>
  <si>
    <t>AT2Q8NVIAEUI</t>
  </si>
  <si>
    <t>901153451222</t>
  </si>
  <si>
    <t>STORNO Adobe Systems Software Ireland Ltd., 4-6 Riverwalk, Citywest Business Park, Dublin 24, Ireland, VAT ID IE6364992H</t>
  </si>
  <si>
    <t>STORNO car2go Österreich GmbH, Hintere Zollamtstraße 9, 1030 Wien</t>
  </si>
  <si>
    <t>STORNO Google Ireland Ltd, Gordon House, Barrow Street, Dublin 4, Ireland; VAT number: IE 6388047V</t>
  </si>
  <si>
    <t>STORNO Bontus Immobilienverwaltung GmbH, 1010 Wien, Franz Josefs Kai 65</t>
  </si>
  <si>
    <t>STORNO Hutchison Drei Austria GmbH, Brünner Straße 52, 1210 Wien, Österreich</t>
  </si>
  <si>
    <t>12022028</t>
  </si>
  <si>
    <t>12022030</t>
  </si>
  <si>
    <t>28182354875/13113/0</t>
  </si>
  <si>
    <t>RE1229110</t>
  </si>
  <si>
    <t>AT31WDF4AEUI</t>
  </si>
  <si>
    <t>071149</t>
  </si>
  <si>
    <t xml:space="preserve">(070) GesBtr BmG IG </t>
  </si>
  <si>
    <t>(065) Ausg. Vorst. IG</t>
  </si>
  <si>
    <t>(060) Ausg. Vorst. I</t>
  </si>
  <si>
    <t>(022) davon z.v.m. 20%</t>
  </si>
  <si>
    <t>(000) GesBetr U netto</t>
  </si>
  <si>
    <t>Projekttaetigkeit Januar</t>
  </si>
  <si>
    <t>Reisekosten Januar</t>
  </si>
  <si>
    <t>Österreichische Gesundheitskasse, Beiträge Eva Jaros-Kolbitsch 2023/1-12</t>
  </si>
  <si>
    <t>66008669</t>
  </si>
  <si>
    <t>AT32ZOGEAEUI</t>
  </si>
  <si>
    <t>901117400223</t>
  </si>
  <si>
    <t>Kolbitsch Engineering &amp; Consulting ZT GmbH, Josef-Mohr-Gasse 9, 2102 Bisamberg</t>
  </si>
  <si>
    <t>Projekttaetigkeit Februar</t>
  </si>
  <si>
    <t>Projekttaetigkeit März</t>
  </si>
  <si>
    <t>12023006</t>
  </si>
  <si>
    <t>12023007</t>
  </si>
  <si>
    <t>Confiserie Altmann &amp; Kühne, Graben 30, 1010 Wien</t>
  </si>
  <si>
    <t>12023013</t>
  </si>
  <si>
    <t>12023014+12023015</t>
  </si>
  <si>
    <t>Lemon Technologies GmbH, Unterweißenbach 181, 8330 Feldbach: Dell Precision 3580 Laptop</t>
  </si>
  <si>
    <t>STORNO  "Libro" PL Handelsgesellschaft mbH, 1080 Wien, Josefstädter Straße 105, ATU 56240311</t>
  </si>
  <si>
    <t>STORNIERT "Libro" PL Handelsgesellschaft mbH, 1080 Wien, Josefstädter Straße 105, ATU 56240311 (war 14.12.2022)</t>
  </si>
  <si>
    <t>"Libro" PL Handelsgesellschaft mbH, 1080 Wien, Josefstädter Straße 105, ATU 56240311 (aus 2023 verschoben - 2023-25)</t>
  </si>
  <si>
    <t>E/A</t>
  </si>
  <si>
    <t>LFD NR</t>
  </si>
  <si>
    <t>Bez</t>
  </si>
  <si>
    <t>RNR</t>
  </si>
  <si>
    <t>ZahlDat</t>
  </si>
  <si>
    <t>Weiterverk</t>
  </si>
  <si>
    <t>T</t>
  </si>
  <si>
    <t>U</t>
  </si>
  <si>
    <t>V</t>
  </si>
  <si>
    <t>W</t>
  </si>
  <si>
    <t>AA</t>
  </si>
  <si>
    <t>AB</t>
  </si>
  <si>
    <t>AC</t>
  </si>
  <si>
    <t>AD</t>
  </si>
  <si>
    <t>AE</t>
  </si>
  <si>
    <t>AF</t>
  </si>
  <si>
    <t>AG</t>
  </si>
  <si>
    <t>Umsätze neu</t>
  </si>
  <si>
    <t>Umsätze alt</t>
  </si>
  <si>
    <t>Netto antlg</t>
  </si>
  <si>
    <t>Brutto antlg</t>
  </si>
  <si>
    <t>Brutto 100</t>
  </si>
  <si>
    <t>Netto EP</t>
  </si>
  <si>
    <t>Lemon Technologies GmbH, Unterweißenbach 181, 7330 Feldbach: Pixel6</t>
  </si>
  <si>
    <t>Bitte Spalte AfA im Journal und Tabellenblatt Anlagenverzeichnis im jährlichen StB Excel für Abschreibung heranziehen</t>
  </si>
  <si>
    <t>HoT Telekom und Service GmbH, Postfach 28, 1121 Wien</t>
  </si>
  <si>
    <t>Sozialversicherungsanstalt der Selbständigen</t>
  </si>
  <si>
    <t>Wien Energie</t>
  </si>
  <si>
    <t>Brutto (antlg.)</t>
  </si>
  <si>
    <t>Netto  (antlg.)</t>
  </si>
  <si>
    <t>USt. (antlg.)</t>
  </si>
  <si>
    <t>kabelplus GmbH, Südstadtzentrum 4, 2344 Maria Enzersdorf</t>
  </si>
  <si>
    <t>Eva Jaros-Kolbitsch</t>
  </si>
  <si>
    <t>Hetzner Online GmbH, Industriestraße 25, 91710 Gunzenhausen</t>
  </si>
  <si>
    <t>ISTmobil GmbH, Conrad-von-Hötzendorf-Straße 110, 8010 Graz</t>
  </si>
  <si>
    <t>Uber B.V. Burgenweeshuispad 301, 1076 HR Amsterdam</t>
  </si>
  <si>
    <t>Marktgemeinde Bisamberg, Hauptstraße 2, 2102 Bisamberg</t>
  </si>
  <si>
    <t>Wirtschaftskammer Niederösterreich Grundumlage</t>
  </si>
  <si>
    <t>Hays Österreich GmbH, Bahnhof City Wien West - Europaplatz 3/5, 1150 Wien</t>
  </si>
  <si>
    <t>Achtung, ab 2024 anderes Journalformat)</t>
  </si>
  <si>
    <t>Erste Bank der österreichischen Sparkassen AG, Am Belvedere 1, 1100 Wien</t>
  </si>
  <si>
    <t>Elektrotechnik Winkler GmbH</t>
  </si>
  <si>
    <t>Österreichische Gesundheitskasse</t>
  </si>
  <si>
    <t>EVN Wasser GmbH</t>
  </si>
  <si>
    <t>OpenAI, LLC, 548 Market Street, PMB 97273, San Francisco, California 94104-5401, United States</t>
  </si>
  <si>
    <t>SVS</t>
  </si>
  <si>
    <t>easyname</t>
  </si>
  <si>
    <t>aap.architekten ZT-GmbH, Albertplatz 1/6, 1080 Wien</t>
  </si>
  <si>
    <t>TeamViewer Germany Gmbh, Bahnhofsplatz 2, 73033 Göppingen</t>
  </si>
  <si>
    <t>muki POL 3000081716, ReNr 9001577939</t>
  </si>
  <si>
    <t>Wiener Netze GmbH</t>
  </si>
  <si>
    <t>OnTheGoSystems Limited, 22/F 3 Lockhart Road, Wanchai, Hong Kong</t>
  </si>
  <si>
    <t>20230000036626</t>
  </si>
  <si>
    <t>933382</t>
  </si>
  <si>
    <t>JLW - Jugend und Lebenswelt, Bahnhofplatz 2, 3100 St. Pölten, ZVR: 763011438</t>
  </si>
  <si>
    <t>Woocommerce, kein Beleg</t>
  </si>
  <si>
    <t>JLW - Jugend und Lebenswelt, Bahnhofsplatz 2, 3100 St Pölten</t>
  </si>
  <si>
    <t>LG Korneuburg: 33 Fr 1261/24 i - 3</t>
  </si>
  <si>
    <t>ipc computer, Hauptstraße 37, 77960 Seelbach, Deutschland</t>
  </si>
  <si>
    <t>Paperholic all ´bout paper e.U. - Birgit Horn, Koglgasse 15, 2111 Harmannsdorf</t>
  </si>
  <si>
    <t>usoft GbmbH, A-1060 Wien, Liniengasse 2a/5, UID ATU71481256</t>
  </si>
  <si>
    <t>Hoval GesmbH, A-4614 Marchtrenk, Hovalstraße 11</t>
  </si>
  <si>
    <t>Verkehrsbund Ost-Region (VOR) GesmbH</t>
  </si>
  <si>
    <t>Trimble Europe B.V., Industrieweg 187A, 5683 CC Best, Netherlands, VAT ID: NL.00.32.57.447.B01</t>
  </si>
  <si>
    <t>Fachgruppenverwaltung Förderaktion KlimaTicket UBIT NÖ</t>
  </si>
  <si>
    <t>ACHTUNG: Jahresabrechnung  Betriebsausgabe, wegen Vorsteuer als Einnahme deklariert; Techem Messtechnik GmbH</t>
  </si>
  <si>
    <t>H. Jaros e.U., Kohlmarkt 16/2/2/15a</t>
  </si>
  <si>
    <t>Adobe Systems Software Ireland Ltd, 4-6 Riverwalk, Citywest Business Park, Dublin 24, Ireland, UID: IE6364992H</t>
  </si>
  <si>
    <t>tonershop.at Primus office products HandelsgesmbH &amp; Co KG, Goldschlagstra0e 172, 1140 Wien</t>
  </si>
  <si>
    <t>muki POL 3000081716, ReNr 9002185373</t>
  </si>
  <si>
    <t>3W Die Steuerkanzlei, Roter Hof 1a, 1080 Wien</t>
  </si>
  <si>
    <t>Steuer</t>
  </si>
  <si>
    <t>Zahl.Datum</t>
  </si>
  <si>
    <t>Elektriker SR/Elektro/Elektro</t>
  </si>
  <si>
    <t>Elektriker Haftrücklass/Elektro/Elektro</t>
  </si>
  <si>
    <t>Fachplanung/Fachplaner/Architekt</t>
  </si>
  <si>
    <t>Schlusshonorarnote/Architekt/Architekt</t>
  </si>
  <si>
    <t>Netto antlg.</t>
  </si>
  <si>
    <t>Wertpapier</t>
  </si>
  <si>
    <t>GFB Jahr</t>
  </si>
  <si>
    <t>frühestes Verkaufsdatum</t>
  </si>
  <si>
    <t>2024 Hausbau aap + elektriker</t>
  </si>
  <si>
    <t>2023 Hausbau Abschreibungen</t>
  </si>
  <si>
    <t>SVS Vorauszahlung</t>
  </si>
  <si>
    <t>Einkommen</t>
  </si>
  <si>
    <t>ESt</t>
  </si>
  <si>
    <t>Eink. n. Steuer</t>
  </si>
  <si>
    <t>SVS endgültig</t>
  </si>
  <si>
    <t>Sollzinsen Kredit, Erste Bank der österreichischen Sparkassen AG, Am Belvedere 1, 1100 Wien</t>
  </si>
  <si>
    <t>Kontoführung Kredit, Erste Bank der österreichischen Sparkassen AG, Am Belvedere 1, 1100 Wien</t>
  </si>
  <si>
    <t>Google Cloud EMEA Limited, Velasco, Clanwilliam Place, Dublin 2, Ireland, VAT IE3668997OH</t>
  </si>
  <si>
    <t>KNX Association CVBA, De Kleetlan 5 bus 11 - 1831 Diegem - Belgium - UID Nr. BE 0441.460.064</t>
  </si>
  <si>
    <t>Wien Energie PV Ertrag</t>
  </si>
  <si>
    <t>Beleg Nr.</t>
  </si>
  <si>
    <t>Republik Österreich Bundesschatz 2030 1096 8725 - 4 J AUSZ</t>
  </si>
  <si>
    <t>WBF Zinsen, Hypo NOE Landesbank für Niederösterreich und Wien AG, Hypogasse 1, 3100 St Pölten</t>
  </si>
  <si>
    <t>Kreditzinsen, Erste Bank der österreichischen Sparkassen AG, Am Belvedere 1, 1100 Wien</t>
  </si>
  <si>
    <t>STORNO 2024-022</t>
  </si>
  <si>
    <t>Lemon Technologies GmbH, Unterweißenbach 181, 8330 Feldbach</t>
  </si>
  <si>
    <t>a1 Bank AG (paybox aufladung Handy Parken)</t>
  </si>
  <si>
    <t>Parkgarage Rathauspark, BOE Gebäudemanagement GmbH, Kärntner Straße 13-15, 1010 Wien, ATU39310009</t>
  </si>
  <si>
    <t>Libro Fill.3095</t>
  </si>
  <si>
    <t>gamingpc.store, Webtrade &amp; Consulting GmbH, Lastenstraße 42, 4020 Linz, Austria, UID: ATU71203967</t>
  </si>
  <si>
    <t>SVS - Sozialversicherungsanstalt der Selbständigen</t>
  </si>
  <si>
    <t>muki POL 3000081716, ReNr 9003191883</t>
  </si>
  <si>
    <t>STORNO, versehentlich aus 2025 Nummernkreis nummeriert, Zahlungsdatum 2026, siehe 12026001</t>
  </si>
  <si>
    <t>SVS Vorauszahlung 2026</t>
  </si>
  <si>
    <t>Aon Austria GmbH, Kaspar-Brunner-Straße 4, 3300 Amstetten</t>
  </si>
  <si>
    <t>Jetbrains s.r.o., Kavci Hory Office Park, Na Hrebenech II 1718/8, Praha 4 - Nusle 140 00, Cesko</t>
  </si>
  <si>
    <t>Anthropic, PBC, 548 Market Street, PMB 90375, San Francisco, California 94104, United States</t>
  </si>
  <si>
    <t>Hoval Gesellschaft m.b.H., A-4614 Marchtrenk, Hovalstraße 11</t>
  </si>
  <si>
    <t>ZT Dipl.-Ing. Dr. Arno Kolbitsch, Gütleweg 1, 6822 Satteins, Österreich</t>
  </si>
  <si>
    <t>Hetzner Online GmbH, Industriestr. 25, 91710 Gunzenhausen, Deutschland</t>
  </si>
  <si>
    <t>Hays Österreich GmbH, Europaplatz 3/5, 1150 Wien, Österreich</t>
  </si>
  <si>
    <t>kabelplus GmbH, Südstadtzentrum 4, 2344 Maria Enzersdorf, Österreich</t>
  </si>
  <si>
    <t>Microsoft Ireland Operations Ltd, One Microsoft Place, South County Business Park, Leopardstown, D18 P521 Dublin 18, Irland</t>
  </si>
  <si>
    <t>OpenAI OpCo, LLC, 1455 3rd Street, 94158 San Francisco, Vereinigte Staaten</t>
  </si>
  <si>
    <t>Anthropic, PBC, 548 Market Street PMB 90375, 94104 San Francisco, Vereinigte Staaten</t>
  </si>
  <si>
    <t>online Druck GmbH, Brown-Boveri-Straße 8, 2351 Wr. Neudorf, Österreich</t>
  </si>
  <si>
    <t>Google Cloud EMEA Limited, Velasco, Clanwilliam Place, Dublin 2, Irland</t>
  </si>
  <si>
    <t>online Druck GmbH . Flyeralarm</t>
  </si>
  <si>
    <t>Scrum.org, 131 Middlesex Turnpike, 01803 Burlington MA, Vereinigte Staaten</t>
  </si>
  <si>
    <t>Franz Hauer GesmbH &amp; Co KG, Werksstraße 6, 3125 Statzendorf, Österreich</t>
  </si>
  <si>
    <t>Anthropic, PBC, 548 Market Street PMB 90375, 94104 San Francisco, California, Vereinigte Staaten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</si>
</sst>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8" formatCode="&quot;€&quot;\ #,##0.00;[Red]\-&quot;€&quot;\ #,##0.00"/>
    <numFmt numFmtId="44" formatCode="_-&quot;€&quot;\ * #,##0.00_-;\-&quot;€&quot;\ * #,##0.00_-;_-&quot;€&quot;\ * &quot;-&quot;??_-;_-@_-"/>
    <numFmt numFmtId="43" formatCode="_-* #,##0.00_-;\-* #,##0.00_-;_-* &quot;-&quot;??_-;_-@_-"/>
    <numFmt numFmtId="164" formatCode="_-* #,##0.00\ &quot;€&quot;_-;\-* #,##0.00\ &quot;€&quot;_-;_-* &quot;-&quot;??\ &quot;€&quot;_-;_-@_-"/>
    <numFmt numFmtId="165" formatCode="&quot;€&quot;\ #,##0.00"/>
    <numFmt numFmtId="166" formatCode="#,##0.00\ &quot;€&quot;"/>
    <numFmt numFmtId="167" formatCode="_-[$€-C07]\ * #,##0.00_-;\-[$€-C07]\ * #,##0.00_-;_-[$€-C07]\ * &quot;-&quot;??_-;_-@_-"/>
    <numFmt numFmtId="168" formatCode="0.00&quot; km&quot;"/>
    <numFmt numFmtId="169" formatCode="_-* #,##0_-;\-* #,##0_-;_-* &quot;-&quot;??_-;_-@_-"/>
    <numFmt numFmtId="170" formatCode="000"/>
    <numFmt numFmtId="171" formatCode="0&quot;-&quot;"/>
  </numFmts>
  <fonts count="25" x14ac:knownFonts="1">
    <font>
      <sz val="11"/>
      <color theme="1"/>
      <name val="Calibri"/>
      <family val="2"/>
      <scheme val="minor"/>
    </font>
    <font>
      <b/>
      <sz val="11"/>
      <color theme="1"/>
      <name val="Calibri"/>
      <family val="2"/>
      <scheme val="minor"/>
    </font>
    <font>
      <sz val="8"/>
      <color indexed="81"/>
      <name val="Segoe UI"/>
      <family val="2"/>
    </font>
    <font>
      <b/>
      <sz val="8"/>
      <color indexed="81"/>
      <name val="Segoe UI"/>
      <family val="2"/>
    </font>
    <font>
      <sz val="9"/>
      <color indexed="81"/>
      <name val="Segoe UI"/>
      <family val="2"/>
    </font>
    <font>
      <b/>
      <sz val="9"/>
      <color indexed="81"/>
      <name val="Segoe UI"/>
      <family val="2"/>
    </font>
    <font>
      <b/>
      <sz val="11"/>
      <color theme="1"/>
      <name val="Calibri"/>
      <family val="2"/>
      <scheme val="minor"/>
    </font>
    <font>
      <sz val="11"/>
      <color theme="1"/>
      <name val="Calibri"/>
      <family val="2"/>
      <scheme val="minor"/>
    </font>
    <font>
      <sz val="11"/>
      <color rgb="FF000000"/>
      <name val="Calibri"/>
      <family val="2"/>
      <scheme val="minor"/>
    </font>
    <font>
      <b/>
      <sz val="11"/>
      <color rgb="FF00B050"/>
      <name val="Calibri"/>
      <family val="2"/>
      <scheme val="minor"/>
    </font>
    <font>
      <sz val="9"/>
      <color theme="1"/>
      <name val="Arial"/>
      <family val="2"/>
    </font>
    <font>
      <b/>
      <sz val="8"/>
      <color theme="0"/>
      <name val="Arial"/>
      <family val="2"/>
    </font>
    <font>
      <b/>
      <sz val="11"/>
      <color theme="9"/>
      <name val="Calibri"/>
      <family val="2"/>
      <scheme val="minor"/>
    </font>
    <font>
      <sz val="11"/>
      <color theme="0" tint="-0.34998626667073579"/>
      <name val="Calibri"/>
      <family val="2"/>
      <scheme val="minor"/>
    </font>
    <font>
      <b/>
      <sz val="11"/>
      <name val="Calibri"/>
      <family val="2"/>
      <scheme val="minor"/>
    </font>
    <font>
      <sz val="11"/>
      <name val="Calibri"/>
      <family val="2"/>
      <scheme val="minor"/>
    </font>
    <font>
      <sz val="8"/>
      <name val="Calibri"/>
      <family val="2"/>
      <scheme val="minor"/>
    </font>
    <font>
      <strike/>
      <sz val="11"/>
      <color theme="1"/>
      <name val="Calibri"/>
      <family val="2"/>
      <scheme val="minor"/>
    </font>
    <font>
      <sz val="11"/>
      <color rgb="FFFF0000"/>
      <name val="Calibri"/>
      <family val="2"/>
      <scheme val="minor"/>
    </font>
    <font>
      <b/>
      <sz val="11"/>
      <color theme="0" tint="-0.34998626667073579"/>
      <name val="Calibri"/>
      <family val="2"/>
      <scheme val="minor"/>
    </font>
    <font>
      <sz val="11"/>
      <color theme="1" tint="0.499984740745262"/>
      <name val="Calibri"/>
      <family val="2"/>
      <scheme val="minor"/>
    </font>
    <font>
      <b/>
      <sz val="11"/>
      <color theme="1" tint="0.34998626667073579"/>
      <name val="Calibri"/>
      <family val="2"/>
      <scheme val="minor"/>
    </font>
    <font>
      <sz val="11"/>
      <color theme="1" tint="0.34998626667073579"/>
      <name val="Calibri"/>
      <family val="2"/>
      <scheme val="minor"/>
    </font>
    <font>
      <sz val="11"/>
      <color rgb="FF00B050"/>
      <name val="Calibri"/>
      <family val="2"/>
      <scheme val="minor"/>
    </font>
    <font>
      <sz val="11"/>
      <color rgb="FF000000"/>
      <name val="Calibri"/>
      <family val="2"/>
    </font>
  </fonts>
  <fills count="1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0000"/>
        <bgColor indexed="64"/>
      </patternFill>
    </fill>
    <fill>
      <patternFill patternType="solid">
        <fgColor rgb="FF009999"/>
        <bgColor indexed="64"/>
      </patternFill>
    </fill>
    <fill>
      <patternFill patternType="solid">
        <fgColor theme="0"/>
        <bgColor indexed="64"/>
      </patternFill>
    </fill>
    <fill>
      <patternFill patternType="solid">
        <fgColor rgb="FFFF00FF"/>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0" tint="-4.9989318521683403E-2"/>
        <bgColor indexed="64"/>
      </patternFill>
    </fill>
  </fills>
  <borders count="4">
    <border>
      <left/>
      <right/>
      <top/>
      <bottom/>
      <diagonal/>
    </border>
    <border>
      <left style="hair">
        <color indexed="64"/>
      </left>
      <right style="hair">
        <color indexed="64"/>
      </right>
      <top style="hair">
        <color indexed="64"/>
      </top>
      <bottom style="hair">
        <color indexed="64"/>
      </bottom>
      <diagonal/>
    </border>
    <border>
      <left/>
      <right/>
      <top/>
      <bottom style="thin">
        <color indexed="64"/>
      </bottom>
      <diagonal/>
    </border>
    <border>
      <left/>
      <right/>
      <top style="thin">
        <color indexed="64"/>
      </top>
      <bottom/>
      <diagonal/>
    </border>
  </borders>
  <cellStyleXfs count="6">
    <xf numFmtId="0" fontId="0" fillId="0" borderId="0"/>
    <xf numFmtId="44" fontId="7" fillId="0" borderId="0" applyFont="0" applyFill="0" applyBorder="0" applyAlignment="0" applyProtection="0"/>
    <xf numFmtId="43" fontId="7" fillId="0" borderId="0" applyFont="0" applyFill="0" applyBorder="0" applyAlignment="0" applyProtection="0"/>
    <xf numFmtId="9" fontId="7" fillId="0" borderId="0" applyFont="0" applyFill="0" applyBorder="0" applyAlignment="0" applyProtection="0"/>
    <xf numFmtId="44" fontId="7" fillId="0" borderId="0" applyFont="0" applyFill="0" applyBorder="0" applyAlignment="0" applyProtection="0"/>
    <xf numFmtId="43" fontId="7" fillId="0" borderId="0" applyFont="0" applyFill="0" applyBorder="0" applyAlignment="0" applyProtection="0"/>
  </cellStyleXfs>
  <cellXfs count="206">
    <xf numFmtId="0" fontId="0" fillId="0" borderId="0" xfId="0"/>
    <xf numFmtId="14" fontId="0" fillId="0" borderId="0" xfId="0" applyNumberFormat="1"/>
    <xf numFmtId="0" fontId="1" fillId="0" borderId="0" xfId="0" applyFont="1"/>
    <xf numFmtId="0" fontId="0" fillId="2" borderId="0" xfId="0" applyFill="1"/>
    <xf numFmtId="165" fontId="0" fillId="0" borderId="0" xfId="0" applyNumberFormat="1"/>
    <xf numFmtId="14" fontId="1" fillId="0" borderId="0" xfId="0" applyNumberFormat="1" applyFont="1"/>
    <xf numFmtId="0" fontId="0" fillId="0" borderId="0" xfId="0" applyAlignment="1">
      <alignment horizontal="left"/>
    </xf>
    <xf numFmtId="165" fontId="1" fillId="0" borderId="0" xfId="0" applyNumberFormat="1" applyFont="1"/>
    <xf numFmtId="49" fontId="1" fillId="0" borderId="0" xfId="0" applyNumberFormat="1" applyFont="1" applyAlignment="1">
      <alignment horizontal="left"/>
    </xf>
    <xf numFmtId="49" fontId="0" fillId="0" borderId="0" xfId="0" applyNumberFormat="1" applyAlignment="1">
      <alignment horizontal="left"/>
    </xf>
    <xf numFmtId="0" fontId="0" fillId="3" borderId="0" xfId="0" applyFill="1"/>
    <xf numFmtId="0" fontId="1" fillId="4" borderId="0" xfId="0" applyFont="1" applyFill="1"/>
    <xf numFmtId="0" fontId="1" fillId="5" borderId="0" xfId="0" applyFont="1" applyFill="1"/>
    <xf numFmtId="8" fontId="0" fillId="0" borderId="0" xfId="0" applyNumberFormat="1"/>
    <xf numFmtId="8" fontId="1" fillId="0" borderId="0" xfId="0" applyNumberFormat="1" applyFont="1"/>
    <xf numFmtId="2" fontId="1" fillId="0" borderId="0" xfId="0" applyNumberFormat="1" applyFont="1"/>
    <xf numFmtId="2" fontId="0" fillId="0" borderId="0" xfId="0" applyNumberFormat="1"/>
    <xf numFmtId="2" fontId="1" fillId="0" borderId="0" xfId="0" applyNumberFormat="1" applyFont="1" applyAlignment="1">
      <alignment horizontal="right"/>
    </xf>
    <xf numFmtId="2" fontId="0" fillId="0" borderId="0" xfId="0" applyNumberFormat="1" applyAlignment="1">
      <alignment horizontal="right"/>
    </xf>
    <xf numFmtId="8" fontId="0" fillId="0" borderId="0" xfId="0" applyNumberFormat="1" applyAlignment="1">
      <alignment horizontal="left"/>
    </xf>
    <xf numFmtId="8" fontId="1" fillId="0" borderId="0" xfId="0" applyNumberFormat="1" applyFont="1" applyAlignment="1">
      <alignment horizontal="left"/>
    </xf>
    <xf numFmtId="14" fontId="0" fillId="0" borderId="0" xfId="0" applyNumberFormat="1" applyAlignment="1">
      <alignment horizontal="left"/>
    </xf>
    <xf numFmtId="0" fontId="0" fillId="6" borderId="0" xfId="0" applyFill="1"/>
    <xf numFmtId="49" fontId="0" fillId="6" borderId="0" xfId="0" applyNumberFormat="1" applyFill="1" applyAlignment="1">
      <alignment horizontal="left"/>
    </xf>
    <xf numFmtId="14" fontId="0" fillId="6" borderId="0" xfId="0" applyNumberFormat="1" applyFill="1"/>
    <xf numFmtId="2" fontId="0" fillId="6" borderId="0" xfId="0" applyNumberFormat="1" applyFill="1"/>
    <xf numFmtId="0" fontId="1" fillId="7" borderId="0" xfId="0" applyFont="1" applyFill="1"/>
    <xf numFmtId="0" fontId="0" fillId="7" borderId="0" xfId="0" applyFill="1"/>
    <xf numFmtId="165" fontId="1" fillId="5" borderId="0" xfId="0" applyNumberFormat="1" applyFont="1" applyFill="1"/>
    <xf numFmtId="165" fontId="0" fillId="5" borderId="0" xfId="0" applyNumberFormat="1" applyFill="1"/>
    <xf numFmtId="165" fontId="1" fillId="7" borderId="0" xfId="0" applyNumberFormat="1" applyFont="1" applyFill="1"/>
    <xf numFmtId="165" fontId="0" fillId="7" borderId="0" xfId="0" applyNumberFormat="1" applyFill="1"/>
    <xf numFmtId="165" fontId="1" fillId="4" borderId="0" xfId="0" applyNumberFormat="1" applyFont="1" applyFill="1"/>
    <xf numFmtId="165" fontId="0" fillId="4" borderId="0" xfId="0" applyNumberFormat="1" applyFill="1"/>
    <xf numFmtId="14" fontId="1" fillId="7" borderId="0" xfId="0" applyNumberFormat="1" applyFont="1" applyFill="1"/>
    <xf numFmtId="14" fontId="0" fillId="7" borderId="0" xfId="0" applyNumberFormat="1" applyFill="1"/>
    <xf numFmtId="0" fontId="0" fillId="4" borderId="0" xfId="0" applyFill="1"/>
    <xf numFmtId="10" fontId="0" fillId="0" borderId="0" xfId="0" applyNumberFormat="1"/>
    <xf numFmtId="166" fontId="0" fillId="0" borderId="0" xfId="0" applyNumberFormat="1"/>
    <xf numFmtId="0" fontId="0" fillId="0" borderId="0" xfId="0" quotePrefix="1"/>
    <xf numFmtId="0" fontId="6" fillId="0" borderId="0" xfId="0" applyFont="1"/>
    <xf numFmtId="165" fontId="6" fillId="0" borderId="0" xfId="0" applyNumberFormat="1" applyFont="1"/>
    <xf numFmtId="14" fontId="6" fillId="0" borderId="0" xfId="0" applyNumberFormat="1" applyFont="1"/>
    <xf numFmtId="0" fontId="7" fillId="0" borderId="0" xfId="0" applyFont="1"/>
    <xf numFmtId="14" fontId="7" fillId="0" borderId="0" xfId="0" applyNumberFormat="1" applyFont="1"/>
    <xf numFmtId="165" fontId="7" fillId="0" borderId="0" xfId="0" applyNumberFormat="1" applyFont="1"/>
    <xf numFmtId="0" fontId="8" fillId="0" borderId="0" xfId="0" applyFont="1"/>
    <xf numFmtId="1" fontId="0" fillId="0" borderId="0" xfId="0" applyNumberFormat="1"/>
    <xf numFmtId="44" fontId="0" fillId="0" borderId="0" xfId="1" applyFont="1"/>
    <xf numFmtId="43" fontId="0" fillId="0" borderId="0" xfId="2" applyFont="1"/>
    <xf numFmtId="2" fontId="0" fillId="0" borderId="0" xfId="2" applyNumberFormat="1" applyFont="1"/>
    <xf numFmtId="9" fontId="0" fillId="8" borderId="0" xfId="3" applyFont="1" applyFill="1"/>
    <xf numFmtId="9" fontId="1" fillId="8" borderId="0" xfId="3" applyFont="1" applyFill="1"/>
    <xf numFmtId="0" fontId="9" fillId="0" borderId="0" xfId="0" applyFont="1"/>
    <xf numFmtId="0" fontId="9" fillId="6" borderId="0" xfId="0" applyFont="1" applyFill="1"/>
    <xf numFmtId="0" fontId="10" fillId="0" borderId="0" xfId="0" applyFont="1" applyAlignment="1">
      <alignment vertical="center"/>
    </xf>
    <xf numFmtId="9" fontId="0" fillId="2" borderId="0" xfId="3" applyFont="1" applyFill="1"/>
    <xf numFmtId="44" fontId="1" fillId="7" borderId="0" xfId="1" applyFont="1" applyFill="1"/>
    <xf numFmtId="44" fontId="0" fillId="7" borderId="0" xfId="1" applyFont="1" applyFill="1"/>
    <xf numFmtId="0" fontId="0" fillId="9" borderId="0" xfId="0" applyFill="1"/>
    <xf numFmtId="2" fontId="0" fillId="9" borderId="0" xfId="0" applyNumberFormat="1" applyFill="1"/>
    <xf numFmtId="49" fontId="0" fillId="9" borderId="0" xfId="0" applyNumberFormat="1" applyFill="1" applyAlignment="1">
      <alignment horizontal="left"/>
    </xf>
    <xf numFmtId="0" fontId="10" fillId="0" borderId="1" xfId="0" applyFont="1" applyBorder="1" applyAlignment="1" applyProtection="1">
      <alignment vertical="center"/>
      <protection locked="0"/>
    </xf>
    <xf numFmtId="0" fontId="11" fillId="10" borderId="2" xfId="0" applyFont="1" applyFill="1" applyBorder="1" applyAlignment="1">
      <alignment horizontal="center" vertical="center" wrapText="1"/>
    </xf>
    <xf numFmtId="0" fontId="1" fillId="0" borderId="0" xfId="0" applyFont="1" applyAlignment="1">
      <alignment horizontal="right"/>
    </xf>
    <xf numFmtId="165" fontId="1" fillId="0" borderId="0" xfId="0" applyNumberFormat="1" applyFont="1" applyAlignment="1">
      <alignment horizontal="right"/>
    </xf>
    <xf numFmtId="165" fontId="0" fillId="0" borderId="0" xfId="0" applyNumberFormat="1" applyAlignment="1">
      <alignment horizontal="right"/>
    </xf>
    <xf numFmtId="0" fontId="0" fillId="0" borderId="0" xfId="0" applyAlignment="1">
      <alignment horizontal="right"/>
    </xf>
    <xf numFmtId="9" fontId="0" fillId="0" borderId="0" xfId="0" applyNumberFormat="1" applyAlignment="1">
      <alignment horizontal="right"/>
    </xf>
    <xf numFmtId="0" fontId="0" fillId="0" borderId="1" xfId="0" applyBorder="1" applyAlignment="1" applyProtection="1">
      <alignment vertical="center"/>
      <protection locked="0"/>
    </xf>
    <xf numFmtId="44" fontId="0" fillId="0" borderId="0" xfId="0" applyNumberFormat="1"/>
    <xf numFmtId="0" fontId="12" fillId="0" borderId="0" xfId="0" applyFont="1"/>
    <xf numFmtId="9" fontId="0" fillId="0" borderId="0" xfId="3" applyFont="1"/>
    <xf numFmtId="167" fontId="0" fillId="0" borderId="0" xfId="1" applyNumberFormat="1" applyFont="1"/>
    <xf numFmtId="49" fontId="0" fillId="0" borderId="0" xfId="0" applyNumberFormat="1"/>
    <xf numFmtId="49" fontId="0" fillId="0" borderId="0" xfId="0" quotePrefix="1" applyNumberFormat="1"/>
    <xf numFmtId="49" fontId="1" fillId="0" borderId="0" xfId="0" applyNumberFormat="1" applyFont="1" applyAlignment="1">
      <alignment horizontal="center"/>
    </xf>
    <xf numFmtId="49" fontId="7" fillId="0" borderId="0" xfId="0" applyNumberFormat="1" applyFont="1"/>
    <xf numFmtId="44" fontId="13" fillId="0" borderId="0" xfId="1" applyFont="1"/>
    <xf numFmtId="0" fontId="14" fillId="11" borderId="0" xfId="0" applyFont="1" applyFill="1"/>
    <xf numFmtId="2" fontId="14" fillId="11" borderId="0" xfId="0" applyNumberFormat="1" applyFont="1" applyFill="1"/>
    <xf numFmtId="49" fontId="14" fillId="11" borderId="0" xfId="0" applyNumberFormat="1" applyFont="1" applyFill="1" applyAlignment="1">
      <alignment horizontal="left"/>
    </xf>
    <xf numFmtId="49" fontId="14" fillId="11" borderId="0" xfId="0" applyNumberFormat="1" applyFont="1" applyFill="1"/>
    <xf numFmtId="9" fontId="14" fillId="11" borderId="0" xfId="3" applyFont="1" applyFill="1"/>
    <xf numFmtId="165" fontId="14" fillId="11" borderId="0" xfId="0" applyNumberFormat="1" applyFont="1" applyFill="1"/>
    <xf numFmtId="14" fontId="14" fillId="11" borderId="0" xfId="0" applyNumberFormat="1" applyFont="1" applyFill="1"/>
    <xf numFmtId="44" fontId="14" fillId="11" borderId="0" xfId="1" applyFont="1" applyFill="1"/>
    <xf numFmtId="0" fontId="15" fillId="11" borderId="0" xfId="0" applyFont="1" applyFill="1"/>
    <xf numFmtId="49" fontId="0" fillId="9" borderId="0" xfId="0" applyNumberFormat="1" applyFill="1"/>
    <xf numFmtId="164" fontId="0" fillId="0" borderId="0" xfId="0" applyNumberFormat="1"/>
    <xf numFmtId="44" fontId="0" fillId="2" borderId="0" xfId="1" applyFont="1" applyFill="1"/>
    <xf numFmtId="9" fontId="0" fillId="0" borderId="0" xfId="3" applyFont="1" applyFill="1"/>
    <xf numFmtId="0" fontId="0" fillId="0" borderId="0" xfId="0" pivotButton="1"/>
    <xf numFmtId="0" fontId="17" fillId="0" borderId="0" xfId="0" applyFont="1"/>
    <xf numFmtId="165" fontId="7" fillId="2" borderId="0" xfId="0" applyNumberFormat="1" applyFont="1" applyFill="1"/>
    <xf numFmtId="44" fontId="11" fillId="10" borderId="2" xfId="1" applyFont="1" applyFill="1" applyBorder="1" applyAlignment="1">
      <alignment horizontal="center" vertical="center" wrapText="1"/>
    </xf>
    <xf numFmtId="14" fontId="11" fillId="10" borderId="2" xfId="0" applyNumberFormat="1" applyFont="1" applyFill="1" applyBorder="1" applyAlignment="1">
      <alignment horizontal="center" vertical="center" wrapText="1"/>
    </xf>
    <xf numFmtId="168" fontId="0" fillId="0" borderId="0" xfId="0" applyNumberFormat="1"/>
    <xf numFmtId="10" fontId="0" fillId="0" borderId="0" xfId="3" applyNumberFormat="1" applyFont="1"/>
    <xf numFmtId="44" fontId="1" fillId="0" borderId="0" xfId="1" applyFont="1" applyAlignment="1">
      <alignment horizontal="right"/>
    </xf>
    <xf numFmtId="0" fontId="0" fillId="12" borderId="0" xfId="0" applyFill="1"/>
    <xf numFmtId="49" fontId="0" fillId="12" borderId="0" xfId="0" applyNumberFormat="1" applyFill="1"/>
    <xf numFmtId="14" fontId="7" fillId="12" borderId="0" xfId="0" applyNumberFormat="1" applyFont="1" applyFill="1"/>
    <xf numFmtId="49" fontId="1" fillId="12" borderId="0" xfId="0" applyNumberFormat="1" applyFont="1" applyFill="1" applyAlignment="1">
      <alignment horizontal="center"/>
    </xf>
    <xf numFmtId="9" fontId="0" fillId="12" borderId="0" xfId="3" applyFont="1" applyFill="1"/>
    <xf numFmtId="165" fontId="0" fillId="12" borderId="0" xfId="0" applyNumberFormat="1" applyFill="1"/>
    <xf numFmtId="14" fontId="0" fillId="12" borderId="0" xfId="0" applyNumberFormat="1" applyFill="1"/>
    <xf numFmtId="44" fontId="0" fillId="12" borderId="0" xfId="1" applyFont="1" applyFill="1"/>
    <xf numFmtId="44" fontId="13" fillId="12" borderId="0" xfId="1" applyFont="1" applyFill="1"/>
    <xf numFmtId="44" fontId="0" fillId="0" borderId="0" xfId="1" applyFont="1" applyFill="1"/>
    <xf numFmtId="49" fontId="0" fillId="11" borderId="0" xfId="0" applyNumberFormat="1" applyFill="1"/>
    <xf numFmtId="0" fontId="18" fillId="2" borderId="0" xfId="0" applyFont="1" applyFill="1"/>
    <xf numFmtId="44" fontId="0" fillId="3" borderId="0" xfId="1" applyFont="1" applyFill="1"/>
    <xf numFmtId="169" fontId="1" fillId="0" borderId="0" xfId="2" applyNumberFormat="1" applyFont="1"/>
    <xf numFmtId="0" fontId="0" fillId="0" borderId="0" xfId="0" quotePrefix="1" applyAlignment="1">
      <alignment horizontal="left"/>
    </xf>
    <xf numFmtId="0" fontId="15" fillId="0" borderId="0" xfId="0" applyFont="1"/>
    <xf numFmtId="165" fontId="8" fillId="0" borderId="0" xfId="0" applyNumberFormat="1" applyFont="1"/>
    <xf numFmtId="165" fontId="0" fillId="0" borderId="0" xfId="1" applyNumberFormat="1" applyFont="1"/>
    <xf numFmtId="44" fontId="0" fillId="0" borderId="0" xfId="1" applyFont="1" applyProtection="1">
      <protection locked="0"/>
    </xf>
    <xf numFmtId="0" fontId="0" fillId="0" borderId="3" xfId="0" applyBorder="1"/>
    <xf numFmtId="44" fontId="0" fillId="0" borderId="3" xfId="0" applyNumberFormat="1" applyBorder="1"/>
    <xf numFmtId="9" fontId="0" fillId="0" borderId="3" xfId="3" applyFont="1" applyBorder="1"/>
    <xf numFmtId="0" fontId="1" fillId="0" borderId="3" xfId="0" applyFont="1" applyBorder="1" applyAlignment="1">
      <alignment horizontal="left"/>
    </xf>
    <xf numFmtId="9" fontId="0" fillId="3" borderId="0" xfId="3" applyFont="1" applyFill="1"/>
    <xf numFmtId="9" fontId="1" fillId="0" borderId="0" xfId="3" applyFont="1"/>
    <xf numFmtId="0" fontId="13" fillId="0" borderId="0" xfId="0" applyFont="1"/>
    <xf numFmtId="9" fontId="13" fillId="0" borderId="0" xfId="3" applyFont="1" applyFill="1"/>
    <xf numFmtId="9" fontId="13" fillId="0" borderId="0" xfId="3" applyFont="1"/>
    <xf numFmtId="0" fontId="19" fillId="0" borderId="0" xfId="0" applyFont="1"/>
    <xf numFmtId="10" fontId="13" fillId="0" borderId="0" xfId="0" applyNumberFormat="1" applyFont="1"/>
    <xf numFmtId="1" fontId="13" fillId="0" borderId="0" xfId="0" applyNumberFormat="1" applyFont="1"/>
    <xf numFmtId="49" fontId="0" fillId="0" borderId="0" xfId="0" quotePrefix="1" applyNumberFormat="1" applyAlignment="1">
      <alignment horizontal="left"/>
    </xf>
    <xf numFmtId="44" fontId="8" fillId="0" borderId="0" xfId="1" applyFont="1" applyFill="1"/>
    <xf numFmtId="49" fontId="7" fillId="0" borderId="0" xfId="0" applyNumberFormat="1" applyFont="1" applyAlignment="1">
      <alignment horizontal="left"/>
    </xf>
    <xf numFmtId="49" fontId="0" fillId="11" borderId="0" xfId="0" applyNumberFormat="1" applyFill="1" applyAlignment="1">
      <alignment horizontal="left"/>
    </xf>
    <xf numFmtId="49" fontId="0" fillId="12" borderId="0" xfId="0" applyNumberFormat="1" applyFill="1" applyAlignment="1">
      <alignment horizontal="left"/>
    </xf>
    <xf numFmtId="49" fontId="15" fillId="0" borderId="0" xfId="0" applyNumberFormat="1" applyFont="1" applyAlignment="1">
      <alignment horizontal="left"/>
    </xf>
    <xf numFmtId="49" fontId="13" fillId="0" borderId="0" xfId="0" applyNumberFormat="1" applyFont="1" applyAlignment="1">
      <alignment horizontal="left"/>
    </xf>
    <xf numFmtId="49" fontId="0" fillId="0" borderId="3" xfId="0" applyNumberFormat="1" applyBorder="1" applyAlignment="1">
      <alignment horizontal="left"/>
    </xf>
    <xf numFmtId="49" fontId="0" fillId="2" borderId="0" xfId="0" applyNumberFormat="1" applyFill="1" applyAlignment="1">
      <alignment horizontal="left"/>
    </xf>
    <xf numFmtId="44" fontId="1" fillId="0" borderId="0" xfId="1" applyFont="1"/>
    <xf numFmtId="0" fontId="1" fillId="0" borderId="0" xfId="0" applyFont="1" applyAlignment="1">
      <alignment horizontal="left"/>
    </xf>
    <xf numFmtId="44" fontId="1" fillId="2" borderId="0" xfId="1" applyFont="1" applyFill="1"/>
    <xf numFmtId="49" fontId="0" fillId="8" borderId="0" xfId="0" applyNumberFormat="1" applyFill="1" applyAlignment="1">
      <alignment horizontal="left"/>
    </xf>
    <xf numFmtId="49" fontId="0" fillId="11" borderId="0" xfId="0" quotePrefix="1" applyNumberFormat="1" applyFill="1" applyAlignment="1">
      <alignment horizontal="left"/>
    </xf>
    <xf numFmtId="44" fontId="0" fillId="11" borderId="0" xfId="1" applyFont="1" applyFill="1"/>
    <xf numFmtId="9" fontId="0" fillId="11" borderId="0" xfId="3" applyFont="1" applyFill="1"/>
    <xf numFmtId="0" fontId="0" fillId="11" borderId="0" xfId="0" applyFill="1"/>
    <xf numFmtId="8" fontId="0" fillId="0" borderId="0" xfId="0" applyNumberFormat="1" applyProtection="1">
      <protection locked="0"/>
    </xf>
    <xf numFmtId="44" fontId="13" fillId="0" borderId="0" xfId="1" applyFont="1" applyFill="1"/>
    <xf numFmtId="0" fontId="13" fillId="0" borderId="3" xfId="0" applyFont="1" applyBorder="1"/>
    <xf numFmtId="10" fontId="13" fillId="0" borderId="3" xfId="0" applyNumberFormat="1" applyFont="1" applyBorder="1"/>
    <xf numFmtId="17" fontId="7" fillId="0" borderId="0" xfId="0" applyNumberFormat="1" applyFont="1"/>
    <xf numFmtId="49" fontId="0" fillId="4" borderId="0" xfId="0" applyNumberFormat="1" applyFill="1" applyAlignment="1">
      <alignment horizontal="left"/>
    </xf>
    <xf numFmtId="0" fontId="0" fillId="13" borderId="0" xfId="0" applyFill="1"/>
    <xf numFmtId="0" fontId="9" fillId="2" borderId="0" xfId="0" applyFont="1" applyFill="1"/>
    <xf numFmtId="0" fontId="9" fillId="9" borderId="0" xfId="0" applyFont="1" applyFill="1"/>
    <xf numFmtId="44" fontId="0" fillId="9" borderId="0" xfId="1" applyFont="1" applyFill="1"/>
    <xf numFmtId="44" fontId="0" fillId="0" borderId="0" xfId="1" applyFont="1" applyFill="1" applyBorder="1"/>
    <xf numFmtId="9" fontId="0" fillId="0" borderId="0" xfId="3" applyFont="1" applyBorder="1"/>
    <xf numFmtId="44" fontId="0" fillId="7" borderId="0" xfId="1" applyFont="1" applyFill="1" applyBorder="1"/>
    <xf numFmtId="44" fontId="13" fillId="0" borderId="0" xfId="1" applyFont="1" applyBorder="1"/>
    <xf numFmtId="44" fontId="0" fillId="0" borderId="0" xfId="1" applyFont="1" applyBorder="1"/>
    <xf numFmtId="49" fontId="0" fillId="0" borderId="0" xfId="0" quotePrefix="1" applyNumberFormat="1" applyAlignment="1">
      <alignment horizontal="right"/>
    </xf>
    <xf numFmtId="0" fontId="9" fillId="0" borderId="2" xfId="0" applyFont="1" applyBorder="1"/>
    <xf numFmtId="0" fontId="12" fillId="0" borderId="2" xfId="0" applyFont="1" applyBorder="1"/>
    <xf numFmtId="0" fontId="0" fillId="0" borderId="2" xfId="0" applyBorder="1"/>
    <xf numFmtId="49" fontId="0" fillId="0" borderId="2" xfId="0" applyNumberFormat="1" applyBorder="1" applyAlignment="1">
      <alignment horizontal="left"/>
    </xf>
    <xf numFmtId="14" fontId="0" fillId="0" borderId="2" xfId="0" applyNumberFormat="1" applyBorder="1"/>
    <xf numFmtId="49" fontId="1" fillId="0" borderId="2" xfId="0" applyNumberFormat="1" applyFont="1" applyBorder="1" applyAlignment="1">
      <alignment horizontal="center"/>
    </xf>
    <xf numFmtId="44" fontId="0" fillId="0" borderId="2" xfId="1" applyFont="1" applyFill="1" applyBorder="1"/>
    <xf numFmtId="9" fontId="0" fillId="0" borderId="2" xfId="3" applyFont="1" applyBorder="1"/>
    <xf numFmtId="165" fontId="0" fillId="7" borderId="2" xfId="0" applyNumberFormat="1" applyFill="1" applyBorder="1"/>
    <xf numFmtId="165" fontId="0" fillId="4" borderId="2" xfId="0" applyNumberFormat="1" applyFill="1" applyBorder="1"/>
    <xf numFmtId="165" fontId="0" fillId="5" borderId="2" xfId="0" applyNumberFormat="1" applyFill="1" applyBorder="1"/>
    <xf numFmtId="14" fontId="0" fillId="7" borderId="2" xfId="0" applyNumberFormat="1" applyFill="1" applyBorder="1"/>
    <xf numFmtId="0" fontId="0" fillId="7" borderId="2" xfId="0" applyFill="1" applyBorder="1"/>
    <xf numFmtId="44" fontId="0" fillId="7" borderId="2" xfId="1" applyFont="1" applyFill="1" applyBorder="1"/>
    <xf numFmtId="44" fontId="13" fillId="0" borderId="2" xfId="1" applyFont="1" applyBorder="1"/>
    <xf numFmtId="44" fontId="0" fillId="14" borderId="0" xfId="1" applyFont="1" applyFill="1"/>
    <xf numFmtId="0" fontId="1" fillId="14" borderId="0" xfId="0" applyFont="1" applyFill="1"/>
    <xf numFmtId="0" fontId="0" fillId="14" borderId="0" xfId="0" applyFill="1"/>
    <xf numFmtId="0" fontId="1" fillId="14" borderId="0" xfId="0" applyFont="1" applyFill="1" applyAlignment="1">
      <alignment horizontal="left"/>
    </xf>
    <xf numFmtId="44" fontId="20" fillId="15" borderId="0" xfId="1" applyFont="1" applyFill="1"/>
    <xf numFmtId="44" fontId="21" fillId="15" borderId="0" xfId="1" applyFont="1" applyFill="1"/>
    <xf numFmtId="44" fontId="22" fillId="15" borderId="0" xfId="1" applyFont="1" applyFill="1"/>
    <xf numFmtId="14" fontId="21" fillId="15" borderId="0" xfId="0" applyNumberFormat="1" applyFont="1" applyFill="1"/>
    <xf numFmtId="0" fontId="22" fillId="15" borderId="0" xfId="0" applyFont="1" applyFill="1"/>
    <xf numFmtId="170" fontId="14" fillId="11" borderId="0" xfId="0" applyNumberFormat="1" applyFont="1" applyFill="1"/>
    <xf numFmtId="170" fontId="23" fillId="0" borderId="0" xfId="0" applyNumberFormat="1" applyFont="1"/>
    <xf numFmtId="171" fontId="14" fillId="11" borderId="0" xfId="0" applyNumberFormat="1" applyFont="1" applyFill="1"/>
    <xf numFmtId="171" fontId="23" fillId="0" borderId="0" xfId="0" applyNumberFormat="1" applyFont="1"/>
    <xf numFmtId="14" fontId="22" fillId="15" borderId="0" xfId="0" applyNumberFormat="1" applyFont="1" applyFill="1"/>
    <xf numFmtId="0" fontId="14" fillId="2" borderId="0" xfId="0" applyFont="1" applyFill="1"/>
    <xf numFmtId="0" fontId="20" fillId="15" borderId="0" xfId="0" applyFont="1" applyFill="1"/>
    <xf numFmtId="44" fontId="20" fillId="15" borderId="0" xfId="0" applyNumberFormat="1" applyFont="1" applyFill="1"/>
    <xf numFmtId="43" fontId="0" fillId="0" borderId="0" xfId="0" applyNumberFormat="1"/>
    <xf numFmtId="0" fontId="7" fillId="2" borderId="0" xfId="0" applyFont="1" applyFill="1"/>
    <xf numFmtId="14" fontId="0" fillId="9" borderId="0" xfId="0" applyNumberFormat="1" applyFill="1"/>
    <xf numFmtId="0" fontId="14" fillId="0" borderId="0" xfId="0" applyFont="1"/>
    <xf numFmtId="170" fontId="23" fillId="6" borderId="0" xfId="0" applyNumberFormat="1" applyFont="1" applyFill="1"/>
    <xf numFmtId="44" fontId="22" fillId="9" borderId="0" xfId="1" applyFont="1" applyFill="1"/>
    <xf numFmtId="9" fontId="0" fillId="9" borderId="0" xfId="3" applyFont="1" applyFill="1"/>
    <xf numFmtId="14" fontId="22" fillId="9" borderId="0" xfId="0" applyNumberFormat="1" applyFont="1" applyFill="1"/>
    <xf numFmtId="165" fontId="7" fillId="0" borderId="0" xfId="1" applyNumberFormat="1" applyFont="1"/>
    <xf numFmtId="0" fontId="7" fillId="9" borderId="0" xfId="0" applyFont="1" applyFill="1"/>
  </cellXfs>
  <cellStyles count="6">
    <cellStyle name="Komma" xfId="2" builtinId="3"/>
    <cellStyle name="Komma 2" xfId="5" xr:uid="{EF1CCD74-6261-497E-82AD-99F6870C4FEC}"/>
    <cellStyle name="Prozent" xfId="3" builtinId="5"/>
    <cellStyle name="Standard" xfId="0" builtinId="0"/>
    <cellStyle name="Währung" xfId="1" builtinId="4"/>
    <cellStyle name="Währung 2" xfId="4" xr:uid="{F31F96B0-7400-4416-ADA2-CF9D33874A7B}"/>
  </cellStyles>
  <dxfs count="10629">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theme="8" tint="0.59996337778862885"/>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8" tint="0.59996337778862885"/>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8" tint="0.5999633777886288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theme="8" tint="0.79998168889431442"/>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s>
  <tableStyles count="0" defaultTableStyle="TableStyleMedium2" defaultPivotStyle="PivotStyleMedium9"/>
  <colors>
    <mruColors>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25</xdr:col>
      <xdr:colOff>796241</xdr:colOff>
      <xdr:row>760</xdr:row>
      <xdr:rowOff>10583</xdr:rowOff>
    </xdr:from>
    <xdr:to>
      <xdr:col>28</xdr:col>
      <xdr:colOff>698500</xdr:colOff>
      <xdr:row>762</xdr:row>
      <xdr:rowOff>89025</xdr:rowOff>
    </xdr:to>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18110574" y="15441083"/>
          <a:ext cx="2241176" cy="26894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AT" sz="1100">
              <a:solidFill>
                <a:srgbClr val="00B0F0"/>
              </a:solidFill>
            </a:rPr>
            <a:t>Strg+H</a:t>
          </a:r>
          <a:r>
            <a:rPr lang="de-AT" sz="1100"/>
            <a:t>  Duplizieren,</a:t>
          </a:r>
          <a:r>
            <a:rPr lang="de-AT" sz="1100" baseline="0"/>
            <a:t> RNr, Netto + Zahlungsdatum löschen (</a:t>
          </a:r>
          <a:r>
            <a:rPr lang="de-AT" sz="1100" baseline="0">
              <a:solidFill>
                <a:srgbClr val="00B0F0"/>
              </a:solidFill>
            </a:rPr>
            <a:t>Wiederholungsrechnungen</a:t>
          </a:r>
          <a:r>
            <a:rPr lang="de-AT" sz="1100" baseline="0"/>
            <a:t>)</a:t>
          </a:r>
        </a:p>
        <a:p>
          <a:r>
            <a:rPr lang="de-AT" sz="1100" baseline="0">
              <a:solidFill>
                <a:srgbClr val="FF0000"/>
              </a:solidFill>
            </a:rPr>
            <a:t>Strg+J</a:t>
          </a:r>
          <a:r>
            <a:rPr lang="de-AT" sz="1100" baseline="0"/>
            <a:t> Duplizieren, Nur Zahlungsdatum löschen (für </a:t>
          </a:r>
          <a:r>
            <a:rPr lang="de-AT" sz="1100" baseline="0">
              <a:solidFill>
                <a:srgbClr val="FF0000"/>
              </a:solidFill>
            </a:rPr>
            <a:t>Dauerrechnungen</a:t>
          </a:r>
          <a:r>
            <a:rPr lang="de-AT" sz="1100" baseline="0"/>
            <a:t>)</a:t>
          </a:r>
          <a:endParaRPr lang="de-AT"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314325</xdr:colOff>
          <xdr:row>329</xdr:row>
          <xdr:rowOff>152400</xdr:rowOff>
        </xdr:from>
        <xdr:to>
          <xdr:col>32</xdr:col>
          <xdr:colOff>447675</xdr:colOff>
          <xdr:row>331</xdr:row>
          <xdr:rowOff>133350</xdr:rowOff>
        </xdr:to>
        <xdr:sp macro="" textlink="">
          <xdr:nvSpPr>
            <xdr:cNvPr id="2184" name="Schaltfläche 136" hidden="1">
              <a:extLst>
                <a:ext uri="{63B3BB69-23CF-44E3-9099-C40C66FF867C}">
                  <a14:compatExt spid="_x0000_s2184"/>
                </a:ext>
                <a:ext uri="{FF2B5EF4-FFF2-40B4-BE49-F238E27FC236}">
                  <a16:creationId xmlns:a16="http://schemas.microsoft.com/office/drawing/2014/main" id="{00000000-0008-0000-0F00-00008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ea typeface="Calibri"/>
                  <a:cs typeface="Calibri"/>
                </a:rPr>
                <a:t>Bearbeiten</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Michael Jaros" id="{61CE7817-732F-4DC8-93FB-486E250ABAF6}" userId="Michael Jaros" providerId="None"/>
  <person displayName="Michael Jaros" id="{219C0F1D-1BB4-4549-9E27-FE4F3C1A4FFA}" userId="e41d9331fcb658c5"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hael Jaros" refreshedDate="44267.734992129626" createdVersion="6" refreshedVersion="6" minRefreshableVersion="3" recordCount="99" xr:uid="{E80C85A9-3852-421F-AB8A-220E95C76D1B}">
  <cacheSource type="worksheet">
    <worksheetSource ref="A1:M100" sheet="Rechnung_Ausgang"/>
  </cacheSource>
  <cacheFields count="13">
    <cacheField name="Rechnungsnummer" numFmtId="0">
      <sharedItems containsSemiMixedTypes="0" containsString="0" containsNumber="1" containsInteger="1" minValue="12015001" maxValue="12020006"/>
    </cacheField>
    <cacheField name="Rechnungsdatum" numFmtId="14">
      <sharedItems containsSemiMixedTypes="0" containsNonDate="0" containsDate="1" containsString="0" minDate="2015-06-29T00:00:00" maxDate="2020-03-05T00:00:00"/>
    </cacheField>
    <cacheField name="Zahlungsziel" numFmtId="14">
      <sharedItems containsSemiMixedTypes="0" containsNonDate="0" containsDate="1" containsString="0" minDate="2015-07-13T00:00:00" maxDate="2020-03-19T00:00:00"/>
    </cacheField>
    <cacheField name="Zahlungsdatum" numFmtId="14">
      <sharedItems containsSemiMixedTypes="0" containsNonDate="0" containsDate="1" containsString="0" minDate="2015-07-01T00:00:00" maxDate="2020-03-11T00:00:00" count="90">
        <d v="2015-07-01T00:00:00"/>
        <d v="2015-07-09T00:00:00"/>
        <d v="2015-08-11T00:00:00"/>
        <d v="2015-08-07T00:00:00"/>
        <d v="2015-08-28T00:00:00"/>
        <d v="2015-09-10T00:00:00"/>
        <d v="2015-10-02T00:00:00"/>
        <d v="2015-09-24T00:00:00"/>
        <d v="2015-10-07T00:00:00"/>
        <d v="2015-11-04T00:00:00"/>
        <d v="2015-10-20T00:00:00"/>
        <d v="2015-12-16T00:00:00"/>
        <d v="2015-11-24T00:00:00"/>
        <d v="2016-01-25T00:00:00"/>
        <d v="2016-02-01T00:00:00"/>
        <d v="2016-01-04T00:00:00"/>
        <d v="2016-02-18T00:00:00"/>
        <d v="2016-03-16T00:00:00"/>
        <d v="2016-04-13T00:00:00"/>
        <d v="2016-04-08T00:00:00"/>
        <d v="2016-05-17T00:00:00"/>
        <d v="2016-06-17T00:00:00"/>
        <d v="2016-05-19T00:00:00"/>
        <d v="2016-06-14T00:00:00"/>
        <d v="2016-08-04T00:00:00"/>
        <d v="2016-07-05T00:00:00"/>
        <d v="2016-10-07T00:00:00"/>
        <d v="2016-09-29T00:00:00"/>
        <d v="2016-11-22T00:00:00"/>
        <d v="2016-10-18T00:00:00"/>
        <d v="2016-11-18T00:00:00"/>
        <d v="2017-02-23T00:00:00"/>
        <d v="2017-04-11T00:00:00"/>
        <d v="2017-05-03T00:00:00"/>
        <d v="2017-09-21T00:00:00"/>
        <d v="2017-10-31T00:00:00"/>
        <d v="2017-11-15T00:00:00"/>
        <d v="2017-11-28T00:00:00"/>
        <d v="2017-12-22T00:00:00"/>
        <d v="2017-12-28T00:00:00"/>
        <d v="2017-12-29T00:00:00"/>
        <d v="2018-04-25T00:00:00"/>
        <d v="2018-05-03T00:00:00"/>
        <d v="2018-07-09T00:00:00"/>
        <d v="2018-07-11T00:00:00"/>
        <d v="2018-07-10T00:00:00"/>
        <d v="2018-08-03T00:00:00"/>
        <d v="2018-09-15T00:00:00"/>
        <d v="2018-11-05T00:00:00"/>
        <d v="2018-10-15T00:00:00"/>
        <d v="2018-12-28T00:00:00"/>
        <d v="2019-01-17T00:00:00"/>
        <d v="2019-01-11T00:00:00"/>
        <d v="2019-02-13T00:00:00"/>
        <d v="2018-12-27T00:00:00"/>
        <d v="2019-01-09T00:00:00"/>
        <d v="2019-01-16T00:00:00"/>
        <d v="2019-01-25T00:00:00"/>
        <d v="2019-07-02T00:00:00"/>
        <d v="2019-04-09T00:00:00"/>
        <d v="2019-04-16T00:00:00"/>
        <d v="2019-04-10T00:00:00"/>
        <d v="2019-05-13T00:00:00"/>
        <d v="2019-06-13T00:00:00"/>
        <d v="2019-07-01T00:00:00"/>
        <d v="2019-07-15T00:00:00"/>
        <d v="2019-07-08T00:00:00"/>
        <d v="2019-07-23T00:00:00"/>
        <d v="2019-08-02T00:00:00"/>
        <d v="2019-08-06T00:00:00"/>
        <d v="2019-08-26T00:00:00"/>
        <d v="2019-09-09T00:00:00"/>
        <d v="2019-10-17T00:00:00"/>
        <d v="2019-10-04T00:00:00"/>
        <d v="2019-10-30T00:00:00"/>
        <d v="2019-10-14T00:00:00"/>
        <d v="2019-11-26T00:00:00"/>
        <d v="2019-11-12T00:00:00"/>
        <d v="2019-12-18T00:00:00"/>
        <d v="2019-11-28T00:00:00"/>
        <d v="2019-12-03T00:00:00"/>
        <d v="2019-12-09T00:00:00"/>
        <d v="2019-12-30T00:00:00"/>
        <d v="2020-01-08T00:00:00"/>
        <d v="2020-01-14T00:00:00"/>
        <d v="2020-01-15T00:00:00"/>
        <d v="2020-01-21T00:00:00"/>
        <d v="2020-02-13T00:00:00"/>
        <d v="2020-02-14T00:00:00"/>
        <d v="2020-03-10T00:00:00"/>
      </sharedItems>
    </cacheField>
    <cacheField name="Mahnungsdatum" numFmtId="0">
      <sharedItems containsNonDate="0" containsDate="1" containsString="0" containsBlank="1" minDate="2016-07-25T00:00:00" maxDate="2020-02-04T00:00:00"/>
    </cacheField>
    <cacheField name="Rechnungsempfänger" numFmtId="0">
      <sharedItems count="26">
        <s v="Dr. Arno Kolbitsch, Zivilingenieur, Gütleweg 1, 6822 Satteins"/>
        <s v="Johann Stojadinovic, Weiglgasse 10c/11f, 1150 Wien"/>
        <s v="Think-Tanker GmbH., Fasangasse 38/15, 1030 Wien"/>
        <s v="H. Jaros e.U., Fischhof 3/23, 1010 Wien, ATU 67698048"/>
        <s v="Ing. Gerhard Gotz, Allandgasse 8, 2500 Baden"/>
        <s v="Dipl.-Ing. Mag. Alexander Wagner, Beatrixgasse 5/7, 1030 Wien"/>
        <s v="Musikschule Bad Vöslau, z. Hd. Herr Christian Sauer, Hauptstraße 14, 2540 Bad Vöslau"/>
        <s v="Wienerwald Musikanten, z. Hd. Hr. Christian Sauer, Rudolf Schöng. 18, 2540 Bad Vöslau"/>
        <s v="Hays Österreich GmbH Personnel Services, Europaplatz 3/5, 1150 Wien"/>
        <s v="Dr. Katalin Schiller, Neustiftgasse 2, Top 3, 2500 Baden"/>
        <s v="Josef Stojadinovic, Weiglgasse 10/BLOCK C/10/11, 1150 Wien"/>
        <s v="Ing Irene Weis, BSc., Tullnerstraße 15, 3462 Absdorf"/>
        <s v="Mihajela Pejic-Studener, Rohrergasse 15, 1130 Wien"/>
        <s v="foxcraft OG, Laudongasse 58/16, 1080 Wien"/>
        <s v="Stokol GmbH, Weiglg. 10/10d/11, 1150 Wien"/>
        <s v="Franz Hauer GesmbH &amp; Co KG, Werksstraße 6, 3125 Statzendorf"/>
        <s v="Koltschik GmbH, Josef Stadlmaiergasse 2/19, 3003 Gablitz"/>
        <s v="Hays Österreich GmbH, Bahnhof City Wien West, Europaplatz 3/5, 1150 Wien; Gutschrift (Abrechnung durch Leistungsempfänger)"/>
        <s v="Schick Küchendesign e.U. Alexander Schick, Linzerstraße 247, 1140 Wien"/>
        <s v="Wedding Avenue e.U., Mayerweckstrasse 2-8/99/1, 1210 Wien"/>
        <s v="vemap Einkaufsmanagement GmbH, zHd. Frau Mag. Tina Zimmermann, Berggasse 31, 1090 Wien"/>
        <s v="vemap academy GmbH, Berggasse 31, 1090 Wien"/>
        <s v="Theresa Häfele-Kolbitsch, Josef-Mohrgasse 9, 2102 Bisamberg"/>
        <s v="foxcraft - Dipl.-Ing. Mag. Alexander Wagner, Leschetitzkygasse 30/5, 1180 Wien"/>
        <s v="Martin Dürauer e.U., Schreinergasse 7, A-3100 St. Pölten"/>
        <s v="DCF - Digital Coding Factory GmbH, Bauernfeldplatz 4/12, 1090 Wien"/>
      </sharedItems>
    </cacheField>
    <cacheField name="Bezeichnung" numFmtId="0">
      <sharedItems containsBlank="1"/>
    </cacheField>
    <cacheField name="Netto" numFmtId="165">
      <sharedItems containsSemiMixedTypes="0" containsString="0" containsNumber="1" minValue="10.32" maxValue="12935"/>
    </cacheField>
    <cacheField name="USt." numFmtId="0">
      <sharedItems containsSemiMixedTypes="0" containsString="0" containsNumber="1" containsInteger="1" minValue="20" maxValue="20"/>
    </cacheField>
    <cacheField name="Vorsteuer" numFmtId="165">
      <sharedItems containsSemiMixedTypes="0" containsString="0" containsNumber="1" minValue="2.0640000000000001" maxValue="2587"/>
    </cacheField>
    <cacheField name="Brutto" numFmtId="165">
      <sharedItems containsSemiMixedTypes="0" containsString="0" containsNumber="1" minValue="12.384" maxValue="15522"/>
    </cacheField>
    <cacheField name=" USt Fälligkeit" numFmtId="14">
      <sharedItems containsSemiMixedTypes="0" containsNonDate="0" containsDate="1" containsString="0" minDate="2015-11-15T00:00:00" maxDate="2020-05-16T00:00:00"/>
    </cacheField>
    <cacheField name="USt abgerechnet" numFmtId="0">
      <sharedItems containsNonDate="0" containsDate="1" containsString="0" containsBlank="1" minDate="2015-11-07T00:00:00" maxDate="2018-11-15T0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
  <r>
    <n v="12015001"/>
    <d v="2015-06-29T00:00:00"/>
    <d v="2015-07-13T00:00:00"/>
    <x v="0"/>
    <m/>
    <x v="0"/>
    <m/>
    <n v="1864.79"/>
    <n v="20"/>
    <n v="372.95800000000003"/>
    <n v="2237.748"/>
    <d v="2015-11-15T00:00:00"/>
    <d v="2015-11-07T00:00:00"/>
  </r>
  <r>
    <n v="12015002"/>
    <d v="2015-06-30T00:00:00"/>
    <d v="2015-07-14T00:00:00"/>
    <x v="1"/>
    <m/>
    <x v="1"/>
    <m/>
    <n v="13.66"/>
    <n v="20"/>
    <n v="2.7319999999999998"/>
    <n v="16.391999999999999"/>
    <d v="2015-11-15T00:00:00"/>
    <d v="2015-11-07T00:00:00"/>
  </r>
  <r>
    <n v="12015003"/>
    <d v="2015-07-15T00:00:00"/>
    <d v="2015-08-14T00:00:00"/>
    <x v="2"/>
    <m/>
    <x v="0"/>
    <m/>
    <n v="5048.33"/>
    <n v="20"/>
    <n v="1009.6660000000001"/>
    <n v="6057.9960000000001"/>
    <d v="2015-11-15T00:00:00"/>
    <d v="2015-11-07T00:00:00"/>
  </r>
  <r>
    <n v="12015004"/>
    <d v="2015-08-06T00:00:00"/>
    <d v="2015-08-20T00:00:00"/>
    <x v="3"/>
    <m/>
    <x v="2"/>
    <s v="P15004MJ"/>
    <n v="2055"/>
    <n v="20"/>
    <n v="411"/>
    <n v="2466"/>
    <d v="2015-11-15T00:00:00"/>
    <d v="2015-11-07T00:00:00"/>
  </r>
  <r>
    <n v="12015005"/>
    <d v="2015-08-26T00:00:00"/>
    <d v="2015-09-09T00:00:00"/>
    <x v="4"/>
    <m/>
    <x v="2"/>
    <s v="P15004MJ"/>
    <n v="990"/>
    <n v="20"/>
    <n v="198"/>
    <n v="1188"/>
    <d v="2015-11-15T00:00:00"/>
    <d v="2015-11-07T00:00:00"/>
  </r>
  <r>
    <n v="12015006"/>
    <d v="2015-09-08T00:00:00"/>
    <d v="2015-09-22T00:00:00"/>
    <x v="5"/>
    <m/>
    <x v="3"/>
    <s v="P15005MJ"/>
    <n v="1918.53"/>
    <n v="20"/>
    <n v="383.70599999999996"/>
    <n v="2302.2359999999999"/>
    <d v="2015-11-15T00:00:00"/>
    <d v="2015-11-07T00:00:00"/>
  </r>
  <r>
    <n v="12015007"/>
    <d v="2015-09-08T00:00:00"/>
    <d v="2015-09-22T00:00:00"/>
    <x v="6"/>
    <m/>
    <x v="4"/>
    <s v="BETRIEB"/>
    <n v="51.62"/>
    <n v="20"/>
    <n v="10.323999999999998"/>
    <n v="61.943999999999996"/>
    <d v="2016-02-15T00:00:00"/>
    <d v="2016-02-14T00:00:00"/>
  </r>
  <r>
    <n v="12015008"/>
    <d v="2015-09-23T00:00:00"/>
    <d v="2015-10-07T00:00:00"/>
    <x v="7"/>
    <m/>
    <x v="5"/>
    <s v="P15002MJ"/>
    <n v="250"/>
    <n v="20"/>
    <n v="50"/>
    <n v="300"/>
    <d v="2015-11-15T00:00:00"/>
    <d v="2015-11-07T00:00:00"/>
  </r>
  <r>
    <n v="12015009"/>
    <d v="2015-10-05T00:00:00"/>
    <d v="2015-10-19T00:00:00"/>
    <x v="8"/>
    <m/>
    <x v="0"/>
    <s v="diverse"/>
    <n v="4891.25"/>
    <n v="20"/>
    <n v="978.25"/>
    <n v="5869.5"/>
    <d v="2016-02-15T00:00:00"/>
    <d v="2016-02-14T00:00:00"/>
  </r>
  <r>
    <n v="12015010"/>
    <d v="2015-10-08T00:00:00"/>
    <d v="2015-10-22T00:00:00"/>
    <x v="9"/>
    <m/>
    <x v="6"/>
    <s v="BETRIEB"/>
    <n v="180"/>
    <n v="20"/>
    <n v="36"/>
    <n v="216"/>
    <d v="2016-02-15T00:00:00"/>
    <d v="2016-02-14T00:00:00"/>
  </r>
  <r>
    <n v="12015011"/>
    <d v="2015-10-08T00:00:00"/>
    <d v="2015-10-22T00:00:00"/>
    <x v="10"/>
    <m/>
    <x v="7"/>
    <s v="BETRIEB"/>
    <n v="102"/>
    <n v="20"/>
    <n v="20.399999999999999"/>
    <n v="122.4"/>
    <d v="2016-02-15T00:00:00"/>
    <d v="2016-02-14T00:00:00"/>
  </r>
  <r>
    <n v="12015012"/>
    <d v="2015-11-01T00:00:00"/>
    <d v="2015-12-16T00:00:00"/>
    <x v="11"/>
    <m/>
    <x v="8"/>
    <s v="P15009MJ"/>
    <n v="877.5"/>
    <n v="20"/>
    <n v="175.5"/>
    <n v="1053"/>
    <d v="2016-02-15T00:00:00"/>
    <d v="2016-02-14T00:00:00"/>
  </r>
  <r>
    <n v="12015013"/>
    <d v="2015-11-23T00:00:00"/>
    <d v="2015-12-07T00:00:00"/>
    <x v="12"/>
    <m/>
    <x v="0"/>
    <s v="P15001"/>
    <n v="910"/>
    <n v="20"/>
    <n v="182"/>
    <n v="1092"/>
    <d v="2016-02-15T00:00:00"/>
    <d v="2016-02-14T00:00:00"/>
  </r>
  <r>
    <n v="12015014"/>
    <d v="2015-12-01T00:00:00"/>
    <d v="2016-01-15T00:00:00"/>
    <x v="13"/>
    <m/>
    <x v="8"/>
    <s v="P15009MJ"/>
    <n v="12935"/>
    <n v="20"/>
    <n v="2587"/>
    <n v="15522"/>
    <d v="2016-05-15T00:00:00"/>
    <d v="2016-05-09T00:00:00"/>
  </r>
  <r>
    <n v="12015015"/>
    <d v="2015-12-17T00:00:00"/>
    <d v="2016-02-15T00:00:00"/>
    <x v="14"/>
    <m/>
    <x v="8"/>
    <s v="P15009MJ"/>
    <n v="6662.5"/>
    <n v="20"/>
    <n v="1332.5"/>
    <n v="7995"/>
    <d v="2016-05-15T00:00:00"/>
    <d v="2016-05-09T00:00:00"/>
  </r>
  <r>
    <n v="12015016"/>
    <d v="2015-12-28T00:00:00"/>
    <d v="2016-01-11T00:00:00"/>
    <x v="15"/>
    <m/>
    <x v="0"/>
    <s v="diverse"/>
    <n v="1543.75"/>
    <n v="20"/>
    <n v="308.75"/>
    <n v="1852.5"/>
    <d v="2016-05-15T00:00:00"/>
    <d v="2016-05-09T00:00:00"/>
  </r>
  <r>
    <n v="12015017"/>
    <d v="2015-12-28T00:00:00"/>
    <d v="2016-01-11T00:00:00"/>
    <x v="15"/>
    <m/>
    <x v="0"/>
    <s v="P15001MJ"/>
    <n v="3331.25"/>
    <n v="20"/>
    <n v="666.25"/>
    <n v="3997.5"/>
    <d v="2016-05-15T00:00:00"/>
    <d v="2016-05-09T00:00:00"/>
  </r>
  <r>
    <n v="12016001"/>
    <d v="2016-01-23T00:00:00"/>
    <d v="2016-02-06T00:00:00"/>
    <x v="16"/>
    <m/>
    <x v="9"/>
    <s v="Hosting"/>
    <n v="42"/>
    <n v="20"/>
    <n v="8.4"/>
    <n v="50.4"/>
    <d v="2016-05-15T00:00:00"/>
    <d v="2016-05-09T00:00:00"/>
  </r>
  <r>
    <n v="12016002"/>
    <d v="2016-02-01T00:00:00"/>
    <d v="2016-03-17T00:00:00"/>
    <x v="17"/>
    <m/>
    <x v="8"/>
    <s v="P15009MJ"/>
    <n v="7767.5"/>
    <n v="20"/>
    <n v="1553.5"/>
    <n v="9321"/>
    <d v="2016-05-15T00:00:00"/>
    <d v="2016-05-09T00:00:00"/>
  </r>
  <r>
    <n v="12016003"/>
    <d v="2016-03-02T00:00:00"/>
    <d v="2016-04-16T00:00:00"/>
    <x v="18"/>
    <m/>
    <x v="8"/>
    <s v="P15009MJ"/>
    <n v="10302.5"/>
    <n v="20"/>
    <n v="2060.5"/>
    <n v="12363"/>
    <d v="2016-08-15T00:00:00"/>
    <d v="2016-08-18T00:00:00"/>
  </r>
  <r>
    <n v="12016004"/>
    <d v="2016-03-02T00:00:00"/>
    <d v="2016-03-16T00:00:00"/>
    <x v="17"/>
    <m/>
    <x v="10"/>
    <s v="Datenrettung"/>
    <n v="252.5"/>
    <n v="20"/>
    <n v="50.5"/>
    <n v="303"/>
    <d v="2016-05-15T00:00:00"/>
    <d v="2016-05-09T00:00:00"/>
  </r>
  <r>
    <n v="12016005"/>
    <d v="2016-03-18T00:00:00"/>
    <d v="2016-04-01T00:00:00"/>
    <x v="19"/>
    <m/>
    <x v="4"/>
    <s v="BETRIEB"/>
    <n v="51.62"/>
    <n v="20"/>
    <n v="10.323999999999998"/>
    <n v="61.943999999999996"/>
    <d v="2016-08-15T00:00:00"/>
    <d v="2016-08-18T00:00:00"/>
  </r>
  <r>
    <n v="12016006"/>
    <d v="2016-04-01T00:00:00"/>
    <d v="2016-05-16T00:00:00"/>
    <x v="20"/>
    <m/>
    <x v="8"/>
    <s v="P15009MJ"/>
    <n v="12057.5"/>
    <n v="20"/>
    <n v="2411.5"/>
    <n v="14469"/>
    <d v="2016-08-15T00:00:00"/>
    <d v="2016-08-18T00:00:00"/>
  </r>
  <r>
    <n v="12016007"/>
    <d v="2016-05-02T00:00:00"/>
    <d v="2016-06-16T00:00:00"/>
    <x v="21"/>
    <m/>
    <x v="8"/>
    <s v="P15009MJ"/>
    <n v="11651.25"/>
    <n v="20"/>
    <n v="2330.25"/>
    <n v="13981.5"/>
    <d v="2016-08-15T00:00:00"/>
    <d v="2016-08-18T00:00:00"/>
  </r>
  <r>
    <n v="12016008"/>
    <d v="2016-05-02T00:00:00"/>
    <d v="2016-05-16T00:00:00"/>
    <x v="22"/>
    <m/>
    <x v="3"/>
    <s v="P16001MJ"/>
    <n v="1010.37"/>
    <n v="20"/>
    <n v="202.07400000000001"/>
    <n v="1212.444"/>
    <d v="2016-08-15T00:00:00"/>
    <d v="2016-08-18T00:00:00"/>
  </r>
  <r>
    <n v="12016009"/>
    <d v="2016-06-09T00:00:00"/>
    <d v="2016-06-23T00:00:00"/>
    <x v="23"/>
    <m/>
    <x v="11"/>
    <s v="BETRIEB"/>
    <n v="30.42"/>
    <n v="20"/>
    <n v="6.0840000000000005"/>
    <n v="36.504000000000005"/>
    <d v="2016-08-15T00:00:00"/>
    <d v="2016-08-18T00:00:00"/>
  </r>
  <r>
    <n v="12016010"/>
    <d v="2016-06-24T00:00:00"/>
    <d v="2016-07-08T00:00:00"/>
    <x v="24"/>
    <d v="2016-07-25T00:00:00"/>
    <x v="12"/>
    <s v="BETRIEB"/>
    <n v="32.14"/>
    <n v="20"/>
    <n v="6.4279999999999999"/>
    <n v="38.567999999999998"/>
    <d v="2016-11-15T00:00:00"/>
    <d v="2016-11-13T00:00:00"/>
  </r>
  <r>
    <n v="12016011"/>
    <d v="2016-06-24T00:00:00"/>
    <d v="2016-07-08T00:00:00"/>
    <x v="25"/>
    <m/>
    <x v="0"/>
    <s v="diverse"/>
    <n v="5383.52"/>
    <n v="20"/>
    <n v="1076.7040000000002"/>
    <n v="6460.2240000000002"/>
    <d v="2016-11-15T00:00:00"/>
    <d v="2016-11-13T00:00:00"/>
  </r>
  <r>
    <n v="12016012"/>
    <d v="2016-09-08T00:00:00"/>
    <d v="2016-09-22T00:00:00"/>
    <x v="26"/>
    <m/>
    <x v="4"/>
    <s v="BETRIEB"/>
    <n v="51.68"/>
    <n v="20"/>
    <n v="10.335999999999999"/>
    <n v="62.015999999999998"/>
    <d v="2017-02-15T00:00:00"/>
    <d v="2017-02-11T00:00:00"/>
  </r>
  <r>
    <n v="12016013"/>
    <d v="2016-09-27T00:00:00"/>
    <d v="2016-10-04T00:00:00"/>
    <x v="27"/>
    <m/>
    <x v="5"/>
    <s v="P15006MJ MSBV-Relaunch"/>
    <n v="2460"/>
    <n v="20"/>
    <n v="492"/>
    <n v="2952"/>
    <d v="2016-11-15T00:00:00"/>
    <d v="2016-11-13T00:00:00"/>
  </r>
  <r>
    <n v="12016014"/>
    <d v="2016-10-07T00:00:00"/>
    <d v="2016-10-14T00:00:00"/>
    <x v="28"/>
    <m/>
    <x v="6"/>
    <s v="BETRIEB"/>
    <n v="192.42"/>
    <n v="20"/>
    <n v="38.483999999999995"/>
    <n v="230.904"/>
    <d v="2017-02-15T00:00:00"/>
    <d v="2017-02-11T00:00:00"/>
  </r>
  <r>
    <n v="12016015"/>
    <d v="2016-10-07T00:00:00"/>
    <d v="2016-10-14T00:00:00"/>
    <x v="29"/>
    <m/>
    <x v="7"/>
    <s v="BETRIEB"/>
    <n v="114.42"/>
    <n v="20"/>
    <n v="22.884"/>
    <n v="137.304"/>
    <d v="2017-02-15T00:00:00"/>
    <d v="2017-02-11T00:00:00"/>
  </r>
  <r>
    <n v="12016016"/>
    <d v="2016-11-17T00:00:00"/>
    <d v="2016-12-01T00:00:00"/>
    <x v="30"/>
    <m/>
    <x v="0"/>
    <s v="P15001MJ"/>
    <n v="4223.7"/>
    <n v="20"/>
    <n v="844.74"/>
    <n v="5068.4399999999996"/>
    <d v="2017-02-15T00:00:00"/>
    <d v="2017-02-11T00:00:00"/>
  </r>
  <r>
    <n v="12017001"/>
    <d v="2017-01-14T00:00:00"/>
    <d v="2017-01-28T00:00:00"/>
    <x v="31"/>
    <d v="2017-02-16T00:00:00"/>
    <x v="9"/>
    <s v="Hosting"/>
    <n v="42"/>
    <n v="20"/>
    <n v="8.4"/>
    <n v="50.4"/>
    <d v="2017-05-15T00:00:00"/>
    <d v="2017-05-05T00:00:00"/>
  </r>
  <r>
    <n v="12017002"/>
    <d v="2017-04-05T00:00:00"/>
    <d v="2017-04-19T00:00:00"/>
    <x v="32"/>
    <m/>
    <x v="3"/>
    <s v="diverse"/>
    <n v="701.25"/>
    <n v="20"/>
    <n v="140.25"/>
    <n v="841.5"/>
    <d v="2017-08-15T00:00:00"/>
    <d v="2017-09-05T00:00:00"/>
  </r>
  <r>
    <n v="12017003"/>
    <d v="2017-05-02T00:00:00"/>
    <d v="2017-05-16T00:00:00"/>
    <x v="33"/>
    <m/>
    <x v="0"/>
    <s v="P15001MJ"/>
    <n v="2671.25"/>
    <n v="20"/>
    <n v="534.25"/>
    <n v="3205.5"/>
    <d v="2017-08-15T00:00:00"/>
    <d v="2017-09-05T00:00:00"/>
  </r>
  <r>
    <n v="12017004"/>
    <d v="2017-09-20T00:00:00"/>
    <d v="2017-10-04T00:00:00"/>
    <x v="34"/>
    <m/>
    <x v="13"/>
    <s v="BETRIEB"/>
    <n v="29.1"/>
    <n v="20"/>
    <n v="5.82"/>
    <n v="34.92"/>
    <d v="2017-11-15T00:00:00"/>
    <d v="2017-11-08T00:00:00"/>
  </r>
  <r>
    <n v="12017005"/>
    <d v="2017-10-27T00:00:00"/>
    <d v="2017-11-10T00:00:00"/>
    <x v="35"/>
    <m/>
    <x v="0"/>
    <s v="diverse"/>
    <n v="2193.75"/>
    <n v="20"/>
    <n v="438.75"/>
    <n v="2632.5"/>
    <d v="2018-02-15T00:00:00"/>
    <d v="2018-02-03T00:00:00"/>
  </r>
  <r>
    <n v="12017006"/>
    <d v="2017-11-14T00:00:00"/>
    <d v="2017-11-28T00:00:00"/>
    <x v="36"/>
    <m/>
    <x v="14"/>
    <s v="diverse"/>
    <n v="2150.5100000000002"/>
    <n v="20"/>
    <n v="430.10200000000003"/>
    <n v="2580.6120000000001"/>
    <d v="2018-02-15T00:00:00"/>
    <d v="2018-02-03T00:00:00"/>
  </r>
  <r>
    <n v="12017007"/>
    <d v="2017-11-20T00:00:00"/>
    <d v="2017-12-04T00:00:00"/>
    <x v="37"/>
    <m/>
    <x v="14"/>
    <s v="diverse"/>
    <n v="520.99"/>
    <n v="20"/>
    <n v="104.19799999999999"/>
    <n v="625.18799999999999"/>
    <d v="2018-02-15T00:00:00"/>
    <d v="2018-02-03T00:00:00"/>
  </r>
  <r>
    <n v="12017008"/>
    <d v="2017-12-20T00:00:00"/>
    <d v="2018-01-03T00:00:00"/>
    <x v="38"/>
    <m/>
    <x v="13"/>
    <s v="LAUFEND"/>
    <n v="600"/>
    <n v="20"/>
    <n v="120"/>
    <n v="720"/>
    <d v="2018-02-15T00:00:00"/>
    <d v="2018-02-03T00:00:00"/>
  </r>
  <r>
    <n v="12017009"/>
    <d v="2017-12-20T00:00:00"/>
    <d v="2018-01-03T00:00:00"/>
    <x v="39"/>
    <m/>
    <x v="0"/>
    <s v="P15001MJ"/>
    <n v="7629.69"/>
    <n v="20"/>
    <n v="1525.9379999999999"/>
    <n v="9155.6279999999988"/>
    <d v="2018-02-15T00:00:00"/>
    <d v="2018-02-03T00:00:00"/>
  </r>
  <r>
    <n v="12017010"/>
    <d v="2017-12-22T00:00:00"/>
    <d v="2018-01-05T00:00:00"/>
    <x v="40"/>
    <m/>
    <x v="14"/>
    <s v="diverse"/>
    <n v="8976.17"/>
    <n v="20"/>
    <n v="1795.2339999999999"/>
    <n v="10771.404"/>
    <d v="2018-02-15T00:00:00"/>
    <d v="2018-02-03T00:00:00"/>
  </r>
  <r>
    <n v="12018001"/>
    <d v="2018-04-25T00:00:00"/>
    <d v="2018-05-09T00:00:00"/>
    <x v="41"/>
    <m/>
    <x v="0"/>
    <s v="P15001MJ"/>
    <n v="347.65"/>
    <n v="20"/>
    <n v="69.53"/>
    <n v="417.17999999999995"/>
    <d v="2018-08-15T00:00:00"/>
    <d v="2018-08-06T00:00:00"/>
  </r>
  <r>
    <n v="12018002"/>
    <d v="2018-04-30T00:00:00"/>
    <d v="2018-05-14T00:00:00"/>
    <x v="42"/>
    <m/>
    <x v="14"/>
    <m/>
    <n v="839.03"/>
    <n v="20"/>
    <n v="167.80599999999998"/>
    <n v="1006.836"/>
    <d v="2018-08-15T00:00:00"/>
    <d v="2018-08-06T00:00:00"/>
  </r>
  <r>
    <n v="12018003"/>
    <d v="2018-07-06T00:00:00"/>
    <d v="2018-07-20T00:00:00"/>
    <x v="43"/>
    <m/>
    <x v="3"/>
    <m/>
    <n v="2333.69"/>
    <n v="20"/>
    <n v="466.73800000000006"/>
    <n v="2800.4279999999999"/>
    <d v="2018-11-15T00:00:00"/>
    <d v="2018-11-14T00:00:00"/>
  </r>
  <r>
    <n v="12018004"/>
    <d v="2018-07-09T00:00:00"/>
    <d v="2018-07-23T00:00:00"/>
    <x v="44"/>
    <m/>
    <x v="14"/>
    <m/>
    <n v="697.65"/>
    <n v="20"/>
    <n v="139.53"/>
    <n v="837.18"/>
    <d v="2018-11-15T00:00:00"/>
    <d v="2018-11-14T00:00:00"/>
  </r>
  <r>
    <n v="12018005"/>
    <d v="2018-07-08T00:00:00"/>
    <d v="2018-07-22T00:00:00"/>
    <x v="45"/>
    <m/>
    <x v="0"/>
    <s v="P15001MJ"/>
    <n v="10.32"/>
    <n v="20"/>
    <n v="2.0640000000000001"/>
    <n v="12.384"/>
    <d v="2018-11-15T00:00:00"/>
    <d v="2018-11-14T00:00:00"/>
  </r>
  <r>
    <n v="12018006"/>
    <d v="2018-08-02T00:00:00"/>
    <d v="2018-08-16T00:00:00"/>
    <x v="46"/>
    <m/>
    <x v="3"/>
    <m/>
    <n v="12146.82"/>
    <n v="20"/>
    <n v="2429.364"/>
    <n v="14576.19"/>
    <d v="2018-11-15T00:00:00"/>
    <d v="2018-11-14T00:00:00"/>
  </r>
  <r>
    <n v="12018007"/>
    <d v="2018-10-03T00:00:00"/>
    <d v="2018-10-17T00:00:00"/>
    <x v="47"/>
    <m/>
    <x v="0"/>
    <s v="P15001MJ"/>
    <n v="299.99"/>
    <n v="20"/>
    <n v="59.998000000000005"/>
    <n v="359.988"/>
    <d v="2018-11-15T00:00:00"/>
    <d v="2018-11-14T00:00:00"/>
  </r>
  <r>
    <n v="12018008"/>
    <d v="2018-10-03T00:00:00"/>
    <d v="2018-10-17T00:00:00"/>
    <x v="48"/>
    <d v="2018-10-24T00:00:00"/>
    <x v="14"/>
    <m/>
    <n v="308.10000000000002"/>
    <n v="20"/>
    <n v="61.62"/>
    <n v="369.72"/>
    <d v="2019-02-15T00:00:00"/>
    <m/>
  </r>
  <r>
    <n v="12018009"/>
    <d v="2018-11-14T00:00:00"/>
    <d v="2018-11-28T00:00:00"/>
    <x v="49"/>
    <m/>
    <x v="0"/>
    <s v="P15001MJ"/>
    <n v="488.58"/>
    <n v="20"/>
    <n v="97.716000000000008"/>
    <n v="586.29600000000005"/>
    <d v="2019-02-15T00:00:00"/>
    <m/>
  </r>
  <r>
    <n v="12018010"/>
    <d v="2018-12-20T00:00:00"/>
    <d v="2019-01-03T00:00:00"/>
    <x v="50"/>
    <m/>
    <x v="13"/>
    <m/>
    <n v="793.78"/>
    <n v="20"/>
    <n v="158.75599999999997"/>
    <n v="952.53599999999994"/>
    <d v="2019-02-15T00:00:00"/>
    <m/>
  </r>
  <r>
    <n v="12018011"/>
    <d v="2018-12-20T00:00:00"/>
    <d v="2019-01-03T00:00:00"/>
    <x v="51"/>
    <m/>
    <x v="15"/>
    <m/>
    <n v="1696.6"/>
    <n v="20"/>
    <n v="339.32"/>
    <n v="2035.9199999999998"/>
    <d v="2019-05-15T00:00:00"/>
    <m/>
  </r>
  <r>
    <n v="12018012"/>
    <d v="2018-12-27T00:00:00"/>
    <d v="2019-01-10T00:00:00"/>
    <x v="52"/>
    <m/>
    <x v="14"/>
    <m/>
    <n v="1704.88"/>
    <n v="20"/>
    <n v="340.97600000000006"/>
    <n v="2045.8560000000002"/>
    <d v="2019-05-15T00:00:00"/>
    <m/>
  </r>
  <r>
    <n v="12018013"/>
    <d v="2018-12-27T00:00:00"/>
    <d v="2019-01-10T00:00:00"/>
    <x v="53"/>
    <d v="2018-02-06T00:00:00"/>
    <x v="16"/>
    <m/>
    <n v="93.75"/>
    <n v="20"/>
    <n v="18.75"/>
    <n v="112.5"/>
    <d v="2019-05-15T00:00:00"/>
    <m/>
  </r>
  <r>
    <n v="12018014"/>
    <d v="2018-12-27T00:00:00"/>
    <d v="2019-01-10T00:00:00"/>
    <x v="54"/>
    <m/>
    <x v="0"/>
    <m/>
    <n v="8438.1299999999992"/>
    <n v="20"/>
    <n v="1687.6259999999997"/>
    <n v="10125.755999999999"/>
    <d v="2019-02-15T00:00:00"/>
    <m/>
  </r>
  <r>
    <n v="12018015"/>
    <d v="2018-12-27T00:00:00"/>
    <d v="2019-01-10T00:00:00"/>
    <x v="55"/>
    <m/>
    <x v="3"/>
    <m/>
    <n v="561.84"/>
    <n v="20"/>
    <n v="112.36800000000001"/>
    <n v="674.20800000000008"/>
    <d v="2019-05-15T00:00:00"/>
    <m/>
  </r>
  <r>
    <n v="12018016"/>
    <d v="2018-12-17T00:00:00"/>
    <d v="2019-01-16T00:00:00"/>
    <x v="56"/>
    <m/>
    <x v="17"/>
    <m/>
    <n v="1504.5"/>
    <n v="20"/>
    <n v="300.89999999999998"/>
    <n v="1805.4"/>
    <d v="2019-05-15T00:00:00"/>
    <m/>
  </r>
  <r>
    <n v="12018017"/>
    <d v="2018-12-17T00:00:00"/>
    <d v="2019-01-26T00:00:00"/>
    <x v="57"/>
    <m/>
    <x v="17"/>
    <m/>
    <n v="3215.5"/>
    <n v="20"/>
    <n v="643.1"/>
    <n v="3858.6"/>
    <d v="2019-05-15T00:00:00"/>
    <m/>
  </r>
  <r>
    <n v="12019001"/>
    <d v="2019-04-04T00:00:00"/>
    <d v="2019-04-18T00:00:00"/>
    <x v="58"/>
    <m/>
    <x v="0"/>
    <m/>
    <n v="12.42"/>
    <n v="20"/>
    <n v="2.484"/>
    <n v="14.904"/>
    <d v="2019-11-15T00:00:00"/>
    <m/>
  </r>
  <r>
    <n v="12019002"/>
    <d v="2019-04-04T00:00:00"/>
    <d v="2019-04-18T00:00:00"/>
    <x v="59"/>
    <m/>
    <x v="14"/>
    <m/>
    <n v="649.4"/>
    <n v="20"/>
    <n v="129.88"/>
    <n v="779.28"/>
    <d v="2019-08-15T00:00:00"/>
    <m/>
  </r>
  <r>
    <n v="12019003"/>
    <d v="2019-04-04T00:00:00"/>
    <d v="2019-04-18T00:00:00"/>
    <x v="60"/>
    <m/>
    <x v="18"/>
    <m/>
    <n v="700.75"/>
    <n v="20"/>
    <n v="140.15"/>
    <n v="840.9"/>
    <d v="2019-08-15T00:00:00"/>
    <m/>
  </r>
  <r>
    <n v="12019004"/>
    <d v="2019-04-05T00:00:00"/>
    <d v="2019-04-19T00:00:00"/>
    <x v="61"/>
    <m/>
    <x v="3"/>
    <m/>
    <n v="5101.16"/>
    <n v="20"/>
    <n v="1020.232"/>
    <n v="6121.3919999999998"/>
    <d v="2019-08-15T00:00:00"/>
    <m/>
  </r>
  <r>
    <n v="12019005"/>
    <d v="2019-04-29T00:00:00"/>
    <d v="2019-05-13T00:00:00"/>
    <x v="62"/>
    <m/>
    <x v="15"/>
    <m/>
    <n v="3671.15"/>
    <n v="20"/>
    <n v="734.23"/>
    <n v="4405.38"/>
    <d v="2019-08-15T00:00:00"/>
    <m/>
  </r>
  <r>
    <n v="12019006"/>
    <d v="2019-05-31T00:00:00"/>
    <d v="2019-06-14T00:00:00"/>
    <x v="63"/>
    <m/>
    <x v="19"/>
    <m/>
    <n v="1657.5"/>
    <n v="20"/>
    <n v="331.5"/>
    <n v="1989"/>
    <d v="2019-08-15T00:00:00"/>
    <m/>
  </r>
  <r>
    <n v="12019007"/>
    <d v="2019-06-17T00:00:00"/>
    <d v="2019-07-01T00:00:00"/>
    <x v="64"/>
    <m/>
    <x v="15"/>
    <m/>
    <n v="2502.5"/>
    <n v="20"/>
    <n v="500.5"/>
    <n v="3003"/>
    <d v="2019-11-15T00:00:00"/>
    <m/>
  </r>
  <r>
    <n v="12019008"/>
    <d v="2019-07-01T00:00:00"/>
    <d v="2019-07-15T00:00:00"/>
    <x v="58"/>
    <m/>
    <x v="0"/>
    <m/>
    <n v="134.6"/>
    <n v="20"/>
    <n v="26.92"/>
    <n v="161.51999999999998"/>
    <d v="2019-11-15T00:00:00"/>
    <m/>
  </r>
  <r>
    <n v="12019009"/>
    <d v="2019-07-01T00:00:00"/>
    <d v="2019-07-15T00:00:00"/>
    <x v="65"/>
    <m/>
    <x v="15"/>
    <m/>
    <n v="1805.6"/>
    <n v="20"/>
    <n v="361.12"/>
    <n v="2166.7199999999998"/>
    <d v="2019-11-15T00:00:00"/>
    <m/>
  </r>
  <r>
    <n v="12019010"/>
    <d v="2019-07-01T00:00:00"/>
    <d v="2019-07-15T00:00:00"/>
    <x v="66"/>
    <m/>
    <x v="14"/>
    <m/>
    <n v="170.63"/>
    <n v="20"/>
    <n v="34.125999999999998"/>
    <n v="204.75"/>
    <d v="2019-11-15T00:00:00"/>
    <m/>
  </r>
  <r>
    <n v="12019011"/>
    <d v="2019-07-01T00:00:00"/>
    <d v="2019-07-15T00:00:00"/>
    <x v="65"/>
    <m/>
    <x v="18"/>
    <m/>
    <n v="356.25"/>
    <n v="20"/>
    <n v="71.25"/>
    <n v="427.5"/>
    <d v="2019-11-15T00:00:00"/>
    <m/>
  </r>
  <r>
    <n v="12019012"/>
    <d v="2019-07-04T00:00:00"/>
    <d v="2019-07-18T00:00:00"/>
    <x v="67"/>
    <m/>
    <x v="19"/>
    <m/>
    <n v="1666.6666666666667"/>
    <n v="20"/>
    <n v="333.33333333333337"/>
    <n v="2000"/>
    <d v="2019-11-15T00:00:00"/>
    <m/>
  </r>
  <r>
    <n v="12019012"/>
    <d v="2019-07-04T00:00:00"/>
    <d v="2019-07-18T00:00:00"/>
    <x v="68"/>
    <m/>
    <x v="19"/>
    <m/>
    <n v="1684.4633333333334"/>
    <n v="20"/>
    <n v="336.89266666666668"/>
    <n v="2021.356"/>
    <d v="2019-11-15T00:00:00"/>
    <m/>
  </r>
  <r>
    <n v="12019013"/>
    <d v="2019-08-05T00:00:00"/>
    <d v="2019-08-19T00:00:00"/>
    <x v="69"/>
    <m/>
    <x v="20"/>
    <m/>
    <n v="752.5"/>
    <n v="20"/>
    <n v="150.5"/>
    <n v="903"/>
    <d v="2019-11-15T00:00:00"/>
    <m/>
  </r>
  <r>
    <n v="12019014"/>
    <d v="2019-08-12T00:00:00"/>
    <d v="2019-08-26T00:00:00"/>
    <x v="70"/>
    <m/>
    <x v="15"/>
    <m/>
    <n v="551"/>
    <n v="20"/>
    <n v="110.2"/>
    <n v="661.2"/>
    <d v="2019-11-15T00:00:00"/>
    <m/>
  </r>
  <r>
    <n v="12019015"/>
    <d v="2019-08-26T00:00:00"/>
    <d v="2019-09-09T00:00:00"/>
    <x v="71"/>
    <m/>
    <x v="15"/>
    <m/>
    <n v="2708.4"/>
    <n v="20"/>
    <n v="541.67999999999995"/>
    <n v="3250.08"/>
    <d v="2019-11-15T00:00:00"/>
    <m/>
  </r>
  <r>
    <n v="12019016"/>
    <d v="2019-09-05T00:00:00"/>
    <d v="2019-09-19T00:00:00"/>
    <x v="71"/>
    <m/>
    <x v="20"/>
    <m/>
    <n v="1435"/>
    <n v="20"/>
    <n v="287"/>
    <n v="1722"/>
    <d v="2019-11-15T00:00:00"/>
    <m/>
  </r>
  <r>
    <n v="12019017"/>
    <d v="2019-10-01T00:00:00"/>
    <d v="2019-10-15T00:00:00"/>
    <x v="72"/>
    <m/>
    <x v="15"/>
    <m/>
    <n v="2188.75"/>
    <n v="20"/>
    <n v="437.75"/>
    <n v="2626.5"/>
    <d v="2020-02-15T00:00:00"/>
    <m/>
  </r>
  <r>
    <n v="12019018"/>
    <d v="2019-10-01T00:00:00"/>
    <d v="2019-10-15T00:00:00"/>
    <x v="73"/>
    <m/>
    <x v="20"/>
    <m/>
    <n v="1680"/>
    <n v="20"/>
    <n v="336"/>
    <n v="2016"/>
    <d v="2020-02-15T00:00:00"/>
    <m/>
  </r>
  <r>
    <n v="12019019"/>
    <d v="2019-10-01T00:00:00"/>
    <d v="2019-10-15T00:00:00"/>
    <x v="74"/>
    <d v="2019-10-21T00:00:00"/>
    <x v="19"/>
    <m/>
    <n v="786.25"/>
    <n v="20"/>
    <n v="157.25"/>
    <n v="943.5"/>
    <d v="2020-02-15T00:00:00"/>
    <m/>
  </r>
  <r>
    <n v="12019020"/>
    <d v="2019-10-01T00:00:00"/>
    <d v="2019-10-15T00:00:00"/>
    <x v="75"/>
    <m/>
    <x v="18"/>
    <m/>
    <n v="450"/>
    <n v="20"/>
    <n v="90"/>
    <n v="540"/>
    <d v="2020-02-15T00:00:00"/>
    <m/>
  </r>
  <r>
    <n v="12019021"/>
    <d v="2019-10-01T00:00:00"/>
    <d v="2019-10-15T00:00:00"/>
    <x v="75"/>
    <m/>
    <x v="0"/>
    <m/>
    <n v="231.43"/>
    <n v="20"/>
    <n v="46.286000000000001"/>
    <n v="277.71600000000001"/>
    <d v="2020-02-15T00:00:00"/>
    <m/>
  </r>
  <r>
    <n v="12019022"/>
    <d v="2019-10-15T00:00:00"/>
    <d v="2019-11-29T00:00:00"/>
    <x v="76"/>
    <m/>
    <x v="17"/>
    <m/>
    <n v="1268.5"/>
    <n v="20"/>
    <n v="253.7"/>
    <n v="1522.2"/>
    <d v="2020-02-15T00:00:00"/>
    <m/>
  </r>
  <r>
    <n v="12019023"/>
    <d v="2019-11-04T00:00:00"/>
    <d v="2019-11-18T00:00:00"/>
    <x v="77"/>
    <m/>
    <x v="21"/>
    <m/>
    <n v="2940"/>
    <n v="20"/>
    <n v="588"/>
    <n v="3528"/>
    <d v="2020-02-15T00:00:00"/>
    <m/>
  </r>
  <r>
    <n v="12019024"/>
    <d v="2019-11-04T00:00:00"/>
    <d v="2019-12-09T00:00:00"/>
    <x v="78"/>
    <m/>
    <x v="21"/>
    <m/>
    <n v="900"/>
    <n v="20"/>
    <n v="180"/>
    <n v="1080"/>
    <d v="2020-02-15T00:00:00"/>
    <m/>
  </r>
  <r>
    <n v="12019025"/>
    <d v="2019-11-27T00:00:00"/>
    <d v="2019-12-11T00:00:00"/>
    <x v="79"/>
    <m/>
    <x v="22"/>
    <m/>
    <n v="520.58000000000004"/>
    <n v="20"/>
    <n v="104.116"/>
    <n v="624.69600000000003"/>
    <d v="2020-02-15T00:00:00"/>
    <m/>
  </r>
  <r>
    <n v="12019026"/>
    <d v="2019-12-02T00:00:00"/>
    <d v="2019-12-16T00:00:00"/>
    <x v="80"/>
    <m/>
    <x v="21"/>
    <m/>
    <n v="3517.5"/>
    <n v="20"/>
    <n v="703.5"/>
    <n v="4221"/>
    <d v="2020-02-15T00:00:00"/>
    <m/>
  </r>
  <r>
    <n v="12019027"/>
    <d v="2019-12-02T00:00:00"/>
    <d v="2020-01-06T00:00:00"/>
    <x v="80"/>
    <m/>
    <x v="21"/>
    <m/>
    <n v="2910"/>
    <n v="20"/>
    <n v="582"/>
    <n v="3492"/>
    <d v="2020-02-15T00:00:00"/>
    <m/>
  </r>
  <r>
    <n v="12019028"/>
    <d v="2019-12-02T00:00:00"/>
    <d v="2019-12-16T00:00:00"/>
    <x v="81"/>
    <m/>
    <x v="23"/>
    <m/>
    <n v="265.32"/>
    <n v="20"/>
    <n v="53.063999999999993"/>
    <n v="318.38400000000001"/>
    <d v="2020-02-15T00:00:00"/>
    <m/>
  </r>
  <r>
    <n v="12019029"/>
    <d v="2019-12-23T00:00:00"/>
    <d v="2020-01-06T00:00:00"/>
    <x v="82"/>
    <m/>
    <x v="21"/>
    <m/>
    <n v="2800"/>
    <n v="20"/>
    <n v="560"/>
    <n v="3360"/>
    <d v="2020-02-15T00:00:00"/>
    <m/>
  </r>
  <r>
    <n v="12020001"/>
    <d v="2020-01-07T00:00:00"/>
    <d v="2020-01-21T00:00:00"/>
    <x v="83"/>
    <m/>
    <x v="24"/>
    <m/>
    <n v="170"/>
    <n v="20"/>
    <n v="34"/>
    <n v="204"/>
    <d v="2020-05-15T00:00:00"/>
    <m/>
  </r>
  <r>
    <n v="12020002"/>
    <d v="2020-01-07T00:00:00"/>
    <d v="2020-01-21T00:00:00"/>
    <x v="83"/>
    <m/>
    <x v="24"/>
    <m/>
    <n v="100"/>
    <n v="20"/>
    <n v="20"/>
    <n v="120"/>
    <d v="2020-05-15T00:00:00"/>
    <m/>
  </r>
  <r>
    <n v="12020003"/>
    <d v="2020-01-07T00:00:00"/>
    <d v="2020-01-21T00:00:00"/>
    <x v="83"/>
    <m/>
    <x v="22"/>
    <m/>
    <n v="756"/>
    <n v="20"/>
    <n v="151.19999999999999"/>
    <n v="907.2"/>
    <d v="2020-05-15T00:00:00"/>
    <m/>
  </r>
  <r>
    <n v="12019031"/>
    <d v="2019-12-23T00:00:00"/>
    <d v="2020-01-06T00:00:00"/>
    <x v="84"/>
    <m/>
    <x v="18"/>
    <m/>
    <n v="187.5"/>
    <n v="20"/>
    <n v="37.5"/>
    <n v="225"/>
    <d v="2020-05-15T00:00:00"/>
    <m/>
  </r>
  <r>
    <n v="12019033"/>
    <d v="2019-12-24T00:00:00"/>
    <d v="2020-01-07T00:00:00"/>
    <x v="85"/>
    <m/>
    <x v="15"/>
    <m/>
    <n v="233.75"/>
    <n v="20"/>
    <n v="46.75"/>
    <n v="280.5"/>
    <d v="2020-05-15T00:00:00"/>
    <m/>
  </r>
  <r>
    <n v="12019030"/>
    <d v="2019-12-23T00:00:00"/>
    <d v="2020-01-27T00:00:00"/>
    <x v="86"/>
    <m/>
    <x v="21"/>
    <m/>
    <n v="6480"/>
    <n v="20"/>
    <n v="1296"/>
    <n v="7776"/>
    <d v="2020-05-15T00:00:00"/>
    <m/>
  </r>
  <r>
    <n v="12020004"/>
    <d v="2020-02-03T00:00:00"/>
    <d v="2020-02-17T00:00:00"/>
    <x v="87"/>
    <m/>
    <x v="25"/>
    <m/>
    <n v="647.5"/>
    <n v="20"/>
    <n v="129.5"/>
    <n v="777"/>
    <d v="2020-05-15T00:00:00"/>
    <m/>
  </r>
  <r>
    <n v="12019032"/>
    <d v="2019-12-24T00:00:00"/>
    <d v="2020-01-07T00:00:00"/>
    <x v="88"/>
    <d v="2020-02-03T00:00:00"/>
    <x v="19"/>
    <m/>
    <n v="297.5"/>
    <n v="20"/>
    <n v="59.5"/>
    <n v="357"/>
    <d v="2020-05-15T00:00:00"/>
    <m/>
  </r>
  <r>
    <n v="12020006"/>
    <d v="2020-03-04T00:00:00"/>
    <d v="2020-03-18T00:00:00"/>
    <x v="89"/>
    <m/>
    <x v="19"/>
    <m/>
    <n v="262.5"/>
    <n v="20"/>
    <n v="52.5"/>
    <n v="315"/>
    <d v="2020-05-15T00:00:0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518B30F-7893-473E-8907-769207FE3D3D}" name="PivotTable1" cacheId="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A3:B30" firstHeaderRow="1" firstDataRow="1" firstDataCol="1" rowPageCount="1" colPageCount="1"/>
  <pivotFields count="13">
    <pivotField showAll="0"/>
    <pivotField numFmtId="14" showAll="0"/>
    <pivotField numFmtId="14" showAll="0"/>
    <pivotField axis="axisPage" multipleItemSelectionAllowed="1" showAll="0">
      <items count="91">
        <item x="0"/>
        <item x="1"/>
        <item x="3"/>
        <item x="2"/>
        <item x="4"/>
        <item x="5"/>
        <item x="7"/>
        <item x="6"/>
        <item x="8"/>
        <item x="10"/>
        <item x="9"/>
        <item x="12"/>
        <item x="11"/>
        <item x="15"/>
        <item x="13"/>
        <item x="14"/>
        <item x="16"/>
        <item x="17"/>
        <item x="19"/>
        <item x="18"/>
        <item x="20"/>
        <item x="22"/>
        <item x="23"/>
        <item x="21"/>
        <item x="25"/>
        <item x="24"/>
        <item x="27"/>
        <item x="26"/>
        <item x="29"/>
        <item x="30"/>
        <item x="28"/>
        <item x="31"/>
        <item x="32"/>
        <item x="33"/>
        <item x="34"/>
        <item x="35"/>
        <item x="36"/>
        <item x="37"/>
        <item x="38"/>
        <item x="39"/>
        <item x="40"/>
        <item x="41"/>
        <item x="42"/>
        <item x="43"/>
        <item x="45"/>
        <item x="44"/>
        <item x="46"/>
        <item x="47"/>
        <item x="49"/>
        <item x="48"/>
        <item x="54"/>
        <item x="50"/>
        <item x="55"/>
        <item x="52"/>
        <item x="56"/>
        <item x="51"/>
        <item x="57"/>
        <item x="53"/>
        <item x="59"/>
        <item x="61"/>
        <item x="60"/>
        <item x="62"/>
        <item x="63"/>
        <item x="64"/>
        <item x="58"/>
        <item x="66"/>
        <item x="65"/>
        <item x="67"/>
        <item x="68"/>
        <item x="69"/>
        <item x="70"/>
        <item x="71"/>
        <item x="73"/>
        <item x="75"/>
        <item x="72"/>
        <item x="74"/>
        <item x="77"/>
        <item x="76"/>
        <item x="79"/>
        <item x="80"/>
        <item x="81"/>
        <item x="78"/>
        <item x="82"/>
        <item x="83"/>
        <item x="84"/>
        <item x="85"/>
        <item x="86"/>
        <item x="87"/>
        <item x="88"/>
        <item x="89"/>
        <item t="default"/>
      </items>
    </pivotField>
    <pivotField showAll="0"/>
    <pivotField axis="axisRow" showAll="0" sortType="descending">
      <items count="27">
        <item x="25"/>
        <item x="5"/>
        <item x="0"/>
        <item x="9"/>
        <item x="23"/>
        <item x="13"/>
        <item x="15"/>
        <item x="3"/>
        <item x="8"/>
        <item x="17"/>
        <item x="11"/>
        <item x="4"/>
        <item x="1"/>
        <item x="10"/>
        <item x="16"/>
        <item x="24"/>
        <item x="12"/>
        <item x="6"/>
        <item x="18"/>
        <item x="14"/>
        <item x="22"/>
        <item x="2"/>
        <item x="21"/>
        <item x="20"/>
        <item x="19"/>
        <item x="7"/>
        <item t="default"/>
      </items>
      <autoSortScope>
        <pivotArea dataOnly="0" outline="0" fieldPosition="0">
          <references count="1">
            <reference field="4294967294" count="1" selected="0">
              <x v="0"/>
            </reference>
          </references>
        </pivotArea>
      </autoSortScope>
    </pivotField>
    <pivotField showAll="0"/>
    <pivotField dataField="1" numFmtId="165" showAll="0"/>
    <pivotField showAll="0"/>
    <pivotField numFmtId="165" showAll="0"/>
    <pivotField numFmtId="165" showAll="0"/>
    <pivotField showAll="0"/>
    <pivotField showAll="0"/>
  </pivotFields>
  <rowFields count="1">
    <field x="5"/>
  </rowFields>
  <rowItems count="27">
    <i>
      <x v="8"/>
    </i>
    <i>
      <x v="2"/>
    </i>
    <i>
      <x v="7"/>
    </i>
    <i>
      <x v="22"/>
    </i>
    <i>
      <x v="19"/>
    </i>
    <i>
      <x v="6"/>
    </i>
    <i>
      <x v="24"/>
    </i>
    <i>
      <x v="9"/>
    </i>
    <i>
      <x v="23"/>
    </i>
    <i>
      <x v="21"/>
    </i>
    <i>
      <x v="1"/>
    </i>
    <i>
      <x v="18"/>
    </i>
    <i>
      <x v="5"/>
    </i>
    <i>
      <x v="20"/>
    </i>
    <i>
      <x/>
    </i>
    <i>
      <x v="17"/>
    </i>
    <i>
      <x v="15"/>
    </i>
    <i>
      <x v="4"/>
    </i>
    <i>
      <x v="13"/>
    </i>
    <i>
      <x v="25"/>
    </i>
    <i>
      <x v="11"/>
    </i>
    <i>
      <x v="14"/>
    </i>
    <i>
      <x v="3"/>
    </i>
    <i>
      <x v="16"/>
    </i>
    <i>
      <x v="10"/>
    </i>
    <i>
      <x v="12"/>
    </i>
    <i t="grand">
      <x/>
    </i>
  </rowItems>
  <colItems count="1">
    <i/>
  </colItems>
  <pageFields count="1">
    <pageField fld="3" hier="-1"/>
  </pageFields>
  <dataFields count="1">
    <dataField name="Summe von Netto" fld="7" baseField="5" baseItem="8" numFmtId="166"/>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K106" dT="2020-04-20T07:49:34.89" personId="{219C0F1D-1BB4-4549-9E27-FE4F3C1A4FFA}" id="{B7A4B9F8-27A0-4826-A60F-3640903DF466}">
    <text>Bezahlt: 131,25</text>
  </threadedComment>
  <threadedComment ref="H125" dT="2021-03-12T10:25:17.99" personId="{219C0F1D-1BB4-4549-9E27-FE4F3C1A4FFA}" id="{FF521C89-ED84-45E1-9842-9FE2BB22BD7B}">
    <text>Kunde hat R2020029 und R2020030 gemeinsam bezahlt und dabei 0,50 € netto, 0,60 € brutto zu viel überwiesen.</text>
  </threadedComment>
</ThreadedComments>
</file>

<file path=xl/threadedComments/threadedComment2.xml><?xml version="1.0" encoding="utf-8"?>
<ThreadedComments xmlns="http://schemas.microsoft.com/office/spreadsheetml/2018/threadedcomments" xmlns:x="http://schemas.openxmlformats.org/spreadsheetml/2006/main">
  <threadedComment ref="L10" dT="2024-06-15T10:41:36.50" personId="{219C0F1D-1BB4-4549-9E27-FE4F3C1A4FFA}" id="{25385ADA-2966-4D5A-AD01-257717B93DFE}">
    <text>2/3 geschäftlich, 1/3 privat</text>
  </threadedComment>
  <threadedComment ref="F20" dT="2024-02-10T13:19:14.58" personId="{219C0F1D-1BB4-4549-9E27-FE4F3C1A4FFA}" id="{20EB3878-3CD3-4170-9206-E814920BA037}">
    <text>Beleg fehlt</text>
  </threadedComment>
  <threadedComment ref="F23" dT="2024-04-13T13:52:45.58" personId="{219C0F1D-1BB4-4549-9E27-FE4F3C1A4FFA}" id="{3E2A49D8-5619-4D48-92A6-B25766AE5870}">
    <text>Zinsen / Finanzierungskosten</text>
  </threadedComment>
  <threadedComment ref="F28" dT="2024-04-13T13:52:24.44" personId="{219C0F1D-1BB4-4549-9E27-FE4F3C1A4FFA}" id="{B41A52A9-9747-4F9C-8B17-977F7EC91E2B}">
    <text>Vorauszahlung Beiträge Eva Jaros-Kolbitsch 2024/1-12</text>
  </threadedComment>
  <threadedComment ref="B32" dT="2025-06-20T20:15:20.73" personId="{219C0F1D-1BB4-4549-9E27-FE4F3C1A4FFA}" id="{D47ED945-4FA6-4DE9-AC3F-BFB11FCB9950}">
    <text>2024-031 bis 2024-048: Belegnummern in einnahmen-ausgaben-rechnung.xlsm sind korrekt, belegnummern an den PDFs waren durch duplikate falsch; Korrektur: Umbenennung der PDFs, jetzt passt wieder alles</text>
  </threadedComment>
  <threadedComment ref="P34" dT="2025-06-08T09:12:22.42" personId="{219C0F1D-1BB4-4549-9E27-FE4F3C1A4FFA}" id="{4F90DD4B-4503-4C8F-8EEE-65E0E360F679}">
    <text>Achtung, andere Nettoberechnung (Fremdwährungsentgelt)</text>
  </threadedComment>
  <threadedComment ref="F36" dT="2024-04-13T14:16:56.56" personId="{219C0F1D-1BB4-4549-9E27-FE4F3C1A4FFA}" id="{FFFB47A7-3C92-4150-B363-786F98655D6F}">
    <text>Kanaleinmündungsabgabe</text>
  </threadedComment>
  <threadedComment ref="P47" dT="2025-06-08T09:12:22.42" personId="{219C0F1D-1BB4-4549-9E27-FE4F3C1A4FFA}" id="{AACAD50D-78F7-4BCE-B5F5-28A8B9D2E0A0}">
    <text>Achtung, andere Nettoberechnung (Fremdwährungsentgelt)</text>
  </threadedComment>
  <threadedComment ref="L56" dT="2024-06-15T10:41:36.50" personId="{219C0F1D-1BB4-4549-9E27-FE4F3C1A4FFA}" id="{1478494B-F57F-40A2-9AA8-73F0B9659D29}">
    <text>2/3 geschäftlich, 1/3 privat</text>
  </threadedComment>
  <threadedComment ref="J63" dT="2024-06-15T10:45:00.75" personId="{219C0F1D-1BB4-4549-9E27-FE4F3C1A4FFA}" id="{43E3D07B-B8A8-415F-A976-1A684C49E219}">
    <text>Achtung, Fremdwährungstransaktion, Betrag überprüfen (Wechselkurs)</text>
  </threadedComment>
  <threadedComment ref="P63" dT="2025-06-08T09:12:22.42" personId="{219C0F1D-1BB4-4549-9E27-FE4F3C1A4FFA}" id="{79130EC4-ACDA-45B7-BA45-BAF602112DF3}">
    <text>Achtung, andere Nettoberechnung (Fremdwährungsentgelt)</text>
  </threadedComment>
  <threadedComment ref="F67" dT="2024-04-13T14:16:56.56" personId="{219C0F1D-1BB4-4549-9E27-FE4F3C1A4FFA}" id="{17D13E91-36A0-43E8-9235-87962F6BDF33}">
    <text>Kanaleinmündungsabgabe</text>
  </threadedComment>
  <threadedComment ref="N67" dT="2024-06-15T11:07:59.56" personId="{219C0F1D-1BB4-4549-9E27-FE4F3C1A4FFA}" id="{2ABE2160-4AAB-4DA4-9344-E7B4CFE464C4}">
    <text>gemischter Steuersatz, siehe Abrechnung</text>
  </threadedComment>
  <threadedComment ref="P67" dT="2024-06-15T11:08:55.73" personId="{219C0F1D-1BB4-4549-9E27-FE4F3C1A4FFA}" id="{DAADFC53-E99D-4770-AB8D-E1C2E429CD6A}">
    <text>gemischter Steuersatz, siehe Abrechnung</text>
  </threadedComment>
  <threadedComment ref="L69" dT="2024-06-15T10:41:36.50" personId="{219C0F1D-1BB4-4549-9E27-FE4F3C1A4FFA}" id="{4BA14774-5F44-4869-B9F4-329990017643}">
    <text>2/3 geschäftlich, 1/3 privat</text>
  </threadedComment>
  <threadedComment ref="J74" dT="2024-06-15T10:45:00.75" personId="{219C0F1D-1BB4-4549-9E27-FE4F3C1A4FFA}" id="{A9B49644-0C6D-479B-B440-A6738703FC49}">
    <text>Achtung, Fremdwährungstransaktion, Betrag überprüfen (Wechselkurs)</text>
  </threadedComment>
  <threadedComment ref="P74" dT="2025-06-08T09:12:22.42" personId="{219C0F1D-1BB4-4549-9E27-FE4F3C1A4FFA}" id="{049C8580-DEE9-4A4C-A64B-92B888BA63A6}">
    <text>Achtung, andere Nettoberechnung (Fremdwährungsentgelt)</text>
  </threadedComment>
  <threadedComment ref="J79" dT="2024-08-12T11:52:59.55" personId="{219C0F1D-1BB4-4549-9E27-FE4F3C1A4FFA}" id="{3158CF0D-99E7-48B6-9876-10EF9CDC57C7}">
    <text>USD 49,-</text>
  </threadedComment>
  <threadedComment ref="L82" dT="2024-06-15T10:41:36.50" personId="{219C0F1D-1BB4-4549-9E27-FE4F3C1A4FFA}" id="{A48DB83F-BBB5-43EC-A933-6664476B3AB8}">
    <text>2/3 geschäftlich, 1/3 privat</text>
  </threadedComment>
  <threadedComment ref="J90" dT="2024-06-15T10:45:00.75" personId="{219C0F1D-1BB4-4549-9E27-FE4F3C1A4FFA}" id="{0DF93013-CBBB-48B7-8308-51F7FFD26012}">
    <text>Achtung, Fremdwährungstransaktion, Betrag überprüfen (Wechselkurs)</text>
  </threadedComment>
  <threadedComment ref="J91" dT="2024-06-15T10:45:00.75" personId="{219C0F1D-1BB4-4549-9E27-FE4F3C1A4FFA}" id="{9C792607-E993-4D62-AC0E-B058B7F6CCD6}">
    <text>Achtung, Fremdwährungstransaktion, Betrag überprüfen (Wechselkurs)</text>
  </threadedComment>
  <threadedComment ref="P91" dT="2025-06-08T09:12:22.42" personId="{219C0F1D-1BB4-4549-9E27-FE4F3C1A4FFA}" id="{1B917146-1182-44AB-9F08-9C36AEC5FD64}">
    <text>Achtung, andere Nettoberechnung (Fremdwährungsentgelt)</text>
  </threadedComment>
  <threadedComment ref="L99" dT="2024-06-15T10:41:36.50" personId="{219C0F1D-1BB4-4549-9E27-FE4F3C1A4FFA}" id="{C01EF6CA-7EE7-456B-9934-4A86C2A676DE}">
    <text>2/3 geschäftlich, 1/3 privat</text>
  </threadedComment>
  <threadedComment ref="J105" dT="2024-06-15T10:45:00.75" personId="{219C0F1D-1BB4-4549-9E27-FE4F3C1A4FFA}" id="{C1467E77-C7E0-4781-9EA4-2BCFB6E877F3}">
    <text>Achtung, Fremdwährungstransaktion, Betrag überprüfen (Wechselkurs)</text>
  </threadedComment>
  <threadedComment ref="P105" dT="2025-06-08T09:12:22.42" personId="{219C0F1D-1BB4-4549-9E27-FE4F3C1A4FFA}" id="{61380646-2FD7-47FB-9171-50E29ED2A54D}">
    <text>Achtung, andere Nettoberechnung (Fremdwährungsentgelt)</text>
  </threadedComment>
  <threadedComment ref="L111" dT="2024-06-15T10:41:36.50" personId="{219C0F1D-1BB4-4549-9E27-FE4F3C1A4FFA}" id="{77965A9D-CE75-487A-B08D-0E1E5666D7DD}">
    <text>2/3 geschäftlich, 1/3 privat</text>
  </threadedComment>
  <threadedComment ref="F112" dT="2024-04-13T14:16:56.56" personId="{219C0F1D-1BB4-4549-9E27-FE4F3C1A4FFA}" id="{89AC78AF-CAFF-4756-8AD0-13B7048260FE}">
    <text>Kanaleinmündungsabgabe</text>
  </threadedComment>
  <threadedComment ref="J118" dT="2024-06-15T10:45:00.75" personId="{219C0F1D-1BB4-4549-9E27-FE4F3C1A4FFA}" id="{9A51A95E-6A4E-4EBE-AB6D-0BFF5776999D}">
    <text>Achtung, Fremdwährungstransaktion, Betrag überprüfen (Wechselkurs)</text>
  </threadedComment>
  <threadedComment ref="P118" dT="2025-06-08T09:12:22.42" personId="{219C0F1D-1BB4-4549-9E27-FE4F3C1A4FFA}" id="{917D8FD2-4C5A-4A1B-805B-5E28D1DD8823}">
    <text>Achtung, andere Nettoberechnung (Fremdwährungsentgelt)</text>
  </threadedComment>
  <threadedComment ref="J120" dT="2024-06-15T10:45:00.75" personId="{219C0F1D-1BB4-4549-9E27-FE4F3C1A4FFA}" id="{E6091324-1DAA-4027-88E4-051F8E8B69E1}">
    <text>Achtung, Fremdwährungstransaktion, Betrag überprüfen (Wechselkurs)</text>
  </threadedComment>
  <threadedComment ref="L129" dT="2024-06-15T10:41:36.50" personId="{219C0F1D-1BB4-4549-9E27-FE4F3C1A4FFA}" id="{752C531F-5FEF-4338-B93B-777F23D935A2}">
    <text>2/3 geschäftlich, 1/3 privat</text>
  </threadedComment>
  <threadedComment ref="J134" dT="2024-06-15T10:45:00.75" personId="{219C0F1D-1BB4-4549-9E27-FE4F3C1A4FFA}" id="{A639C76A-B503-454C-A63B-1F1D34347071}">
    <text>Achtung, Fremdwährungstransaktion, Betrag überprüfen (Wechselkurs)</text>
  </threadedComment>
  <threadedComment ref="P134" dT="2025-06-08T09:12:22.42" personId="{219C0F1D-1BB4-4549-9E27-FE4F3C1A4FFA}" id="{0B707B23-0F9C-4F0C-90CD-16E2FEE7987B}">
    <text>Achtung, andere Nettoberechnung (Fremdwährungsentgelt)</text>
  </threadedComment>
  <threadedComment ref="L141" dT="2024-06-15T10:41:36.50" personId="{219C0F1D-1BB4-4549-9E27-FE4F3C1A4FFA}" id="{4ADAF93C-E6A5-4266-8DE1-60B53CCF5185}">
    <text>2/3 geschäftlich, 1/3 privat</text>
  </threadedComment>
  <threadedComment ref="J147" dT="2024-06-15T10:45:00.75" personId="{219C0F1D-1BB4-4549-9E27-FE4F3C1A4FFA}" id="{C4C845D8-679C-45DC-B725-E85D10C2D617}">
    <text>Achtung, Fremdwährungstransaktion, Betrag überprüfen (Wechselkurs)</text>
  </threadedComment>
  <threadedComment ref="P147" dT="2025-06-08T09:12:22.42" personId="{219C0F1D-1BB4-4549-9E27-FE4F3C1A4FFA}" id="{27BF703C-2016-4151-B23E-0BE49823E5B9}">
    <text>Achtung, andere Nettoberechnung (Fremdwährungsentgelt)</text>
  </threadedComment>
  <threadedComment ref="F150" dT="2024-04-13T14:16:56.56" personId="{219C0F1D-1BB4-4549-9E27-FE4F3C1A4FFA}" id="{73AA40BB-C821-42F3-BF85-45FA73D54DA8}">
    <text>Kanaleinmündungsabgabe</text>
  </threadedComment>
  <threadedComment ref="N150" dT="2024-12-10T05:12:27.81" personId="{219C0F1D-1BB4-4549-9E27-FE4F3C1A4FFA}" id="{3235AC48-B73C-4A19-BA8A-F31860CB9B39}">
    <text>Manuelle eingabe</text>
  </threadedComment>
  <threadedComment ref="P150" dT="2024-12-10T05:12:22.69" personId="{219C0F1D-1BB4-4549-9E27-FE4F3C1A4FFA}" id="{30696039-BD13-46B7-9AE1-8E766A7DB3A7}">
    <text>Manuelle eingabe</text>
  </threadedComment>
  <threadedComment ref="L156" dT="2024-06-15T10:41:36.50" personId="{219C0F1D-1BB4-4549-9E27-FE4F3C1A4FFA}" id="{49B42150-984A-4797-8861-5C284A965EBC}">
    <text>2/3 geschäftlich, 1/3 privat</text>
  </threadedComment>
  <threadedComment ref="J158" dT="2024-06-15T10:45:00.75" personId="{219C0F1D-1BB4-4549-9E27-FE4F3C1A4FFA}" id="{1A10E514-BE84-4590-9587-D037D8AEED5C}">
    <text>Achtung, Fremdwährungstransaktion, Betrag überprüfen (Wechselkurs)</text>
  </threadedComment>
  <threadedComment ref="P158" dT="2025-06-08T09:12:22.42" personId="{219C0F1D-1BB4-4549-9E27-FE4F3C1A4FFA}" id="{8F79301C-5BEA-441F-9CF1-F0586601CAB8}">
    <text>Achtung, andere Nettoberechnung (Fremdwährungsentgelt)</text>
  </threadedComment>
  <threadedComment ref="L166" dT="2024-06-15T10:41:36.50" personId="{219C0F1D-1BB4-4549-9E27-FE4F3C1A4FFA}" id="{6A93D1B7-3B04-40E0-93E3-AF574B0272E8}">
    <text>2/3 geschäftlich, 1/3 privat</text>
  </threadedComment>
  <threadedComment ref="J173" dT="2024-06-15T10:45:00.75" personId="{219C0F1D-1BB4-4549-9E27-FE4F3C1A4FFA}" id="{7309D2C7-20C9-45A6-9CA1-04350C2F4CB0}">
    <text>Achtung, Fremdwährungstransaktion, Betrag überprüfen (Wechselkurs)</text>
  </threadedComment>
  <threadedComment ref="P173" dT="2025-06-08T09:12:22.42" personId="{219C0F1D-1BB4-4549-9E27-FE4F3C1A4FFA}" id="{84C48D2E-8BA8-45F6-BA51-4E664653C71F}">
    <text>Achtung, andere Nettoberechnung (Fremdwährungsentgelt)</text>
  </threadedComment>
  <threadedComment ref="L183" dT="2024-06-15T10:41:36.50" personId="{219C0F1D-1BB4-4549-9E27-FE4F3C1A4FFA}" id="{6B97939B-A66F-4699-8ADA-6B67B7198026}">
    <text>2/3 geschäftlich, 1/3 privat</text>
  </threadedComment>
  <threadedComment ref="E186" dT="2025-02-09T17:16:16.70" personId="{219C0F1D-1BB4-4549-9E27-FE4F3C1A4FFA}" id="{11E9C6AE-6785-4542-8948-61F0A7B908A3}">
    <text>Beleg fehlt</text>
  </threadedComment>
  <threadedComment ref="J187" dT="2024-06-15T10:45:00.75" personId="{219C0F1D-1BB4-4549-9E27-FE4F3C1A4FFA}" id="{B8C12E65-C708-4F4D-B15C-8E1AF945BA9E}">
    <text>Achtung, Fremdwährungstransaktion, Betrag überprüfen (Wechselkurs)</text>
  </threadedComment>
  <threadedComment ref="P187" dT="2025-06-08T09:12:22.42" personId="{219C0F1D-1BB4-4549-9E27-FE4F3C1A4FFA}" id="{6080B42F-D6FD-463A-838A-A64C7936A48E}">
    <text>Achtung, andere Nettoberechnung (Fremdwährungsentgelt)</text>
  </threadedComment>
  <threadedComment ref="F188" dT="2024-04-13T14:16:56.56" personId="{219C0F1D-1BB4-4549-9E27-FE4F3C1A4FFA}" id="{AEAC2617-4F5D-4F15-988E-6CE5422C7EED}">
    <text>Kanaleinmündungsabgabe</text>
  </threadedComment>
  <threadedComment ref="N188" dT="2024-12-10T05:12:27.81" personId="{219C0F1D-1BB4-4549-9E27-FE4F3C1A4FFA}" id="{8093CD33-C888-4CFC-B0D6-2F793325E506}">
    <text>Manuelle eingabe</text>
  </threadedComment>
  <threadedComment ref="P188" dT="2024-12-10T05:12:22.69" personId="{219C0F1D-1BB4-4549-9E27-FE4F3C1A4FFA}" id="{00366139-ABE8-4A27-9980-1367133CDA40}">
    <text>Manuelle eingabe</text>
  </threadedComment>
  <threadedComment ref="L195" dT="2024-06-15T10:41:36.50" personId="{219C0F1D-1BB4-4549-9E27-FE4F3C1A4FFA}" id="{319E707D-59EB-42A9-87A1-A4C709B37DDF}">
    <text>2/3 geschäftlich, 1/3 privat</text>
  </threadedComment>
  <threadedComment ref="J198" dT="2024-06-15T10:45:00.75" personId="{219C0F1D-1BB4-4549-9E27-FE4F3C1A4FFA}" id="{E923E379-3C51-4D1B-9E5B-AADCCA656F34}">
    <text>Achtung, Fremdwährungstransaktion, Betrag überprüfen (Wechselkurs)</text>
  </threadedComment>
  <threadedComment ref="P198" dT="2025-06-08T09:12:22.42" personId="{219C0F1D-1BB4-4549-9E27-FE4F3C1A4FFA}" id="{25264579-4F43-4C2A-A678-54C256135987}">
    <text>Achtung, andere Nettoberechnung (Fremdwährungsentgelt)</text>
  </threadedComment>
  <threadedComment ref="L203" dT="2024-06-15T10:41:36.50" personId="{219C0F1D-1BB4-4549-9E27-FE4F3C1A4FFA}" id="{876227DC-62A4-488A-B009-7D41653E3398}">
    <text>2/3 geschäftlich, 1/3 privat</text>
  </threadedComment>
  <threadedComment ref="J207" dT="2024-06-15T10:45:00.75" personId="{219C0F1D-1BB4-4549-9E27-FE4F3C1A4FFA}" id="{28B3543F-5886-400C-B9A2-184078DE797C}">
    <text>Achtung, Fremdwährungstransaktion, Betrag überprüfen (Wechselkurs)</text>
  </threadedComment>
  <threadedComment ref="P207" dT="2025-06-08T09:12:22.42" personId="{219C0F1D-1BB4-4549-9E27-FE4F3C1A4FFA}" id="{D1E2F4DF-CBFF-4958-942F-AEF187BEE4EF}">
    <text>Achtung, andere Nettoberechnung (Fremdwährungsentgelt)</text>
  </threadedComment>
  <threadedComment ref="L218" dT="2024-06-15T10:41:36.50" personId="{219C0F1D-1BB4-4549-9E27-FE4F3C1A4FFA}" id="{0208A588-FF6A-463E-96DD-FFFAD9163D44}">
    <text>2/3 geschäftlich, 1/3 privat</text>
  </threadedComment>
  <threadedComment ref="J223" dT="2024-06-15T10:45:00.75" personId="{219C0F1D-1BB4-4549-9E27-FE4F3C1A4FFA}" id="{DA955C79-24CF-4DF6-99D9-50629B01326F}">
    <text>Achtung, Fremdwährungstransaktion, Betrag überprüfen (Wechselkurs)</text>
  </threadedComment>
  <threadedComment ref="P223" dT="2025-06-08T09:12:22.42" personId="{219C0F1D-1BB4-4549-9E27-FE4F3C1A4FFA}" id="{CC829BC5-B194-4526-8CE6-E9B257947B78}">
    <text>Achtung, andere Nettoberechnung (Fremdwährungsentgelt)</text>
  </threadedComment>
  <threadedComment ref="L231" dT="2024-06-15T10:41:36.50" personId="{219C0F1D-1BB4-4549-9E27-FE4F3C1A4FFA}" id="{E6213449-C12F-4ACD-9AF3-ED9ADD8DD080}">
    <text>2/3 geschäftlich, 1/3 privat</text>
  </threadedComment>
  <threadedComment ref="J234" dT="2024-06-15T10:45:00.75" personId="{219C0F1D-1BB4-4549-9E27-FE4F3C1A4FFA}" id="{929EEAFE-2691-4EAB-8A0C-7EF0631867AC}">
    <text>Achtung, Fremdwährungstransaktion, Betrag überprüfen (Wechselkurs)</text>
  </threadedComment>
  <threadedComment ref="P234" dT="2025-06-08T09:12:22.42" personId="{219C0F1D-1BB4-4549-9E27-FE4F3C1A4FFA}" id="{AC4F9EC5-5994-4B38-BC62-F751023FB0D4}">
    <text>Achtung, andere Nettoberechnung (Fremdwährungsentgelt)</text>
  </threadedComment>
  <threadedComment ref="F235" dT="2024-04-13T14:16:56.56" personId="{219C0F1D-1BB4-4549-9E27-FE4F3C1A4FFA}" id="{44D2BF95-A919-4A9E-9B5C-441EAE717293}">
    <text>Kanaleinmündungsabgabe</text>
  </threadedComment>
  <threadedComment ref="N235" dT="2024-12-10T05:12:27.81" personId="{219C0F1D-1BB4-4549-9E27-FE4F3C1A4FFA}" id="{412CE68C-0D46-4764-A980-6BEC5E2A98C8}">
    <text>Manuelle eingabe</text>
  </threadedComment>
  <threadedComment ref="P235" dT="2024-12-10T05:12:22.69" personId="{219C0F1D-1BB4-4549-9E27-FE4F3C1A4FFA}" id="{2B0F83EC-9AA9-4B78-AE2F-23D245BD5B83}">
    <text>Manuelle eingabe</text>
  </threadedComment>
  <threadedComment ref="J239" dT="2024-08-12T11:52:59.55" personId="{219C0F1D-1BB4-4549-9E27-FE4F3C1A4FFA}" id="{1FE08DE0-6C97-4567-AE36-DFA3835B9682}">
    <text>USD 49,-</text>
  </threadedComment>
  <threadedComment ref="L241" dT="2024-06-15T10:41:36.50" personId="{219C0F1D-1BB4-4549-9E27-FE4F3C1A4FFA}" id="{7486D636-D589-4A43-9F62-157B8081BD99}">
    <text>2/3 geschäftlich, 1/3 privat</text>
  </threadedComment>
  <threadedComment ref="J244" dT="2025-08-08T11:07:31.57" personId="{219C0F1D-1BB4-4549-9E27-FE4F3C1A4FFA}" id="{9D035762-B16E-4438-9A9F-BE8F3D534B02}">
    <text>Beleg fehlt, Prüfe IG?</text>
  </threadedComment>
  <threadedComment ref="J247" dT="2024-06-15T10:45:00.75" personId="{219C0F1D-1BB4-4549-9E27-FE4F3C1A4FFA}" id="{4625D844-481E-42B0-B243-364385616BC1}">
    <text>Achtung, Fremdwährungstransaktion, Betrag überprüfen (Wechselkurs)</text>
  </threadedComment>
  <threadedComment ref="P247" dT="2025-06-08T09:12:22.42" personId="{219C0F1D-1BB4-4549-9E27-FE4F3C1A4FFA}" id="{D2EC5A73-EA84-4072-A6BA-4BD29C5B3C19}">
    <text>Achtung, andere Nettoberechnung (Fremdwährungsentgelt)</text>
  </threadedComment>
  <threadedComment ref="J250" dT="2025-08-08T11:07:24.14" personId="{219C0F1D-1BB4-4549-9E27-FE4F3C1A4FFA}" id="{B19E7C4C-2124-4752-8CA3-B217E6391422}">
    <text>Beleg fehlt</text>
  </threadedComment>
  <threadedComment ref="L252" dT="2024-06-15T10:41:36.50" personId="{219C0F1D-1BB4-4549-9E27-FE4F3C1A4FFA}" id="{57C3E629-C344-4099-A10C-6ABCD5C95CD2}">
    <text>2/3 geschäftlich, 1/3 privat</text>
  </threadedComment>
  <threadedComment ref="J256" dT="2025-08-08T11:07:24.14" personId="{219C0F1D-1BB4-4549-9E27-FE4F3C1A4FFA}" id="{B2453794-788C-48DC-A3C2-4613635B090C}">
    <text>Beleg fehlt</text>
  </threadedComment>
  <threadedComment ref="J257" dT="2024-06-15T10:45:00.75" personId="{219C0F1D-1BB4-4549-9E27-FE4F3C1A4FFA}" id="{61094B34-0885-4C55-8D62-9FDB991CB8E6}">
    <text>Achtung, Fremdwährungstransaktion, Betrag überprüfen (Wechselkurs)</text>
  </threadedComment>
  <threadedComment ref="P257" dT="2025-06-08T09:12:22.42" personId="{219C0F1D-1BB4-4549-9E27-FE4F3C1A4FFA}" id="{AD1F6E63-7DE9-44C9-A941-C42B86E9876B}">
    <text>Achtung, andere Nettoberechnung (Fremdwährungsentgelt)</text>
  </threadedComment>
  <threadedComment ref="F261" dT="2024-04-13T14:16:56.56" personId="{219C0F1D-1BB4-4549-9E27-FE4F3C1A4FFA}" id="{244478DF-044F-448A-AB22-BB5EB16DE885}">
    <text>Kanaleinmündungsabgabe</text>
  </threadedComment>
  <threadedComment ref="N261" dT="2024-12-10T05:12:27.81" personId="{219C0F1D-1BB4-4549-9E27-FE4F3C1A4FFA}" id="{06773D5C-012A-4683-A7D5-6E950BD0D2B6}">
    <text>Manuelle eingabe</text>
  </threadedComment>
  <threadedComment ref="P261" dT="2024-12-10T05:12:22.69" personId="{219C0F1D-1BB4-4549-9E27-FE4F3C1A4FFA}" id="{B257496E-E7C7-47B7-8D9F-7C66B7DD14B3}">
    <text>Manuelle eingabe</text>
  </threadedComment>
  <threadedComment ref="J269" dT="2024-06-15T10:45:00.75" personId="{219C0F1D-1BB4-4549-9E27-FE4F3C1A4FFA}" id="{ADCD1BB6-9084-4E3B-8D28-E82F9269932D}">
    <text>Achtung, Fremdwährungstransaktion, Betrag überprüfen (Wechselkurs)</text>
  </threadedComment>
  <threadedComment ref="P269" dT="2025-06-08T09:12:22.42" personId="{219C0F1D-1BB4-4549-9E27-FE4F3C1A4FFA}" id="{4EC48B81-1F71-40A8-97D4-3B74282A51CC}">
    <text>Achtung, andere Nettoberechnung (Fremdwährungsentgelt)</text>
  </threadedComment>
  <threadedComment ref="L276" dT="2024-06-15T10:41:36.50" personId="{219C0F1D-1BB4-4549-9E27-FE4F3C1A4FFA}" id="{43EEB1FA-3914-4E14-9AD2-5D7D71BA513F}">
    <text>2/3 geschäftlich, 1/3 privat</text>
  </threadedComment>
  <threadedComment ref="F277" dT="2024-02-10T13:19:14.58" personId="{219C0F1D-1BB4-4549-9E27-FE4F3C1A4FFA}" id="{B719E481-B51A-4641-A4DC-864FDA5E0EC1}">
    <text>Beleg fehlt</text>
  </threadedComment>
  <threadedComment ref="J282" dT="2024-06-15T10:45:00.75" personId="{219C0F1D-1BB4-4549-9E27-FE4F3C1A4FFA}" id="{76E53C84-91A3-494C-B809-6C00E9A143C7}">
    <text>Achtung, Fremdwährungstransaktion, Betrag überprüfen (Wechselkurs)</text>
  </threadedComment>
  <threadedComment ref="P282" dT="2025-06-08T09:12:22.42" personId="{219C0F1D-1BB4-4549-9E27-FE4F3C1A4FFA}" id="{D7F15248-B220-4B4F-89A0-D739B0C6AB63}">
    <text>Achtung, andere Nettoberechnung (Fremdwährungsentgelt)</text>
  </threadedComment>
  <threadedComment ref="L289" dT="2024-06-15T10:41:36.50" personId="{219C0F1D-1BB4-4549-9E27-FE4F3C1A4FFA}" id="{DD30D2EE-699F-48F8-9C8A-BE4BF7016AB5}">
    <text>2/3 geschäftlich, 1/3 privat</text>
  </threadedComment>
  <threadedComment ref="J292" dT="2024-06-15T10:45:00.75" personId="{219C0F1D-1BB4-4549-9E27-FE4F3C1A4FFA}" id="{95C3E553-689A-42F2-BE83-6B595ADFB217}">
    <text>Achtung, Fremdwährungstransaktion, Betrag überprüfen (Wechselkurs)</text>
  </threadedComment>
  <threadedComment ref="P292" dT="2025-06-08T09:12:22.42" personId="{219C0F1D-1BB4-4549-9E27-FE4F3C1A4FFA}" id="{18A74498-0181-4878-89C9-654B5C78E1A9}">
    <text>Achtung, andere Nettoberechnung (Fremdwährungsentgelt)</text>
  </threadedComment>
  <threadedComment ref="F294" dT="2024-04-13T14:16:56.56" personId="{219C0F1D-1BB4-4549-9E27-FE4F3C1A4FFA}" id="{DFD78BD1-67C3-43F2-8C88-28F48BDA1A6A}">
    <text>Kanaleinmündungsabgabe</text>
  </threadedComment>
  <threadedComment ref="N294" dT="2024-12-10T05:12:27.81" personId="{219C0F1D-1BB4-4549-9E27-FE4F3C1A4FFA}" id="{0CA5BCA9-23D5-4FEB-A81E-5B07FA592C46}">
    <text>Manuelle eingabe</text>
  </threadedComment>
  <threadedComment ref="P294" dT="2024-12-10T05:12:22.69" personId="{219C0F1D-1BB4-4549-9E27-FE4F3C1A4FFA}" id="{66430F29-81D3-4E9C-89D2-0B255AE0EE1C}">
    <text>Manuelle eingabe</text>
  </threadedComment>
  <threadedComment ref="L302" dT="2024-06-15T10:41:36.50" personId="{219C0F1D-1BB4-4549-9E27-FE4F3C1A4FFA}" id="{3E2AEE88-1452-4F00-A762-0C3586EC9DE2}">
    <text>2/3 geschäftlich, 1/3 privat</text>
  </threadedComment>
  <threadedComment ref="J305" dT="2024-06-15T10:45:00.75" personId="{219C0F1D-1BB4-4549-9E27-FE4F3C1A4FFA}" id="{03025E90-3C3F-4B81-91CE-389325718ACD}">
    <text>Achtung, Fremdwährungstransaktion, Betrag überprüfen (Wechselkurs)</text>
  </threadedComment>
  <threadedComment ref="P305" dT="2025-06-08T09:12:22.42" personId="{219C0F1D-1BB4-4549-9E27-FE4F3C1A4FFA}" id="{1A227796-B56D-4578-B0C8-25F6B73BD506}">
    <text>Achtung, andere Nettoberechnung (Fremdwährungsentgelt)</text>
  </threadedComment>
  <threadedComment ref="L312" dT="2024-06-15T10:41:36.50" personId="{219C0F1D-1BB4-4549-9E27-FE4F3C1A4FFA}" id="{A6AD300E-1FAC-4227-A668-1979F0DD0CF4}">
    <text>2/3 geschäftlich, 1/3 privat</text>
  </threadedComment>
  <threadedComment ref="J318" dT="2024-06-15T10:45:00.75" personId="{219C0F1D-1BB4-4549-9E27-FE4F3C1A4FFA}" id="{24D2404C-7581-4613-8911-897F5986118D}">
    <text>Achtung, Fremdwährungstransaktion, Betrag überprüfen (Wechselkurs)</text>
  </threadedComment>
  <threadedComment ref="P318" dT="2025-06-08T09:12:22.42" personId="{219C0F1D-1BB4-4549-9E27-FE4F3C1A4FFA}" id="{1D8169D5-89E4-4BFF-9A06-94F41354FD3B}">
    <text>Achtung, andere Nettoberechnung (Fremdwährungsentgelt)</text>
  </threadedComment>
  <threadedComment ref="L324" dT="2024-06-15T10:41:36.50" personId="{219C0F1D-1BB4-4549-9E27-FE4F3C1A4FFA}" id="{63C1BB48-6F42-4CE7-AB71-76ED0B753C68}">
    <text>2/3 geschäftlich, 1/3 privat</text>
  </threadedComment>
  <threadedComment ref="J327" dT="2024-06-15T10:45:00.75" personId="{219C0F1D-1BB4-4549-9E27-FE4F3C1A4FFA}" id="{93D5E803-2EAC-4CB5-8972-254FB27A269C}">
    <text>Achtung, Fremdwährungstransaktion, Betrag überprüfen (Wechselkurs)</text>
  </threadedComment>
  <threadedComment ref="P327" dT="2025-06-08T09:12:22.42" personId="{219C0F1D-1BB4-4549-9E27-FE4F3C1A4FFA}" id="{6B4E7D10-27D0-4566-AA93-98F6C30169A0}">
    <text>Achtung, andere Nettoberechnung (Fremdwährungsentgelt)</text>
  </threadedComment>
  <threadedComment ref="J337" dT="2024-06-15T10:45:00.75" personId="{219C0F1D-1BB4-4549-9E27-FE4F3C1A4FFA}" id="{A33B102F-9CF6-4696-A3A4-30EA17F84E7A}">
    <text>Achtung, Fremdwährungstransaktion, Betrag überprüfen (Wechselkurs)</text>
  </threadedComment>
  <threadedComment ref="P337" dT="2025-06-08T09:12:22.42" personId="{219C0F1D-1BB4-4549-9E27-FE4F3C1A4FFA}" id="{5A5F04D8-55C8-4EB2-8599-1B9DF1E992F1}">
    <text>Achtung, andere Nettoberechnung (Fremdwährungsentgelt)</text>
  </threadedComment>
  <threadedComment ref="J347" dT="2024-06-15T10:45:00.75" personId="{219C0F1D-1BB4-4549-9E27-FE4F3C1A4FFA}" id="{24B0E589-5291-4D56-B1BA-211A24E73192}">
    <text>Achtung, Fremdwährungstransaktion, Betrag überprüfen (Wechselkurs)</text>
  </threadedComment>
  <threadedComment ref="P347" dT="2025-06-08T09:12:22.42" personId="{219C0F1D-1BB4-4549-9E27-FE4F3C1A4FFA}" id="{4E474553-55A7-4368-90FD-D5AB5EF36AA0}">
    <text>Achtung, andere Nettoberechnung (Fremdwährungsentgelt)</text>
  </threadedComment>
  <threadedComment ref="J348" dT="2024-06-15T10:45:00.75" personId="{219C0F1D-1BB4-4549-9E27-FE4F3C1A4FFA}" id="{5346B95C-9003-451C-98A3-EE55018BC9A0}">
    <text>Achtung, Fremdwährungstransaktion, Betrag überprüfen (Wechselkurs)</text>
  </threadedComment>
  <threadedComment ref="P348" dT="2025-06-08T09:12:22.42" personId="{219C0F1D-1BB4-4549-9E27-FE4F3C1A4FFA}" id="{3F0BF46C-5692-49D5-AD26-CFBADB771170}">
    <text>Achtung, andere Nettoberechnung (Fremdwährungsentgelt)</text>
  </threadedComment>
</ThreadedComments>
</file>

<file path=xl/threadedComments/threadedComment3.xml><?xml version="1.0" encoding="utf-8"?>
<ThreadedComments xmlns="http://schemas.microsoft.com/office/spreadsheetml/2018/threadedcomments" xmlns:x="http://schemas.openxmlformats.org/spreadsheetml/2006/main">
  <threadedComment ref="B1" dT="2023-10-08T09:44:18.20" personId="{219C0F1D-1BB4-4549-9E27-FE4F3C1A4FFA}" id="{FF6066C0-7609-4F7C-BBA1-BB0850AAC44D}">
    <text>berechnet aus ReAusgang</text>
  </threadedComment>
  <threadedComment ref="C1" dT="2023-10-08T09:44:09.67" personId="{219C0F1D-1BB4-4549-9E27-FE4F3C1A4FFA}" id="{F21A4503-9BE0-4C17-9E89-B82305232E0D}">
    <text>berechnet aus Journal</text>
  </threadedComment>
  <threadedComment ref="C10" dT="2023-10-08T09:44:51.17" personId="{219C0F1D-1BB4-4549-9E27-FE4F3C1A4FFA}" id="{23B5ED95-209E-4F83-ABC5-C5E037605F70}">
    <text>Umsätze Journal != Umsätze Re Ausgang</text>
  </threadedComment>
</ThreadedComments>
</file>

<file path=xl/threadedComments/threadedComment4.xml><?xml version="1.0" encoding="utf-8"?>
<ThreadedComments xmlns="http://schemas.microsoft.com/office/spreadsheetml/2018/threadedcomments" xmlns:x="http://schemas.openxmlformats.org/spreadsheetml/2006/main">
  <threadedComment ref="T10" dT="2024-06-15T10:41:36.50" personId="{219C0F1D-1BB4-4549-9E27-FE4F3C1A4FFA}" id="{C17BE41B-EE50-445F-91D8-FD678F2C16C4}">
    <text>2/3 geschäftlich, 1/3 privat</text>
  </threadedComment>
  <threadedComment ref="N20" dT="2024-02-10T13:19:14.58" personId="{219C0F1D-1BB4-4549-9E27-FE4F3C1A4FFA}" id="{773C0977-5D98-4615-AF51-1A9D47A0F7A0}">
    <text>Beleg fehlt</text>
  </threadedComment>
  <threadedComment ref="N23" dT="2024-04-13T13:52:45.58" personId="{219C0F1D-1BB4-4549-9E27-FE4F3C1A4FFA}" id="{8F14DF68-3F18-44BF-985A-7C9704C3AA81}">
    <text>Zinsen / Finanzierungskosten</text>
  </threadedComment>
  <threadedComment ref="N28" dT="2024-04-13T13:52:24.44" personId="{219C0F1D-1BB4-4549-9E27-FE4F3C1A4FFA}" id="{CBC166E9-6425-4DCC-AB11-BF9398BAB85D}">
    <text>Vorauszahlung Beiträge Eva Jaros-Kolbitsch 2024/1-12</text>
  </threadedComment>
  <threadedComment ref="X34" dT="2025-06-08T09:12:22.42" personId="{219C0F1D-1BB4-4549-9E27-FE4F3C1A4FFA}" id="{63E5D637-A1FF-4DD6-8AFE-77BEC9EBB9AA}">
    <text>Achtung, andere Nettoberechnung (Fremdwährungsentgelt)</text>
  </threadedComment>
  <threadedComment ref="N36" dT="2024-04-13T14:16:56.56" personId="{219C0F1D-1BB4-4549-9E27-FE4F3C1A4FFA}" id="{B55BB635-EC09-489A-9F86-B4301E7A64E4}">
    <text>Kanaleinmündungsabgabe</text>
  </threadedComment>
  <threadedComment ref="X47" dT="2025-06-08T09:12:22.42" personId="{219C0F1D-1BB4-4549-9E27-FE4F3C1A4FFA}" id="{C22F3155-6851-41B2-BA3D-AD65C0983B84}">
    <text>Achtung, andere Nettoberechnung (Fremdwährungsentgelt)</text>
  </threadedComment>
  <threadedComment ref="T56" dT="2024-06-15T10:41:36.50" personId="{219C0F1D-1BB4-4549-9E27-FE4F3C1A4FFA}" id="{4B62E413-D5C3-4E10-A620-FB02B7E4BBBF}">
    <text>2/3 geschäftlich, 1/3 privat</text>
  </threadedComment>
  <threadedComment ref="R63" dT="2024-06-15T10:45:00.75" personId="{219C0F1D-1BB4-4549-9E27-FE4F3C1A4FFA}" id="{B162CE12-92A0-441F-834F-F4F26FAD7252}">
    <text>Achtung, Fremdwährungstransaktion, Betrag überprüfen (Wechselkurs)</text>
  </threadedComment>
  <threadedComment ref="X63" dT="2025-06-08T09:12:22.42" personId="{219C0F1D-1BB4-4549-9E27-FE4F3C1A4FFA}" id="{09281BA4-845F-48B0-8D38-3F60C0DC775D}">
    <text>Achtung, andere Nettoberechnung (Fremdwährungsentgelt)</text>
  </threadedComment>
  <threadedComment ref="N67" dT="2024-04-13T14:16:56.56" personId="{219C0F1D-1BB4-4549-9E27-FE4F3C1A4FFA}" id="{86215971-47A0-4B3D-A699-7E526DF2679E}">
    <text>Kanaleinmündungsabgabe</text>
  </threadedComment>
  <threadedComment ref="U67" dT="2024-06-15T11:07:00.59" personId="{219C0F1D-1BB4-4549-9E27-FE4F3C1A4FFA}" id="{4FC39057-E4CC-4519-9B2F-DBCBAF879E35}">
    <text>Gemischter Steuersatz, siehe Abrechnung</text>
  </threadedComment>
  <threadedComment ref="V67" dT="2024-06-15T11:07:59.56" personId="{219C0F1D-1BB4-4549-9E27-FE4F3C1A4FFA}" id="{5D87EE06-F433-47FF-BC9E-F32C416EC9E9}">
    <text>gemischter Steuersatz, siehe Abrechnung</text>
  </threadedComment>
  <threadedComment ref="X67" dT="2024-06-15T11:08:55.73" personId="{219C0F1D-1BB4-4549-9E27-FE4F3C1A4FFA}" id="{C6B1727C-66EE-4CDF-BC76-BE9D93A8BCC5}">
    <text>gemischter Steuersatz, siehe Abrechnung</text>
  </threadedComment>
  <threadedComment ref="T69" dT="2024-06-15T10:41:36.50" personId="{219C0F1D-1BB4-4549-9E27-FE4F3C1A4FFA}" id="{66F3EF5F-4F01-45A3-A9EA-822F1025B55E}">
    <text>2/3 geschäftlich, 1/3 privat</text>
  </threadedComment>
  <threadedComment ref="R74" dT="2024-06-15T10:45:00.75" personId="{219C0F1D-1BB4-4549-9E27-FE4F3C1A4FFA}" id="{C8CCAEA1-E9A5-4C98-A63A-075AC8488E10}">
    <text>Achtung, Fremdwährungstransaktion, Betrag überprüfen (Wechselkurs)</text>
  </threadedComment>
  <threadedComment ref="X74" dT="2025-06-08T09:12:22.42" personId="{219C0F1D-1BB4-4549-9E27-FE4F3C1A4FFA}" id="{7B1E46E6-86B3-484C-A722-32D8F145F791}">
    <text>Achtung, andere Nettoberechnung (Fremdwährungsentgelt)</text>
  </threadedComment>
  <threadedComment ref="R79" dT="2024-08-12T11:52:59.55" personId="{219C0F1D-1BB4-4549-9E27-FE4F3C1A4FFA}" id="{24D4614B-32CB-4C96-B6E3-8A08820AD992}">
    <text>USD 49,-</text>
  </threadedComment>
  <threadedComment ref="T82" dT="2024-06-15T10:41:36.50" personId="{219C0F1D-1BB4-4549-9E27-FE4F3C1A4FFA}" id="{57B0F0B8-221D-40B3-A111-8B35CCA988F6}">
    <text>2/3 geschäftlich, 1/3 privat</text>
  </threadedComment>
  <threadedComment ref="R90" dT="2024-06-15T10:45:00.75" personId="{219C0F1D-1BB4-4549-9E27-FE4F3C1A4FFA}" id="{6C7180B6-F03B-4DC0-8AAD-1FC87683E20A}">
    <text>Achtung, Fremdwährungstransaktion, Betrag überprüfen (Wechselkurs)</text>
  </threadedComment>
  <threadedComment ref="R91" dT="2024-06-15T10:45:00.75" personId="{219C0F1D-1BB4-4549-9E27-FE4F3C1A4FFA}" id="{B330357F-DA18-4B9F-A5FA-2A75532625DB}">
    <text>Achtung, Fremdwährungstransaktion, Betrag überprüfen (Wechselkurs)</text>
  </threadedComment>
  <threadedComment ref="X91" dT="2025-06-08T09:12:22.42" personId="{219C0F1D-1BB4-4549-9E27-FE4F3C1A4FFA}" id="{C14952B7-1F9E-4B8E-80D0-C7C7F6D0CDBE}">
    <text>Achtung, andere Nettoberechnung (Fremdwährungsentgelt)</text>
  </threadedComment>
  <threadedComment ref="T99" dT="2024-06-15T10:41:36.50" personId="{219C0F1D-1BB4-4549-9E27-FE4F3C1A4FFA}" id="{9632EF3E-D045-458B-8871-04A197AFB875}">
    <text>2/3 geschäftlich, 1/3 privat</text>
  </threadedComment>
  <threadedComment ref="R105" dT="2024-06-15T10:45:00.75" personId="{219C0F1D-1BB4-4549-9E27-FE4F3C1A4FFA}" id="{84F3F9BB-31C1-426E-92C1-D59D7DE3A02D}">
    <text>Achtung, Fremdwährungstransaktion, Betrag überprüfen (Wechselkurs)</text>
  </threadedComment>
  <threadedComment ref="X105" dT="2025-06-08T09:12:22.42" personId="{219C0F1D-1BB4-4549-9E27-FE4F3C1A4FFA}" id="{35DEF9E6-C9ED-4840-841A-27555068A845}">
    <text>Achtung, andere Nettoberechnung (Fremdwährungsentgelt)</text>
  </threadedComment>
  <threadedComment ref="T111" dT="2024-06-15T10:41:36.50" personId="{219C0F1D-1BB4-4549-9E27-FE4F3C1A4FFA}" id="{28567E00-787B-47F5-9FC3-F6182AD31CC3}">
    <text>2/3 geschäftlich, 1/3 privat</text>
  </threadedComment>
  <threadedComment ref="N112" dT="2024-04-13T14:16:56.56" personId="{219C0F1D-1BB4-4549-9E27-FE4F3C1A4FFA}" id="{F77F57FA-C236-4181-AFC5-619BA64C8608}">
    <text>Kanaleinmündungsabgabe</text>
  </threadedComment>
  <threadedComment ref="R118" dT="2024-06-15T10:45:00.75" personId="{219C0F1D-1BB4-4549-9E27-FE4F3C1A4FFA}" id="{1689FEDB-0912-4013-A803-8511CBE0B430}">
    <text>Achtung, Fremdwährungstransaktion, Betrag überprüfen (Wechselkurs)</text>
  </threadedComment>
  <threadedComment ref="X118" dT="2025-06-08T09:12:22.42" personId="{219C0F1D-1BB4-4549-9E27-FE4F3C1A4FFA}" id="{72224643-BE07-4877-B954-A1497D1BB238}">
    <text>Achtung, andere Nettoberechnung (Fremdwährungsentgelt)</text>
  </threadedComment>
  <threadedComment ref="R120" dT="2024-06-15T10:45:00.75" personId="{219C0F1D-1BB4-4549-9E27-FE4F3C1A4FFA}" id="{1C47FE9F-8D4C-4AD6-92D9-0E48EC13B0E5}">
    <text>Achtung, Fremdwährungstransaktion, Betrag überprüfen (Wechselkurs)</text>
  </threadedComment>
  <threadedComment ref="T129" dT="2024-06-15T10:41:36.50" personId="{219C0F1D-1BB4-4549-9E27-FE4F3C1A4FFA}" id="{B72AC535-ED44-42F0-AA56-CD681224F246}">
    <text>2/3 geschäftlich, 1/3 privat</text>
  </threadedComment>
  <threadedComment ref="R134" dT="2024-06-15T10:45:00.75" personId="{219C0F1D-1BB4-4549-9E27-FE4F3C1A4FFA}" id="{68BAB287-FDFB-46D5-847E-BB40C80A3A4B}">
    <text>Achtung, Fremdwährungstransaktion, Betrag überprüfen (Wechselkurs)</text>
  </threadedComment>
  <threadedComment ref="X134" dT="2025-06-08T09:12:22.42" personId="{219C0F1D-1BB4-4549-9E27-FE4F3C1A4FFA}" id="{B523C881-B09D-4C06-B2DE-74AE323F70E9}">
    <text>Achtung, andere Nettoberechnung (Fremdwährungsentgelt)</text>
  </threadedComment>
  <threadedComment ref="T141" dT="2024-06-15T10:41:36.50" personId="{219C0F1D-1BB4-4549-9E27-FE4F3C1A4FFA}" id="{E2515134-E429-4B9A-AB46-F766FFEAF861}">
    <text>2/3 geschäftlich, 1/3 privat</text>
  </threadedComment>
  <threadedComment ref="R147" dT="2024-06-15T10:45:00.75" personId="{219C0F1D-1BB4-4549-9E27-FE4F3C1A4FFA}" id="{5FD63359-EEF1-446D-9827-87F72DAD58D2}">
    <text>Achtung, Fremdwährungstransaktion, Betrag überprüfen (Wechselkurs)</text>
  </threadedComment>
  <threadedComment ref="X147" dT="2025-06-08T09:12:22.42" personId="{219C0F1D-1BB4-4549-9E27-FE4F3C1A4FFA}" id="{7809F247-5B90-4B96-BFF8-9EA796672CD7}">
    <text>Achtung, andere Nettoberechnung (Fremdwährungsentgelt)</text>
  </threadedComment>
  <threadedComment ref="N150" dT="2024-04-13T14:16:56.56" personId="{219C0F1D-1BB4-4549-9E27-FE4F3C1A4FFA}" id="{F4A54195-9D04-42E2-B34B-053B7AD29597}">
    <text>Kanaleinmündungsabgabe</text>
  </threadedComment>
  <threadedComment ref="V150" dT="2024-12-10T05:12:27.81" personId="{219C0F1D-1BB4-4549-9E27-FE4F3C1A4FFA}" id="{1CB22FE2-3609-4120-B7BA-E38474219821}">
    <text>Manuelle eingabe</text>
  </threadedComment>
  <threadedComment ref="X150" dT="2024-12-10T05:12:22.69" personId="{219C0F1D-1BB4-4549-9E27-FE4F3C1A4FFA}" id="{5640BA49-41C4-4B08-AB77-863C30164BC0}">
    <text>Manuelle eingabe</text>
  </threadedComment>
  <threadedComment ref="T156" dT="2024-06-15T10:41:36.50" personId="{219C0F1D-1BB4-4549-9E27-FE4F3C1A4FFA}" id="{DED5FCFE-8983-41FE-9A91-C58100E89135}">
    <text>2/3 geschäftlich, 1/3 privat</text>
  </threadedComment>
  <threadedComment ref="R158" dT="2024-06-15T10:45:00.75" personId="{219C0F1D-1BB4-4549-9E27-FE4F3C1A4FFA}" id="{88A75A50-6FD2-4824-A385-04C36D749C0E}">
    <text>Achtung, Fremdwährungstransaktion, Betrag überprüfen (Wechselkurs)</text>
  </threadedComment>
  <threadedComment ref="X158" dT="2025-06-08T09:12:22.42" personId="{219C0F1D-1BB4-4549-9E27-FE4F3C1A4FFA}" id="{7BB5C92E-8E1D-4E7C-84D0-04E0018F609C}">
    <text>Achtung, andere Nettoberechnung (Fremdwährungsentgelt)</text>
  </threadedComment>
  <threadedComment ref="T166" dT="2024-06-15T10:41:36.50" personId="{219C0F1D-1BB4-4549-9E27-FE4F3C1A4FFA}" id="{F31C3845-D9B1-47EA-92EA-6BBCCADC80D2}">
    <text>2/3 geschäftlich, 1/3 privat</text>
  </threadedComment>
  <threadedComment ref="R173" dT="2024-06-15T10:45:00.75" personId="{219C0F1D-1BB4-4549-9E27-FE4F3C1A4FFA}" id="{900A9EF5-BBBE-4BF2-A0ED-C098FA782A49}">
    <text>Achtung, Fremdwährungstransaktion, Betrag überprüfen (Wechselkurs)</text>
  </threadedComment>
  <threadedComment ref="X173" dT="2025-06-08T09:12:22.42" personId="{219C0F1D-1BB4-4549-9E27-FE4F3C1A4FFA}" id="{B58445B6-1AE4-4740-9CF0-F7E030D59962}">
    <text>Achtung, andere Nettoberechnung (Fremdwährungsentgelt)</text>
  </threadedComment>
</ThreadedComments>
</file>

<file path=xl/threadedComments/threadedComment5.xml><?xml version="1.0" encoding="utf-8"?>
<ThreadedComments xmlns="http://schemas.microsoft.com/office/spreadsheetml/2018/threadedcomments" xmlns:x="http://schemas.openxmlformats.org/spreadsheetml/2006/main">
  <threadedComment ref="A18" dT="2019-05-13T09:22:54.26" personId="{219C0F1D-1BB4-4549-9E27-FE4F3C1A4FFA}" id="{7C338E8A-7BD1-4545-AD58-7110E5CC48EF}">
    <text>ab 2019 anderes Tabellenformat (Journal_ab_2019)</text>
  </threadedComment>
</ThreadedComments>
</file>

<file path=xl/threadedComments/threadedComment6.xml><?xml version="1.0" encoding="utf-8"?>
<ThreadedComments xmlns="http://schemas.microsoft.com/office/spreadsheetml/2018/threadedcomments" xmlns:x="http://schemas.openxmlformats.org/spreadsheetml/2006/main">
  <threadedComment ref="C1" dT="2022-01-06T14:08:10.72" personId="{61CE7817-732F-4DC8-93FB-486E250ABAF6}" id="{2A32960B-13A7-4C88-A872-10B08A14BA86}">
    <text>Versicherungspflichtige Einkünfte (vor Abzug der Absätzbeträge)</text>
  </threadedComment>
  <threadedComment ref="D1" dT="2022-01-07T13:00:11.09" personId="{61CE7817-732F-4DC8-93FB-486E250ABAF6}" id="{80DE5CF2-6452-4DAE-A880-DEF5327D3324}">
    <text>Vorgeschrieben im Quartal X lt. Kontoauszug (nur für das aktuelle Jahr, ohne Berichtigungen, Nachbemessungen, Kostenanteile, ...)</text>
  </threadedComment>
  <threadedComment ref="K1" dT="2022-01-06T14:15:15.25" personId="{61CE7817-732F-4DC8-93FB-486E250ABAF6}" id="{5139B916-C5A1-42B9-8B9A-FF537CA2B195}">
    <text>endgültige monatliche Beitragsgrundlage = ( Einkünfte + vorgeschrieben ) / Monate</text>
  </threadedComment>
  <threadedComment ref="I5" dT="2022-01-06T17:58:08.99" personId="{61CE7817-732F-4DC8-93FB-486E250ABAF6}" id="{36E93AB5-D165-46FF-AC09-386F21CB832C}">
    <text>26.01.2019</text>
  </threadedComment>
  <threadedComment ref="I6" dT="2022-01-06T17:57:02.38" personId="{61CE7817-732F-4DC8-93FB-486E250ABAF6}" id="{A0BA146D-BFE0-4D7B-861D-8D78520C1F9B}">
    <text>26.10.2019</text>
  </threadedComment>
  <threadedComment ref="I7" dT="2022-01-06T18:00:23.09" personId="{61CE7817-732F-4DC8-93FB-486E250ABAF6}" id="{88633872-3063-40BB-945B-CD8A70E51813}">
    <text>24.4.2021</text>
  </threadedComment>
  <threadedComment ref="I8" dT="2022-01-06T18:00:50.55" personId="{61CE7817-732F-4DC8-93FB-486E250ABAF6}" id="{785DB0AE-BE1F-4D9C-A24E-8F19E2FE5331}">
    <text>24.6.2021</text>
  </threadedComment>
</ThreadedComments>
</file>

<file path=xl/threadedComments/threadedComment7.xml><?xml version="1.0" encoding="utf-8"?>
<ThreadedComments xmlns="http://schemas.microsoft.com/office/spreadsheetml/2018/threadedcomments" xmlns:x="http://schemas.openxmlformats.org/spreadsheetml/2006/main">
  <threadedComment ref="L6" dT="2019-01-23T10:52:26.91" personId="{219C0F1D-1BB4-4549-9E27-FE4F3C1A4FFA}" id="{14065946-B662-4C5F-B957-A1E686902DEA}">
    <text>nur 20%-Leistungen (Internet)</text>
  </threadedComment>
  <threadedComment ref="L15" dT="2019-01-23T10:52:26.91" personId="{219C0F1D-1BB4-4549-9E27-FE4F3C1A4FFA}" id="{A69BD719-A14B-4756-88E6-4F513E303D3F}">
    <text>nur 20%-Leistungen (Internet)</text>
  </threadedComment>
  <threadedComment ref="L17" dT="2019-02-06T08:14:46.00" personId="{219C0F1D-1BB4-4549-9E27-FE4F3C1A4FFA}" id="{03AC7D07-A30C-4DBB-8541-80DE09B5C63A}">
    <text>ohne Passbilder: (Porträt1+Porträt2)/1,2 (wegen 20%  USt inklusive)</text>
  </threadedComment>
  <threadedComment ref="L31" dT="2019-01-23T10:52:26.91" personId="{219C0F1D-1BB4-4549-9E27-FE4F3C1A4FFA}" id="{F9F2122E-C88F-4A09-AC15-66A23EB108B0}">
    <text>nur 20%-Leistungen (Internet)</text>
  </threadedComment>
  <threadedComment ref="L47" dT="2019-01-23T10:52:26.91" personId="{219C0F1D-1BB4-4549-9E27-FE4F3C1A4FFA}" id="{FD792798-A154-4371-83C7-99B57908A047}">
    <text>nur 20%-Leistungen (Internet)</text>
  </threadedComment>
  <threadedComment ref="N51" dT="2019-05-02T08:23:26.61" personId="{219C0F1D-1BB4-4549-9E27-FE4F3C1A4FFA}" id="{96229B44-3723-442C-8E1C-1294EF707687}">
    <text>Fremde USt. (DE): 19%</text>
  </threadedComment>
  <threadedComment ref="L58" dT="2019-01-23T10:52:26.91" personId="{219C0F1D-1BB4-4549-9E27-FE4F3C1A4FFA}" id="{3190480F-0174-46E7-B9AC-6B492344D0C5}">
    <text>nur 20%-Leistungen (Internet)</text>
  </threadedComment>
  <threadedComment ref="L72" dT="2019-01-23T10:52:26.91" personId="{219C0F1D-1BB4-4549-9E27-FE4F3C1A4FFA}" id="{BD69E6B0-9839-4FFD-964B-C631B3009A70}">
    <text>nur 20%-Leistungen (Internet)</text>
  </threadedComment>
  <threadedComment ref="O81" dT="2019-06-26T07:40:46.19" personId="{219C0F1D-1BB4-4549-9E27-FE4F3C1A4FFA}" id="{605AEC26-CFAC-4B25-9977-189A6291D45E}">
    <text>Cent-Fehler in USt auf Rechnung, as-is übernommen</text>
  </threadedComment>
  <threadedComment ref="O82" dT="2019-06-26T07:40:46.19" personId="{219C0F1D-1BB4-4549-9E27-FE4F3C1A4FFA}" id="{E791DE14-BD15-4EE3-B6CC-4CCD523CBE7B}">
    <text>Cent-Fehler in USt auf Rechnung, as-is übernommen</text>
  </threadedComment>
  <threadedComment ref="L92" dT="2019-01-23T10:52:26.91" personId="{219C0F1D-1BB4-4549-9E27-FE4F3C1A4FFA}" id="{897ED521-3A41-470F-9053-0AA940A24FE3}">
    <text>nur 20%-Leistungen (Internet)</text>
  </threadedComment>
  <threadedComment ref="L113" dT="2019-01-23T10:52:26.91" personId="{219C0F1D-1BB4-4549-9E27-FE4F3C1A4FFA}" id="{BD02C625-F1C4-4200-8551-4959BACA8CAA}">
    <text>nur 20%-Leistungen (Internet)</text>
  </threadedComment>
  <threadedComment ref="S114" dT="2019-08-22T07:36:03.88" personId="{219C0F1D-1BB4-4549-9E27-FE4F3C1A4FFA}" id="{9D09B634-3193-44AF-9D75-7532F25F9AF6}">
    <text>Betrag manuell wg Rundungsfehler</text>
  </threadedComment>
  <threadedComment ref="L121" dT="2019-09-05T09:26:22.56" personId="{219C0F1D-1BB4-4549-9E27-FE4F3C1A4FFA}" id="{54516054-E474-4CC2-9305-23CDB5B0489F}">
    <text>Nettobetrag durch Abzug o.g. Finanzamtsgebühr und Division durch 1,2 vom Bruttobetrag ermittelt</text>
  </threadedComment>
  <threadedComment ref="L135" dT="2019-01-23T10:52:26.91" personId="{219C0F1D-1BB4-4549-9E27-FE4F3C1A4FFA}" id="{8BE1422C-720A-4E7F-9D42-AF1D138474A2}">
    <text>nur 20%-Leistungen (Internet)</text>
  </threadedComment>
  <threadedComment ref="L168" dT="2019-01-23T10:52:26.91" personId="{219C0F1D-1BB4-4549-9E27-FE4F3C1A4FFA}" id="{1A99B477-3AA9-4D76-AB41-07359AED2F8E}">
    <text>nur 20%-Leistungen (Internet)</text>
  </threadedComment>
  <threadedComment ref="L190" dT="2019-01-23T10:52:26.91" personId="{219C0F1D-1BB4-4549-9E27-FE4F3C1A4FFA}" id="{E22F295E-268E-4210-A778-1C8478CF70DE}">
    <text>nur 20%-Leistungen (Internet)</text>
  </threadedComment>
  <threadedComment ref="L226" dT="2019-01-23T10:52:26.91" personId="{219C0F1D-1BB4-4549-9E27-FE4F3C1A4FFA}" id="{4B7B8534-945B-4B33-8FE9-8FB542BF6001}">
    <text>nur 20%-Leistungen (Internet)</text>
  </threadedComment>
  <threadedComment ref="E244" dT="2020-01-20T16:22:55.02" personId="{219C0F1D-1BB4-4549-9E27-FE4F3C1A4FFA}" id="{123D7C06-30E9-44DE-BFF8-D4A52907A3E2}">
    <text>Dauerrechnung (2020)</text>
  </threadedComment>
  <threadedComment ref="L248" dT="2019-01-23T10:52:26.91" personId="{219C0F1D-1BB4-4549-9E27-FE4F3C1A4FFA}" id="{71CDC193-9ED1-4DA0-B14C-C8EAB38B9792}">
    <text>nur 20%-Leistungen (Internet)</text>
  </threadedComment>
  <threadedComment ref="E249" dT="2020-08-27T15:48:50.35" personId="{219C0F1D-1BB4-4549-9E27-FE4F3C1A4FFA}" id="{8EAD2EF6-16D6-4711-9D29-3CEE4D7AD02A}">
    <text>Dauervorschreibung vom 12.12.2019, siehe Journal-Beleg Nr. 2020-10</text>
  </threadedComment>
  <threadedComment ref="E272" dT="2020-01-20T16:22:55.02" personId="{219C0F1D-1BB4-4549-9E27-FE4F3C1A4FFA}" id="{D44898C7-F8A1-4E5D-8A65-258F82C57F77}">
    <text>Dauerrechnung (2020)</text>
  </threadedComment>
  <threadedComment ref="E279" dT="2020-08-27T15:48:50.35" personId="{219C0F1D-1BB4-4549-9E27-FE4F3C1A4FFA}" id="{5D5DAABE-227F-40E0-B00C-5002F055DFDA}">
    <text>Dauervorschreibung vom 12.12.2019, siehe Journal-Beleg Nr. 2020-10</text>
  </threadedComment>
  <threadedComment ref="L298" dT="2019-01-23T10:52:26.91" personId="{219C0F1D-1BB4-4549-9E27-FE4F3C1A4FFA}" id="{3D072528-7C04-471B-973A-90E8CEE36924}">
    <text>nur 20%-Leistungen (Internet)</text>
  </threadedComment>
  <threadedComment ref="E312" dT="2020-01-20T16:22:55.02" personId="{219C0F1D-1BB4-4549-9E27-FE4F3C1A4FFA}" id="{20B49C3E-E9B3-427E-989C-2E96A384B3A7}">
    <text>Dauerrechnung (2020)</text>
  </threadedComment>
  <threadedComment ref="E317" dT="2020-08-27T14:56:40.60" personId="{219C0F1D-1BB4-4549-9E27-FE4F3C1A4FFA}" id="{21FB791F-EDAD-4DBA-9F0A-FA58808A6574}">
    <text>Dauervorschreibung vom 1.10.2019, siehe Journal-Beleg 2019-165</text>
  </threadedComment>
  <threadedComment ref="E321" dT="2020-08-27T15:48:50.35" personId="{219C0F1D-1BB4-4549-9E27-FE4F3C1A4FFA}" id="{B4BD28D7-20F7-4A40-A12D-FCDD097FF27D}">
    <text>Dauervorschreibung vom 12.12.2019, siehe Journal-Beleg Nr. 2020-10</text>
  </threadedComment>
  <threadedComment ref="E340" dT="2020-01-20T16:22:55.02" personId="{219C0F1D-1BB4-4549-9E27-FE4F3C1A4FFA}" id="{8C53FCF8-0A8A-4AFB-B974-F23175E448D3}">
    <text>Dauerrechnung (2020)</text>
  </threadedComment>
  <threadedComment ref="E345" dT="2020-08-27T14:56:40.60" personId="{219C0F1D-1BB4-4549-9E27-FE4F3C1A4FFA}" id="{1C8C6F2F-DBC1-41CE-9A90-CF8AA11A1B40}">
    <text>Dauervorschreibung vom 1.10.2019, siehe Journal-Beleg 2019-165</text>
  </threadedComment>
  <threadedComment ref="E353" dT="2020-01-20T16:22:55.02" personId="{219C0F1D-1BB4-4549-9E27-FE4F3C1A4FFA}" id="{96D98279-2D1E-4EEC-8FAB-0B362F5798F8}">
    <text>Dauerrechnung (2020)</text>
  </threadedComment>
  <threadedComment ref="E354" dT="2020-08-27T14:56:40.60" personId="{219C0F1D-1BB4-4549-9E27-FE4F3C1A4FFA}" id="{3559F652-D672-4794-88A5-BDE265238368}">
    <text>Dauervorschreibung vom 1.10.2019, siehe Journal-Beleg 2019-165</text>
  </threadedComment>
  <threadedComment ref="E357" dT="2020-08-27T15:48:50.35" personId="{219C0F1D-1BB4-4549-9E27-FE4F3C1A4FFA}" id="{BB4DE87F-3F55-4807-9B9A-701845BF82DB}">
    <text>Dauervorschreibung vom 12.12.2019, siehe Journal-Beleg Nr. 2020-10</text>
  </threadedComment>
  <threadedComment ref="E365" dT="2020-01-20T16:22:55.02" personId="{219C0F1D-1BB4-4549-9E27-FE4F3C1A4FFA}" id="{DFC3423A-ABB9-4C10-87C9-B801594B31FB}">
    <text>Dauerrechnung (2020)</text>
  </threadedComment>
  <threadedComment ref="E376" dT="2020-01-20T16:22:55.02" personId="{219C0F1D-1BB4-4549-9E27-FE4F3C1A4FFA}" id="{8CD93EFF-ED66-4101-829B-752064E33E2C}">
    <text>Dauerrechnung (2020)</text>
  </threadedComment>
  <threadedComment ref="E384" dT="2020-08-27T15:48:50.35" personId="{219C0F1D-1BB4-4549-9E27-FE4F3C1A4FFA}" id="{733181B1-8E66-4D59-A670-D03C949E5CE5}">
    <text>Dauervorschreibung vom 12.12.2019, siehe Journal-Beleg Nr. 2020-10</text>
  </threadedComment>
  <threadedComment ref="E393" dT="2020-08-27T15:31:20.29" personId="{219C0F1D-1BB4-4549-9E27-FE4F3C1A4FFA}" id="{00C7ABE5-26F4-4362-AF3F-364988F944C9}">
    <text>Dauervorschreibung vom 1.7.2020, siehe Journal-Beleg 2020-140</text>
  </threadedComment>
  <threadedComment ref="E394" dT="2020-01-20T16:22:55.02" personId="{219C0F1D-1BB4-4549-9E27-FE4F3C1A4FFA}" id="{8FF4789F-05CF-412E-89D3-BD60BFDDED27}">
    <text>Dauerrechnung (2020)</text>
  </threadedComment>
  <threadedComment ref="E397" dT="2020-08-27T15:48:50.35" personId="{219C0F1D-1BB4-4549-9E27-FE4F3C1A4FFA}" id="{48A7736B-2B62-4CC7-9045-7125C81FCB11}">
    <text>Dauervorschreibung vom 12.12.2019, siehe Journal-Beleg Nr. 2020-10</text>
  </threadedComment>
  <threadedComment ref="E408" dT="2020-01-20T16:22:55.02" personId="{219C0F1D-1BB4-4549-9E27-FE4F3C1A4FFA}" id="{5D4268E3-A46E-46B2-96A1-33747B8056AE}">
    <text>Dauerrechnung (2020)</text>
  </threadedComment>
  <threadedComment ref="E413" dT="2020-08-27T15:31:20.29" personId="{219C0F1D-1BB4-4549-9E27-FE4F3C1A4FFA}" id="{BCEEA907-36E5-45B5-9742-A7073DB8214E}">
    <text>Dauervorschreibung vom 1.7.2020, siehe Journal-Beleg 2020-140</text>
  </threadedComment>
  <threadedComment ref="E416" dT="2020-08-27T15:48:50.35" personId="{219C0F1D-1BB4-4549-9E27-FE4F3C1A4FFA}" id="{46B2151D-B509-4765-BA83-D3D90110939F}">
    <text>Dauervorschreibung vom 12.12.2019, siehe Journal-Beleg Nr. 2020-10</text>
  </threadedComment>
  <threadedComment ref="L420" dT="2020-10-03T14:50:45.36" personId="{219C0F1D-1BB4-4549-9E27-FE4F3C1A4FFA}" id="{D4937267-03CB-4DE6-9929-8775A7FC31D9}">
    <text>Brutto 0,6 € zu viel bezahlt</text>
  </threadedComment>
  <threadedComment ref="H423" dT="2020-10-03T14:56:08.23" personId="{219C0F1D-1BB4-4549-9E27-FE4F3C1A4FFA}" id="{13DA710B-4A63-4851-9151-862DDE45185F}">
    <text>ausländische USt auf der Rechnung - kein Vorsteuerabzug</text>
  </threadedComment>
  <threadedComment ref="E429" dT="2020-01-20T16:22:55.02" personId="{219C0F1D-1BB4-4549-9E27-FE4F3C1A4FFA}" id="{138F8A5B-0E30-48EB-9ABC-07B6A5BA35E6}">
    <text>Dauerrechnung (2020)</text>
  </threadedComment>
  <threadedComment ref="E430" dT="2020-08-27T15:31:20.29" personId="{219C0F1D-1BB4-4549-9E27-FE4F3C1A4FFA}" id="{F24726DF-4068-422B-9555-36C786DE2EA4}">
    <text>Dauervorschreibung vom 1.7.2020, siehe Journal-Beleg 2020-140</text>
  </threadedComment>
  <threadedComment ref="E432" dT="2020-08-27T15:48:50.35" personId="{219C0F1D-1BB4-4549-9E27-FE4F3C1A4FFA}" id="{630C6F4E-5CD2-4483-A8A7-6A01D646FE6A}">
    <text>Dauervorschreibung vom 12.12.2019, siehe Journal-Beleg Nr. 2020-10</text>
  </threadedComment>
  <threadedComment ref="O440" dT="2020-11-26T10:14:33.86" personId="{219C0F1D-1BB4-4549-9E27-FE4F3C1A4FFA}" id="{97D111D6-F961-405E-9F67-25F30A6C4795}">
    <text>Vorsteuer manuell</text>
  </threadedComment>
  <threadedComment ref="P440" dT="2020-11-26T10:13:35.34" personId="{219C0F1D-1BB4-4549-9E27-FE4F3C1A4FFA}" id="{248687DA-E7CC-4FAD-9B70-CA691FEC712D}">
    <text>Vorsteuer manuell</text>
  </threadedComment>
  <threadedComment ref="E442" dT="2020-01-20T16:22:55.02" personId="{219C0F1D-1BB4-4549-9E27-FE4F3C1A4FFA}" id="{1DDE6ACE-1E46-4F17-81D9-68DCCD02A5B5}">
    <text>Dauerrechnung (2020)</text>
  </threadedComment>
  <threadedComment ref="E443" dT="2020-08-27T15:31:20.29" personId="{219C0F1D-1BB4-4549-9E27-FE4F3C1A4FFA}" id="{EF3A174E-3D8B-466A-B96A-20FFEE281CE9}">
    <text>Dauervorschreibung vom 1.7.2020, siehe Journal-Beleg 2020-140</text>
  </threadedComment>
  <threadedComment ref="E447" dT="2020-08-27T15:48:50.35" personId="{219C0F1D-1BB4-4549-9E27-FE4F3C1A4FFA}" id="{0CC3601F-DF1B-43EA-AB5C-629C7001D3DB}">
    <text>Dauervorschreibung vom 12.12.2019, siehe Journal-Beleg Nr. 2020-10</text>
  </threadedComment>
  <threadedComment ref="O458" dT="2020-11-26T10:14:33.86" personId="{219C0F1D-1BB4-4549-9E27-FE4F3C1A4FFA}" id="{75824636-3406-4909-B2BF-D1AECD0CCB87}">
    <text>Vorsteuer manuell</text>
  </threadedComment>
  <threadedComment ref="P458" dT="2020-11-26T10:13:35.34" personId="{219C0F1D-1BB4-4549-9E27-FE4F3C1A4FFA}" id="{FBDE7EB4-38BB-482E-BE96-E0ECF7DC729E}">
    <text>Vorsteuer manuell</text>
  </threadedComment>
  <threadedComment ref="E460" dT="2020-01-20T16:22:55.02" personId="{219C0F1D-1BB4-4549-9E27-FE4F3C1A4FFA}" id="{137BAC12-7663-4880-A493-CB55A1B9DCE1}">
    <text>Dauerrechnung (2020)</text>
  </threadedComment>
  <threadedComment ref="E461" dT="2020-08-27T15:31:20.29" personId="{219C0F1D-1BB4-4549-9E27-FE4F3C1A4FFA}" id="{F5D52B2B-3592-49EC-9CF7-1B23D9AAB11A}">
    <text>Dauervorschreibung vom 1.7.2020, siehe Journal-Beleg 2020-140</text>
  </threadedComment>
  <threadedComment ref="E467" dT="2020-08-27T14:56:40.60" personId="{219C0F1D-1BB4-4549-9E27-FE4F3C1A4FFA}" id="{A4DC3C9A-17EB-4F2D-B74A-196CDF72AD1E}">
    <text>Dauervorschreibung vom 1.10.2019, siehe Journal-Beleg 2019-165</text>
  </threadedComment>
  <threadedComment ref="E471" dT="2021-08-17T08:17:35.10" personId="{219C0F1D-1BB4-4549-9E27-FE4F3C1A4FFA}" id="{6C4860D3-4415-43E3-B2F5-31D68EF817A3}">
    <text>Dauerrechnung vom 28.12.2020, siehe Journal-Beleg 2020-232</text>
  </threadedComment>
  <threadedComment ref="O472" dT="2020-11-26T10:14:33.86" personId="{219C0F1D-1BB4-4549-9E27-FE4F3C1A4FFA}" id="{44827C6C-414A-4F1E-9735-171FCD840F0F}">
    <text>Vorsteuer manuell</text>
  </threadedComment>
  <threadedComment ref="P472" dT="2020-11-26T10:13:35.34" personId="{219C0F1D-1BB4-4549-9E27-FE4F3C1A4FFA}" id="{9F5B2DCA-C061-42B1-A5AB-EC839A7E3F9F}">
    <text>Vorsteuer manuell</text>
  </threadedComment>
  <threadedComment ref="O475" dT="2020-11-26T10:14:33.86" personId="{219C0F1D-1BB4-4549-9E27-FE4F3C1A4FFA}" id="{AA979325-A654-4303-949C-F78AD99A52D1}">
    <text>Vorsteuer manuell</text>
  </threadedComment>
  <threadedComment ref="P475" dT="2020-11-26T10:13:35.34" personId="{219C0F1D-1BB4-4549-9E27-FE4F3C1A4FFA}" id="{7D1B58D8-6F4F-4A65-9393-CB728E5384DE}">
    <text>Vorsteuer manuell</text>
  </threadedComment>
  <threadedComment ref="E476" dT="2022-02-01T19:53:00.12" personId="{219C0F1D-1BB4-4549-9E27-FE4F3C1A4FFA}" id="{D48F7A70-C233-4957-9984-A9C2E9772FC0}">
    <text>Bankbeleg statt Rechnung</text>
  </threadedComment>
  <threadedComment ref="E477" dT="2020-08-27T14:56:40.60" personId="{219C0F1D-1BB4-4549-9E27-FE4F3C1A4FFA}" id="{16A4E8E4-EE0B-4531-8A5B-71858D35D82A}">
    <text>Dauervorschreibung vom 1.10.2019, siehe Journal-Beleg 2019-165</text>
  </threadedComment>
  <threadedComment ref="E481" dT="2021-03-23T09:10:55.18" personId="{219C0F1D-1BB4-4549-9E27-FE4F3C1A4FFA}" id="{70BB908F-FDDC-4618-8343-BA1FA8355A25}">
    <text>Dauerrechnung, Beleg siehe 2021-8</text>
  </threadedComment>
  <threadedComment ref="E497" dT="2021-03-23T09:10:55.18" personId="{219C0F1D-1BB4-4549-9E27-FE4F3C1A4FFA}" id="{4B56DDEC-CDFB-41C6-97ED-0660501ED083}">
    <text>Dauerrechnung, Beleg siehe 2021-8</text>
  </threadedComment>
  <threadedComment ref="E499" dT="2020-08-27T14:56:40.60" personId="{219C0F1D-1BB4-4549-9E27-FE4F3C1A4FFA}" id="{269C3E81-C5F2-40CB-9584-9DAD2705CD92}">
    <text>Dauervorschreibung vom 1.10.2019, siehe Journal-Beleg 2019-165</text>
  </threadedComment>
  <threadedComment ref="E503" dT="2021-08-17T08:17:35.10" personId="{219C0F1D-1BB4-4549-9E27-FE4F3C1A4FFA}" id="{EE6BAE1E-F4A5-44E1-911A-18B49992A93C}">
    <text>Dauerrechnung vom 28.12.2020, siehe Journal-Beleg 2020-232</text>
  </threadedComment>
  <threadedComment ref="E505" dT="2021-03-23T09:10:55.18" personId="{219C0F1D-1BB4-4549-9E27-FE4F3C1A4FFA}" id="{0AEAF478-A213-4483-8E2F-389D200B03EF}">
    <text>Dauerrechnung, Beleg siehe 2021-8</text>
  </threadedComment>
  <threadedComment ref="E512" dT="2021-03-23T09:10:55.18" personId="{219C0F1D-1BB4-4549-9E27-FE4F3C1A4FFA}" id="{8A62FC80-B011-43FD-81E2-62CAD83FD9C0}">
    <text>Dauerrechnung, Beleg siehe 2021-8</text>
  </threadedComment>
  <threadedComment ref="E516" dT="2020-08-27T14:56:40.60" personId="{219C0F1D-1BB4-4549-9E27-FE4F3C1A4FFA}" id="{10BFE72A-28EC-41C9-8A84-5766FFB2E1AE}">
    <text>Dauervorschreibung vom 1.10.2019, siehe Journal-Beleg 2019-165</text>
  </threadedComment>
  <threadedComment ref="E518" dT="2021-08-17T08:17:35.10" personId="{219C0F1D-1BB4-4549-9E27-FE4F3C1A4FFA}" id="{4EE69B66-FC70-4E27-A033-2FACB803878C}">
    <text>Dauerrechnung vom 28.12.2020, siehe Journal-Beleg 2020-232</text>
  </threadedComment>
  <threadedComment ref="E530" dT="2021-03-23T09:10:55.18" personId="{219C0F1D-1BB4-4549-9E27-FE4F3C1A4FFA}" id="{EA5B2211-B10D-4307-9549-D8D0656E2C0B}">
    <text>Dauerrechnung, Beleg siehe 2021-8</text>
  </threadedComment>
  <threadedComment ref="E532" dT="2020-08-27T14:56:40.60" personId="{219C0F1D-1BB4-4549-9E27-FE4F3C1A4FFA}" id="{BED79239-AC0A-47A8-9C20-CA923F1A0862}">
    <text>Dauervorschreibung vom 1.10.2019, siehe Journal-Beleg 2019-165</text>
  </threadedComment>
  <threadedComment ref="E536" dT="2021-08-17T08:17:35.10" personId="{219C0F1D-1BB4-4549-9E27-FE4F3C1A4FFA}" id="{7AB58450-C72B-4005-A8A9-A118A51B0C5F}">
    <text>Dauerrechnung vom 28.12.2020, siehe Journal-Beleg 2020-232</text>
  </threadedComment>
  <threadedComment ref="E538" dT="2021-05-31T11:57:05.86" personId="{219C0F1D-1BB4-4549-9E27-FE4F3C1A4FFA}" id="{98FA17B8-3B36-4CCD-918C-BC1CDEF84DC3}">
    <text>RNr -1 (31.3.21): 57,49
RNr -2 (30.4.21): -3,42
------------------------
Payment 4/21:    54,07</text>
  </threadedComment>
  <threadedComment ref="O540" dT="2021-05-31T12:06:08.52" personId="{219C0F1D-1BB4-4549-9E27-FE4F3C1A4FFA}" id="{EA7CAD8B-B588-4684-9E7C-C12BE188359E}">
    <text>Mahnspesen sind USt befreit</text>
  </threadedComment>
  <threadedComment ref="E546" dT="2021-03-23T09:10:55.18" personId="{219C0F1D-1BB4-4549-9E27-FE4F3C1A4FFA}" id="{E70DF482-C9BD-4130-99F6-FE594493DC3D}">
    <text>Dauerrechnung, Beleg siehe 2021-8</text>
  </threadedComment>
  <threadedComment ref="E547" dT="2020-08-27T14:56:40.60" personId="{219C0F1D-1BB4-4549-9E27-FE4F3C1A4FFA}" id="{AD7ABD06-D323-4603-BF1D-81F1EFB0DF48}">
    <text>Dauervorschreibung vom 1.10.2019, siehe Journal-Beleg 2019-165</text>
  </threadedComment>
  <threadedComment ref="E549" dT="2021-08-17T08:17:35.10" personId="{219C0F1D-1BB4-4549-9E27-FE4F3C1A4FFA}" id="{A4B33202-3EB5-41B0-BE2C-08008B914E6D}">
    <text>Dauerrechnung vom 28.12.2020, siehe Journal-Beleg 2020-232</text>
  </threadedComment>
  <threadedComment ref="E552" dT="2022-02-01T19:53:10.75" personId="{219C0F1D-1BB4-4549-9E27-FE4F3C1A4FFA}" id="{2F23FB02-7433-4ED0-9828-4D75944524EB}">
    <text>Bankbeleg statt Rechnung</text>
  </threadedComment>
  <threadedComment ref="E557" dT="2021-03-23T09:10:55.18" personId="{219C0F1D-1BB4-4549-9E27-FE4F3C1A4FFA}" id="{7F5508F6-78B4-4E0D-BBF4-6A72C91463E4}">
    <text>Dauerrechnung, Beleg siehe 2021-8</text>
  </threadedComment>
  <threadedComment ref="E558" dT="2020-08-27T14:56:40.60" personId="{219C0F1D-1BB4-4549-9E27-FE4F3C1A4FFA}" id="{B60EE1AB-9510-4680-BD8D-29FA0B3A397E}">
    <text>Dauervorschreibung vom 1.10.2019, siehe Journal-Beleg 2019-165</text>
  </threadedComment>
  <threadedComment ref="E561" dT="2021-08-17T08:17:35.10" personId="{219C0F1D-1BB4-4549-9E27-FE4F3C1A4FFA}" id="{951A0B29-9798-45FD-AF07-1FBAF61DFB75}">
    <text>Dauerrechnung vom 28.12.2020, siehe Journal-Beleg 2020-232</text>
  </threadedComment>
  <threadedComment ref="E575" dT="2021-03-23T09:10:55.18" personId="{219C0F1D-1BB4-4549-9E27-FE4F3C1A4FFA}" id="{01075438-2CBD-461D-ABBD-66AE9C28148F}">
    <text>Dauerrechnung, Beleg siehe 2021-8</text>
  </threadedComment>
  <threadedComment ref="E576" dT="2020-08-27T14:56:40.60" personId="{219C0F1D-1BB4-4549-9E27-FE4F3C1A4FFA}" id="{88C2FAF6-BD6D-4533-AAA0-8C2C06D1FCC5}">
    <text>Dauervorschreibung vom 27.05.2021, siehe Journal-Beleg 2021-103</text>
  </threadedComment>
  <threadedComment ref="E578" dT="2021-08-17T08:17:35.10" personId="{219C0F1D-1BB4-4549-9E27-FE4F3C1A4FFA}" id="{BFB0D29E-14CF-4AFA-AECD-0E66628BBE7D}">
    <text>Dauerrechnung vom 28.12.2020, siehe Journal-Beleg 2020-232</text>
  </threadedComment>
  <threadedComment ref="E584" dT="2020-08-27T14:56:40.60" personId="{219C0F1D-1BB4-4549-9E27-FE4F3C1A4FFA}" id="{06845B11-3449-45FA-9CCC-DEC0975EFA35}">
    <text>Dauervorschreibung vom 27.05.2021, siehe Journal-Beleg 2021-103</text>
  </threadedComment>
  <threadedComment ref="E584" dT="2021-08-17T08:51:50.88" personId="{219C0F1D-1BB4-4549-9E27-FE4F3C1A4FFA}" id="{A61AA040-9F1F-444F-A19B-DA65206E11E7}" parentId="{06845B11-3449-45FA-9CCC-DEC0975EFA35}">
    <text>Dauervorschreibung, siehe 2021-103</text>
  </threadedComment>
  <threadedComment ref="E585" dT="2021-08-17T09:02:41.06" personId="{219C0F1D-1BB4-4549-9E27-FE4F3C1A4FFA}" id="{32BBDD3A-3F17-4F83-B13D-788F8D0B128C}">
    <text>Nachtragszahlung zu 21/9001/VS00472</text>
  </threadedComment>
  <threadedComment ref="E589" dT="2021-03-23T09:10:55.18" personId="{219C0F1D-1BB4-4549-9E27-FE4F3C1A4FFA}" id="{91A30EC1-015C-4D6E-9A68-E9FB4A090D41}">
    <text>Dauerrechnung, Beleg siehe 2021-8</text>
  </threadedComment>
  <threadedComment ref="E592" dT="2020-08-27T14:56:40.60" personId="{219C0F1D-1BB4-4549-9E27-FE4F3C1A4FFA}" id="{BDB14DE4-082F-4A8E-AC28-BB3C19FA2624}">
    <text>Dauervorschreibung vom 27.05.2021, siehe Journal-Beleg 2021-103</text>
  </threadedComment>
  <threadedComment ref="E592" dT="2021-08-17T08:51:50.88" personId="{219C0F1D-1BB4-4549-9E27-FE4F3C1A4FFA}" id="{7E9DC773-EA65-4723-962D-F3FD873BFF7F}" parentId="{BDB14DE4-082F-4A8E-AC28-BB3C19FA2624}">
    <text>Dauervorschreibung, siehe 2021-103</text>
  </threadedComment>
  <threadedComment ref="E596" dT="2021-08-17T08:17:35.10" personId="{219C0F1D-1BB4-4549-9E27-FE4F3C1A4FFA}" id="{70459B8E-75C0-4D3E-937B-AFA70660F912}">
    <text>Dauerrechnung vom 28.12.2020, siehe Journal-Beleg 2020-232</text>
  </threadedComment>
  <threadedComment ref="E604" dT="2021-03-23T09:10:55.18" personId="{219C0F1D-1BB4-4549-9E27-FE4F3C1A4FFA}" id="{7383BD14-EC03-4F49-8CD3-4584CADF1EDE}">
    <text>Dauerrechnung, Beleg siehe 2021-8</text>
  </threadedComment>
  <threadedComment ref="E606" dT="2020-08-27T14:56:40.60" personId="{219C0F1D-1BB4-4549-9E27-FE4F3C1A4FFA}" id="{12A5C43A-3793-4340-94E5-F40360AEC94D}">
    <text>Dauervorschreibung vom 27.05.2021, siehe Journal-Beleg 2021-103</text>
  </threadedComment>
  <threadedComment ref="E606" dT="2021-08-17T08:51:50.88" personId="{219C0F1D-1BB4-4549-9E27-FE4F3C1A4FFA}" id="{4A042B11-76D6-4334-820D-BA7371E32779}" parentId="{12A5C43A-3793-4340-94E5-F40360AEC94D}">
    <text>Dauervorschreibung, siehe 2021-103</text>
  </threadedComment>
  <threadedComment ref="E609" dT="2021-08-17T08:17:35.10" personId="{219C0F1D-1BB4-4549-9E27-FE4F3C1A4FFA}" id="{B3B37A24-1BF6-45B9-8DB9-3CC4BDEB2765}">
    <text>Dauerrechnung vom 28.12.2020, siehe Journal-Beleg 2020-232</text>
  </threadedComment>
  <threadedComment ref="E619" dT="2021-03-23T09:10:55.18" personId="{219C0F1D-1BB4-4549-9E27-FE4F3C1A4FFA}" id="{EFD42100-DA61-4F0C-96AC-D5D66F58C1D6}">
    <text>Dauerrechnung, Beleg siehe 2021-8</text>
  </threadedComment>
  <threadedComment ref="E620" dT="2020-08-27T14:56:40.60" personId="{219C0F1D-1BB4-4549-9E27-FE4F3C1A4FFA}" id="{68C6FC02-361F-4704-AB4F-A719FEDDEAC7}">
    <text>Dauervorschreibung vom 27.05.2021, siehe Journal-Beleg 2021-103</text>
  </threadedComment>
  <threadedComment ref="E620" dT="2021-08-17T08:51:50.88" personId="{219C0F1D-1BB4-4549-9E27-FE4F3C1A4FFA}" id="{AAAA625D-6673-4BDC-AEC4-CF27A5A8038A}" parentId="{68C6FC02-361F-4704-AB4F-A719FEDDEAC7}">
    <text>Dauervorschreibung, siehe 2021-103</text>
  </threadedComment>
  <threadedComment ref="E621" dT="2021-08-17T08:17:35.10" personId="{219C0F1D-1BB4-4549-9E27-FE4F3C1A4FFA}" id="{342D919F-D66B-4DF8-8EE6-A72776BFDFEC}">
    <text>Dauerrechnung vom 28.12.2020, siehe Journal-Beleg 2020-232</text>
  </threadedComment>
  <threadedComment ref="E633" dT="2021-12-29T16:42:18.21" personId="{219C0F1D-1BB4-4549-9E27-FE4F3C1A4FFA}" id="{39C60537-7FD1-4A12-ACCC-7D5B46A6665E}">
    <text>Es ist nicht ganz klar, ob das die richtige Rechnung ist (Rechnungsdatum 30.9.)</text>
  </threadedComment>
  <threadedComment ref="E634" dT="2021-03-23T09:10:55.18" personId="{219C0F1D-1BB4-4549-9E27-FE4F3C1A4FFA}" id="{0524C6CD-2BB9-404D-9E22-A29C1E760418}">
    <text>Dauerrechnung, Beleg siehe 2021-8</text>
  </threadedComment>
  <threadedComment ref="E635" dT="2020-08-27T14:56:40.60" personId="{219C0F1D-1BB4-4549-9E27-FE4F3C1A4FFA}" id="{B1873CD8-C20E-4814-9E62-730E8F196915}">
    <text>Dauervorschreibung vom 27.05.2021, siehe Journal-Beleg 2021-103</text>
  </threadedComment>
  <threadedComment ref="E635" dT="2021-08-17T08:51:50.88" personId="{219C0F1D-1BB4-4549-9E27-FE4F3C1A4FFA}" id="{F97E386D-9978-4D10-88BE-4C9CCB7038CA}" parentId="{B1873CD8-C20E-4814-9E62-730E8F196915}">
    <text>Dauervorschreibung, siehe 2021-103</text>
  </threadedComment>
  <threadedComment ref="E638" dT="2021-08-17T08:17:35.10" personId="{219C0F1D-1BB4-4549-9E27-FE4F3C1A4FFA}" id="{FF44B642-26D1-4ECD-BA5F-E6F6C73D2836}">
    <text>Dauerrechnung vom 28.12.2020, siehe Journal-Beleg 2020-232</text>
  </threadedComment>
  <threadedComment ref="E652" dT="2021-03-23T09:10:55.18" personId="{219C0F1D-1BB4-4549-9E27-FE4F3C1A4FFA}" id="{E425ED52-1CC6-4069-921A-A9D3E5CB0506}">
    <text>Dauerrechnung, Beleg siehe 2021-8</text>
  </threadedComment>
  <threadedComment ref="E653" dT="2020-08-27T14:56:40.60" personId="{219C0F1D-1BB4-4549-9E27-FE4F3C1A4FFA}" id="{931C6A54-40FA-4C87-92F1-4B6687E40EA5}">
    <text>Dauervorschreibung vom 27.05.2021, siehe Journal-Beleg 2021-103</text>
  </threadedComment>
  <threadedComment ref="E653" dT="2021-08-17T08:51:50.88" personId="{219C0F1D-1BB4-4549-9E27-FE4F3C1A4FFA}" id="{2C6AE6D6-7F77-4943-B91C-48FFFC8AA967}" parentId="{931C6A54-40FA-4C87-92F1-4B6687E40EA5}">
    <text>Dauervorschreibung, siehe 2021-103</text>
  </threadedComment>
  <threadedComment ref="E672" dT="2020-08-27T14:56:40.60" personId="{219C0F1D-1BB4-4549-9E27-FE4F3C1A4FFA}" id="{7BE7CE30-C4E6-473A-BB62-1B131DE1FA0E}">
    <text>Dauervorschreibung vom 27.05.2021, siehe Journal-Beleg 2021-103</text>
  </threadedComment>
  <threadedComment ref="E672" dT="2021-08-17T08:51:50.88" personId="{219C0F1D-1BB4-4549-9E27-FE4F3C1A4FFA}" id="{EBA3012F-2AB7-46F3-A01E-EC59638A6406}" parentId="{7BE7CE30-C4E6-473A-BB62-1B131DE1FA0E}">
    <text>Dauervorschreibung, siehe 2021-103</text>
  </threadedComment>
  <threadedComment ref="E674" dT="2021-03-23T09:10:55.18" personId="{219C0F1D-1BB4-4549-9E27-FE4F3C1A4FFA}" id="{2077BDCB-AAD0-45AE-B49A-B59D3D52EC39}">
    <text>Dauerrechnung, Beleg siehe 2021-8</text>
  </threadedComment>
  <threadedComment ref="E676" dT="2021-08-17T08:17:35.10" personId="{219C0F1D-1BB4-4549-9E27-FE4F3C1A4FFA}" id="{A2BA0D68-FD70-4664-8F8D-8A6B5BBDF8D2}">
    <text>Dauerrechnung vom 28.12.2020, siehe Journal-Beleg 2020-232</text>
  </threadedComment>
  <threadedComment ref="E679" dT="2022-11-25T08:15:10.67" personId="{219C0F1D-1BB4-4549-9E27-FE4F3C1A4FFA}" id="{20F35640-C1C7-47FA-BD45-D999AEDCD1B1}">
    <text>Siehe Jahresabrechnung 191208/100/2021 vom 12.1.2022</text>
  </threadedComment>
  <threadedComment ref="E690" dT="2022-11-25T08:15:10.67" personId="{219C0F1D-1BB4-4549-9E27-FE4F3C1A4FFA}" id="{F463C75D-A049-4469-9307-292409D69450}">
    <text>Siehe Jahresabrechnung 191208/100/2021 vom 12.1.2022</text>
  </threadedComment>
  <threadedComment ref="E693" dT="2020-08-27T14:56:40.60" personId="{219C0F1D-1BB4-4549-9E27-FE4F3C1A4FFA}" id="{9285CCAC-95CF-4D3C-98DE-1EFD95C638C8}">
    <text>Dauervorschreibung vom 27.05.2021, siehe Journal-Beleg 2021-103</text>
  </threadedComment>
  <threadedComment ref="E693" dT="2021-08-17T08:51:50.88" personId="{219C0F1D-1BB4-4549-9E27-FE4F3C1A4FFA}" id="{6E4312E3-261F-46B1-A1C5-3EFEEA8913C6}" parentId="{9285CCAC-95CF-4D3C-98DE-1EFD95C638C8}">
    <text>Dauervorschreibung, siehe 2021-103</text>
  </threadedComment>
  <threadedComment ref="E694" dT="2021-08-17T08:17:35.10" personId="{219C0F1D-1BB4-4549-9E27-FE4F3C1A4FFA}" id="{BD605C9C-7A07-4865-8842-2F1EBA324A34}">
    <text>Dauerrechnung vom 28.12.2020, siehe Journal-Beleg 2020-232</text>
  </threadedComment>
  <threadedComment ref="E701" dT="2022-04-16T14:25:12.08" personId="{219C0F1D-1BB4-4549-9E27-FE4F3C1A4FFA}" id="{48C3BC58-81B9-4762-BEC7-CB8E39D929D7}">
    <text>Rechnung nicht über vollen Betrag, siehe Mailverkehr</text>
  </threadedComment>
  <threadedComment ref="E704" dT="2022-11-25T08:15:10.67" personId="{219C0F1D-1BB4-4549-9E27-FE4F3C1A4FFA}" id="{87C1FE78-A24F-44FD-B5E6-6AF745297103}">
    <text>Siehe Jahresabrechnung 191208/100/2021 vom 12.1.2022</text>
  </threadedComment>
  <threadedComment ref="E706" dT="2020-08-27T14:56:40.60" personId="{219C0F1D-1BB4-4549-9E27-FE4F3C1A4FFA}" id="{46B0000D-D63D-4364-83FF-110BB3E2AAD8}">
    <text>Dauervorschreibung vom 27.05.2021, siehe Journal-Beleg 2021-103</text>
  </threadedComment>
  <threadedComment ref="E706" dT="2021-08-17T08:51:50.88" personId="{219C0F1D-1BB4-4549-9E27-FE4F3C1A4FFA}" id="{391A71DB-E079-47B9-8D8F-2CA2CC037012}" parentId="{46B0000D-D63D-4364-83FF-110BB3E2AAD8}">
    <text>Dauervorschreibung, siehe 2021-103</text>
  </threadedComment>
  <threadedComment ref="E709" dT="2021-08-17T08:17:35.10" personId="{219C0F1D-1BB4-4549-9E27-FE4F3C1A4FFA}" id="{C5CEF47E-9148-442F-83BE-5B3DE6D69500}">
    <text>Dauerrechnung vom 28.12.2020, siehe Journal-Beleg 2020-232</text>
  </threadedComment>
  <threadedComment ref="E724" dT="2022-11-25T08:15:10.67" personId="{219C0F1D-1BB4-4549-9E27-FE4F3C1A4FFA}" id="{E8DD0C0E-2B2A-45F3-9DBA-D81F2D83B9F1}">
    <text>Siehe Jahresabrechnung 191208/100/2021 vom 12.1.2022</text>
  </threadedComment>
  <threadedComment ref="E725" dT="2020-08-27T14:56:40.60" personId="{219C0F1D-1BB4-4549-9E27-FE4F3C1A4FFA}" id="{D9370094-D1E0-420B-BB60-209E3BE5C7EB}">
    <text>Dauervorschreibung vom 27.05.2021, siehe Journal-Beleg 2021-103</text>
  </threadedComment>
  <threadedComment ref="E725" dT="2021-08-17T08:51:50.88" personId="{219C0F1D-1BB4-4549-9E27-FE4F3C1A4FFA}" id="{CB8E42F6-AF81-40C0-9D62-0F0A7F918CEF}" parentId="{D9370094-D1E0-420B-BB60-209E3BE5C7EB}">
    <text>Dauervorschreibung, siehe 2021-103</text>
  </threadedComment>
  <threadedComment ref="E728" dT="2021-08-17T08:17:35.10" personId="{219C0F1D-1BB4-4549-9E27-FE4F3C1A4FFA}" id="{8014577A-18C0-43D8-A285-EE6AB5D541A5}">
    <text>Dauerrechnung vom 28.12.2020, siehe Journal-Beleg 2020-232</text>
  </threadedComment>
  <threadedComment ref="E733" dT="2022-04-16T14:25:12.08" personId="{219C0F1D-1BB4-4549-9E27-FE4F3C1A4FFA}" id="{95A0BEE9-5522-40D0-AD1C-6D3AF838E0F2}">
    <text>Rechnung nicht über vollen Betrag, siehe Mailverkehr</text>
  </threadedComment>
  <threadedComment ref="E742" dT="2022-11-25T08:15:10.67" personId="{219C0F1D-1BB4-4549-9E27-FE4F3C1A4FFA}" id="{7A70423C-4560-44AB-AE0D-7B815E60CAFE}">
    <text>Siehe Jahresabrechnung 191208/100/2021 vom 12.1.2022</text>
  </threadedComment>
  <threadedComment ref="E743" dT="2020-08-27T14:56:40.60" personId="{219C0F1D-1BB4-4549-9E27-FE4F3C1A4FFA}" id="{B2342585-B9E2-4B7F-9CBC-03E24D7F7A95}">
    <text>Dauervorschreibung vom 27.05.2021, siehe Journal-Beleg 2021-103</text>
  </threadedComment>
  <threadedComment ref="E743" dT="2021-08-17T08:51:50.88" personId="{219C0F1D-1BB4-4549-9E27-FE4F3C1A4FFA}" id="{49FF0D64-956B-4999-867B-26DE83C270A0}" parentId="{B2342585-B9E2-4B7F-9CBC-03E24D7F7A95}">
    <text>Dauervorschreibung, siehe 2021-103</text>
  </threadedComment>
  <threadedComment ref="E744" dT="2021-08-17T08:17:35.10" personId="{219C0F1D-1BB4-4549-9E27-FE4F3C1A4FFA}" id="{8BF3B013-21A4-4E2D-96B5-0E25D34FE2FF}">
    <text>Dauerrechnung vom 28.12.2020, siehe Journal-Beleg 2020-232</text>
  </threadedComment>
  <threadedComment ref="E747" dT="2022-07-24T15:55:13.76" personId="{219C0F1D-1BB4-4549-9E27-FE4F3C1A4FFA}" id="{94E26532-EDB2-4996-9E2F-D318C93968F5}">
    <text>Google Storage</text>
  </threadedComment>
  <threadedComment ref="E754" dT="2022-11-25T08:15:10.67" personId="{219C0F1D-1BB4-4549-9E27-FE4F3C1A4FFA}" id="{29A86E7B-0489-461A-AFE2-7B9B82DD05DF}">
    <text>Siehe Jahresabrechnung 191208/100/2021 vom 12.1.2022</text>
  </threadedComment>
  <threadedComment ref="E755" dT="2020-08-27T14:56:40.60" personId="{219C0F1D-1BB4-4549-9E27-FE4F3C1A4FFA}" id="{1AA69BDF-E8D9-442A-AA70-F3FF1B69821D}">
    <text>Dauervorschreibung vom 27.05.2021, siehe Journal-Beleg 2021-103</text>
  </threadedComment>
  <threadedComment ref="E755" dT="2021-08-17T08:51:50.88" personId="{219C0F1D-1BB4-4549-9E27-FE4F3C1A4FFA}" id="{9EFE7595-6E49-42A4-904D-2B90A7C30368}" parentId="{1AA69BDF-E8D9-442A-AA70-F3FF1B69821D}">
    <text>Dauervorschreibung, siehe 2021-103</text>
  </threadedComment>
  <threadedComment ref="E757" dT="2020-08-27T14:56:40.60" personId="{219C0F1D-1BB4-4549-9E27-FE4F3C1A4FFA}" id="{265F11EC-01F2-41D7-A424-097F7641DE19}">
    <text>Dauervorschreibung vom 27.05.2021, siehe Journal-Beleg 2021-103</text>
  </threadedComment>
  <threadedComment ref="E757" dT="2021-08-17T08:51:50.88" personId="{219C0F1D-1BB4-4549-9E27-FE4F3C1A4FFA}" id="{E3948CFB-E404-4075-90EB-9F3B8AA7A51E}" parentId="{265F11EC-01F2-41D7-A424-097F7641DE19}">
    <text>Dauervorschreibung, siehe 2021-103</text>
  </threadedComment>
  <threadedComment ref="E758" dT="2021-08-17T08:17:35.10" personId="{219C0F1D-1BB4-4549-9E27-FE4F3C1A4FFA}" id="{D380E424-AA66-41C7-B333-3DB534004913}">
    <text>Dauerrechnung vom 28.12.2020, siehe Journal-Beleg 2020-232</text>
  </threadedComment>
  <threadedComment ref="E761" dT="2022-07-24T15:55:13.76" personId="{219C0F1D-1BB4-4549-9E27-FE4F3C1A4FFA}" id="{E5F75673-3628-4827-A7C0-3A6344080A57}">
    <text>Google Storage</text>
  </threadedComment>
  <threadedComment ref="E772" dT="2022-11-25T08:15:10.67" personId="{219C0F1D-1BB4-4549-9E27-FE4F3C1A4FFA}" id="{B7B56DAA-8192-41EF-A44F-611DB1523FDA}">
    <text>Siehe Jahresabrechnung 191208/100/2021 vom 12.1.2022</text>
  </threadedComment>
  <threadedComment ref="E774" dT="2020-08-27T14:56:40.60" personId="{219C0F1D-1BB4-4549-9E27-FE4F3C1A4FFA}" id="{C14C7A9A-7DD2-4C0A-868F-054BB6251886}">
    <text>Dauervorschreibung vom 27.05.2021, siehe Journal-Beleg 2021-103</text>
  </threadedComment>
  <threadedComment ref="E774" dT="2021-08-17T08:51:50.88" personId="{219C0F1D-1BB4-4549-9E27-FE4F3C1A4FFA}" id="{37FB3899-06EF-40B8-AB42-83384AC47771}" parentId="{C14C7A9A-7DD2-4C0A-868F-054BB6251886}">
    <text>Dauervorschreibung, siehe 2021-103</text>
  </threadedComment>
  <threadedComment ref="E775" dT="2021-08-17T08:17:35.10" personId="{219C0F1D-1BB4-4549-9E27-FE4F3C1A4FFA}" id="{96326AD1-8BE4-4B00-84E4-C8EFD0059999}">
    <text>Dauerrechnung vom 28.12.2020, siehe Journal-Beleg 2020-232</text>
  </threadedComment>
  <threadedComment ref="E788" dT="2022-11-25T08:15:10.67" personId="{219C0F1D-1BB4-4549-9E27-FE4F3C1A4FFA}" id="{2F410A75-715D-4A3B-B809-9B62E11B83C0}">
    <text>Siehe Jahresabrechnung 191208/100/2021 vom 12.1.2022</text>
  </threadedComment>
  <threadedComment ref="E801" dT="2022-11-25T08:15:10.67" personId="{219C0F1D-1BB4-4549-9E27-FE4F3C1A4FFA}" id="{F8361FC1-05B0-4308-BD4D-2EC942FFA2B7}">
    <text>Siehe Jahresabrechnung 191208/100/2021 vom 12.1.2022</text>
  </threadedComment>
  <threadedComment ref="E820" dT="2022-11-25T08:15:10.67" personId="{219C0F1D-1BB4-4549-9E27-FE4F3C1A4FFA}" id="{12BF4112-F5B9-4642-AD39-4E948825D789}">
    <text>Siehe Jahresabrechnung 191208/100/2021 vom 12.1.2022</text>
  </threadedComment>
  <threadedComment ref="E841" dT="2022-11-25T08:15:10.67" personId="{219C0F1D-1BB4-4549-9E27-FE4F3C1A4FFA}" id="{D1F865B9-9A60-4E99-BA6C-6A8191E60D2F}">
    <text>Siehe Jahresabrechnung 191208/100/2021 vom 12.1.2022</text>
  </threadedComment>
  <threadedComment ref="E856" dT="2022-11-25T08:15:10.67" personId="{219C0F1D-1BB4-4549-9E27-FE4F3C1A4FFA}" id="{FFBEBED2-FBFA-4E58-9656-2FCB3B6619F8}">
    <text>Siehe Jahresabrechnung 191208/100/2021 vom 12.1.2022</text>
  </threadedComment>
  <threadedComment ref="L977" dT="2023-08-27T10:57:20.58" personId="{219C0F1D-1BB4-4549-9E27-FE4F3C1A4FFA}" id="{C74DA5B6-97D0-465A-9199-6D296CB57AC5}">
    <text>Normalerweise immer ohne Steuer- Beleg prüfen</text>
  </threadedComment>
</ThreadedComments>
</file>

<file path=xl/threadedComments/threadedComment8.xml><?xml version="1.0" encoding="utf-8"?>
<ThreadedComments xmlns="http://schemas.microsoft.com/office/spreadsheetml/2018/threadedcomments" xmlns:x="http://schemas.openxmlformats.org/spreadsheetml/2006/main">
  <threadedComment ref="S104" dT="2023-08-27T10:57:20.58" personId="{219C0F1D-1BB4-4549-9E27-FE4F3C1A4FFA}" id="{7F6554BB-B2A9-4C8E-9D42-A6BA1F58DD19}">
    <text>Normalerweise immer ohne Steuer- Beleg prüfen</text>
  </threadedComment>
</ThreadedComments>
</file>

<file path=xl/threadedComments/threadedComment9.xml><?xml version="1.0" encoding="utf-8"?>
<ThreadedComments xmlns="http://schemas.microsoft.com/office/spreadsheetml/2018/threadedcomments" xmlns:x="http://schemas.openxmlformats.org/spreadsheetml/2006/main">
  <threadedComment ref="M7" dT="2020-08-27T14:56:40.60" personId="{219C0F1D-1BB4-4549-9E27-FE4F3C1A4FFA}" id="{213A58E8-99D6-4575-A6F0-CFBD0A5A22D0}">
    <text>Dauervorschreibung vom 27.05.2021, siehe Journal-Beleg 2021-103</text>
  </threadedComment>
  <threadedComment ref="M7" dT="2021-08-17T08:51:50.88" personId="{219C0F1D-1BB4-4549-9E27-FE4F3C1A4FFA}" id="{02F31F5B-2617-4BF7-830B-FB68F3B9BC78}" parentId="{213A58E8-99D6-4575-A6F0-CFBD0A5A22D0}">
    <text>Dauervorschreibung, siehe 2021-103</text>
  </threadedComment>
  <threadedComment ref="M9" dT="2021-03-23T09:10:55.18" personId="{219C0F1D-1BB4-4549-9E27-FE4F3C1A4FFA}" id="{60948CBE-A945-4F40-8B75-A836BC4A4B63}">
    <text>Dauerrechnung, Beleg siehe 2021-8</text>
  </threadedComment>
  <threadedComment ref="M11" dT="2021-08-17T08:17:35.10" personId="{219C0F1D-1BB4-4549-9E27-FE4F3C1A4FFA}" id="{3E07034D-CC7B-48FF-A25F-6B4174F157B6}">
    <text>Dauerrechnung vom 28.12.2020, siehe Journal-Beleg 2020-232</text>
  </threadedComment>
  <threadedComment ref="M14" dT="2022-11-25T08:15:10.67" personId="{219C0F1D-1BB4-4549-9E27-FE4F3C1A4FFA}" id="{0401887D-A8A0-430F-BEE9-D7981FC1D198}">
    <text>Siehe Jahresabrechnung 191208/100/2021 vom 12.1.2022</text>
  </threadedComment>
  <threadedComment ref="M25" dT="2022-11-25T08:15:10.67" personId="{219C0F1D-1BB4-4549-9E27-FE4F3C1A4FFA}" id="{491859D0-831B-42D6-8468-2DC0BC19FD80}">
    <text>Siehe Jahresabrechnung 191208/100/2021 vom 12.1.2022</text>
  </threadedComment>
  <threadedComment ref="M28" dT="2020-08-27T14:56:40.60" personId="{219C0F1D-1BB4-4549-9E27-FE4F3C1A4FFA}" id="{7398B6CC-A3B8-4B2A-8CD5-215EB1B4644A}">
    <text>Dauervorschreibung vom 27.05.2021, siehe Journal-Beleg 2021-103</text>
  </threadedComment>
  <threadedComment ref="M28" dT="2021-08-17T08:51:50.88" personId="{219C0F1D-1BB4-4549-9E27-FE4F3C1A4FFA}" id="{4B63D71A-0FA2-4018-B9DA-564559DFB0FF}" parentId="{7398B6CC-A3B8-4B2A-8CD5-215EB1B4644A}">
    <text>Dauervorschreibung, siehe 2021-103</text>
  </threadedComment>
  <threadedComment ref="M29" dT="2021-08-17T08:17:35.10" personId="{219C0F1D-1BB4-4549-9E27-FE4F3C1A4FFA}" id="{846D094D-165E-4710-95FB-3A49952CFE94}">
    <text>Dauerrechnung vom 28.12.2020, siehe Journal-Beleg 2020-232</text>
  </threadedComment>
  <threadedComment ref="M36" dT="2022-04-16T14:25:12.08" personId="{219C0F1D-1BB4-4549-9E27-FE4F3C1A4FFA}" id="{D9809D2E-E694-468A-BE3D-65B1FD8D7CA5}">
    <text>Rechnung nicht über vollen Betrag, siehe Mailverkehr</text>
  </threadedComment>
  <threadedComment ref="M39" dT="2022-11-25T08:15:10.67" personId="{219C0F1D-1BB4-4549-9E27-FE4F3C1A4FFA}" id="{23B1619F-F7C9-44C8-8897-88491EC1A688}">
    <text>Siehe Jahresabrechnung 191208/100/2021 vom 12.1.2022</text>
  </threadedComment>
  <threadedComment ref="M41" dT="2020-08-27T14:56:40.60" personId="{219C0F1D-1BB4-4549-9E27-FE4F3C1A4FFA}" id="{12DC55E6-A23C-4287-9D59-DF5E5A4436B0}">
    <text>Dauervorschreibung vom 27.05.2021, siehe Journal-Beleg 2021-103</text>
  </threadedComment>
  <threadedComment ref="M41" dT="2021-08-17T08:51:50.88" personId="{219C0F1D-1BB4-4549-9E27-FE4F3C1A4FFA}" id="{348C5E44-3A00-4C06-8499-B096653621EB}" parentId="{12DC55E6-A23C-4287-9D59-DF5E5A4436B0}">
    <text>Dauervorschreibung, siehe 2021-103</text>
  </threadedComment>
  <threadedComment ref="M44" dT="2021-08-17T08:17:35.10" personId="{219C0F1D-1BB4-4549-9E27-FE4F3C1A4FFA}" id="{43C60997-5AEA-4A9E-9CC8-4F2AAA6C9FC2}">
    <text>Dauerrechnung vom 28.12.2020, siehe Journal-Beleg 2020-232</text>
  </threadedComment>
  <threadedComment ref="M59" dT="2022-11-25T08:15:10.67" personId="{219C0F1D-1BB4-4549-9E27-FE4F3C1A4FFA}" id="{8784A1CE-2590-4A74-A33D-9BBB99ED2C79}">
    <text>Siehe Jahresabrechnung 191208/100/2021 vom 12.1.2022</text>
  </threadedComment>
  <threadedComment ref="M60" dT="2020-08-27T14:56:40.60" personId="{219C0F1D-1BB4-4549-9E27-FE4F3C1A4FFA}" id="{DEDCC1E4-D8F7-4F99-87ED-0E79AE3345C9}">
    <text>Dauervorschreibung vom 27.05.2021, siehe Journal-Beleg 2021-103</text>
  </threadedComment>
  <threadedComment ref="M60" dT="2021-08-17T08:51:50.88" personId="{219C0F1D-1BB4-4549-9E27-FE4F3C1A4FFA}" id="{CFC31827-57CF-4F83-9804-C83490A09BD5}" parentId="{DEDCC1E4-D8F7-4F99-87ED-0E79AE3345C9}">
    <text>Dauervorschreibung, siehe 2021-103</text>
  </threadedComment>
  <threadedComment ref="M63" dT="2021-08-17T08:17:35.10" personId="{219C0F1D-1BB4-4549-9E27-FE4F3C1A4FFA}" id="{1E8419E3-34E1-4EA9-AB78-ECC6EEBD713B}">
    <text>Dauerrechnung vom 28.12.2020, siehe Journal-Beleg 2020-232</text>
  </threadedComment>
  <threadedComment ref="M68" dT="2022-04-16T14:25:12.08" personId="{219C0F1D-1BB4-4549-9E27-FE4F3C1A4FFA}" id="{B4C869C5-B382-41EA-B0B0-EFAE93748168}">
    <text>Rechnung nicht über vollen Betrag, siehe Mailverkehr</text>
  </threadedComment>
  <threadedComment ref="M77" dT="2022-11-25T08:15:10.67" personId="{219C0F1D-1BB4-4549-9E27-FE4F3C1A4FFA}" id="{7BA74640-9329-4167-A045-51290B8878C7}">
    <text>Siehe Jahresabrechnung 191208/100/2021 vom 12.1.2022</text>
  </threadedComment>
  <threadedComment ref="M78" dT="2020-08-27T14:56:40.60" personId="{219C0F1D-1BB4-4549-9E27-FE4F3C1A4FFA}" id="{554886E4-E155-4DDD-B1FB-E16FC13C94B0}">
    <text>Dauervorschreibung vom 27.05.2021, siehe Journal-Beleg 2021-103</text>
  </threadedComment>
  <threadedComment ref="M78" dT="2021-08-17T08:51:50.88" personId="{219C0F1D-1BB4-4549-9E27-FE4F3C1A4FFA}" id="{5F9D1964-D79D-4C29-9906-E997DEE3E5BA}" parentId="{554886E4-E155-4DDD-B1FB-E16FC13C94B0}">
    <text>Dauervorschreibung, siehe 2021-103</text>
  </threadedComment>
  <threadedComment ref="M79" dT="2021-08-17T08:17:35.10" personId="{219C0F1D-1BB4-4549-9E27-FE4F3C1A4FFA}" id="{72896896-9D15-48F0-806E-4FBB65D1BC3C}">
    <text>Dauerrechnung vom 28.12.2020, siehe Journal-Beleg 2020-232</text>
  </threadedComment>
  <threadedComment ref="M82" dT="2022-07-24T15:55:13.76" personId="{219C0F1D-1BB4-4549-9E27-FE4F3C1A4FFA}" id="{5405AE28-FA38-484C-A01F-06CD9BC1A798}">
    <text>Google Storage</text>
  </threadedComment>
  <threadedComment ref="M89" dT="2022-11-25T08:15:10.67" personId="{219C0F1D-1BB4-4549-9E27-FE4F3C1A4FFA}" id="{79735996-1543-4A71-ACB1-ECAF2956F8AD}">
    <text>Siehe Jahresabrechnung 191208/100/2021 vom 12.1.2022</text>
  </threadedComment>
  <threadedComment ref="M90" dT="2020-08-27T14:56:40.60" personId="{219C0F1D-1BB4-4549-9E27-FE4F3C1A4FFA}" id="{9088CE69-BFE1-4560-A477-8F43425DDC17}">
    <text>Dauervorschreibung vom 27.05.2021, siehe Journal-Beleg 2021-103</text>
  </threadedComment>
  <threadedComment ref="M90" dT="2021-08-17T08:51:50.88" personId="{219C0F1D-1BB4-4549-9E27-FE4F3C1A4FFA}" id="{14548E3F-C48C-4F0D-9BDC-CD8ABBCB4340}" parentId="{9088CE69-BFE1-4560-A477-8F43425DDC17}">
    <text>Dauervorschreibung, siehe 2021-103</text>
  </threadedComment>
  <threadedComment ref="M92" dT="2020-08-27T14:56:40.60" personId="{219C0F1D-1BB4-4549-9E27-FE4F3C1A4FFA}" id="{839C0E90-C500-4029-93F4-DE0751E3C75D}">
    <text>Dauervorschreibung vom 27.05.2021, siehe Journal-Beleg 2021-103</text>
  </threadedComment>
  <threadedComment ref="M92" dT="2021-08-17T08:51:50.88" personId="{219C0F1D-1BB4-4549-9E27-FE4F3C1A4FFA}" id="{37B57BAD-F7C0-4E85-BCFE-88AF3D9B05A1}" parentId="{839C0E90-C500-4029-93F4-DE0751E3C75D}">
    <text>Dauervorschreibung, siehe 2021-103</text>
  </threadedComment>
  <threadedComment ref="M93" dT="2021-08-17T08:17:35.10" personId="{219C0F1D-1BB4-4549-9E27-FE4F3C1A4FFA}" id="{AA1C5076-906A-48EA-B0B1-778BBED8BCA4}">
    <text>Dauerrechnung vom 28.12.2020, siehe Journal-Beleg 2020-232</text>
  </threadedComment>
  <threadedComment ref="M96" dT="2022-07-24T15:55:13.76" personId="{219C0F1D-1BB4-4549-9E27-FE4F3C1A4FFA}" id="{48076BB7-9BD2-40B3-946D-B94F167EC1EB}">
    <text>Google Storage</text>
  </threadedComment>
  <threadedComment ref="M107" dT="2022-11-25T08:15:10.67" personId="{219C0F1D-1BB4-4549-9E27-FE4F3C1A4FFA}" id="{CC82B0FC-A43A-46A3-A949-5105F63BCD81}">
    <text>Siehe Jahresabrechnung 191208/100/2021 vom 12.1.2022</text>
  </threadedComment>
  <threadedComment ref="M109" dT="2020-08-27T14:56:40.60" personId="{219C0F1D-1BB4-4549-9E27-FE4F3C1A4FFA}" id="{0A34648C-0595-4640-B81E-164FE06EDFB8}">
    <text>Dauervorschreibung vom 27.05.2021, siehe Journal-Beleg 2021-103</text>
  </threadedComment>
  <threadedComment ref="M109" dT="2021-08-17T08:51:50.88" personId="{219C0F1D-1BB4-4549-9E27-FE4F3C1A4FFA}" id="{AD50BAF8-DBBC-4DE9-9304-A0CF335A69FD}" parentId="{0A34648C-0595-4640-B81E-164FE06EDFB8}">
    <text>Dauervorschreibung, siehe 2021-103</text>
  </threadedComment>
  <threadedComment ref="M110" dT="2021-08-17T08:17:35.10" personId="{219C0F1D-1BB4-4549-9E27-FE4F3C1A4FFA}" id="{0EB24CEC-EEEA-4D09-8330-18C5054C2181}">
    <text>Dauerrechnung vom 28.12.2020, siehe Journal-Beleg 2020-232</text>
  </threadedComment>
  <threadedComment ref="M123" dT="2022-11-25T08:15:10.67" personId="{219C0F1D-1BB4-4549-9E27-FE4F3C1A4FFA}" id="{362FC863-0B5F-4148-8C3C-EF1230207B15}">
    <text>Siehe Jahresabrechnung 191208/100/2021 vom 12.1.2022</text>
  </threadedComment>
  <threadedComment ref="M136" dT="2022-11-25T08:15:10.67" personId="{219C0F1D-1BB4-4549-9E27-FE4F3C1A4FFA}" id="{1BF0180B-F725-4A8D-A9A4-F6CECC0DCF46}">
    <text>Siehe Jahresabrechnung 191208/100/2021 vom 12.1.2022</text>
  </threadedComment>
  <threadedComment ref="M155" dT="2022-11-25T08:15:10.67" personId="{219C0F1D-1BB4-4549-9E27-FE4F3C1A4FFA}" id="{65D209F0-9625-4F11-9B5E-4AB87F5957FB}">
    <text>Siehe Jahresabrechnung 191208/100/2021 vom 12.1.2022</text>
  </threadedComment>
  <threadedComment ref="M176" dT="2022-11-25T08:15:10.67" personId="{219C0F1D-1BB4-4549-9E27-FE4F3C1A4FFA}" id="{21FCB45B-8863-424D-9FE1-E8AFFFE73851}">
    <text>Siehe Jahresabrechnung 191208/100/2021 vom 12.1.2022</text>
  </threadedComment>
  <threadedComment ref="M191" dT="2022-11-25T08:15:10.67" personId="{219C0F1D-1BB4-4549-9E27-FE4F3C1A4FFA}" id="{012D256A-B590-4F7F-ABF5-04F046C1C56C}">
    <text>Siehe Jahresabrechnung 191208/100/2021 vom 12.1.2022</text>
  </threadedComment>
</ThreadedComments>
</file>

<file path=xl/threadedComments/threadedComment10.xml><?xml version="1.0" encoding="utf-8"?>
<ThreadedComments xmlns="http://schemas.microsoft.com/office/spreadsheetml/2018/threadedcomments" xmlns:x="http://schemas.openxmlformats.org/spreadsheetml/2006/main">
  <threadedComment ref="V3" dT="2020-11-26T10:14:33.86" personId="{219C0F1D-1BB4-4549-9E27-FE4F3C1A4FFA}" id="{DB4B3973-84A3-4864-8A19-132DFEF7D1D4}">
    <text>Vorsteuer manuell</text>
  </threadedComment>
  <threadedComment ref="W3" dT="2020-11-26T10:13:35.34" personId="{219C0F1D-1BB4-4549-9E27-FE4F3C1A4FFA}" id="{08DB3B94-76B1-43E4-8698-F6D39B75C8C7}">
    <text>Vorsteuer manuell</text>
  </threadedComment>
  <threadedComment ref="M4" dT="2022-02-01T19:53:00.12" personId="{219C0F1D-1BB4-4549-9E27-FE4F3C1A4FFA}" id="{FEAA0259-DE09-4418-B0B2-5E07E5626C42}">
    <text>Bankbeleg statt Rechnung</text>
  </threadedComment>
  <threadedComment ref="M5" dT="2020-08-27T14:56:40.60" personId="{219C0F1D-1BB4-4549-9E27-FE4F3C1A4FFA}" id="{14AD921A-765A-483F-9534-EF714C6AA6BF}">
    <text>Dauervorschreibung vom 1.10.2019, siehe Journal-Beleg 2019-165</text>
  </threadedComment>
  <threadedComment ref="M9" dT="2021-03-23T09:10:55.18" personId="{219C0F1D-1BB4-4549-9E27-FE4F3C1A4FFA}" id="{5AA30F08-9715-4925-B42D-14AB0D48F9F7}">
    <text>Dauerrechnung, Beleg siehe 2021-8</text>
  </threadedComment>
  <threadedComment ref="M25" dT="2021-03-23T09:10:55.18" personId="{219C0F1D-1BB4-4549-9E27-FE4F3C1A4FFA}" id="{8E80F728-CEA2-4DE9-B0C5-8D5D509BD7E4}">
    <text>Dauerrechnung, Beleg siehe 2021-8</text>
  </threadedComment>
  <threadedComment ref="M27" dT="2020-08-27T14:56:40.60" personId="{219C0F1D-1BB4-4549-9E27-FE4F3C1A4FFA}" id="{3521C84C-7252-4753-8321-92E8FFCD2371}">
    <text>Dauervorschreibung vom 1.10.2019, siehe Journal-Beleg 2019-165</text>
  </threadedComment>
  <threadedComment ref="M31" dT="2021-08-17T08:17:35.10" personId="{219C0F1D-1BB4-4549-9E27-FE4F3C1A4FFA}" id="{6FAEF9E1-6716-4C4F-8E3F-2AE8705407AA}">
    <text>Dauerrechnung vom 28.12.2020, siehe Journal-Beleg 2020-232</text>
  </threadedComment>
  <threadedComment ref="M33" dT="2021-03-23T09:10:55.18" personId="{219C0F1D-1BB4-4549-9E27-FE4F3C1A4FFA}" id="{FBF47011-5421-45CC-A837-9CACAE7FAD98}">
    <text>Dauerrechnung, Beleg siehe 2021-8</text>
  </threadedComment>
  <threadedComment ref="M40" dT="2021-03-23T09:10:55.18" personId="{219C0F1D-1BB4-4549-9E27-FE4F3C1A4FFA}" id="{7A6EA937-7FCA-4883-B4F0-D1D9E3938311}">
    <text>Dauerrechnung, Beleg siehe 2021-8</text>
  </threadedComment>
  <threadedComment ref="M44" dT="2020-08-27T14:56:40.60" personId="{219C0F1D-1BB4-4549-9E27-FE4F3C1A4FFA}" id="{34798BD4-D287-4629-B693-928E02C45471}">
    <text>Dauervorschreibung vom 1.10.2019, siehe Journal-Beleg 2019-165</text>
  </threadedComment>
  <threadedComment ref="M46" dT="2021-08-17T08:17:35.10" personId="{219C0F1D-1BB4-4549-9E27-FE4F3C1A4FFA}" id="{3C373ADD-820A-47A5-8342-7AD5B10E6A40}">
    <text>Dauerrechnung vom 28.12.2020, siehe Journal-Beleg 2020-232</text>
  </threadedComment>
  <threadedComment ref="M58" dT="2021-03-23T09:10:55.18" personId="{219C0F1D-1BB4-4549-9E27-FE4F3C1A4FFA}" id="{BD9E4BA5-1229-4781-80C4-DE7E5BB4ACFF}">
    <text>Dauerrechnung, Beleg siehe 2021-8</text>
  </threadedComment>
  <threadedComment ref="M60" dT="2020-08-27T14:56:40.60" personId="{219C0F1D-1BB4-4549-9E27-FE4F3C1A4FFA}" id="{A211D076-9AAF-4288-B365-D65BE6AC8E3A}">
    <text>Dauervorschreibung vom 1.10.2019, siehe Journal-Beleg 2019-165</text>
  </threadedComment>
  <threadedComment ref="M64" dT="2021-08-17T08:17:35.10" personId="{219C0F1D-1BB4-4549-9E27-FE4F3C1A4FFA}" id="{EF5FB83F-30A0-43B1-9059-67DB84EAEC6A}">
    <text>Dauerrechnung vom 28.12.2020, siehe Journal-Beleg 2020-232</text>
  </threadedComment>
  <threadedComment ref="M66" dT="2021-05-31T11:57:05.86" personId="{219C0F1D-1BB4-4549-9E27-FE4F3C1A4FFA}" id="{0CC9E41F-4579-4416-A818-3911F7C5765A}">
    <text>RNr -1 (31.3.21): 57,49
RNr -2 (30.4.21): -3,42
------------------------
Payment 4/21:    54,07</text>
  </threadedComment>
  <threadedComment ref="V68" dT="2021-05-31T12:06:08.52" personId="{219C0F1D-1BB4-4549-9E27-FE4F3C1A4FFA}" id="{2BB58E20-D77D-4088-9907-6C25895FECB1}">
    <text>Mahnspesen sind USt befreit</text>
  </threadedComment>
  <threadedComment ref="M74" dT="2021-03-23T09:10:55.18" personId="{219C0F1D-1BB4-4549-9E27-FE4F3C1A4FFA}" id="{2DA476B1-C7C3-47D8-8F80-42CD99DFE4F9}">
    <text>Dauerrechnung, Beleg siehe 2021-8</text>
  </threadedComment>
  <threadedComment ref="M75" dT="2020-08-27T14:56:40.60" personId="{219C0F1D-1BB4-4549-9E27-FE4F3C1A4FFA}" id="{25C97D9E-C312-404F-9639-4E3C77A0E94D}">
    <text>Dauervorschreibung vom 1.10.2019, siehe Journal-Beleg 2019-165</text>
  </threadedComment>
  <threadedComment ref="M77" dT="2021-08-17T08:17:35.10" personId="{219C0F1D-1BB4-4549-9E27-FE4F3C1A4FFA}" id="{797EA2B5-31F1-4676-8BB5-31424903CE39}">
    <text>Dauerrechnung vom 28.12.2020, siehe Journal-Beleg 2020-232</text>
  </threadedComment>
  <threadedComment ref="M80" dT="2022-02-01T19:53:10.75" personId="{219C0F1D-1BB4-4549-9E27-FE4F3C1A4FFA}" id="{CAED9545-13AB-448F-B56F-3C3DC94B9ECF}">
    <text>Bankbeleg statt Rechnung</text>
  </threadedComment>
  <threadedComment ref="M85" dT="2021-03-23T09:10:55.18" personId="{219C0F1D-1BB4-4549-9E27-FE4F3C1A4FFA}" id="{E5EED6C8-EEDD-4C8C-BA78-8B11A08BE65D}">
    <text>Dauerrechnung, Beleg siehe 2021-8</text>
  </threadedComment>
  <threadedComment ref="M86" dT="2020-08-27T14:56:40.60" personId="{219C0F1D-1BB4-4549-9E27-FE4F3C1A4FFA}" id="{D87CEDB0-2604-494A-A19E-3AF51E2A7E1E}">
    <text>Dauervorschreibung vom 1.10.2019, siehe Journal-Beleg 2019-165</text>
  </threadedComment>
  <threadedComment ref="M89" dT="2021-08-17T08:17:35.10" personId="{219C0F1D-1BB4-4549-9E27-FE4F3C1A4FFA}" id="{9608BF26-92B4-4198-97CB-8219DDE50180}">
    <text>Dauerrechnung vom 28.12.2020, siehe Journal-Beleg 2020-232</text>
  </threadedComment>
  <threadedComment ref="M103" dT="2021-03-23T09:10:55.18" personId="{219C0F1D-1BB4-4549-9E27-FE4F3C1A4FFA}" id="{DE11329A-EFF9-4638-9C4E-048EA5804ECD}">
    <text>Dauerrechnung, Beleg siehe 2021-8</text>
  </threadedComment>
  <threadedComment ref="M104" dT="2020-08-27T14:56:40.60" personId="{219C0F1D-1BB4-4549-9E27-FE4F3C1A4FFA}" id="{C24D9257-87CD-4ED4-9B8F-EF4C1990D9A5}">
    <text>Dauervorschreibung vom 27.05.2021, siehe Journal-Beleg 2021-103</text>
  </threadedComment>
  <threadedComment ref="M106" dT="2021-08-17T08:17:35.10" personId="{219C0F1D-1BB4-4549-9E27-FE4F3C1A4FFA}" id="{449657CA-549E-4A7C-A7C6-BE19CFFC6A93}">
    <text>Dauerrechnung vom 28.12.2020, siehe Journal-Beleg 2020-232</text>
  </threadedComment>
  <threadedComment ref="M112" dT="2020-08-27T14:56:40.60" personId="{219C0F1D-1BB4-4549-9E27-FE4F3C1A4FFA}" id="{E8E28E8A-9C8B-4494-A203-9B9AF38D5053}">
    <text>Dauervorschreibung vom 27.05.2021, siehe Journal-Beleg 2021-103</text>
  </threadedComment>
  <threadedComment ref="M112" dT="2021-08-17T08:51:50.88" personId="{219C0F1D-1BB4-4549-9E27-FE4F3C1A4FFA}" id="{DCE3A322-2E45-4C32-8E3F-564F513AD0A2}" parentId="{E8E28E8A-9C8B-4494-A203-9B9AF38D5053}">
    <text>Dauervorschreibung, siehe 2021-103</text>
  </threadedComment>
  <threadedComment ref="M113" dT="2021-08-17T09:02:41.06" personId="{219C0F1D-1BB4-4549-9E27-FE4F3C1A4FFA}" id="{98BCB429-4C53-4C28-9B98-0E8922F18130}">
    <text>Nachtragszahlung zu 21/9001/VS00472</text>
  </threadedComment>
  <threadedComment ref="M117" dT="2021-03-23T09:10:55.18" personId="{219C0F1D-1BB4-4549-9E27-FE4F3C1A4FFA}" id="{FD4F041F-0AFF-4A50-93CB-9127FF48F38C}">
    <text>Dauerrechnung, Beleg siehe 2021-8</text>
  </threadedComment>
  <threadedComment ref="M120" dT="2020-08-27T14:56:40.60" personId="{219C0F1D-1BB4-4549-9E27-FE4F3C1A4FFA}" id="{CECE86CA-CDB9-4F00-9361-DE2EC7B5E03A}">
    <text>Dauervorschreibung vom 27.05.2021, siehe Journal-Beleg 2021-103</text>
  </threadedComment>
  <threadedComment ref="M120" dT="2021-08-17T08:51:50.88" personId="{219C0F1D-1BB4-4549-9E27-FE4F3C1A4FFA}" id="{7D9128DD-A280-49EA-8850-F4DF9EC23DEC}" parentId="{CECE86CA-CDB9-4F00-9361-DE2EC7B5E03A}">
    <text>Dauervorschreibung, siehe 2021-103</text>
  </threadedComment>
  <threadedComment ref="M124" dT="2021-08-17T08:17:35.10" personId="{219C0F1D-1BB4-4549-9E27-FE4F3C1A4FFA}" id="{31A90078-6DB0-4BE7-BFFD-79BE2D42FDA9}">
    <text>Dauerrechnung vom 28.12.2020, siehe Journal-Beleg 2020-232</text>
  </threadedComment>
  <threadedComment ref="M132" dT="2021-03-23T09:10:55.18" personId="{219C0F1D-1BB4-4549-9E27-FE4F3C1A4FFA}" id="{046FEEF5-299E-41AB-A292-DD389A00EF3A}">
    <text>Dauerrechnung, Beleg siehe 2021-8</text>
  </threadedComment>
  <threadedComment ref="M134" dT="2020-08-27T14:56:40.60" personId="{219C0F1D-1BB4-4549-9E27-FE4F3C1A4FFA}" id="{34BE9742-0E83-4136-BEB5-8EE42910298C}">
    <text>Dauervorschreibung vom 27.05.2021, siehe Journal-Beleg 2021-103</text>
  </threadedComment>
  <threadedComment ref="M134" dT="2021-08-17T08:51:50.88" personId="{219C0F1D-1BB4-4549-9E27-FE4F3C1A4FFA}" id="{086971E2-BFC6-4EF0-8ECE-A1C6C89A3B5F}" parentId="{34BE9742-0E83-4136-BEB5-8EE42910298C}">
    <text>Dauervorschreibung, siehe 2021-103</text>
  </threadedComment>
  <threadedComment ref="M137" dT="2021-08-17T08:17:35.10" personId="{219C0F1D-1BB4-4549-9E27-FE4F3C1A4FFA}" id="{11B58AE5-12D7-4FAF-8428-B06F56C45E0B}">
    <text>Dauerrechnung vom 28.12.2020, siehe Journal-Beleg 2020-232</text>
  </threadedComment>
  <threadedComment ref="M147" dT="2021-03-23T09:10:55.18" personId="{219C0F1D-1BB4-4549-9E27-FE4F3C1A4FFA}" id="{5C417FAC-28F8-40F7-9687-920C0CA89B9E}">
    <text>Dauerrechnung, Beleg siehe 2021-8</text>
  </threadedComment>
  <threadedComment ref="M148" dT="2020-08-27T14:56:40.60" personId="{219C0F1D-1BB4-4549-9E27-FE4F3C1A4FFA}" id="{9BC60375-AA13-42CD-A31F-937FB52EC905}">
    <text>Dauervorschreibung vom 27.05.2021, siehe Journal-Beleg 2021-103</text>
  </threadedComment>
  <threadedComment ref="M148" dT="2021-08-17T08:51:50.88" personId="{219C0F1D-1BB4-4549-9E27-FE4F3C1A4FFA}" id="{3803AA97-A955-4EEE-A29C-AB32E7699FE3}" parentId="{9BC60375-AA13-42CD-A31F-937FB52EC905}">
    <text>Dauervorschreibung, siehe 2021-103</text>
  </threadedComment>
  <threadedComment ref="M149" dT="2021-08-17T08:17:35.10" personId="{219C0F1D-1BB4-4549-9E27-FE4F3C1A4FFA}" id="{288142BC-37D7-4B5D-A10F-E37699B9C4C5}">
    <text>Dauerrechnung vom 28.12.2020, siehe Journal-Beleg 2020-232</text>
  </threadedComment>
  <threadedComment ref="M161" dT="2021-12-29T16:42:18.21" personId="{219C0F1D-1BB4-4549-9E27-FE4F3C1A4FFA}" id="{7B11ABC5-4946-4D22-BB54-29AE92B63B15}">
    <text>Es ist nicht ganz klar, ob das die richtige Rechnung ist (Rechnungsdatum 30.9.)</text>
  </threadedComment>
  <threadedComment ref="M162" dT="2021-03-23T09:10:55.18" personId="{219C0F1D-1BB4-4549-9E27-FE4F3C1A4FFA}" id="{06840C74-DC83-4B34-A536-9FB26A73A755}">
    <text>Dauerrechnung, Beleg siehe 2021-8</text>
  </threadedComment>
  <threadedComment ref="M163" dT="2020-08-27T14:56:40.60" personId="{219C0F1D-1BB4-4549-9E27-FE4F3C1A4FFA}" id="{3EA3EADB-3AB2-479B-A3A1-9191CB822081}">
    <text>Dauervorschreibung vom 27.05.2021, siehe Journal-Beleg 2021-103</text>
  </threadedComment>
  <threadedComment ref="M163" dT="2021-08-17T08:51:50.88" personId="{219C0F1D-1BB4-4549-9E27-FE4F3C1A4FFA}" id="{0228CD0F-02EA-4AFE-8365-4F7AEAFFCB31}" parentId="{3EA3EADB-3AB2-479B-A3A1-9191CB822081}">
    <text>Dauervorschreibung, siehe 2021-103</text>
  </threadedComment>
  <threadedComment ref="M166" dT="2021-08-17T08:17:35.10" personId="{219C0F1D-1BB4-4549-9E27-FE4F3C1A4FFA}" id="{9B1373C9-5DE8-49BA-9453-012DFC6BC9A4}">
    <text>Dauerrechnung vom 28.12.2020, siehe Journal-Beleg 2020-232</text>
  </threadedComment>
  <threadedComment ref="M180" dT="2021-03-23T09:10:55.18" personId="{219C0F1D-1BB4-4549-9E27-FE4F3C1A4FFA}" id="{1211187D-6621-44CA-A086-7CBA14EDB779}">
    <text>Dauerrechnung, Beleg siehe 2021-8</text>
  </threadedComment>
  <threadedComment ref="M181" dT="2020-08-27T14:56:40.60" personId="{219C0F1D-1BB4-4549-9E27-FE4F3C1A4FFA}" id="{10814FD8-5AB1-41FF-8C27-9D530CC2503A}">
    <text>Dauervorschreibung vom 27.05.2021, siehe Journal-Beleg 2021-103</text>
  </threadedComment>
  <threadedComment ref="M181" dT="2021-08-17T08:51:50.88" personId="{219C0F1D-1BB4-4549-9E27-FE4F3C1A4FFA}" id="{852B854C-E72F-47C4-999D-2E6C41906514}" parentId="{10814FD8-5AB1-41FF-8C27-9D530CC2503A}">
    <text>Dauervorschreibung, siehe 2021-103</text>
  </threadedComment>
</ThreadedComments>
</file>

<file path=xl/threadedComments/threadedComment11.xml><?xml version="1.0" encoding="utf-8"?>
<ThreadedComments xmlns="http://schemas.microsoft.com/office/spreadsheetml/2018/threadedcomments" xmlns:x="http://schemas.openxmlformats.org/spreadsheetml/2006/main">
  <threadedComment ref="M6" dT="2020-01-20T16:22:55.02" personId="{219C0F1D-1BB4-4549-9E27-FE4F3C1A4FFA}" id="{52A37AAB-69EA-466A-8D24-5D0B4265A0C3}">
    <text>Dauerrechnung (2020)</text>
  </threadedComment>
  <threadedComment ref="S10" dT="2019-01-23T10:52:26.91" personId="{219C0F1D-1BB4-4549-9E27-FE4F3C1A4FFA}" id="{DEFBBB84-CEBA-4611-A873-361671B486B9}">
    <text>nur 20%-Leistungen (Internet)</text>
  </threadedComment>
  <threadedComment ref="M11" dT="2020-08-27T15:48:50.35" personId="{219C0F1D-1BB4-4549-9E27-FE4F3C1A4FFA}" id="{6902C7AA-E2DF-4CF1-933E-04459E1FF006}">
    <text>Dauervorschreibung vom 12.12.2019, siehe Journal-Beleg Nr. 2020-10</text>
  </threadedComment>
  <threadedComment ref="M34" dT="2020-01-20T16:22:55.02" personId="{219C0F1D-1BB4-4549-9E27-FE4F3C1A4FFA}" id="{4F0EB94B-E363-4D3F-AE55-B8AF2DED4842}">
    <text>Dauerrechnung (2020)</text>
  </threadedComment>
  <threadedComment ref="M41" dT="2020-08-27T15:48:50.35" personId="{219C0F1D-1BB4-4549-9E27-FE4F3C1A4FFA}" id="{5CA0A0CD-E90E-4748-8A99-DD6B69044269}">
    <text>Dauervorschreibung vom 12.12.2019, siehe Journal-Beleg Nr. 2020-10</text>
  </threadedComment>
  <threadedComment ref="S60" dT="2019-01-23T10:52:26.91" personId="{219C0F1D-1BB4-4549-9E27-FE4F3C1A4FFA}" id="{93ACAC1F-048C-47FD-AF23-354958A033DB}">
    <text>nur 20%-Leistungen (Internet)</text>
  </threadedComment>
  <threadedComment ref="M74" dT="2020-01-20T16:22:55.02" personId="{219C0F1D-1BB4-4549-9E27-FE4F3C1A4FFA}" id="{796BC8EB-EF22-45C9-AC8C-F0711B4673F4}">
    <text>Dauerrechnung (2020)</text>
  </threadedComment>
  <threadedComment ref="M79" dT="2020-08-27T14:56:40.60" personId="{219C0F1D-1BB4-4549-9E27-FE4F3C1A4FFA}" id="{527C0E20-CB77-450E-9498-1DD46EBEEF83}">
    <text>Dauervorschreibung vom 1.10.2019, siehe Journal-Beleg 2019-165</text>
  </threadedComment>
  <threadedComment ref="M83" dT="2020-08-27T15:48:50.35" personId="{219C0F1D-1BB4-4549-9E27-FE4F3C1A4FFA}" id="{48AD8649-613F-4200-9D16-BA4CC9B23E96}">
    <text>Dauervorschreibung vom 12.12.2019, siehe Journal-Beleg Nr. 2020-10</text>
  </threadedComment>
  <threadedComment ref="M102" dT="2020-01-20T16:22:55.02" personId="{219C0F1D-1BB4-4549-9E27-FE4F3C1A4FFA}" id="{1D4BFF34-C5F2-4160-B4D4-C657011B3C3D}">
    <text>Dauerrechnung (2020)</text>
  </threadedComment>
  <threadedComment ref="M107" dT="2020-08-27T14:56:40.60" personId="{219C0F1D-1BB4-4549-9E27-FE4F3C1A4FFA}" id="{675AF910-6DF9-4AB7-939C-EABF811A2D27}">
    <text>Dauervorschreibung vom 1.10.2019, siehe Journal-Beleg 2019-165</text>
  </threadedComment>
  <threadedComment ref="M115" dT="2020-01-20T16:22:55.02" personId="{219C0F1D-1BB4-4549-9E27-FE4F3C1A4FFA}" id="{480BB9C1-D8ED-46A8-AA69-59AD09AE2E27}">
    <text>Dauerrechnung (2020)</text>
  </threadedComment>
  <threadedComment ref="M116" dT="2020-08-27T14:56:40.60" personId="{219C0F1D-1BB4-4549-9E27-FE4F3C1A4FFA}" id="{FAD13A7D-BC1A-4538-99FD-670AE4B96EB4}">
    <text>Dauervorschreibung vom 1.10.2019, siehe Journal-Beleg 2019-165</text>
  </threadedComment>
  <threadedComment ref="M119" dT="2020-08-27T15:48:50.35" personId="{219C0F1D-1BB4-4549-9E27-FE4F3C1A4FFA}" id="{9D2CEC88-BD9F-43BF-9DE6-C91D9762126F}">
    <text>Dauervorschreibung vom 12.12.2019, siehe Journal-Beleg Nr. 2020-10</text>
  </threadedComment>
  <threadedComment ref="M127" dT="2020-01-20T16:22:55.02" personId="{219C0F1D-1BB4-4549-9E27-FE4F3C1A4FFA}" id="{A55E87FB-BB99-4947-B86D-CFF767F7D2DF}">
    <text>Dauerrechnung (2020)</text>
  </threadedComment>
  <threadedComment ref="M138" dT="2020-01-20T16:22:55.02" personId="{219C0F1D-1BB4-4549-9E27-FE4F3C1A4FFA}" id="{27BADF59-5BA8-408B-82CA-8109AE8304CB}">
    <text>Dauerrechnung (2020)</text>
  </threadedComment>
  <threadedComment ref="M146" dT="2020-08-27T15:48:50.35" personId="{219C0F1D-1BB4-4549-9E27-FE4F3C1A4FFA}" id="{3C92BFDB-7702-4442-9FA7-8012184ABB90}">
    <text>Dauervorschreibung vom 12.12.2019, siehe Journal-Beleg Nr. 2020-10</text>
  </threadedComment>
  <threadedComment ref="M155" dT="2020-08-27T15:31:20.29" personId="{219C0F1D-1BB4-4549-9E27-FE4F3C1A4FFA}" id="{42F311BB-EC1B-4271-B728-714686F7559E}">
    <text>Dauervorschreibung vom 1.7.2020, siehe Journal-Beleg 2020-140</text>
  </threadedComment>
  <threadedComment ref="M156" dT="2020-01-20T16:22:55.02" personId="{219C0F1D-1BB4-4549-9E27-FE4F3C1A4FFA}" id="{DFA0520F-74FB-4959-B169-5C29447100E0}">
    <text>Dauerrechnung (2020)</text>
  </threadedComment>
  <threadedComment ref="M159" dT="2020-08-27T15:48:50.35" personId="{219C0F1D-1BB4-4549-9E27-FE4F3C1A4FFA}" id="{AB63EF2C-69E2-4F9B-B64D-0AC2B6A0A509}">
    <text>Dauervorschreibung vom 12.12.2019, siehe Journal-Beleg Nr. 2020-10</text>
  </threadedComment>
  <threadedComment ref="M170" dT="2020-01-20T16:22:55.02" personId="{219C0F1D-1BB4-4549-9E27-FE4F3C1A4FFA}" id="{60EB1809-859E-468C-AB69-BB6F2977EDF1}">
    <text>Dauerrechnung (2020)</text>
  </threadedComment>
  <threadedComment ref="M175" dT="2020-08-27T15:31:20.29" personId="{219C0F1D-1BB4-4549-9E27-FE4F3C1A4FFA}" id="{0E6607A7-70FD-411B-BB95-AEE00CA2F738}">
    <text>Dauervorschreibung vom 1.7.2020, siehe Journal-Beleg 2020-140</text>
  </threadedComment>
  <threadedComment ref="M178" dT="2020-08-27T15:48:50.35" personId="{219C0F1D-1BB4-4549-9E27-FE4F3C1A4FFA}" id="{DC66A791-4944-45AA-87EE-E23E153C6A6C}">
    <text>Dauervorschreibung vom 12.12.2019, siehe Journal-Beleg Nr. 2020-10</text>
  </threadedComment>
  <threadedComment ref="S182" dT="2020-10-03T14:50:45.36" personId="{219C0F1D-1BB4-4549-9E27-FE4F3C1A4FFA}" id="{D739DD7D-8D36-471C-A139-22CCDE9652E0}">
    <text>Brutto 0,6 € zu viel bezahlt</text>
  </threadedComment>
  <threadedComment ref="O185" dT="2020-10-03T14:56:08.23" personId="{219C0F1D-1BB4-4549-9E27-FE4F3C1A4FFA}" id="{E48BD6C5-E9BE-4584-9380-EFD06BC22696}">
    <text>ausländische USt auf der Rechnung - kein Vorsteuerabzug</text>
  </threadedComment>
  <threadedComment ref="M191" dT="2020-01-20T16:22:55.02" personId="{219C0F1D-1BB4-4549-9E27-FE4F3C1A4FFA}" id="{884DFEA0-4AEC-4B7E-AE54-5D7B1ECE59D5}">
    <text>Dauerrechnung (2020)</text>
  </threadedComment>
  <threadedComment ref="M192" dT="2020-08-27T15:31:20.29" personId="{219C0F1D-1BB4-4549-9E27-FE4F3C1A4FFA}" id="{35BD3DD5-04A8-4834-9316-B5E34BAB5C53}">
    <text>Dauervorschreibung vom 1.7.2020, siehe Journal-Beleg 2020-140</text>
  </threadedComment>
  <threadedComment ref="M194" dT="2020-08-27T15:48:50.35" personId="{219C0F1D-1BB4-4549-9E27-FE4F3C1A4FFA}" id="{BD158228-4FB7-4802-BFC9-BEE89329B442}">
    <text>Dauervorschreibung vom 12.12.2019, siehe Journal-Beleg Nr. 2020-10</text>
  </threadedComment>
  <threadedComment ref="V202" dT="2020-11-26T10:14:33.86" personId="{219C0F1D-1BB4-4549-9E27-FE4F3C1A4FFA}" id="{FBA4FFA6-1D82-46A1-8FBF-F15B5F37A346}">
    <text>Vorsteuer manuell</text>
  </threadedComment>
  <threadedComment ref="W202" dT="2020-11-26T10:13:35.34" personId="{219C0F1D-1BB4-4549-9E27-FE4F3C1A4FFA}" id="{8307807A-25AE-4EEB-8021-7916F6C85841}">
    <text>Vorsteuer manuell</text>
  </threadedComment>
  <threadedComment ref="M204" dT="2020-01-20T16:22:55.02" personId="{219C0F1D-1BB4-4549-9E27-FE4F3C1A4FFA}" id="{6C6A66CC-F066-4838-830C-A7EAFFAA54B4}">
    <text>Dauerrechnung (2020)</text>
  </threadedComment>
  <threadedComment ref="M205" dT="2020-08-27T15:31:20.29" personId="{219C0F1D-1BB4-4549-9E27-FE4F3C1A4FFA}" id="{99E8F843-3120-4B9C-9F4D-26D048309579}">
    <text>Dauervorschreibung vom 1.7.2020, siehe Journal-Beleg 2020-140</text>
  </threadedComment>
  <threadedComment ref="M209" dT="2020-08-27T15:48:50.35" personId="{219C0F1D-1BB4-4549-9E27-FE4F3C1A4FFA}" id="{20827E7F-2D96-4C62-8492-B38FB9A066A1}">
    <text>Dauervorschreibung vom 12.12.2019, siehe Journal-Beleg Nr. 2020-10</text>
  </threadedComment>
  <threadedComment ref="V220" dT="2020-11-26T10:14:33.86" personId="{219C0F1D-1BB4-4549-9E27-FE4F3C1A4FFA}" id="{137D7052-FC6F-44B1-9D1D-9CE5234D4D4F}">
    <text>Vorsteuer manuell</text>
  </threadedComment>
  <threadedComment ref="W220" dT="2020-11-26T10:13:35.34" personId="{219C0F1D-1BB4-4549-9E27-FE4F3C1A4FFA}" id="{B2538BBB-F2BF-4DF7-984A-F7C104D50F14}">
    <text>Vorsteuer manuell</text>
  </threadedComment>
  <threadedComment ref="M222" dT="2020-01-20T16:22:55.02" personId="{219C0F1D-1BB4-4549-9E27-FE4F3C1A4FFA}" id="{A9EBE6FA-A062-4898-9096-7525186F078A}">
    <text>Dauerrechnung (2020)</text>
  </threadedComment>
  <threadedComment ref="M223" dT="2020-08-27T15:31:20.29" personId="{219C0F1D-1BB4-4549-9E27-FE4F3C1A4FFA}" id="{A6B6689A-6CB1-450D-AAE5-28A95ACAC06C}">
    <text>Dauervorschreibung vom 1.7.2020, siehe Journal-Beleg 2020-140</text>
  </threadedComment>
  <threadedComment ref="M229" dT="2020-08-27T14:56:40.60" personId="{219C0F1D-1BB4-4549-9E27-FE4F3C1A4FFA}" id="{B4C46F14-8441-47C8-831B-528FB2E15A08}">
    <text>Dauervorschreibung vom 1.10.2019, siehe Journal-Beleg 2019-165</text>
  </threadedComment>
  <threadedComment ref="V234" dT="2020-11-26T10:14:33.86" personId="{219C0F1D-1BB4-4549-9E27-FE4F3C1A4FFA}" id="{48773C1F-5E31-4376-AF4B-4E357C5398ED}">
    <text>Vorsteuer manuell</text>
  </threadedComment>
  <threadedComment ref="W234" dT="2020-11-26T10:13:35.34" personId="{219C0F1D-1BB4-4549-9E27-FE4F3C1A4FFA}" id="{B26FB52C-EB9D-440D-9DCE-3FFE3C9AC1C9}">
    <text>Vorsteuer manuell</text>
  </threadedComment>
</ThreadedComment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microsoft.com/office/2017/10/relationships/threadedComment" Target="../threadedComments/threadedComment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 Id="rId4" Type="http://schemas.microsoft.com/office/2017/10/relationships/threadedComment" Target="../threadedComments/threadedComment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xml"/><Relationship Id="rId1" Type="http://schemas.openxmlformats.org/officeDocument/2006/relationships/printerSettings" Target="../printerSettings/printerSettings11.bin"/><Relationship Id="rId5" Type="http://schemas.microsoft.com/office/2017/10/relationships/threadedComment" Target="../threadedComments/threadedComment7.xml"/><Relationship Id="rId4"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xml"/><Relationship Id="rId1" Type="http://schemas.openxmlformats.org/officeDocument/2006/relationships/printerSettings" Target="../printerSettings/printerSettings12.bin"/><Relationship Id="rId5" Type="http://schemas.openxmlformats.org/officeDocument/2006/relationships/comments" Target="../comments9.xml"/><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5.bin"/><Relationship Id="rId4" Type="http://schemas.microsoft.com/office/2017/10/relationships/threadedComment" Target="../threadedComments/threadedComment8.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6.bin"/><Relationship Id="rId4" Type="http://schemas.microsoft.com/office/2017/10/relationships/threadedComment" Target="../threadedComments/threadedComment9.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7.bin"/><Relationship Id="rId4" Type="http://schemas.microsoft.com/office/2017/10/relationships/threadedComment" Target="../threadedComments/threadedComment10.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8.bin"/><Relationship Id="rId4" Type="http://schemas.microsoft.com/office/2017/10/relationships/threadedComment" Target="../threadedComments/threadedComment11.xml"/></Relationships>
</file>

<file path=xl/worksheets/_rels/sheet23.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24.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6"/>
  <dimension ref="A1:A2"/>
  <sheetViews>
    <sheetView workbookViewId="0"/>
  </sheetViews>
  <sheetFormatPr baseColWidth="10" defaultRowHeight="15" x14ac:dyDescent="0.25"/>
  <sheetData>
    <row r="1" spans="1:1" x14ac:dyDescent="0.25">
      <c r="A1" s="2" t="s">
        <v>54</v>
      </c>
    </row>
    <row r="2" spans="1:1" x14ac:dyDescent="0.25">
      <c r="A2" t="s">
        <v>149</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tabColor theme="6" tint="0.59999389629810485"/>
    <pageSetUpPr fitToPage="1"/>
  </sheetPr>
  <dimension ref="A1:T267"/>
  <sheetViews>
    <sheetView workbookViewId="0">
      <pane xSplit="1" ySplit="1" topLeftCell="B245" activePane="bottomRight" state="frozen"/>
      <selection pane="topRight" activeCell="B1" sqref="B1"/>
      <selection pane="bottomLeft" activeCell="A2" sqref="A2"/>
      <selection pane="bottomRight" activeCell="D265" sqref="D265"/>
    </sheetView>
  </sheetViews>
  <sheetFormatPr baseColWidth="10" defaultColWidth="8.85546875" defaultRowHeight="15" x14ac:dyDescent="0.25"/>
  <cols>
    <col min="1" max="2" width="21.85546875" style="43" customWidth="1"/>
    <col min="3" max="3" width="12.85546875" style="43" customWidth="1"/>
    <col min="4" max="4" width="21.85546875" style="43" customWidth="1"/>
    <col min="5" max="5" width="18.42578125" style="43" bestFit="1" customWidth="1"/>
    <col min="6" max="6" width="41.28515625" style="43" customWidth="1"/>
    <col min="7" max="7" width="16.7109375" style="43" customWidth="1"/>
    <col min="8" max="8" width="12.42578125" style="45" customWidth="1"/>
    <col min="9" max="9" width="4.7109375" style="43" customWidth="1"/>
    <col min="10" max="10" width="10.28515625" style="45" customWidth="1"/>
    <col min="11" max="11" width="11.140625" style="45" bestFit="1" customWidth="1"/>
    <col min="12" max="12" width="10.140625" style="44" bestFit="1" customWidth="1"/>
    <col min="13" max="13" width="10.140625" style="43" bestFit="1" customWidth="1"/>
    <col min="14" max="15" width="8.85546875" style="43"/>
    <col min="16" max="17" width="10.42578125" style="43" bestFit="1" customWidth="1"/>
    <col min="18" max="19" width="8.85546875" style="43"/>
    <col min="20" max="20" width="10.85546875" style="43" bestFit="1" customWidth="1"/>
    <col min="21" max="16384" width="8.85546875" style="43"/>
  </cols>
  <sheetData>
    <row r="1" spans="1:14" s="40" customFormat="1" x14ac:dyDescent="0.25">
      <c r="A1" s="40" t="s">
        <v>0</v>
      </c>
      <c r="B1" s="40" t="s">
        <v>27</v>
      </c>
      <c r="C1" s="40" t="s">
        <v>122</v>
      </c>
      <c r="D1" s="40" t="s">
        <v>7</v>
      </c>
      <c r="E1" s="40" t="s">
        <v>230</v>
      </c>
      <c r="F1" s="40" t="s">
        <v>26</v>
      </c>
      <c r="G1" s="40" t="s">
        <v>1</v>
      </c>
      <c r="H1" s="41" t="s">
        <v>2</v>
      </c>
      <c r="I1" s="40" t="s">
        <v>3</v>
      </c>
      <c r="J1" s="41" t="s">
        <v>4</v>
      </c>
      <c r="K1" s="41" t="s">
        <v>5</v>
      </c>
      <c r="L1" s="42" t="s">
        <v>46</v>
      </c>
      <c r="M1" s="40" t="s">
        <v>45</v>
      </c>
      <c r="N1" s="2" t="s">
        <v>1356</v>
      </c>
    </row>
    <row r="2" spans="1:14" x14ac:dyDescent="0.25">
      <c r="A2" s="43">
        <v>12015001</v>
      </c>
      <c r="B2" s="44">
        <v>42184</v>
      </c>
      <c r="C2" s="44">
        <f>B2+14</f>
        <v>42198</v>
      </c>
      <c r="D2" s="44">
        <v>42186</v>
      </c>
      <c r="E2" s="44"/>
      <c r="F2" s="43" t="s">
        <v>59</v>
      </c>
      <c r="H2" s="45">
        <v>1864.79</v>
      </c>
      <c r="I2" s="43">
        <v>20</v>
      </c>
      <c r="J2" s="45">
        <f t="shared" ref="J2:J7" si="0">I2*H2/100</f>
        <v>372.95800000000003</v>
      </c>
      <c r="K2" s="45">
        <f t="shared" ref="K2:K7" si="1">H2+J2</f>
        <v>2237.748</v>
      </c>
      <c r="L2" s="44">
        <f t="shared" ref="L2:L10" si="2">IF(ISBLANK(D2),"",voranmeldefrist_vierteljaehrlich(D2))</f>
        <v>42323</v>
      </c>
      <c r="M2" s="44">
        <v>42315</v>
      </c>
      <c r="N2" s="43">
        <f t="shared" ref="N2:N65" ca="1" si="3">IF(ISBLANK(D2),IF(TODAY()&gt;C2,TODAY()-C2,0),IF(D2&gt;C2,D2-C2,0))</f>
        <v>0</v>
      </c>
    </row>
    <row r="3" spans="1:14" x14ac:dyDescent="0.25">
      <c r="A3" s="43">
        <v>12015002</v>
      </c>
      <c r="B3" s="44">
        <v>42185</v>
      </c>
      <c r="C3" s="44">
        <f>B3+14</f>
        <v>42199</v>
      </c>
      <c r="D3" s="44">
        <v>42194</v>
      </c>
      <c r="E3" s="44"/>
      <c r="F3" s="43" t="s">
        <v>60</v>
      </c>
      <c r="H3" s="45">
        <v>13.66</v>
      </c>
      <c r="I3" s="43">
        <v>20</v>
      </c>
      <c r="J3" s="45">
        <f t="shared" si="0"/>
        <v>2.7319999999999998</v>
      </c>
      <c r="K3" s="45">
        <f t="shared" si="1"/>
        <v>16.391999999999999</v>
      </c>
      <c r="L3" s="44">
        <f t="shared" si="2"/>
        <v>42323</v>
      </c>
      <c r="M3" s="44">
        <v>42315</v>
      </c>
      <c r="N3" s="43">
        <f t="shared" ca="1" si="3"/>
        <v>0</v>
      </c>
    </row>
    <row r="4" spans="1:14" x14ac:dyDescent="0.25">
      <c r="A4" s="43">
        <v>12015003</v>
      </c>
      <c r="B4" s="44">
        <v>42200</v>
      </c>
      <c r="C4" s="44">
        <f>B4+30</f>
        <v>42230</v>
      </c>
      <c r="D4" s="44">
        <v>42227</v>
      </c>
      <c r="E4" s="44"/>
      <c r="F4" s="43" t="s">
        <v>59</v>
      </c>
      <c r="H4" s="45">
        <v>5048.33</v>
      </c>
      <c r="I4" s="43">
        <v>20</v>
      </c>
      <c r="J4" s="45">
        <f t="shared" si="0"/>
        <v>1009.6660000000001</v>
      </c>
      <c r="K4" s="45">
        <f t="shared" si="1"/>
        <v>6057.9960000000001</v>
      </c>
      <c r="L4" s="44">
        <f t="shared" si="2"/>
        <v>42323</v>
      </c>
      <c r="M4" s="44">
        <v>42315</v>
      </c>
      <c r="N4" s="43">
        <f t="shared" ca="1" si="3"/>
        <v>0</v>
      </c>
    </row>
    <row r="5" spans="1:14" x14ac:dyDescent="0.25">
      <c r="A5" s="43">
        <v>12015004</v>
      </c>
      <c r="B5" s="44">
        <v>42222</v>
      </c>
      <c r="C5" s="44">
        <f t="shared" ref="C5:C12" si="4">B5+14</f>
        <v>42236</v>
      </c>
      <c r="D5" s="44">
        <v>42223</v>
      </c>
      <c r="E5" s="44"/>
      <c r="F5" s="43" t="s">
        <v>67</v>
      </c>
      <c r="G5" s="46" t="s">
        <v>66</v>
      </c>
      <c r="H5" s="45">
        <v>2055</v>
      </c>
      <c r="I5" s="43">
        <v>20</v>
      </c>
      <c r="J5" s="45">
        <f t="shared" si="0"/>
        <v>411</v>
      </c>
      <c r="K5" s="45">
        <f t="shared" si="1"/>
        <v>2466</v>
      </c>
      <c r="L5" s="44">
        <f t="shared" si="2"/>
        <v>42323</v>
      </c>
      <c r="M5" s="44">
        <v>42315</v>
      </c>
      <c r="N5" s="43">
        <f t="shared" ca="1" si="3"/>
        <v>0</v>
      </c>
    </row>
    <row r="6" spans="1:14" x14ac:dyDescent="0.25">
      <c r="A6" s="43">
        <v>12015005</v>
      </c>
      <c r="B6" s="44">
        <v>42242</v>
      </c>
      <c r="C6" s="44">
        <f t="shared" si="4"/>
        <v>42256</v>
      </c>
      <c r="D6" s="44">
        <v>42244</v>
      </c>
      <c r="E6" s="44"/>
      <c r="F6" s="43" t="s">
        <v>67</v>
      </c>
      <c r="G6" s="46" t="s">
        <v>66</v>
      </c>
      <c r="H6" s="45">
        <v>990</v>
      </c>
      <c r="I6" s="43">
        <v>20</v>
      </c>
      <c r="J6" s="45">
        <f t="shared" si="0"/>
        <v>198</v>
      </c>
      <c r="K6" s="45">
        <f t="shared" si="1"/>
        <v>1188</v>
      </c>
      <c r="L6" s="44">
        <f t="shared" si="2"/>
        <v>42323</v>
      </c>
      <c r="M6" s="44">
        <v>42315</v>
      </c>
      <c r="N6" s="43">
        <f t="shared" ca="1" si="3"/>
        <v>0</v>
      </c>
    </row>
    <row r="7" spans="1:14" x14ac:dyDescent="0.25">
      <c r="A7" s="43">
        <v>12015006</v>
      </c>
      <c r="B7" s="44">
        <v>42255</v>
      </c>
      <c r="C7" s="44">
        <f t="shared" si="4"/>
        <v>42269</v>
      </c>
      <c r="D7" s="44">
        <v>42257</v>
      </c>
      <c r="E7" s="44"/>
      <c r="F7" s="43" t="s">
        <v>90</v>
      </c>
      <c r="G7" s="43" t="s">
        <v>89</v>
      </c>
      <c r="H7" s="45">
        <v>1918.53</v>
      </c>
      <c r="I7" s="43">
        <v>20</v>
      </c>
      <c r="J7" s="45">
        <f t="shared" si="0"/>
        <v>383.70599999999996</v>
      </c>
      <c r="K7" s="45">
        <f t="shared" si="1"/>
        <v>2302.2359999999999</v>
      </c>
      <c r="L7" s="44">
        <f t="shared" si="2"/>
        <v>42323</v>
      </c>
      <c r="M7" s="44">
        <v>42315</v>
      </c>
      <c r="N7" s="43">
        <f t="shared" ca="1" si="3"/>
        <v>0</v>
      </c>
    </row>
    <row r="8" spans="1:14" x14ac:dyDescent="0.25">
      <c r="A8" s="43">
        <v>12015007</v>
      </c>
      <c r="B8" s="44">
        <v>42255</v>
      </c>
      <c r="C8" s="44">
        <f t="shared" si="4"/>
        <v>42269</v>
      </c>
      <c r="D8" s="44">
        <v>42279</v>
      </c>
      <c r="E8" s="44"/>
      <c r="F8" s="43" t="s">
        <v>91</v>
      </c>
      <c r="G8" s="43" t="s">
        <v>92</v>
      </c>
      <c r="H8" s="45">
        <v>51.62</v>
      </c>
      <c r="I8" s="43">
        <v>20</v>
      </c>
      <c r="J8" s="45">
        <f t="shared" ref="J8:J28" si="5">I8*H8/100</f>
        <v>10.323999999999998</v>
      </c>
      <c r="K8" s="45">
        <f t="shared" ref="K8:K28" si="6">H8+J8</f>
        <v>61.943999999999996</v>
      </c>
      <c r="L8" s="44">
        <f t="shared" si="2"/>
        <v>42415</v>
      </c>
      <c r="M8" s="44">
        <v>42414</v>
      </c>
      <c r="N8" s="43">
        <f t="shared" ca="1" si="3"/>
        <v>10</v>
      </c>
    </row>
    <row r="9" spans="1:14" x14ac:dyDescent="0.25">
      <c r="A9" s="43">
        <v>12015008</v>
      </c>
      <c r="B9" s="44">
        <v>42270</v>
      </c>
      <c r="C9" s="44">
        <f t="shared" si="4"/>
        <v>42284</v>
      </c>
      <c r="D9" s="44">
        <v>42271</v>
      </c>
      <c r="E9" s="44"/>
      <c r="F9" s="43" t="s">
        <v>95</v>
      </c>
      <c r="G9" s="43" t="s">
        <v>96</v>
      </c>
      <c r="H9" s="45">
        <v>250</v>
      </c>
      <c r="I9" s="43">
        <v>20</v>
      </c>
      <c r="J9" s="45">
        <f t="shared" si="5"/>
        <v>50</v>
      </c>
      <c r="K9" s="45">
        <f t="shared" si="6"/>
        <v>300</v>
      </c>
      <c r="L9" s="44">
        <f t="shared" si="2"/>
        <v>42323</v>
      </c>
      <c r="M9" s="44">
        <v>42315</v>
      </c>
      <c r="N9" s="43">
        <f t="shared" ca="1" si="3"/>
        <v>0</v>
      </c>
    </row>
    <row r="10" spans="1:14" x14ac:dyDescent="0.25">
      <c r="A10" s="43">
        <v>12015009</v>
      </c>
      <c r="B10" s="44">
        <v>42282</v>
      </c>
      <c r="C10" s="44">
        <f t="shared" si="4"/>
        <v>42296</v>
      </c>
      <c r="D10" s="44">
        <v>42284</v>
      </c>
      <c r="E10" s="44"/>
      <c r="F10" s="43" t="s">
        <v>59</v>
      </c>
      <c r="G10" s="43" t="s">
        <v>101</v>
      </c>
      <c r="H10" s="45">
        <v>4891.25</v>
      </c>
      <c r="I10" s="43">
        <v>20</v>
      </c>
      <c r="J10" s="45">
        <f t="shared" si="5"/>
        <v>978.25</v>
      </c>
      <c r="K10" s="45">
        <f t="shared" si="6"/>
        <v>5869.5</v>
      </c>
      <c r="L10" s="44">
        <f t="shared" si="2"/>
        <v>42415</v>
      </c>
      <c r="M10" s="44">
        <v>42414</v>
      </c>
      <c r="N10" s="43">
        <f t="shared" ca="1" si="3"/>
        <v>0</v>
      </c>
    </row>
    <row r="11" spans="1:14" x14ac:dyDescent="0.25">
      <c r="A11" s="43">
        <v>12015010</v>
      </c>
      <c r="B11" s="44">
        <v>42285</v>
      </c>
      <c r="C11" s="44">
        <f t="shared" si="4"/>
        <v>42299</v>
      </c>
      <c r="D11" s="44">
        <v>42312</v>
      </c>
      <c r="E11" s="44"/>
      <c r="F11" s="43" t="s">
        <v>110</v>
      </c>
      <c r="G11" s="43" t="s">
        <v>92</v>
      </c>
      <c r="H11" s="45">
        <v>180</v>
      </c>
      <c r="I11" s="43">
        <v>20</v>
      </c>
      <c r="J11" s="45">
        <f t="shared" si="5"/>
        <v>36</v>
      </c>
      <c r="K11" s="45">
        <f t="shared" si="6"/>
        <v>216</v>
      </c>
      <c r="L11" s="44">
        <f t="shared" ref="L11:L16" si="7">IF(ISBLANK(D11),"",voranmeldefrist_vierteljaehrlich(D11))</f>
        <v>42415</v>
      </c>
      <c r="M11" s="44">
        <v>42414</v>
      </c>
      <c r="N11" s="43">
        <f t="shared" ca="1" si="3"/>
        <v>13</v>
      </c>
    </row>
    <row r="12" spans="1:14" x14ac:dyDescent="0.25">
      <c r="A12" s="43">
        <v>12015011</v>
      </c>
      <c r="B12" s="44">
        <v>42285</v>
      </c>
      <c r="C12" s="44">
        <f t="shared" si="4"/>
        <v>42299</v>
      </c>
      <c r="D12" s="44">
        <v>42297</v>
      </c>
      <c r="E12" s="44"/>
      <c r="F12" s="43" t="s">
        <v>117</v>
      </c>
      <c r="G12" s="43" t="s">
        <v>92</v>
      </c>
      <c r="H12" s="45">
        <v>102</v>
      </c>
      <c r="I12" s="43">
        <v>20</v>
      </c>
      <c r="J12" s="45">
        <f t="shared" si="5"/>
        <v>20.399999999999999</v>
      </c>
      <c r="K12" s="45">
        <f t="shared" si="6"/>
        <v>122.4</v>
      </c>
      <c r="L12" s="44">
        <f t="shared" si="7"/>
        <v>42415</v>
      </c>
      <c r="M12" s="44">
        <v>42414</v>
      </c>
      <c r="N12" s="43">
        <f t="shared" ca="1" si="3"/>
        <v>0</v>
      </c>
    </row>
    <row r="13" spans="1:14" x14ac:dyDescent="0.25">
      <c r="A13" s="43">
        <v>12015012</v>
      </c>
      <c r="B13" s="44">
        <v>42309</v>
      </c>
      <c r="C13" s="44">
        <f>B13+45</f>
        <v>42354</v>
      </c>
      <c r="D13" s="44">
        <v>42354</v>
      </c>
      <c r="E13" s="44"/>
      <c r="F13" s="43" t="s">
        <v>123</v>
      </c>
      <c r="G13" s="43" t="s">
        <v>124</v>
      </c>
      <c r="H13" s="45">
        <v>877.5</v>
      </c>
      <c r="I13" s="43">
        <v>20</v>
      </c>
      <c r="J13" s="45">
        <f t="shared" si="5"/>
        <v>175.5</v>
      </c>
      <c r="K13" s="45">
        <f t="shared" si="6"/>
        <v>1053</v>
      </c>
      <c r="L13" s="44">
        <f t="shared" si="7"/>
        <v>42415</v>
      </c>
      <c r="M13" s="44">
        <v>42414</v>
      </c>
      <c r="N13" s="43">
        <f t="shared" ca="1" si="3"/>
        <v>0</v>
      </c>
    </row>
    <row r="14" spans="1:14" x14ac:dyDescent="0.25">
      <c r="A14" s="43">
        <v>12015013</v>
      </c>
      <c r="B14" s="44">
        <v>42331</v>
      </c>
      <c r="C14" s="44">
        <f>B14+14</f>
        <v>42345</v>
      </c>
      <c r="D14" s="44">
        <v>42332</v>
      </c>
      <c r="E14" s="44"/>
      <c r="F14" s="43" t="s">
        <v>59</v>
      </c>
      <c r="G14" s="43" t="s">
        <v>166</v>
      </c>
      <c r="H14" s="45">
        <v>910</v>
      </c>
      <c r="I14" s="43">
        <v>20</v>
      </c>
      <c r="J14" s="45">
        <f t="shared" si="5"/>
        <v>182</v>
      </c>
      <c r="K14" s="45">
        <f t="shared" si="6"/>
        <v>1092</v>
      </c>
      <c r="L14" s="44">
        <f t="shared" si="7"/>
        <v>42415</v>
      </c>
      <c r="M14" s="44">
        <v>42414</v>
      </c>
      <c r="N14" s="43">
        <f t="shared" ca="1" si="3"/>
        <v>0</v>
      </c>
    </row>
    <row r="15" spans="1:14" x14ac:dyDescent="0.25">
      <c r="A15" s="43">
        <v>12015014</v>
      </c>
      <c r="B15" s="44">
        <v>42339</v>
      </c>
      <c r="C15" s="44">
        <f>B15+45</f>
        <v>42384</v>
      </c>
      <c r="D15" s="44">
        <v>42394</v>
      </c>
      <c r="E15" s="44"/>
      <c r="F15" s="43" t="s">
        <v>123</v>
      </c>
      <c r="G15" s="43" t="s">
        <v>124</v>
      </c>
      <c r="H15" s="45">
        <v>12935</v>
      </c>
      <c r="I15" s="43">
        <v>20</v>
      </c>
      <c r="J15" s="45">
        <f t="shared" si="5"/>
        <v>2587</v>
      </c>
      <c r="K15" s="45">
        <f t="shared" si="6"/>
        <v>15522</v>
      </c>
      <c r="L15" s="44">
        <f t="shared" si="7"/>
        <v>42505</v>
      </c>
      <c r="M15" s="44">
        <v>42499</v>
      </c>
      <c r="N15" s="43">
        <f t="shared" ca="1" si="3"/>
        <v>10</v>
      </c>
    </row>
    <row r="16" spans="1:14" x14ac:dyDescent="0.25">
      <c r="A16" s="43">
        <v>12015015</v>
      </c>
      <c r="B16" s="44">
        <v>42355</v>
      </c>
      <c r="C16" s="44">
        <f>B16+60</f>
        <v>42415</v>
      </c>
      <c r="D16" s="44">
        <v>42401</v>
      </c>
      <c r="E16" s="44"/>
      <c r="F16" s="43" t="s">
        <v>123</v>
      </c>
      <c r="G16" s="43" t="s">
        <v>124</v>
      </c>
      <c r="H16" s="45">
        <v>6662.5</v>
      </c>
      <c r="I16" s="43">
        <v>20</v>
      </c>
      <c r="J16" s="45">
        <f t="shared" si="5"/>
        <v>1332.5</v>
      </c>
      <c r="K16" s="45">
        <f t="shared" si="6"/>
        <v>7995</v>
      </c>
      <c r="L16" s="44">
        <f t="shared" si="7"/>
        <v>42505</v>
      </c>
      <c r="M16" s="44">
        <v>42499</v>
      </c>
      <c r="N16" s="43">
        <f t="shared" ca="1" si="3"/>
        <v>0</v>
      </c>
    </row>
    <row r="17" spans="1:14" x14ac:dyDescent="0.25">
      <c r="A17" s="43">
        <v>12015016</v>
      </c>
      <c r="B17" s="44">
        <v>42366</v>
      </c>
      <c r="C17" s="44">
        <f>B17+14</f>
        <v>42380</v>
      </c>
      <c r="D17" s="44">
        <v>42373</v>
      </c>
      <c r="E17" s="44"/>
      <c r="F17" s="43" t="s">
        <v>59</v>
      </c>
      <c r="G17" s="43" t="s">
        <v>101</v>
      </c>
      <c r="H17" s="45">
        <v>1543.75</v>
      </c>
      <c r="I17" s="43">
        <v>20</v>
      </c>
      <c r="J17" s="45">
        <f t="shared" si="5"/>
        <v>308.75</v>
      </c>
      <c r="K17" s="45">
        <f t="shared" si="6"/>
        <v>1852.5</v>
      </c>
      <c r="L17" s="44">
        <f t="shared" ref="L17:L28" si="8">IF(ISBLANK(D17),"",voranmeldefrist_vierteljaehrlich(D17))</f>
        <v>42505</v>
      </c>
      <c r="M17" s="44">
        <v>42499</v>
      </c>
      <c r="N17" s="43">
        <f t="shared" ca="1" si="3"/>
        <v>0</v>
      </c>
    </row>
    <row r="18" spans="1:14" x14ac:dyDescent="0.25">
      <c r="A18" s="43">
        <v>12015017</v>
      </c>
      <c r="B18" s="44">
        <v>42366</v>
      </c>
      <c r="C18" s="44">
        <f>B18+14</f>
        <v>42380</v>
      </c>
      <c r="D18" s="44">
        <v>42373</v>
      </c>
      <c r="E18" s="44"/>
      <c r="F18" s="43" t="s">
        <v>59</v>
      </c>
      <c r="G18" s="43" t="s">
        <v>175</v>
      </c>
      <c r="H18" s="45">
        <v>3331.25</v>
      </c>
      <c r="I18" s="43">
        <v>20</v>
      </c>
      <c r="J18" s="45">
        <f t="shared" si="5"/>
        <v>666.25</v>
      </c>
      <c r="K18" s="45">
        <f t="shared" si="6"/>
        <v>3997.5</v>
      </c>
      <c r="L18" s="44">
        <f t="shared" si="8"/>
        <v>42505</v>
      </c>
      <c r="M18" s="44">
        <v>42499</v>
      </c>
      <c r="N18" s="43">
        <f t="shared" ca="1" si="3"/>
        <v>0</v>
      </c>
    </row>
    <row r="19" spans="1:14" x14ac:dyDescent="0.25">
      <c r="A19" s="43">
        <v>12016001</v>
      </c>
      <c r="B19" s="44">
        <v>42392</v>
      </c>
      <c r="C19" s="44">
        <f>B19+14</f>
        <v>42406</v>
      </c>
      <c r="D19" s="44">
        <v>42418</v>
      </c>
      <c r="F19" s="43" t="s">
        <v>181</v>
      </c>
      <c r="G19" s="43" t="s">
        <v>182</v>
      </c>
      <c r="H19" s="45">
        <v>42</v>
      </c>
      <c r="I19" s="43">
        <v>20</v>
      </c>
      <c r="J19" s="45">
        <f t="shared" si="5"/>
        <v>8.4</v>
      </c>
      <c r="K19" s="45">
        <f t="shared" si="6"/>
        <v>50.4</v>
      </c>
      <c r="L19" s="44">
        <f t="shared" si="8"/>
        <v>42505</v>
      </c>
      <c r="M19" s="44">
        <v>42499</v>
      </c>
      <c r="N19" s="43">
        <f t="shared" ca="1" si="3"/>
        <v>12</v>
      </c>
    </row>
    <row r="20" spans="1:14" x14ac:dyDescent="0.25">
      <c r="A20" s="43">
        <v>12016002</v>
      </c>
      <c r="B20" s="44">
        <v>42401</v>
      </c>
      <c r="C20" s="44">
        <f>B20+45</f>
        <v>42446</v>
      </c>
      <c r="D20" s="44">
        <v>42445</v>
      </c>
      <c r="F20" s="43" t="s">
        <v>123</v>
      </c>
      <c r="G20" s="43" t="s">
        <v>124</v>
      </c>
      <c r="H20" s="45">
        <v>7767.5</v>
      </c>
      <c r="I20" s="43">
        <v>20</v>
      </c>
      <c r="J20" s="45">
        <f t="shared" si="5"/>
        <v>1553.5</v>
      </c>
      <c r="K20" s="45">
        <f t="shared" si="6"/>
        <v>9321</v>
      </c>
      <c r="L20" s="44">
        <f t="shared" si="8"/>
        <v>42505</v>
      </c>
      <c r="M20" s="44">
        <v>42499</v>
      </c>
      <c r="N20" s="43">
        <f t="shared" ca="1" si="3"/>
        <v>0</v>
      </c>
    </row>
    <row r="21" spans="1:14" x14ac:dyDescent="0.25">
      <c r="A21" s="43">
        <v>12016003</v>
      </c>
      <c r="B21" s="44">
        <v>42431</v>
      </c>
      <c r="C21" s="44">
        <f>B21+45</f>
        <v>42476</v>
      </c>
      <c r="D21" s="44">
        <v>42473</v>
      </c>
      <c r="F21" s="43" t="s">
        <v>123</v>
      </c>
      <c r="G21" s="43" t="s">
        <v>124</v>
      </c>
      <c r="H21" s="45">
        <v>10302.5</v>
      </c>
      <c r="I21" s="43">
        <v>20</v>
      </c>
      <c r="J21" s="45">
        <f t="shared" si="5"/>
        <v>2060.5</v>
      </c>
      <c r="K21" s="45">
        <f t="shared" si="6"/>
        <v>12363</v>
      </c>
      <c r="L21" s="44">
        <f t="shared" si="8"/>
        <v>42597</v>
      </c>
      <c r="M21" s="44">
        <v>42600</v>
      </c>
      <c r="N21" s="43">
        <f t="shared" ca="1" si="3"/>
        <v>0</v>
      </c>
    </row>
    <row r="22" spans="1:14" x14ac:dyDescent="0.25">
      <c r="A22" s="43">
        <v>12016004</v>
      </c>
      <c r="B22" s="44">
        <v>42431</v>
      </c>
      <c r="C22" s="44">
        <f>B22+14</f>
        <v>42445</v>
      </c>
      <c r="D22" s="44">
        <v>42445</v>
      </c>
      <c r="F22" s="43" t="s">
        <v>257</v>
      </c>
      <c r="G22" s="43" t="s">
        <v>256</v>
      </c>
      <c r="H22" s="45">
        <v>252.5</v>
      </c>
      <c r="I22" s="43">
        <v>20</v>
      </c>
      <c r="J22" s="45">
        <f t="shared" si="5"/>
        <v>50.5</v>
      </c>
      <c r="K22" s="45">
        <f t="shared" si="6"/>
        <v>303</v>
      </c>
      <c r="L22" s="44">
        <f t="shared" si="8"/>
        <v>42505</v>
      </c>
      <c r="M22" s="44">
        <v>42499</v>
      </c>
      <c r="N22" s="43">
        <f t="shared" ca="1" si="3"/>
        <v>0</v>
      </c>
    </row>
    <row r="23" spans="1:14" x14ac:dyDescent="0.25">
      <c r="A23" s="43">
        <v>12016005</v>
      </c>
      <c r="B23" s="44">
        <v>42447</v>
      </c>
      <c r="C23" s="44">
        <f>B23+14</f>
        <v>42461</v>
      </c>
      <c r="D23" s="44">
        <v>42468</v>
      </c>
      <c r="F23" s="43" t="s">
        <v>91</v>
      </c>
      <c r="G23" s="43" t="s">
        <v>92</v>
      </c>
      <c r="H23" s="45">
        <v>51.62</v>
      </c>
      <c r="I23" s="43">
        <v>20</v>
      </c>
      <c r="J23" s="45">
        <f t="shared" si="5"/>
        <v>10.323999999999998</v>
      </c>
      <c r="K23" s="45">
        <f t="shared" si="6"/>
        <v>61.943999999999996</v>
      </c>
      <c r="L23" s="44">
        <f t="shared" si="8"/>
        <v>42597</v>
      </c>
      <c r="M23" s="44">
        <v>42600</v>
      </c>
      <c r="N23" s="43">
        <f t="shared" ca="1" si="3"/>
        <v>7</v>
      </c>
    </row>
    <row r="24" spans="1:14" x14ac:dyDescent="0.25">
      <c r="A24" s="43">
        <v>12016006</v>
      </c>
      <c r="B24" s="44">
        <v>42461</v>
      </c>
      <c r="C24" s="44">
        <f>B24+45</f>
        <v>42506</v>
      </c>
      <c r="D24" s="44">
        <v>42507</v>
      </c>
      <c r="F24" s="43" t="s">
        <v>123</v>
      </c>
      <c r="G24" s="43" t="s">
        <v>124</v>
      </c>
      <c r="H24" s="45">
        <v>12057.5</v>
      </c>
      <c r="I24" s="43">
        <v>20</v>
      </c>
      <c r="J24" s="45">
        <f t="shared" si="5"/>
        <v>2411.5</v>
      </c>
      <c r="K24" s="45">
        <f t="shared" si="6"/>
        <v>14469</v>
      </c>
      <c r="L24" s="44">
        <f t="shared" si="8"/>
        <v>42597</v>
      </c>
      <c r="M24" s="44">
        <v>42600</v>
      </c>
      <c r="N24" s="43">
        <f t="shared" ca="1" si="3"/>
        <v>1</v>
      </c>
    </row>
    <row r="25" spans="1:14" x14ac:dyDescent="0.25">
      <c r="A25" s="43">
        <v>12016007</v>
      </c>
      <c r="B25" s="44">
        <v>42492</v>
      </c>
      <c r="C25" s="44">
        <f>B25+45</f>
        <v>42537</v>
      </c>
      <c r="D25" s="44">
        <v>42538</v>
      </c>
      <c r="F25" s="43" t="s">
        <v>123</v>
      </c>
      <c r="G25" s="43" t="s">
        <v>124</v>
      </c>
      <c r="H25" s="45">
        <v>11651.25</v>
      </c>
      <c r="I25" s="43">
        <v>20</v>
      </c>
      <c r="J25" s="45">
        <f t="shared" si="5"/>
        <v>2330.25</v>
      </c>
      <c r="K25" s="45">
        <f t="shared" si="6"/>
        <v>13981.5</v>
      </c>
      <c r="L25" s="44">
        <f t="shared" si="8"/>
        <v>42597</v>
      </c>
      <c r="M25" s="44">
        <v>42600</v>
      </c>
      <c r="N25" s="43">
        <f t="shared" ca="1" si="3"/>
        <v>1</v>
      </c>
    </row>
    <row r="26" spans="1:14" x14ac:dyDescent="0.25">
      <c r="A26" s="43">
        <v>12016008</v>
      </c>
      <c r="B26" s="44">
        <v>42492</v>
      </c>
      <c r="C26" s="44">
        <f>B26+14</f>
        <v>42506</v>
      </c>
      <c r="D26" s="44">
        <v>42509</v>
      </c>
      <c r="F26" s="43" t="s">
        <v>90</v>
      </c>
      <c r="G26" s="43" t="s">
        <v>273</v>
      </c>
      <c r="H26" s="45">
        <v>1010.37</v>
      </c>
      <c r="I26" s="43">
        <v>20</v>
      </c>
      <c r="J26" s="45">
        <f t="shared" si="5"/>
        <v>202.07400000000001</v>
      </c>
      <c r="K26" s="45">
        <f t="shared" si="6"/>
        <v>1212.444</v>
      </c>
      <c r="L26" s="44">
        <f t="shared" si="8"/>
        <v>42597</v>
      </c>
      <c r="M26" s="44">
        <v>42600</v>
      </c>
      <c r="N26" s="43">
        <f t="shared" ca="1" si="3"/>
        <v>3</v>
      </c>
    </row>
    <row r="27" spans="1:14" x14ac:dyDescent="0.25">
      <c r="A27" s="43">
        <v>12016009</v>
      </c>
      <c r="B27" s="44">
        <v>42530</v>
      </c>
      <c r="C27" s="44">
        <f>B27+14</f>
        <v>42544</v>
      </c>
      <c r="D27" s="44">
        <v>42535</v>
      </c>
      <c r="F27" s="43" t="s">
        <v>319</v>
      </c>
      <c r="G27" s="43" t="s">
        <v>92</v>
      </c>
      <c r="H27" s="45">
        <v>30.42</v>
      </c>
      <c r="I27" s="43">
        <v>20</v>
      </c>
      <c r="J27" s="45">
        <f t="shared" si="5"/>
        <v>6.0840000000000005</v>
      </c>
      <c r="K27" s="45">
        <f t="shared" si="6"/>
        <v>36.504000000000005</v>
      </c>
      <c r="L27" s="44">
        <f t="shared" si="8"/>
        <v>42597</v>
      </c>
      <c r="M27" s="44">
        <v>42600</v>
      </c>
      <c r="N27" s="43">
        <f t="shared" ca="1" si="3"/>
        <v>0</v>
      </c>
    </row>
    <row r="28" spans="1:14" x14ac:dyDescent="0.25">
      <c r="A28" s="43">
        <v>12016010</v>
      </c>
      <c r="B28" s="44">
        <v>42545</v>
      </c>
      <c r="C28" s="44">
        <f>B28+14</f>
        <v>42559</v>
      </c>
      <c r="D28" s="44">
        <v>42586</v>
      </c>
      <c r="E28" s="44">
        <v>42576</v>
      </c>
      <c r="F28" s="43" t="s">
        <v>338</v>
      </c>
      <c r="G28" s="43" t="s">
        <v>92</v>
      </c>
      <c r="H28" s="45">
        <v>32.14</v>
      </c>
      <c r="I28" s="43">
        <v>20</v>
      </c>
      <c r="J28" s="45">
        <f t="shared" si="5"/>
        <v>6.4279999999999999</v>
      </c>
      <c r="K28" s="45">
        <f t="shared" si="6"/>
        <v>38.567999999999998</v>
      </c>
      <c r="L28" s="44">
        <f t="shared" si="8"/>
        <v>42689</v>
      </c>
      <c r="M28" s="44">
        <v>42687</v>
      </c>
      <c r="N28" s="43">
        <f t="shared" ca="1" si="3"/>
        <v>27</v>
      </c>
    </row>
    <row r="29" spans="1:14" x14ac:dyDescent="0.25">
      <c r="A29" s="43">
        <v>12016011</v>
      </c>
      <c r="B29" s="44">
        <v>42545</v>
      </c>
      <c r="C29" s="44">
        <f>B29+14</f>
        <v>42559</v>
      </c>
      <c r="D29" s="44">
        <v>42556</v>
      </c>
      <c r="F29" s="43" t="s">
        <v>59</v>
      </c>
      <c r="G29" s="43" t="s">
        <v>101</v>
      </c>
      <c r="H29" s="45">
        <v>5383.52</v>
      </c>
      <c r="I29" s="43">
        <v>20</v>
      </c>
      <c r="J29" s="45">
        <f t="shared" ref="J29:J38" si="9">I29*H29/100</f>
        <v>1076.7040000000002</v>
      </c>
      <c r="K29" s="45">
        <f t="shared" ref="K29:K38" si="10">H29+J29</f>
        <v>6460.2240000000002</v>
      </c>
      <c r="L29" s="44">
        <f t="shared" ref="L29:L35" si="11">IF(ISBLANK(D29),"",voranmeldefrist_vierteljaehrlich(D29))</f>
        <v>42689</v>
      </c>
      <c r="M29" s="44">
        <v>42687</v>
      </c>
      <c r="N29" s="43">
        <f t="shared" ca="1" si="3"/>
        <v>0</v>
      </c>
    </row>
    <row r="30" spans="1:14" x14ac:dyDescent="0.25">
      <c r="A30" s="43">
        <v>12016012</v>
      </c>
      <c r="B30" s="44">
        <v>42621</v>
      </c>
      <c r="C30" s="44">
        <f>B30+14</f>
        <v>42635</v>
      </c>
      <c r="D30" s="44">
        <v>42650</v>
      </c>
      <c r="F30" s="43" t="s">
        <v>91</v>
      </c>
      <c r="G30" s="43" t="s">
        <v>92</v>
      </c>
      <c r="H30" s="45">
        <v>51.68</v>
      </c>
      <c r="I30" s="43">
        <v>20</v>
      </c>
      <c r="J30" s="45">
        <f t="shared" si="9"/>
        <v>10.335999999999999</v>
      </c>
      <c r="K30" s="45">
        <f t="shared" si="10"/>
        <v>62.015999999999998</v>
      </c>
      <c r="L30" s="44">
        <f t="shared" si="11"/>
        <v>42781</v>
      </c>
      <c r="M30" s="44">
        <v>42777</v>
      </c>
      <c r="N30" s="43">
        <f t="shared" ca="1" si="3"/>
        <v>15</v>
      </c>
    </row>
    <row r="31" spans="1:14" x14ac:dyDescent="0.25">
      <c r="A31" s="43">
        <v>12016013</v>
      </c>
      <c r="B31" s="44">
        <v>42640</v>
      </c>
      <c r="C31" s="44">
        <f>B31+7</f>
        <v>42647</v>
      </c>
      <c r="D31" s="44">
        <v>42642</v>
      </c>
      <c r="F31" s="43" t="s">
        <v>95</v>
      </c>
      <c r="G31" s="43" t="s">
        <v>416</v>
      </c>
      <c r="H31" s="45">
        <v>2460</v>
      </c>
      <c r="I31" s="43">
        <v>20</v>
      </c>
      <c r="J31" s="45">
        <f t="shared" si="9"/>
        <v>492</v>
      </c>
      <c r="K31" s="45">
        <f t="shared" si="10"/>
        <v>2952</v>
      </c>
      <c r="L31" s="44">
        <f t="shared" si="11"/>
        <v>42689</v>
      </c>
      <c r="M31" s="44">
        <v>42687</v>
      </c>
      <c r="N31" s="43">
        <f t="shared" ca="1" si="3"/>
        <v>0</v>
      </c>
    </row>
    <row r="32" spans="1:14" x14ac:dyDescent="0.25">
      <c r="A32" s="43">
        <v>12016014</v>
      </c>
      <c r="B32" s="44">
        <v>42650</v>
      </c>
      <c r="C32" s="44">
        <f>B32+7</f>
        <v>42657</v>
      </c>
      <c r="D32" s="44">
        <v>42696</v>
      </c>
      <c r="F32" s="43" t="s">
        <v>110</v>
      </c>
      <c r="G32" s="43" t="s">
        <v>92</v>
      </c>
      <c r="H32" s="45">
        <v>192.42</v>
      </c>
      <c r="I32" s="43">
        <v>20</v>
      </c>
      <c r="J32" s="45">
        <f t="shared" si="9"/>
        <v>38.483999999999995</v>
      </c>
      <c r="K32" s="45">
        <f t="shared" si="10"/>
        <v>230.904</v>
      </c>
      <c r="L32" s="44">
        <f t="shared" si="11"/>
        <v>42781</v>
      </c>
      <c r="M32" s="44">
        <v>42777</v>
      </c>
      <c r="N32" s="43">
        <f t="shared" ca="1" si="3"/>
        <v>39</v>
      </c>
    </row>
    <row r="33" spans="1:14" x14ac:dyDescent="0.25">
      <c r="A33" s="43">
        <v>12016015</v>
      </c>
      <c r="B33" s="44">
        <v>42650</v>
      </c>
      <c r="C33" s="44">
        <f>B33+7</f>
        <v>42657</v>
      </c>
      <c r="D33" s="44">
        <v>42661</v>
      </c>
      <c r="F33" s="43" t="s">
        <v>117</v>
      </c>
      <c r="G33" s="43" t="s">
        <v>92</v>
      </c>
      <c r="H33" s="45">
        <v>114.42</v>
      </c>
      <c r="I33" s="43">
        <v>20</v>
      </c>
      <c r="J33" s="45">
        <f t="shared" si="9"/>
        <v>22.884</v>
      </c>
      <c r="K33" s="45">
        <f t="shared" si="10"/>
        <v>137.304</v>
      </c>
      <c r="L33" s="44">
        <f t="shared" si="11"/>
        <v>42781</v>
      </c>
      <c r="M33" s="44">
        <v>42777</v>
      </c>
      <c r="N33" s="43">
        <f t="shared" ca="1" si="3"/>
        <v>4</v>
      </c>
    </row>
    <row r="34" spans="1:14" x14ac:dyDescent="0.25">
      <c r="A34" s="43">
        <v>12016016</v>
      </c>
      <c r="B34" s="44">
        <v>42691</v>
      </c>
      <c r="C34" s="44">
        <f t="shared" ref="C34:C54" si="12">B34+14</f>
        <v>42705</v>
      </c>
      <c r="D34" s="44">
        <v>42692</v>
      </c>
      <c r="F34" s="43" t="s">
        <v>59</v>
      </c>
      <c r="G34" s="43" t="s">
        <v>175</v>
      </c>
      <c r="H34" s="45">
        <v>4223.7</v>
      </c>
      <c r="I34" s="43">
        <v>20</v>
      </c>
      <c r="J34" s="45">
        <f t="shared" si="9"/>
        <v>844.74</v>
      </c>
      <c r="K34" s="45">
        <f t="shared" si="10"/>
        <v>5068.4399999999996</v>
      </c>
      <c r="L34" s="44">
        <f t="shared" si="11"/>
        <v>42781</v>
      </c>
      <c r="M34" s="44">
        <v>42777</v>
      </c>
      <c r="N34" s="43">
        <f t="shared" ca="1" si="3"/>
        <v>0</v>
      </c>
    </row>
    <row r="35" spans="1:14" x14ac:dyDescent="0.25">
      <c r="A35" s="43">
        <v>12017001</v>
      </c>
      <c r="B35" s="44">
        <v>42749</v>
      </c>
      <c r="C35" s="44">
        <f t="shared" si="12"/>
        <v>42763</v>
      </c>
      <c r="D35" s="44">
        <v>42789</v>
      </c>
      <c r="E35" s="44">
        <v>42782</v>
      </c>
      <c r="F35" s="43" t="s">
        <v>181</v>
      </c>
      <c r="G35" s="43" t="s">
        <v>182</v>
      </c>
      <c r="H35" s="45">
        <v>42</v>
      </c>
      <c r="I35" s="43">
        <v>20</v>
      </c>
      <c r="J35" s="45">
        <f t="shared" si="9"/>
        <v>8.4</v>
      </c>
      <c r="K35" s="45">
        <f t="shared" si="10"/>
        <v>50.4</v>
      </c>
      <c r="L35" s="44">
        <f t="shared" si="11"/>
        <v>42870</v>
      </c>
      <c r="M35" s="44">
        <v>42860</v>
      </c>
      <c r="N35" s="43">
        <f t="shared" ca="1" si="3"/>
        <v>26</v>
      </c>
    </row>
    <row r="36" spans="1:14" x14ac:dyDescent="0.25">
      <c r="A36" s="43">
        <v>12017002</v>
      </c>
      <c r="B36" s="44">
        <v>42830</v>
      </c>
      <c r="C36" s="44">
        <f t="shared" si="12"/>
        <v>42844</v>
      </c>
      <c r="D36" s="44">
        <v>42836</v>
      </c>
      <c r="F36" s="43" t="s">
        <v>90</v>
      </c>
      <c r="G36" s="43" t="s">
        <v>101</v>
      </c>
      <c r="H36" s="45">
        <v>701.25</v>
      </c>
      <c r="I36" s="43">
        <v>20</v>
      </c>
      <c r="J36" s="45">
        <f t="shared" si="9"/>
        <v>140.25</v>
      </c>
      <c r="K36" s="45">
        <f t="shared" si="10"/>
        <v>841.5</v>
      </c>
      <c r="L36" s="44">
        <f t="shared" ref="L36:L44" si="13">IF(ISBLANK(D36),"",voranmeldefrist_vierteljaehrlich(D36))</f>
        <v>42962</v>
      </c>
      <c r="M36" s="44">
        <v>42983</v>
      </c>
      <c r="N36" s="43">
        <f t="shared" ca="1" si="3"/>
        <v>0</v>
      </c>
    </row>
    <row r="37" spans="1:14" x14ac:dyDescent="0.25">
      <c r="A37" s="43">
        <v>12017003</v>
      </c>
      <c r="B37" s="44">
        <v>42857</v>
      </c>
      <c r="C37" s="44">
        <f t="shared" si="12"/>
        <v>42871</v>
      </c>
      <c r="D37" s="44">
        <v>42858</v>
      </c>
      <c r="F37" s="43" t="s">
        <v>59</v>
      </c>
      <c r="G37" s="43" t="s">
        <v>175</v>
      </c>
      <c r="H37" s="45">
        <v>2671.25</v>
      </c>
      <c r="I37" s="43">
        <v>20</v>
      </c>
      <c r="J37" s="45">
        <f t="shared" si="9"/>
        <v>534.25</v>
      </c>
      <c r="K37" s="45">
        <f t="shared" si="10"/>
        <v>3205.5</v>
      </c>
      <c r="L37" s="44">
        <f t="shared" si="13"/>
        <v>42962</v>
      </c>
      <c r="M37" s="44">
        <v>42983</v>
      </c>
      <c r="N37" s="43">
        <f t="shared" ca="1" si="3"/>
        <v>0</v>
      </c>
    </row>
    <row r="38" spans="1:14" x14ac:dyDescent="0.25">
      <c r="A38" s="43">
        <v>12017004</v>
      </c>
      <c r="B38" s="44">
        <v>42998</v>
      </c>
      <c r="C38" s="44">
        <f t="shared" si="12"/>
        <v>43012</v>
      </c>
      <c r="D38" s="44">
        <v>42999</v>
      </c>
      <c r="F38" t="s">
        <v>597</v>
      </c>
      <c r="G38" s="43" t="s">
        <v>92</v>
      </c>
      <c r="H38" s="45">
        <v>29.1</v>
      </c>
      <c r="I38" s="43">
        <v>20</v>
      </c>
      <c r="J38" s="45">
        <f t="shared" si="9"/>
        <v>5.82</v>
      </c>
      <c r="K38" s="45">
        <f t="shared" si="10"/>
        <v>34.92</v>
      </c>
      <c r="L38" s="44">
        <f t="shared" si="13"/>
        <v>43054</v>
      </c>
      <c r="M38" s="1">
        <v>43047</v>
      </c>
      <c r="N38" s="43">
        <f t="shared" ca="1" si="3"/>
        <v>0</v>
      </c>
    </row>
    <row r="39" spans="1:14" x14ac:dyDescent="0.25">
      <c r="A39">
        <v>12017005</v>
      </c>
      <c r="B39" s="44">
        <v>43035</v>
      </c>
      <c r="C39" s="1">
        <f t="shared" si="12"/>
        <v>43049</v>
      </c>
      <c r="D39" s="44">
        <v>43039</v>
      </c>
      <c r="F39" s="43" t="s">
        <v>59</v>
      </c>
      <c r="G39" s="43" t="s">
        <v>101</v>
      </c>
      <c r="H39" s="45">
        <v>2193.75</v>
      </c>
      <c r="I39" s="43">
        <v>20</v>
      </c>
      <c r="J39" s="45">
        <f t="shared" ref="J39:J53" si="14">I39*H39/100</f>
        <v>438.75</v>
      </c>
      <c r="K39" s="45">
        <f t="shared" ref="K39:K49" si="15">H39+J39</f>
        <v>2632.5</v>
      </c>
      <c r="L39" s="44">
        <f t="shared" si="13"/>
        <v>43146</v>
      </c>
      <c r="M39" s="1">
        <v>43134</v>
      </c>
      <c r="N39" s="43">
        <f t="shared" ca="1" si="3"/>
        <v>0</v>
      </c>
    </row>
    <row r="40" spans="1:14" x14ac:dyDescent="0.25">
      <c r="A40">
        <v>12017006</v>
      </c>
      <c r="B40" s="44">
        <v>43053</v>
      </c>
      <c r="C40" s="1">
        <f t="shared" si="12"/>
        <v>43067</v>
      </c>
      <c r="D40" s="44">
        <v>43054</v>
      </c>
      <c r="F40" t="s">
        <v>536</v>
      </c>
      <c r="G40" t="s">
        <v>101</v>
      </c>
      <c r="H40" s="45">
        <v>2150.5100000000002</v>
      </c>
      <c r="I40">
        <v>20</v>
      </c>
      <c r="J40" s="45">
        <f t="shared" si="14"/>
        <v>430.10200000000003</v>
      </c>
      <c r="K40" s="45">
        <f t="shared" si="15"/>
        <v>2580.6120000000001</v>
      </c>
      <c r="L40" s="44">
        <f t="shared" si="13"/>
        <v>43146</v>
      </c>
      <c r="M40" s="1">
        <v>43134</v>
      </c>
      <c r="N40" s="43">
        <f t="shared" ca="1" si="3"/>
        <v>0</v>
      </c>
    </row>
    <row r="41" spans="1:14" x14ac:dyDescent="0.25">
      <c r="A41">
        <v>12017007</v>
      </c>
      <c r="B41" s="44">
        <v>43059</v>
      </c>
      <c r="C41" s="1">
        <f t="shared" si="12"/>
        <v>43073</v>
      </c>
      <c r="D41" s="44">
        <v>43067</v>
      </c>
      <c r="F41" t="s">
        <v>536</v>
      </c>
      <c r="G41" t="s">
        <v>101</v>
      </c>
      <c r="H41" s="45">
        <v>520.99</v>
      </c>
      <c r="I41">
        <v>20</v>
      </c>
      <c r="J41" s="45">
        <f t="shared" si="14"/>
        <v>104.19799999999999</v>
      </c>
      <c r="K41" s="45">
        <f t="shared" si="15"/>
        <v>625.18799999999999</v>
      </c>
      <c r="L41" s="44">
        <f t="shared" si="13"/>
        <v>43146</v>
      </c>
      <c r="M41" s="1">
        <v>43134</v>
      </c>
      <c r="N41" s="43">
        <f t="shared" ca="1" si="3"/>
        <v>0</v>
      </c>
    </row>
    <row r="42" spans="1:14" x14ac:dyDescent="0.25">
      <c r="A42">
        <v>12017008</v>
      </c>
      <c r="B42" s="44">
        <v>43089</v>
      </c>
      <c r="C42" s="1">
        <f t="shared" si="12"/>
        <v>43103</v>
      </c>
      <c r="D42" s="44">
        <v>43091</v>
      </c>
      <c r="F42" t="s">
        <v>597</v>
      </c>
      <c r="G42" t="s">
        <v>596</v>
      </c>
      <c r="H42" s="45">
        <v>600</v>
      </c>
      <c r="I42">
        <v>20</v>
      </c>
      <c r="J42" s="45">
        <f t="shared" si="14"/>
        <v>120</v>
      </c>
      <c r="K42" s="45">
        <f t="shared" si="15"/>
        <v>720</v>
      </c>
      <c r="L42" s="44">
        <f t="shared" si="13"/>
        <v>43146</v>
      </c>
      <c r="M42" s="1">
        <v>43134</v>
      </c>
      <c r="N42" s="43">
        <f t="shared" ca="1" si="3"/>
        <v>0</v>
      </c>
    </row>
    <row r="43" spans="1:14" x14ac:dyDescent="0.25">
      <c r="A43">
        <v>12017009</v>
      </c>
      <c r="B43" s="44">
        <v>43089</v>
      </c>
      <c r="C43" s="1">
        <f t="shared" si="12"/>
        <v>43103</v>
      </c>
      <c r="D43" s="44">
        <v>43097</v>
      </c>
      <c r="F43" s="43" t="s">
        <v>59</v>
      </c>
      <c r="G43" s="43" t="s">
        <v>175</v>
      </c>
      <c r="H43" s="45">
        <v>7629.69</v>
      </c>
      <c r="I43">
        <v>20</v>
      </c>
      <c r="J43" s="45">
        <f t="shared" si="14"/>
        <v>1525.9379999999999</v>
      </c>
      <c r="K43" s="45">
        <f t="shared" si="15"/>
        <v>9155.6279999999988</v>
      </c>
      <c r="L43" s="44">
        <f t="shared" si="13"/>
        <v>43146</v>
      </c>
      <c r="M43" s="1">
        <v>43134</v>
      </c>
      <c r="N43" s="43">
        <f t="shared" ca="1" si="3"/>
        <v>0</v>
      </c>
    </row>
    <row r="44" spans="1:14" x14ac:dyDescent="0.25">
      <c r="A44">
        <v>12017010</v>
      </c>
      <c r="B44" s="44">
        <v>43091</v>
      </c>
      <c r="C44" s="1">
        <f t="shared" si="12"/>
        <v>43105</v>
      </c>
      <c r="D44" s="44">
        <v>43098</v>
      </c>
      <c r="F44" t="s">
        <v>536</v>
      </c>
      <c r="G44" t="s">
        <v>101</v>
      </c>
      <c r="H44" s="45">
        <v>8976.17</v>
      </c>
      <c r="I44">
        <v>20</v>
      </c>
      <c r="J44" s="45">
        <f t="shared" si="14"/>
        <v>1795.2339999999999</v>
      </c>
      <c r="K44" s="45">
        <f t="shared" si="15"/>
        <v>10771.404</v>
      </c>
      <c r="L44" s="44">
        <f t="shared" si="13"/>
        <v>43146</v>
      </c>
      <c r="M44" s="1">
        <v>43134</v>
      </c>
      <c r="N44" s="43">
        <f t="shared" ca="1" si="3"/>
        <v>0</v>
      </c>
    </row>
    <row r="45" spans="1:14" x14ac:dyDescent="0.25">
      <c r="A45">
        <v>12018001</v>
      </c>
      <c r="B45" s="44">
        <v>43215</v>
      </c>
      <c r="C45" s="1">
        <f t="shared" si="12"/>
        <v>43229</v>
      </c>
      <c r="D45" s="44">
        <v>43215</v>
      </c>
      <c r="F45" s="43" t="s">
        <v>59</v>
      </c>
      <c r="G45" s="43" t="s">
        <v>175</v>
      </c>
      <c r="H45" s="45">
        <v>347.65</v>
      </c>
      <c r="I45">
        <v>20</v>
      </c>
      <c r="J45" s="45">
        <f t="shared" si="14"/>
        <v>69.53</v>
      </c>
      <c r="K45" s="45">
        <f t="shared" si="15"/>
        <v>417.17999999999995</v>
      </c>
      <c r="L45" s="44">
        <f t="shared" ref="L45:L50" si="16">IF(ISBLANK(D45),"",voranmeldefrist_vierteljaehrlich(D45))</f>
        <v>43327</v>
      </c>
      <c r="M45" s="1">
        <v>43318</v>
      </c>
      <c r="N45" s="43">
        <f t="shared" ca="1" si="3"/>
        <v>0</v>
      </c>
    </row>
    <row r="46" spans="1:14" x14ac:dyDescent="0.25">
      <c r="A46">
        <v>12018002</v>
      </c>
      <c r="B46" s="1">
        <v>43220</v>
      </c>
      <c r="C46" s="1">
        <f t="shared" si="12"/>
        <v>43234</v>
      </c>
      <c r="D46" s="44">
        <v>43223</v>
      </c>
      <c r="F46" t="s">
        <v>536</v>
      </c>
      <c r="H46" s="45">
        <v>839.03</v>
      </c>
      <c r="I46">
        <v>20</v>
      </c>
      <c r="J46" s="45">
        <f t="shared" si="14"/>
        <v>167.80599999999998</v>
      </c>
      <c r="K46" s="45">
        <f t="shared" si="15"/>
        <v>1006.836</v>
      </c>
      <c r="L46" s="44">
        <f t="shared" si="16"/>
        <v>43327</v>
      </c>
      <c r="M46" s="1">
        <v>43318</v>
      </c>
      <c r="N46" s="43">
        <f t="shared" ca="1" si="3"/>
        <v>0</v>
      </c>
    </row>
    <row r="47" spans="1:14" x14ac:dyDescent="0.25">
      <c r="A47">
        <v>12018003</v>
      </c>
      <c r="B47" s="44">
        <v>43287</v>
      </c>
      <c r="C47" s="1">
        <f t="shared" si="12"/>
        <v>43301</v>
      </c>
      <c r="D47" s="44">
        <v>43290</v>
      </c>
      <c r="F47" s="43" t="s">
        <v>90</v>
      </c>
      <c r="H47" s="45">
        <v>2333.69</v>
      </c>
      <c r="I47">
        <v>20</v>
      </c>
      <c r="J47" s="45">
        <f t="shared" si="14"/>
        <v>466.73800000000006</v>
      </c>
      <c r="K47" s="45">
        <f t="shared" si="15"/>
        <v>2800.4279999999999</v>
      </c>
      <c r="L47" s="44">
        <f>IF(ISBLANK(D47),"",voranmeldefrist_vierteljaehrlich(D47))</f>
        <v>43419</v>
      </c>
      <c r="M47" s="44">
        <v>43418</v>
      </c>
      <c r="N47" s="43">
        <f t="shared" ca="1" si="3"/>
        <v>0</v>
      </c>
    </row>
    <row r="48" spans="1:14" x14ac:dyDescent="0.25">
      <c r="A48">
        <v>12018004</v>
      </c>
      <c r="B48" s="44">
        <v>43290</v>
      </c>
      <c r="C48" s="1">
        <f t="shared" si="12"/>
        <v>43304</v>
      </c>
      <c r="D48" s="44">
        <v>43292</v>
      </c>
      <c r="F48" t="s">
        <v>536</v>
      </c>
      <c r="H48" s="45">
        <v>697.65</v>
      </c>
      <c r="I48">
        <v>20</v>
      </c>
      <c r="J48" s="45">
        <f t="shared" si="14"/>
        <v>139.53</v>
      </c>
      <c r="K48" s="45">
        <f t="shared" si="15"/>
        <v>837.18</v>
      </c>
      <c r="L48" s="44">
        <f t="shared" si="16"/>
        <v>43419</v>
      </c>
      <c r="M48" s="44">
        <v>43418</v>
      </c>
      <c r="N48" s="43">
        <f t="shared" ca="1" si="3"/>
        <v>0</v>
      </c>
    </row>
    <row r="49" spans="1:14" x14ac:dyDescent="0.25">
      <c r="A49">
        <v>12018005</v>
      </c>
      <c r="B49" s="44">
        <v>43289</v>
      </c>
      <c r="C49" s="1">
        <f t="shared" si="12"/>
        <v>43303</v>
      </c>
      <c r="D49" s="44">
        <v>43291</v>
      </c>
      <c r="F49" s="43" t="s">
        <v>59</v>
      </c>
      <c r="G49" s="43" t="s">
        <v>175</v>
      </c>
      <c r="H49" s="45">
        <v>10.32</v>
      </c>
      <c r="I49">
        <v>20</v>
      </c>
      <c r="J49" s="45">
        <f t="shared" si="14"/>
        <v>2.0640000000000001</v>
      </c>
      <c r="K49" s="45">
        <f t="shared" si="15"/>
        <v>12.384</v>
      </c>
      <c r="L49" s="44">
        <f t="shared" si="16"/>
        <v>43419</v>
      </c>
      <c r="M49" s="44">
        <v>43418</v>
      </c>
      <c r="N49" s="43">
        <f t="shared" ca="1" si="3"/>
        <v>0</v>
      </c>
    </row>
    <row r="50" spans="1:14" x14ac:dyDescent="0.25">
      <c r="A50">
        <v>12018006</v>
      </c>
      <c r="B50" s="44">
        <v>43314</v>
      </c>
      <c r="C50" s="1">
        <f t="shared" si="12"/>
        <v>43328</v>
      </c>
      <c r="D50" s="44">
        <v>43315</v>
      </c>
      <c r="F50" s="43" t="s">
        <v>90</v>
      </c>
      <c r="H50" s="45">
        <v>12146.82</v>
      </c>
      <c r="I50">
        <v>20</v>
      </c>
      <c r="J50" s="45">
        <f t="shared" si="14"/>
        <v>2429.364</v>
      </c>
      <c r="K50" s="45">
        <v>14576.19</v>
      </c>
      <c r="L50" s="44">
        <f t="shared" si="16"/>
        <v>43419</v>
      </c>
      <c r="M50" s="44">
        <v>43418</v>
      </c>
      <c r="N50" s="43">
        <f t="shared" ca="1" si="3"/>
        <v>0</v>
      </c>
    </row>
    <row r="51" spans="1:14" x14ac:dyDescent="0.25">
      <c r="A51">
        <v>12018007</v>
      </c>
      <c r="B51" s="44">
        <v>43376</v>
      </c>
      <c r="C51" s="1">
        <f t="shared" si="12"/>
        <v>43390</v>
      </c>
      <c r="D51" s="44">
        <v>43358</v>
      </c>
      <c r="F51" s="43" t="s">
        <v>59</v>
      </c>
      <c r="G51" s="43" t="s">
        <v>175</v>
      </c>
      <c r="H51" s="45">
        <v>299.99</v>
      </c>
      <c r="I51">
        <v>20</v>
      </c>
      <c r="J51" s="45">
        <f t="shared" si="14"/>
        <v>59.998000000000005</v>
      </c>
      <c r="K51" s="45">
        <f>H51+J51</f>
        <v>359.988</v>
      </c>
      <c r="L51" s="44">
        <f>IF(ISBLANK(D51),"",voranmeldefrist_vierteljaehrlich(D51))</f>
        <v>43419</v>
      </c>
      <c r="M51" s="44">
        <v>43418</v>
      </c>
      <c r="N51" s="43">
        <f t="shared" ca="1" si="3"/>
        <v>0</v>
      </c>
    </row>
    <row r="52" spans="1:14" x14ac:dyDescent="0.25">
      <c r="A52">
        <v>12018008</v>
      </c>
      <c r="B52" s="44">
        <v>43376</v>
      </c>
      <c r="C52" s="1">
        <f t="shared" si="12"/>
        <v>43390</v>
      </c>
      <c r="D52" s="44">
        <v>43409</v>
      </c>
      <c r="E52" s="44">
        <v>43397</v>
      </c>
      <c r="F52" t="s">
        <v>536</v>
      </c>
      <c r="H52" s="45">
        <v>308.10000000000002</v>
      </c>
      <c r="I52">
        <v>20</v>
      </c>
      <c r="J52" s="45">
        <f t="shared" si="14"/>
        <v>61.62</v>
      </c>
      <c r="K52" s="45">
        <f>H52+J52</f>
        <v>369.72</v>
      </c>
      <c r="L52" s="44">
        <f>IF(ISBLANK(D52),"",voranmeldefrist_vierteljaehrlich(D52))</f>
        <v>43511</v>
      </c>
      <c r="N52" s="43">
        <f t="shared" ca="1" si="3"/>
        <v>19</v>
      </c>
    </row>
    <row r="53" spans="1:14" x14ac:dyDescent="0.25">
      <c r="A53">
        <v>12018009</v>
      </c>
      <c r="B53" s="44">
        <v>43418</v>
      </c>
      <c r="C53" s="1">
        <f t="shared" si="12"/>
        <v>43432</v>
      </c>
      <c r="D53" s="44">
        <v>43388</v>
      </c>
      <c r="F53" s="43" t="s">
        <v>59</v>
      </c>
      <c r="G53" s="43" t="s">
        <v>175</v>
      </c>
      <c r="H53" s="45">
        <v>488.58</v>
      </c>
      <c r="I53">
        <v>20</v>
      </c>
      <c r="J53" s="45">
        <f t="shared" si="14"/>
        <v>97.716000000000008</v>
      </c>
      <c r="K53" s="45">
        <f>H53+J53</f>
        <v>586.29600000000005</v>
      </c>
      <c r="L53" s="44">
        <f t="shared" ref="L53:L59" si="17">IF(ISBLANK(D53),"",voranmeldefrist_vierteljaehrlich(D53))</f>
        <v>43511</v>
      </c>
      <c r="M53" s="44"/>
      <c r="N53" s="43">
        <f t="shared" ca="1" si="3"/>
        <v>0</v>
      </c>
    </row>
    <row r="54" spans="1:14" x14ac:dyDescent="0.25">
      <c r="A54">
        <v>12018010</v>
      </c>
      <c r="B54" s="44">
        <v>43454</v>
      </c>
      <c r="C54" s="44">
        <f t="shared" si="12"/>
        <v>43468</v>
      </c>
      <c r="D54" s="44">
        <v>43462</v>
      </c>
      <c r="F54" t="s">
        <v>597</v>
      </c>
      <c r="H54" s="45">
        <v>793.78</v>
      </c>
      <c r="I54">
        <v>20</v>
      </c>
      <c r="J54" s="45">
        <f t="shared" ref="J54:J59" si="18">I54*H54/100</f>
        <v>158.75599999999997</v>
      </c>
      <c r="K54" s="45">
        <f t="shared" ref="K54:K59" si="19">H54+J54</f>
        <v>952.53599999999994</v>
      </c>
      <c r="L54" s="44">
        <f t="shared" si="17"/>
        <v>43511</v>
      </c>
      <c r="N54" s="43">
        <f t="shared" ca="1" si="3"/>
        <v>0</v>
      </c>
    </row>
    <row r="55" spans="1:14" x14ac:dyDescent="0.25">
      <c r="A55">
        <v>12018011</v>
      </c>
      <c r="B55" s="44">
        <v>43454</v>
      </c>
      <c r="C55" s="44">
        <f>B55+14</f>
        <v>43468</v>
      </c>
      <c r="D55" s="44">
        <v>43482</v>
      </c>
      <c r="F55" t="s">
        <v>895</v>
      </c>
      <c r="H55" s="45">
        <v>1696.6</v>
      </c>
      <c r="I55">
        <v>20</v>
      </c>
      <c r="J55" s="45">
        <f t="shared" si="18"/>
        <v>339.32</v>
      </c>
      <c r="K55" s="45">
        <f t="shared" si="19"/>
        <v>2035.9199999999998</v>
      </c>
      <c r="L55" s="44">
        <f t="shared" si="17"/>
        <v>43600</v>
      </c>
      <c r="N55" s="43">
        <f t="shared" ca="1" si="3"/>
        <v>14</v>
      </c>
    </row>
    <row r="56" spans="1:14" x14ac:dyDescent="0.25">
      <c r="A56">
        <v>12018012</v>
      </c>
      <c r="B56" s="44">
        <v>43461</v>
      </c>
      <c r="C56" s="1">
        <f>B56+14</f>
        <v>43475</v>
      </c>
      <c r="D56" s="44">
        <v>43476</v>
      </c>
      <c r="F56" t="s">
        <v>536</v>
      </c>
      <c r="H56" s="45">
        <v>1704.88</v>
      </c>
      <c r="I56">
        <v>20</v>
      </c>
      <c r="J56" s="45">
        <f t="shared" si="18"/>
        <v>340.97600000000006</v>
      </c>
      <c r="K56" s="45">
        <f t="shared" si="19"/>
        <v>2045.8560000000002</v>
      </c>
      <c r="L56" s="44">
        <f t="shared" si="17"/>
        <v>43600</v>
      </c>
      <c r="N56" s="43">
        <f t="shared" ca="1" si="3"/>
        <v>1</v>
      </c>
    </row>
    <row r="57" spans="1:14" x14ac:dyDescent="0.25">
      <c r="A57">
        <v>12018013</v>
      </c>
      <c r="B57" s="44">
        <v>43461</v>
      </c>
      <c r="C57" s="1">
        <f>B57+14</f>
        <v>43475</v>
      </c>
      <c r="D57" s="44">
        <v>43509</v>
      </c>
      <c r="E57" s="44">
        <v>43137</v>
      </c>
      <c r="F57" t="s">
        <v>896</v>
      </c>
      <c r="H57" s="45">
        <v>93.75</v>
      </c>
      <c r="I57">
        <v>20</v>
      </c>
      <c r="J57" s="45">
        <f t="shared" si="18"/>
        <v>18.75</v>
      </c>
      <c r="K57" s="45">
        <f t="shared" si="19"/>
        <v>112.5</v>
      </c>
      <c r="L57" s="44">
        <f t="shared" si="17"/>
        <v>43600</v>
      </c>
      <c r="N57" s="43">
        <f t="shared" ca="1" si="3"/>
        <v>34</v>
      </c>
    </row>
    <row r="58" spans="1:14" x14ac:dyDescent="0.25">
      <c r="A58">
        <v>12018014</v>
      </c>
      <c r="B58" s="44">
        <v>43461</v>
      </c>
      <c r="C58" s="1">
        <f>B58+14</f>
        <v>43475</v>
      </c>
      <c r="D58" s="44">
        <v>43461</v>
      </c>
      <c r="F58" s="43" t="s">
        <v>59</v>
      </c>
      <c r="H58" s="45">
        <v>8438.1299999999992</v>
      </c>
      <c r="I58">
        <v>20</v>
      </c>
      <c r="J58" s="45">
        <f t="shared" si="18"/>
        <v>1687.6259999999997</v>
      </c>
      <c r="K58" s="45">
        <f t="shared" si="19"/>
        <v>10125.755999999999</v>
      </c>
      <c r="L58" s="44">
        <f t="shared" si="17"/>
        <v>43511</v>
      </c>
      <c r="N58" s="43">
        <f t="shared" ca="1" si="3"/>
        <v>0</v>
      </c>
    </row>
    <row r="59" spans="1:14" x14ac:dyDescent="0.25">
      <c r="A59">
        <v>12018015</v>
      </c>
      <c r="B59" s="44">
        <v>43461</v>
      </c>
      <c r="C59" s="1">
        <f>B59+14</f>
        <v>43475</v>
      </c>
      <c r="D59" s="44">
        <v>43474</v>
      </c>
      <c r="F59" s="43" t="s">
        <v>90</v>
      </c>
      <c r="H59" s="45">
        <v>561.84</v>
      </c>
      <c r="I59">
        <v>20</v>
      </c>
      <c r="J59" s="45">
        <f t="shared" si="18"/>
        <v>112.36800000000001</v>
      </c>
      <c r="K59" s="45">
        <f t="shared" si="19"/>
        <v>674.20800000000008</v>
      </c>
      <c r="L59" s="44">
        <f t="shared" si="17"/>
        <v>43600</v>
      </c>
      <c r="N59" s="43">
        <f t="shared" ca="1" si="3"/>
        <v>0</v>
      </c>
    </row>
    <row r="60" spans="1:14" x14ac:dyDescent="0.25">
      <c r="A60">
        <v>12018016</v>
      </c>
      <c r="B60" s="44">
        <v>43451</v>
      </c>
      <c r="C60" s="1">
        <v>43481</v>
      </c>
      <c r="D60" s="44">
        <v>43481</v>
      </c>
      <c r="F60" t="s">
        <v>930</v>
      </c>
      <c r="H60" s="45">
        <v>1504.5</v>
      </c>
      <c r="I60">
        <v>20</v>
      </c>
      <c r="J60" s="45">
        <f t="shared" ref="J60:J66" si="20">I60*H60/100</f>
        <v>300.89999999999998</v>
      </c>
      <c r="K60" s="45">
        <f t="shared" ref="K60:K67" si="21">H60+J60</f>
        <v>1805.4</v>
      </c>
      <c r="L60" s="44">
        <f t="shared" ref="L60:L123" si="22">IF(ISBLANK(D60),"",voranmeldefrist_vierteljaehrlich(D60))</f>
        <v>43600</v>
      </c>
      <c r="N60" s="43">
        <f t="shared" ca="1" si="3"/>
        <v>0</v>
      </c>
    </row>
    <row r="61" spans="1:14" x14ac:dyDescent="0.25">
      <c r="A61">
        <v>12018017</v>
      </c>
      <c r="B61" s="44">
        <v>43451</v>
      </c>
      <c r="C61" s="44">
        <v>43491</v>
      </c>
      <c r="D61" s="44">
        <v>43490</v>
      </c>
      <c r="F61" t="s">
        <v>930</v>
      </c>
      <c r="H61" s="45">
        <v>3215.5</v>
      </c>
      <c r="I61">
        <v>20</v>
      </c>
      <c r="J61" s="45">
        <f t="shared" si="20"/>
        <v>643.1</v>
      </c>
      <c r="K61" s="45">
        <f t="shared" si="21"/>
        <v>3858.6</v>
      </c>
      <c r="L61" s="44">
        <f t="shared" si="22"/>
        <v>43600</v>
      </c>
      <c r="N61" s="43">
        <f t="shared" ca="1" si="3"/>
        <v>0</v>
      </c>
    </row>
    <row r="62" spans="1:14" x14ac:dyDescent="0.25">
      <c r="A62" s="43">
        <v>12019001</v>
      </c>
      <c r="B62" s="44">
        <v>43559</v>
      </c>
      <c r="C62" s="1">
        <f t="shared" ref="C62:C73" si="23">B62+14</f>
        <v>43573</v>
      </c>
      <c r="D62" s="44">
        <v>43648</v>
      </c>
      <c r="F62" s="43" t="s">
        <v>59</v>
      </c>
      <c r="H62" s="45">
        <v>12.42</v>
      </c>
      <c r="I62">
        <v>20</v>
      </c>
      <c r="J62" s="45">
        <f t="shared" si="20"/>
        <v>2.484</v>
      </c>
      <c r="K62" s="45">
        <f t="shared" si="21"/>
        <v>14.904</v>
      </c>
      <c r="L62" s="44">
        <f t="shared" si="22"/>
        <v>43784</v>
      </c>
      <c r="N62" s="43">
        <f t="shared" ca="1" si="3"/>
        <v>75</v>
      </c>
    </row>
    <row r="63" spans="1:14" x14ac:dyDescent="0.25">
      <c r="A63">
        <v>12019002</v>
      </c>
      <c r="B63" s="44">
        <v>43559</v>
      </c>
      <c r="C63" s="1">
        <f t="shared" si="23"/>
        <v>43573</v>
      </c>
      <c r="D63" s="44">
        <v>43564</v>
      </c>
      <c r="F63" t="s">
        <v>536</v>
      </c>
      <c r="H63" s="45">
        <v>649.4</v>
      </c>
      <c r="I63" s="43">
        <v>20</v>
      </c>
      <c r="J63" s="45">
        <f t="shared" si="20"/>
        <v>129.88</v>
      </c>
      <c r="K63" s="45">
        <f t="shared" si="21"/>
        <v>779.28</v>
      </c>
      <c r="L63" s="44">
        <f t="shared" si="22"/>
        <v>43692</v>
      </c>
      <c r="N63" s="43">
        <f t="shared" ca="1" si="3"/>
        <v>0</v>
      </c>
    </row>
    <row r="64" spans="1:14" x14ac:dyDescent="0.25">
      <c r="A64" s="43">
        <v>12019003</v>
      </c>
      <c r="B64" s="44">
        <v>43559</v>
      </c>
      <c r="C64" s="1">
        <f t="shared" si="23"/>
        <v>43573</v>
      </c>
      <c r="D64" s="44">
        <v>43571</v>
      </c>
      <c r="F64" t="s">
        <v>983</v>
      </c>
      <c r="H64" s="45">
        <v>700.75</v>
      </c>
      <c r="I64">
        <v>20</v>
      </c>
      <c r="J64" s="45">
        <f t="shared" si="20"/>
        <v>140.15</v>
      </c>
      <c r="K64" s="45">
        <f t="shared" si="21"/>
        <v>840.9</v>
      </c>
      <c r="L64" s="44">
        <f t="shared" si="22"/>
        <v>43692</v>
      </c>
      <c r="N64" s="43">
        <f t="shared" ca="1" si="3"/>
        <v>0</v>
      </c>
    </row>
    <row r="65" spans="1:14" x14ac:dyDescent="0.25">
      <c r="A65">
        <v>12019004</v>
      </c>
      <c r="B65" s="1">
        <v>43560</v>
      </c>
      <c r="C65" s="1">
        <f t="shared" si="23"/>
        <v>43574</v>
      </c>
      <c r="D65" s="44">
        <v>43565</v>
      </c>
      <c r="F65" s="43" t="s">
        <v>90</v>
      </c>
      <c r="H65" s="45">
        <v>5101.16</v>
      </c>
      <c r="I65">
        <v>20</v>
      </c>
      <c r="J65" s="45">
        <f t="shared" si="20"/>
        <v>1020.232</v>
      </c>
      <c r="K65" s="45">
        <f t="shared" si="21"/>
        <v>6121.3919999999998</v>
      </c>
      <c r="L65" s="44">
        <f t="shared" si="22"/>
        <v>43692</v>
      </c>
      <c r="N65" s="43">
        <f t="shared" ca="1" si="3"/>
        <v>0</v>
      </c>
    </row>
    <row r="66" spans="1:14" x14ac:dyDescent="0.25">
      <c r="A66" s="43">
        <v>12019005</v>
      </c>
      <c r="B66" s="44">
        <v>43584</v>
      </c>
      <c r="C66" s="1">
        <f t="shared" si="23"/>
        <v>43598</v>
      </c>
      <c r="D66" s="44">
        <v>43598</v>
      </c>
      <c r="F66" t="s">
        <v>895</v>
      </c>
      <c r="H66" s="45">
        <v>3671.15</v>
      </c>
      <c r="I66" s="43">
        <v>20</v>
      </c>
      <c r="J66" s="45">
        <f t="shared" si="20"/>
        <v>734.23</v>
      </c>
      <c r="K66" s="45">
        <f t="shared" si="21"/>
        <v>4405.38</v>
      </c>
      <c r="L66" s="44">
        <f t="shared" si="22"/>
        <v>43692</v>
      </c>
      <c r="N66" s="43">
        <f t="shared" ref="N66:N91" ca="1" si="24">IF(ISBLANK(D66),IF(TODAY()&gt;C66,TODAY()-C66,0),IF(D66&gt;C66,D66-C66,0))</f>
        <v>0</v>
      </c>
    </row>
    <row r="67" spans="1:14" x14ac:dyDescent="0.25">
      <c r="A67">
        <v>12019006</v>
      </c>
      <c r="B67" s="44">
        <v>43616</v>
      </c>
      <c r="C67" s="1">
        <f t="shared" si="23"/>
        <v>43630</v>
      </c>
      <c r="D67" s="44">
        <v>43629</v>
      </c>
      <c r="F67" s="43" t="s">
        <v>1012</v>
      </c>
      <c r="H67" s="45">
        <v>1657.5</v>
      </c>
      <c r="I67" s="43">
        <v>20</v>
      </c>
      <c r="J67" s="45">
        <f t="shared" ref="J67:J77" si="25">I67*H67/100</f>
        <v>331.5</v>
      </c>
      <c r="K67" s="45">
        <f t="shared" si="21"/>
        <v>1989</v>
      </c>
      <c r="L67" s="44">
        <f t="shared" si="22"/>
        <v>43692</v>
      </c>
      <c r="N67" s="43">
        <f t="shared" ca="1" si="24"/>
        <v>0</v>
      </c>
    </row>
    <row r="68" spans="1:14" x14ac:dyDescent="0.25">
      <c r="A68">
        <v>12019007</v>
      </c>
      <c r="B68" s="44">
        <v>43633</v>
      </c>
      <c r="C68" s="1">
        <f t="shared" si="23"/>
        <v>43647</v>
      </c>
      <c r="D68" s="44">
        <v>43647</v>
      </c>
      <c r="F68" t="s">
        <v>895</v>
      </c>
      <c r="H68" s="45">
        <v>2502.5</v>
      </c>
      <c r="I68" s="43">
        <v>20</v>
      </c>
      <c r="J68" s="45">
        <f t="shared" si="25"/>
        <v>500.5</v>
      </c>
      <c r="K68" s="45">
        <f>H68+J68</f>
        <v>3003</v>
      </c>
      <c r="L68" s="44">
        <f t="shared" si="22"/>
        <v>43784</v>
      </c>
      <c r="N68" s="43">
        <f t="shared" ca="1" si="24"/>
        <v>0</v>
      </c>
    </row>
    <row r="69" spans="1:14" x14ac:dyDescent="0.25">
      <c r="A69">
        <v>12019008</v>
      </c>
      <c r="B69" s="44">
        <v>43647</v>
      </c>
      <c r="C69" s="1">
        <f t="shared" si="23"/>
        <v>43661</v>
      </c>
      <c r="D69" s="44">
        <v>43648</v>
      </c>
      <c r="F69" s="43" t="s">
        <v>59</v>
      </c>
      <c r="H69" s="45">
        <v>134.6</v>
      </c>
      <c r="I69" s="43">
        <v>20</v>
      </c>
      <c r="J69" s="45">
        <f t="shared" si="25"/>
        <v>26.92</v>
      </c>
      <c r="K69" s="45">
        <f>H69+J69</f>
        <v>161.51999999999998</v>
      </c>
      <c r="L69" s="44">
        <f t="shared" si="22"/>
        <v>43784</v>
      </c>
      <c r="N69" s="43">
        <f t="shared" ca="1" si="24"/>
        <v>0</v>
      </c>
    </row>
    <row r="70" spans="1:14" x14ac:dyDescent="0.25">
      <c r="A70">
        <v>12019009</v>
      </c>
      <c r="B70" s="44">
        <v>43647</v>
      </c>
      <c r="C70" s="1">
        <f t="shared" si="23"/>
        <v>43661</v>
      </c>
      <c r="D70" s="44">
        <v>43661</v>
      </c>
      <c r="F70" t="s">
        <v>895</v>
      </c>
      <c r="H70" s="45">
        <v>1805.6</v>
      </c>
      <c r="I70" s="43">
        <v>20</v>
      </c>
      <c r="J70" s="45">
        <f t="shared" si="25"/>
        <v>361.12</v>
      </c>
      <c r="K70" s="45">
        <f>H70+J70</f>
        <v>2166.7199999999998</v>
      </c>
      <c r="L70" s="44">
        <f t="shared" si="22"/>
        <v>43784</v>
      </c>
      <c r="N70" s="43">
        <f t="shared" ca="1" si="24"/>
        <v>0</v>
      </c>
    </row>
    <row r="71" spans="1:14" x14ac:dyDescent="0.25">
      <c r="A71">
        <v>12019010</v>
      </c>
      <c r="B71" s="44">
        <v>43647</v>
      </c>
      <c r="C71" s="1">
        <f t="shared" si="23"/>
        <v>43661</v>
      </c>
      <c r="D71" s="44">
        <v>43654</v>
      </c>
      <c r="F71" t="s">
        <v>536</v>
      </c>
      <c r="H71" s="45">
        <v>170.63</v>
      </c>
      <c r="I71" s="43">
        <v>20</v>
      </c>
      <c r="J71" s="45">
        <f t="shared" si="25"/>
        <v>34.125999999999998</v>
      </c>
      <c r="K71" s="45">
        <v>204.75</v>
      </c>
      <c r="L71" s="44">
        <f t="shared" si="22"/>
        <v>43784</v>
      </c>
      <c r="N71" s="43">
        <f t="shared" ca="1" si="24"/>
        <v>0</v>
      </c>
    </row>
    <row r="72" spans="1:14" x14ac:dyDescent="0.25">
      <c r="A72">
        <v>12019011</v>
      </c>
      <c r="B72" s="44">
        <v>43647</v>
      </c>
      <c r="C72" s="1">
        <f t="shared" si="23"/>
        <v>43661</v>
      </c>
      <c r="D72" s="44">
        <v>43661</v>
      </c>
      <c r="F72" t="s">
        <v>983</v>
      </c>
      <c r="H72" s="45">
        <v>356.25</v>
      </c>
      <c r="I72" s="43">
        <v>20</v>
      </c>
      <c r="J72" s="45">
        <f t="shared" si="25"/>
        <v>71.25</v>
      </c>
      <c r="K72" s="45">
        <f t="shared" ref="K72:K77" si="26">H72+J72</f>
        <v>427.5</v>
      </c>
      <c r="L72" s="44">
        <f t="shared" si="22"/>
        <v>43784</v>
      </c>
      <c r="N72" s="43">
        <f t="shared" ca="1" si="24"/>
        <v>0</v>
      </c>
    </row>
    <row r="73" spans="1:14" x14ac:dyDescent="0.25">
      <c r="A73">
        <v>12019012</v>
      </c>
      <c r="B73" s="44">
        <v>43650</v>
      </c>
      <c r="C73" s="1">
        <f t="shared" si="23"/>
        <v>43664</v>
      </c>
      <c r="D73" s="44">
        <v>43669</v>
      </c>
      <c r="F73" s="43" t="s">
        <v>1012</v>
      </c>
      <c r="H73" s="45">
        <f>2000/1.2</f>
        <v>1666.6666666666667</v>
      </c>
      <c r="I73" s="43">
        <v>20</v>
      </c>
      <c r="J73" s="45">
        <f t="shared" si="25"/>
        <v>333.33333333333337</v>
      </c>
      <c r="K73" s="45">
        <f t="shared" si="26"/>
        <v>2000</v>
      </c>
      <c r="L73" s="44">
        <f t="shared" si="22"/>
        <v>43784</v>
      </c>
      <c r="N73" s="43">
        <f t="shared" ca="1" si="24"/>
        <v>5</v>
      </c>
    </row>
    <row r="74" spans="1:14" x14ac:dyDescent="0.25">
      <c r="A74">
        <v>12019012</v>
      </c>
      <c r="B74" s="44">
        <v>43650</v>
      </c>
      <c r="C74" s="1">
        <f t="shared" ref="C74:C79" si="27">B74+14</f>
        <v>43664</v>
      </c>
      <c r="D74" s="44">
        <v>43679</v>
      </c>
      <c r="F74" s="43" t="s">
        <v>1012</v>
      </c>
      <c r="H74" s="45">
        <f>3351.13-2000/1.2</f>
        <v>1684.4633333333334</v>
      </c>
      <c r="I74" s="43">
        <v>20</v>
      </c>
      <c r="J74" s="45">
        <f t="shared" si="25"/>
        <v>336.89266666666668</v>
      </c>
      <c r="K74" s="45">
        <f t="shared" si="26"/>
        <v>2021.356</v>
      </c>
      <c r="L74" s="44">
        <f t="shared" si="22"/>
        <v>43784</v>
      </c>
      <c r="N74" s="43">
        <f t="shared" ca="1" si="24"/>
        <v>15</v>
      </c>
    </row>
    <row r="75" spans="1:14" x14ac:dyDescent="0.25">
      <c r="A75">
        <v>12019013</v>
      </c>
      <c r="B75" s="44">
        <v>43682</v>
      </c>
      <c r="C75" s="1">
        <f t="shared" si="27"/>
        <v>43696</v>
      </c>
      <c r="D75" s="44">
        <v>43683</v>
      </c>
      <c r="F75" t="s">
        <v>1061</v>
      </c>
      <c r="H75" s="45">
        <v>752.5</v>
      </c>
      <c r="I75">
        <v>20</v>
      </c>
      <c r="J75" s="45">
        <f t="shared" si="25"/>
        <v>150.5</v>
      </c>
      <c r="K75" s="45">
        <f t="shared" si="26"/>
        <v>903</v>
      </c>
      <c r="L75" s="44">
        <f t="shared" si="22"/>
        <v>43784</v>
      </c>
      <c r="N75" s="43">
        <f t="shared" ca="1" si="24"/>
        <v>0</v>
      </c>
    </row>
    <row r="76" spans="1:14" x14ac:dyDescent="0.25">
      <c r="A76">
        <v>12019014</v>
      </c>
      <c r="B76" s="44">
        <v>43689</v>
      </c>
      <c r="C76" s="1">
        <f t="shared" si="27"/>
        <v>43703</v>
      </c>
      <c r="D76" s="44">
        <v>43703</v>
      </c>
      <c r="F76" t="s">
        <v>895</v>
      </c>
      <c r="H76" s="45">
        <v>551</v>
      </c>
      <c r="I76">
        <v>20</v>
      </c>
      <c r="J76" s="45">
        <f t="shared" si="25"/>
        <v>110.2</v>
      </c>
      <c r="K76" s="45">
        <f t="shared" si="26"/>
        <v>661.2</v>
      </c>
      <c r="L76" s="44">
        <f t="shared" si="22"/>
        <v>43784</v>
      </c>
      <c r="N76" s="43">
        <f t="shared" ca="1" si="24"/>
        <v>0</v>
      </c>
    </row>
    <row r="77" spans="1:14" x14ac:dyDescent="0.25">
      <c r="A77">
        <v>12019015</v>
      </c>
      <c r="B77" s="44">
        <v>43703</v>
      </c>
      <c r="C77" s="1">
        <f t="shared" si="27"/>
        <v>43717</v>
      </c>
      <c r="D77" s="44">
        <v>43717</v>
      </c>
      <c r="F77" t="s">
        <v>895</v>
      </c>
      <c r="H77" s="45">
        <v>2708.4</v>
      </c>
      <c r="I77">
        <v>20</v>
      </c>
      <c r="J77" s="45">
        <f t="shared" si="25"/>
        <v>541.67999999999995</v>
      </c>
      <c r="K77" s="45">
        <f t="shared" si="26"/>
        <v>3250.08</v>
      </c>
      <c r="L77" s="44">
        <f t="shared" si="22"/>
        <v>43784</v>
      </c>
      <c r="N77" s="43">
        <f t="shared" ca="1" si="24"/>
        <v>0</v>
      </c>
    </row>
    <row r="78" spans="1:14" x14ac:dyDescent="0.25">
      <c r="A78">
        <v>12019016</v>
      </c>
      <c r="B78" s="44">
        <v>43713</v>
      </c>
      <c r="C78" s="1">
        <f t="shared" si="27"/>
        <v>43727</v>
      </c>
      <c r="D78" s="44">
        <v>43717</v>
      </c>
      <c r="F78" t="s">
        <v>1061</v>
      </c>
      <c r="H78" s="45">
        <v>1435</v>
      </c>
      <c r="I78">
        <v>20</v>
      </c>
      <c r="J78" s="45">
        <f t="shared" ref="J78:J83" si="28">I78*H78/100</f>
        <v>287</v>
      </c>
      <c r="K78" s="45">
        <f t="shared" ref="K78:K83" si="29">H78+J78</f>
        <v>1722</v>
      </c>
      <c r="L78" s="44">
        <f t="shared" si="22"/>
        <v>43784</v>
      </c>
      <c r="N78" s="43">
        <f t="shared" ca="1" si="24"/>
        <v>0</v>
      </c>
    </row>
    <row r="79" spans="1:14" x14ac:dyDescent="0.25">
      <c r="A79">
        <v>12019017</v>
      </c>
      <c r="B79" s="44">
        <v>43739</v>
      </c>
      <c r="C79" s="1">
        <f t="shared" si="27"/>
        <v>43753</v>
      </c>
      <c r="D79" s="44">
        <v>43755</v>
      </c>
      <c r="F79" t="s">
        <v>895</v>
      </c>
      <c r="H79" s="45">
        <v>2188.75</v>
      </c>
      <c r="I79">
        <v>20</v>
      </c>
      <c r="J79" s="45">
        <f t="shared" si="28"/>
        <v>437.75</v>
      </c>
      <c r="K79" s="45">
        <f t="shared" si="29"/>
        <v>2626.5</v>
      </c>
      <c r="L79" s="44">
        <f t="shared" si="22"/>
        <v>43876</v>
      </c>
      <c r="N79" s="43">
        <f t="shared" ca="1" si="24"/>
        <v>2</v>
      </c>
    </row>
    <row r="80" spans="1:14" x14ac:dyDescent="0.25">
      <c r="A80">
        <v>12019018</v>
      </c>
      <c r="B80" s="44">
        <v>43739</v>
      </c>
      <c r="C80" s="44">
        <f>B80+14</f>
        <v>43753</v>
      </c>
      <c r="D80" s="44">
        <v>43742</v>
      </c>
      <c r="F80" t="s">
        <v>1061</v>
      </c>
      <c r="H80" s="45">
        <v>1680</v>
      </c>
      <c r="I80">
        <v>20</v>
      </c>
      <c r="J80" s="45">
        <f t="shared" si="28"/>
        <v>336</v>
      </c>
      <c r="K80" s="45">
        <f t="shared" si="29"/>
        <v>2016</v>
      </c>
      <c r="L80" s="44">
        <f t="shared" si="22"/>
        <v>43876</v>
      </c>
      <c r="N80" s="43">
        <f t="shared" ca="1" si="24"/>
        <v>0</v>
      </c>
    </row>
    <row r="81" spans="1:18" x14ac:dyDescent="0.25">
      <c r="A81">
        <v>12019019</v>
      </c>
      <c r="B81" s="44">
        <v>43739</v>
      </c>
      <c r="C81" s="44">
        <f>B81+14</f>
        <v>43753</v>
      </c>
      <c r="D81" s="44">
        <v>43768</v>
      </c>
      <c r="E81" s="44">
        <v>43759</v>
      </c>
      <c r="F81" s="43" t="s">
        <v>1012</v>
      </c>
      <c r="H81" s="45">
        <v>786.25</v>
      </c>
      <c r="I81">
        <v>20</v>
      </c>
      <c r="J81" s="45">
        <f t="shared" si="28"/>
        <v>157.25</v>
      </c>
      <c r="K81" s="45">
        <f t="shared" si="29"/>
        <v>943.5</v>
      </c>
      <c r="L81" s="44">
        <f t="shared" si="22"/>
        <v>43876</v>
      </c>
      <c r="N81" s="43">
        <f t="shared" ca="1" si="24"/>
        <v>15</v>
      </c>
    </row>
    <row r="82" spans="1:18" x14ac:dyDescent="0.25">
      <c r="A82">
        <v>12019020</v>
      </c>
      <c r="B82" s="44">
        <v>43739</v>
      </c>
      <c r="C82" s="1">
        <f>B82+14</f>
        <v>43753</v>
      </c>
      <c r="D82" s="44">
        <v>43752</v>
      </c>
      <c r="F82" t="s">
        <v>983</v>
      </c>
      <c r="H82" s="45">
        <v>450</v>
      </c>
      <c r="I82">
        <v>20</v>
      </c>
      <c r="J82" s="45">
        <f t="shared" si="28"/>
        <v>90</v>
      </c>
      <c r="K82" s="45">
        <f t="shared" si="29"/>
        <v>540</v>
      </c>
      <c r="L82" s="44">
        <f t="shared" si="22"/>
        <v>43876</v>
      </c>
      <c r="N82" s="43">
        <f t="shared" ca="1" si="24"/>
        <v>0</v>
      </c>
    </row>
    <row r="83" spans="1:18" x14ac:dyDescent="0.25">
      <c r="A83">
        <v>12019021</v>
      </c>
      <c r="B83" s="44">
        <v>43739</v>
      </c>
      <c r="C83" s="1">
        <f>B83+14</f>
        <v>43753</v>
      </c>
      <c r="D83" s="44">
        <v>43752</v>
      </c>
      <c r="F83" s="43" t="s">
        <v>59</v>
      </c>
      <c r="H83" s="45">
        <v>231.43</v>
      </c>
      <c r="I83">
        <v>20</v>
      </c>
      <c r="J83" s="45">
        <f t="shared" si="28"/>
        <v>46.286000000000001</v>
      </c>
      <c r="K83" s="45">
        <f t="shared" si="29"/>
        <v>277.71600000000001</v>
      </c>
      <c r="L83" s="44">
        <f t="shared" si="22"/>
        <v>43876</v>
      </c>
      <c r="N83" s="43">
        <f t="shared" ca="1" si="24"/>
        <v>0</v>
      </c>
    </row>
    <row r="84" spans="1:18" x14ac:dyDescent="0.25">
      <c r="A84" s="43">
        <v>12019022</v>
      </c>
      <c r="B84" s="44">
        <v>43753</v>
      </c>
      <c r="C84" s="1">
        <f>B84+45</f>
        <v>43798</v>
      </c>
      <c r="D84" s="44">
        <v>43795</v>
      </c>
      <c r="F84" t="s">
        <v>930</v>
      </c>
      <c r="H84" s="45">
        <v>1268.5</v>
      </c>
      <c r="I84">
        <v>20</v>
      </c>
      <c r="J84" s="45">
        <f t="shared" ref="J84:J91" si="30">I84*H84/100</f>
        <v>253.7</v>
      </c>
      <c r="K84" s="45">
        <f t="shared" ref="K84:K91" si="31">H84+J84</f>
        <v>1522.2</v>
      </c>
      <c r="L84" s="44">
        <f t="shared" si="22"/>
        <v>43876</v>
      </c>
      <c r="N84" s="43">
        <f t="shared" ca="1" si="24"/>
        <v>0</v>
      </c>
    </row>
    <row r="85" spans="1:18" x14ac:dyDescent="0.25">
      <c r="A85">
        <v>12019023</v>
      </c>
      <c r="B85" s="44">
        <v>43773</v>
      </c>
      <c r="C85" s="1">
        <f>B85+14</f>
        <v>43787</v>
      </c>
      <c r="D85" s="44">
        <v>43781</v>
      </c>
      <c r="F85" s="43" t="s">
        <v>1142</v>
      </c>
      <c r="H85" s="45">
        <v>2940</v>
      </c>
      <c r="I85">
        <v>20</v>
      </c>
      <c r="J85" s="45">
        <f t="shared" si="30"/>
        <v>588</v>
      </c>
      <c r="K85" s="45">
        <f t="shared" si="31"/>
        <v>3528</v>
      </c>
      <c r="L85" s="44">
        <f t="shared" si="22"/>
        <v>43876</v>
      </c>
      <c r="N85" s="43">
        <f t="shared" ca="1" si="24"/>
        <v>0</v>
      </c>
    </row>
    <row r="86" spans="1:18" x14ac:dyDescent="0.25">
      <c r="A86">
        <v>12019024</v>
      </c>
      <c r="B86" s="44">
        <v>43773</v>
      </c>
      <c r="C86" s="1">
        <f>B86+35</f>
        <v>43808</v>
      </c>
      <c r="D86" s="44">
        <v>43817</v>
      </c>
      <c r="F86" s="43" t="s">
        <v>1142</v>
      </c>
      <c r="H86" s="45">
        <v>900</v>
      </c>
      <c r="I86">
        <v>20</v>
      </c>
      <c r="J86" s="45">
        <f t="shared" si="30"/>
        <v>180</v>
      </c>
      <c r="K86" s="45">
        <f t="shared" si="31"/>
        <v>1080</v>
      </c>
      <c r="L86" s="44">
        <f t="shared" si="22"/>
        <v>43876</v>
      </c>
      <c r="N86" s="43">
        <f t="shared" ca="1" si="24"/>
        <v>9</v>
      </c>
    </row>
    <row r="87" spans="1:18" x14ac:dyDescent="0.25">
      <c r="A87">
        <v>12019025</v>
      </c>
      <c r="B87" s="44">
        <v>43796</v>
      </c>
      <c r="C87" s="1">
        <f>B87+14</f>
        <v>43810</v>
      </c>
      <c r="D87" s="44">
        <v>43797</v>
      </c>
      <c r="F87" t="s">
        <v>1170</v>
      </c>
      <c r="H87" s="45">
        <v>520.58000000000004</v>
      </c>
      <c r="I87" s="43">
        <v>20</v>
      </c>
      <c r="J87" s="45">
        <f t="shared" si="30"/>
        <v>104.116</v>
      </c>
      <c r="K87" s="45">
        <f t="shared" si="31"/>
        <v>624.69600000000003</v>
      </c>
      <c r="L87" s="44">
        <f t="shared" si="22"/>
        <v>43876</v>
      </c>
      <c r="N87" s="43">
        <f t="shared" ca="1" si="24"/>
        <v>0</v>
      </c>
    </row>
    <row r="88" spans="1:18" x14ac:dyDescent="0.25">
      <c r="A88">
        <v>12019026</v>
      </c>
      <c r="B88" s="44">
        <v>43801</v>
      </c>
      <c r="C88" s="44">
        <f>B88+14</f>
        <v>43815</v>
      </c>
      <c r="D88" s="44">
        <v>43802</v>
      </c>
      <c r="F88" s="43" t="s">
        <v>1142</v>
      </c>
      <c r="H88" s="45">
        <v>3517.5</v>
      </c>
      <c r="I88" s="43">
        <v>20</v>
      </c>
      <c r="J88" s="45">
        <f t="shared" si="30"/>
        <v>703.5</v>
      </c>
      <c r="K88" s="45">
        <f t="shared" si="31"/>
        <v>4221</v>
      </c>
      <c r="L88" s="44">
        <f t="shared" si="22"/>
        <v>43876</v>
      </c>
      <c r="N88" s="43">
        <f t="shared" ca="1" si="24"/>
        <v>0</v>
      </c>
    </row>
    <row r="89" spans="1:18" x14ac:dyDescent="0.25">
      <c r="A89">
        <v>12019027</v>
      </c>
      <c r="B89" s="44">
        <v>43801</v>
      </c>
      <c r="C89" s="1">
        <f>B89+35</f>
        <v>43836</v>
      </c>
      <c r="D89" s="44">
        <v>43802</v>
      </c>
      <c r="F89" s="43" t="s">
        <v>1142</v>
      </c>
      <c r="H89" s="45">
        <v>2910</v>
      </c>
      <c r="I89" s="43">
        <v>20</v>
      </c>
      <c r="J89" s="45">
        <f t="shared" si="30"/>
        <v>582</v>
      </c>
      <c r="K89" s="45">
        <f t="shared" si="31"/>
        <v>3492</v>
      </c>
      <c r="L89" s="44">
        <f t="shared" si="22"/>
        <v>43876</v>
      </c>
      <c r="N89" s="43">
        <f t="shared" ca="1" si="24"/>
        <v>0</v>
      </c>
    </row>
    <row r="90" spans="1:18" x14ac:dyDescent="0.25">
      <c r="A90">
        <v>12019028</v>
      </c>
      <c r="B90" s="44">
        <v>43801</v>
      </c>
      <c r="C90" s="44">
        <f t="shared" ref="C90:C96" si="32">B90+14</f>
        <v>43815</v>
      </c>
      <c r="D90" s="44">
        <v>43808</v>
      </c>
      <c r="F90" s="43" t="s">
        <v>1186</v>
      </c>
      <c r="H90" s="45">
        <v>265.32</v>
      </c>
      <c r="I90" s="43">
        <v>20</v>
      </c>
      <c r="J90" s="45">
        <f t="shared" si="30"/>
        <v>53.063999999999993</v>
      </c>
      <c r="K90" s="45">
        <f t="shared" si="31"/>
        <v>318.38400000000001</v>
      </c>
      <c r="L90" s="44">
        <f t="shared" si="22"/>
        <v>43876</v>
      </c>
      <c r="N90" s="43">
        <f t="shared" ca="1" si="24"/>
        <v>0</v>
      </c>
    </row>
    <row r="91" spans="1:18" x14ac:dyDescent="0.25">
      <c r="A91">
        <v>12019029</v>
      </c>
      <c r="B91" s="44">
        <v>43822</v>
      </c>
      <c r="C91" s="44">
        <f t="shared" si="32"/>
        <v>43836</v>
      </c>
      <c r="D91" s="44">
        <v>43829</v>
      </c>
      <c r="F91" s="43" t="s">
        <v>1142</v>
      </c>
      <c r="H91" s="45">
        <v>2800</v>
      </c>
      <c r="I91" s="43">
        <v>20</v>
      </c>
      <c r="J91" s="45">
        <f t="shared" si="30"/>
        <v>560</v>
      </c>
      <c r="K91" s="45">
        <f t="shared" si="31"/>
        <v>3360</v>
      </c>
      <c r="L91" s="44">
        <f t="shared" si="22"/>
        <v>43876</v>
      </c>
      <c r="N91" s="43">
        <f t="shared" ca="1" si="24"/>
        <v>0</v>
      </c>
    </row>
    <row r="92" spans="1:18" x14ac:dyDescent="0.25">
      <c r="A92">
        <v>12020001</v>
      </c>
      <c r="B92" s="44">
        <v>43837</v>
      </c>
      <c r="C92" s="1">
        <f t="shared" si="32"/>
        <v>43851</v>
      </c>
      <c r="D92" s="44">
        <v>43838</v>
      </c>
      <c r="F92" s="43" t="s">
        <v>1205</v>
      </c>
      <c r="H92" s="45">
        <f>85*2</f>
        <v>170</v>
      </c>
      <c r="I92" s="43">
        <v>20</v>
      </c>
      <c r="J92" s="45">
        <f t="shared" ref="J92:J130" si="33">I92*H92/100</f>
        <v>34</v>
      </c>
      <c r="K92" s="45">
        <f t="shared" ref="K92:K130" si="34">H92+J92</f>
        <v>204</v>
      </c>
      <c r="L92" s="44">
        <f t="shared" si="22"/>
        <v>43966</v>
      </c>
      <c r="N92" s="43">
        <f t="shared" ref="N92:N132" ca="1" si="35">IF(ISBLANK(D92),IF(TODAY()&gt;C92,TODAY()-C92,0),IF(D92&gt;C92,D92-C92,0))</f>
        <v>0</v>
      </c>
      <c r="Q92" s="33">
        <v>170</v>
      </c>
      <c r="R92" s="43" t="b">
        <f>Q92=H92</f>
        <v>1</v>
      </c>
    </row>
    <row r="93" spans="1:18" x14ac:dyDescent="0.25">
      <c r="A93">
        <v>12020002</v>
      </c>
      <c r="B93" s="44">
        <v>43837</v>
      </c>
      <c r="C93" s="1">
        <f t="shared" si="32"/>
        <v>43851</v>
      </c>
      <c r="D93" s="44">
        <v>43838</v>
      </c>
      <c r="F93" s="43" t="s">
        <v>1205</v>
      </c>
      <c r="H93" s="45">
        <v>100</v>
      </c>
      <c r="I93" s="43">
        <v>20</v>
      </c>
      <c r="J93" s="45">
        <f t="shared" si="33"/>
        <v>20</v>
      </c>
      <c r="K93" s="45">
        <f t="shared" si="34"/>
        <v>120</v>
      </c>
      <c r="L93" s="44">
        <f t="shared" si="22"/>
        <v>43966</v>
      </c>
      <c r="N93" s="43">
        <f t="shared" ca="1" si="35"/>
        <v>0</v>
      </c>
      <c r="Q93" s="33">
        <v>100</v>
      </c>
      <c r="R93" s="43" t="b">
        <f t="shared" ref="R93:R132" si="36">Q93=H93</f>
        <v>1</v>
      </c>
    </row>
    <row r="94" spans="1:18" x14ac:dyDescent="0.25">
      <c r="A94">
        <v>12020003</v>
      </c>
      <c r="B94" s="44">
        <v>43837</v>
      </c>
      <c r="C94" s="1">
        <f t="shared" si="32"/>
        <v>43851</v>
      </c>
      <c r="D94" s="44">
        <v>43838</v>
      </c>
      <c r="F94" t="s">
        <v>1170</v>
      </c>
      <c r="H94" s="45">
        <f>1260*0.6</f>
        <v>756</v>
      </c>
      <c r="I94" s="43">
        <v>20</v>
      </c>
      <c r="J94" s="45">
        <f t="shared" si="33"/>
        <v>151.19999999999999</v>
      </c>
      <c r="K94" s="45">
        <f t="shared" si="34"/>
        <v>907.2</v>
      </c>
      <c r="L94" s="44">
        <f t="shared" si="22"/>
        <v>43966</v>
      </c>
      <c r="N94" s="43">
        <f t="shared" ca="1" si="35"/>
        <v>0</v>
      </c>
      <c r="Q94" s="33">
        <v>756</v>
      </c>
      <c r="R94" s="43" t="b">
        <f t="shared" si="36"/>
        <v>1</v>
      </c>
    </row>
    <row r="95" spans="1:18" x14ac:dyDescent="0.25">
      <c r="A95">
        <v>12019031</v>
      </c>
      <c r="B95" s="44">
        <v>43822</v>
      </c>
      <c r="C95" s="44">
        <f t="shared" si="32"/>
        <v>43836</v>
      </c>
      <c r="D95" s="44">
        <v>43844</v>
      </c>
      <c r="F95" t="s">
        <v>983</v>
      </c>
      <c r="H95" s="45">
        <v>187.5</v>
      </c>
      <c r="I95" s="43">
        <v>20</v>
      </c>
      <c r="J95" s="45">
        <f t="shared" si="33"/>
        <v>37.5</v>
      </c>
      <c r="K95" s="45">
        <f t="shared" si="34"/>
        <v>225</v>
      </c>
      <c r="L95" s="44">
        <f t="shared" si="22"/>
        <v>43966</v>
      </c>
      <c r="N95" s="43">
        <f t="shared" ca="1" si="35"/>
        <v>8</v>
      </c>
      <c r="Q95" s="33">
        <v>187.5</v>
      </c>
      <c r="R95" s="43" t="b">
        <f t="shared" si="36"/>
        <v>1</v>
      </c>
    </row>
    <row r="96" spans="1:18" x14ac:dyDescent="0.25">
      <c r="A96">
        <v>12019033</v>
      </c>
      <c r="B96" s="44">
        <v>43823</v>
      </c>
      <c r="C96" s="44">
        <f t="shared" si="32"/>
        <v>43837</v>
      </c>
      <c r="D96" s="44">
        <v>43845</v>
      </c>
      <c r="F96" t="s">
        <v>895</v>
      </c>
      <c r="H96" s="45">
        <v>233.75</v>
      </c>
      <c r="I96" s="43">
        <v>20</v>
      </c>
      <c r="J96" s="45">
        <f t="shared" si="33"/>
        <v>46.75</v>
      </c>
      <c r="K96" s="45">
        <f t="shared" si="34"/>
        <v>280.5</v>
      </c>
      <c r="L96" s="44">
        <f t="shared" si="22"/>
        <v>43966</v>
      </c>
      <c r="N96" s="43">
        <f t="shared" ca="1" si="35"/>
        <v>8</v>
      </c>
      <c r="Q96" s="33">
        <v>233.75</v>
      </c>
      <c r="R96" s="43" t="b">
        <f t="shared" si="36"/>
        <v>1</v>
      </c>
    </row>
    <row r="97" spans="1:18" x14ac:dyDescent="0.25">
      <c r="A97">
        <v>12019030</v>
      </c>
      <c r="B97" s="44">
        <v>43822</v>
      </c>
      <c r="C97" s="1">
        <f>B97+35</f>
        <v>43857</v>
      </c>
      <c r="D97" s="44">
        <v>43851</v>
      </c>
      <c r="F97" s="43" t="s">
        <v>1142</v>
      </c>
      <c r="H97" s="45">
        <v>6480</v>
      </c>
      <c r="I97" s="43">
        <v>20</v>
      </c>
      <c r="J97" s="45">
        <f t="shared" si="33"/>
        <v>1296</v>
      </c>
      <c r="K97" s="45">
        <f t="shared" si="34"/>
        <v>7776</v>
      </c>
      <c r="L97" s="44">
        <f t="shared" si="22"/>
        <v>43966</v>
      </c>
      <c r="N97" s="43">
        <f t="shared" ca="1" si="35"/>
        <v>0</v>
      </c>
      <c r="Q97" s="33">
        <v>6480</v>
      </c>
      <c r="R97" s="43" t="b">
        <f t="shared" si="36"/>
        <v>1</v>
      </c>
    </row>
    <row r="98" spans="1:18" x14ac:dyDescent="0.25">
      <c r="A98">
        <v>12020004</v>
      </c>
      <c r="B98" s="44">
        <v>43864</v>
      </c>
      <c r="C98" s="1">
        <f>B98+14</f>
        <v>43878</v>
      </c>
      <c r="D98" s="44">
        <v>43874</v>
      </c>
      <c r="F98" t="s">
        <v>1227</v>
      </c>
      <c r="H98" s="45">
        <v>647.5</v>
      </c>
      <c r="I98" s="43">
        <v>20</v>
      </c>
      <c r="J98" s="45">
        <f t="shared" si="33"/>
        <v>129.5</v>
      </c>
      <c r="K98" s="45">
        <f t="shared" si="34"/>
        <v>777</v>
      </c>
      <c r="L98" s="44">
        <f t="shared" si="22"/>
        <v>43966</v>
      </c>
      <c r="N98" s="43">
        <f t="shared" ca="1" si="35"/>
        <v>0</v>
      </c>
      <c r="Q98" s="33">
        <v>647.5</v>
      </c>
      <c r="R98" s="43" t="b">
        <f t="shared" si="36"/>
        <v>1</v>
      </c>
    </row>
    <row r="99" spans="1:18" x14ac:dyDescent="0.25">
      <c r="A99">
        <v>12019032</v>
      </c>
      <c r="B99" s="44">
        <v>43823</v>
      </c>
      <c r="C99" s="44">
        <f>B99+14</f>
        <v>43837</v>
      </c>
      <c r="D99" s="44">
        <v>43875</v>
      </c>
      <c r="E99" s="44">
        <v>43864</v>
      </c>
      <c r="F99" s="43" t="s">
        <v>1012</v>
      </c>
      <c r="H99" s="45">
        <v>297.5</v>
      </c>
      <c r="I99" s="43">
        <v>20</v>
      </c>
      <c r="J99" s="45">
        <f t="shared" si="33"/>
        <v>59.5</v>
      </c>
      <c r="K99" s="45">
        <f t="shared" si="34"/>
        <v>357</v>
      </c>
      <c r="L99" s="44">
        <f t="shared" si="22"/>
        <v>43966</v>
      </c>
      <c r="N99" s="43">
        <f t="shared" ca="1" si="35"/>
        <v>38</v>
      </c>
      <c r="Q99" s="33">
        <v>297.5</v>
      </c>
      <c r="R99" s="43" t="b">
        <f t="shared" si="36"/>
        <v>1</v>
      </c>
    </row>
    <row r="100" spans="1:18" x14ac:dyDescent="0.25">
      <c r="A100">
        <v>12020006</v>
      </c>
      <c r="B100" s="44">
        <v>43894</v>
      </c>
      <c r="C100" s="1">
        <f>B100+14</f>
        <v>43908</v>
      </c>
      <c r="D100" s="44">
        <v>43900</v>
      </c>
      <c r="F100" s="43" t="s">
        <v>1012</v>
      </c>
      <c r="H100" s="45">
        <v>262.5</v>
      </c>
      <c r="I100" s="43">
        <v>20</v>
      </c>
      <c r="J100" s="45">
        <f t="shared" si="33"/>
        <v>52.5</v>
      </c>
      <c r="K100" s="45">
        <f t="shared" si="34"/>
        <v>315</v>
      </c>
      <c r="L100" s="44">
        <f t="shared" si="22"/>
        <v>43966</v>
      </c>
      <c r="N100" s="43">
        <f t="shared" ca="1" si="35"/>
        <v>0</v>
      </c>
      <c r="Q100" s="33">
        <v>262.5</v>
      </c>
      <c r="R100" s="43" t="b">
        <f t="shared" si="36"/>
        <v>1</v>
      </c>
    </row>
    <row r="101" spans="1:18" x14ac:dyDescent="0.25">
      <c r="A101">
        <v>12020007</v>
      </c>
      <c r="B101" s="44">
        <v>43894</v>
      </c>
      <c r="C101" s="1">
        <f>B101+14</f>
        <v>43908</v>
      </c>
      <c r="D101" s="44">
        <v>43900</v>
      </c>
      <c r="F101" t="s">
        <v>1227</v>
      </c>
      <c r="H101" s="45">
        <v>892.5</v>
      </c>
      <c r="I101" s="43">
        <v>20</v>
      </c>
      <c r="J101" s="45">
        <f t="shared" si="33"/>
        <v>178.5</v>
      </c>
      <c r="K101" s="45">
        <f t="shared" si="34"/>
        <v>1071</v>
      </c>
      <c r="L101" s="44">
        <f t="shared" si="22"/>
        <v>43966</v>
      </c>
      <c r="N101" s="43">
        <f t="shared" ca="1" si="35"/>
        <v>0</v>
      </c>
      <c r="Q101" s="33">
        <v>892.5</v>
      </c>
      <c r="R101" s="43" t="b">
        <f t="shared" si="36"/>
        <v>1</v>
      </c>
    </row>
    <row r="102" spans="1:18" x14ac:dyDescent="0.25">
      <c r="A102">
        <v>12020005</v>
      </c>
      <c r="B102" s="44">
        <v>43864</v>
      </c>
      <c r="C102" s="1">
        <f>B102+35</f>
        <v>43899</v>
      </c>
      <c r="D102" s="44">
        <v>43902</v>
      </c>
      <c r="F102" t="s">
        <v>1227</v>
      </c>
      <c r="H102" s="45">
        <v>6450</v>
      </c>
      <c r="I102" s="43">
        <v>20</v>
      </c>
      <c r="J102" s="45">
        <f t="shared" si="33"/>
        <v>1290</v>
      </c>
      <c r="K102" s="45">
        <f t="shared" si="34"/>
        <v>7740</v>
      </c>
      <c r="L102" s="44">
        <f t="shared" si="22"/>
        <v>43966</v>
      </c>
      <c r="N102" s="43">
        <f t="shared" ca="1" si="35"/>
        <v>3</v>
      </c>
      <c r="Q102" s="33">
        <v>6450</v>
      </c>
      <c r="R102" s="43" t="b">
        <f t="shared" si="36"/>
        <v>1</v>
      </c>
    </row>
    <row r="103" spans="1:18" x14ac:dyDescent="0.25">
      <c r="A103">
        <v>12020008</v>
      </c>
      <c r="B103" s="44">
        <v>43894</v>
      </c>
      <c r="C103" s="1">
        <f>B103+35</f>
        <v>43929</v>
      </c>
      <c r="D103" s="44">
        <v>43922</v>
      </c>
      <c r="F103" t="s">
        <v>1227</v>
      </c>
      <c r="H103" s="45">
        <v>9030</v>
      </c>
      <c r="I103" s="43">
        <v>20</v>
      </c>
      <c r="J103" s="45">
        <f t="shared" si="33"/>
        <v>1806</v>
      </c>
      <c r="K103" s="45">
        <f t="shared" si="34"/>
        <v>10836</v>
      </c>
      <c r="L103" s="44">
        <f t="shared" si="22"/>
        <v>44058</v>
      </c>
      <c r="N103" s="43">
        <f t="shared" ca="1" si="35"/>
        <v>0</v>
      </c>
      <c r="Q103" s="33">
        <v>9030</v>
      </c>
      <c r="R103" s="43" t="b">
        <f t="shared" si="36"/>
        <v>1</v>
      </c>
    </row>
    <row r="104" spans="1:18" x14ac:dyDescent="0.25">
      <c r="A104">
        <v>12020011</v>
      </c>
      <c r="B104" s="44">
        <v>43922</v>
      </c>
      <c r="C104" s="1">
        <f>B104+14</f>
        <v>43936</v>
      </c>
      <c r="D104" s="44">
        <v>43922</v>
      </c>
      <c r="F104" t="s">
        <v>1227</v>
      </c>
      <c r="H104" s="45">
        <v>2292.5</v>
      </c>
      <c r="I104" s="43">
        <v>20</v>
      </c>
      <c r="J104" s="45">
        <f t="shared" si="33"/>
        <v>458.5</v>
      </c>
      <c r="K104" s="45">
        <f t="shared" si="34"/>
        <v>2751</v>
      </c>
      <c r="L104" s="44">
        <f t="shared" si="22"/>
        <v>44058</v>
      </c>
      <c r="N104" s="43">
        <f t="shared" ca="1" si="35"/>
        <v>0</v>
      </c>
      <c r="Q104" s="33">
        <v>2292.5</v>
      </c>
      <c r="R104" s="43" t="b">
        <f t="shared" si="36"/>
        <v>1</v>
      </c>
    </row>
    <row r="105" spans="1:18" x14ac:dyDescent="0.25">
      <c r="A105">
        <v>12020010</v>
      </c>
      <c r="B105" s="44">
        <v>43922</v>
      </c>
      <c r="C105" s="1">
        <f>B105+14</f>
        <v>43936</v>
      </c>
      <c r="D105" s="44">
        <v>43928</v>
      </c>
      <c r="F105" s="43" t="s">
        <v>1012</v>
      </c>
      <c r="H105" s="45">
        <v>87.5</v>
      </c>
      <c r="I105" s="43">
        <v>20</v>
      </c>
      <c r="J105" s="45">
        <f t="shared" si="33"/>
        <v>17.5</v>
      </c>
      <c r="K105" s="45">
        <f t="shared" si="34"/>
        <v>105</v>
      </c>
      <c r="L105" s="44">
        <f t="shared" si="22"/>
        <v>44058</v>
      </c>
      <c r="N105" s="43">
        <f t="shared" ca="1" si="35"/>
        <v>0</v>
      </c>
      <c r="Q105" s="33">
        <v>87.5</v>
      </c>
      <c r="R105" s="43" t="b">
        <f t="shared" si="36"/>
        <v>1</v>
      </c>
    </row>
    <row r="106" spans="1:18" x14ac:dyDescent="0.25">
      <c r="A106">
        <v>12020012</v>
      </c>
      <c r="B106" s="44">
        <v>43922</v>
      </c>
      <c r="C106" s="1">
        <f>B106+14</f>
        <v>43936</v>
      </c>
      <c r="D106" s="1">
        <v>43928</v>
      </c>
      <c r="F106" t="s">
        <v>1170</v>
      </c>
      <c r="H106" s="45">
        <v>109.38</v>
      </c>
      <c r="I106" s="43">
        <v>20</v>
      </c>
      <c r="J106" s="45">
        <f t="shared" si="33"/>
        <v>21.875999999999998</v>
      </c>
      <c r="K106" s="94">
        <f t="shared" si="34"/>
        <v>131.256</v>
      </c>
      <c r="L106" s="44">
        <f t="shared" si="22"/>
        <v>44058</v>
      </c>
      <c r="N106" s="43">
        <f t="shared" ca="1" si="35"/>
        <v>0</v>
      </c>
      <c r="Q106" s="33">
        <v>109.38</v>
      </c>
      <c r="R106" s="43" t="b">
        <f t="shared" si="36"/>
        <v>1</v>
      </c>
    </row>
    <row r="107" spans="1:18" x14ac:dyDescent="0.25">
      <c r="A107">
        <v>12020009</v>
      </c>
      <c r="B107" s="44">
        <v>43922</v>
      </c>
      <c r="C107" s="1">
        <f>B107+14</f>
        <v>43936</v>
      </c>
      <c r="D107" s="44">
        <v>43936</v>
      </c>
      <c r="F107" t="s">
        <v>983</v>
      </c>
      <c r="H107" s="45">
        <v>173.25</v>
      </c>
      <c r="I107" s="43">
        <v>20</v>
      </c>
      <c r="J107" s="45">
        <f t="shared" si="33"/>
        <v>34.65</v>
      </c>
      <c r="K107" s="45">
        <f t="shared" si="34"/>
        <v>207.9</v>
      </c>
      <c r="L107" s="44">
        <f t="shared" si="22"/>
        <v>44058</v>
      </c>
      <c r="N107" s="43">
        <f t="shared" ca="1" si="35"/>
        <v>0</v>
      </c>
      <c r="Q107" s="33">
        <v>173.25</v>
      </c>
      <c r="R107" s="43" t="b">
        <f t="shared" si="36"/>
        <v>1</v>
      </c>
    </row>
    <row r="108" spans="1:18" x14ac:dyDescent="0.25">
      <c r="A108">
        <v>12020015</v>
      </c>
      <c r="B108" s="44">
        <v>43955</v>
      </c>
      <c r="C108" s="1">
        <f>B108+14</f>
        <v>43969</v>
      </c>
      <c r="D108" s="44">
        <v>43956</v>
      </c>
      <c r="F108" s="43" t="s">
        <v>1012</v>
      </c>
      <c r="H108" s="45">
        <v>43.75</v>
      </c>
      <c r="I108" s="43">
        <v>20</v>
      </c>
      <c r="J108" s="45">
        <f t="shared" si="33"/>
        <v>8.75</v>
      </c>
      <c r="K108" s="45">
        <f t="shared" si="34"/>
        <v>52.5</v>
      </c>
      <c r="L108" s="44">
        <f t="shared" si="22"/>
        <v>44058</v>
      </c>
      <c r="N108" s="43">
        <f t="shared" ca="1" si="35"/>
        <v>0</v>
      </c>
      <c r="Q108" s="33">
        <v>43.75</v>
      </c>
      <c r="R108" s="43" t="b">
        <f t="shared" si="36"/>
        <v>1</v>
      </c>
    </row>
    <row r="109" spans="1:18" x14ac:dyDescent="0.25">
      <c r="A109">
        <v>12020014</v>
      </c>
      <c r="B109" s="44">
        <v>43923</v>
      </c>
      <c r="C109" s="1">
        <f>B109+35</f>
        <v>43958</v>
      </c>
      <c r="D109" s="44">
        <v>43963</v>
      </c>
      <c r="F109" t="s">
        <v>1227</v>
      </c>
      <c r="H109" s="45">
        <v>7050</v>
      </c>
      <c r="I109" s="43">
        <v>20</v>
      </c>
      <c r="J109" s="45">
        <f t="shared" si="33"/>
        <v>1410</v>
      </c>
      <c r="K109" s="45">
        <f t="shared" si="34"/>
        <v>8460</v>
      </c>
      <c r="L109" s="44">
        <f t="shared" si="22"/>
        <v>44058</v>
      </c>
      <c r="N109" s="43">
        <f t="shared" ca="1" si="35"/>
        <v>5</v>
      </c>
      <c r="Q109" s="33">
        <v>7050</v>
      </c>
      <c r="R109" s="43" t="b">
        <f t="shared" si="36"/>
        <v>1</v>
      </c>
    </row>
    <row r="110" spans="1:18" x14ac:dyDescent="0.25">
      <c r="A110">
        <v>12020016</v>
      </c>
      <c r="B110" s="44">
        <v>43955</v>
      </c>
      <c r="C110" s="1">
        <f>B110+14</f>
        <v>43969</v>
      </c>
      <c r="D110" s="44">
        <v>43963</v>
      </c>
      <c r="F110" t="s">
        <v>1227</v>
      </c>
      <c r="H110" s="45">
        <v>157.5</v>
      </c>
      <c r="I110" s="43">
        <v>20</v>
      </c>
      <c r="J110" s="45">
        <f t="shared" si="33"/>
        <v>31.5</v>
      </c>
      <c r="K110" s="45">
        <f t="shared" si="34"/>
        <v>189</v>
      </c>
      <c r="L110" s="44">
        <f t="shared" si="22"/>
        <v>44058</v>
      </c>
      <c r="N110" s="43">
        <f t="shared" ca="1" si="35"/>
        <v>0</v>
      </c>
      <c r="Q110" s="33">
        <v>157.5</v>
      </c>
      <c r="R110" s="43" t="b">
        <f t="shared" si="36"/>
        <v>1</v>
      </c>
    </row>
    <row r="111" spans="1:18" x14ac:dyDescent="0.25">
      <c r="A111">
        <v>12020018</v>
      </c>
      <c r="B111" s="44">
        <v>43955</v>
      </c>
      <c r="C111" s="1">
        <f>B111+35</f>
        <v>43990</v>
      </c>
      <c r="D111" s="44">
        <v>43992</v>
      </c>
      <c r="F111" t="s">
        <v>1227</v>
      </c>
      <c r="H111" s="45">
        <v>2130</v>
      </c>
      <c r="I111" s="43">
        <v>20</v>
      </c>
      <c r="J111" s="45">
        <f t="shared" si="33"/>
        <v>426</v>
      </c>
      <c r="K111" s="45">
        <f t="shared" si="34"/>
        <v>2556</v>
      </c>
      <c r="L111" s="44">
        <f t="shared" si="22"/>
        <v>44058</v>
      </c>
      <c r="N111" s="43">
        <f t="shared" ca="1" si="35"/>
        <v>2</v>
      </c>
      <c r="Q111" s="33">
        <v>2130</v>
      </c>
      <c r="R111" s="43" t="b">
        <f t="shared" si="36"/>
        <v>1</v>
      </c>
    </row>
    <row r="112" spans="1:18" x14ac:dyDescent="0.25">
      <c r="A112">
        <v>12020017</v>
      </c>
      <c r="B112" s="44">
        <v>43955</v>
      </c>
      <c r="C112" s="1">
        <f>B112+35</f>
        <v>43990</v>
      </c>
      <c r="D112" s="44">
        <v>44000</v>
      </c>
      <c r="F112" t="s">
        <v>1227</v>
      </c>
      <c r="H112" s="45">
        <v>7560</v>
      </c>
      <c r="I112" s="43">
        <v>20</v>
      </c>
      <c r="J112" s="45">
        <f t="shared" si="33"/>
        <v>1512</v>
      </c>
      <c r="K112" s="45">
        <f t="shared" si="34"/>
        <v>9072</v>
      </c>
      <c r="L112" s="44">
        <f t="shared" si="22"/>
        <v>44058</v>
      </c>
      <c r="N112" s="43">
        <f t="shared" ca="1" si="35"/>
        <v>10</v>
      </c>
      <c r="Q112" s="33">
        <v>7560</v>
      </c>
      <c r="R112" s="43" t="b">
        <f t="shared" si="36"/>
        <v>1</v>
      </c>
    </row>
    <row r="113" spans="1:18" x14ac:dyDescent="0.25">
      <c r="A113">
        <v>12020013</v>
      </c>
      <c r="B113" s="44">
        <v>43922</v>
      </c>
      <c r="C113" s="1">
        <f>B113+14</f>
        <v>43936</v>
      </c>
      <c r="D113" s="44">
        <v>44014</v>
      </c>
      <c r="F113" s="43" t="s">
        <v>59</v>
      </c>
      <c r="H113" s="45">
        <v>362.4</v>
      </c>
      <c r="I113" s="43">
        <v>20</v>
      </c>
      <c r="J113" s="45">
        <f t="shared" si="33"/>
        <v>72.48</v>
      </c>
      <c r="K113" s="45">
        <f t="shared" si="34"/>
        <v>434.88</v>
      </c>
      <c r="L113" s="44">
        <f t="shared" si="22"/>
        <v>44150</v>
      </c>
      <c r="N113" s="43">
        <f t="shared" ca="1" si="35"/>
        <v>78</v>
      </c>
      <c r="Q113" s="33">
        <v>362.4</v>
      </c>
      <c r="R113" s="43" t="b">
        <f t="shared" si="36"/>
        <v>1</v>
      </c>
    </row>
    <row r="114" spans="1:18" x14ac:dyDescent="0.25">
      <c r="A114">
        <v>12020024</v>
      </c>
      <c r="B114" s="44">
        <v>44013</v>
      </c>
      <c r="C114" s="1">
        <f>B114+14</f>
        <v>44027</v>
      </c>
      <c r="D114" s="44">
        <v>44014</v>
      </c>
      <c r="F114" s="43" t="s">
        <v>59</v>
      </c>
      <c r="H114" s="45">
        <v>306.25</v>
      </c>
      <c r="I114">
        <v>20</v>
      </c>
      <c r="J114" s="45">
        <f t="shared" si="33"/>
        <v>61.25</v>
      </c>
      <c r="K114" s="45">
        <f t="shared" si="34"/>
        <v>367.5</v>
      </c>
      <c r="L114" s="44">
        <f t="shared" si="22"/>
        <v>44150</v>
      </c>
      <c r="N114" s="43">
        <f t="shared" ca="1" si="35"/>
        <v>0</v>
      </c>
      <c r="Q114" s="33">
        <v>306.25</v>
      </c>
      <c r="R114" s="43" t="b">
        <f t="shared" si="36"/>
        <v>1</v>
      </c>
    </row>
    <row r="115" spans="1:18" x14ac:dyDescent="0.25">
      <c r="A115">
        <v>12020023</v>
      </c>
      <c r="B115" s="44">
        <v>44013</v>
      </c>
      <c r="C115" s="1">
        <f>B115+14</f>
        <v>44027</v>
      </c>
      <c r="D115" s="44">
        <v>44020</v>
      </c>
      <c r="F115" s="43" t="s">
        <v>1373</v>
      </c>
      <c r="H115" s="45">
        <v>901</v>
      </c>
      <c r="I115">
        <v>20</v>
      </c>
      <c r="J115" s="45">
        <f t="shared" si="33"/>
        <v>180.2</v>
      </c>
      <c r="K115" s="45">
        <f t="shared" si="34"/>
        <v>1081.2</v>
      </c>
      <c r="L115" s="44">
        <f t="shared" si="22"/>
        <v>44150</v>
      </c>
      <c r="N115" s="43">
        <f t="shared" ca="1" si="35"/>
        <v>0</v>
      </c>
      <c r="Q115" s="33">
        <v>901</v>
      </c>
      <c r="R115" s="43" t="b">
        <f t="shared" si="36"/>
        <v>1</v>
      </c>
    </row>
    <row r="116" spans="1:18" x14ac:dyDescent="0.25">
      <c r="A116">
        <v>12020022</v>
      </c>
      <c r="B116" s="44">
        <v>44013</v>
      </c>
      <c r="C116" s="1">
        <f>B116+14</f>
        <v>44027</v>
      </c>
      <c r="D116" s="44">
        <v>44025</v>
      </c>
      <c r="F116" t="s">
        <v>983</v>
      </c>
      <c r="H116" s="45">
        <v>250.25</v>
      </c>
      <c r="I116">
        <v>20</v>
      </c>
      <c r="J116" s="45">
        <f t="shared" si="33"/>
        <v>50.05</v>
      </c>
      <c r="K116" s="45">
        <f t="shared" si="34"/>
        <v>300.3</v>
      </c>
      <c r="L116" s="44">
        <f t="shared" si="22"/>
        <v>44150</v>
      </c>
      <c r="N116" s="43">
        <f t="shared" ca="1" si="35"/>
        <v>0</v>
      </c>
      <c r="Q116" s="33">
        <v>250.25</v>
      </c>
      <c r="R116" s="43" t="b">
        <f t="shared" si="36"/>
        <v>1</v>
      </c>
    </row>
    <row r="117" spans="1:18" x14ac:dyDescent="0.25">
      <c r="A117">
        <v>12020027</v>
      </c>
      <c r="B117" s="44">
        <v>44013</v>
      </c>
      <c r="C117" s="1">
        <f>B117+14</f>
        <v>44027</v>
      </c>
      <c r="D117" s="44">
        <v>44027</v>
      </c>
      <c r="F117" s="43" t="s">
        <v>110</v>
      </c>
      <c r="H117" s="45">
        <f>4*87.5</f>
        <v>350</v>
      </c>
      <c r="I117">
        <v>20</v>
      </c>
      <c r="J117" s="45">
        <f t="shared" si="33"/>
        <v>70</v>
      </c>
      <c r="K117" s="45">
        <f t="shared" si="34"/>
        <v>420</v>
      </c>
      <c r="L117" s="44">
        <f t="shared" si="22"/>
        <v>44150</v>
      </c>
      <c r="N117" s="43">
        <f t="shared" ca="1" si="35"/>
        <v>0</v>
      </c>
      <c r="Q117" s="33">
        <v>350</v>
      </c>
      <c r="R117" s="43" t="b">
        <f t="shared" si="36"/>
        <v>1</v>
      </c>
    </row>
    <row r="118" spans="1:18" x14ac:dyDescent="0.25">
      <c r="A118">
        <v>12020020</v>
      </c>
      <c r="B118" s="44">
        <v>43984</v>
      </c>
      <c r="C118" s="1">
        <f>B118+35</f>
        <v>44019</v>
      </c>
      <c r="D118" s="44">
        <v>44036</v>
      </c>
      <c r="F118" t="s">
        <v>1227</v>
      </c>
      <c r="G118" s="43" t="s">
        <v>1354</v>
      </c>
      <c r="H118" s="45">
        <v>2790</v>
      </c>
      <c r="I118" s="43">
        <v>20</v>
      </c>
      <c r="J118" s="45">
        <f t="shared" si="33"/>
        <v>558</v>
      </c>
      <c r="K118" s="45">
        <f t="shared" si="34"/>
        <v>3348</v>
      </c>
      <c r="L118" s="44">
        <f t="shared" si="22"/>
        <v>44150</v>
      </c>
      <c r="N118" s="43">
        <f t="shared" ca="1" si="35"/>
        <v>17</v>
      </c>
      <c r="Q118" s="33">
        <v>2790</v>
      </c>
      <c r="R118" s="43" t="b">
        <f t="shared" si="36"/>
        <v>1</v>
      </c>
    </row>
    <row r="119" spans="1:18" x14ac:dyDescent="0.25">
      <c r="A119">
        <v>12020021</v>
      </c>
      <c r="B119" s="44">
        <v>43984</v>
      </c>
      <c r="C119" s="1">
        <f>B119+35</f>
        <v>44019</v>
      </c>
      <c r="D119" s="44">
        <v>44036</v>
      </c>
      <c r="F119" t="s">
        <v>1227</v>
      </c>
      <c r="G119" s="43" t="s">
        <v>1355</v>
      </c>
      <c r="H119" s="45">
        <v>2250</v>
      </c>
      <c r="I119">
        <v>20</v>
      </c>
      <c r="J119" s="45">
        <f t="shared" si="33"/>
        <v>450</v>
      </c>
      <c r="K119" s="45">
        <f t="shared" si="34"/>
        <v>2700</v>
      </c>
      <c r="L119" s="44">
        <f t="shared" si="22"/>
        <v>44150</v>
      </c>
      <c r="N119" s="43">
        <f t="shared" ca="1" si="35"/>
        <v>17</v>
      </c>
      <c r="Q119" s="33">
        <v>2250</v>
      </c>
      <c r="R119" s="43" t="b">
        <f t="shared" si="36"/>
        <v>1</v>
      </c>
    </row>
    <row r="120" spans="1:18" x14ac:dyDescent="0.25">
      <c r="A120">
        <v>12020019</v>
      </c>
      <c r="B120" s="44">
        <v>43984</v>
      </c>
      <c r="C120" s="1">
        <f>B120+14</f>
        <v>43998</v>
      </c>
      <c r="D120" s="44">
        <v>44039</v>
      </c>
      <c r="E120" s="43" t="s">
        <v>1374</v>
      </c>
      <c r="F120" s="43" t="s">
        <v>1012</v>
      </c>
      <c r="H120" s="45">
        <v>131.25</v>
      </c>
      <c r="I120" s="43">
        <v>20</v>
      </c>
      <c r="J120" s="45">
        <f t="shared" si="33"/>
        <v>26.25</v>
      </c>
      <c r="K120" s="45">
        <f t="shared" si="34"/>
        <v>157.5</v>
      </c>
      <c r="L120" s="44">
        <f t="shared" si="22"/>
        <v>44150</v>
      </c>
      <c r="N120" s="43">
        <f t="shared" ca="1" si="35"/>
        <v>41</v>
      </c>
      <c r="Q120" s="33">
        <v>131.25</v>
      </c>
      <c r="R120" s="43" t="b">
        <f t="shared" si="36"/>
        <v>1</v>
      </c>
    </row>
    <row r="121" spans="1:18" x14ac:dyDescent="0.25">
      <c r="A121">
        <v>12020025</v>
      </c>
      <c r="B121" s="44">
        <v>44013</v>
      </c>
      <c r="C121" s="1">
        <f>B121+65</f>
        <v>44078</v>
      </c>
      <c r="D121" s="44">
        <v>44078</v>
      </c>
      <c r="F121" t="s">
        <v>1227</v>
      </c>
      <c r="G121" s="43" t="s">
        <v>1354</v>
      </c>
      <c r="H121" s="45">
        <f>19.25*120</f>
        <v>2310</v>
      </c>
      <c r="I121">
        <v>20</v>
      </c>
      <c r="J121" s="45">
        <f t="shared" si="33"/>
        <v>462</v>
      </c>
      <c r="K121" s="45">
        <f t="shared" si="34"/>
        <v>2772</v>
      </c>
      <c r="L121" s="44">
        <f t="shared" si="22"/>
        <v>44150</v>
      </c>
      <c r="N121" s="43">
        <f t="shared" ca="1" si="35"/>
        <v>0</v>
      </c>
      <c r="Q121" s="33">
        <v>2310</v>
      </c>
      <c r="R121" s="43" t="b">
        <f t="shared" si="36"/>
        <v>1</v>
      </c>
    </row>
    <row r="122" spans="1:18" x14ac:dyDescent="0.25">
      <c r="A122">
        <v>12020026</v>
      </c>
      <c r="B122" s="44">
        <v>44013</v>
      </c>
      <c r="C122" s="1">
        <f>B122+65</f>
        <v>44078</v>
      </c>
      <c r="D122" s="44">
        <v>44078</v>
      </c>
      <c r="F122" t="s">
        <v>1227</v>
      </c>
      <c r="G122" s="43" t="s">
        <v>1355</v>
      </c>
      <c r="H122" s="45">
        <f>57*120</f>
        <v>6840</v>
      </c>
      <c r="I122">
        <v>20</v>
      </c>
      <c r="J122" s="45">
        <f t="shared" si="33"/>
        <v>1368</v>
      </c>
      <c r="K122" s="45">
        <f t="shared" si="34"/>
        <v>8208</v>
      </c>
      <c r="L122" s="44">
        <f t="shared" si="22"/>
        <v>44150</v>
      </c>
      <c r="N122" s="43">
        <f t="shared" ca="1" si="35"/>
        <v>0</v>
      </c>
      <c r="Q122" s="33">
        <v>6840</v>
      </c>
      <c r="R122" s="43" t="b">
        <f t="shared" si="36"/>
        <v>1</v>
      </c>
    </row>
    <row r="123" spans="1:18" x14ac:dyDescent="0.25">
      <c r="A123">
        <v>12020028</v>
      </c>
      <c r="B123" s="44">
        <v>44044</v>
      </c>
      <c r="C123" s="1">
        <f>B123+14</f>
        <v>44058</v>
      </c>
      <c r="D123" s="44">
        <v>44097</v>
      </c>
      <c r="F123" s="43" t="s">
        <v>1373</v>
      </c>
      <c r="H123" s="45">
        <v>175</v>
      </c>
      <c r="I123">
        <v>20</v>
      </c>
      <c r="J123" s="45">
        <f t="shared" si="33"/>
        <v>35</v>
      </c>
      <c r="K123" s="45">
        <f t="shared" si="34"/>
        <v>210</v>
      </c>
      <c r="L123" s="44">
        <f t="shared" si="22"/>
        <v>44150</v>
      </c>
      <c r="N123" s="43">
        <f t="shared" ca="1" si="35"/>
        <v>39</v>
      </c>
      <c r="Q123" s="33">
        <v>175</v>
      </c>
      <c r="R123" s="43" t="b">
        <f t="shared" si="36"/>
        <v>1</v>
      </c>
    </row>
    <row r="124" spans="1:18" x14ac:dyDescent="0.25">
      <c r="A124">
        <v>12020029</v>
      </c>
      <c r="B124" s="44">
        <v>44046</v>
      </c>
      <c r="C124" s="1">
        <f>B124+35</f>
        <v>44081</v>
      </c>
      <c r="D124" s="44">
        <v>44102</v>
      </c>
      <c r="F124" t="s">
        <v>1227</v>
      </c>
      <c r="G124" s="43" t="s">
        <v>1354</v>
      </c>
      <c r="H124" s="45">
        <v>300</v>
      </c>
      <c r="I124">
        <v>20</v>
      </c>
      <c r="J124" s="45">
        <f t="shared" si="33"/>
        <v>60</v>
      </c>
      <c r="K124" s="45">
        <f t="shared" si="34"/>
        <v>360</v>
      </c>
      <c r="L124" s="44">
        <f t="shared" ref="L124:L187" si="37">IF(ISBLANK(D124),"",voranmeldefrist_vierteljaehrlich(D124))</f>
        <v>44150</v>
      </c>
      <c r="N124" s="43">
        <f t="shared" ca="1" si="35"/>
        <v>21</v>
      </c>
      <c r="Q124" s="33">
        <v>300.50000000000006</v>
      </c>
      <c r="R124" s="43" t="b">
        <f t="shared" si="36"/>
        <v>0</v>
      </c>
    </row>
    <row r="125" spans="1:18" x14ac:dyDescent="0.25">
      <c r="A125">
        <v>12020030</v>
      </c>
      <c r="B125" s="44">
        <v>44046</v>
      </c>
      <c r="C125" s="1">
        <f>B125+35</f>
        <v>44081</v>
      </c>
      <c r="D125" s="44">
        <v>44102</v>
      </c>
      <c r="F125" t="s">
        <v>1227</v>
      </c>
      <c r="G125" s="43" t="s">
        <v>1355</v>
      </c>
      <c r="H125" s="45">
        <v>12510</v>
      </c>
      <c r="I125">
        <v>20</v>
      </c>
      <c r="J125" s="45">
        <f t="shared" si="33"/>
        <v>2502</v>
      </c>
      <c r="K125" s="45">
        <f t="shared" si="34"/>
        <v>15012</v>
      </c>
      <c r="L125" s="44">
        <f t="shared" si="37"/>
        <v>44150</v>
      </c>
      <c r="N125" s="43">
        <f t="shared" ca="1" si="35"/>
        <v>21</v>
      </c>
      <c r="Q125" s="33">
        <v>12510</v>
      </c>
      <c r="R125" s="43" t="b">
        <f t="shared" si="36"/>
        <v>1</v>
      </c>
    </row>
    <row r="126" spans="1:18" x14ac:dyDescent="0.25">
      <c r="A126">
        <v>12020033</v>
      </c>
      <c r="B126" s="44">
        <v>44102</v>
      </c>
      <c r="C126" s="44">
        <f>B126+14</f>
        <v>44116</v>
      </c>
      <c r="D126" s="44">
        <v>44102</v>
      </c>
      <c r="F126" s="43" t="s">
        <v>59</v>
      </c>
      <c r="H126" s="45">
        <v>2185.98</v>
      </c>
      <c r="I126">
        <v>20</v>
      </c>
      <c r="J126" s="45">
        <f t="shared" si="33"/>
        <v>437.19599999999997</v>
      </c>
      <c r="K126" s="45">
        <f t="shared" si="34"/>
        <v>2623.1759999999999</v>
      </c>
      <c r="L126" s="44">
        <f t="shared" si="37"/>
        <v>44150</v>
      </c>
      <c r="N126" s="43">
        <f t="shared" ca="1" si="35"/>
        <v>0</v>
      </c>
      <c r="Q126" s="33">
        <v>2185.98</v>
      </c>
      <c r="R126" s="43" t="b">
        <f t="shared" si="36"/>
        <v>1</v>
      </c>
    </row>
    <row r="127" spans="1:18" x14ac:dyDescent="0.25">
      <c r="A127">
        <v>12020034</v>
      </c>
      <c r="B127" s="44">
        <v>44106</v>
      </c>
      <c r="C127" s="1">
        <f>B127+35</f>
        <v>44141</v>
      </c>
      <c r="D127" s="44">
        <v>44144</v>
      </c>
      <c r="F127" t="s">
        <v>1227</v>
      </c>
      <c r="G127" s="43" t="s">
        <v>1354</v>
      </c>
      <c r="H127" s="45">
        <v>420</v>
      </c>
      <c r="I127">
        <v>20</v>
      </c>
      <c r="J127" s="45">
        <f t="shared" si="33"/>
        <v>84</v>
      </c>
      <c r="K127" s="45">
        <f t="shared" si="34"/>
        <v>504</v>
      </c>
      <c r="L127" s="44">
        <f t="shared" si="37"/>
        <v>44242</v>
      </c>
      <c r="N127" s="43">
        <f t="shared" ca="1" si="35"/>
        <v>3</v>
      </c>
      <c r="Q127" s="33">
        <v>420</v>
      </c>
      <c r="R127" s="43" t="b">
        <f t="shared" si="36"/>
        <v>1</v>
      </c>
    </row>
    <row r="128" spans="1:18" x14ac:dyDescent="0.25">
      <c r="A128">
        <v>12020035</v>
      </c>
      <c r="B128" s="44">
        <v>44106</v>
      </c>
      <c r="C128" s="1">
        <f>B128+35</f>
        <v>44141</v>
      </c>
      <c r="D128" s="44">
        <v>44144</v>
      </c>
      <c r="F128" t="s">
        <v>1227</v>
      </c>
      <c r="G128" s="43" t="s">
        <v>1355</v>
      </c>
      <c r="H128" s="45">
        <v>9810</v>
      </c>
      <c r="I128">
        <v>20</v>
      </c>
      <c r="J128" s="45">
        <f t="shared" si="33"/>
        <v>1962</v>
      </c>
      <c r="K128" s="45">
        <f t="shared" si="34"/>
        <v>11772</v>
      </c>
      <c r="L128" s="44">
        <f t="shared" si="37"/>
        <v>44242</v>
      </c>
      <c r="N128" s="43">
        <f t="shared" ca="1" si="35"/>
        <v>3</v>
      </c>
      <c r="Q128" s="33">
        <v>9810</v>
      </c>
      <c r="R128" s="43" t="b">
        <f t="shared" si="36"/>
        <v>1</v>
      </c>
    </row>
    <row r="129" spans="1:20" x14ac:dyDescent="0.25">
      <c r="A129">
        <v>12020037</v>
      </c>
      <c r="B129" s="44">
        <v>44134</v>
      </c>
      <c r="C129" s="1">
        <f>B129+14</f>
        <v>44148</v>
      </c>
      <c r="D129" s="44">
        <v>44146</v>
      </c>
      <c r="F129" t="s">
        <v>1227</v>
      </c>
      <c r="G129" t="s">
        <v>1420</v>
      </c>
      <c r="H129" s="45">
        <v>14.94</v>
      </c>
      <c r="I129">
        <v>20</v>
      </c>
      <c r="J129" s="45">
        <f t="shared" si="33"/>
        <v>2.988</v>
      </c>
      <c r="K129" s="45">
        <f t="shared" si="34"/>
        <v>17.928000000000001</v>
      </c>
      <c r="L129" s="44">
        <f t="shared" si="37"/>
        <v>44242</v>
      </c>
      <c r="N129" s="43">
        <f t="shared" ca="1" si="35"/>
        <v>0</v>
      </c>
      <c r="Q129" s="33">
        <v>510</v>
      </c>
      <c r="R129" s="43" t="b">
        <f t="shared" si="36"/>
        <v>0</v>
      </c>
      <c r="T129" s="58"/>
    </row>
    <row r="130" spans="1:20" x14ac:dyDescent="0.25">
      <c r="A130">
        <v>12020031</v>
      </c>
      <c r="B130" s="44">
        <v>44077</v>
      </c>
      <c r="C130" s="44">
        <f>B130+65</f>
        <v>44142</v>
      </c>
      <c r="D130" s="44">
        <v>44179</v>
      </c>
      <c r="F130" t="s">
        <v>1227</v>
      </c>
      <c r="G130" s="43" t="s">
        <v>1354</v>
      </c>
      <c r="H130" s="45">
        <v>510</v>
      </c>
      <c r="I130">
        <v>20</v>
      </c>
      <c r="J130" s="45">
        <f t="shared" si="33"/>
        <v>102</v>
      </c>
      <c r="K130" s="45">
        <f t="shared" si="34"/>
        <v>612</v>
      </c>
      <c r="L130" s="44">
        <f t="shared" si="37"/>
        <v>44242</v>
      </c>
      <c r="N130" s="43">
        <f t="shared" ca="1" si="35"/>
        <v>37</v>
      </c>
      <c r="Q130" s="33">
        <v>7260</v>
      </c>
      <c r="R130" s="43" t="b">
        <f t="shared" si="36"/>
        <v>0</v>
      </c>
      <c r="T130" s="58"/>
    </row>
    <row r="131" spans="1:20" x14ac:dyDescent="0.25">
      <c r="A131">
        <v>12020036</v>
      </c>
      <c r="B131" s="44">
        <v>44134</v>
      </c>
      <c r="C131" s="1">
        <f>B131+35</f>
        <v>44169</v>
      </c>
      <c r="D131" s="44">
        <v>44229</v>
      </c>
      <c r="F131" t="s">
        <v>1227</v>
      </c>
      <c r="G131" t="s">
        <v>1355</v>
      </c>
      <c r="H131" s="45">
        <v>8340</v>
      </c>
      <c r="I131">
        <v>20</v>
      </c>
      <c r="J131" s="45">
        <f t="shared" ref="J131:J168" si="38">I131*H131/100</f>
        <v>1668</v>
      </c>
      <c r="K131" s="45">
        <f t="shared" ref="K131:K168" si="39">H131+J131</f>
        <v>10008</v>
      </c>
      <c r="L131" s="44">
        <f t="shared" si="37"/>
        <v>44331</v>
      </c>
      <c r="N131" s="43">
        <f t="shared" ca="1" si="35"/>
        <v>60</v>
      </c>
      <c r="Q131" s="33">
        <v>14.94</v>
      </c>
      <c r="T131" s="58">
        <v>2130</v>
      </c>
    </row>
    <row r="132" spans="1:20" x14ac:dyDescent="0.25">
      <c r="A132">
        <v>12020032</v>
      </c>
      <c r="B132" s="44">
        <v>44077</v>
      </c>
      <c r="C132" s="44">
        <f>B132+65</f>
        <v>44142</v>
      </c>
      <c r="D132" s="44">
        <v>44179</v>
      </c>
      <c r="F132" t="s">
        <v>1227</v>
      </c>
      <c r="G132" s="43" t="s">
        <v>1355</v>
      </c>
      <c r="H132" s="45">
        <v>7260</v>
      </c>
      <c r="I132">
        <v>20</v>
      </c>
      <c r="J132" s="45">
        <f t="shared" si="38"/>
        <v>1452</v>
      </c>
      <c r="K132" s="45">
        <f t="shared" si="39"/>
        <v>8712</v>
      </c>
      <c r="L132" s="44">
        <f t="shared" si="37"/>
        <v>44242</v>
      </c>
      <c r="N132" s="43">
        <f t="shared" ca="1" si="35"/>
        <v>37</v>
      </c>
      <c r="Q132" s="33">
        <v>2130</v>
      </c>
      <c r="R132" s="43" t="b">
        <f t="shared" si="36"/>
        <v>0</v>
      </c>
    </row>
    <row r="133" spans="1:20" x14ac:dyDescent="0.25">
      <c r="A133">
        <v>12020038</v>
      </c>
      <c r="B133" s="44">
        <v>44151</v>
      </c>
      <c r="C133" s="44">
        <v>44210</v>
      </c>
      <c r="D133" s="44">
        <v>44207</v>
      </c>
      <c r="F133" s="43" t="s">
        <v>1186</v>
      </c>
      <c r="H133" s="45">
        <v>218.78</v>
      </c>
      <c r="I133" s="43">
        <v>20</v>
      </c>
      <c r="J133" s="45">
        <f t="shared" si="38"/>
        <v>43.756</v>
      </c>
      <c r="K133" s="45">
        <f t="shared" si="39"/>
        <v>262.536</v>
      </c>
      <c r="L133" s="44">
        <f t="shared" si="37"/>
        <v>44331</v>
      </c>
      <c r="N133" s="43">
        <f t="shared" ref="N133:N141" ca="1" si="40">IF(ISBLANK(D133),IF(TODAY()&gt;C133,TODAY()-C133,0),IF(D133&gt;C133,D133-C133,0))</f>
        <v>0</v>
      </c>
      <c r="Q133" s="33">
        <v>2130</v>
      </c>
    </row>
    <row r="134" spans="1:20" x14ac:dyDescent="0.25">
      <c r="A134">
        <v>12021001</v>
      </c>
      <c r="B134" s="44">
        <v>44203</v>
      </c>
      <c r="C134" s="1">
        <f t="shared" ref="C134:C161" si="41">B134+14</f>
        <v>44217</v>
      </c>
      <c r="D134" s="44">
        <v>44203</v>
      </c>
      <c r="F134" s="43" t="s">
        <v>59</v>
      </c>
      <c r="H134" s="45">
        <v>8600</v>
      </c>
      <c r="I134" s="43">
        <v>20</v>
      </c>
      <c r="J134" s="45">
        <f t="shared" si="38"/>
        <v>1720</v>
      </c>
      <c r="K134" s="45">
        <f t="shared" si="39"/>
        <v>10320</v>
      </c>
      <c r="L134" s="44">
        <f t="shared" si="37"/>
        <v>44331</v>
      </c>
      <c r="N134" s="43">
        <f t="shared" ca="1" si="40"/>
        <v>0</v>
      </c>
    </row>
    <row r="135" spans="1:20" x14ac:dyDescent="0.25">
      <c r="A135">
        <v>12021002</v>
      </c>
      <c r="B135" s="44">
        <v>44203</v>
      </c>
      <c r="C135" s="1">
        <f t="shared" si="41"/>
        <v>44217</v>
      </c>
      <c r="D135" s="44">
        <v>44235</v>
      </c>
      <c r="F135" s="43" t="s">
        <v>1373</v>
      </c>
      <c r="H135" s="45">
        <v>459.38</v>
      </c>
      <c r="I135" s="43">
        <v>20</v>
      </c>
      <c r="J135" s="45">
        <f t="shared" si="38"/>
        <v>91.876000000000005</v>
      </c>
      <c r="K135" s="45">
        <f t="shared" si="39"/>
        <v>551.25599999999997</v>
      </c>
      <c r="L135" s="44">
        <f t="shared" si="37"/>
        <v>44331</v>
      </c>
      <c r="N135" s="43">
        <f t="shared" ca="1" si="40"/>
        <v>18</v>
      </c>
    </row>
    <row r="136" spans="1:20" x14ac:dyDescent="0.25">
      <c r="A136">
        <v>12021003</v>
      </c>
      <c r="B136" s="44">
        <v>44203</v>
      </c>
      <c r="C136" s="1">
        <f t="shared" si="41"/>
        <v>44217</v>
      </c>
      <c r="D136" s="44">
        <v>44224</v>
      </c>
      <c r="F136" s="43" t="s">
        <v>110</v>
      </c>
      <c r="H136" s="45">
        <v>131.25</v>
      </c>
      <c r="I136" s="43">
        <v>20</v>
      </c>
      <c r="J136" s="45">
        <f t="shared" si="38"/>
        <v>26.25</v>
      </c>
      <c r="K136" s="45">
        <f t="shared" si="39"/>
        <v>157.5</v>
      </c>
      <c r="L136" s="44">
        <f t="shared" si="37"/>
        <v>44331</v>
      </c>
      <c r="N136" s="43">
        <f t="shared" ca="1" si="40"/>
        <v>7</v>
      </c>
    </row>
    <row r="137" spans="1:20" x14ac:dyDescent="0.25">
      <c r="A137">
        <v>12021004</v>
      </c>
      <c r="B137" s="44">
        <v>44203</v>
      </c>
      <c r="C137" s="1">
        <f t="shared" si="41"/>
        <v>44217</v>
      </c>
      <c r="D137" s="44">
        <v>44218</v>
      </c>
      <c r="F137" t="s">
        <v>983</v>
      </c>
      <c r="H137" s="45">
        <v>404.25</v>
      </c>
      <c r="I137" s="43">
        <v>20</v>
      </c>
      <c r="J137" s="45">
        <f t="shared" si="38"/>
        <v>80.849999999999994</v>
      </c>
      <c r="K137" s="45">
        <f t="shared" si="39"/>
        <v>485.1</v>
      </c>
      <c r="L137" s="44">
        <f t="shared" si="37"/>
        <v>44331</v>
      </c>
      <c r="N137" s="43">
        <f t="shared" ca="1" si="40"/>
        <v>1</v>
      </c>
    </row>
    <row r="138" spans="1:20" x14ac:dyDescent="0.25">
      <c r="A138">
        <v>12021005</v>
      </c>
      <c r="B138" s="44">
        <v>44203</v>
      </c>
      <c r="C138" s="1">
        <f t="shared" si="41"/>
        <v>44217</v>
      </c>
      <c r="D138" s="44">
        <v>44208</v>
      </c>
      <c r="F138" s="43" t="s">
        <v>90</v>
      </c>
      <c r="H138" s="45">
        <v>350</v>
      </c>
      <c r="I138" s="43">
        <v>20</v>
      </c>
      <c r="J138" s="45">
        <f t="shared" si="38"/>
        <v>70</v>
      </c>
      <c r="K138" s="45">
        <f t="shared" si="39"/>
        <v>420</v>
      </c>
      <c r="L138" s="44">
        <f t="shared" si="37"/>
        <v>44331</v>
      </c>
      <c r="N138" s="43">
        <f t="shared" ca="1" si="40"/>
        <v>0</v>
      </c>
    </row>
    <row r="139" spans="1:20" x14ac:dyDescent="0.25">
      <c r="A139">
        <v>12021006</v>
      </c>
      <c r="B139" s="44">
        <v>44203</v>
      </c>
      <c r="C139" s="1">
        <f t="shared" si="41"/>
        <v>44217</v>
      </c>
      <c r="D139" s="44">
        <v>44228</v>
      </c>
      <c r="F139" t="s">
        <v>895</v>
      </c>
      <c r="H139" s="45">
        <v>196.88</v>
      </c>
      <c r="I139" s="43">
        <v>20</v>
      </c>
      <c r="J139" s="45">
        <f t="shared" si="38"/>
        <v>39.375999999999998</v>
      </c>
      <c r="K139" s="45">
        <f t="shared" si="39"/>
        <v>236.256</v>
      </c>
      <c r="L139" s="44">
        <f t="shared" si="37"/>
        <v>44331</v>
      </c>
      <c r="N139" s="43">
        <f t="shared" ca="1" si="40"/>
        <v>11</v>
      </c>
    </row>
    <row r="140" spans="1:20" x14ac:dyDescent="0.25">
      <c r="A140">
        <v>12021007</v>
      </c>
      <c r="B140" s="44">
        <v>44203</v>
      </c>
      <c r="C140" s="1">
        <f t="shared" si="41"/>
        <v>44217</v>
      </c>
      <c r="D140" s="44">
        <v>44204</v>
      </c>
      <c r="F140" t="s">
        <v>1170</v>
      </c>
      <c r="H140" s="45">
        <v>235.33</v>
      </c>
      <c r="I140" s="43">
        <v>20</v>
      </c>
      <c r="J140" s="45">
        <f t="shared" si="38"/>
        <v>47.066000000000003</v>
      </c>
      <c r="K140" s="45">
        <f t="shared" si="39"/>
        <v>282.39600000000002</v>
      </c>
      <c r="L140" s="44">
        <f t="shared" si="37"/>
        <v>44331</v>
      </c>
      <c r="N140" s="43">
        <f t="shared" ca="1" si="40"/>
        <v>0</v>
      </c>
    </row>
    <row r="141" spans="1:20" x14ac:dyDescent="0.25">
      <c r="A141">
        <v>12021008</v>
      </c>
      <c r="B141" s="44">
        <v>44203</v>
      </c>
      <c r="C141" s="1">
        <f t="shared" si="41"/>
        <v>44217</v>
      </c>
      <c r="D141" s="44">
        <v>44221</v>
      </c>
      <c r="F141" s="43" t="s">
        <v>1205</v>
      </c>
      <c r="H141" s="45">
        <v>100</v>
      </c>
      <c r="I141" s="43">
        <v>20</v>
      </c>
      <c r="J141" s="45">
        <f t="shared" si="38"/>
        <v>20</v>
      </c>
      <c r="K141" s="45">
        <f t="shared" si="39"/>
        <v>120</v>
      </c>
      <c r="L141" s="44">
        <f t="shared" si="37"/>
        <v>44331</v>
      </c>
      <c r="N141" s="43">
        <f t="shared" ca="1" si="40"/>
        <v>4</v>
      </c>
    </row>
    <row r="142" spans="1:20" x14ac:dyDescent="0.25">
      <c r="A142">
        <v>12021009</v>
      </c>
      <c r="B142" s="44">
        <v>44286</v>
      </c>
      <c r="C142" s="1">
        <f t="shared" si="41"/>
        <v>44300</v>
      </c>
      <c r="D142" s="44">
        <v>44287</v>
      </c>
      <c r="F142" s="43" t="s">
        <v>59</v>
      </c>
      <c r="H142" s="45">
        <v>8140.37</v>
      </c>
      <c r="I142" s="43">
        <v>20</v>
      </c>
      <c r="J142" s="45">
        <f t="shared" si="38"/>
        <v>1628.0739999999998</v>
      </c>
      <c r="K142" s="45">
        <f t="shared" si="39"/>
        <v>9768.4439999999995</v>
      </c>
      <c r="L142" s="44">
        <f t="shared" si="37"/>
        <v>44423</v>
      </c>
      <c r="N142" s="43">
        <f ca="1">IF(ISBLANK(D142),IF(TODAY()&gt;C142,TODAY()-C142,0),IF(D142&gt;C142,D142-C142,0))</f>
        <v>0</v>
      </c>
    </row>
    <row r="143" spans="1:20" x14ac:dyDescent="0.25">
      <c r="A143">
        <v>12021010</v>
      </c>
      <c r="B143" s="44">
        <v>44286</v>
      </c>
      <c r="C143" s="1">
        <f t="shared" si="41"/>
        <v>44300</v>
      </c>
      <c r="D143" s="44">
        <v>44295</v>
      </c>
      <c r="F143" t="s">
        <v>983</v>
      </c>
      <c r="H143" s="45">
        <v>1959.56</v>
      </c>
      <c r="I143" s="43">
        <v>20</v>
      </c>
      <c r="J143" s="45">
        <f t="shared" si="38"/>
        <v>391.91199999999998</v>
      </c>
      <c r="K143" s="45">
        <f t="shared" si="39"/>
        <v>2351.4719999999998</v>
      </c>
      <c r="L143" s="44">
        <f t="shared" si="37"/>
        <v>44423</v>
      </c>
      <c r="N143" s="43">
        <f t="shared" ref="N143:N155" ca="1" si="42">IF(ISBLANK(D143),IF(TODAY()&gt;C143,TODAY()-C143,0),IF(D143&gt;C143,D143-C143,0))</f>
        <v>0</v>
      </c>
    </row>
    <row r="144" spans="1:20" x14ac:dyDescent="0.25">
      <c r="A144">
        <v>12021011</v>
      </c>
      <c r="B144" s="44">
        <v>44286</v>
      </c>
      <c r="C144" s="1">
        <f t="shared" si="41"/>
        <v>44300</v>
      </c>
      <c r="D144" s="44">
        <v>44293</v>
      </c>
      <c r="F144" t="s">
        <v>1170</v>
      </c>
      <c r="H144" s="45">
        <v>489.5</v>
      </c>
      <c r="I144" s="43">
        <v>20</v>
      </c>
      <c r="J144" s="45">
        <f t="shared" si="38"/>
        <v>97.9</v>
      </c>
      <c r="K144" s="45">
        <f t="shared" si="39"/>
        <v>587.4</v>
      </c>
      <c r="L144" s="44">
        <f t="shared" si="37"/>
        <v>44423</v>
      </c>
      <c r="N144" s="43">
        <f t="shared" ca="1" si="42"/>
        <v>0</v>
      </c>
    </row>
    <row r="145" spans="1:14" x14ac:dyDescent="0.25">
      <c r="A145">
        <v>12021012</v>
      </c>
      <c r="B145" s="44">
        <v>44286</v>
      </c>
      <c r="C145" s="1">
        <f t="shared" si="41"/>
        <v>44300</v>
      </c>
      <c r="D145" s="44">
        <v>44316</v>
      </c>
      <c r="F145" s="43" t="s">
        <v>110</v>
      </c>
      <c r="H145" s="45">
        <v>44.5</v>
      </c>
      <c r="I145" s="43">
        <v>20</v>
      </c>
      <c r="J145" s="45">
        <f t="shared" si="38"/>
        <v>8.9</v>
      </c>
      <c r="K145" s="45">
        <f t="shared" si="39"/>
        <v>53.4</v>
      </c>
      <c r="L145" s="44">
        <f t="shared" si="37"/>
        <v>44423</v>
      </c>
      <c r="N145" s="43">
        <f t="shared" ca="1" si="42"/>
        <v>16</v>
      </c>
    </row>
    <row r="146" spans="1:14" x14ac:dyDescent="0.25">
      <c r="A146">
        <v>12021013</v>
      </c>
      <c r="B146" s="44">
        <v>44286</v>
      </c>
      <c r="C146" s="1">
        <f t="shared" si="41"/>
        <v>44300</v>
      </c>
      <c r="D146" s="44">
        <v>44287</v>
      </c>
      <c r="E146" s="44"/>
      <c r="F146" s="43" t="s">
        <v>1506</v>
      </c>
      <c r="H146" s="45">
        <v>801</v>
      </c>
      <c r="I146" s="43">
        <v>20</v>
      </c>
      <c r="J146" s="45">
        <f t="shared" si="38"/>
        <v>160.19999999999999</v>
      </c>
      <c r="K146" s="45">
        <f t="shared" si="39"/>
        <v>961.2</v>
      </c>
      <c r="L146" s="44">
        <f t="shared" si="37"/>
        <v>44423</v>
      </c>
      <c r="N146" s="43">
        <f t="shared" ca="1" si="42"/>
        <v>0</v>
      </c>
    </row>
    <row r="147" spans="1:14" x14ac:dyDescent="0.25">
      <c r="A147">
        <v>12021014</v>
      </c>
      <c r="B147" s="44">
        <v>44347</v>
      </c>
      <c r="C147" s="1">
        <f t="shared" si="41"/>
        <v>44361</v>
      </c>
      <c r="D147" s="44">
        <v>44354</v>
      </c>
      <c r="F147" t="s">
        <v>1227</v>
      </c>
      <c r="G147" t="s">
        <v>1420</v>
      </c>
      <c r="H147" s="45">
        <v>14.94</v>
      </c>
      <c r="I147" s="43">
        <v>20</v>
      </c>
      <c r="J147" s="45">
        <f t="shared" si="38"/>
        <v>2.988</v>
      </c>
      <c r="K147" s="45">
        <f t="shared" si="39"/>
        <v>17.928000000000001</v>
      </c>
      <c r="L147" s="44">
        <f t="shared" si="37"/>
        <v>44423</v>
      </c>
      <c r="N147" s="43">
        <f t="shared" ca="1" si="42"/>
        <v>0</v>
      </c>
    </row>
    <row r="148" spans="1:14" x14ac:dyDescent="0.25">
      <c r="A148">
        <v>12021015</v>
      </c>
      <c r="B148" s="44">
        <v>44378</v>
      </c>
      <c r="C148" s="1">
        <f t="shared" si="41"/>
        <v>44392</v>
      </c>
      <c r="D148" s="44">
        <v>44414</v>
      </c>
      <c r="F148" t="s">
        <v>983</v>
      </c>
      <c r="H148" s="45">
        <v>1170</v>
      </c>
      <c r="I148" s="43">
        <v>20</v>
      </c>
      <c r="J148" s="45">
        <f t="shared" si="38"/>
        <v>234</v>
      </c>
      <c r="K148" s="45">
        <f t="shared" si="39"/>
        <v>1404</v>
      </c>
      <c r="L148" s="44">
        <f t="shared" si="37"/>
        <v>44515</v>
      </c>
      <c r="N148" s="43">
        <f t="shared" ca="1" si="42"/>
        <v>22</v>
      </c>
    </row>
    <row r="149" spans="1:14" x14ac:dyDescent="0.25">
      <c r="A149">
        <v>12021016</v>
      </c>
      <c r="B149" s="44">
        <v>44378</v>
      </c>
      <c r="C149" s="1">
        <f t="shared" si="41"/>
        <v>44392</v>
      </c>
      <c r="D149" s="44">
        <v>44379</v>
      </c>
      <c r="F149" s="43" t="s">
        <v>90</v>
      </c>
      <c r="H149" s="45">
        <v>175</v>
      </c>
      <c r="I149" s="43">
        <v>20</v>
      </c>
      <c r="J149" s="45">
        <f t="shared" si="38"/>
        <v>35</v>
      </c>
      <c r="K149" s="45">
        <f t="shared" si="39"/>
        <v>210</v>
      </c>
      <c r="L149" s="44">
        <f t="shared" si="37"/>
        <v>44515</v>
      </c>
      <c r="N149" s="43">
        <f t="shared" ca="1" si="42"/>
        <v>0</v>
      </c>
    </row>
    <row r="150" spans="1:14" x14ac:dyDescent="0.25">
      <c r="A150">
        <v>12021017</v>
      </c>
      <c r="B150" s="44">
        <v>44378</v>
      </c>
      <c r="C150" s="1">
        <f t="shared" si="41"/>
        <v>44392</v>
      </c>
      <c r="D150" s="44">
        <v>44382</v>
      </c>
      <c r="F150" s="43" t="s">
        <v>1205</v>
      </c>
      <c r="H150" s="45">
        <v>100</v>
      </c>
      <c r="I150" s="43">
        <v>20</v>
      </c>
      <c r="J150" s="45">
        <f t="shared" si="38"/>
        <v>20</v>
      </c>
      <c r="K150" s="45">
        <f t="shared" si="39"/>
        <v>120</v>
      </c>
      <c r="L150" s="44">
        <f t="shared" si="37"/>
        <v>44515</v>
      </c>
      <c r="N150" s="43">
        <f t="shared" ca="1" si="42"/>
        <v>0</v>
      </c>
    </row>
    <row r="151" spans="1:14" x14ac:dyDescent="0.25">
      <c r="A151">
        <v>12021018</v>
      </c>
      <c r="B151" s="44">
        <v>44378</v>
      </c>
      <c r="C151" s="1">
        <f t="shared" si="41"/>
        <v>44392</v>
      </c>
      <c r="D151" s="44">
        <v>44411</v>
      </c>
      <c r="F151" s="43" t="s">
        <v>1373</v>
      </c>
      <c r="H151" s="45">
        <v>660.65</v>
      </c>
      <c r="I151" s="43">
        <v>20</v>
      </c>
      <c r="J151" s="45">
        <f t="shared" si="38"/>
        <v>132.13</v>
      </c>
      <c r="K151" s="45">
        <f t="shared" si="39"/>
        <v>792.78</v>
      </c>
      <c r="L151" s="44">
        <f t="shared" si="37"/>
        <v>44515</v>
      </c>
      <c r="N151" s="43">
        <f t="shared" ca="1" si="42"/>
        <v>19</v>
      </c>
    </row>
    <row r="152" spans="1:14" x14ac:dyDescent="0.25">
      <c r="A152">
        <v>12021019</v>
      </c>
      <c r="B152" s="44">
        <v>44378</v>
      </c>
      <c r="C152" s="1">
        <f t="shared" si="41"/>
        <v>44392</v>
      </c>
      <c r="D152" s="44">
        <v>44391</v>
      </c>
      <c r="F152" s="43" t="s">
        <v>110</v>
      </c>
      <c r="H152" s="45">
        <v>44.5</v>
      </c>
      <c r="I152" s="43">
        <v>20</v>
      </c>
      <c r="J152" s="45">
        <f t="shared" si="38"/>
        <v>8.9</v>
      </c>
      <c r="K152" s="45">
        <f t="shared" si="39"/>
        <v>53.4</v>
      </c>
      <c r="L152" s="44">
        <f t="shared" si="37"/>
        <v>44515</v>
      </c>
      <c r="N152" s="43">
        <f t="shared" ca="1" si="42"/>
        <v>0</v>
      </c>
    </row>
    <row r="153" spans="1:14" x14ac:dyDescent="0.25">
      <c r="A153">
        <v>12021020</v>
      </c>
      <c r="B153" s="44">
        <v>44378</v>
      </c>
      <c r="C153" s="1">
        <f t="shared" si="41"/>
        <v>44392</v>
      </c>
      <c r="D153" s="44">
        <v>44378</v>
      </c>
      <c r="E153" s="44"/>
      <c r="F153" s="43" t="s">
        <v>1506</v>
      </c>
      <c r="H153" s="45">
        <v>89</v>
      </c>
      <c r="I153" s="43">
        <v>20</v>
      </c>
      <c r="J153" s="45">
        <f t="shared" si="38"/>
        <v>17.8</v>
      </c>
      <c r="K153" s="45">
        <f t="shared" si="39"/>
        <v>106.8</v>
      </c>
      <c r="L153" s="44">
        <f t="shared" si="37"/>
        <v>44515</v>
      </c>
      <c r="N153" s="43">
        <f t="shared" ca="1" si="42"/>
        <v>0</v>
      </c>
    </row>
    <row r="154" spans="1:14" x14ac:dyDescent="0.25">
      <c r="A154">
        <v>12021021</v>
      </c>
      <c r="B154" s="44">
        <v>44378</v>
      </c>
      <c r="C154" s="1">
        <f t="shared" si="41"/>
        <v>44392</v>
      </c>
      <c r="D154" s="44">
        <v>44393</v>
      </c>
      <c r="F154" t="s">
        <v>1544</v>
      </c>
      <c r="H154" s="45">
        <v>475</v>
      </c>
      <c r="I154" s="43">
        <v>20</v>
      </c>
      <c r="J154" s="45">
        <f t="shared" si="38"/>
        <v>95</v>
      </c>
      <c r="K154" s="45">
        <f t="shared" si="39"/>
        <v>570</v>
      </c>
      <c r="L154" s="44">
        <f t="shared" si="37"/>
        <v>44515</v>
      </c>
      <c r="N154" s="43">
        <f t="shared" ca="1" si="42"/>
        <v>1</v>
      </c>
    </row>
    <row r="155" spans="1:14" x14ac:dyDescent="0.25">
      <c r="A155">
        <v>12021022</v>
      </c>
      <c r="B155" s="44">
        <v>44378</v>
      </c>
      <c r="C155" s="1">
        <f t="shared" si="41"/>
        <v>44392</v>
      </c>
      <c r="D155" s="44">
        <v>44378</v>
      </c>
      <c r="F155" s="43" t="s">
        <v>59</v>
      </c>
      <c r="H155" s="45">
        <v>18500</v>
      </c>
      <c r="I155" s="43">
        <v>20</v>
      </c>
      <c r="J155" s="45">
        <f t="shared" si="38"/>
        <v>3700</v>
      </c>
      <c r="K155" s="45">
        <f t="shared" si="39"/>
        <v>22200</v>
      </c>
      <c r="L155" s="44">
        <f t="shared" si="37"/>
        <v>44515</v>
      </c>
      <c r="N155" s="43">
        <f t="shared" ca="1" si="42"/>
        <v>0</v>
      </c>
    </row>
    <row r="156" spans="1:14" x14ac:dyDescent="0.25">
      <c r="A156">
        <v>12021023</v>
      </c>
      <c r="B156" s="44">
        <v>44470</v>
      </c>
      <c r="C156" s="1">
        <f t="shared" si="41"/>
        <v>44484</v>
      </c>
      <c r="D156" s="44">
        <v>44519</v>
      </c>
      <c r="E156" s="44">
        <v>44515</v>
      </c>
      <c r="F156" t="s">
        <v>983</v>
      </c>
      <c r="H156" s="45">
        <v>585</v>
      </c>
      <c r="I156" s="43">
        <v>20</v>
      </c>
      <c r="J156" s="45">
        <f t="shared" si="38"/>
        <v>117</v>
      </c>
      <c r="K156" s="45">
        <f t="shared" si="39"/>
        <v>702</v>
      </c>
      <c r="L156" s="44">
        <f t="shared" si="37"/>
        <v>44607</v>
      </c>
      <c r="N156" s="43">
        <f t="shared" ref="N156:N162" ca="1" si="43">IF(ISBLANK(D156),IF(TODAY()&gt;C156,TODAY()-C156,0),IF(D156&gt;C156,D156-C156,0))</f>
        <v>35</v>
      </c>
    </row>
    <row r="157" spans="1:14" x14ac:dyDescent="0.25">
      <c r="A157">
        <v>12021024</v>
      </c>
      <c r="B157" s="44">
        <v>44470</v>
      </c>
      <c r="C157" s="1">
        <f t="shared" si="41"/>
        <v>44484</v>
      </c>
      <c r="D157" s="44">
        <v>44470</v>
      </c>
      <c r="F157" s="43" t="s">
        <v>59</v>
      </c>
      <c r="H157" s="45">
        <v>14035.92</v>
      </c>
      <c r="I157" s="43">
        <v>20</v>
      </c>
      <c r="J157" s="45">
        <f t="shared" si="38"/>
        <v>2807.1840000000002</v>
      </c>
      <c r="K157" s="45">
        <f t="shared" si="39"/>
        <v>16843.103999999999</v>
      </c>
      <c r="L157" s="44">
        <f t="shared" si="37"/>
        <v>44607</v>
      </c>
      <c r="N157" s="43">
        <f t="shared" ca="1" si="43"/>
        <v>0</v>
      </c>
    </row>
    <row r="158" spans="1:14" x14ac:dyDescent="0.25">
      <c r="A158">
        <v>12021025</v>
      </c>
      <c r="B158" s="44">
        <v>44470</v>
      </c>
      <c r="C158" s="1">
        <f t="shared" si="41"/>
        <v>44484</v>
      </c>
      <c r="D158" s="44">
        <v>44470</v>
      </c>
      <c r="F158" s="43" t="s">
        <v>1506</v>
      </c>
      <c r="H158" s="45">
        <v>400.5</v>
      </c>
      <c r="I158" s="43">
        <v>20</v>
      </c>
      <c r="J158" s="45">
        <f t="shared" si="38"/>
        <v>80.099999999999994</v>
      </c>
      <c r="K158" s="45">
        <f t="shared" si="39"/>
        <v>480.6</v>
      </c>
      <c r="L158" s="44">
        <f t="shared" si="37"/>
        <v>44607</v>
      </c>
      <c r="N158" s="43">
        <f t="shared" ca="1" si="43"/>
        <v>0</v>
      </c>
    </row>
    <row r="159" spans="1:14" x14ac:dyDescent="0.25">
      <c r="A159">
        <v>12021026</v>
      </c>
      <c r="B159" s="44">
        <v>44470</v>
      </c>
      <c r="C159" s="1">
        <f t="shared" si="41"/>
        <v>44484</v>
      </c>
      <c r="D159" s="44">
        <v>44482</v>
      </c>
      <c r="F159" s="43" t="s">
        <v>110</v>
      </c>
      <c r="H159" s="45">
        <v>1620</v>
      </c>
      <c r="I159" s="43">
        <v>20</v>
      </c>
      <c r="J159" s="45">
        <f t="shared" si="38"/>
        <v>324</v>
      </c>
      <c r="K159" s="45">
        <f t="shared" si="39"/>
        <v>1944</v>
      </c>
      <c r="L159" s="44">
        <f t="shared" si="37"/>
        <v>44607</v>
      </c>
      <c r="N159" s="43">
        <f t="shared" ca="1" si="43"/>
        <v>0</v>
      </c>
    </row>
    <row r="160" spans="1:14" x14ac:dyDescent="0.25">
      <c r="A160">
        <v>12021027</v>
      </c>
      <c r="B160" s="44">
        <v>44515</v>
      </c>
      <c r="C160" s="1">
        <f t="shared" si="41"/>
        <v>44529</v>
      </c>
      <c r="D160" s="44">
        <v>44526</v>
      </c>
      <c r="F160" s="43" t="s">
        <v>110</v>
      </c>
      <c r="H160" s="45">
        <v>3780</v>
      </c>
      <c r="I160" s="43">
        <v>20</v>
      </c>
      <c r="J160" s="45">
        <f t="shared" si="38"/>
        <v>756</v>
      </c>
      <c r="K160" s="45">
        <f t="shared" si="39"/>
        <v>4536</v>
      </c>
      <c r="L160" s="44">
        <f t="shared" si="37"/>
        <v>44607</v>
      </c>
      <c r="N160" s="43">
        <f t="shared" ca="1" si="43"/>
        <v>0</v>
      </c>
    </row>
    <row r="161" spans="1:14" x14ac:dyDescent="0.25">
      <c r="A161">
        <v>12021028</v>
      </c>
      <c r="B161" s="44">
        <v>44533</v>
      </c>
      <c r="C161" s="1">
        <f t="shared" si="41"/>
        <v>44547</v>
      </c>
      <c r="D161" s="44">
        <v>44537</v>
      </c>
      <c r="F161" s="43" t="s">
        <v>1186</v>
      </c>
      <c r="H161" s="45">
        <v>150.78</v>
      </c>
      <c r="I161" s="43">
        <v>20</v>
      </c>
      <c r="J161" s="45">
        <f t="shared" si="38"/>
        <v>30.155999999999999</v>
      </c>
      <c r="K161" s="45">
        <f t="shared" si="39"/>
        <v>180.93600000000001</v>
      </c>
      <c r="L161" s="44">
        <f t="shared" si="37"/>
        <v>44607</v>
      </c>
      <c r="N161" s="43">
        <f t="shared" ca="1" si="43"/>
        <v>0</v>
      </c>
    </row>
    <row r="162" spans="1:14" x14ac:dyDescent="0.25">
      <c r="A162">
        <v>12021029</v>
      </c>
      <c r="B162" s="44">
        <v>44530</v>
      </c>
      <c r="C162" s="1">
        <f>B162+45</f>
        <v>44575</v>
      </c>
      <c r="D162" s="44">
        <v>44574</v>
      </c>
      <c r="F162" t="s">
        <v>1590</v>
      </c>
      <c r="G162" s="43">
        <v>168041072</v>
      </c>
      <c r="H162" s="45">
        <v>3997.5</v>
      </c>
      <c r="I162">
        <v>20</v>
      </c>
      <c r="J162" s="45">
        <f t="shared" si="38"/>
        <v>799.5</v>
      </c>
      <c r="K162" s="45">
        <f t="shared" si="39"/>
        <v>4797</v>
      </c>
      <c r="L162" s="44">
        <f t="shared" si="37"/>
        <v>44696</v>
      </c>
      <c r="N162" s="43">
        <f t="shared" ca="1" si="43"/>
        <v>0</v>
      </c>
    </row>
    <row r="163" spans="1:14" x14ac:dyDescent="0.25">
      <c r="A163">
        <v>12021030</v>
      </c>
      <c r="B163" s="44">
        <v>44551</v>
      </c>
      <c r="C163" s="1">
        <f>B163+14</f>
        <v>44565</v>
      </c>
      <c r="D163" s="44">
        <v>44551</v>
      </c>
      <c r="F163" s="43" t="s">
        <v>59</v>
      </c>
      <c r="H163" s="45">
        <v>6351.81</v>
      </c>
      <c r="I163">
        <v>20</v>
      </c>
      <c r="J163" s="45">
        <f t="shared" si="38"/>
        <v>1270.3620000000001</v>
      </c>
      <c r="K163" s="45">
        <f t="shared" si="39"/>
        <v>7622.1720000000005</v>
      </c>
      <c r="L163" s="44">
        <f t="shared" si="37"/>
        <v>44607</v>
      </c>
      <c r="N163" s="43">
        <f t="shared" ref="N163:N223" ca="1" si="44">IF(ISBLANK(D163),IF(TODAY()&gt;C163,TODAY()-C163,0),IF(D163&gt;C163,D163-C163,0))</f>
        <v>0</v>
      </c>
    </row>
    <row r="164" spans="1:14" x14ac:dyDescent="0.25">
      <c r="A164">
        <v>12021031</v>
      </c>
      <c r="B164" s="44">
        <v>44552</v>
      </c>
      <c r="C164" s="1">
        <f>B164+45</f>
        <v>44597</v>
      </c>
      <c r="D164" s="44">
        <v>44596</v>
      </c>
      <c r="F164" t="s">
        <v>1590</v>
      </c>
      <c r="H164" s="45">
        <v>7872</v>
      </c>
      <c r="I164">
        <v>20</v>
      </c>
      <c r="J164" s="45">
        <f t="shared" si="38"/>
        <v>1574.4</v>
      </c>
      <c r="K164" s="45">
        <f t="shared" si="39"/>
        <v>9446.4</v>
      </c>
      <c r="L164" s="44">
        <f t="shared" si="37"/>
        <v>44696</v>
      </c>
      <c r="N164" s="43">
        <f t="shared" ca="1" si="44"/>
        <v>0</v>
      </c>
    </row>
    <row r="165" spans="1:14" x14ac:dyDescent="0.25">
      <c r="A165">
        <v>12021032</v>
      </c>
      <c r="B165" s="44">
        <v>44557</v>
      </c>
      <c r="C165" s="1">
        <f>B165+14</f>
        <v>44571</v>
      </c>
      <c r="D165" s="44">
        <v>44558</v>
      </c>
      <c r="F165" s="43" t="s">
        <v>1506</v>
      </c>
      <c r="H165" s="45">
        <v>1134.75</v>
      </c>
      <c r="I165">
        <v>20</v>
      </c>
      <c r="J165" s="45">
        <f t="shared" si="38"/>
        <v>226.95</v>
      </c>
      <c r="K165" s="45">
        <f t="shared" si="39"/>
        <v>1361.7</v>
      </c>
      <c r="L165" s="44">
        <f t="shared" si="37"/>
        <v>44607</v>
      </c>
      <c r="N165" s="43">
        <f ca="1">IF(ISBLANK(D165),IF(TODAY()&gt;C165,TODAY()-C165,0),IF(D165&gt;C165,D165-C165,0))</f>
        <v>0</v>
      </c>
    </row>
    <row r="166" spans="1:14" x14ac:dyDescent="0.25">
      <c r="A166">
        <v>12021033</v>
      </c>
      <c r="B166" s="44">
        <v>44557</v>
      </c>
      <c r="C166" s="1">
        <f>B166+14</f>
        <v>44571</v>
      </c>
      <c r="D166" s="44">
        <v>44566</v>
      </c>
      <c r="F166" s="43" t="s">
        <v>90</v>
      </c>
      <c r="H166" s="45">
        <v>87.5</v>
      </c>
      <c r="I166">
        <v>20</v>
      </c>
      <c r="J166" s="45">
        <f t="shared" si="38"/>
        <v>17.5</v>
      </c>
      <c r="K166" s="45">
        <f t="shared" si="39"/>
        <v>105</v>
      </c>
      <c r="L166" s="44">
        <f t="shared" si="37"/>
        <v>44696</v>
      </c>
      <c r="N166" s="43">
        <f t="shared" ca="1" si="44"/>
        <v>0</v>
      </c>
    </row>
    <row r="167" spans="1:14" x14ac:dyDescent="0.25">
      <c r="A167">
        <v>12021034</v>
      </c>
      <c r="B167" s="44">
        <v>44557</v>
      </c>
      <c r="C167" s="1">
        <f>B167+14</f>
        <v>44571</v>
      </c>
      <c r="D167" s="44">
        <v>44568</v>
      </c>
      <c r="F167" t="s">
        <v>983</v>
      </c>
      <c r="H167" s="45">
        <v>448.5</v>
      </c>
      <c r="I167">
        <v>20</v>
      </c>
      <c r="J167" s="45">
        <f t="shared" si="38"/>
        <v>89.7</v>
      </c>
      <c r="K167" s="45">
        <f t="shared" si="39"/>
        <v>538.20000000000005</v>
      </c>
      <c r="L167" s="44">
        <f t="shared" si="37"/>
        <v>44696</v>
      </c>
      <c r="N167" s="43">
        <f t="shared" ca="1" si="44"/>
        <v>0</v>
      </c>
    </row>
    <row r="168" spans="1:14" x14ac:dyDescent="0.25">
      <c r="A168">
        <v>12021035</v>
      </c>
      <c r="B168" s="44">
        <v>44557</v>
      </c>
      <c r="C168" s="1">
        <f>B168+14</f>
        <v>44571</v>
      </c>
      <c r="D168" s="44">
        <v>44565</v>
      </c>
      <c r="F168" t="s">
        <v>1227</v>
      </c>
      <c r="H168" s="45">
        <v>14.94</v>
      </c>
      <c r="I168">
        <v>20</v>
      </c>
      <c r="J168" s="45">
        <f t="shared" si="38"/>
        <v>2.988</v>
      </c>
      <c r="K168" s="45">
        <f t="shared" si="39"/>
        <v>17.928000000000001</v>
      </c>
      <c r="L168" s="44">
        <f t="shared" si="37"/>
        <v>44696</v>
      </c>
      <c r="N168" s="43">
        <f t="shared" ca="1" si="44"/>
        <v>0</v>
      </c>
    </row>
    <row r="169" spans="1:14" x14ac:dyDescent="0.25">
      <c r="A169">
        <v>12021036</v>
      </c>
      <c r="B169" s="44">
        <v>44559</v>
      </c>
      <c r="C169" s="1">
        <f>B169+14</f>
        <v>44573</v>
      </c>
      <c r="D169" s="44">
        <v>44585</v>
      </c>
      <c r="F169" s="43" t="s">
        <v>110</v>
      </c>
      <c r="H169" s="45">
        <v>92.11</v>
      </c>
      <c r="I169">
        <v>20</v>
      </c>
      <c r="J169" s="45">
        <f t="shared" ref="J169:J180" si="45">I169*H169/100</f>
        <v>18.422000000000001</v>
      </c>
      <c r="K169" s="45">
        <f t="shared" ref="K169:K180" si="46">H169+J169</f>
        <v>110.532</v>
      </c>
      <c r="L169" s="44">
        <f t="shared" si="37"/>
        <v>44696</v>
      </c>
      <c r="N169" s="43">
        <f t="shared" ca="1" si="44"/>
        <v>12</v>
      </c>
    </row>
    <row r="170" spans="1:14" x14ac:dyDescent="0.25">
      <c r="A170">
        <v>12022001</v>
      </c>
      <c r="B170" s="44">
        <v>44593</v>
      </c>
      <c r="C170" s="1">
        <f>B170+45</f>
        <v>44638</v>
      </c>
      <c r="D170" s="44">
        <v>44637</v>
      </c>
      <c r="F170" t="s">
        <v>1590</v>
      </c>
      <c r="H170" s="45">
        <v>11890</v>
      </c>
      <c r="I170">
        <v>20</v>
      </c>
      <c r="J170" s="45">
        <f t="shared" si="45"/>
        <v>2378</v>
      </c>
      <c r="K170" s="45">
        <f t="shared" si="46"/>
        <v>14268</v>
      </c>
      <c r="L170" s="44">
        <f t="shared" si="37"/>
        <v>44696</v>
      </c>
      <c r="N170" s="43">
        <f t="shared" ca="1" si="44"/>
        <v>0</v>
      </c>
    </row>
    <row r="171" spans="1:14" x14ac:dyDescent="0.25">
      <c r="A171">
        <v>12022002</v>
      </c>
      <c r="B171" s="44">
        <v>44602</v>
      </c>
      <c r="C171" s="1">
        <f>B171+14</f>
        <v>44616</v>
      </c>
      <c r="D171" s="44">
        <v>44608</v>
      </c>
      <c r="F171" t="s">
        <v>1227</v>
      </c>
      <c r="H171" s="45">
        <v>2.4900000000000002</v>
      </c>
      <c r="I171">
        <v>20</v>
      </c>
      <c r="J171" s="45">
        <f t="shared" si="45"/>
        <v>0.49800000000000005</v>
      </c>
      <c r="K171" s="45">
        <f t="shared" si="46"/>
        <v>2.9880000000000004</v>
      </c>
      <c r="L171" s="44">
        <f t="shared" si="37"/>
        <v>44696</v>
      </c>
      <c r="N171" s="43">
        <f t="shared" ca="1" si="44"/>
        <v>0</v>
      </c>
    </row>
    <row r="172" spans="1:14" x14ac:dyDescent="0.25">
      <c r="A172">
        <v>12022003</v>
      </c>
      <c r="B172" s="44">
        <v>44621</v>
      </c>
      <c r="C172" s="1">
        <f>B172+45</f>
        <v>44666</v>
      </c>
      <c r="D172" s="44">
        <v>44665</v>
      </c>
      <c r="F172" t="s">
        <v>1590</v>
      </c>
      <c r="G172" s="152">
        <v>44593</v>
      </c>
      <c r="H172" s="45">
        <f>184.75*82</f>
        <v>15149.5</v>
      </c>
      <c r="I172">
        <v>20</v>
      </c>
      <c r="J172" s="45">
        <f t="shared" si="45"/>
        <v>3029.9</v>
      </c>
      <c r="K172" s="45">
        <f t="shared" si="46"/>
        <v>18179.400000000001</v>
      </c>
      <c r="L172" s="44">
        <f t="shared" si="37"/>
        <v>44788</v>
      </c>
      <c r="N172" s="43">
        <f t="shared" ca="1" si="44"/>
        <v>0</v>
      </c>
    </row>
    <row r="173" spans="1:14" x14ac:dyDescent="0.25">
      <c r="A173">
        <v>12022004</v>
      </c>
      <c r="B173" s="44">
        <v>44622</v>
      </c>
      <c r="C173" s="1">
        <f>B173+14</f>
        <v>44636</v>
      </c>
      <c r="D173" s="44">
        <v>44657</v>
      </c>
      <c r="F173" s="43" t="s">
        <v>1373</v>
      </c>
      <c r="H173" s="45">
        <v>270</v>
      </c>
      <c r="I173">
        <v>20</v>
      </c>
      <c r="J173" s="45">
        <f t="shared" si="45"/>
        <v>54</v>
      </c>
      <c r="K173" s="45">
        <f t="shared" si="46"/>
        <v>324</v>
      </c>
      <c r="L173" s="44">
        <f t="shared" si="37"/>
        <v>44788</v>
      </c>
      <c r="N173" s="43">
        <f t="shared" ca="1" si="44"/>
        <v>21</v>
      </c>
    </row>
    <row r="174" spans="1:14" x14ac:dyDescent="0.25">
      <c r="A174">
        <v>12022005</v>
      </c>
      <c r="B174" s="44">
        <v>44652</v>
      </c>
      <c r="C174" s="44">
        <f>B174+14</f>
        <v>44666</v>
      </c>
      <c r="D174" s="44">
        <v>44662</v>
      </c>
      <c r="F174" t="s">
        <v>983</v>
      </c>
      <c r="H174" s="45">
        <v>520</v>
      </c>
      <c r="I174">
        <v>20</v>
      </c>
      <c r="J174" s="45">
        <f t="shared" si="45"/>
        <v>104</v>
      </c>
      <c r="K174" s="45">
        <f t="shared" si="46"/>
        <v>624</v>
      </c>
      <c r="L174" s="44">
        <f t="shared" si="37"/>
        <v>44788</v>
      </c>
      <c r="N174" s="43">
        <f t="shared" ca="1" si="44"/>
        <v>0</v>
      </c>
    </row>
    <row r="175" spans="1:14" x14ac:dyDescent="0.25">
      <c r="A175">
        <v>12022006</v>
      </c>
      <c r="B175" s="44">
        <v>44652</v>
      </c>
      <c r="C175" s="44">
        <f>B175+14</f>
        <v>44666</v>
      </c>
      <c r="D175" s="44">
        <v>44652</v>
      </c>
      <c r="F175" s="43" t="s">
        <v>59</v>
      </c>
      <c r="H175" s="45">
        <v>2835.42</v>
      </c>
      <c r="I175">
        <v>20</v>
      </c>
      <c r="J175" s="45">
        <f t="shared" si="45"/>
        <v>567.08400000000006</v>
      </c>
      <c r="K175" s="45">
        <f t="shared" si="46"/>
        <v>3402.5039999999999</v>
      </c>
      <c r="L175" s="44">
        <f t="shared" si="37"/>
        <v>44788</v>
      </c>
      <c r="N175" s="43">
        <f t="shared" ca="1" si="44"/>
        <v>0</v>
      </c>
    </row>
    <row r="176" spans="1:14" x14ac:dyDescent="0.25">
      <c r="A176">
        <v>12022007</v>
      </c>
      <c r="B176" s="44">
        <v>44652</v>
      </c>
      <c r="C176" s="44">
        <f>B176+14</f>
        <v>44666</v>
      </c>
      <c r="D176" s="44">
        <v>44652</v>
      </c>
      <c r="F176" s="43" t="s">
        <v>1506</v>
      </c>
      <c r="H176" s="45">
        <v>183</v>
      </c>
      <c r="I176">
        <v>20</v>
      </c>
      <c r="J176" s="45">
        <f t="shared" si="45"/>
        <v>36.6</v>
      </c>
      <c r="K176" s="45">
        <f t="shared" si="46"/>
        <v>219.6</v>
      </c>
      <c r="L176" s="44">
        <f t="shared" si="37"/>
        <v>44788</v>
      </c>
      <c r="N176" s="43">
        <f t="shared" ca="1" si="44"/>
        <v>0</v>
      </c>
    </row>
    <row r="177" spans="1:14" x14ac:dyDescent="0.25">
      <c r="A177">
        <v>12022008</v>
      </c>
      <c r="B177" s="44">
        <v>44652</v>
      </c>
      <c r="C177" s="1">
        <f>B177+45</f>
        <v>44697</v>
      </c>
      <c r="D177" s="44">
        <v>44694</v>
      </c>
      <c r="F177" t="s">
        <v>1590</v>
      </c>
      <c r="G177" s="152" t="s">
        <v>1643</v>
      </c>
      <c r="H177" s="45">
        <f>26.22*82</f>
        <v>2150.04</v>
      </c>
      <c r="I177">
        <v>20</v>
      </c>
      <c r="J177" s="45">
        <f t="shared" si="45"/>
        <v>430.00800000000004</v>
      </c>
      <c r="K177" s="45">
        <f t="shared" si="46"/>
        <v>2580.0479999999998</v>
      </c>
      <c r="L177" s="44">
        <f t="shared" si="37"/>
        <v>44788</v>
      </c>
      <c r="N177" s="43">
        <f t="shared" ca="1" si="44"/>
        <v>0</v>
      </c>
    </row>
    <row r="178" spans="1:14" x14ac:dyDescent="0.25">
      <c r="A178">
        <v>12022009</v>
      </c>
      <c r="B178" s="44">
        <v>44652</v>
      </c>
      <c r="C178" s="1">
        <f>B178+45</f>
        <v>44697</v>
      </c>
      <c r="D178" s="44">
        <v>44694</v>
      </c>
      <c r="F178" t="s">
        <v>1590</v>
      </c>
      <c r="G178" s="43" t="s">
        <v>1642</v>
      </c>
      <c r="H178" s="45">
        <f>183.53*82</f>
        <v>15049.460000000001</v>
      </c>
      <c r="I178">
        <v>20</v>
      </c>
      <c r="J178" s="45">
        <f t="shared" si="45"/>
        <v>3009.8920000000003</v>
      </c>
      <c r="K178" s="45">
        <f t="shared" si="46"/>
        <v>18059.352000000003</v>
      </c>
      <c r="L178" s="44">
        <f t="shared" si="37"/>
        <v>44788</v>
      </c>
      <c r="N178" s="43">
        <f t="shared" ca="1" si="44"/>
        <v>0</v>
      </c>
    </row>
    <row r="179" spans="1:14" x14ac:dyDescent="0.25">
      <c r="A179">
        <v>12022010</v>
      </c>
      <c r="B179" s="44">
        <v>44685</v>
      </c>
      <c r="C179" s="1">
        <f>B179+45</f>
        <v>44730</v>
      </c>
      <c r="D179" s="44">
        <v>44729</v>
      </c>
      <c r="F179" t="s">
        <v>1590</v>
      </c>
      <c r="G179" s="43">
        <v>168043527</v>
      </c>
      <c r="H179" s="45">
        <v>11910.5</v>
      </c>
      <c r="I179">
        <v>20</v>
      </c>
      <c r="J179" s="45">
        <f t="shared" si="45"/>
        <v>2382.1</v>
      </c>
      <c r="K179" s="45">
        <f t="shared" si="46"/>
        <v>14292.6</v>
      </c>
      <c r="L179" s="44">
        <f t="shared" si="37"/>
        <v>44788</v>
      </c>
      <c r="N179" s="43">
        <f t="shared" ca="1" si="44"/>
        <v>0</v>
      </c>
    </row>
    <row r="180" spans="1:14" x14ac:dyDescent="0.25">
      <c r="A180">
        <v>12022011</v>
      </c>
      <c r="B180" s="44">
        <v>44712</v>
      </c>
      <c r="C180" s="1">
        <f>B180+45</f>
        <v>44757</v>
      </c>
      <c r="D180" s="44">
        <v>44756</v>
      </c>
      <c r="F180" t="s">
        <v>1590</v>
      </c>
      <c r="G180" s="43">
        <v>168043885</v>
      </c>
      <c r="H180" s="45">
        <v>13571</v>
      </c>
      <c r="I180">
        <v>20</v>
      </c>
      <c r="J180" s="45">
        <f t="shared" si="45"/>
        <v>2714.2</v>
      </c>
      <c r="K180" s="45">
        <f t="shared" si="46"/>
        <v>16285.2</v>
      </c>
      <c r="L180" s="44">
        <f t="shared" si="37"/>
        <v>44880</v>
      </c>
      <c r="N180" s="43">
        <f t="shared" ca="1" si="44"/>
        <v>0</v>
      </c>
    </row>
    <row r="181" spans="1:14" x14ac:dyDescent="0.25">
      <c r="A181">
        <v>12022012</v>
      </c>
      <c r="B181" s="44">
        <v>44746</v>
      </c>
      <c r="C181" s="44">
        <f>B181+14</f>
        <v>44760</v>
      </c>
      <c r="D181" s="44">
        <v>44746</v>
      </c>
      <c r="F181" s="43" t="s">
        <v>59</v>
      </c>
      <c r="H181" s="45">
        <v>1667.3</v>
      </c>
      <c r="I181">
        <v>20</v>
      </c>
      <c r="J181" s="45">
        <f t="shared" ref="J181:J186" si="47">I181*H181/100</f>
        <v>333.46</v>
      </c>
      <c r="K181" s="45">
        <f t="shared" ref="K181:K186" si="48">H181+J181</f>
        <v>2000.76</v>
      </c>
      <c r="L181" s="44">
        <f t="shared" si="37"/>
        <v>44880</v>
      </c>
      <c r="N181" s="43">
        <f t="shared" ca="1" si="44"/>
        <v>0</v>
      </c>
    </row>
    <row r="182" spans="1:14" x14ac:dyDescent="0.25">
      <c r="A182">
        <v>12022013</v>
      </c>
      <c r="B182" s="44">
        <v>44746</v>
      </c>
      <c r="C182" s="44">
        <f>B182+14</f>
        <v>44760</v>
      </c>
      <c r="D182" s="44">
        <v>44770</v>
      </c>
      <c r="F182" s="43" t="s">
        <v>1373</v>
      </c>
      <c r="H182" s="45">
        <v>27.75</v>
      </c>
      <c r="I182">
        <v>20</v>
      </c>
      <c r="J182" s="45">
        <f t="shared" si="47"/>
        <v>5.55</v>
      </c>
      <c r="K182" s="45">
        <f t="shared" si="48"/>
        <v>33.299999999999997</v>
      </c>
      <c r="L182" s="44">
        <f t="shared" si="37"/>
        <v>44880</v>
      </c>
      <c r="N182" s="43">
        <f t="shared" ca="1" si="44"/>
        <v>10</v>
      </c>
    </row>
    <row r="183" spans="1:14" x14ac:dyDescent="0.25">
      <c r="A183">
        <v>12022014</v>
      </c>
      <c r="B183" s="44">
        <v>44746</v>
      </c>
      <c r="C183" s="44">
        <f>B183+14</f>
        <v>44760</v>
      </c>
      <c r="D183" s="44">
        <v>44746</v>
      </c>
      <c r="F183" s="43" t="s">
        <v>1506</v>
      </c>
      <c r="H183" s="45">
        <v>91.5</v>
      </c>
      <c r="I183">
        <v>20</v>
      </c>
      <c r="J183" s="45">
        <f t="shared" si="47"/>
        <v>18.3</v>
      </c>
      <c r="K183" s="45">
        <f t="shared" si="48"/>
        <v>109.8</v>
      </c>
      <c r="L183" s="44">
        <f t="shared" si="37"/>
        <v>44880</v>
      </c>
      <c r="N183" s="43">
        <f t="shared" ca="1" si="44"/>
        <v>0</v>
      </c>
    </row>
    <row r="184" spans="1:14" x14ac:dyDescent="0.25">
      <c r="A184">
        <v>12022015</v>
      </c>
      <c r="B184" s="44">
        <v>44746</v>
      </c>
      <c r="C184" s="44">
        <f>B184+14</f>
        <v>44760</v>
      </c>
      <c r="D184" s="44">
        <v>44757</v>
      </c>
      <c r="F184" t="s">
        <v>983</v>
      </c>
      <c r="H184" s="45">
        <v>240</v>
      </c>
      <c r="I184">
        <v>20</v>
      </c>
      <c r="J184" s="45">
        <f t="shared" si="47"/>
        <v>48</v>
      </c>
      <c r="K184" s="45">
        <f t="shared" si="48"/>
        <v>288</v>
      </c>
      <c r="L184" s="44">
        <f t="shared" si="37"/>
        <v>44880</v>
      </c>
      <c r="N184" s="43">
        <f t="shared" ca="1" si="44"/>
        <v>0</v>
      </c>
    </row>
    <row r="185" spans="1:14" x14ac:dyDescent="0.25">
      <c r="A185">
        <v>12022016</v>
      </c>
      <c r="B185" s="44">
        <v>44747</v>
      </c>
      <c r="C185" s="1">
        <f>B185+45</f>
        <v>44792</v>
      </c>
      <c r="D185" s="44">
        <v>44790</v>
      </c>
      <c r="F185" t="s">
        <v>1590</v>
      </c>
      <c r="G185" s="43" t="s">
        <v>1675</v>
      </c>
      <c r="H185" s="45">
        <v>15293</v>
      </c>
      <c r="I185">
        <v>20</v>
      </c>
      <c r="J185" s="45">
        <f t="shared" si="47"/>
        <v>3058.6</v>
      </c>
      <c r="K185" s="45">
        <f t="shared" si="48"/>
        <v>18351.599999999999</v>
      </c>
      <c r="L185" s="44">
        <f t="shared" si="37"/>
        <v>44880</v>
      </c>
      <c r="N185" s="43">
        <f t="shared" ca="1" si="44"/>
        <v>0</v>
      </c>
    </row>
    <row r="186" spans="1:14" x14ac:dyDescent="0.25">
      <c r="A186">
        <v>12022017</v>
      </c>
      <c r="B186" s="44">
        <v>44774</v>
      </c>
      <c r="C186" s="1">
        <f>B186+45</f>
        <v>44819</v>
      </c>
      <c r="D186" s="44">
        <v>44818</v>
      </c>
      <c r="F186" t="s">
        <v>1590</v>
      </c>
      <c r="G186" s="43" t="s">
        <v>1676</v>
      </c>
      <c r="H186" s="45">
        <v>19950</v>
      </c>
      <c r="I186">
        <v>20</v>
      </c>
      <c r="J186" s="45">
        <f t="shared" si="47"/>
        <v>3990</v>
      </c>
      <c r="K186" s="45">
        <f t="shared" si="48"/>
        <v>23940</v>
      </c>
      <c r="L186" s="44">
        <f t="shared" si="37"/>
        <v>44880</v>
      </c>
      <c r="N186" s="43">
        <f t="shared" ca="1" si="44"/>
        <v>0</v>
      </c>
    </row>
    <row r="187" spans="1:14" x14ac:dyDescent="0.25">
      <c r="A187">
        <v>12022018</v>
      </c>
      <c r="B187" s="44">
        <v>44805</v>
      </c>
      <c r="C187" s="1">
        <f>B187+45</f>
        <v>44850</v>
      </c>
      <c r="D187" s="44">
        <v>44848</v>
      </c>
      <c r="F187" t="s">
        <v>1590</v>
      </c>
      <c r="G187" s="43" t="s">
        <v>1677</v>
      </c>
      <c r="H187" s="45">
        <v>20139</v>
      </c>
      <c r="I187">
        <v>20</v>
      </c>
      <c r="J187" s="45">
        <f t="shared" ref="J187:J217" si="49">I187*H187/100</f>
        <v>4027.8</v>
      </c>
      <c r="K187" s="45">
        <f t="shared" ref="K187:K217" si="50">H187+J187</f>
        <v>24166.799999999999</v>
      </c>
      <c r="L187" s="44">
        <f t="shared" si="37"/>
        <v>44972</v>
      </c>
      <c r="N187" s="43">
        <f t="shared" ca="1" si="44"/>
        <v>0</v>
      </c>
    </row>
    <row r="188" spans="1:14" x14ac:dyDescent="0.25">
      <c r="A188">
        <v>12022019</v>
      </c>
      <c r="B188" s="44">
        <v>44836</v>
      </c>
      <c r="C188" s="44">
        <f>B188+14</f>
        <v>44850</v>
      </c>
      <c r="D188" s="44">
        <v>44837</v>
      </c>
      <c r="F188" s="43" t="s">
        <v>59</v>
      </c>
      <c r="H188" s="45">
        <v>2110.2800000000002</v>
      </c>
      <c r="I188">
        <v>20</v>
      </c>
      <c r="J188" s="45">
        <f t="shared" si="49"/>
        <v>422.05600000000004</v>
      </c>
      <c r="K188" s="45">
        <f t="shared" si="50"/>
        <v>2532.3360000000002</v>
      </c>
      <c r="L188" s="44">
        <f t="shared" ref="L188:L251" si="51">IF(ISBLANK(D188),"",voranmeldefrist_vierteljaehrlich(D188))</f>
        <v>44972</v>
      </c>
      <c r="N188" s="43">
        <f t="shared" ca="1" si="44"/>
        <v>0</v>
      </c>
    </row>
    <row r="189" spans="1:14" x14ac:dyDescent="0.25">
      <c r="A189">
        <v>12022020</v>
      </c>
      <c r="B189" s="44">
        <v>44836</v>
      </c>
      <c r="C189" s="44">
        <f>B189+14</f>
        <v>44850</v>
      </c>
      <c r="D189" s="44">
        <v>44837</v>
      </c>
      <c r="F189" s="43" t="s">
        <v>1506</v>
      </c>
      <c r="H189" s="45">
        <v>228.75</v>
      </c>
      <c r="I189">
        <v>20</v>
      </c>
      <c r="J189" s="45">
        <f t="shared" si="49"/>
        <v>45.75</v>
      </c>
      <c r="K189" s="45">
        <f t="shared" si="50"/>
        <v>274.5</v>
      </c>
      <c r="L189" s="44">
        <f t="shared" si="51"/>
        <v>44972</v>
      </c>
      <c r="N189" s="43">
        <f t="shared" ca="1" si="44"/>
        <v>0</v>
      </c>
    </row>
    <row r="190" spans="1:14" x14ac:dyDescent="0.25">
      <c r="A190">
        <v>12022021</v>
      </c>
      <c r="B190" s="44">
        <v>44836</v>
      </c>
      <c r="C190" s="44">
        <f>B190+14</f>
        <v>44850</v>
      </c>
      <c r="D190" s="44">
        <v>44841</v>
      </c>
      <c r="F190" s="43" t="s">
        <v>1205</v>
      </c>
      <c r="H190" s="45">
        <v>380</v>
      </c>
      <c r="I190">
        <v>20</v>
      </c>
      <c r="J190" s="45">
        <f t="shared" si="49"/>
        <v>76</v>
      </c>
      <c r="K190" s="45">
        <f t="shared" si="50"/>
        <v>456</v>
      </c>
      <c r="L190" s="44">
        <f t="shared" si="51"/>
        <v>44972</v>
      </c>
      <c r="N190" s="43">
        <f t="shared" ca="1" si="44"/>
        <v>0</v>
      </c>
    </row>
    <row r="191" spans="1:14" x14ac:dyDescent="0.25">
      <c r="A191">
        <v>12022022</v>
      </c>
      <c r="B191" s="44">
        <v>44836</v>
      </c>
      <c r="C191" s="44">
        <f>B191+14</f>
        <v>44850</v>
      </c>
      <c r="D191" s="44">
        <v>44848</v>
      </c>
      <c r="F191" s="43" t="s">
        <v>110</v>
      </c>
      <c r="H191" s="45">
        <v>138</v>
      </c>
      <c r="I191">
        <v>20</v>
      </c>
      <c r="J191" s="45">
        <f t="shared" si="49"/>
        <v>27.6</v>
      </c>
      <c r="K191" s="45">
        <f t="shared" si="50"/>
        <v>165.6</v>
      </c>
      <c r="L191" s="44">
        <f t="shared" si="51"/>
        <v>44972</v>
      </c>
      <c r="N191" s="43">
        <f t="shared" ca="1" si="44"/>
        <v>0</v>
      </c>
    </row>
    <row r="192" spans="1:14" x14ac:dyDescent="0.25">
      <c r="A192">
        <v>12022023</v>
      </c>
      <c r="B192" s="44">
        <v>44838</v>
      </c>
      <c r="C192" s="1">
        <f>B192+45</f>
        <v>44883</v>
      </c>
      <c r="D192" s="44">
        <v>44882</v>
      </c>
      <c r="F192" t="s">
        <v>1590</v>
      </c>
      <c r="G192" s="43" t="s">
        <v>1679</v>
      </c>
      <c r="H192" s="45">
        <v>15141</v>
      </c>
      <c r="I192">
        <v>20</v>
      </c>
      <c r="J192" s="45">
        <f t="shared" si="49"/>
        <v>3028.2</v>
      </c>
      <c r="K192" s="45">
        <f t="shared" si="50"/>
        <v>18169.2</v>
      </c>
      <c r="L192" s="44">
        <f t="shared" si="51"/>
        <v>44972</v>
      </c>
      <c r="N192" s="43">
        <f t="shared" ca="1" si="44"/>
        <v>0</v>
      </c>
    </row>
    <row r="193" spans="1:14" x14ac:dyDescent="0.25">
      <c r="A193">
        <v>12022024</v>
      </c>
      <c r="B193" s="44">
        <v>44867</v>
      </c>
      <c r="C193" s="1">
        <f>B193+45</f>
        <v>44912</v>
      </c>
      <c r="D193" s="44">
        <v>44911</v>
      </c>
      <c r="F193" t="s">
        <v>1590</v>
      </c>
      <c r="G193" s="43" t="s">
        <v>1678</v>
      </c>
      <c r="H193" s="45">
        <v>12222</v>
      </c>
      <c r="I193">
        <v>20</v>
      </c>
      <c r="J193" s="45">
        <f t="shared" si="49"/>
        <v>2444.4</v>
      </c>
      <c r="K193" s="45">
        <f t="shared" si="50"/>
        <v>14666.4</v>
      </c>
      <c r="L193" s="44">
        <f t="shared" si="51"/>
        <v>44972</v>
      </c>
      <c r="N193" s="43">
        <f t="shared" ca="1" si="44"/>
        <v>0</v>
      </c>
    </row>
    <row r="194" spans="1:14" x14ac:dyDescent="0.25">
      <c r="A194">
        <v>12022025</v>
      </c>
      <c r="B194" s="44">
        <v>44895</v>
      </c>
      <c r="C194" s="1">
        <f>B194+45</f>
        <v>44940</v>
      </c>
      <c r="D194" s="44">
        <v>44939</v>
      </c>
      <c r="F194" t="s">
        <v>1590</v>
      </c>
      <c r="H194" s="45">
        <f>187*84</f>
        <v>15708</v>
      </c>
      <c r="I194">
        <v>20</v>
      </c>
      <c r="J194" s="45">
        <f t="shared" si="49"/>
        <v>3141.6</v>
      </c>
      <c r="K194" s="45">
        <f t="shared" si="50"/>
        <v>18849.599999999999</v>
      </c>
      <c r="L194" s="44">
        <f t="shared" si="51"/>
        <v>45061</v>
      </c>
      <c r="N194" s="43">
        <f t="shared" ca="1" si="44"/>
        <v>0</v>
      </c>
    </row>
    <row r="195" spans="1:14" x14ac:dyDescent="0.25">
      <c r="A195">
        <v>12022026</v>
      </c>
      <c r="B195" s="44">
        <v>44922</v>
      </c>
      <c r="C195" s="1">
        <f>B195+45</f>
        <v>44967</v>
      </c>
      <c r="D195" s="44">
        <v>44965</v>
      </c>
      <c r="F195" t="s">
        <v>1590</v>
      </c>
      <c r="H195" s="45">
        <f>149.25*84</f>
        <v>12537</v>
      </c>
      <c r="I195">
        <v>20</v>
      </c>
      <c r="J195" s="45">
        <f t="shared" si="49"/>
        <v>2507.4</v>
      </c>
      <c r="K195" s="45">
        <f t="shared" si="50"/>
        <v>15044.4</v>
      </c>
      <c r="L195" s="44">
        <f t="shared" si="51"/>
        <v>45061</v>
      </c>
      <c r="N195" s="43">
        <f t="shared" ca="1" si="44"/>
        <v>0</v>
      </c>
    </row>
    <row r="196" spans="1:14" x14ac:dyDescent="0.25">
      <c r="A196">
        <v>12022027</v>
      </c>
      <c r="B196" s="44">
        <v>44924</v>
      </c>
      <c r="C196" s="44">
        <f>B196+14</f>
        <v>44938</v>
      </c>
      <c r="D196" s="44">
        <v>44928</v>
      </c>
      <c r="F196" s="43" t="s">
        <v>59</v>
      </c>
      <c r="H196" s="45">
        <v>529.29999999999995</v>
      </c>
      <c r="I196">
        <v>20</v>
      </c>
      <c r="J196" s="45">
        <f t="shared" si="49"/>
        <v>105.86</v>
      </c>
      <c r="K196" s="45">
        <f t="shared" si="50"/>
        <v>635.16</v>
      </c>
      <c r="L196" s="44">
        <f t="shared" si="51"/>
        <v>45061</v>
      </c>
      <c r="N196" s="43">
        <f t="shared" ca="1" si="44"/>
        <v>0</v>
      </c>
    </row>
    <row r="197" spans="1:14" x14ac:dyDescent="0.25">
      <c r="A197">
        <v>12022028</v>
      </c>
      <c r="B197" s="44">
        <v>44924</v>
      </c>
      <c r="C197" s="44">
        <f>B197+14</f>
        <v>44938</v>
      </c>
      <c r="D197" s="44">
        <v>44937</v>
      </c>
      <c r="F197" s="43" t="s">
        <v>1700</v>
      </c>
      <c r="H197" s="45">
        <f>-58.22</f>
        <v>-58.22</v>
      </c>
      <c r="I197">
        <v>20</v>
      </c>
      <c r="J197" s="45">
        <f t="shared" si="49"/>
        <v>-11.644</v>
      </c>
      <c r="K197" s="45">
        <f t="shared" si="50"/>
        <v>-69.864000000000004</v>
      </c>
      <c r="L197" s="44">
        <f t="shared" si="51"/>
        <v>45061</v>
      </c>
      <c r="N197" s="43">
        <f t="shared" ca="1" si="44"/>
        <v>0</v>
      </c>
    </row>
    <row r="198" spans="1:14" x14ac:dyDescent="0.25">
      <c r="A198">
        <v>12022029</v>
      </c>
      <c r="B198" s="44">
        <v>44924</v>
      </c>
      <c r="C198" s="44">
        <f>B198+14</f>
        <v>44938</v>
      </c>
      <c r="D198" s="44">
        <v>44965</v>
      </c>
      <c r="F198" s="43" t="s">
        <v>1701</v>
      </c>
      <c r="H198" s="45">
        <f>90*6</f>
        <v>540</v>
      </c>
      <c r="I198">
        <v>20</v>
      </c>
      <c r="J198" s="45">
        <f t="shared" si="49"/>
        <v>108</v>
      </c>
      <c r="K198" s="45">
        <f t="shared" si="50"/>
        <v>648</v>
      </c>
      <c r="L198" s="44">
        <f t="shared" si="51"/>
        <v>45061</v>
      </c>
      <c r="N198" s="43">
        <f t="shared" ca="1" si="44"/>
        <v>27</v>
      </c>
    </row>
    <row r="199" spans="1:14" x14ac:dyDescent="0.25">
      <c r="A199">
        <v>12022030</v>
      </c>
      <c r="B199" s="44">
        <v>44925</v>
      </c>
      <c r="C199" s="44">
        <f>B199+14</f>
        <v>44939</v>
      </c>
      <c r="D199" s="44">
        <v>44943</v>
      </c>
      <c r="F199" s="43" t="s">
        <v>110</v>
      </c>
      <c r="H199" s="45">
        <v>178</v>
      </c>
      <c r="I199">
        <v>20</v>
      </c>
      <c r="J199" s="45">
        <f t="shared" si="49"/>
        <v>35.6</v>
      </c>
      <c r="K199" s="45">
        <f t="shared" si="50"/>
        <v>213.6</v>
      </c>
      <c r="L199" s="44">
        <f t="shared" si="51"/>
        <v>45061</v>
      </c>
      <c r="N199" s="43">
        <f t="shared" ca="1" si="44"/>
        <v>4</v>
      </c>
    </row>
    <row r="200" spans="1:14" x14ac:dyDescent="0.25">
      <c r="A200">
        <v>12023001</v>
      </c>
      <c r="B200" s="44">
        <v>44959</v>
      </c>
      <c r="C200" s="1">
        <f>B200+45</f>
        <v>45004</v>
      </c>
      <c r="D200" s="44">
        <v>45002</v>
      </c>
      <c r="F200" t="s">
        <v>1590</v>
      </c>
      <c r="G200" s="43" t="s">
        <v>1732</v>
      </c>
      <c r="H200" s="45">
        <v>13075.88</v>
      </c>
      <c r="I200">
        <v>20</v>
      </c>
      <c r="J200" s="45">
        <f t="shared" si="49"/>
        <v>2615.1759999999999</v>
      </c>
      <c r="K200" s="45">
        <f t="shared" si="50"/>
        <v>15691.055999999999</v>
      </c>
      <c r="L200" s="44">
        <f t="shared" si="51"/>
        <v>45061</v>
      </c>
      <c r="N200" s="43">
        <f t="shared" ca="1" si="44"/>
        <v>0</v>
      </c>
    </row>
    <row r="201" spans="1:14" x14ac:dyDescent="0.25">
      <c r="A201">
        <v>12023002</v>
      </c>
      <c r="B201" s="44">
        <v>44959</v>
      </c>
      <c r="C201" s="1">
        <f>B201+45</f>
        <v>45004</v>
      </c>
      <c r="D201" s="44">
        <v>45002</v>
      </c>
      <c r="F201" t="s">
        <v>1590</v>
      </c>
      <c r="G201" s="43" t="s">
        <v>1733</v>
      </c>
      <c r="H201" s="45">
        <v>103.42</v>
      </c>
      <c r="I201">
        <v>20</v>
      </c>
      <c r="J201" s="45">
        <f t="shared" si="49"/>
        <v>20.684000000000001</v>
      </c>
      <c r="K201" s="45">
        <f t="shared" si="50"/>
        <v>124.104</v>
      </c>
      <c r="L201" s="44">
        <f t="shared" si="51"/>
        <v>45061</v>
      </c>
      <c r="N201" s="43">
        <f t="shared" ca="1" si="44"/>
        <v>0</v>
      </c>
    </row>
    <row r="202" spans="1:14" x14ac:dyDescent="0.25">
      <c r="A202">
        <v>12023003</v>
      </c>
      <c r="B202" s="44">
        <v>45017</v>
      </c>
      <c r="C202" s="44">
        <f>B202+14</f>
        <v>45031</v>
      </c>
      <c r="D202" s="44">
        <v>45019</v>
      </c>
      <c r="F202" s="43" t="s">
        <v>59</v>
      </c>
      <c r="H202" s="45">
        <v>2300</v>
      </c>
      <c r="I202">
        <v>20</v>
      </c>
      <c r="J202" s="45">
        <f t="shared" si="49"/>
        <v>460</v>
      </c>
      <c r="K202" s="45">
        <f t="shared" si="50"/>
        <v>2760</v>
      </c>
      <c r="L202" s="44">
        <f t="shared" si="51"/>
        <v>45153</v>
      </c>
      <c r="N202" s="43">
        <f t="shared" ca="1" si="44"/>
        <v>0</v>
      </c>
    </row>
    <row r="203" spans="1:14" x14ac:dyDescent="0.25">
      <c r="A203">
        <v>12023004</v>
      </c>
      <c r="B203" s="44">
        <v>45017</v>
      </c>
      <c r="C203" s="44">
        <f>B203+14</f>
        <v>45031</v>
      </c>
      <c r="D203" s="44">
        <v>45040</v>
      </c>
      <c r="F203" s="43" t="s">
        <v>1701</v>
      </c>
      <c r="H203" s="45">
        <v>192</v>
      </c>
      <c r="I203">
        <v>20</v>
      </c>
      <c r="J203" s="45">
        <f t="shared" si="49"/>
        <v>38.4</v>
      </c>
      <c r="K203" s="45">
        <f t="shared" si="50"/>
        <v>230.4</v>
      </c>
      <c r="L203" s="44">
        <f t="shared" si="51"/>
        <v>45153</v>
      </c>
      <c r="N203" s="43">
        <f t="shared" ca="1" si="44"/>
        <v>9</v>
      </c>
    </row>
    <row r="204" spans="1:14" x14ac:dyDescent="0.25">
      <c r="A204">
        <v>12023005</v>
      </c>
      <c r="B204" s="44">
        <v>45017</v>
      </c>
      <c r="C204" s="44">
        <f>B204+14</f>
        <v>45031</v>
      </c>
      <c r="D204" s="44">
        <v>45021</v>
      </c>
      <c r="F204" s="43" t="s">
        <v>90</v>
      </c>
      <c r="H204" s="45">
        <v>1064</v>
      </c>
      <c r="I204">
        <v>20</v>
      </c>
      <c r="J204" s="45">
        <f t="shared" si="49"/>
        <v>212.8</v>
      </c>
      <c r="K204" s="45">
        <f t="shared" si="50"/>
        <v>1276.8</v>
      </c>
      <c r="L204" s="44">
        <f t="shared" si="51"/>
        <v>45153</v>
      </c>
      <c r="N204" s="43">
        <f t="shared" ca="1" si="44"/>
        <v>0</v>
      </c>
    </row>
    <row r="205" spans="1:14" x14ac:dyDescent="0.25">
      <c r="A205">
        <v>12023006</v>
      </c>
      <c r="B205" s="44">
        <v>45017</v>
      </c>
      <c r="C205" s="44">
        <f>B205+14</f>
        <v>45031</v>
      </c>
      <c r="D205" s="44">
        <v>45019</v>
      </c>
      <c r="F205" s="43" t="s">
        <v>1700</v>
      </c>
      <c r="H205" s="45">
        <v>89</v>
      </c>
      <c r="I205">
        <v>20</v>
      </c>
      <c r="J205" s="45">
        <f t="shared" si="49"/>
        <v>17.8</v>
      </c>
      <c r="K205" s="45">
        <f t="shared" si="50"/>
        <v>106.8</v>
      </c>
      <c r="L205" s="44">
        <f t="shared" si="51"/>
        <v>45153</v>
      </c>
      <c r="N205" s="43">
        <f t="shared" ca="1" si="44"/>
        <v>0</v>
      </c>
    </row>
    <row r="206" spans="1:14" x14ac:dyDescent="0.25">
      <c r="A206">
        <v>12023007</v>
      </c>
      <c r="B206" s="44">
        <v>45017</v>
      </c>
      <c r="C206" s="44">
        <f>B206+14</f>
        <v>45031</v>
      </c>
      <c r="D206" s="44">
        <v>45019</v>
      </c>
      <c r="F206" s="43" t="s">
        <v>1738</v>
      </c>
      <c r="H206" s="45">
        <v>485</v>
      </c>
      <c r="I206">
        <v>20</v>
      </c>
      <c r="J206" s="45">
        <f t="shared" si="49"/>
        <v>97</v>
      </c>
      <c r="K206" s="45">
        <f t="shared" si="50"/>
        <v>582</v>
      </c>
      <c r="L206" s="44">
        <f t="shared" si="51"/>
        <v>45153</v>
      </c>
      <c r="N206" s="43">
        <f t="shared" ca="1" si="44"/>
        <v>0</v>
      </c>
    </row>
    <row r="207" spans="1:14" x14ac:dyDescent="0.25">
      <c r="A207">
        <v>12023008</v>
      </c>
      <c r="B207" s="44">
        <v>44986</v>
      </c>
      <c r="C207" s="1">
        <f>B207+45</f>
        <v>45031</v>
      </c>
      <c r="D207" s="44">
        <v>45029</v>
      </c>
      <c r="F207" t="s">
        <v>1590</v>
      </c>
      <c r="G207" s="43" t="s">
        <v>1739</v>
      </c>
      <c r="H207" s="45">
        <v>16638</v>
      </c>
      <c r="I207">
        <v>20</v>
      </c>
      <c r="J207" s="45">
        <f t="shared" si="49"/>
        <v>3327.6</v>
      </c>
      <c r="K207" s="45">
        <f t="shared" si="50"/>
        <v>19965.599999999999</v>
      </c>
      <c r="L207" s="44">
        <f t="shared" si="51"/>
        <v>45153</v>
      </c>
      <c r="N207" s="43">
        <f t="shared" ca="1" si="44"/>
        <v>0</v>
      </c>
    </row>
    <row r="208" spans="1:14" x14ac:dyDescent="0.25">
      <c r="A208">
        <v>12023009</v>
      </c>
      <c r="B208" s="44">
        <v>45019</v>
      </c>
      <c r="C208" s="1">
        <f>B208+45</f>
        <v>45064</v>
      </c>
      <c r="D208" s="44">
        <v>45062</v>
      </c>
      <c r="F208" t="s">
        <v>1590</v>
      </c>
      <c r="G208" s="43" t="s">
        <v>1740</v>
      </c>
      <c r="H208" s="45">
        <v>17523</v>
      </c>
      <c r="I208">
        <v>20</v>
      </c>
      <c r="J208" s="45">
        <f t="shared" si="49"/>
        <v>3504.6</v>
      </c>
      <c r="K208" s="45">
        <f t="shared" si="50"/>
        <v>21027.599999999999</v>
      </c>
      <c r="L208" s="44">
        <f t="shared" si="51"/>
        <v>45153</v>
      </c>
      <c r="N208" s="43">
        <f t="shared" ca="1" si="44"/>
        <v>0</v>
      </c>
    </row>
    <row r="209" spans="1:14" x14ac:dyDescent="0.25">
      <c r="A209">
        <v>12023010</v>
      </c>
      <c r="B209" s="44">
        <v>45049</v>
      </c>
      <c r="C209" s="1">
        <f>B209+45</f>
        <v>45094</v>
      </c>
      <c r="D209" s="44">
        <v>45092</v>
      </c>
      <c r="F209" t="s">
        <v>1590</v>
      </c>
      <c r="H209" s="45">
        <v>17058.38</v>
      </c>
      <c r="I209">
        <v>20</v>
      </c>
      <c r="J209" s="45">
        <f t="shared" si="49"/>
        <v>3411.6760000000004</v>
      </c>
      <c r="K209" s="45">
        <f t="shared" si="50"/>
        <v>20470.056</v>
      </c>
      <c r="L209" s="44">
        <f t="shared" si="51"/>
        <v>45153</v>
      </c>
      <c r="N209" s="43">
        <f t="shared" ca="1" si="44"/>
        <v>0</v>
      </c>
    </row>
    <row r="210" spans="1:14" x14ac:dyDescent="0.25">
      <c r="A210">
        <v>12023011</v>
      </c>
      <c r="B210" s="44">
        <v>45109</v>
      </c>
      <c r="C210" s="1">
        <f>B210+14</f>
        <v>45123</v>
      </c>
      <c r="D210" s="44">
        <v>45110</v>
      </c>
      <c r="F210" s="43" t="s">
        <v>59</v>
      </c>
      <c r="H210" s="45">
        <v>1127.17</v>
      </c>
      <c r="I210">
        <v>20</v>
      </c>
      <c r="J210" s="45">
        <f t="shared" si="49"/>
        <v>225.43400000000003</v>
      </c>
      <c r="K210" s="45">
        <f t="shared" si="50"/>
        <v>1352.604</v>
      </c>
      <c r="L210" s="44">
        <f t="shared" si="51"/>
        <v>45245</v>
      </c>
      <c r="N210" s="43">
        <f t="shared" ca="1" si="44"/>
        <v>0</v>
      </c>
    </row>
    <row r="211" spans="1:14" x14ac:dyDescent="0.25">
      <c r="A211">
        <v>12023012</v>
      </c>
      <c r="B211" s="44">
        <v>45109</v>
      </c>
      <c r="C211" s="1">
        <f>B211+14</f>
        <v>45123</v>
      </c>
      <c r="D211" s="1">
        <v>45120</v>
      </c>
      <c r="F211" s="43" t="s">
        <v>1701</v>
      </c>
      <c r="H211" s="45">
        <v>27.41</v>
      </c>
      <c r="I211">
        <v>20</v>
      </c>
      <c r="J211" s="45">
        <f t="shared" si="49"/>
        <v>5.4820000000000002</v>
      </c>
      <c r="K211" s="45">
        <f t="shared" si="50"/>
        <v>32.892000000000003</v>
      </c>
      <c r="L211" s="44">
        <f t="shared" si="51"/>
        <v>45245</v>
      </c>
      <c r="N211" s="43">
        <f t="shared" ca="1" si="44"/>
        <v>0</v>
      </c>
    </row>
    <row r="212" spans="1:14" x14ac:dyDescent="0.25">
      <c r="A212">
        <v>12023013</v>
      </c>
      <c r="B212" s="44">
        <v>45109</v>
      </c>
      <c r="C212" s="1">
        <f>B212+14</f>
        <v>45123</v>
      </c>
      <c r="D212" s="44">
        <v>45113</v>
      </c>
      <c r="F212" s="43" t="s">
        <v>1738</v>
      </c>
      <c r="H212" s="45">
        <v>388</v>
      </c>
      <c r="I212">
        <v>20</v>
      </c>
      <c r="J212" s="45">
        <f t="shared" si="49"/>
        <v>77.599999999999994</v>
      </c>
      <c r="K212" s="45">
        <f t="shared" si="50"/>
        <v>465.6</v>
      </c>
      <c r="L212" s="44">
        <f t="shared" si="51"/>
        <v>45245</v>
      </c>
      <c r="N212" s="43">
        <f t="shared" ca="1" si="44"/>
        <v>0</v>
      </c>
    </row>
    <row r="213" spans="1:14" x14ac:dyDescent="0.25">
      <c r="A213">
        <v>12023014</v>
      </c>
      <c r="B213" s="44">
        <v>45078</v>
      </c>
      <c r="C213" s="1">
        <f t="shared" ref="C213:C226" si="52">B213+45</f>
        <v>45123</v>
      </c>
      <c r="D213" s="44">
        <v>45121</v>
      </c>
      <c r="F213" t="s">
        <v>1590</v>
      </c>
      <c r="H213" s="45">
        <v>228.52</v>
      </c>
      <c r="I213">
        <v>20</v>
      </c>
      <c r="J213" s="45">
        <f t="shared" si="49"/>
        <v>45.704000000000008</v>
      </c>
      <c r="K213" s="45">
        <f t="shared" si="50"/>
        <v>274.22400000000005</v>
      </c>
      <c r="L213" s="44">
        <f t="shared" si="51"/>
        <v>45245</v>
      </c>
      <c r="N213" s="43">
        <f t="shared" ca="1" si="44"/>
        <v>0</v>
      </c>
    </row>
    <row r="214" spans="1:14" x14ac:dyDescent="0.25">
      <c r="A214">
        <v>12023015</v>
      </c>
      <c r="B214" s="44">
        <v>45078</v>
      </c>
      <c r="C214" s="1">
        <f t="shared" si="52"/>
        <v>45123</v>
      </c>
      <c r="D214" s="44">
        <v>45121</v>
      </c>
      <c r="F214" t="s">
        <v>1590</v>
      </c>
      <c r="H214" s="45">
        <v>14890.13</v>
      </c>
      <c r="I214">
        <v>20</v>
      </c>
      <c r="J214" s="45">
        <f t="shared" si="49"/>
        <v>2978.0259999999998</v>
      </c>
      <c r="K214" s="45">
        <f t="shared" si="50"/>
        <v>17868.155999999999</v>
      </c>
      <c r="L214" s="44">
        <f t="shared" si="51"/>
        <v>45245</v>
      </c>
      <c r="N214" s="43">
        <f t="shared" ca="1" si="44"/>
        <v>0</v>
      </c>
    </row>
    <row r="215" spans="1:14" x14ac:dyDescent="0.25">
      <c r="A215">
        <v>12023016</v>
      </c>
      <c r="B215" s="44">
        <v>45110</v>
      </c>
      <c r="C215" s="1">
        <f t="shared" si="52"/>
        <v>45155</v>
      </c>
      <c r="D215" s="44">
        <v>45153</v>
      </c>
      <c r="F215" t="s">
        <v>1590</v>
      </c>
      <c r="H215" s="45">
        <v>6593.25</v>
      </c>
      <c r="I215">
        <v>20</v>
      </c>
      <c r="J215" s="45">
        <f t="shared" si="49"/>
        <v>1318.65</v>
      </c>
      <c r="K215" s="45">
        <f t="shared" si="50"/>
        <v>7911.9</v>
      </c>
      <c r="L215" s="44">
        <f t="shared" si="51"/>
        <v>45245</v>
      </c>
      <c r="N215" s="43">
        <f t="shared" ca="1" si="44"/>
        <v>0</v>
      </c>
    </row>
    <row r="216" spans="1:14" x14ac:dyDescent="0.25">
      <c r="A216">
        <v>12023017</v>
      </c>
      <c r="B216" s="44">
        <v>45138</v>
      </c>
      <c r="C216" s="1">
        <f t="shared" si="52"/>
        <v>45183</v>
      </c>
      <c r="D216" s="44">
        <v>45181</v>
      </c>
      <c r="F216" t="s">
        <v>1590</v>
      </c>
      <c r="H216" s="45">
        <v>15155.63</v>
      </c>
      <c r="I216">
        <v>20</v>
      </c>
      <c r="J216" s="45">
        <f t="shared" si="49"/>
        <v>3031.1259999999997</v>
      </c>
      <c r="K216" s="45">
        <f t="shared" si="50"/>
        <v>18186.755999999998</v>
      </c>
      <c r="L216" s="44">
        <f t="shared" si="51"/>
        <v>45245</v>
      </c>
      <c r="N216" s="43">
        <f t="shared" ca="1" si="44"/>
        <v>0</v>
      </c>
    </row>
    <row r="217" spans="1:14" x14ac:dyDescent="0.25">
      <c r="A217">
        <v>12023018</v>
      </c>
      <c r="B217" s="44">
        <v>45176</v>
      </c>
      <c r="C217" s="1">
        <f t="shared" si="52"/>
        <v>45221</v>
      </c>
      <c r="D217" s="44">
        <v>45219</v>
      </c>
      <c r="F217" t="s">
        <v>1590</v>
      </c>
      <c r="H217" s="45">
        <v>11969.63</v>
      </c>
      <c r="I217">
        <v>20</v>
      </c>
      <c r="J217" s="45">
        <f t="shared" si="49"/>
        <v>2393.9259999999999</v>
      </c>
      <c r="K217" s="45">
        <f t="shared" si="50"/>
        <v>14363.555999999999</v>
      </c>
      <c r="L217" s="44">
        <f t="shared" si="51"/>
        <v>45337</v>
      </c>
      <c r="N217" s="43">
        <f t="shared" ca="1" si="44"/>
        <v>0</v>
      </c>
    </row>
    <row r="218" spans="1:14" x14ac:dyDescent="0.25">
      <c r="A218">
        <v>12023019</v>
      </c>
      <c r="B218" s="44">
        <v>45202</v>
      </c>
      <c r="C218" s="1">
        <f t="shared" si="52"/>
        <v>45247</v>
      </c>
      <c r="D218" s="44">
        <v>45245</v>
      </c>
      <c r="F218" t="s">
        <v>1590</v>
      </c>
      <c r="H218" s="45">
        <v>16505.25</v>
      </c>
      <c r="I218">
        <v>20</v>
      </c>
      <c r="J218" s="45">
        <f t="shared" ref="J218:J223" si="53">I218*H218/100</f>
        <v>3301.05</v>
      </c>
      <c r="K218" s="45">
        <f t="shared" ref="K218:K223" si="54">H218+J218</f>
        <v>19806.3</v>
      </c>
      <c r="L218" s="44">
        <f t="shared" si="51"/>
        <v>45337</v>
      </c>
      <c r="N218" s="43">
        <f t="shared" ca="1" si="44"/>
        <v>0</v>
      </c>
    </row>
    <row r="219" spans="1:14" x14ac:dyDescent="0.25">
      <c r="A219">
        <v>12023020</v>
      </c>
      <c r="B219" s="44">
        <v>45237</v>
      </c>
      <c r="C219" s="1">
        <f t="shared" si="52"/>
        <v>45282</v>
      </c>
      <c r="D219" s="44">
        <v>45280</v>
      </c>
      <c r="F219" t="s">
        <v>1590</v>
      </c>
      <c r="H219" s="45">
        <v>11217.38</v>
      </c>
      <c r="I219">
        <v>20</v>
      </c>
      <c r="J219" s="45">
        <f t="shared" si="53"/>
        <v>2243.4759999999997</v>
      </c>
      <c r="K219" s="45">
        <f t="shared" si="54"/>
        <v>13460.856</v>
      </c>
      <c r="L219" s="44">
        <f t="shared" si="51"/>
        <v>45337</v>
      </c>
      <c r="N219" s="43">
        <f t="shared" ca="1" si="44"/>
        <v>0</v>
      </c>
    </row>
    <row r="220" spans="1:14" x14ac:dyDescent="0.25">
      <c r="A220">
        <v>12024001</v>
      </c>
      <c r="B220" s="44">
        <v>45293</v>
      </c>
      <c r="C220" s="1">
        <f>B220+14</f>
        <v>45307</v>
      </c>
      <c r="D220" s="44">
        <v>45294</v>
      </c>
      <c r="F220" s="43" t="s">
        <v>59</v>
      </c>
      <c r="H220" s="45">
        <v>580.28</v>
      </c>
      <c r="I220">
        <v>20</v>
      </c>
      <c r="J220" s="45">
        <f t="shared" si="53"/>
        <v>116.05599999999998</v>
      </c>
      <c r="K220" s="45">
        <f t="shared" si="54"/>
        <v>696.33600000000001</v>
      </c>
      <c r="L220" s="44">
        <f t="shared" si="51"/>
        <v>45427</v>
      </c>
      <c r="N220" s="43">
        <f t="shared" ca="1" si="44"/>
        <v>0</v>
      </c>
    </row>
    <row r="221" spans="1:14" x14ac:dyDescent="0.25">
      <c r="A221">
        <v>12024002</v>
      </c>
      <c r="B221" s="44">
        <v>45260</v>
      </c>
      <c r="C221" s="1">
        <f t="shared" si="52"/>
        <v>45305</v>
      </c>
      <c r="D221" s="44">
        <v>45303</v>
      </c>
      <c r="F221" t="s">
        <v>1590</v>
      </c>
      <c r="H221" s="45">
        <v>14005.13</v>
      </c>
      <c r="I221">
        <v>20</v>
      </c>
      <c r="J221" s="45">
        <f t="shared" si="53"/>
        <v>2801.0259999999998</v>
      </c>
      <c r="K221" s="45">
        <f t="shared" si="54"/>
        <v>16806.155999999999</v>
      </c>
      <c r="L221" s="44">
        <f t="shared" si="51"/>
        <v>45427</v>
      </c>
      <c r="N221" s="43">
        <f t="shared" ca="1" si="44"/>
        <v>0</v>
      </c>
    </row>
    <row r="222" spans="1:14" x14ac:dyDescent="0.25">
      <c r="A222">
        <v>12024003</v>
      </c>
      <c r="B222" s="44">
        <v>45282</v>
      </c>
      <c r="C222" s="1">
        <f t="shared" si="52"/>
        <v>45327</v>
      </c>
      <c r="D222" s="44">
        <v>45324</v>
      </c>
      <c r="F222" t="s">
        <v>1590</v>
      </c>
      <c r="H222" s="45">
        <v>11283.75</v>
      </c>
      <c r="I222">
        <v>20</v>
      </c>
      <c r="J222" s="45">
        <f t="shared" si="53"/>
        <v>2256.75</v>
      </c>
      <c r="K222" s="45">
        <f t="shared" si="54"/>
        <v>13540.5</v>
      </c>
      <c r="L222" s="44">
        <f t="shared" si="51"/>
        <v>45427</v>
      </c>
      <c r="N222" s="43">
        <f t="shared" ca="1" si="44"/>
        <v>0</v>
      </c>
    </row>
    <row r="223" spans="1:14" x14ac:dyDescent="0.25">
      <c r="A223">
        <v>12024004</v>
      </c>
      <c r="B223" s="44">
        <v>45323</v>
      </c>
      <c r="C223" s="1">
        <f t="shared" si="52"/>
        <v>45368</v>
      </c>
      <c r="D223" s="44">
        <v>45366</v>
      </c>
      <c r="F223" t="s">
        <v>1590</v>
      </c>
      <c r="H223" s="45">
        <v>18401.439999999999</v>
      </c>
      <c r="I223">
        <v>20</v>
      </c>
      <c r="J223" s="45">
        <f t="shared" si="53"/>
        <v>3680.288</v>
      </c>
      <c r="K223" s="45">
        <f t="shared" si="54"/>
        <v>22081.727999999999</v>
      </c>
      <c r="L223" s="44">
        <f t="shared" si="51"/>
        <v>45427</v>
      </c>
      <c r="N223" s="43">
        <f t="shared" ca="1" si="44"/>
        <v>0</v>
      </c>
    </row>
    <row r="224" spans="1:14" x14ac:dyDescent="0.25">
      <c r="A224">
        <v>12024005</v>
      </c>
      <c r="B224" s="44">
        <v>45350</v>
      </c>
      <c r="C224" s="1">
        <f t="shared" si="52"/>
        <v>45395</v>
      </c>
      <c r="D224" s="44">
        <v>45393</v>
      </c>
      <c r="F224" t="s">
        <v>1590</v>
      </c>
      <c r="H224" s="45">
        <v>20341.599999999999</v>
      </c>
      <c r="I224">
        <v>20</v>
      </c>
      <c r="J224" s="45">
        <f t="shared" ref="J224:J232" si="55">I224*H224/100</f>
        <v>4068.32</v>
      </c>
      <c r="K224" s="45">
        <f t="shared" ref="K224:K232" si="56">H224+J224</f>
        <v>24409.919999999998</v>
      </c>
      <c r="L224" s="44">
        <f t="shared" si="51"/>
        <v>45519</v>
      </c>
      <c r="N224" s="43">
        <f t="shared" ref="N224:N232" ca="1" si="57">IF(ISBLANK(D224),IF(TODAY()&gt;C224,TODAY()-C224,0),IF(D224&gt;C224,D224-C224,0))</f>
        <v>0</v>
      </c>
    </row>
    <row r="225" spans="1:14" x14ac:dyDescent="0.25">
      <c r="A225">
        <v>12024006</v>
      </c>
      <c r="B225" s="44">
        <v>45384</v>
      </c>
      <c r="C225" s="1">
        <f t="shared" si="52"/>
        <v>45429</v>
      </c>
      <c r="D225" s="44">
        <v>45428</v>
      </c>
      <c r="F225" t="s">
        <v>1590</v>
      </c>
      <c r="H225" s="45">
        <v>14408.32</v>
      </c>
      <c r="I225">
        <v>20</v>
      </c>
      <c r="J225" s="45">
        <f t="shared" si="55"/>
        <v>2881.6640000000002</v>
      </c>
      <c r="K225" s="45">
        <f t="shared" si="56"/>
        <v>17289.984</v>
      </c>
      <c r="L225" s="44">
        <f t="shared" si="51"/>
        <v>45519</v>
      </c>
      <c r="N225" s="43">
        <f t="shared" ca="1" si="57"/>
        <v>0</v>
      </c>
    </row>
    <row r="226" spans="1:14" x14ac:dyDescent="0.25">
      <c r="A226">
        <v>12024007</v>
      </c>
      <c r="B226" s="44">
        <v>45420</v>
      </c>
      <c r="C226" s="1">
        <f t="shared" si="52"/>
        <v>45465</v>
      </c>
      <c r="D226" s="44">
        <v>45463</v>
      </c>
      <c r="F226" t="s">
        <v>1590</v>
      </c>
      <c r="H226" s="45">
        <v>19296.32</v>
      </c>
      <c r="I226">
        <v>20</v>
      </c>
      <c r="J226" s="45">
        <f t="shared" si="55"/>
        <v>3859.2640000000001</v>
      </c>
      <c r="K226" s="45">
        <f t="shared" si="56"/>
        <v>23155.583999999999</v>
      </c>
      <c r="L226" s="44">
        <f t="shared" si="51"/>
        <v>45519</v>
      </c>
      <c r="N226" s="43">
        <f t="shared" ca="1" si="57"/>
        <v>0</v>
      </c>
    </row>
    <row r="227" spans="1:14" x14ac:dyDescent="0.25">
      <c r="A227">
        <v>12024008</v>
      </c>
      <c r="B227" s="44">
        <v>45384</v>
      </c>
      <c r="C227" s="1">
        <f>B227+45</f>
        <v>45429</v>
      </c>
      <c r="D227" s="44">
        <v>45428</v>
      </c>
      <c r="F227" t="s">
        <v>1590</v>
      </c>
      <c r="H227" s="45">
        <v>107.5</v>
      </c>
      <c r="I227">
        <v>20</v>
      </c>
      <c r="J227" s="45">
        <f t="shared" si="55"/>
        <v>21.5</v>
      </c>
      <c r="K227" s="45">
        <f t="shared" si="56"/>
        <v>129</v>
      </c>
      <c r="L227" s="44">
        <f t="shared" si="51"/>
        <v>45519</v>
      </c>
      <c r="N227" s="43">
        <f t="shared" ca="1" si="57"/>
        <v>0</v>
      </c>
    </row>
    <row r="228" spans="1:14" x14ac:dyDescent="0.25">
      <c r="A228">
        <v>12024009</v>
      </c>
      <c r="B228" s="44">
        <v>45446</v>
      </c>
      <c r="C228" s="1">
        <f>B228+45</f>
        <v>45491</v>
      </c>
      <c r="D228" s="44">
        <v>45489</v>
      </c>
      <c r="F228" t="s">
        <v>1590</v>
      </c>
      <c r="H228" s="45">
        <v>17175.68</v>
      </c>
      <c r="I228">
        <v>20</v>
      </c>
      <c r="J228" s="45">
        <f t="shared" si="55"/>
        <v>3435.136</v>
      </c>
      <c r="K228" s="45">
        <f t="shared" si="56"/>
        <v>20610.815999999999</v>
      </c>
      <c r="L228" s="44">
        <f t="shared" si="51"/>
        <v>45611</v>
      </c>
      <c r="N228" s="43">
        <f t="shared" ca="1" si="57"/>
        <v>0</v>
      </c>
    </row>
    <row r="229" spans="1:14" x14ac:dyDescent="0.25">
      <c r="A229">
        <v>12024010</v>
      </c>
      <c r="B229" s="44">
        <v>45474</v>
      </c>
      <c r="C229" s="1">
        <f>B229+14</f>
        <v>45488</v>
      </c>
      <c r="D229" s="44">
        <v>45474</v>
      </c>
      <c r="F229" s="43" t="s">
        <v>59</v>
      </c>
      <c r="H229" s="45">
        <v>1174.8</v>
      </c>
      <c r="I229">
        <v>20</v>
      </c>
      <c r="J229" s="45">
        <f t="shared" si="55"/>
        <v>234.96</v>
      </c>
      <c r="K229" s="45">
        <f t="shared" si="56"/>
        <v>1409.76</v>
      </c>
      <c r="L229" s="44">
        <f t="shared" si="51"/>
        <v>45611</v>
      </c>
      <c r="N229" s="43">
        <f t="shared" ca="1" si="57"/>
        <v>0</v>
      </c>
    </row>
    <row r="230" spans="1:14" x14ac:dyDescent="0.25">
      <c r="A230">
        <v>12024011</v>
      </c>
      <c r="B230" s="44">
        <v>45474</v>
      </c>
      <c r="C230" s="1">
        <f>B230+14</f>
        <v>45488</v>
      </c>
      <c r="D230" s="44">
        <v>45524</v>
      </c>
      <c r="E230" s="44">
        <v>45507</v>
      </c>
      <c r="F230" s="43" t="s">
        <v>1701</v>
      </c>
      <c r="H230" s="45">
        <v>637</v>
      </c>
      <c r="I230">
        <v>20</v>
      </c>
      <c r="J230" s="45">
        <f t="shared" si="55"/>
        <v>127.4</v>
      </c>
      <c r="K230" s="45">
        <f t="shared" si="56"/>
        <v>764.4</v>
      </c>
      <c r="L230" s="44">
        <f t="shared" si="51"/>
        <v>45611</v>
      </c>
      <c r="N230" s="43">
        <f ca="1">IF(ISBLANK(D232),IF(TODAY()&gt;C232,TODAY()-C232,0),IF(D232&gt;C232,D232-C232,0))</f>
        <v>0</v>
      </c>
    </row>
    <row r="231" spans="1:14" x14ac:dyDescent="0.25">
      <c r="A231">
        <v>12024012</v>
      </c>
      <c r="B231" s="44">
        <v>45474</v>
      </c>
      <c r="C231" s="1">
        <f>B231+14</f>
        <v>45488</v>
      </c>
      <c r="D231" s="44">
        <v>45476</v>
      </c>
      <c r="F231" t="s">
        <v>1804</v>
      </c>
      <c r="H231" s="45">
        <v>129.55000000000001</v>
      </c>
      <c r="I231">
        <v>20</v>
      </c>
      <c r="J231" s="45">
        <f t="shared" si="55"/>
        <v>25.91</v>
      </c>
      <c r="K231" s="45">
        <f t="shared" si="56"/>
        <v>155.46</v>
      </c>
      <c r="L231" s="44">
        <f t="shared" si="51"/>
        <v>45611</v>
      </c>
      <c r="N231" s="43">
        <f t="shared" ca="1" si="57"/>
        <v>0</v>
      </c>
    </row>
    <row r="232" spans="1:14" x14ac:dyDescent="0.25">
      <c r="A232">
        <v>12024013</v>
      </c>
      <c r="B232" s="1">
        <v>45474</v>
      </c>
      <c r="C232" s="1">
        <f>B232+45</f>
        <v>45519</v>
      </c>
      <c r="D232" s="44">
        <v>45517</v>
      </c>
      <c r="F232" t="s">
        <v>1590</v>
      </c>
      <c r="H232" s="45">
        <v>17175.68</v>
      </c>
      <c r="I232">
        <v>20</v>
      </c>
      <c r="J232" s="45">
        <f t="shared" si="55"/>
        <v>3435.136</v>
      </c>
      <c r="K232" s="45">
        <f t="shared" si="56"/>
        <v>20610.815999999999</v>
      </c>
      <c r="L232" s="44">
        <f t="shared" si="51"/>
        <v>45611</v>
      </c>
      <c r="N232" s="43">
        <f t="shared" ca="1" si="57"/>
        <v>0</v>
      </c>
    </row>
    <row r="233" spans="1:14" x14ac:dyDescent="0.25">
      <c r="A233">
        <v>12024014</v>
      </c>
      <c r="B233" s="44">
        <v>45497</v>
      </c>
      <c r="C233" s="1">
        <f>B233+45</f>
        <v>45542</v>
      </c>
      <c r="D233" s="44">
        <v>45540</v>
      </c>
      <c r="F233" t="s">
        <v>1590</v>
      </c>
      <c r="H233" s="45">
        <v>8648</v>
      </c>
      <c r="I233">
        <v>20</v>
      </c>
      <c r="J233" s="45">
        <f t="shared" ref="J233:J241" si="58">I233*H233/100</f>
        <v>1729.6</v>
      </c>
      <c r="K233" s="45">
        <f t="shared" ref="K233:K241" si="59">H233+J233</f>
        <v>10377.6</v>
      </c>
      <c r="L233" s="44">
        <f t="shared" si="51"/>
        <v>45611</v>
      </c>
      <c r="N233" s="43">
        <f t="shared" ref="N233:N256" ca="1" si="60">IF(ISBLANK(D233),IF(TODAY()&gt;C233,TODAY()-C233,0),IF(D233&gt;C233,D233-C233,0))</f>
        <v>0</v>
      </c>
    </row>
    <row r="234" spans="1:14" x14ac:dyDescent="0.25">
      <c r="A234">
        <v>12024015</v>
      </c>
      <c r="B234" s="44">
        <v>45534</v>
      </c>
      <c r="C234" s="1">
        <f>B234+45</f>
        <v>45579</v>
      </c>
      <c r="D234" s="44">
        <v>45576</v>
      </c>
      <c r="F234" t="s">
        <v>1590</v>
      </c>
      <c r="H234" s="94">
        <v>6534.88</v>
      </c>
      <c r="I234" s="197">
        <v>20</v>
      </c>
      <c r="J234" s="94">
        <f t="shared" si="58"/>
        <v>1306.9760000000001</v>
      </c>
      <c r="K234" s="94">
        <f t="shared" si="59"/>
        <v>7841.8559999999998</v>
      </c>
      <c r="L234" s="44">
        <f t="shared" si="51"/>
        <v>45703</v>
      </c>
      <c r="N234" s="43">
        <f t="shared" ca="1" si="60"/>
        <v>0</v>
      </c>
    </row>
    <row r="235" spans="1:14" x14ac:dyDescent="0.25">
      <c r="A235">
        <v>12024016</v>
      </c>
      <c r="B235" s="44">
        <v>45565</v>
      </c>
      <c r="C235" s="1">
        <f>B235+45</f>
        <v>45610</v>
      </c>
      <c r="D235" s="44">
        <v>45608</v>
      </c>
      <c r="F235" t="s">
        <v>1590</v>
      </c>
      <c r="H235" s="45">
        <v>19409.12</v>
      </c>
      <c r="I235" s="43">
        <v>20</v>
      </c>
      <c r="J235" s="45">
        <f t="shared" si="58"/>
        <v>3881.8239999999996</v>
      </c>
      <c r="K235" s="45">
        <f t="shared" si="59"/>
        <v>23290.944</v>
      </c>
      <c r="L235" s="44">
        <f t="shared" si="51"/>
        <v>45703</v>
      </c>
      <c r="N235" s="43">
        <f t="shared" ca="1" si="60"/>
        <v>0</v>
      </c>
    </row>
    <row r="236" spans="1:14" x14ac:dyDescent="0.25">
      <c r="A236">
        <v>12024017</v>
      </c>
      <c r="B236" s="44">
        <v>45581</v>
      </c>
      <c r="C236" s="1">
        <f>B236+14</f>
        <v>45595</v>
      </c>
      <c r="D236" s="44">
        <v>45582</v>
      </c>
      <c r="F236" s="43" t="s">
        <v>59</v>
      </c>
      <c r="H236" s="45">
        <v>2004.51</v>
      </c>
      <c r="I236" s="43">
        <v>20</v>
      </c>
      <c r="J236" s="45">
        <f t="shared" si="58"/>
        <v>400.90199999999999</v>
      </c>
      <c r="K236" s="45">
        <f t="shared" si="59"/>
        <v>2405.4119999999998</v>
      </c>
      <c r="L236" s="44">
        <f t="shared" si="51"/>
        <v>45703</v>
      </c>
      <c r="N236" s="43">
        <f t="shared" ca="1" si="60"/>
        <v>0</v>
      </c>
    </row>
    <row r="237" spans="1:14" x14ac:dyDescent="0.25">
      <c r="A237">
        <v>12024018</v>
      </c>
      <c r="B237" s="44">
        <v>45581</v>
      </c>
      <c r="C237" s="1">
        <f>B237+14</f>
        <v>45595</v>
      </c>
      <c r="D237" s="44">
        <v>45587</v>
      </c>
      <c r="F237" s="43" t="s">
        <v>90</v>
      </c>
      <c r="H237" s="45">
        <v>165</v>
      </c>
      <c r="I237" s="43">
        <v>20</v>
      </c>
      <c r="J237" s="45">
        <f t="shared" si="58"/>
        <v>33</v>
      </c>
      <c r="K237" s="45">
        <f t="shared" si="59"/>
        <v>198</v>
      </c>
      <c r="L237" s="44">
        <f t="shared" si="51"/>
        <v>45703</v>
      </c>
      <c r="N237" s="43">
        <f t="shared" ca="1" si="60"/>
        <v>0</v>
      </c>
    </row>
    <row r="238" spans="1:14" x14ac:dyDescent="0.25">
      <c r="A238">
        <v>12024019</v>
      </c>
      <c r="B238" s="44">
        <v>45594</v>
      </c>
      <c r="C238" s="1">
        <f>B238+45</f>
        <v>45639</v>
      </c>
      <c r="D238" s="44">
        <v>45637</v>
      </c>
      <c r="F238" t="s">
        <v>1590</v>
      </c>
      <c r="H238" s="45">
        <v>18657.12</v>
      </c>
      <c r="I238" s="43">
        <v>20</v>
      </c>
      <c r="J238" s="45">
        <f t="shared" si="58"/>
        <v>3731.4239999999995</v>
      </c>
      <c r="K238" s="45">
        <f t="shared" si="59"/>
        <v>22388.543999999998</v>
      </c>
      <c r="L238" s="44">
        <f t="shared" si="51"/>
        <v>45703</v>
      </c>
      <c r="N238" s="43">
        <f t="shared" ca="1" si="60"/>
        <v>0</v>
      </c>
    </row>
    <row r="239" spans="1:14" x14ac:dyDescent="0.25">
      <c r="A239">
        <v>12024020</v>
      </c>
      <c r="B239" s="44">
        <v>45628</v>
      </c>
      <c r="C239" s="1">
        <f>B239+45</f>
        <v>45673</v>
      </c>
      <c r="D239" s="44">
        <v>45671</v>
      </c>
      <c r="F239" t="s">
        <v>1590</v>
      </c>
      <c r="H239" s="45">
        <v>19484.32</v>
      </c>
      <c r="I239" s="43">
        <v>20</v>
      </c>
      <c r="J239" s="45">
        <f t="shared" si="58"/>
        <v>3896.864</v>
      </c>
      <c r="K239" s="45">
        <f t="shared" si="59"/>
        <v>23381.184000000001</v>
      </c>
      <c r="L239" s="44">
        <f t="shared" si="51"/>
        <v>45792</v>
      </c>
      <c r="N239" s="43">
        <f t="shared" ca="1" si="60"/>
        <v>0</v>
      </c>
    </row>
    <row r="240" spans="1:14" x14ac:dyDescent="0.25">
      <c r="A240">
        <v>12024021</v>
      </c>
      <c r="B240" s="44">
        <v>45638</v>
      </c>
      <c r="C240" s="1">
        <f>B240+14</f>
        <v>45652</v>
      </c>
      <c r="D240" s="44">
        <v>45649</v>
      </c>
      <c r="F240" s="43" t="s">
        <v>110</v>
      </c>
      <c r="H240" s="45">
        <v>980</v>
      </c>
      <c r="I240" s="43">
        <v>20</v>
      </c>
      <c r="J240" s="45">
        <f t="shared" si="58"/>
        <v>196</v>
      </c>
      <c r="K240" s="45">
        <f t="shared" si="59"/>
        <v>1176</v>
      </c>
      <c r="L240" s="44">
        <f t="shared" si="51"/>
        <v>45703</v>
      </c>
      <c r="N240" s="43">
        <f t="shared" ca="1" si="60"/>
        <v>0</v>
      </c>
    </row>
    <row r="241" spans="1:14" x14ac:dyDescent="0.25">
      <c r="A241">
        <v>12024022</v>
      </c>
      <c r="B241" s="44">
        <v>45638</v>
      </c>
      <c r="C241" s="1">
        <f>B241+14</f>
        <v>45652</v>
      </c>
      <c r="D241" s="44">
        <v>45645</v>
      </c>
      <c r="F241" s="43" t="s">
        <v>1701</v>
      </c>
      <c r="H241" s="45">
        <v>350</v>
      </c>
      <c r="I241" s="43">
        <v>20</v>
      </c>
      <c r="J241" s="45">
        <f t="shared" si="58"/>
        <v>70</v>
      </c>
      <c r="K241" s="45">
        <f t="shared" si="59"/>
        <v>420</v>
      </c>
      <c r="L241" s="44">
        <f t="shared" si="51"/>
        <v>45703</v>
      </c>
      <c r="N241" s="43">
        <f t="shared" ca="1" si="60"/>
        <v>0</v>
      </c>
    </row>
    <row r="242" spans="1:14" x14ac:dyDescent="0.25">
      <c r="A242">
        <v>12024023</v>
      </c>
      <c r="B242" s="44">
        <v>45657</v>
      </c>
      <c r="C242" s="1">
        <f>B242+45</f>
        <v>45702</v>
      </c>
      <c r="D242" s="44">
        <v>45700</v>
      </c>
      <c r="F242" t="s">
        <v>1590</v>
      </c>
      <c r="H242" s="45">
        <v>11280</v>
      </c>
      <c r="I242" s="43">
        <v>20</v>
      </c>
      <c r="J242" s="45">
        <f t="shared" ref="J242" si="61">I242*H242/100</f>
        <v>2256</v>
      </c>
      <c r="K242" s="45">
        <f t="shared" ref="K242" si="62">H242+J242</f>
        <v>13536</v>
      </c>
      <c r="L242" s="44">
        <f t="shared" si="51"/>
        <v>45792</v>
      </c>
      <c r="N242" s="43">
        <f t="shared" ca="1" si="60"/>
        <v>0</v>
      </c>
    </row>
    <row r="243" spans="1:14" x14ac:dyDescent="0.25">
      <c r="A243">
        <v>12025001</v>
      </c>
      <c r="B243" s="44">
        <v>45692</v>
      </c>
      <c r="C243" s="1">
        <f>B243+45</f>
        <v>45737</v>
      </c>
      <c r="D243" s="44">
        <v>45736</v>
      </c>
      <c r="F243" t="s">
        <v>1590</v>
      </c>
      <c r="H243" s="45">
        <v>16493.12</v>
      </c>
      <c r="I243" s="43">
        <v>20</v>
      </c>
      <c r="J243" s="45">
        <f t="shared" ref="J243" si="63">I243*H243/100</f>
        <v>3298.6239999999998</v>
      </c>
      <c r="K243" s="45">
        <f t="shared" ref="K243" si="64">H243+J243</f>
        <v>19791.743999999999</v>
      </c>
      <c r="L243" s="44">
        <f t="shared" si="51"/>
        <v>45792</v>
      </c>
      <c r="N243" s="43">
        <f t="shared" ca="1" si="60"/>
        <v>0</v>
      </c>
    </row>
    <row r="244" spans="1:14" x14ac:dyDescent="0.25">
      <c r="A244">
        <v>12025002</v>
      </c>
      <c r="B244" s="44">
        <v>45716</v>
      </c>
      <c r="C244" s="1">
        <f>B244+45</f>
        <v>45761</v>
      </c>
      <c r="D244" s="44">
        <v>45758</v>
      </c>
      <c r="F244" t="s">
        <v>1590</v>
      </c>
      <c r="H244" s="45">
        <v>16588.64</v>
      </c>
      <c r="I244" s="43">
        <v>20</v>
      </c>
      <c r="J244" s="45">
        <f t="shared" ref="J244" si="65">I244*H244/100</f>
        <v>3317.7280000000001</v>
      </c>
      <c r="K244" s="45">
        <f t="shared" ref="K244" si="66">H244+J244</f>
        <v>19906.367999999999</v>
      </c>
      <c r="L244" s="44">
        <f t="shared" si="51"/>
        <v>45884</v>
      </c>
      <c r="N244" s="43">
        <f t="shared" ref="N244" ca="1" si="67">IF(ISBLANK(D244),IF(TODAY()&gt;C244,TODAY()-C244,0),IF(D244&gt;C244,D244-C244,0))</f>
        <v>0</v>
      </c>
    </row>
    <row r="245" spans="1:14" x14ac:dyDescent="0.25">
      <c r="A245">
        <v>12025003</v>
      </c>
      <c r="B245" s="44">
        <v>45748</v>
      </c>
      <c r="C245" s="1">
        <f>B245+45</f>
        <v>45793</v>
      </c>
      <c r="D245" s="44">
        <v>45791</v>
      </c>
      <c r="F245" t="s">
        <v>1590</v>
      </c>
      <c r="H245" s="45">
        <v>19573.64</v>
      </c>
      <c r="I245" s="43">
        <v>20</v>
      </c>
      <c r="J245" s="45">
        <f t="shared" ref="J245" si="68">I245*H245/100</f>
        <v>3914.7280000000001</v>
      </c>
      <c r="K245" s="45">
        <f t="shared" ref="K245" si="69">H245+J245</f>
        <v>23488.367999999999</v>
      </c>
      <c r="L245" s="44">
        <f t="shared" si="51"/>
        <v>45884</v>
      </c>
      <c r="N245" s="43">
        <f t="shared" ca="1" si="60"/>
        <v>0</v>
      </c>
    </row>
    <row r="246" spans="1:14" x14ac:dyDescent="0.25">
      <c r="A246">
        <v>12025004</v>
      </c>
      <c r="B246" s="44">
        <v>45781</v>
      </c>
      <c r="C246" s="1">
        <f t="shared" ref="C246:C247" si="70">B246+14</f>
        <v>45795</v>
      </c>
      <c r="D246" s="44">
        <v>45782</v>
      </c>
      <c r="F246" s="43" t="s">
        <v>59</v>
      </c>
      <c r="H246" s="45">
        <v>2004.51</v>
      </c>
      <c r="I246" s="43">
        <v>20</v>
      </c>
      <c r="J246" s="45">
        <f t="shared" ref="J246:J247" si="71">I246*H246/100</f>
        <v>400.90199999999999</v>
      </c>
      <c r="K246" s="45">
        <f t="shared" ref="K246:K247" si="72">H246+J246</f>
        <v>2405.4119999999998</v>
      </c>
      <c r="L246" s="44">
        <f t="shared" si="51"/>
        <v>45884</v>
      </c>
      <c r="N246" s="43">
        <f t="shared" ca="1" si="60"/>
        <v>0</v>
      </c>
    </row>
    <row r="247" spans="1:14" x14ac:dyDescent="0.25">
      <c r="A247">
        <v>12025005</v>
      </c>
      <c r="B247" s="44">
        <v>45781</v>
      </c>
      <c r="C247" s="1">
        <f t="shared" si="70"/>
        <v>45795</v>
      </c>
      <c r="D247" s="44">
        <v>45784</v>
      </c>
      <c r="F247" t="s">
        <v>1804</v>
      </c>
      <c r="H247" s="45">
        <v>385</v>
      </c>
      <c r="I247" s="43">
        <v>20</v>
      </c>
      <c r="J247" s="45">
        <f t="shared" si="71"/>
        <v>77</v>
      </c>
      <c r="K247" s="45">
        <f t="shared" si="72"/>
        <v>462</v>
      </c>
      <c r="L247" s="44">
        <f t="shared" si="51"/>
        <v>45884</v>
      </c>
      <c r="N247" s="43">
        <f t="shared" ca="1" si="60"/>
        <v>0</v>
      </c>
    </row>
    <row r="248" spans="1:14" x14ac:dyDescent="0.25">
      <c r="A248">
        <v>12025006</v>
      </c>
      <c r="B248" s="44">
        <v>45777</v>
      </c>
      <c r="C248" s="1">
        <f>B248+45</f>
        <v>45822</v>
      </c>
      <c r="D248" s="44">
        <v>45820</v>
      </c>
      <c r="F248" t="s">
        <v>1590</v>
      </c>
      <c r="H248" s="45">
        <v>14702.12</v>
      </c>
      <c r="I248" s="43">
        <v>20</v>
      </c>
      <c r="J248" s="45">
        <f t="shared" ref="J248" si="73">I248*H248/100</f>
        <v>2940.4240000000004</v>
      </c>
      <c r="K248" s="45">
        <f t="shared" ref="K248" si="74">H248+J248</f>
        <v>17642.544000000002</v>
      </c>
      <c r="L248" s="44">
        <f t="shared" si="51"/>
        <v>45884</v>
      </c>
      <c r="N248" s="43">
        <f t="shared" ca="1" si="60"/>
        <v>0</v>
      </c>
    </row>
    <row r="249" spans="1:14" x14ac:dyDescent="0.25">
      <c r="A249">
        <v>12025007</v>
      </c>
      <c r="B249" s="44">
        <v>45810</v>
      </c>
      <c r="C249" s="1">
        <f>B249+45</f>
        <v>45855</v>
      </c>
      <c r="D249" s="44">
        <v>45853</v>
      </c>
      <c r="F249" t="s">
        <v>1590</v>
      </c>
      <c r="H249" s="45">
        <v>16389.64</v>
      </c>
      <c r="I249" s="43">
        <v>20</v>
      </c>
      <c r="J249" s="45">
        <f t="shared" ref="J249" si="75">I249*H249/100</f>
        <v>3277.9279999999999</v>
      </c>
      <c r="K249" s="45">
        <f t="shared" ref="K249" si="76">H249+J249</f>
        <v>19667.567999999999</v>
      </c>
      <c r="L249" s="44">
        <f t="shared" si="51"/>
        <v>45976</v>
      </c>
      <c r="N249" s="43">
        <f t="shared" ca="1" si="60"/>
        <v>0</v>
      </c>
    </row>
    <row r="250" spans="1:14" x14ac:dyDescent="0.25">
      <c r="A250">
        <v>12025008</v>
      </c>
      <c r="B250" s="44">
        <v>45869</v>
      </c>
      <c r="C250" s="1">
        <f>B250+14</f>
        <v>45883</v>
      </c>
      <c r="D250" s="44">
        <v>45870</v>
      </c>
      <c r="F250" s="43" t="s">
        <v>90</v>
      </c>
      <c r="H250" s="45">
        <f>1302.38/1.2</f>
        <v>1085.3166666666668</v>
      </c>
      <c r="I250" s="43">
        <v>20</v>
      </c>
      <c r="J250" s="45">
        <f t="shared" ref="J250" si="77">I250*H250/100</f>
        <v>217.06333333333336</v>
      </c>
      <c r="K250" s="45">
        <f t="shared" ref="K250" si="78">H250+J250</f>
        <v>1302.3800000000001</v>
      </c>
      <c r="L250" s="44">
        <f t="shared" si="51"/>
        <v>45976</v>
      </c>
      <c r="N250" s="43">
        <f t="shared" ref="N250" ca="1" si="79">IF(ISBLANK(D250),IF(TODAY()&gt;C250,TODAY()-C250,0),IF(D250&gt;C250,D250-C250,0))</f>
        <v>0</v>
      </c>
    </row>
    <row r="251" spans="1:14" x14ac:dyDescent="0.25">
      <c r="A251">
        <v>12025009</v>
      </c>
      <c r="B251" s="44">
        <v>45841</v>
      </c>
      <c r="C251" s="1">
        <f>B251+45</f>
        <v>45886</v>
      </c>
      <c r="D251" s="44">
        <v>45887</v>
      </c>
      <c r="F251" t="s">
        <v>1590</v>
      </c>
      <c r="H251" s="45">
        <v>18061.240000000002</v>
      </c>
      <c r="I251" s="43">
        <v>20</v>
      </c>
      <c r="J251" s="45">
        <f t="shared" ref="J251" si="80">I251*H251/100</f>
        <v>3612.2480000000005</v>
      </c>
      <c r="K251" s="45">
        <f t="shared" ref="K251" si="81">H251+J251</f>
        <v>21673.488000000001</v>
      </c>
      <c r="L251" s="44">
        <f t="shared" si="51"/>
        <v>45976</v>
      </c>
      <c r="N251" s="43">
        <f t="shared" ca="1" si="60"/>
        <v>1</v>
      </c>
    </row>
    <row r="252" spans="1:14" x14ac:dyDescent="0.25">
      <c r="A252">
        <v>12025010</v>
      </c>
      <c r="B252" s="44">
        <v>45867</v>
      </c>
      <c r="C252" s="1">
        <f t="shared" ref="C252:C257" si="82">B252+45</f>
        <v>45912</v>
      </c>
      <c r="D252" s="44">
        <v>45910</v>
      </c>
      <c r="F252" t="s">
        <v>1590</v>
      </c>
      <c r="H252" s="45">
        <v>9854.48</v>
      </c>
      <c r="I252" s="43">
        <v>20</v>
      </c>
      <c r="J252" s="45">
        <f t="shared" ref="J252:J254" si="83">I252*H252/100</f>
        <v>1970.8959999999997</v>
      </c>
      <c r="K252" s="45">
        <f t="shared" ref="K252:K254" si="84">H252+J252</f>
        <v>11825.376</v>
      </c>
      <c r="L252" s="44">
        <f t="shared" ref="L252:L264" si="85">IF(ISBLANK(D252),"",voranmeldefrist_vierteljaehrlich(D252))</f>
        <v>45976</v>
      </c>
      <c r="N252" s="43">
        <f t="shared" ca="1" si="60"/>
        <v>0</v>
      </c>
    </row>
    <row r="253" spans="1:14" x14ac:dyDescent="0.25">
      <c r="A253">
        <v>12025011</v>
      </c>
      <c r="B253" s="44">
        <v>45901</v>
      </c>
      <c r="C253" s="1">
        <f t="shared" si="82"/>
        <v>45946</v>
      </c>
      <c r="D253" s="44">
        <v>45944</v>
      </c>
      <c r="F253" t="s">
        <v>1590</v>
      </c>
      <c r="H253" s="45">
        <v>10300.24</v>
      </c>
      <c r="I253" s="43">
        <v>20</v>
      </c>
      <c r="J253" s="45">
        <f t="shared" si="83"/>
        <v>2060.0479999999998</v>
      </c>
      <c r="K253" s="45">
        <f t="shared" si="84"/>
        <v>12360.288</v>
      </c>
      <c r="L253" s="44">
        <f t="shared" si="85"/>
        <v>46068</v>
      </c>
      <c r="N253" s="43">
        <f t="shared" ca="1" si="60"/>
        <v>0</v>
      </c>
    </row>
    <row r="254" spans="1:14" x14ac:dyDescent="0.25">
      <c r="A254">
        <v>12025012</v>
      </c>
      <c r="B254" s="44">
        <v>45930</v>
      </c>
      <c r="C254" s="1">
        <f t="shared" si="82"/>
        <v>45975</v>
      </c>
      <c r="D254" s="44">
        <v>45973</v>
      </c>
      <c r="F254" t="s">
        <v>1590</v>
      </c>
      <c r="H254" s="45">
        <v>20027.36</v>
      </c>
      <c r="I254" s="43">
        <v>20</v>
      </c>
      <c r="J254" s="45">
        <f t="shared" si="83"/>
        <v>4005.4720000000002</v>
      </c>
      <c r="K254" s="45">
        <f t="shared" si="84"/>
        <v>24032.832000000002</v>
      </c>
      <c r="L254" s="44">
        <f t="shared" si="85"/>
        <v>46068</v>
      </c>
      <c r="N254" s="43">
        <f t="shared" ca="1" si="60"/>
        <v>0</v>
      </c>
    </row>
    <row r="255" spans="1:14" x14ac:dyDescent="0.25">
      <c r="A255">
        <v>12025013</v>
      </c>
      <c r="B255" s="44">
        <v>45964</v>
      </c>
      <c r="C255" s="1">
        <f t="shared" si="82"/>
        <v>46009</v>
      </c>
      <c r="D255" s="44">
        <v>46007</v>
      </c>
      <c r="F255" t="s">
        <v>1590</v>
      </c>
      <c r="H255" s="45">
        <v>13086.24</v>
      </c>
      <c r="I255" s="43">
        <v>20</v>
      </c>
      <c r="J255" s="45">
        <f t="shared" ref="J255" si="86">I255*H255/100</f>
        <v>2617.248</v>
      </c>
      <c r="K255" s="45">
        <f t="shared" ref="K255" si="87">H255+J255</f>
        <v>15703.487999999999</v>
      </c>
      <c r="L255" s="44">
        <f t="shared" si="85"/>
        <v>46068</v>
      </c>
      <c r="N255" s="43">
        <f t="shared" ca="1" si="60"/>
        <v>0</v>
      </c>
    </row>
    <row r="256" spans="1:14" x14ac:dyDescent="0.25">
      <c r="A256">
        <v>12025014</v>
      </c>
      <c r="B256" s="44">
        <v>45992</v>
      </c>
      <c r="C256" s="1">
        <f>B256+14</f>
        <v>46006</v>
      </c>
      <c r="D256" s="44">
        <v>46009</v>
      </c>
      <c r="F256" t="s">
        <v>895</v>
      </c>
      <c r="H256" s="45">
        <v>1234</v>
      </c>
      <c r="I256" s="43">
        <v>20</v>
      </c>
      <c r="J256" s="45">
        <f t="shared" ref="J256:J257" si="88">I256*H256/100</f>
        <v>246.8</v>
      </c>
      <c r="K256" s="45">
        <f t="shared" ref="K256:K257" si="89">H256+J256</f>
        <v>1480.8</v>
      </c>
      <c r="L256" s="44">
        <f t="shared" si="85"/>
        <v>46068</v>
      </c>
      <c r="N256" s="43">
        <f t="shared" ca="1" si="60"/>
        <v>3</v>
      </c>
    </row>
    <row r="257" spans="1:14" x14ac:dyDescent="0.25">
      <c r="A257" s="205">
        <v>12025015</v>
      </c>
      <c r="B257" s="44">
        <v>45964</v>
      </c>
      <c r="C257" s="1">
        <f t="shared" si="82"/>
        <v>46009</v>
      </c>
      <c r="D257" s="44">
        <v>46035</v>
      </c>
      <c r="F257" t="s">
        <v>1590</v>
      </c>
      <c r="H257" s="204">
        <v>13778.76</v>
      </c>
      <c r="I257" s="43">
        <v>20</v>
      </c>
      <c r="J257" s="45">
        <f t="shared" si="88"/>
        <v>2755.752</v>
      </c>
      <c r="K257" s="45">
        <f t="shared" si="89"/>
        <v>16534.511999999999</v>
      </c>
      <c r="L257" s="44">
        <f t="shared" si="85"/>
        <v>46157</v>
      </c>
      <c r="N257" s="43">
        <f t="shared" ref="N257" ca="1" si="90">IF(ISBLANK(D257),IF(TODAY()&gt;C257,TODAY()-C257,0),IF(D257&gt;C257,D257-C257,0))</f>
        <v>26</v>
      </c>
    </row>
    <row r="258" spans="1:14" x14ac:dyDescent="0.25">
      <c r="A258" s="205">
        <v>12025015</v>
      </c>
      <c r="B258" s="44">
        <v>45964</v>
      </c>
      <c r="C258" s="1">
        <f t="shared" ref="C258" si="91">B258+45</f>
        <v>46009</v>
      </c>
      <c r="D258" s="44">
        <v>46035</v>
      </c>
      <c r="F258" t="s">
        <v>1855</v>
      </c>
      <c r="H258" s="204">
        <v>-13778.76</v>
      </c>
      <c r="I258" s="43">
        <v>20</v>
      </c>
      <c r="J258" s="45">
        <f t="shared" ref="J258" si="92">I258*H258/100</f>
        <v>-2755.752</v>
      </c>
      <c r="K258" s="45">
        <f t="shared" ref="K258" si="93">H258+J258</f>
        <v>-16534.511999999999</v>
      </c>
      <c r="L258" s="44">
        <f t="shared" si="85"/>
        <v>46157</v>
      </c>
      <c r="N258" s="43">
        <f t="shared" ref="N258" ca="1" si="94">IF(ISBLANK(D258),IF(TODAY()&gt;C258,TODAY()-C258,0),IF(D258&gt;C258,D258-C258,0))</f>
        <v>26</v>
      </c>
    </row>
    <row r="259" spans="1:14" x14ac:dyDescent="0.25">
      <c r="A259">
        <v>12025016</v>
      </c>
      <c r="B259" s="44">
        <v>46002</v>
      </c>
      <c r="C259" s="1">
        <f>B259+14</f>
        <v>46016</v>
      </c>
      <c r="D259" s="44">
        <v>46002</v>
      </c>
      <c r="F259" s="43" t="s">
        <v>59</v>
      </c>
      <c r="H259" s="45">
        <v>2200.56</v>
      </c>
      <c r="I259" s="43">
        <v>20</v>
      </c>
      <c r="J259" s="45">
        <f t="shared" ref="J259:J261" si="95">I259*H259/100</f>
        <v>440.11199999999997</v>
      </c>
      <c r="K259" s="45">
        <f t="shared" ref="K259:K261" si="96">H259+J259</f>
        <v>2640.672</v>
      </c>
      <c r="L259" s="44">
        <f t="shared" si="85"/>
        <v>46068</v>
      </c>
      <c r="N259" s="43">
        <f t="shared" ref="N259:N261" ca="1" si="97">IF(ISBLANK(D259),IF(TODAY()&gt;C259,TODAY()-C259,0),IF(D259&gt;C259,D259-C259,0))</f>
        <v>0</v>
      </c>
    </row>
    <row r="260" spans="1:14" x14ac:dyDescent="0.25">
      <c r="A260" s="43">
        <v>12025017</v>
      </c>
      <c r="B260" s="44">
        <v>46002</v>
      </c>
      <c r="C260" s="1">
        <f>B260+14</f>
        <v>46016</v>
      </c>
      <c r="D260" s="44">
        <v>46010</v>
      </c>
      <c r="F260" s="43" t="s">
        <v>1701</v>
      </c>
      <c r="H260" s="45">
        <v>720.5</v>
      </c>
      <c r="I260" s="43">
        <v>20</v>
      </c>
      <c r="J260" s="45">
        <f t="shared" si="95"/>
        <v>144.1</v>
      </c>
      <c r="K260" s="45">
        <f t="shared" si="96"/>
        <v>864.6</v>
      </c>
      <c r="L260" s="44">
        <f t="shared" si="85"/>
        <v>46068</v>
      </c>
      <c r="N260" s="43">
        <f t="shared" ca="1" si="97"/>
        <v>0</v>
      </c>
    </row>
    <row r="261" spans="1:14" x14ac:dyDescent="0.25">
      <c r="A261" s="43">
        <v>12026001</v>
      </c>
      <c r="B261" s="44">
        <v>45964</v>
      </c>
      <c r="C261" s="1">
        <f t="shared" ref="C261" si="98">B261+45</f>
        <v>46009</v>
      </c>
      <c r="D261" s="44">
        <v>46035</v>
      </c>
      <c r="F261" t="s">
        <v>1590</v>
      </c>
      <c r="H261" s="204">
        <v>13778.76</v>
      </c>
      <c r="I261" s="43">
        <v>20</v>
      </c>
      <c r="J261" s="45">
        <f t="shared" si="95"/>
        <v>2755.752</v>
      </c>
      <c r="K261" s="45">
        <f t="shared" si="96"/>
        <v>16534.511999999999</v>
      </c>
      <c r="L261" s="44">
        <f t="shared" si="85"/>
        <v>46157</v>
      </c>
      <c r="N261" s="43">
        <f t="shared" ca="1" si="97"/>
        <v>26</v>
      </c>
    </row>
    <row r="262" spans="1:14" x14ac:dyDescent="0.25">
      <c r="A262">
        <v>12026002</v>
      </c>
      <c r="B262" s="44">
        <v>46022</v>
      </c>
      <c r="C262" s="1">
        <f t="shared" ref="C262:C263" si="99">B262+45</f>
        <v>46067</v>
      </c>
      <c r="D262" s="44">
        <v>46065</v>
      </c>
      <c r="F262" t="s">
        <v>1590</v>
      </c>
      <c r="H262" s="45">
        <v>12338</v>
      </c>
      <c r="I262" s="43">
        <v>20</v>
      </c>
      <c r="J262" s="45">
        <f t="shared" ref="J262" si="100">I262*H262/100</f>
        <v>2467.6</v>
      </c>
      <c r="K262" s="45">
        <f t="shared" ref="K262" si="101">H262+J262</f>
        <v>14805.6</v>
      </c>
      <c r="L262" s="44">
        <f t="shared" si="85"/>
        <v>46157</v>
      </c>
      <c r="N262" s="43">
        <f t="shared" ref="N262" ca="1" si="102">IF(ISBLANK(D262),IF(TODAY()&gt;C262,TODAY()-C262,0),IF(D262&gt;C262,D262-C262,0))</f>
        <v>0</v>
      </c>
    </row>
    <row r="263" spans="1:14" x14ac:dyDescent="0.25">
      <c r="A263" s="43">
        <v>12026003</v>
      </c>
      <c r="B263" s="44">
        <v>46055</v>
      </c>
      <c r="C263" s="1">
        <f t="shared" si="99"/>
        <v>46100</v>
      </c>
      <c r="D263" s="44">
        <v>46098</v>
      </c>
      <c r="F263" t="s">
        <v>1590</v>
      </c>
      <c r="H263" s="45">
        <v>17512</v>
      </c>
      <c r="I263" s="43">
        <v>20</v>
      </c>
      <c r="J263" s="45">
        <f t="shared" ref="J263" si="103">I263*H263/100</f>
        <v>3502.4</v>
      </c>
      <c r="K263" s="45">
        <f t="shared" ref="K263" si="104">H263+J263</f>
        <v>21014.400000000001</v>
      </c>
      <c r="L263" s="44">
        <f t="shared" si="85"/>
        <v>46157</v>
      </c>
    </row>
    <row r="264" spans="1:14" x14ac:dyDescent="0.25">
      <c r="A264" s="43">
        <v>12026004</v>
      </c>
      <c r="B264" s="44">
        <v>46122</v>
      </c>
      <c r="C264" s="44">
        <f>B264+14</f>
        <v>46136</v>
      </c>
      <c r="D264" s="44">
        <v>46123</v>
      </c>
      <c r="F264" s="43" t="s">
        <v>59</v>
      </c>
      <c r="H264" s="45">
        <v>1661.5</v>
      </c>
      <c r="I264" s="43">
        <v>20</v>
      </c>
      <c r="J264" s="45">
        <f t="shared" ref="J264" si="105">I264*H264/100</f>
        <v>332.3</v>
      </c>
      <c r="K264" s="45">
        <f t="shared" ref="K264" si="106">H264+J264</f>
        <v>1993.8</v>
      </c>
      <c r="L264" s="44">
        <f t="shared" si="85"/>
        <v>46249</v>
      </c>
    </row>
    <row r="265" spans="1:14" x14ac:dyDescent="0.25">
      <c r="A265" s="43">
        <v>12026005</v>
      </c>
      <c r="B265" s="44">
        <v>46122</v>
      </c>
      <c r="C265" s="44">
        <f>B265+14</f>
        <v>46136</v>
      </c>
      <c r="F265" t="s">
        <v>895</v>
      </c>
      <c r="H265" s="45">
        <v>1785</v>
      </c>
      <c r="I265" s="43">
        <v>20</v>
      </c>
      <c r="J265" s="45">
        <f t="shared" ref="J265" si="107">I265*H265/100</f>
        <v>357</v>
      </c>
      <c r="K265" s="45">
        <f t="shared" ref="K265" si="108">H265+J265</f>
        <v>2142</v>
      </c>
    </row>
    <row r="266" spans="1:14" x14ac:dyDescent="0.25">
      <c r="A266" s="43">
        <v>12026006</v>
      </c>
      <c r="B266" s="44">
        <v>46083</v>
      </c>
      <c r="C266" s="1">
        <f>B266+45</f>
        <v>46128</v>
      </c>
      <c r="F266" t="s">
        <v>1590</v>
      </c>
      <c r="H266" s="45">
        <v>12314.12</v>
      </c>
      <c r="I266" s="43">
        <v>20</v>
      </c>
      <c r="J266" s="45">
        <f t="shared" ref="J266" si="109">I266*H266/100</f>
        <v>2462.8240000000001</v>
      </c>
      <c r="K266" s="45">
        <f t="shared" ref="K266" si="110">H266+J266</f>
        <v>14776.944000000001</v>
      </c>
    </row>
    <row r="267" spans="1:14" x14ac:dyDescent="0.25">
      <c r="B267" s="44"/>
      <c r="C267" s="1"/>
      <c r="F267"/>
    </row>
  </sheetData>
  <autoFilter ref="A1:M256" xr:uid="{00000000-0009-0000-0000-000001000000}">
    <sortState xmlns:xlrd2="http://schemas.microsoft.com/office/spreadsheetml/2017/richdata2" ref="A131:M168">
      <sortCondition ref="A1:A256"/>
    </sortState>
  </autoFilter>
  <sortState xmlns:xlrd2="http://schemas.microsoft.com/office/spreadsheetml/2017/richdata2" ref="A92:N132">
    <sortCondition ref="D2:D141"/>
  </sortState>
  <conditionalFormatting sqref="L1 L110 L123:L126 L134:L141 L265:L1048576">
    <cfRule type="expression" dxfId="10628" priority="145">
      <formula>AND(AND($P1&lt;TODAY(),$P1&lt;&gt;""),$Q1="")</formula>
    </cfRule>
  </conditionalFormatting>
  <conditionalFormatting sqref="L11">
    <cfRule type="expression" dxfId="10627" priority="136">
      <formula>AND(AND($P11&lt;TODAY(),$P11&lt;&gt;""),$Q11="")</formula>
    </cfRule>
  </conditionalFormatting>
  <conditionalFormatting sqref="E19 D1:E17 D20:E22 D24:E49 D51:E73 D75:E78 D84:E85 D87:E91 D93:E122 D124:E131 D133:E160 D162:E170 D172:E216 D218:E229 D231:E1048576">
    <cfRule type="expression" dxfId="10626" priority="135">
      <formula>OR(AND($C1&lt;TODAY(),ISBLANK($D1)),$D1&gt;$C1)</formula>
    </cfRule>
  </conditionalFormatting>
  <conditionalFormatting sqref="L12:L13">
    <cfRule type="expression" dxfId="10625" priority="132">
      <formula>AND(AND($P12&lt;TODAY(),$P12&lt;&gt;""),$Q12="")</formula>
    </cfRule>
  </conditionalFormatting>
  <conditionalFormatting sqref="L2:L10">
    <cfRule type="expression" dxfId="10624" priority="130">
      <formula>AND(AND($P2&lt;TODAY(),$P2&lt;&gt;""),$Q2="")</formula>
    </cfRule>
  </conditionalFormatting>
  <conditionalFormatting sqref="L14">
    <cfRule type="expression" dxfId="10623" priority="129">
      <formula>AND(AND($P14&lt;TODAY(),$P14&lt;&gt;""),$Q14="")</formula>
    </cfRule>
  </conditionalFormatting>
  <conditionalFormatting sqref="L15">
    <cfRule type="expression" dxfId="10622" priority="126">
      <formula>AND(AND($P15&lt;TODAY(),$P15&lt;&gt;""),$Q15="")</formula>
    </cfRule>
  </conditionalFormatting>
  <conditionalFormatting sqref="L16">
    <cfRule type="expression" dxfId="10621" priority="125">
      <formula>AND(AND($P16&lt;TODAY(),$P16&lt;&gt;""),$Q16="")</formula>
    </cfRule>
  </conditionalFormatting>
  <conditionalFormatting sqref="L17">
    <cfRule type="expression" dxfId="10620" priority="124">
      <formula>AND(AND($P17&lt;TODAY(),$P17&lt;&gt;""),$Q17="")</formula>
    </cfRule>
  </conditionalFormatting>
  <conditionalFormatting sqref="D18:E18">
    <cfRule type="expression" dxfId="10619" priority="123">
      <formula>OR(AND($C18&lt;TODAY(),ISBLANK($D18)),$D18&gt;$C18)</formula>
    </cfRule>
  </conditionalFormatting>
  <conditionalFormatting sqref="L18">
    <cfRule type="expression" dxfId="10618" priority="122">
      <formula>AND(AND($P18&lt;TODAY(),$P18&lt;&gt;""),$Q18="")</formula>
    </cfRule>
  </conditionalFormatting>
  <conditionalFormatting sqref="D19">
    <cfRule type="expression" dxfId="10617" priority="118">
      <formula>OR(AND($C19&lt;TODAY(),ISBLANK($D19)),$D19&gt;$C19)</formula>
    </cfRule>
  </conditionalFormatting>
  <conditionalFormatting sqref="L19">
    <cfRule type="expression" dxfId="10616" priority="116">
      <formula>AND(AND($P19&lt;TODAY(),$P19&lt;&gt;""),$Q19="")</formula>
    </cfRule>
  </conditionalFormatting>
  <conditionalFormatting sqref="L20">
    <cfRule type="expression" dxfId="10615" priority="115">
      <formula>AND(AND($P20&lt;TODAY(),$P20&lt;&gt;""),$Q20="")</formula>
    </cfRule>
  </conditionalFormatting>
  <conditionalFormatting sqref="L21">
    <cfRule type="expression" dxfId="10614" priority="114">
      <formula>AND(AND($P21&lt;TODAY(),$P21&lt;&gt;""),$Q21="")</formula>
    </cfRule>
  </conditionalFormatting>
  <conditionalFormatting sqref="L22">
    <cfRule type="expression" dxfId="10613" priority="113">
      <formula>AND(AND($P22&lt;TODAY(),$P22&lt;&gt;""),$Q22="")</formula>
    </cfRule>
  </conditionalFormatting>
  <conditionalFormatting sqref="L23">
    <cfRule type="expression" dxfId="10612" priority="112">
      <formula>AND(AND($P23&lt;TODAY(),$P23&lt;&gt;""),$Q23="")</formula>
    </cfRule>
  </conditionalFormatting>
  <conditionalFormatting sqref="D23:E23">
    <cfRule type="expression" dxfId="10611" priority="369">
      <formula>OR(AND($B23&lt;TODAY(),ISBLANK($D23)),$D23&gt;$B23)</formula>
    </cfRule>
  </conditionalFormatting>
  <conditionalFormatting sqref="L24">
    <cfRule type="expression" dxfId="10610" priority="111">
      <formula>AND(AND($P24&lt;TODAY(),$P24&lt;&gt;""),$Q24="")</formula>
    </cfRule>
  </conditionalFormatting>
  <conditionalFormatting sqref="L25:L26">
    <cfRule type="expression" dxfId="10609" priority="110">
      <formula>AND(AND($P25&lt;TODAY(),$P25&lt;&gt;""),$Q25="")</formula>
    </cfRule>
  </conditionalFormatting>
  <conditionalFormatting sqref="L27">
    <cfRule type="expression" dxfId="10608" priority="109">
      <formula>AND(AND($P27&lt;TODAY(),$P27&lt;&gt;""),$Q27="")</formula>
    </cfRule>
  </conditionalFormatting>
  <conditionalFormatting sqref="L28">
    <cfRule type="expression" dxfId="10607" priority="108">
      <formula>AND(AND($P28&lt;TODAY(),$P28&lt;&gt;""),$Q28="")</formula>
    </cfRule>
  </conditionalFormatting>
  <conditionalFormatting sqref="L29">
    <cfRule type="expression" dxfId="10606" priority="106">
      <formula>AND(AND($P29&lt;TODAY(),$P29&lt;&gt;""),$Q29="")</formula>
    </cfRule>
  </conditionalFormatting>
  <conditionalFormatting sqref="L30:L31">
    <cfRule type="expression" dxfId="10605" priority="105">
      <formula>AND(AND($P30&lt;TODAY(),$P30&lt;&gt;""),$Q30="")</formula>
    </cfRule>
  </conditionalFormatting>
  <conditionalFormatting sqref="L32">
    <cfRule type="expression" dxfId="10604" priority="104">
      <formula>AND(AND($P32&lt;TODAY(),$P32&lt;&gt;""),$Q32="")</formula>
    </cfRule>
  </conditionalFormatting>
  <conditionalFormatting sqref="L33">
    <cfRule type="expression" dxfId="10603" priority="103">
      <formula>AND(AND($P33&lt;TODAY(),$P33&lt;&gt;""),$Q33="")</formula>
    </cfRule>
  </conditionalFormatting>
  <conditionalFormatting sqref="L34">
    <cfRule type="expression" dxfId="10602" priority="102">
      <formula>AND(AND($P34&lt;TODAY(),$P34&lt;&gt;""),$Q34="")</formula>
    </cfRule>
  </conditionalFormatting>
  <conditionalFormatting sqref="L35">
    <cfRule type="expression" dxfId="10601" priority="101">
      <formula>AND(AND($P35&lt;TODAY(),$P35&lt;&gt;""),$Q35="")</formula>
    </cfRule>
  </conditionalFormatting>
  <conditionalFormatting sqref="L36">
    <cfRule type="expression" dxfId="10600" priority="100">
      <formula>AND(AND($P36&lt;TODAY(),$P36&lt;&gt;""),$Q36="")</formula>
    </cfRule>
  </conditionalFormatting>
  <conditionalFormatting sqref="L37">
    <cfRule type="expression" dxfId="10599" priority="99">
      <formula>AND(AND($P37&lt;TODAY(),$P37&lt;&gt;""),$Q37="")</formula>
    </cfRule>
  </conditionalFormatting>
  <conditionalFormatting sqref="L39">
    <cfRule type="expression" dxfId="10598" priority="98">
      <formula>AND(AND($P39&lt;TODAY(),$P39&lt;&gt;""),$Q39="")</formula>
    </cfRule>
  </conditionalFormatting>
  <conditionalFormatting sqref="L38">
    <cfRule type="expression" dxfId="10597" priority="97">
      <formula>AND(AND($P38&lt;TODAY(),$P38&lt;&gt;""),$Q38="")</formula>
    </cfRule>
  </conditionalFormatting>
  <conditionalFormatting sqref="L40">
    <cfRule type="expression" dxfId="10596" priority="96">
      <formula>AND(AND($P40&lt;TODAY(),$P40&lt;&gt;""),$Q40="")</formula>
    </cfRule>
  </conditionalFormatting>
  <conditionalFormatting sqref="L41">
    <cfRule type="expression" dxfId="10595" priority="95">
      <formula>AND(AND($P41&lt;TODAY(),$P41&lt;&gt;""),$Q41="")</formula>
    </cfRule>
  </conditionalFormatting>
  <conditionalFormatting sqref="L42:L44">
    <cfRule type="expression" dxfId="10594" priority="93">
      <formula>AND(AND($P42&lt;TODAY(),$P42&lt;&gt;""),$Q42="")</formula>
    </cfRule>
  </conditionalFormatting>
  <conditionalFormatting sqref="L45">
    <cfRule type="expression" dxfId="10593" priority="92">
      <formula>AND(AND($P45&lt;TODAY(),$P45&lt;&gt;""),$Q45="")</formula>
    </cfRule>
  </conditionalFormatting>
  <conditionalFormatting sqref="L46">
    <cfRule type="expression" dxfId="10592" priority="91">
      <formula>AND(AND($P46&lt;TODAY(),$P46&lt;&gt;""),$Q46="")</formula>
    </cfRule>
  </conditionalFormatting>
  <conditionalFormatting sqref="D50:E50">
    <cfRule type="expression" dxfId="10591" priority="87">
      <formula>OR(AND($C50&lt;TODAY(),ISBLANK($D50)),$D50&gt;$C50)</formula>
    </cfRule>
  </conditionalFormatting>
  <conditionalFormatting sqref="L48:L50">
    <cfRule type="expression" dxfId="10590" priority="85">
      <formula>AND(AND($P48&lt;TODAY(),$P48&lt;&gt;""),$Q48="")</formula>
    </cfRule>
  </conditionalFormatting>
  <conditionalFormatting sqref="L47">
    <cfRule type="expression" dxfId="10589" priority="84">
      <formula>AND(AND($P47&lt;TODAY(),$P47&lt;&gt;""),$Q47="")</formula>
    </cfRule>
  </conditionalFormatting>
  <conditionalFormatting sqref="L51">
    <cfRule type="expression" dxfId="10588" priority="83">
      <formula>AND(AND($P51&lt;TODAY(),$P51&lt;&gt;""),$Q51="")</formula>
    </cfRule>
  </conditionalFormatting>
  <conditionalFormatting sqref="L52">
    <cfRule type="expression" dxfId="10587" priority="82">
      <formula>AND(AND($P52&lt;TODAY(),$P52&lt;&gt;""),$Q52="")</formula>
    </cfRule>
  </conditionalFormatting>
  <conditionalFormatting sqref="L53">
    <cfRule type="expression" dxfId="10586" priority="81">
      <formula>AND(AND($P53&lt;TODAY(),$P53&lt;&gt;""),$Q53="")</formula>
    </cfRule>
  </conditionalFormatting>
  <conditionalFormatting sqref="L54:L59">
    <cfRule type="expression" dxfId="10585" priority="78">
      <formula>AND(AND($P54&lt;TODAY(),$P54&lt;&gt;""),$Q54="")</formula>
    </cfRule>
  </conditionalFormatting>
  <conditionalFormatting sqref="L60:L61">
    <cfRule type="expression" dxfId="10584" priority="77">
      <formula>AND(AND($P60&lt;TODAY(),$P60&lt;&gt;""),$Q60="")</formula>
    </cfRule>
  </conditionalFormatting>
  <conditionalFormatting sqref="L62:L64">
    <cfRule type="expression" dxfId="10583" priority="74">
      <formula>AND(AND($P62&lt;TODAY(),$P62&lt;&gt;""),$Q62="")</formula>
    </cfRule>
  </conditionalFormatting>
  <conditionalFormatting sqref="D74:E74">
    <cfRule type="expression" dxfId="10582" priority="72">
      <formula>OR(AND($C74&lt;TODAY(),ISBLANK($D74)),$D74&gt;$C74)</formula>
    </cfRule>
  </conditionalFormatting>
  <conditionalFormatting sqref="L65:L75">
    <cfRule type="expression" dxfId="10581" priority="71">
      <formula>AND(AND($P65&lt;TODAY(),$P65&lt;&gt;""),$Q65="")</formula>
    </cfRule>
  </conditionalFormatting>
  <conditionalFormatting sqref="L76:L77">
    <cfRule type="expression" dxfId="10580" priority="69">
      <formula>AND(AND($P76&lt;TODAY(),$P76&lt;&gt;""),$Q76="")</formula>
    </cfRule>
  </conditionalFormatting>
  <conditionalFormatting sqref="L78">
    <cfRule type="expression" dxfId="10579" priority="68">
      <formula>AND(AND($P78&lt;TODAY(),$P78&lt;&gt;""),$Q78="")</formula>
    </cfRule>
  </conditionalFormatting>
  <conditionalFormatting sqref="D79:E83">
    <cfRule type="expression" dxfId="10578" priority="66">
      <formula>OR(AND($C79&lt;TODAY(),ISBLANK($D79)),$D79&gt;$C79)</formula>
    </cfRule>
  </conditionalFormatting>
  <conditionalFormatting sqref="L81">
    <cfRule type="expression" dxfId="10577" priority="65">
      <formula>AND(AND($P81&lt;TODAY(),$P81&lt;&gt;""),$Q81="")</formula>
    </cfRule>
  </conditionalFormatting>
  <conditionalFormatting sqref="L79:L80">
    <cfRule type="expression" dxfId="10576" priority="64">
      <formula>AND(AND($P79&lt;TODAY(),$P79&lt;&gt;""),$Q79="")</formula>
    </cfRule>
  </conditionalFormatting>
  <conditionalFormatting sqref="L82:L84">
    <cfRule type="expression" dxfId="10575" priority="62">
      <formula>AND(AND($P82&lt;TODAY(),$P82&lt;&gt;""),$Q82="")</formula>
    </cfRule>
  </conditionalFormatting>
  <conditionalFormatting sqref="D86:E86">
    <cfRule type="expression" dxfId="10574" priority="60">
      <formula>OR(AND($C86&lt;TODAY(),ISBLANK($D86)),$D86&gt;$C86)</formula>
    </cfRule>
  </conditionalFormatting>
  <conditionalFormatting sqref="D92:E92">
    <cfRule type="expression" dxfId="10573" priority="57">
      <formula>OR(AND($C92&lt;TODAY(),ISBLANK($D92)),$D92&gt;$C92)</formula>
    </cfRule>
  </conditionalFormatting>
  <conditionalFormatting sqref="L85:L109">
    <cfRule type="expression" dxfId="10572" priority="56">
      <formula>AND(AND($P85&lt;TODAY(),$P85&lt;&gt;""),$Q85="")</formula>
    </cfRule>
  </conditionalFormatting>
  <conditionalFormatting sqref="N1:N116 N263:N1048576">
    <cfRule type="colorScale" priority="54">
      <colorScale>
        <cfvo type="min"/>
        <cfvo type="percentile" val="50"/>
        <cfvo type="max"/>
        <color rgb="FF63BE7B"/>
        <color rgb="FFFFEB84"/>
        <color rgb="FFF8696B"/>
      </colorScale>
    </cfRule>
  </conditionalFormatting>
  <conditionalFormatting sqref="N117:N123">
    <cfRule type="colorScale" priority="52">
      <colorScale>
        <cfvo type="min"/>
        <cfvo type="percentile" val="50"/>
        <cfvo type="max"/>
        <color rgb="FF63BE7B"/>
        <color rgb="FFFFEB84"/>
        <color rgb="FFF8696B"/>
      </colorScale>
    </cfRule>
  </conditionalFormatting>
  <conditionalFormatting sqref="D123:E123">
    <cfRule type="expression" dxfId="10571" priority="51">
      <formula>OR(AND($C123&lt;TODAY(),ISBLANK($D123)),$D123&gt;$C123)</formula>
    </cfRule>
  </conditionalFormatting>
  <conditionalFormatting sqref="N124:N125">
    <cfRule type="colorScale" priority="49">
      <colorScale>
        <cfvo type="min"/>
        <cfvo type="percentile" val="50"/>
        <cfvo type="max"/>
        <color rgb="FF63BE7B"/>
        <color rgb="FFFFEB84"/>
        <color rgb="FFF8696B"/>
      </colorScale>
    </cfRule>
  </conditionalFormatting>
  <conditionalFormatting sqref="N126:N127">
    <cfRule type="colorScale" priority="47">
      <colorScale>
        <cfvo type="min"/>
        <cfvo type="percentile" val="50"/>
        <cfvo type="max"/>
        <color rgb="FF63BE7B"/>
        <color rgb="FFFFEB84"/>
        <color rgb="FFF8696B"/>
      </colorScale>
    </cfRule>
  </conditionalFormatting>
  <conditionalFormatting sqref="N128:N130">
    <cfRule type="colorScale" priority="45">
      <colorScale>
        <cfvo type="min"/>
        <cfvo type="percentile" val="50"/>
        <cfvo type="max"/>
        <color rgb="FF63BE7B"/>
        <color rgb="FFFFEB84"/>
        <color rgb="FFF8696B"/>
      </colorScale>
    </cfRule>
  </conditionalFormatting>
  <conditionalFormatting sqref="N131">
    <cfRule type="colorScale" priority="43">
      <colorScale>
        <cfvo type="min"/>
        <cfvo type="percentile" val="50"/>
        <cfvo type="max"/>
        <color rgb="FF63BE7B"/>
        <color rgb="FFFFEB84"/>
        <color rgb="FFF8696B"/>
      </colorScale>
    </cfRule>
  </conditionalFormatting>
  <conditionalFormatting sqref="D132:E132">
    <cfRule type="expression" dxfId="10570" priority="42">
      <formula>OR(AND($C132&lt;TODAY(),ISBLANK($D132)),$D132&gt;$C132)</formula>
    </cfRule>
  </conditionalFormatting>
  <conditionalFormatting sqref="N132">
    <cfRule type="colorScale" priority="40">
      <colorScale>
        <cfvo type="min"/>
        <cfvo type="percentile" val="50"/>
        <cfvo type="max"/>
        <color rgb="FF63BE7B"/>
        <color rgb="FFFFEB84"/>
        <color rgb="FFF8696B"/>
      </colorScale>
    </cfRule>
  </conditionalFormatting>
  <conditionalFormatting sqref="N133:N141">
    <cfRule type="colorScale" priority="37">
      <colorScale>
        <cfvo type="min"/>
        <cfvo type="percentile" val="50"/>
        <cfvo type="max"/>
        <color rgb="FF63BE7B"/>
        <color rgb="FFFFEB84"/>
        <color rgb="FFF8696B"/>
      </colorScale>
    </cfRule>
  </conditionalFormatting>
  <conditionalFormatting sqref="L132 L111 L121 L127">
    <cfRule type="expression" dxfId="10569" priority="3631">
      <formula>AND(AND($P111&lt;TODAY(),$P111&lt;&gt;""),$Q112="")</formula>
    </cfRule>
  </conditionalFormatting>
  <conditionalFormatting sqref="L133 L131">
    <cfRule type="expression" dxfId="10568" priority="3633">
      <formula>AND(AND($P131&lt;TODAY(),$P131&lt;&gt;""),#REF!="")</formula>
    </cfRule>
  </conditionalFormatting>
  <conditionalFormatting sqref="L115 L130">
    <cfRule type="expression" dxfId="10567" priority="3640">
      <formula>AND(AND($P115&lt;TODAY(),$P115&lt;&gt;""),#REF!="")</formula>
    </cfRule>
  </conditionalFormatting>
  <conditionalFormatting sqref="L116:L118 L129">
    <cfRule type="expression" dxfId="10566" priority="3648">
      <formula>AND(AND($P116&lt;TODAY(),$P116&lt;&gt;""),$Q118="")</formula>
    </cfRule>
  </conditionalFormatting>
  <conditionalFormatting sqref="L112:L114">
    <cfRule type="expression" dxfId="10565" priority="3655">
      <formula>AND(AND($P112&lt;TODAY(),$P112&lt;&gt;""),$Q115="")</formula>
    </cfRule>
  </conditionalFormatting>
  <conditionalFormatting sqref="L119:L120">
    <cfRule type="expression" dxfId="10564" priority="3661">
      <formula>AND(AND($P119&lt;TODAY(),$P119&lt;&gt;""),$Q113="")</formula>
    </cfRule>
  </conditionalFormatting>
  <conditionalFormatting sqref="L122 L128">
    <cfRule type="expression" dxfId="10563" priority="3667">
      <formula>AND(AND($P122&lt;TODAY(),$P122&lt;&gt;""),$Q121="")</formula>
    </cfRule>
  </conditionalFormatting>
  <conditionalFormatting sqref="L142">
    <cfRule type="expression" dxfId="10562" priority="36">
      <formula>AND(AND($P142&lt;TODAY(),$P142&lt;&gt;""),$Q142="")</formula>
    </cfRule>
  </conditionalFormatting>
  <conditionalFormatting sqref="N142">
    <cfRule type="colorScale" priority="35">
      <colorScale>
        <cfvo type="min"/>
        <cfvo type="percentile" val="50"/>
        <cfvo type="max"/>
        <color rgb="FF63BE7B"/>
        <color rgb="FFFFEB84"/>
        <color rgb="FFF8696B"/>
      </colorScale>
    </cfRule>
  </conditionalFormatting>
  <conditionalFormatting sqref="L143:L146 L148:L150 L152:L154">
    <cfRule type="expression" dxfId="10561" priority="34">
      <formula>AND(AND($P143&lt;TODAY(),$P143&lt;&gt;""),$Q143="")</formula>
    </cfRule>
  </conditionalFormatting>
  <conditionalFormatting sqref="N143:N152">
    <cfRule type="colorScale" priority="33">
      <colorScale>
        <cfvo type="min"/>
        <cfvo type="percentile" val="50"/>
        <cfvo type="max"/>
        <color rgb="FF63BE7B"/>
        <color rgb="FFFFEB84"/>
        <color rgb="FFF8696B"/>
      </colorScale>
    </cfRule>
  </conditionalFormatting>
  <conditionalFormatting sqref="L147 L151 L155">
    <cfRule type="expression" dxfId="10560" priority="32">
      <formula>AND(AND($P147&lt;TODAY(),$P147&lt;&gt;""),$Q147="")</formula>
    </cfRule>
  </conditionalFormatting>
  <conditionalFormatting sqref="N153:N155">
    <cfRule type="colorScale" priority="31">
      <colorScale>
        <cfvo type="min"/>
        <cfvo type="percentile" val="50"/>
        <cfvo type="max"/>
        <color rgb="FF63BE7B"/>
        <color rgb="FFFFEB84"/>
        <color rgb="FFF8696B"/>
      </colorScale>
    </cfRule>
  </conditionalFormatting>
  <conditionalFormatting sqref="N1:N155 N263:N1048576">
    <cfRule type="colorScale" priority="30">
      <colorScale>
        <cfvo type="min"/>
        <cfvo type="percentile" val="50"/>
        <cfvo type="max"/>
        <color rgb="FF63BE7B"/>
        <color rgb="FFFFEB84"/>
        <color rgb="FFF8696B"/>
      </colorScale>
    </cfRule>
  </conditionalFormatting>
  <conditionalFormatting sqref="L156:L159">
    <cfRule type="expression" dxfId="10559" priority="29">
      <formula>AND(AND($P156&lt;TODAY(),$P156&lt;&gt;""),$Q156="")</formula>
    </cfRule>
  </conditionalFormatting>
  <conditionalFormatting sqref="N156:N159">
    <cfRule type="colorScale" priority="28">
      <colorScale>
        <cfvo type="min"/>
        <cfvo type="percentile" val="50"/>
        <cfvo type="max"/>
        <color rgb="FF63BE7B"/>
        <color rgb="FFFFEB84"/>
        <color rgb="FFF8696B"/>
      </colorScale>
    </cfRule>
  </conditionalFormatting>
  <conditionalFormatting sqref="N156:N159">
    <cfRule type="colorScale" priority="27">
      <colorScale>
        <cfvo type="min"/>
        <cfvo type="percentile" val="50"/>
        <cfvo type="max"/>
        <color rgb="FF63BE7B"/>
        <color rgb="FFFFEB84"/>
        <color rgb="FFF8696B"/>
      </colorScale>
    </cfRule>
  </conditionalFormatting>
  <conditionalFormatting sqref="L160 L162 L166 L168 L172 L188 L190 L204 L216 L218 L224 L226 L228 L234 L236 L240 L252 L254 L256 L202 L206:L208 L230:L232">
    <cfRule type="expression" dxfId="10558" priority="26">
      <formula>AND(AND($P160&lt;TODAY(),$P160&lt;&gt;""),$Q160="")</formula>
    </cfRule>
  </conditionalFormatting>
  <conditionalFormatting sqref="N160 N162 N164 N166 N168 N170 N172 N174 N176 N178 N180 N182 N184 N186 N188 N190 N192 N194 N196 N198 N200 N202 N204 N206 N208 N210 N212 N214 N216 N218 N220 N222 N224 N226 N228 N230 N232 N234 N236 N238 N240 N242 N246 N248 N252 N254 N256">
    <cfRule type="colorScale" priority="25">
      <colorScale>
        <cfvo type="min"/>
        <cfvo type="percentile" val="50"/>
        <cfvo type="max"/>
        <color rgb="FF63BE7B"/>
        <color rgb="FFFFEB84"/>
        <color rgb="FFF8696B"/>
      </colorScale>
    </cfRule>
  </conditionalFormatting>
  <conditionalFormatting sqref="N160 N162 N164 N166 N168 N170 N172 N174 N176 N178 N180 N182 N184 N186 N188 N190 N192 N194 N196 N198 N200 N202 N204 N206 N208 N210 N212 N214 N216 N218 N220 N222 N224 N226 N228 N230 N232 N234 N236 N238 N240 N242 N246 N248 N252 N254 N256">
    <cfRule type="colorScale" priority="24">
      <colorScale>
        <cfvo type="min"/>
        <cfvo type="percentile" val="50"/>
        <cfvo type="max"/>
        <color rgb="FF63BE7B"/>
        <color rgb="FFFFEB84"/>
        <color rgb="FFF8696B"/>
      </colorScale>
    </cfRule>
  </conditionalFormatting>
  <conditionalFormatting sqref="D161:E161">
    <cfRule type="expression" dxfId="10557" priority="23">
      <formula>OR(AND($C161&lt;TODAY(),ISBLANK($D161)),$D161&gt;$C161)</formula>
    </cfRule>
  </conditionalFormatting>
  <conditionalFormatting sqref="N161 N163 N167 N169 N171 N173 N175 N177 N179 N181 N183 N185 N187 N189 N191 N193 N195 N197 N199 N201 N203 N205 N207 N209 N211 N213 N215 N217 N219 N221 N235 N237 N239 N241 N247 N253 N255 N223:N233 N243:N245 N249:N251">
    <cfRule type="colorScale" priority="18">
      <colorScale>
        <cfvo type="min"/>
        <cfvo type="percentile" val="50"/>
        <cfvo type="max"/>
        <color rgb="FF63BE7B"/>
        <color rgb="FFFFEB84"/>
        <color rgb="FFF8696B"/>
      </colorScale>
    </cfRule>
  </conditionalFormatting>
  <conditionalFormatting sqref="L161 L163 L167 L171 L187 L189 L205 L217 L235 L253 L255 L173 L191:L201 L203 L209:L215 L219:L233 L237:L239 L241:L251">
    <cfRule type="expression" dxfId="10556" priority="19">
      <formula>AND(AND($P161&lt;TODAY(),$P161&lt;&gt;""),#REF!="")</formula>
    </cfRule>
  </conditionalFormatting>
  <conditionalFormatting sqref="N161 N163 N167 N169 N171 N173 N175 N177 N179 N181 N183 N185 N187 N189 N191 N193 N195 N197 N199 N201 N203 N205 N207 N209 N211 N213 N215 N217 N219 N221 N235 N237 N239 N241 N247 N253 N255 N223:N233 N243:N245 N249:N251">
    <cfRule type="colorScale" priority="17">
      <colorScale>
        <cfvo type="min"/>
        <cfvo type="percentile" val="50"/>
        <cfvo type="max"/>
        <color rgb="FF63BE7B"/>
        <color rgb="FFFFEB84"/>
        <color rgb="FFF8696B"/>
      </colorScale>
    </cfRule>
  </conditionalFormatting>
  <conditionalFormatting sqref="L164">
    <cfRule type="expression" dxfId="10555" priority="16">
      <formula>AND(AND($P164&lt;TODAY(),$P164&lt;&gt;""),#REF!="")</formula>
    </cfRule>
  </conditionalFormatting>
  <conditionalFormatting sqref="N165">
    <cfRule type="colorScale" priority="15">
      <colorScale>
        <cfvo type="min"/>
        <cfvo type="percentile" val="50"/>
        <cfvo type="max"/>
        <color rgb="FF63BE7B"/>
        <color rgb="FFFFEB84"/>
        <color rgb="FFF8696B"/>
      </colorScale>
    </cfRule>
  </conditionalFormatting>
  <conditionalFormatting sqref="N165">
    <cfRule type="colorScale" priority="14">
      <colorScale>
        <cfvo type="min"/>
        <cfvo type="percentile" val="50"/>
        <cfvo type="max"/>
        <color rgb="FF63BE7B"/>
        <color rgb="FFFFEB84"/>
        <color rgb="FFF8696B"/>
      </colorScale>
    </cfRule>
  </conditionalFormatting>
  <conditionalFormatting sqref="L165">
    <cfRule type="expression" dxfId="10554" priority="13">
      <formula>AND(AND($P165&lt;TODAY(),$P165&lt;&gt;""),#REF!="")</formula>
    </cfRule>
  </conditionalFormatting>
  <conditionalFormatting sqref="L169:L170">
    <cfRule type="expression" dxfId="10553" priority="12">
      <formula>AND(AND($P169&lt;TODAY(),$P169&lt;&gt;""),$Q169="")</formula>
    </cfRule>
  </conditionalFormatting>
  <conditionalFormatting sqref="D171:E171">
    <cfRule type="expression" dxfId="10552" priority="11">
      <formula>OR(AND($C171&lt;TODAY(),ISBLANK($D171)),$D171&gt;$C171)</formula>
    </cfRule>
  </conditionalFormatting>
  <conditionalFormatting sqref="L174:L176">
    <cfRule type="expression" dxfId="10551" priority="10">
      <formula>AND(AND($P174&lt;TODAY(),$P174&lt;&gt;""),#REF!="")</formula>
    </cfRule>
  </conditionalFormatting>
  <conditionalFormatting sqref="L177:L180">
    <cfRule type="expression" dxfId="10550" priority="7">
      <formula>AND(AND($P177&lt;TODAY(),$P177&lt;&gt;""),#REF!="")</formula>
    </cfRule>
  </conditionalFormatting>
  <conditionalFormatting sqref="L181:L186">
    <cfRule type="expression" dxfId="10549" priority="6">
      <formula>AND(AND($P181&lt;TODAY(),$P181&lt;&gt;""),#REF!="")</formula>
    </cfRule>
  </conditionalFormatting>
  <conditionalFormatting sqref="D217:E217">
    <cfRule type="expression" dxfId="10548" priority="5">
      <formula>OR(AND($C217&lt;TODAY(),ISBLANK($D217)),$D217&gt;$C217)</formula>
    </cfRule>
  </conditionalFormatting>
  <conditionalFormatting sqref="D230">
    <cfRule type="expression" dxfId="10547" priority="4">
      <formula>OR(AND($C230&lt;TODAY(),ISBLANK($D230)),$D230&gt;$C230)</formula>
    </cfRule>
  </conditionalFormatting>
  <conditionalFormatting sqref="N257:N262">
    <cfRule type="colorScale" priority="2">
      <colorScale>
        <cfvo type="min"/>
        <cfvo type="percentile" val="50"/>
        <cfvo type="max"/>
        <color rgb="FF63BE7B"/>
        <color rgb="FFFFEB84"/>
        <color rgb="FFF8696B"/>
      </colorScale>
    </cfRule>
  </conditionalFormatting>
  <conditionalFormatting sqref="L257:L264">
    <cfRule type="expression" dxfId="10546" priority="3">
      <formula>AND(AND($P257&lt;TODAY(),$P257&lt;&gt;""),#REF!="")</formula>
    </cfRule>
  </conditionalFormatting>
  <conditionalFormatting sqref="N257:N262">
    <cfRule type="colorScale" priority="1">
      <colorScale>
        <cfvo type="min"/>
        <cfvo type="percentile" val="50"/>
        <cfvo type="max"/>
        <color rgb="FF63BE7B"/>
        <color rgb="FFFFEB84"/>
        <color rgb="FFF8696B"/>
      </colorScale>
    </cfRule>
  </conditionalFormatting>
  <pageMargins left="0.7" right="0.7" top="0.75" bottom="0.75" header="0.3" footer="0.3"/>
  <pageSetup paperSize="9" scale="12" orientation="landscape" verticalDpi="1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4F5C2-6DFE-434F-985B-1D20A3B51F1A}">
  <sheetPr codeName="Tabelle30">
    <tabColor theme="3" tint="0.79998168889431442"/>
  </sheetPr>
  <dimension ref="A1:V767"/>
  <sheetViews>
    <sheetView tabSelected="1" workbookViewId="0">
      <pane ySplit="1" topLeftCell="A2" activePane="bottomLeft" state="frozen"/>
      <selection pane="bottomLeft" activeCell="A2" sqref="A2"/>
    </sheetView>
  </sheetViews>
  <sheetFormatPr baseColWidth="10" defaultRowHeight="15" x14ac:dyDescent="0.25"/>
  <cols>
    <col min="1" max="1" width="6.28515625" style="191" customWidth="1"/>
    <col min="2" max="2" width="4.140625" style="189" customWidth="1"/>
    <col min="6" max="6" width="27.5703125" customWidth="1"/>
    <col min="10" max="10" width="11.85546875" style="48" bestFit="1" customWidth="1"/>
    <col min="11" max="11" width="13.140625" style="185" customWidth="1"/>
    <col min="12" max="12" width="7.140625" style="72" bestFit="1" customWidth="1"/>
    <col min="13" max="13" width="7.7109375" style="72" bestFit="1" customWidth="1"/>
    <col min="14" max="15" width="11.42578125" style="185"/>
    <col min="16" max="16" width="11.85546875" style="185" bestFit="1" customWidth="1"/>
    <col min="17" max="17" width="14.85546875" style="185" bestFit="1" customWidth="1"/>
    <col min="18" max="18" width="11.42578125" style="187"/>
    <col min="19" max="19" width="7.85546875" customWidth="1"/>
    <col min="20" max="20" width="23" style="187" bestFit="1" customWidth="1"/>
    <col min="21" max="21" width="10.85546875" style="194" customWidth="1"/>
    <col min="22" max="24" width="10.85546875" customWidth="1"/>
  </cols>
  <sheetData>
    <row r="1" spans="1:21" x14ac:dyDescent="0.25">
      <c r="A1" s="190" t="s">
        <v>47</v>
      </c>
      <c r="B1" s="188" t="s">
        <v>681</v>
      </c>
      <c r="C1" s="79" t="s">
        <v>706</v>
      </c>
      <c r="D1" s="80" t="s">
        <v>682</v>
      </c>
      <c r="E1" s="2" t="s">
        <v>7</v>
      </c>
      <c r="F1" s="79" t="s">
        <v>1</v>
      </c>
      <c r="H1" s="82" t="s">
        <v>540</v>
      </c>
      <c r="I1" s="79" t="s">
        <v>177</v>
      </c>
      <c r="J1" s="86" t="s">
        <v>5</v>
      </c>
      <c r="K1" s="184" t="s">
        <v>1778</v>
      </c>
      <c r="L1"/>
      <c r="M1" s="83" t="s">
        <v>9</v>
      </c>
      <c r="N1" s="184" t="s">
        <v>3</v>
      </c>
      <c r="O1" s="184" t="s">
        <v>1780</v>
      </c>
      <c r="P1" s="184" t="s">
        <v>2</v>
      </c>
      <c r="Q1" s="184" t="s">
        <v>1779</v>
      </c>
      <c r="R1" s="186" t="s">
        <v>46</v>
      </c>
      <c r="S1" s="79" t="s">
        <v>211</v>
      </c>
      <c r="T1" s="184" t="s">
        <v>215</v>
      </c>
    </row>
    <row r="2" spans="1:21" x14ac:dyDescent="0.25">
      <c r="A2" s="191">
        <v>2024</v>
      </c>
      <c r="B2" s="189">
        <v>1</v>
      </c>
      <c r="C2" s="71" t="s">
        <v>105</v>
      </c>
      <c r="D2" t="s">
        <v>705</v>
      </c>
      <c r="E2" s="1">
        <v>45293</v>
      </c>
      <c r="F2" t="s">
        <v>1775</v>
      </c>
      <c r="I2" t="b">
        <v>0</v>
      </c>
      <c r="J2" s="48">
        <v>19.899999999999999</v>
      </c>
      <c r="K2" s="185">
        <f t="shared" ref="K2:K65" si="0">$J2*$L2</f>
        <v>19.899999999999999</v>
      </c>
      <c r="L2" s="72">
        <v>1</v>
      </c>
      <c r="M2" s="72">
        <v>0.2</v>
      </c>
      <c r="N2" s="185">
        <f t="shared" ref="N2:N33" si="1">$P2*$M2</f>
        <v>3.3166666666666664</v>
      </c>
      <c r="O2" s="185">
        <f t="shared" ref="O2:O33" si="2">L2*$N2</f>
        <v>3.3166666666666664</v>
      </c>
      <c r="P2" s="185">
        <f t="shared" ref="P2:P33" si="3">$J2/(100%+$M2)</f>
        <v>16.583333333333332</v>
      </c>
      <c r="Q2" s="185">
        <f t="shared" ref="Q2:Q33" si="4">$L2*$P2</f>
        <v>16.583333333333332</v>
      </c>
      <c r="R2" s="192">
        <f t="shared" ref="R2:R33" si="5">voranmeldefrist_vierteljaehrlich(E2)</f>
        <v>45427</v>
      </c>
      <c r="S2">
        <v>20</v>
      </c>
      <c r="T2" s="183">
        <f t="shared" ref="T2:T33" si="6">IF(G2=TRUE,Q2/F2,Q2)</f>
        <v>16.583333333333332</v>
      </c>
      <c r="U2" s="195">
        <f t="shared" ref="U2:U33" si="7">$S2/100*$K2</f>
        <v>3.98</v>
      </c>
    </row>
    <row r="3" spans="1:21" x14ac:dyDescent="0.25">
      <c r="A3" s="191">
        <v>2024</v>
      </c>
      <c r="B3" s="189">
        <v>2</v>
      </c>
      <c r="C3" s="71" t="s">
        <v>708</v>
      </c>
      <c r="D3" t="s">
        <v>709</v>
      </c>
      <c r="E3" s="1">
        <v>45294</v>
      </c>
      <c r="F3" t="s">
        <v>1038</v>
      </c>
      <c r="J3" s="48">
        <v>696.34</v>
      </c>
      <c r="K3" s="185">
        <f t="shared" si="0"/>
        <v>696.34</v>
      </c>
      <c r="L3" s="72">
        <v>1</v>
      </c>
      <c r="M3" s="72">
        <v>0.2</v>
      </c>
      <c r="N3" s="185">
        <f t="shared" si="1"/>
        <v>116.05666666666669</v>
      </c>
      <c r="O3" s="185">
        <f t="shared" si="2"/>
        <v>116.05666666666669</v>
      </c>
      <c r="P3" s="185">
        <f t="shared" si="3"/>
        <v>580.28333333333342</v>
      </c>
      <c r="Q3" s="185">
        <f t="shared" si="4"/>
        <v>580.28333333333342</v>
      </c>
      <c r="R3" s="192">
        <f t="shared" si="5"/>
        <v>45427</v>
      </c>
      <c r="T3" s="183">
        <f t="shared" si="6"/>
        <v>580.28333333333342</v>
      </c>
      <c r="U3" s="195">
        <f t="shared" si="7"/>
        <v>0</v>
      </c>
    </row>
    <row r="4" spans="1:21" x14ac:dyDescent="0.25">
      <c r="A4" s="191">
        <v>2024</v>
      </c>
      <c r="B4" s="189">
        <v>3</v>
      </c>
      <c r="C4" s="71" t="s">
        <v>105</v>
      </c>
      <c r="D4" t="s">
        <v>705</v>
      </c>
      <c r="E4" s="1">
        <v>45294</v>
      </c>
      <c r="F4" t="s">
        <v>1404</v>
      </c>
      <c r="I4" t="b">
        <v>0</v>
      </c>
      <c r="J4" s="48">
        <v>10.4</v>
      </c>
      <c r="K4" s="185">
        <f t="shared" si="0"/>
        <v>10.4</v>
      </c>
      <c r="L4" s="72">
        <v>1</v>
      </c>
      <c r="M4" s="72">
        <v>0</v>
      </c>
      <c r="N4" s="185">
        <f t="shared" si="1"/>
        <v>0</v>
      </c>
      <c r="O4" s="185">
        <f t="shared" si="2"/>
        <v>0</v>
      </c>
      <c r="P4" s="185">
        <f t="shared" si="3"/>
        <v>10.4</v>
      </c>
      <c r="Q4" s="185">
        <f t="shared" si="4"/>
        <v>10.4</v>
      </c>
      <c r="R4" s="192">
        <f t="shared" si="5"/>
        <v>45427</v>
      </c>
      <c r="S4">
        <v>20</v>
      </c>
      <c r="T4" s="183">
        <f t="shared" si="6"/>
        <v>10.4</v>
      </c>
      <c r="U4" s="195">
        <f t="shared" si="7"/>
        <v>2.08</v>
      </c>
    </row>
    <row r="5" spans="1:21" x14ac:dyDescent="0.25">
      <c r="A5" s="191">
        <v>2024</v>
      </c>
      <c r="B5" s="189">
        <v>4</v>
      </c>
      <c r="C5" s="71" t="s">
        <v>105</v>
      </c>
      <c r="D5" t="s">
        <v>703</v>
      </c>
      <c r="E5" s="1">
        <v>45299</v>
      </c>
      <c r="F5" t="s">
        <v>34</v>
      </c>
      <c r="I5" t="b">
        <v>0</v>
      </c>
      <c r="J5" s="48">
        <v>12.9</v>
      </c>
      <c r="K5" s="185">
        <f t="shared" si="0"/>
        <v>12.9</v>
      </c>
      <c r="L5" s="72">
        <v>1</v>
      </c>
      <c r="M5" s="72">
        <v>0.2</v>
      </c>
      <c r="N5" s="185">
        <f t="shared" si="1"/>
        <v>2.15</v>
      </c>
      <c r="O5" s="185">
        <f t="shared" si="2"/>
        <v>2.15</v>
      </c>
      <c r="P5" s="185">
        <f t="shared" si="3"/>
        <v>10.75</v>
      </c>
      <c r="Q5" s="185">
        <f t="shared" si="4"/>
        <v>10.75</v>
      </c>
      <c r="R5" s="192">
        <f t="shared" si="5"/>
        <v>45427</v>
      </c>
      <c r="T5" s="183">
        <f t="shared" si="6"/>
        <v>10.75</v>
      </c>
      <c r="U5" s="195">
        <f t="shared" si="7"/>
        <v>0</v>
      </c>
    </row>
    <row r="6" spans="1:21" x14ac:dyDescent="0.25">
      <c r="A6" s="191">
        <v>2024</v>
      </c>
      <c r="B6" s="189">
        <v>5</v>
      </c>
      <c r="C6" s="71" t="s">
        <v>105</v>
      </c>
      <c r="D6" t="s">
        <v>705</v>
      </c>
      <c r="E6" s="1">
        <v>45300</v>
      </c>
      <c r="F6" t="s">
        <v>934</v>
      </c>
      <c r="I6" t="b">
        <v>0</v>
      </c>
      <c r="J6" s="48">
        <v>264.62</v>
      </c>
      <c r="K6" s="185">
        <f t="shared" si="0"/>
        <v>264.62</v>
      </c>
      <c r="L6" s="72">
        <v>1</v>
      </c>
      <c r="M6" s="72">
        <v>0</v>
      </c>
      <c r="N6" s="185">
        <f t="shared" si="1"/>
        <v>0</v>
      </c>
      <c r="O6" s="185">
        <f t="shared" si="2"/>
        <v>0</v>
      </c>
      <c r="P6" s="185">
        <f t="shared" si="3"/>
        <v>264.62</v>
      </c>
      <c r="Q6" s="185">
        <f t="shared" si="4"/>
        <v>264.62</v>
      </c>
      <c r="R6" s="192">
        <f t="shared" si="5"/>
        <v>45427</v>
      </c>
      <c r="T6" s="183">
        <f t="shared" si="6"/>
        <v>264.62</v>
      </c>
      <c r="U6" s="195">
        <f t="shared" si="7"/>
        <v>0</v>
      </c>
    </row>
    <row r="7" spans="1:21" x14ac:dyDescent="0.25">
      <c r="A7" s="191">
        <v>2024</v>
      </c>
      <c r="B7" s="189">
        <v>6</v>
      </c>
      <c r="C7" s="71" t="s">
        <v>105</v>
      </c>
      <c r="D7" t="s">
        <v>705</v>
      </c>
      <c r="E7" s="1">
        <v>45301</v>
      </c>
      <c r="F7" t="s">
        <v>1777</v>
      </c>
      <c r="I7" t="b">
        <v>0</v>
      </c>
      <c r="J7" s="48">
        <v>265.22000000000003</v>
      </c>
      <c r="K7" s="185">
        <f t="shared" si="0"/>
        <v>24.441153821877172</v>
      </c>
      <c r="L7" s="72">
        <f>14.6/158.43</f>
        <v>9.2154263712680679E-2</v>
      </c>
      <c r="M7" s="72">
        <v>0.2</v>
      </c>
      <c r="N7" s="185">
        <f t="shared" si="1"/>
        <v>44.203333333333347</v>
      </c>
      <c r="O7" s="185">
        <f t="shared" si="2"/>
        <v>4.0735256369795296</v>
      </c>
      <c r="P7" s="185">
        <f t="shared" si="3"/>
        <v>221.01666666666671</v>
      </c>
      <c r="Q7" s="185">
        <f t="shared" si="4"/>
        <v>20.367628184897644</v>
      </c>
      <c r="R7" s="192">
        <f t="shared" si="5"/>
        <v>45427</v>
      </c>
      <c r="T7" s="183">
        <f t="shared" si="6"/>
        <v>20.367628184897644</v>
      </c>
      <c r="U7" s="195">
        <f t="shared" si="7"/>
        <v>0</v>
      </c>
    </row>
    <row r="8" spans="1:21" x14ac:dyDescent="0.25">
      <c r="A8" s="191">
        <v>2024</v>
      </c>
      <c r="B8" s="189">
        <v>7</v>
      </c>
      <c r="C8" s="71" t="s">
        <v>105</v>
      </c>
      <c r="D8" t="s">
        <v>705</v>
      </c>
      <c r="E8" s="1">
        <v>45302</v>
      </c>
      <c r="F8" t="s">
        <v>1783</v>
      </c>
      <c r="I8" t="b">
        <v>0</v>
      </c>
      <c r="J8" s="48">
        <v>52.21</v>
      </c>
      <c r="K8" s="185">
        <f t="shared" si="0"/>
        <v>52.21</v>
      </c>
      <c r="L8" s="72">
        <v>1</v>
      </c>
      <c r="M8" s="72">
        <v>0</v>
      </c>
      <c r="N8" s="185">
        <f t="shared" si="1"/>
        <v>0</v>
      </c>
      <c r="O8" s="185">
        <f t="shared" si="2"/>
        <v>0</v>
      </c>
      <c r="P8" s="185">
        <f t="shared" si="3"/>
        <v>52.21</v>
      </c>
      <c r="Q8" s="185">
        <f t="shared" si="4"/>
        <v>52.21</v>
      </c>
      <c r="R8" s="192">
        <f t="shared" si="5"/>
        <v>45427</v>
      </c>
      <c r="S8">
        <v>20</v>
      </c>
      <c r="T8" s="183">
        <f t="shared" si="6"/>
        <v>52.21</v>
      </c>
      <c r="U8" s="195">
        <f t="shared" si="7"/>
        <v>10.442</v>
      </c>
    </row>
    <row r="9" spans="1:21" x14ac:dyDescent="0.25">
      <c r="A9" s="191">
        <v>2024</v>
      </c>
      <c r="B9" s="189">
        <v>8</v>
      </c>
      <c r="C9" s="71" t="s">
        <v>708</v>
      </c>
      <c r="D9" t="s">
        <v>709</v>
      </c>
      <c r="E9" s="1">
        <v>45303</v>
      </c>
      <c r="F9" t="s">
        <v>1788</v>
      </c>
      <c r="J9" s="48">
        <v>16806.16</v>
      </c>
      <c r="K9" s="185">
        <f t="shared" si="0"/>
        <v>16806.16</v>
      </c>
      <c r="L9" s="72">
        <v>1</v>
      </c>
      <c r="M9" s="72">
        <v>0.2</v>
      </c>
      <c r="N9" s="185">
        <f t="shared" si="1"/>
        <v>2801.0266666666666</v>
      </c>
      <c r="O9" s="185">
        <f t="shared" si="2"/>
        <v>2801.0266666666666</v>
      </c>
      <c r="P9" s="185">
        <f t="shared" si="3"/>
        <v>14005.133333333333</v>
      </c>
      <c r="Q9" s="185">
        <f t="shared" si="4"/>
        <v>14005.133333333333</v>
      </c>
      <c r="R9" s="192">
        <f t="shared" si="5"/>
        <v>45427</v>
      </c>
      <c r="T9" s="183">
        <f t="shared" si="6"/>
        <v>14005.133333333333</v>
      </c>
      <c r="U9" s="195">
        <f t="shared" si="7"/>
        <v>0</v>
      </c>
    </row>
    <row r="10" spans="1:21" x14ac:dyDescent="0.25">
      <c r="A10" s="191">
        <v>2024</v>
      </c>
      <c r="B10" s="189">
        <v>9</v>
      </c>
      <c r="C10" s="71" t="s">
        <v>105</v>
      </c>
      <c r="D10" t="s">
        <v>703</v>
      </c>
      <c r="E10" s="1">
        <v>45305</v>
      </c>
      <c r="F10" t="s">
        <v>1781</v>
      </c>
      <c r="I10" t="b">
        <v>0</v>
      </c>
      <c r="J10" s="48">
        <v>1.9</v>
      </c>
      <c r="K10" s="185">
        <f t="shared" si="0"/>
        <v>1.2729999999999999</v>
      </c>
      <c r="L10" s="72">
        <v>0.67</v>
      </c>
      <c r="M10" s="72">
        <v>0.2</v>
      </c>
      <c r="N10" s="185">
        <f t="shared" si="1"/>
        <v>0.31666666666666665</v>
      </c>
      <c r="O10" s="185">
        <f t="shared" si="2"/>
        <v>0.21216666666666667</v>
      </c>
      <c r="P10" s="185">
        <f t="shared" si="3"/>
        <v>1.5833333333333333</v>
      </c>
      <c r="Q10" s="185">
        <f t="shared" si="4"/>
        <v>1.0608333333333333</v>
      </c>
      <c r="R10" s="192">
        <f t="shared" si="5"/>
        <v>45427</v>
      </c>
      <c r="T10" s="183">
        <f t="shared" si="6"/>
        <v>1.0608333333333333</v>
      </c>
      <c r="U10" s="195">
        <f t="shared" si="7"/>
        <v>0</v>
      </c>
    </row>
    <row r="11" spans="1:21" x14ac:dyDescent="0.25">
      <c r="A11" s="191">
        <v>2024</v>
      </c>
      <c r="B11" s="189">
        <v>10</v>
      </c>
      <c r="C11" s="71" t="s">
        <v>105</v>
      </c>
      <c r="D11" t="s">
        <v>685</v>
      </c>
      <c r="E11" s="1">
        <v>45306</v>
      </c>
      <c r="F11" t="s">
        <v>1782</v>
      </c>
      <c r="I11" t="b">
        <v>0</v>
      </c>
      <c r="J11" s="48">
        <v>365</v>
      </c>
      <c r="K11" s="185">
        <f t="shared" si="0"/>
        <v>365</v>
      </c>
      <c r="L11" s="72">
        <v>1</v>
      </c>
      <c r="M11" s="72">
        <v>0</v>
      </c>
      <c r="N11" s="185">
        <f t="shared" si="1"/>
        <v>0</v>
      </c>
      <c r="O11" s="185">
        <f t="shared" si="2"/>
        <v>0</v>
      </c>
      <c r="P11" s="185">
        <f t="shared" si="3"/>
        <v>365</v>
      </c>
      <c r="Q11" s="185">
        <f t="shared" si="4"/>
        <v>365</v>
      </c>
      <c r="R11" s="192">
        <f t="shared" si="5"/>
        <v>45427</v>
      </c>
      <c r="T11" s="183">
        <f t="shared" si="6"/>
        <v>365</v>
      </c>
      <c r="U11" s="195">
        <f t="shared" si="7"/>
        <v>0</v>
      </c>
    </row>
    <row r="12" spans="1:21" x14ac:dyDescent="0.25">
      <c r="A12" s="191">
        <v>2024</v>
      </c>
      <c r="B12" s="189">
        <v>11</v>
      </c>
      <c r="C12" s="71" t="s">
        <v>105</v>
      </c>
      <c r="D12" t="s">
        <v>339</v>
      </c>
      <c r="E12" s="1">
        <v>45307</v>
      </c>
      <c r="F12" t="s">
        <v>979</v>
      </c>
      <c r="I12" t="b">
        <v>0</v>
      </c>
      <c r="J12" s="48">
        <v>276.39</v>
      </c>
      <c r="K12" s="185">
        <f t="shared" si="0"/>
        <v>276.39</v>
      </c>
      <c r="L12" s="72">
        <v>1</v>
      </c>
      <c r="M12" s="72">
        <v>0.2</v>
      </c>
      <c r="N12" s="185">
        <f t="shared" si="1"/>
        <v>46.064999999999998</v>
      </c>
      <c r="O12" s="185">
        <f t="shared" si="2"/>
        <v>46.064999999999998</v>
      </c>
      <c r="P12" s="185">
        <f t="shared" si="3"/>
        <v>230.32499999999999</v>
      </c>
      <c r="Q12" s="185">
        <f t="shared" si="4"/>
        <v>230.32499999999999</v>
      </c>
      <c r="R12" s="192">
        <f t="shared" si="5"/>
        <v>45427</v>
      </c>
      <c r="T12" s="183">
        <f t="shared" si="6"/>
        <v>230.32499999999999</v>
      </c>
      <c r="U12" s="195">
        <f t="shared" si="7"/>
        <v>0</v>
      </c>
    </row>
    <row r="13" spans="1:21" x14ac:dyDescent="0.25">
      <c r="A13" s="191">
        <v>2024</v>
      </c>
      <c r="B13" s="189">
        <v>12</v>
      </c>
      <c r="C13" s="71" t="s">
        <v>105</v>
      </c>
      <c r="D13" t="s">
        <v>339</v>
      </c>
      <c r="E13" s="1">
        <v>45307</v>
      </c>
      <c r="F13" t="s">
        <v>1746</v>
      </c>
      <c r="I13" t="b">
        <v>0</v>
      </c>
      <c r="J13" s="48">
        <v>138.08000000000001</v>
      </c>
      <c r="K13" s="185">
        <f t="shared" si="0"/>
        <v>138.08000000000001</v>
      </c>
      <c r="L13" s="72">
        <v>1</v>
      </c>
      <c r="M13" s="72">
        <v>0.2</v>
      </c>
      <c r="N13" s="185">
        <f t="shared" si="1"/>
        <v>23.013333333333335</v>
      </c>
      <c r="O13" s="185">
        <f t="shared" si="2"/>
        <v>23.013333333333335</v>
      </c>
      <c r="P13" s="185">
        <f t="shared" si="3"/>
        <v>115.06666666666668</v>
      </c>
      <c r="Q13" s="185">
        <f t="shared" si="4"/>
        <v>115.06666666666668</v>
      </c>
      <c r="R13" s="192">
        <f t="shared" si="5"/>
        <v>45427</v>
      </c>
      <c r="T13" s="183">
        <f t="shared" si="6"/>
        <v>115.06666666666668</v>
      </c>
      <c r="U13" s="195">
        <f t="shared" si="7"/>
        <v>0</v>
      </c>
    </row>
    <row r="14" spans="1:21" x14ac:dyDescent="0.25">
      <c r="A14" s="191">
        <v>2024</v>
      </c>
      <c r="B14" s="189">
        <v>13</v>
      </c>
      <c r="C14" s="71" t="s">
        <v>105</v>
      </c>
      <c r="D14" t="s">
        <v>705</v>
      </c>
      <c r="E14" s="1">
        <v>45310</v>
      </c>
      <c r="F14" t="s">
        <v>1032</v>
      </c>
      <c r="I14" t="b">
        <v>0</v>
      </c>
      <c r="J14" s="48">
        <v>11.7</v>
      </c>
      <c r="K14" s="185">
        <f t="shared" si="0"/>
        <v>11.7</v>
      </c>
      <c r="L14" s="72">
        <v>1</v>
      </c>
      <c r="M14" s="72">
        <v>0</v>
      </c>
      <c r="N14" s="185">
        <f t="shared" si="1"/>
        <v>0</v>
      </c>
      <c r="O14" s="185">
        <f t="shared" si="2"/>
        <v>0</v>
      </c>
      <c r="P14" s="185">
        <f t="shared" si="3"/>
        <v>11.7</v>
      </c>
      <c r="Q14" s="185">
        <f t="shared" si="4"/>
        <v>11.7</v>
      </c>
      <c r="R14" s="192">
        <f t="shared" si="5"/>
        <v>45427</v>
      </c>
      <c r="S14">
        <v>20</v>
      </c>
      <c r="T14" s="183">
        <f t="shared" si="6"/>
        <v>11.7</v>
      </c>
      <c r="U14" s="195">
        <f t="shared" si="7"/>
        <v>2.34</v>
      </c>
    </row>
    <row r="15" spans="1:21" x14ac:dyDescent="0.25">
      <c r="A15" s="191">
        <v>2024</v>
      </c>
      <c r="B15" s="189">
        <v>14</v>
      </c>
      <c r="C15" s="71" t="s">
        <v>105</v>
      </c>
      <c r="D15" t="s">
        <v>705</v>
      </c>
      <c r="E15" s="1">
        <v>45316</v>
      </c>
      <c r="F15" t="s">
        <v>1783</v>
      </c>
      <c r="I15" t="b">
        <v>0</v>
      </c>
      <c r="J15" s="48">
        <v>10.08</v>
      </c>
      <c r="K15" s="185">
        <f t="shared" si="0"/>
        <v>10.08</v>
      </c>
      <c r="L15" s="72">
        <v>1</v>
      </c>
      <c r="M15" s="72">
        <v>0</v>
      </c>
      <c r="N15" s="185">
        <f t="shared" si="1"/>
        <v>0</v>
      </c>
      <c r="O15" s="185">
        <f t="shared" si="2"/>
        <v>0</v>
      </c>
      <c r="P15" s="185">
        <f t="shared" si="3"/>
        <v>10.08</v>
      </c>
      <c r="Q15" s="185">
        <f t="shared" si="4"/>
        <v>10.08</v>
      </c>
      <c r="R15" s="192">
        <f t="shared" si="5"/>
        <v>45427</v>
      </c>
      <c r="S15">
        <v>20</v>
      </c>
      <c r="T15" s="183">
        <f t="shared" si="6"/>
        <v>10.08</v>
      </c>
      <c r="U15" s="195">
        <f t="shared" si="7"/>
        <v>2.016</v>
      </c>
    </row>
    <row r="16" spans="1:21" x14ac:dyDescent="0.25">
      <c r="A16" s="191">
        <v>2024</v>
      </c>
      <c r="B16" s="189">
        <v>15</v>
      </c>
      <c r="C16" s="71" t="s">
        <v>105</v>
      </c>
      <c r="D16" t="s">
        <v>689</v>
      </c>
      <c r="E16" s="1">
        <v>45317</v>
      </c>
      <c r="F16" t="s">
        <v>1784</v>
      </c>
      <c r="I16" t="b">
        <v>0</v>
      </c>
      <c r="J16" s="48">
        <v>6.5</v>
      </c>
      <c r="K16" s="185">
        <f t="shared" si="0"/>
        <v>6.5</v>
      </c>
      <c r="L16" s="72">
        <v>1</v>
      </c>
      <c r="M16" s="72">
        <v>0.1</v>
      </c>
      <c r="N16" s="185">
        <f t="shared" si="1"/>
        <v>0.59090909090909083</v>
      </c>
      <c r="O16" s="185">
        <f t="shared" si="2"/>
        <v>0.59090909090909083</v>
      </c>
      <c r="P16" s="185">
        <f t="shared" si="3"/>
        <v>5.9090909090909083</v>
      </c>
      <c r="Q16" s="185">
        <f t="shared" si="4"/>
        <v>5.9090909090909083</v>
      </c>
      <c r="R16" s="192">
        <f t="shared" si="5"/>
        <v>45427</v>
      </c>
      <c r="T16" s="183">
        <f t="shared" si="6"/>
        <v>5.9090909090909083</v>
      </c>
      <c r="U16" s="195">
        <f t="shared" si="7"/>
        <v>0</v>
      </c>
    </row>
    <row r="17" spans="1:21" x14ac:dyDescent="0.25">
      <c r="A17" s="191">
        <v>2024</v>
      </c>
      <c r="B17" s="189">
        <v>16</v>
      </c>
      <c r="C17" s="71" t="s">
        <v>105</v>
      </c>
      <c r="D17" t="s">
        <v>689</v>
      </c>
      <c r="E17" s="1">
        <v>45320</v>
      </c>
      <c r="F17" t="s">
        <v>1785</v>
      </c>
      <c r="I17" t="b">
        <v>0</v>
      </c>
      <c r="J17" s="48">
        <v>11.14</v>
      </c>
      <c r="K17" s="185">
        <f t="shared" si="0"/>
        <v>11.14</v>
      </c>
      <c r="L17" s="72">
        <v>1</v>
      </c>
      <c r="M17" s="72">
        <v>0</v>
      </c>
      <c r="N17" s="185">
        <f t="shared" si="1"/>
        <v>0</v>
      </c>
      <c r="O17" s="185">
        <f t="shared" si="2"/>
        <v>0</v>
      </c>
      <c r="P17" s="185">
        <f t="shared" si="3"/>
        <v>11.14</v>
      </c>
      <c r="Q17" s="185">
        <f t="shared" si="4"/>
        <v>11.14</v>
      </c>
      <c r="R17" s="192">
        <f t="shared" si="5"/>
        <v>45427</v>
      </c>
      <c r="T17" s="183">
        <f t="shared" si="6"/>
        <v>11.14</v>
      </c>
      <c r="U17" s="195">
        <f t="shared" si="7"/>
        <v>0</v>
      </c>
    </row>
    <row r="18" spans="1:21" x14ac:dyDescent="0.25">
      <c r="A18" s="191">
        <v>2024</v>
      </c>
      <c r="B18" s="189">
        <v>17</v>
      </c>
      <c r="C18" s="71" t="s">
        <v>105</v>
      </c>
      <c r="D18" t="s">
        <v>705</v>
      </c>
      <c r="E18" s="1">
        <v>45322</v>
      </c>
      <c r="F18" t="s">
        <v>1786</v>
      </c>
      <c r="I18" t="b">
        <v>0</v>
      </c>
      <c r="J18" s="48">
        <v>924.51</v>
      </c>
      <c r="K18" s="185">
        <f t="shared" si="0"/>
        <v>85.197538345010415</v>
      </c>
      <c r="L18" s="72">
        <f>14.6/158.43</f>
        <v>9.2154263712680679E-2</v>
      </c>
      <c r="M18" s="72">
        <v>0.2</v>
      </c>
      <c r="N18" s="185">
        <f t="shared" si="1"/>
        <v>154.08500000000004</v>
      </c>
      <c r="O18" s="185">
        <f t="shared" si="2"/>
        <v>14.199589724168405</v>
      </c>
      <c r="P18" s="185">
        <f t="shared" si="3"/>
        <v>770.42500000000007</v>
      </c>
      <c r="Q18" s="185">
        <f t="shared" si="4"/>
        <v>70.997948620842024</v>
      </c>
      <c r="R18" s="192">
        <f t="shared" si="5"/>
        <v>45427</v>
      </c>
      <c r="T18" s="183">
        <f t="shared" si="6"/>
        <v>70.997948620842024</v>
      </c>
      <c r="U18" s="195">
        <f t="shared" si="7"/>
        <v>0</v>
      </c>
    </row>
    <row r="19" spans="1:21" x14ac:dyDescent="0.25">
      <c r="A19" s="191">
        <v>2024</v>
      </c>
      <c r="B19" s="189">
        <v>18</v>
      </c>
      <c r="C19" s="71" t="s">
        <v>105</v>
      </c>
      <c r="D19" t="s">
        <v>703</v>
      </c>
      <c r="E19" s="1">
        <v>45323</v>
      </c>
      <c r="F19" t="s">
        <v>34</v>
      </c>
      <c r="I19" t="b">
        <v>0</v>
      </c>
      <c r="J19" s="48">
        <v>12.9</v>
      </c>
      <c r="K19" s="185">
        <f t="shared" si="0"/>
        <v>12.9</v>
      </c>
      <c r="L19" s="72">
        <v>1</v>
      </c>
      <c r="M19" s="72">
        <v>0.2</v>
      </c>
      <c r="N19" s="185">
        <f t="shared" si="1"/>
        <v>2.15</v>
      </c>
      <c r="O19" s="185">
        <f t="shared" si="2"/>
        <v>2.15</v>
      </c>
      <c r="P19" s="185">
        <f t="shared" si="3"/>
        <v>10.75</v>
      </c>
      <c r="Q19" s="185">
        <f t="shared" si="4"/>
        <v>10.75</v>
      </c>
      <c r="R19" s="192">
        <f t="shared" si="5"/>
        <v>45427</v>
      </c>
      <c r="T19" s="183">
        <f t="shared" si="6"/>
        <v>10.75</v>
      </c>
      <c r="U19" s="195">
        <f t="shared" si="7"/>
        <v>0</v>
      </c>
    </row>
    <row r="20" spans="1:21" x14ac:dyDescent="0.25">
      <c r="A20" s="191">
        <v>2024</v>
      </c>
      <c r="B20" s="189">
        <v>19</v>
      </c>
      <c r="C20" s="71" t="s">
        <v>105</v>
      </c>
      <c r="D20" t="s">
        <v>705</v>
      </c>
      <c r="E20" s="1">
        <v>45323</v>
      </c>
      <c r="F20" t="s">
        <v>1787</v>
      </c>
      <c r="I20" t="b">
        <v>0</v>
      </c>
      <c r="J20" s="48">
        <v>61</v>
      </c>
      <c r="K20" s="185">
        <f t="shared" si="0"/>
        <v>61</v>
      </c>
      <c r="L20" s="72">
        <v>1</v>
      </c>
      <c r="M20" s="72">
        <v>0</v>
      </c>
      <c r="N20" s="185">
        <f t="shared" si="1"/>
        <v>0</v>
      </c>
      <c r="O20" s="185">
        <f t="shared" si="2"/>
        <v>0</v>
      </c>
      <c r="P20" s="185">
        <f t="shared" si="3"/>
        <v>61</v>
      </c>
      <c r="Q20" s="185">
        <f t="shared" si="4"/>
        <v>61</v>
      </c>
      <c r="R20" s="192">
        <f t="shared" si="5"/>
        <v>45427</v>
      </c>
      <c r="T20" s="183">
        <f t="shared" si="6"/>
        <v>61</v>
      </c>
      <c r="U20" s="195">
        <f t="shared" si="7"/>
        <v>0</v>
      </c>
    </row>
    <row r="21" spans="1:21" x14ac:dyDescent="0.25">
      <c r="A21" s="191">
        <v>2024</v>
      </c>
      <c r="B21" s="189">
        <v>20</v>
      </c>
      <c r="C21" s="71" t="s">
        <v>708</v>
      </c>
      <c r="D21" t="s">
        <v>709</v>
      </c>
      <c r="E21" s="1">
        <v>45324</v>
      </c>
      <c r="F21" t="s">
        <v>1788</v>
      </c>
      <c r="J21" s="48">
        <v>13540.5</v>
      </c>
      <c r="K21" s="185">
        <f t="shared" si="0"/>
        <v>13540.5</v>
      </c>
      <c r="L21" s="72">
        <v>1</v>
      </c>
      <c r="M21" s="72">
        <v>0.2</v>
      </c>
      <c r="N21" s="185">
        <f t="shared" si="1"/>
        <v>2256.75</v>
      </c>
      <c r="O21" s="185">
        <f t="shared" si="2"/>
        <v>2256.75</v>
      </c>
      <c r="P21" s="185">
        <f t="shared" si="3"/>
        <v>11283.75</v>
      </c>
      <c r="Q21" s="185">
        <f t="shared" si="4"/>
        <v>11283.75</v>
      </c>
      <c r="R21" s="192">
        <f t="shared" si="5"/>
        <v>45427</v>
      </c>
      <c r="T21" s="183">
        <f t="shared" si="6"/>
        <v>11283.75</v>
      </c>
      <c r="U21" s="195">
        <f t="shared" si="7"/>
        <v>0</v>
      </c>
    </row>
    <row r="22" spans="1:21" x14ac:dyDescent="0.25">
      <c r="A22" s="191">
        <v>2024</v>
      </c>
      <c r="B22" s="189">
        <v>21</v>
      </c>
      <c r="C22" s="71" t="s">
        <v>105</v>
      </c>
      <c r="D22" t="s">
        <v>705</v>
      </c>
      <c r="E22" s="1">
        <v>45327</v>
      </c>
      <c r="F22" t="s">
        <v>1404</v>
      </c>
      <c r="I22" t="b">
        <v>0</v>
      </c>
      <c r="J22" s="48">
        <v>10.4</v>
      </c>
      <c r="K22" s="185">
        <f t="shared" si="0"/>
        <v>10.4</v>
      </c>
      <c r="L22" s="72">
        <v>1</v>
      </c>
      <c r="M22" s="72">
        <v>0</v>
      </c>
      <c r="N22" s="185">
        <f t="shared" si="1"/>
        <v>0</v>
      </c>
      <c r="O22" s="185">
        <f t="shared" si="2"/>
        <v>0</v>
      </c>
      <c r="P22" s="185">
        <f t="shared" si="3"/>
        <v>10.4</v>
      </c>
      <c r="Q22" s="185">
        <f t="shared" si="4"/>
        <v>10.4</v>
      </c>
      <c r="R22" s="192">
        <f t="shared" si="5"/>
        <v>45427</v>
      </c>
      <c r="S22">
        <v>20</v>
      </c>
      <c r="T22" s="183">
        <f t="shared" si="6"/>
        <v>10.4</v>
      </c>
      <c r="U22" s="195">
        <f t="shared" si="7"/>
        <v>2.08</v>
      </c>
    </row>
    <row r="23" spans="1:21" x14ac:dyDescent="0.25">
      <c r="A23" s="191">
        <v>2024</v>
      </c>
      <c r="B23" s="189">
        <v>22</v>
      </c>
      <c r="C23" s="71" t="s">
        <v>105</v>
      </c>
      <c r="D23" t="s">
        <v>694</v>
      </c>
      <c r="E23" s="1">
        <v>45293</v>
      </c>
      <c r="F23" t="s">
        <v>1790</v>
      </c>
      <c r="I23" t="b">
        <v>0</v>
      </c>
      <c r="J23" s="48">
        <v>1701.85</v>
      </c>
      <c r="K23" s="185">
        <f t="shared" si="0"/>
        <v>156.8327336994256</v>
      </c>
      <c r="L23" s="72">
        <f>14.6/158.43</f>
        <v>9.2154263712680679E-2</v>
      </c>
      <c r="M23" s="72">
        <v>0</v>
      </c>
      <c r="N23" s="185">
        <f t="shared" si="1"/>
        <v>0</v>
      </c>
      <c r="O23" s="185">
        <f t="shared" si="2"/>
        <v>0</v>
      </c>
      <c r="P23" s="185">
        <f t="shared" si="3"/>
        <v>1701.85</v>
      </c>
      <c r="Q23" s="185">
        <f t="shared" si="4"/>
        <v>156.8327336994256</v>
      </c>
      <c r="R23" s="192">
        <f t="shared" si="5"/>
        <v>45427</v>
      </c>
      <c r="T23" s="183">
        <f t="shared" si="6"/>
        <v>156.8327336994256</v>
      </c>
      <c r="U23" s="195">
        <f t="shared" si="7"/>
        <v>0</v>
      </c>
    </row>
    <row r="24" spans="1:21" x14ac:dyDescent="0.25">
      <c r="A24" s="191">
        <v>2024</v>
      </c>
      <c r="B24" s="189">
        <v>23</v>
      </c>
      <c r="C24" s="71" t="s">
        <v>105</v>
      </c>
      <c r="D24" t="s">
        <v>705</v>
      </c>
      <c r="E24" s="1">
        <v>45293</v>
      </c>
      <c r="F24" t="s">
        <v>1791</v>
      </c>
      <c r="I24" t="b">
        <v>1</v>
      </c>
      <c r="J24" s="48">
        <v>24028.080000000002</v>
      </c>
      <c r="K24" s="185">
        <f t="shared" si="0"/>
        <v>2214.2900208293886</v>
      </c>
      <c r="L24" s="72">
        <f>14.6/158.43</f>
        <v>9.2154263712680679E-2</v>
      </c>
      <c r="M24" s="72">
        <v>0.2</v>
      </c>
      <c r="N24" s="185">
        <f t="shared" si="1"/>
        <v>4004.6800000000003</v>
      </c>
      <c r="O24" s="185">
        <f t="shared" si="2"/>
        <v>369.0483368048981</v>
      </c>
      <c r="P24" s="185">
        <f t="shared" si="3"/>
        <v>20023.400000000001</v>
      </c>
      <c r="Q24" s="185">
        <f t="shared" si="4"/>
        <v>1845.2416840244905</v>
      </c>
      <c r="R24" s="192">
        <f t="shared" si="5"/>
        <v>45427</v>
      </c>
      <c r="T24" s="183">
        <f t="shared" si="6"/>
        <v>1845.2416840244905</v>
      </c>
      <c r="U24" s="195">
        <f t="shared" si="7"/>
        <v>0</v>
      </c>
    </row>
    <row r="25" spans="1:21" x14ac:dyDescent="0.25">
      <c r="A25" s="191">
        <v>2024</v>
      </c>
      <c r="B25" s="189">
        <v>24</v>
      </c>
      <c r="C25" s="71" t="s">
        <v>105</v>
      </c>
      <c r="D25" t="s">
        <v>705</v>
      </c>
      <c r="E25" s="1">
        <v>45302</v>
      </c>
      <c r="F25" t="s">
        <v>1791</v>
      </c>
      <c r="I25" t="b">
        <v>1</v>
      </c>
      <c r="J25" s="48">
        <v>3000</v>
      </c>
      <c r="K25" s="185">
        <f t="shared" si="0"/>
        <v>276.46279113804201</v>
      </c>
      <c r="L25" s="72">
        <f>14.6/158.43</f>
        <v>9.2154263712680679E-2</v>
      </c>
      <c r="M25" s="72">
        <v>0.2</v>
      </c>
      <c r="N25" s="185">
        <f t="shared" si="1"/>
        <v>500</v>
      </c>
      <c r="O25" s="185">
        <f t="shared" si="2"/>
        <v>46.077131856340337</v>
      </c>
      <c r="P25" s="185">
        <f t="shared" si="3"/>
        <v>2500</v>
      </c>
      <c r="Q25" s="185">
        <f t="shared" si="4"/>
        <v>230.38565928170169</v>
      </c>
      <c r="R25" s="192">
        <f t="shared" si="5"/>
        <v>45427</v>
      </c>
      <c r="T25" s="183">
        <f t="shared" si="6"/>
        <v>230.38565928170169</v>
      </c>
      <c r="U25" s="195">
        <f t="shared" si="7"/>
        <v>0</v>
      </c>
    </row>
    <row r="26" spans="1:21" x14ac:dyDescent="0.25">
      <c r="A26" s="191">
        <v>2024</v>
      </c>
      <c r="B26" s="189">
        <v>25</v>
      </c>
      <c r="C26" s="71" t="s">
        <v>105</v>
      </c>
      <c r="D26" t="s">
        <v>705</v>
      </c>
      <c r="E26" s="1">
        <v>45327</v>
      </c>
      <c r="F26" t="s">
        <v>1404</v>
      </c>
      <c r="I26" t="b">
        <v>0</v>
      </c>
      <c r="J26" s="48">
        <v>10.4</v>
      </c>
      <c r="K26" s="185">
        <f t="shared" si="0"/>
        <v>10.4</v>
      </c>
      <c r="L26" s="72">
        <v>1</v>
      </c>
      <c r="M26" s="72">
        <v>0</v>
      </c>
      <c r="N26" s="185">
        <f t="shared" si="1"/>
        <v>0</v>
      </c>
      <c r="O26" s="185">
        <f t="shared" si="2"/>
        <v>0</v>
      </c>
      <c r="P26" s="185">
        <f t="shared" si="3"/>
        <v>10.4</v>
      </c>
      <c r="Q26" s="185">
        <f t="shared" si="4"/>
        <v>10.4</v>
      </c>
      <c r="R26" s="192">
        <f t="shared" si="5"/>
        <v>45427</v>
      </c>
      <c r="S26">
        <v>20</v>
      </c>
      <c r="T26" s="183">
        <f t="shared" si="6"/>
        <v>10.4</v>
      </c>
      <c r="U26" s="195">
        <f t="shared" si="7"/>
        <v>2.08</v>
      </c>
    </row>
    <row r="27" spans="1:21" x14ac:dyDescent="0.25">
      <c r="A27" s="191">
        <v>2024</v>
      </c>
      <c r="B27" s="189">
        <v>26</v>
      </c>
      <c r="C27" s="71" t="s">
        <v>105</v>
      </c>
      <c r="D27" t="s">
        <v>705</v>
      </c>
      <c r="E27" s="1">
        <v>45334</v>
      </c>
      <c r="F27" t="s">
        <v>1110</v>
      </c>
      <c r="I27" t="b">
        <v>0</v>
      </c>
      <c r="J27" s="48">
        <v>284</v>
      </c>
      <c r="K27" s="185">
        <f t="shared" si="0"/>
        <v>26.171810894401311</v>
      </c>
      <c r="L27" s="72">
        <f>14.6/158.43</f>
        <v>9.2154263712680679E-2</v>
      </c>
      <c r="M27" s="72">
        <v>0.2</v>
      </c>
      <c r="N27" s="185">
        <f t="shared" si="1"/>
        <v>47.333333333333343</v>
      </c>
      <c r="O27" s="185">
        <f t="shared" si="2"/>
        <v>4.3619684824002194</v>
      </c>
      <c r="P27" s="185">
        <f t="shared" si="3"/>
        <v>236.66666666666669</v>
      </c>
      <c r="Q27" s="185">
        <f t="shared" si="4"/>
        <v>21.809842412001096</v>
      </c>
      <c r="R27" s="192">
        <f t="shared" si="5"/>
        <v>45427</v>
      </c>
      <c r="T27" s="183">
        <f t="shared" si="6"/>
        <v>21.809842412001096</v>
      </c>
      <c r="U27" s="195">
        <f t="shared" si="7"/>
        <v>0</v>
      </c>
    </row>
    <row r="28" spans="1:21" x14ac:dyDescent="0.25">
      <c r="A28" s="191">
        <v>2024</v>
      </c>
      <c r="B28" s="189">
        <v>27</v>
      </c>
      <c r="C28" s="71" t="s">
        <v>105</v>
      </c>
      <c r="D28" t="s">
        <v>695</v>
      </c>
      <c r="E28" s="1">
        <v>45334</v>
      </c>
      <c r="F28" t="s">
        <v>1792</v>
      </c>
      <c r="I28" t="b">
        <v>0</v>
      </c>
      <c r="J28" s="48">
        <v>119.52</v>
      </c>
      <c r="K28" s="185">
        <f t="shared" si="0"/>
        <v>119.52</v>
      </c>
      <c r="L28" s="72">
        <v>1</v>
      </c>
      <c r="M28" s="72">
        <v>0</v>
      </c>
      <c r="N28" s="185">
        <f t="shared" si="1"/>
        <v>0</v>
      </c>
      <c r="O28" s="185">
        <f t="shared" si="2"/>
        <v>0</v>
      </c>
      <c r="P28" s="185">
        <f t="shared" si="3"/>
        <v>119.52</v>
      </c>
      <c r="Q28" s="185">
        <f t="shared" si="4"/>
        <v>119.52</v>
      </c>
      <c r="R28" s="192">
        <f t="shared" si="5"/>
        <v>45427</v>
      </c>
      <c r="T28" s="183">
        <f t="shared" si="6"/>
        <v>119.52</v>
      </c>
      <c r="U28" s="195">
        <f t="shared" si="7"/>
        <v>0</v>
      </c>
    </row>
    <row r="29" spans="1:21" x14ac:dyDescent="0.25">
      <c r="A29" s="191">
        <v>2024</v>
      </c>
      <c r="B29" s="189">
        <v>28</v>
      </c>
      <c r="C29" s="71" t="s">
        <v>105</v>
      </c>
      <c r="D29" t="s">
        <v>705</v>
      </c>
      <c r="E29" s="1">
        <v>45335</v>
      </c>
      <c r="F29" t="s">
        <v>1783</v>
      </c>
      <c r="I29" t="b">
        <v>0</v>
      </c>
      <c r="J29" s="48">
        <v>52.21</v>
      </c>
      <c r="K29" s="185">
        <f t="shared" si="0"/>
        <v>52.21</v>
      </c>
      <c r="L29" s="72">
        <v>1</v>
      </c>
      <c r="M29" s="72">
        <v>0</v>
      </c>
      <c r="N29" s="185">
        <f t="shared" si="1"/>
        <v>0</v>
      </c>
      <c r="O29" s="185">
        <f t="shared" si="2"/>
        <v>0</v>
      </c>
      <c r="P29" s="185">
        <f t="shared" si="3"/>
        <v>52.21</v>
      </c>
      <c r="Q29" s="185">
        <f t="shared" si="4"/>
        <v>52.21</v>
      </c>
      <c r="R29" s="192">
        <f t="shared" si="5"/>
        <v>45427</v>
      </c>
      <c r="S29">
        <v>20</v>
      </c>
      <c r="T29" s="183">
        <f t="shared" si="6"/>
        <v>52.21</v>
      </c>
      <c r="U29" s="195">
        <f t="shared" si="7"/>
        <v>10.442</v>
      </c>
    </row>
    <row r="30" spans="1:21" x14ac:dyDescent="0.25">
      <c r="A30" s="191">
        <v>2024</v>
      </c>
      <c r="B30" s="189">
        <v>29</v>
      </c>
      <c r="C30" s="71" t="s">
        <v>105</v>
      </c>
      <c r="D30" t="s">
        <v>685</v>
      </c>
      <c r="E30" s="1">
        <v>45337</v>
      </c>
      <c r="F30" t="s">
        <v>1782</v>
      </c>
      <c r="I30" t="b">
        <v>0</v>
      </c>
      <c r="J30" s="48">
        <v>365</v>
      </c>
      <c r="K30" s="185">
        <f t="shared" si="0"/>
        <v>365</v>
      </c>
      <c r="L30" s="72">
        <v>1</v>
      </c>
      <c r="M30" s="72">
        <v>0</v>
      </c>
      <c r="N30" s="185">
        <f t="shared" si="1"/>
        <v>0</v>
      </c>
      <c r="O30" s="185">
        <f t="shared" si="2"/>
        <v>0</v>
      </c>
      <c r="P30" s="185">
        <f t="shared" si="3"/>
        <v>365</v>
      </c>
      <c r="Q30" s="185">
        <f t="shared" si="4"/>
        <v>365</v>
      </c>
      <c r="R30" s="192">
        <f t="shared" si="5"/>
        <v>45427</v>
      </c>
      <c r="T30" s="183">
        <f t="shared" si="6"/>
        <v>365</v>
      </c>
      <c r="U30" s="195">
        <f t="shared" si="7"/>
        <v>0</v>
      </c>
    </row>
    <row r="31" spans="1:21" x14ac:dyDescent="0.25">
      <c r="A31" s="191">
        <v>2024</v>
      </c>
      <c r="B31" s="189">
        <v>30</v>
      </c>
      <c r="C31" s="71" t="s">
        <v>105</v>
      </c>
      <c r="D31" t="s">
        <v>705</v>
      </c>
      <c r="E31" s="1">
        <v>45342</v>
      </c>
      <c r="F31" t="s">
        <v>1032</v>
      </c>
      <c r="I31" t="b">
        <v>0</v>
      </c>
      <c r="J31" s="48">
        <v>11.7</v>
      </c>
      <c r="K31" s="185">
        <f t="shared" si="0"/>
        <v>11.7</v>
      </c>
      <c r="L31" s="72">
        <v>1</v>
      </c>
      <c r="M31" s="72">
        <v>0</v>
      </c>
      <c r="N31" s="185">
        <f t="shared" si="1"/>
        <v>0</v>
      </c>
      <c r="O31" s="185">
        <f t="shared" si="2"/>
        <v>0</v>
      </c>
      <c r="P31" s="185">
        <f t="shared" si="3"/>
        <v>11.7</v>
      </c>
      <c r="Q31" s="185">
        <f t="shared" si="4"/>
        <v>11.7</v>
      </c>
      <c r="R31" s="192">
        <f t="shared" si="5"/>
        <v>45427</v>
      </c>
      <c r="S31">
        <v>20</v>
      </c>
      <c r="T31" s="183">
        <f t="shared" si="6"/>
        <v>11.7</v>
      </c>
      <c r="U31" s="195">
        <f t="shared" si="7"/>
        <v>2.34</v>
      </c>
    </row>
    <row r="32" spans="1:21" x14ac:dyDescent="0.25">
      <c r="A32" s="191">
        <v>2024</v>
      </c>
      <c r="B32" s="200">
        <v>31</v>
      </c>
      <c r="C32" s="71" t="s">
        <v>105</v>
      </c>
      <c r="D32" t="s">
        <v>705</v>
      </c>
      <c r="E32" s="1">
        <v>45345</v>
      </c>
      <c r="F32" t="s">
        <v>1783</v>
      </c>
      <c r="I32" t="b">
        <v>0</v>
      </c>
      <c r="J32" s="48">
        <v>1.76</v>
      </c>
      <c r="K32" s="185">
        <f t="shared" si="0"/>
        <v>1.76</v>
      </c>
      <c r="L32" s="72">
        <v>1</v>
      </c>
      <c r="M32" s="72">
        <v>0</v>
      </c>
      <c r="N32" s="185">
        <f t="shared" si="1"/>
        <v>0</v>
      </c>
      <c r="O32" s="185">
        <f t="shared" si="2"/>
        <v>0</v>
      </c>
      <c r="P32" s="185">
        <f t="shared" si="3"/>
        <v>1.76</v>
      </c>
      <c r="Q32" s="185">
        <f t="shared" si="4"/>
        <v>1.76</v>
      </c>
      <c r="R32" s="192">
        <f t="shared" si="5"/>
        <v>45427</v>
      </c>
      <c r="S32">
        <v>20</v>
      </c>
      <c r="T32" s="183">
        <f t="shared" si="6"/>
        <v>1.76</v>
      </c>
      <c r="U32" s="195">
        <f t="shared" si="7"/>
        <v>0.35200000000000004</v>
      </c>
    </row>
    <row r="33" spans="1:21" x14ac:dyDescent="0.25">
      <c r="A33" s="191">
        <v>2024</v>
      </c>
      <c r="B33" s="200">
        <v>32</v>
      </c>
      <c r="C33" s="71" t="s">
        <v>105</v>
      </c>
      <c r="D33" t="s">
        <v>705</v>
      </c>
      <c r="E33" s="1">
        <v>45348</v>
      </c>
      <c r="F33" t="s">
        <v>1793</v>
      </c>
      <c r="I33" t="b">
        <v>0</v>
      </c>
      <c r="J33" s="48">
        <v>55</v>
      </c>
      <c r="K33" s="185">
        <f t="shared" si="0"/>
        <v>5.0684845041974373</v>
      </c>
      <c r="L33" s="72">
        <f>14.6/158.43</f>
        <v>9.2154263712680679E-2</v>
      </c>
      <c r="M33" s="72">
        <v>0.1</v>
      </c>
      <c r="N33" s="185">
        <f t="shared" si="1"/>
        <v>5</v>
      </c>
      <c r="O33" s="185">
        <f t="shared" si="2"/>
        <v>0.46077131856340336</v>
      </c>
      <c r="P33" s="185">
        <f t="shared" si="3"/>
        <v>49.999999999999993</v>
      </c>
      <c r="Q33" s="185">
        <f t="shared" si="4"/>
        <v>4.607713185634033</v>
      </c>
      <c r="R33" s="192">
        <f t="shared" si="5"/>
        <v>45427</v>
      </c>
      <c r="T33" s="183">
        <f t="shared" si="6"/>
        <v>4.607713185634033</v>
      </c>
      <c r="U33" s="195">
        <f t="shared" si="7"/>
        <v>0</v>
      </c>
    </row>
    <row r="34" spans="1:21" x14ac:dyDescent="0.25">
      <c r="A34" s="191">
        <v>2024</v>
      </c>
      <c r="B34" s="200">
        <v>33</v>
      </c>
      <c r="C34" s="71" t="s">
        <v>105</v>
      </c>
      <c r="D34" t="s">
        <v>705</v>
      </c>
      <c r="E34" s="1">
        <v>45348</v>
      </c>
      <c r="F34" t="s">
        <v>1794</v>
      </c>
      <c r="I34" t="b">
        <v>0</v>
      </c>
      <c r="J34" s="48">
        <v>22.55</v>
      </c>
      <c r="K34" s="185">
        <f t="shared" si="0"/>
        <v>22.55</v>
      </c>
      <c r="L34" s="72">
        <v>1</v>
      </c>
      <c r="M34" s="72">
        <v>0.2</v>
      </c>
      <c r="N34" s="185">
        <f t="shared" ref="N34:N66" si="8">$P34*$M34</f>
        <v>3.7050000000000005</v>
      </c>
      <c r="O34" s="185">
        <f t="shared" ref="O34:O65" si="9">L34*$N34</f>
        <v>3.7050000000000005</v>
      </c>
      <c r="P34" s="185">
        <f>($J34-0.32)/(100%+$M34)</f>
        <v>18.525000000000002</v>
      </c>
      <c r="Q34" s="185">
        <f t="shared" ref="Q34:Q65" si="10">$L34*$P34</f>
        <v>18.525000000000002</v>
      </c>
      <c r="R34" s="192">
        <f t="shared" ref="R34:R53" si="11">voranmeldefrist_vierteljaehrlich(E34)</f>
        <v>45427</v>
      </c>
      <c r="T34" s="183">
        <f t="shared" ref="T34:T65" si="12">IF(G34=TRUE,Q34/F34,Q34)</f>
        <v>18.525000000000002</v>
      </c>
      <c r="U34" s="195">
        <f t="shared" ref="U34:U65" si="13">$S34/100*$K34</f>
        <v>0</v>
      </c>
    </row>
    <row r="35" spans="1:21" x14ac:dyDescent="0.25">
      <c r="A35" s="191">
        <v>2024</v>
      </c>
      <c r="B35" s="200">
        <v>34</v>
      </c>
      <c r="C35" s="71" t="s">
        <v>105</v>
      </c>
      <c r="D35" t="s">
        <v>695</v>
      </c>
      <c r="E35" s="1">
        <v>45351</v>
      </c>
      <c r="F35" t="s">
        <v>1795</v>
      </c>
      <c r="I35" t="b">
        <v>0</v>
      </c>
      <c r="J35" s="48">
        <v>5053.16</v>
      </c>
      <c r="K35" s="185">
        <f t="shared" si="0"/>
        <v>5053.16</v>
      </c>
      <c r="L35" s="72">
        <v>1</v>
      </c>
      <c r="M35" s="72">
        <v>0</v>
      </c>
      <c r="N35" s="185">
        <f t="shared" si="8"/>
        <v>0</v>
      </c>
      <c r="O35" s="185">
        <f t="shared" si="9"/>
        <v>0</v>
      </c>
      <c r="P35" s="185">
        <f t="shared" ref="P35:P46" si="14">$J35/(100%+$M35)</f>
        <v>5053.16</v>
      </c>
      <c r="Q35" s="185">
        <f t="shared" si="10"/>
        <v>5053.16</v>
      </c>
      <c r="R35" s="192">
        <f t="shared" si="11"/>
        <v>45427</v>
      </c>
      <c r="T35" s="183">
        <f t="shared" si="12"/>
        <v>5053.16</v>
      </c>
      <c r="U35" s="195">
        <f t="shared" si="13"/>
        <v>0</v>
      </c>
    </row>
    <row r="36" spans="1:21" x14ac:dyDescent="0.25">
      <c r="A36" s="191">
        <v>2024</v>
      </c>
      <c r="B36" s="200">
        <v>35</v>
      </c>
      <c r="C36" s="71" t="s">
        <v>105</v>
      </c>
      <c r="D36" t="s">
        <v>705</v>
      </c>
      <c r="E36" s="1">
        <v>45355</v>
      </c>
      <c r="F36" t="s">
        <v>1786</v>
      </c>
      <c r="I36" t="b">
        <v>0</v>
      </c>
      <c r="J36" s="48">
        <v>5129.1499999999996</v>
      </c>
      <c r="K36" s="185">
        <f t="shared" si="0"/>
        <v>472.67304172189608</v>
      </c>
      <c r="L36" s="72">
        <f>14.6/158.43</f>
        <v>9.2154263712680679E-2</v>
      </c>
      <c r="M36" s="72">
        <v>0</v>
      </c>
      <c r="N36" s="185">
        <f t="shared" si="8"/>
        <v>0</v>
      </c>
      <c r="O36" s="185">
        <f t="shared" si="9"/>
        <v>0</v>
      </c>
      <c r="P36" s="185">
        <f t="shared" si="14"/>
        <v>5129.1499999999996</v>
      </c>
      <c r="Q36" s="185">
        <f t="shared" si="10"/>
        <v>472.67304172189608</v>
      </c>
      <c r="R36" s="192">
        <f t="shared" si="11"/>
        <v>45427</v>
      </c>
      <c r="T36" s="183">
        <f t="shared" si="12"/>
        <v>472.67304172189608</v>
      </c>
      <c r="U36" s="195">
        <f t="shared" si="13"/>
        <v>0</v>
      </c>
    </row>
    <row r="37" spans="1:21" x14ac:dyDescent="0.25">
      <c r="A37" s="191">
        <v>2024</v>
      </c>
      <c r="B37" s="200">
        <v>36</v>
      </c>
      <c r="C37" s="71" t="s">
        <v>105</v>
      </c>
      <c r="D37" t="s">
        <v>705</v>
      </c>
      <c r="E37" s="1">
        <v>45355</v>
      </c>
      <c r="F37" t="s">
        <v>1404</v>
      </c>
      <c r="I37" t="b">
        <v>0</v>
      </c>
      <c r="J37" s="48">
        <v>10.4</v>
      </c>
      <c r="K37" s="185">
        <f t="shared" si="0"/>
        <v>10.4</v>
      </c>
      <c r="L37" s="72">
        <v>1</v>
      </c>
      <c r="M37" s="72">
        <v>0</v>
      </c>
      <c r="N37" s="185">
        <f t="shared" si="8"/>
        <v>0</v>
      </c>
      <c r="O37" s="185">
        <f t="shared" si="9"/>
        <v>0</v>
      </c>
      <c r="P37" s="185">
        <f t="shared" si="14"/>
        <v>10.4</v>
      </c>
      <c r="Q37" s="185">
        <f t="shared" si="10"/>
        <v>10.4</v>
      </c>
      <c r="R37" s="192">
        <f t="shared" si="11"/>
        <v>45427</v>
      </c>
      <c r="S37">
        <v>20</v>
      </c>
      <c r="T37" s="183">
        <f t="shared" si="12"/>
        <v>10.4</v>
      </c>
      <c r="U37" s="195">
        <f t="shared" si="13"/>
        <v>2.08</v>
      </c>
    </row>
    <row r="38" spans="1:21" x14ac:dyDescent="0.25">
      <c r="A38" s="191">
        <v>2024</v>
      </c>
      <c r="B38" s="200">
        <v>37</v>
      </c>
      <c r="C38" s="71" t="s">
        <v>105</v>
      </c>
      <c r="D38" t="s">
        <v>703</v>
      </c>
      <c r="E38" s="1">
        <v>45356</v>
      </c>
      <c r="F38" t="s">
        <v>34</v>
      </c>
      <c r="I38" t="b">
        <v>0</v>
      </c>
      <c r="J38" s="48">
        <v>12.9</v>
      </c>
      <c r="K38" s="185">
        <f t="shared" si="0"/>
        <v>12.9</v>
      </c>
      <c r="L38" s="72">
        <v>1</v>
      </c>
      <c r="M38" s="72">
        <v>0.2</v>
      </c>
      <c r="N38" s="185">
        <f t="shared" si="8"/>
        <v>2.15</v>
      </c>
      <c r="O38" s="185">
        <f t="shared" si="9"/>
        <v>2.15</v>
      </c>
      <c r="P38" s="185">
        <f t="shared" si="14"/>
        <v>10.75</v>
      </c>
      <c r="Q38" s="185">
        <f t="shared" si="10"/>
        <v>10.75</v>
      </c>
      <c r="R38" s="192">
        <f t="shared" si="11"/>
        <v>45427</v>
      </c>
      <c r="T38" s="183">
        <f t="shared" si="12"/>
        <v>10.75</v>
      </c>
      <c r="U38" s="195">
        <f t="shared" si="13"/>
        <v>0</v>
      </c>
    </row>
    <row r="39" spans="1:21" x14ac:dyDescent="0.25">
      <c r="A39" s="191">
        <v>2024</v>
      </c>
      <c r="B39" s="200">
        <v>38</v>
      </c>
      <c r="C39" s="71" t="s">
        <v>105</v>
      </c>
      <c r="D39" t="s">
        <v>705</v>
      </c>
      <c r="E39" s="1">
        <v>45357</v>
      </c>
      <c r="F39" t="s">
        <v>1110</v>
      </c>
      <c r="I39" t="b">
        <v>0</v>
      </c>
      <c r="J39" s="48">
        <v>24</v>
      </c>
      <c r="K39" s="185">
        <f t="shared" si="0"/>
        <v>2.2117023291043365</v>
      </c>
      <c r="L39" s="72">
        <f>14.6/158.43</f>
        <v>9.2154263712680679E-2</v>
      </c>
      <c r="M39" s="72">
        <v>0.2</v>
      </c>
      <c r="N39" s="185">
        <f t="shared" si="8"/>
        <v>4</v>
      </c>
      <c r="O39" s="185">
        <f t="shared" si="9"/>
        <v>0.36861705485072271</v>
      </c>
      <c r="P39" s="185">
        <f t="shared" si="14"/>
        <v>20</v>
      </c>
      <c r="Q39" s="185">
        <f t="shared" si="10"/>
        <v>1.8430852742536135</v>
      </c>
      <c r="R39" s="192">
        <f t="shared" si="11"/>
        <v>45427</v>
      </c>
      <c r="T39" s="183">
        <f t="shared" si="12"/>
        <v>1.8430852742536135</v>
      </c>
      <c r="U39" s="195">
        <f t="shared" si="13"/>
        <v>0</v>
      </c>
    </row>
    <row r="40" spans="1:21" x14ac:dyDescent="0.25">
      <c r="A40" s="191">
        <v>2024</v>
      </c>
      <c r="B40" s="200">
        <v>39</v>
      </c>
      <c r="C40" s="71" t="s">
        <v>105</v>
      </c>
      <c r="D40" t="s">
        <v>689</v>
      </c>
      <c r="E40" s="1">
        <v>45357</v>
      </c>
      <c r="F40" t="s">
        <v>1784</v>
      </c>
      <c r="I40" t="b">
        <v>0</v>
      </c>
      <c r="J40" s="48">
        <v>6.6</v>
      </c>
      <c r="K40" s="185">
        <f t="shared" si="0"/>
        <v>6.6</v>
      </c>
      <c r="L40" s="72">
        <v>1</v>
      </c>
      <c r="M40" s="72">
        <v>0.1</v>
      </c>
      <c r="N40" s="185">
        <f t="shared" si="8"/>
        <v>0.6</v>
      </c>
      <c r="O40" s="185">
        <f t="shared" si="9"/>
        <v>0.6</v>
      </c>
      <c r="P40" s="185">
        <f t="shared" si="14"/>
        <v>5.9999999999999991</v>
      </c>
      <c r="Q40" s="185">
        <f t="shared" si="10"/>
        <v>5.9999999999999991</v>
      </c>
      <c r="R40" s="192">
        <f t="shared" si="11"/>
        <v>45427</v>
      </c>
      <c r="T40" s="183">
        <f t="shared" si="12"/>
        <v>5.9999999999999991</v>
      </c>
      <c r="U40" s="195">
        <f t="shared" si="13"/>
        <v>0</v>
      </c>
    </row>
    <row r="41" spans="1:21" x14ac:dyDescent="0.25">
      <c r="A41" s="191">
        <v>2024</v>
      </c>
      <c r="B41" s="200">
        <v>40</v>
      </c>
      <c r="C41" s="71" t="s">
        <v>105</v>
      </c>
      <c r="D41" t="s">
        <v>705</v>
      </c>
      <c r="E41" s="1">
        <v>45357</v>
      </c>
      <c r="F41" t="s">
        <v>1110</v>
      </c>
      <c r="I41" t="b">
        <v>0</v>
      </c>
      <c r="J41" s="48">
        <v>257.74</v>
      </c>
      <c r="K41" s="185">
        <f t="shared" si="0"/>
        <v>23.751839929306318</v>
      </c>
      <c r="L41" s="72">
        <f>14.6/158.43</f>
        <v>9.2154263712680679E-2</v>
      </c>
      <c r="M41" s="72">
        <v>0.2</v>
      </c>
      <c r="N41" s="185">
        <f t="shared" si="8"/>
        <v>42.956666666666678</v>
      </c>
      <c r="O41" s="185">
        <f t="shared" si="9"/>
        <v>3.9586399882177208</v>
      </c>
      <c r="P41" s="185">
        <f t="shared" si="14"/>
        <v>214.78333333333336</v>
      </c>
      <c r="Q41" s="185">
        <f t="shared" si="10"/>
        <v>19.793199941088602</v>
      </c>
      <c r="R41" s="192">
        <f t="shared" si="11"/>
        <v>45427</v>
      </c>
      <c r="T41" s="183">
        <f t="shared" si="12"/>
        <v>19.793199941088602</v>
      </c>
      <c r="U41" s="195">
        <f t="shared" si="13"/>
        <v>0</v>
      </c>
    </row>
    <row r="42" spans="1:21" x14ac:dyDescent="0.25">
      <c r="A42" s="191">
        <v>2024</v>
      </c>
      <c r="B42" s="200">
        <v>41</v>
      </c>
      <c r="C42" s="71" t="s">
        <v>105</v>
      </c>
      <c r="D42" t="s">
        <v>705</v>
      </c>
      <c r="E42" s="1">
        <v>45364</v>
      </c>
      <c r="F42" t="s">
        <v>1783</v>
      </c>
      <c r="I42" t="b">
        <v>0</v>
      </c>
      <c r="J42" s="48">
        <v>1.76</v>
      </c>
      <c r="K42" s="185">
        <f t="shared" si="0"/>
        <v>1.76</v>
      </c>
      <c r="L42" s="72">
        <v>1</v>
      </c>
      <c r="M42" s="72">
        <v>0</v>
      </c>
      <c r="N42" s="185">
        <f t="shared" si="8"/>
        <v>0</v>
      </c>
      <c r="O42" s="185">
        <f t="shared" si="9"/>
        <v>0</v>
      </c>
      <c r="P42" s="185">
        <f t="shared" si="14"/>
        <v>1.76</v>
      </c>
      <c r="Q42" s="185">
        <f t="shared" si="10"/>
        <v>1.76</v>
      </c>
      <c r="R42" s="192">
        <f t="shared" si="11"/>
        <v>45427</v>
      </c>
      <c r="S42">
        <v>20</v>
      </c>
      <c r="T42" s="183">
        <f t="shared" si="12"/>
        <v>1.76</v>
      </c>
      <c r="U42" s="195">
        <f t="shared" si="13"/>
        <v>0.35200000000000004</v>
      </c>
    </row>
    <row r="43" spans="1:21" x14ac:dyDescent="0.25">
      <c r="A43" s="191">
        <v>2024</v>
      </c>
      <c r="B43" s="200">
        <v>42</v>
      </c>
      <c r="C43" s="71" t="s">
        <v>105</v>
      </c>
      <c r="D43" t="s">
        <v>685</v>
      </c>
      <c r="E43" s="1">
        <v>45366</v>
      </c>
      <c r="F43" t="s">
        <v>1782</v>
      </c>
      <c r="I43" t="b">
        <v>0</v>
      </c>
      <c r="J43" s="48">
        <v>365</v>
      </c>
      <c r="K43" s="185">
        <f t="shared" si="0"/>
        <v>365</v>
      </c>
      <c r="L43" s="72">
        <v>1</v>
      </c>
      <c r="M43" s="72">
        <v>0</v>
      </c>
      <c r="N43" s="185">
        <f t="shared" si="8"/>
        <v>0</v>
      </c>
      <c r="O43" s="185">
        <f t="shared" si="9"/>
        <v>0</v>
      </c>
      <c r="P43" s="185">
        <f t="shared" si="14"/>
        <v>365</v>
      </c>
      <c r="Q43" s="185">
        <f t="shared" si="10"/>
        <v>365</v>
      </c>
      <c r="R43" s="192">
        <f t="shared" si="11"/>
        <v>45427</v>
      </c>
      <c r="T43" s="183">
        <f t="shared" si="12"/>
        <v>365</v>
      </c>
      <c r="U43" s="195">
        <f t="shared" si="13"/>
        <v>0</v>
      </c>
    </row>
    <row r="44" spans="1:21" x14ac:dyDescent="0.25">
      <c r="A44" s="191">
        <v>2024</v>
      </c>
      <c r="B44" s="200">
        <v>43</v>
      </c>
      <c r="C44" s="71" t="s">
        <v>708</v>
      </c>
      <c r="D44" t="s">
        <v>709</v>
      </c>
      <c r="E44" s="1">
        <v>45366</v>
      </c>
      <c r="F44" t="s">
        <v>1788</v>
      </c>
      <c r="J44" s="48">
        <v>22081.73</v>
      </c>
      <c r="K44" s="185">
        <f t="shared" si="0"/>
        <v>22081.73</v>
      </c>
      <c r="L44" s="72">
        <v>1</v>
      </c>
      <c r="M44" s="72">
        <v>0.2</v>
      </c>
      <c r="N44" s="185">
        <f t="shared" si="8"/>
        <v>3680.2883333333334</v>
      </c>
      <c r="O44" s="185">
        <f t="shared" si="9"/>
        <v>3680.2883333333334</v>
      </c>
      <c r="P44" s="185">
        <f t="shared" si="14"/>
        <v>18401.441666666666</v>
      </c>
      <c r="Q44" s="185">
        <f t="shared" si="10"/>
        <v>18401.441666666666</v>
      </c>
      <c r="R44" s="192">
        <f t="shared" si="11"/>
        <v>45427</v>
      </c>
      <c r="T44" s="183">
        <f t="shared" si="12"/>
        <v>18401.441666666666</v>
      </c>
      <c r="U44" s="195">
        <f t="shared" si="13"/>
        <v>0</v>
      </c>
    </row>
    <row r="45" spans="1:21" x14ac:dyDescent="0.25">
      <c r="A45" s="191">
        <v>2024</v>
      </c>
      <c r="B45" s="200">
        <v>44</v>
      </c>
      <c r="C45" s="71" t="s">
        <v>105</v>
      </c>
      <c r="D45" t="s">
        <v>705</v>
      </c>
      <c r="E45" s="1">
        <v>45371</v>
      </c>
      <c r="F45" t="s">
        <v>1796</v>
      </c>
      <c r="I45" t="b">
        <v>0</v>
      </c>
      <c r="J45" s="48">
        <v>23.9</v>
      </c>
      <c r="K45" s="185">
        <f t="shared" si="0"/>
        <v>23.9</v>
      </c>
      <c r="L45" s="72">
        <v>1</v>
      </c>
      <c r="M45" s="72">
        <v>0.2</v>
      </c>
      <c r="N45" s="185">
        <f t="shared" si="8"/>
        <v>3.9833333333333338</v>
      </c>
      <c r="O45" s="185">
        <f t="shared" si="9"/>
        <v>3.9833333333333338</v>
      </c>
      <c r="P45" s="185">
        <f t="shared" si="14"/>
        <v>19.916666666666668</v>
      </c>
      <c r="Q45" s="185">
        <f t="shared" si="10"/>
        <v>19.916666666666668</v>
      </c>
      <c r="R45" s="192">
        <f t="shared" si="11"/>
        <v>45427</v>
      </c>
      <c r="T45" s="183">
        <f t="shared" si="12"/>
        <v>19.916666666666668</v>
      </c>
      <c r="U45" s="195">
        <f t="shared" si="13"/>
        <v>0</v>
      </c>
    </row>
    <row r="46" spans="1:21" x14ac:dyDescent="0.25">
      <c r="A46" s="191">
        <v>2024</v>
      </c>
      <c r="B46" s="200">
        <v>45</v>
      </c>
      <c r="C46" s="71" t="s">
        <v>105</v>
      </c>
      <c r="D46" t="s">
        <v>705</v>
      </c>
      <c r="E46" s="1">
        <v>45371</v>
      </c>
      <c r="F46" t="s">
        <v>1032</v>
      </c>
      <c r="I46" t="b">
        <v>0</v>
      </c>
      <c r="J46" s="48">
        <v>11.7</v>
      </c>
      <c r="K46" s="185">
        <f t="shared" si="0"/>
        <v>11.7</v>
      </c>
      <c r="L46" s="72">
        <v>1</v>
      </c>
      <c r="M46" s="72">
        <v>0</v>
      </c>
      <c r="N46" s="185">
        <f t="shared" si="8"/>
        <v>0</v>
      </c>
      <c r="O46" s="185">
        <f t="shared" si="9"/>
        <v>0</v>
      </c>
      <c r="P46" s="185">
        <f t="shared" si="14"/>
        <v>11.7</v>
      </c>
      <c r="Q46" s="185">
        <f t="shared" si="10"/>
        <v>11.7</v>
      </c>
      <c r="R46" s="192">
        <f t="shared" si="11"/>
        <v>45427</v>
      </c>
      <c r="S46">
        <v>20</v>
      </c>
      <c r="T46" s="183">
        <f t="shared" si="12"/>
        <v>11.7</v>
      </c>
      <c r="U46" s="195">
        <f t="shared" si="13"/>
        <v>2.34</v>
      </c>
    </row>
    <row r="47" spans="1:21" x14ac:dyDescent="0.25">
      <c r="A47" s="191">
        <v>2024</v>
      </c>
      <c r="B47" s="200">
        <v>46</v>
      </c>
      <c r="C47" s="71" t="s">
        <v>105</v>
      </c>
      <c r="D47" t="s">
        <v>705</v>
      </c>
      <c r="E47" s="1">
        <v>45376</v>
      </c>
      <c r="F47" t="s">
        <v>1794</v>
      </c>
      <c r="I47" t="b">
        <v>0</v>
      </c>
      <c r="J47" s="48">
        <v>22.55</v>
      </c>
      <c r="K47" s="185">
        <f t="shared" si="0"/>
        <v>22.55</v>
      </c>
      <c r="L47" s="72">
        <v>1</v>
      </c>
      <c r="M47" s="72">
        <v>0.2</v>
      </c>
      <c r="N47" s="185">
        <f t="shared" si="8"/>
        <v>3.7050000000000005</v>
      </c>
      <c r="O47" s="185">
        <f t="shared" si="9"/>
        <v>3.7050000000000005</v>
      </c>
      <c r="P47" s="185">
        <f>($J47-0.32)/(100%+$M47)</f>
        <v>18.525000000000002</v>
      </c>
      <c r="Q47" s="185">
        <f t="shared" si="10"/>
        <v>18.525000000000002</v>
      </c>
      <c r="R47" s="192">
        <f t="shared" si="11"/>
        <v>45427</v>
      </c>
      <c r="T47" s="183">
        <f t="shared" si="12"/>
        <v>18.525000000000002</v>
      </c>
      <c r="U47" s="195">
        <f t="shared" si="13"/>
        <v>0</v>
      </c>
    </row>
    <row r="48" spans="1:21" x14ac:dyDescent="0.25">
      <c r="A48" s="191">
        <v>2024</v>
      </c>
      <c r="B48" s="200">
        <v>47</v>
      </c>
      <c r="C48" s="71" t="s">
        <v>105</v>
      </c>
      <c r="D48" t="s">
        <v>705</v>
      </c>
      <c r="E48" s="1">
        <v>45380</v>
      </c>
      <c r="F48" t="s">
        <v>1797</v>
      </c>
      <c r="I48" t="b">
        <v>1</v>
      </c>
      <c r="J48" s="48">
        <v>31920</v>
      </c>
      <c r="K48" s="185">
        <f t="shared" si="0"/>
        <v>2941.5640977087673</v>
      </c>
      <c r="L48" s="72">
        <f>14.6/158.43</f>
        <v>9.2154263712680679E-2</v>
      </c>
      <c r="M48" s="72">
        <v>0.2</v>
      </c>
      <c r="N48" s="185">
        <f t="shared" si="8"/>
        <v>5320</v>
      </c>
      <c r="O48" s="185">
        <f t="shared" si="9"/>
        <v>490.26068295146121</v>
      </c>
      <c r="P48" s="185">
        <f t="shared" ref="P48:P62" si="15">$J48/(100%+$M48)</f>
        <v>26600</v>
      </c>
      <c r="Q48" s="185">
        <f t="shared" si="10"/>
        <v>2451.3034147573062</v>
      </c>
      <c r="R48" s="192">
        <f t="shared" si="11"/>
        <v>45427</v>
      </c>
      <c r="T48" s="183">
        <f t="shared" si="12"/>
        <v>2451.3034147573062</v>
      </c>
      <c r="U48" s="195">
        <f t="shared" si="13"/>
        <v>0</v>
      </c>
    </row>
    <row r="49" spans="1:21" x14ac:dyDescent="0.25">
      <c r="A49" s="191">
        <v>2024</v>
      </c>
      <c r="B49" s="200">
        <v>48</v>
      </c>
      <c r="C49" s="71" t="s">
        <v>105</v>
      </c>
      <c r="D49" t="s">
        <v>705</v>
      </c>
      <c r="E49" s="1">
        <v>45380</v>
      </c>
      <c r="F49" t="s">
        <v>1797</v>
      </c>
      <c r="I49" t="b">
        <v>1</v>
      </c>
      <c r="J49" s="48">
        <v>12000</v>
      </c>
      <c r="K49" s="185">
        <f t="shared" si="0"/>
        <v>1105.851164552168</v>
      </c>
      <c r="L49" s="72">
        <f>14.6/158.43</f>
        <v>9.2154263712680679E-2</v>
      </c>
      <c r="M49" s="72">
        <v>0.2</v>
      </c>
      <c r="N49" s="185">
        <f t="shared" si="8"/>
        <v>2000</v>
      </c>
      <c r="O49" s="185">
        <f t="shared" si="9"/>
        <v>184.30852742536135</v>
      </c>
      <c r="P49" s="185">
        <f t="shared" si="15"/>
        <v>10000</v>
      </c>
      <c r="Q49" s="185">
        <f t="shared" si="10"/>
        <v>921.54263712680677</v>
      </c>
      <c r="R49" s="192">
        <f t="shared" si="11"/>
        <v>45427</v>
      </c>
      <c r="T49" s="183">
        <f t="shared" si="12"/>
        <v>921.54263712680677</v>
      </c>
      <c r="U49" s="195">
        <f t="shared" si="13"/>
        <v>0</v>
      </c>
    </row>
    <row r="50" spans="1:21" x14ac:dyDescent="0.25">
      <c r="A50" s="191">
        <v>2024</v>
      </c>
      <c r="B50" s="189">
        <v>49</v>
      </c>
      <c r="C50" s="71" t="s">
        <v>105</v>
      </c>
      <c r="D50" t="s">
        <v>705</v>
      </c>
      <c r="E50" s="1">
        <v>45384</v>
      </c>
      <c r="F50" t="s">
        <v>1798</v>
      </c>
      <c r="H50" t="s">
        <v>958</v>
      </c>
      <c r="I50" t="b">
        <v>0</v>
      </c>
      <c r="J50" s="48">
        <v>394.8</v>
      </c>
      <c r="K50" s="185">
        <f t="shared" si="0"/>
        <v>394.8</v>
      </c>
      <c r="L50" s="72">
        <v>1</v>
      </c>
      <c r="M50" s="72">
        <v>0</v>
      </c>
      <c r="N50" s="185">
        <f t="shared" si="8"/>
        <v>0</v>
      </c>
      <c r="O50" s="185">
        <f t="shared" si="9"/>
        <v>0</v>
      </c>
      <c r="P50" s="185">
        <f t="shared" si="15"/>
        <v>394.8</v>
      </c>
      <c r="Q50" s="185">
        <f t="shared" si="10"/>
        <v>394.8</v>
      </c>
      <c r="R50" s="192">
        <f t="shared" si="11"/>
        <v>45519</v>
      </c>
      <c r="S50">
        <v>20</v>
      </c>
      <c r="T50" s="183">
        <f t="shared" si="12"/>
        <v>394.8</v>
      </c>
      <c r="U50" s="195">
        <f t="shared" si="13"/>
        <v>78.960000000000008</v>
      </c>
    </row>
    <row r="51" spans="1:21" x14ac:dyDescent="0.25">
      <c r="A51" s="191">
        <v>2024</v>
      </c>
      <c r="B51" s="189">
        <v>50</v>
      </c>
      <c r="C51" s="71" t="s">
        <v>105</v>
      </c>
      <c r="D51" t="s">
        <v>705</v>
      </c>
      <c r="E51" s="1">
        <v>45385</v>
      </c>
      <c r="F51" t="s">
        <v>1799</v>
      </c>
      <c r="I51" t="b">
        <v>0</v>
      </c>
      <c r="J51" s="48">
        <v>38.479999999999997</v>
      </c>
      <c r="K51" s="185">
        <f t="shared" si="0"/>
        <v>3.5460960676639521</v>
      </c>
      <c r="L51" s="72">
        <f>14.6/158.43</f>
        <v>9.2154263712680679E-2</v>
      </c>
      <c r="M51" s="72">
        <v>0</v>
      </c>
      <c r="N51" s="185">
        <f t="shared" si="8"/>
        <v>0</v>
      </c>
      <c r="O51" s="185">
        <f t="shared" si="9"/>
        <v>0</v>
      </c>
      <c r="P51" s="185">
        <f t="shared" si="15"/>
        <v>38.479999999999997</v>
      </c>
      <c r="Q51" s="185">
        <f t="shared" si="10"/>
        <v>3.5460960676639521</v>
      </c>
      <c r="R51" s="192">
        <f t="shared" si="11"/>
        <v>45519</v>
      </c>
      <c r="T51" s="183">
        <f t="shared" si="12"/>
        <v>3.5460960676639521</v>
      </c>
      <c r="U51" s="195">
        <f t="shared" si="13"/>
        <v>0</v>
      </c>
    </row>
    <row r="52" spans="1:21" x14ac:dyDescent="0.25">
      <c r="A52" s="191">
        <v>2024</v>
      </c>
      <c r="B52" s="189">
        <v>51</v>
      </c>
      <c r="C52" s="71" t="s">
        <v>105</v>
      </c>
      <c r="D52" t="s">
        <v>705</v>
      </c>
      <c r="E52" s="1">
        <v>45385</v>
      </c>
      <c r="F52" t="s">
        <v>1404</v>
      </c>
      <c r="I52" t="b">
        <v>0</v>
      </c>
      <c r="J52" s="48">
        <v>12.56</v>
      </c>
      <c r="K52" s="185">
        <f t="shared" si="0"/>
        <v>12.56</v>
      </c>
      <c r="L52" s="72">
        <v>1</v>
      </c>
      <c r="M52" s="72">
        <v>0</v>
      </c>
      <c r="N52" s="185">
        <f t="shared" si="8"/>
        <v>0</v>
      </c>
      <c r="O52" s="185">
        <f t="shared" si="9"/>
        <v>0</v>
      </c>
      <c r="P52" s="185">
        <f t="shared" si="15"/>
        <v>12.56</v>
      </c>
      <c r="Q52" s="185">
        <f t="shared" si="10"/>
        <v>12.56</v>
      </c>
      <c r="R52" s="192">
        <f t="shared" si="11"/>
        <v>45519</v>
      </c>
      <c r="S52">
        <v>20</v>
      </c>
      <c r="T52" s="183">
        <f t="shared" si="12"/>
        <v>12.56</v>
      </c>
      <c r="U52" s="195">
        <f t="shared" si="13"/>
        <v>2.5120000000000005</v>
      </c>
    </row>
    <row r="53" spans="1:21" x14ac:dyDescent="0.25">
      <c r="A53" s="191">
        <v>2024</v>
      </c>
      <c r="B53" s="189">
        <v>52</v>
      </c>
      <c r="C53" s="71" t="s">
        <v>105</v>
      </c>
      <c r="D53" t="s">
        <v>705</v>
      </c>
      <c r="E53" s="1">
        <v>45385</v>
      </c>
      <c r="F53" t="s">
        <v>1404</v>
      </c>
      <c r="I53" t="b">
        <v>0</v>
      </c>
      <c r="J53" s="48">
        <v>11.59</v>
      </c>
      <c r="K53" s="185">
        <f t="shared" si="0"/>
        <v>11.59</v>
      </c>
      <c r="L53" s="72">
        <v>1</v>
      </c>
      <c r="M53" s="72">
        <v>0</v>
      </c>
      <c r="N53" s="185">
        <f t="shared" si="8"/>
        <v>0</v>
      </c>
      <c r="O53" s="185">
        <f t="shared" si="9"/>
        <v>0</v>
      </c>
      <c r="P53" s="185">
        <f t="shared" si="15"/>
        <v>11.59</v>
      </c>
      <c r="Q53" s="185">
        <f t="shared" si="10"/>
        <v>11.59</v>
      </c>
      <c r="R53" s="192">
        <f t="shared" si="11"/>
        <v>45519</v>
      </c>
      <c r="S53">
        <v>20</v>
      </c>
      <c r="T53" s="183">
        <f t="shared" si="12"/>
        <v>11.59</v>
      </c>
      <c r="U53" s="195">
        <f t="shared" si="13"/>
        <v>2.3180000000000001</v>
      </c>
    </row>
    <row r="54" spans="1:21" x14ac:dyDescent="0.25">
      <c r="A54" s="191">
        <v>2024</v>
      </c>
      <c r="B54" s="189">
        <v>53</v>
      </c>
      <c r="C54" s="71" t="s">
        <v>105</v>
      </c>
      <c r="D54" t="s">
        <v>703</v>
      </c>
      <c r="E54" s="1">
        <v>45386</v>
      </c>
      <c r="F54" t="s">
        <v>34</v>
      </c>
      <c r="I54" t="b">
        <v>0</v>
      </c>
      <c r="J54" s="48">
        <v>12.9</v>
      </c>
      <c r="K54" s="185">
        <f t="shared" si="0"/>
        <v>12.9</v>
      </c>
      <c r="L54" s="72">
        <v>1</v>
      </c>
      <c r="M54" s="72">
        <v>0.2</v>
      </c>
      <c r="N54" s="185">
        <f t="shared" si="8"/>
        <v>2.15</v>
      </c>
      <c r="O54" s="185">
        <f t="shared" si="9"/>
        <v>2.15</v>
      </c>
      <c r="P54" s="185">
        <f t="shared" si="15"/>
        <v>10.75</v>
      </c>
      <c r="Q54" s="185">
        <f t="shared" si="10"/>
        <v>10.75</v>
      </c>
      <c r="T54" s="187">
        <f t="shared" si="12"/>
        <v>10.75</v>
      </c>
      <c r="U54" s="195">
        <f t="shared" si="13"/>
        <v>0</v>
      </c>
    </row>
    <row r="55" spans="1:21" x14ac:dyDescent="0.25">
      <c r="A55" s="191">
        <v>2024</v>
      </c>
      <c r="B55" s="189">
        <v>54</v>
      </c>
      <c r="C55" s="71" t="s">
        <v>105</v>
      </c>
      <c r="D55" t="s">
        <v>705</v>
      </c>
      <c r="E55" s="1">
        <v>45390</v>
      </c>
      <c r="F55" t="s">
        <v>1800</v>
      </c>
      <c r="I55" t="b">
        <v>0</v>
      </c>
      <c r="J55" s="48">
        <v>24</v>
      </c>
      <c r="K55" s="185">
        <f t="shared" si="0"/>
        <v>24</v>
      </c>
      <c r="L55" s="72">
        <v>1</v>
      </c>
      <c r="M55" s="72">
        <v>0.2</v>
      </c>
      <c r="N55" s="185">
        <f t="shared" si="8"/>
        <v>4</v>
      </c>
      <c r="O55" s="185">
        <f t="shared" si="9"/>
        <v>4</v>
      </c>
      <c r="P55" s="185">
        <f t="shared" si="15"/>
        <v>20</v>
      </c>
      <c r="Q55" s="185">
        <f t="shared" si="10"/>
        <v>20</v>
      </c>
      <c r="T55" s="187">
        <f t="shared" si="12"/>
        <v>20</v>
      </c>
      <c r="U55" s="195">
        <f t="shared" si="13"/>
        <v>0</v>
      </c>
    </row>
    <row r="56" spans="1:21" x14ac:dyDescent="0.25">
      <c r="A56" s="191">
        <v>2024</v>
      </c>
      <c r="B56" s="189">
        <v>55</v>
      </c>
      <c r="C56" s="71" t="s">
        <v>105</v>
      </c>
      <c r="D56" t="s">
        <v>703</v>
      </c>
      <c r="E56" s="1">
        <v>45397</v>
      </c>
      <c r="F56" t="s">
        <v>1781</v>
      </c>
      <c r="I56" t="b">
        <v>0</v>
      </c>
      <c r="J56" s="48">
        <v>1.9</v>
      </c>
      <c r="K56" s="185">
        <f t="shared" si="0"/>
        <v>1.2729999999999999</v>
      </c>
      <c r="L56" s="72">
        <v>0.67</v>
      </c>
      <c r="M56" s="72">
        <v>0.2</v>
      </c>
      <c r="N56" s="185">
        <f t="shared" si="8"/>
        <v>0.31666666666666665</v>
      </c>
      <c r="O56" s="185">
        <f t="shared" si="9"/>
        <v>0.21216666666666667</v>
      </c>
      <c r="P56" s="185">
        <f t="shared" si="15"/>
        <v>1.5833333333333333</v>
      </c>
      <c r="Q56" s="185">
        <f t="shared" si="10"/>
        <v>1.0608333333333333</v>
      </c>
      <c r="R56" s="192">
        <f>voranmeldefrist_vierteljaehrlich(E56)</f>
        <v>45519</v>
      </c>
      <c r="T56" s="183">
        <f t="shared" si="12"/>
        <v>1.0608333333333333</v>
      </c>
      <c r="U56" s="195">
        <f t="shared" si="13"/>
        <v>0</v>
      </c>
    </row>
    <row r="57" spans="1:21" x14ac:dyDescent="0.25">
      <c r="A57" s="191">
        <v>2024</v>
      </c>
      <c r="B57" s="189">
        <v>56</v>
      </c>
      <c r="C57" s="71" t="s">
        <v>105</v>
      </c>
      <c r="D57" t="s">
        <v>705</v>
      </c>
      <c r="E57" s="1">
        <v>45393</v>
      </c>
      <c r="F57" t="s">
        <v>1783</v>
      </c>
      <c r="I57" t="b">
        <v>0</v>
      </c>
      <c r="J57" s="48">
        <v>8.39</v>
      </c>
      <c r="K57" s="185">
        <f t="shared" si="0"/>
        <v>8.39</v>
      </c>
      <c r="L57" s="72">
        <v>1</v>
      </c>
      <c r="M57" s="72">
        <v>0</v>
      </c>
      <c r="N57" s="185">
        <f t="shared" si="8"/>
        <v>0</v>
      </c>
      <c r="O57" s="185">
        <f t="shared" si="9"/>
        <v>0</v>
      </c>
      <c r="P57" s="185">
        <f t="shared" si="15"/>
        <v>8.39</v>
      </c>
      <c r="Q57" s="185">
        <f t="shared" si="10"/>
        <v>8.39</v>
      </c>
      <c r="R57" s="192">
        <f>voranmeldefrist_vierteljaehrlich(E57)</f>
        <v>45519</v>
      </c>
      <c r="S57">
        <v>20</v>
      </c>
      <c r="T57" s="183">
        <f t="shared" si="12"/>
        <v>8.39</v>
      </c>
      <c r="U57" s="195">
        <f t="shared" si="13"/>
        <v>1.6780000000000002</v>
      </c>
    </row>
    <row r="58" spans="1:21" x14ac:dyDescent="0.25">
      <c r="A58" s="191">
        <v>2024</v>
      </c>
      <c r="B58" s="189">
        <v>57</v>
      </c>
      <c r="C58" s="71" t="s">
        <v>708</v>
      </c>
      <c r="D58" t="s">
        <v>709</v>
      </c>
      <c r="E58" s="1">
        <v>45393</v>
      </c>
      <c r="F58" t="s">
        <v>1788</v>
      </c>
      <c r="J58" s="48">
        <v>24409.919999999998</v>
      </c>
      <c r="K58" s="185">
        <f t="shared" si="0"/>
        <v>24409.919999999998</v>
      </c>
      <c r="L58" s="72">
        <v>1</v>
      </c>
      <c r="M58" s="72">
        <v>0.2</v>
      </c>
      <c r="N58" s="185">
        <f t="shared" si="8"/>
        <v>4068.3199999999997</v>
      </c>
      <c r="O58" s="185">
        <f t="shared" si="9"/>
        <v>4068.3199999999997</v>
      </c>
      <c r="P58" s="185">
        <f t="shared" si="15"/>
        <v>20341.599999999999</v>
      </c>
      <c r="Q58" s="185">
        <f t="shared" si="10"/>
        <v>20341.599999999999</v>
      </c>
      <c r="R58" s="192">
        <f>voranmeldefrist_vierteljaehrlich(E58)</f>
        <v>45519</v>
      </c>
      <c r="T58" s="183">
        <f t="shared" si="12"/>
        <v>20341.599999999999</v>
      </c>
      <c r="U58" s="195">
        <f t="shared" si="13"/>
        <v>0</v>
      </c>
    </row>
    <row r="59" spans="1:21" x14ac:dyDescent="0.25">
      <c r="A59" s="191">
        <v>2024</v>
      </c>
      <c r="B59" s="189">
        <v>58</v>
      </c>
      <c r="C59" s="71" t="s">
        <v>105</v>
      </c>
      <c r="D59" t="s">
        <v>692</v>
      </c>
      <c r="E59" s="1">
        <v>45394</v>
      </c>
      <c r="F59" t="s">
        <v>1801</v>
      </c>
      <c r="H59" t="s">
        <v>958</v>
      </c>
      <c r="I59" t="b">
        <v>0</v>
      </c>
      <c r="J59" s="48">
        <v>46.8</v>
      </c>
      <c r="K59" s="185">
        <f t="shared" si="0"/>
        <v>46.8</v>
      </c>
      <c r="L59" s="72">
        <v>1</v>
      </c>
      <c r="M59" s="72">
        <v>0.2</v>
      </c>
      <c r="N59" s="185">
        <f t="shared" si="8"/>
        <v>7.8000000000000007</v>
      </c>
      <c r="O59" s="185">
        <f t="shared" si="9"/>
        <v>7.8000000000000007</v>
      </c>
      <c r="P59" s="185">
        <f t="shared" si="15"/>
        <v>39</v>
      </c>
      <c r="Q59" s="185">
        <f t="shared" si="10"/>
        <v>39</v>
      </c>
      <c r="T59" s="187">
        <f t="shared" si="12"/>
        <v>39</v>
      </c>
      <c r="U59" s="195">
        <f t="shared" si="13"/>
        <v>0</v>
      </c>
    </row>
    <row r="60" spans="1:21" x14ac:dyDescent="0.25">
      <c r="A60" s="191">
        <v>2024</v>
      </c>
      <c r="B60" s="189">
        <v>59</v>
      </c>
      <c r="C60" s="71" t="s">
        <v>105</v>
      </c>
      <c r="D60" t="s">
        <v>685</v>
      </c>
      <c r="E60" s="1">
        <v>45397</v>
      </c>
      <c r="F60" t="s">
        <v>1782</v>
      </c>
      <c r="I60" t="b">
        <v>0</v>
      </c>
      <c r="J60" s="48">
        <v>365</v>
      </c>
      <c r="K60" s="185">
        <f t="shared" si="0"/>
        <v>365</v>
      </c>
      <c r="L60" s="72">
        <v>1</v>
      </c>
      <c r="M60" s="72">
        <v>0</v>
      </c>
      <c r="N60" s="185">
        <f t="shared" si="8"/>
        <v>0</v>
      </c>
      <c r="O60" s="185">
        <f t="shared" si="9"/>
        <v>0</v>
      </c>
      <c r="P60" s="185">
        <f t="shared" si="15"/>
        <v>365</v>
      </c>
      <c r="Q60" s="185">
        <f t="shared" si="10"/>
        <v>365</v>
      </c>
      <c r="R60" s="192">
        <f>voranmeldefrist_vierteljaehrlich(E60)</f>
        <v>45519</v>
      </c>
      <c r="T60" s="183">
        <f t="shared" si="12"/>
        <v>365</v>
      </c>
      <c r="U60" s="195">
        <f t="shared" si="13"/>
        <v>0</v>
      </c>
    </row>
    <row r="61" spans="1:21" x14ac:dyDescent="0.25">
      <c r="A61" s="191">
        <v>2024</v>
      </c>
      <c r="B61" s="189">
        <v>60</v>
      </c>
      <c r="C61" s="71" t="s">
        <v>105</v>
      </c>
      <c r="D61" t="s">
        <v>705</v>
      </c>
      <c r="E61" s="1">
        <v>45428</v>
      </c>
      <c r="F61" t="s">
        <v>1783</v>
      </c>
      <c r="I61" t="b">
        <v>0</v>
      </c>
      <c r="J61" s="48">
        <v>1.6</v>
      </c>
      <c r="K61" s="185">
        <f t="shared" si="0"/>
        <v>1.6</v>
      </c>
      <c r="L61" s="72">
        <v>1</v>
      </c>
      <c r="M61" s="72">
        <v>0</v>
      </c>
      <c r="N61" s="185">
        <f t="shared" si="8"/>
        <v>0</v>
      </c>
      <c r="O61" s="185">
        <f t="shared" si="9"/>
        <v>0</v>
      </c>
      <c r="P61" s="185">
        <f t="shared" si="15"/>
        <v>1.6</v>
      </c>
      <c r="Q61" s="185">
        <f t="shared" si="10"/>
        <v>1.6</v>
      </c>
      <c r="R61" s="192">
        <f>voranmeldefrist_vierteljaehrlich(E61)</f>
        <v>45519</v>
      </c>
      <c r="S61">
        <v>20</v>
      </c>
      <c r="T61" s="183">
        <f t="shared" si="12"/>
        <v>1.6</v>
      </c>
      <c r="U61" s="195">
        <f t="shared" si="13"/>
        <v>0.32000000000000006</v>
      </c>
    </row>
    <row r="62" spans="1:21" x14ac:dyDescent="0.25">
      <c r="A62" s="191">
        <v>2024</v>
      </c>
      <c r="B62" s="189">
        <v>61</v>
      </c>
      <c r="C62" s="71" t="s">
        <v>105</v>
      </c>
      <c r="D62" t="s">
        <v>705</v>
      </c>
      <c r="E62" s="1">
        <v>45404</v>
      </c>
      <c r="F62" t="s">
        <v>1032</v>
      </c>
      <c r="I62" t="b">
        <v>0</v>
      </c>
      <c r="J62" s="48">
        <v>11.7</v>
      </c>
      <c r="K62" s="185">
        <f t="shared" si="0"/>
        <v>11.7</v>
      </c>
      <c r="L62" s="72">
        <v>1</v>
      </c>
      <c r="M62" s="72">
        <v>0</v>
      </c>
      <c r="N62" s="185">
        <f t="shared" si="8"/>
        <v>0</v>
      </c>
      <c r="O62" s="185">
        <f t="shared" si="9"/>
        <v>0</v>
      </c>
      <c r="P62" s="185">
        <f t="shared" si="15"/>
        <v>11.7</v>
      </c>
      <c r="Q62" s="185">
        <f t="shared" si="10"/>
        <v>11.7</v>
      </c>
      <c r="R62" s="192">
        <f>voranmeldefrist_vierteljaehrlich(E62)</f>
        <v>45519</v>
      </c>
      <c r="S62">
        <v>20</v>
      </c>
      <c r="T62" s="183">
        <f t="shared" si="12"/>
        <v>11.7</v>
      </c>
      <c r="U62" s="195">
        <f t="shared" si="13"/>
        <v>2.34</v>
      </c>
    </row>
    <row r="63" spans="1:21" x14ac:dyDescent="0.25">
      <c r="A63" s="191">
        <v>2024</v>
      </c>
      <c r="B63" s="189">
        <v>62</v>
      </c>
      <c r="C63" s="71" t="s">
        <v>105</v>
      </c>
      <c r="D63" t="s">
        <v>705</v>
      </c>
      <c r="E63" s="1">
        <v>45407</v>
      </c>
      <c r="F63" t="s">
        <v>1794</v>
      </c>
      <c r="I63" t="b">
        <v>0</v>
      </c>
      <c r="J63" s="48">
        <v>22.93</v>
      </c>
      <c r="K63" s="185">
        <f t="shared" si="0"/>
        <v>22.93</v>
      </c>
      <c r="L63" s="72">
        <v>1</v>
      </c>
      <c r="M63" s="72">
        <v>0.2</v>
      </c>
      <c r="N63" s="185">
        <f t="shared" si="8"/>
        <v>3.768333333333334</v>
      </c>
      <c r="O63" s="185">
        <f t="shared" si="9"/>
        <v>3.768333333333334</v>
      </c>
      <c r="P63" s="185">
        <f>($J63-0.32)/(100%+$M63)</f>
        <v>18.841666666666669</v>
      </c>
      <c r="Q63" s="185">
        <f t="shared" si="10"/>
        <v>18.841666666666669</v>
      </c>
      <c r="R63" s="192">
        <f>voranmeldefrist_vierteljaehrlich(E63)</f>
        <v>45519</v>
      </c>
      <c r="T63" s="183">
        <f t="shared" si="12"/>
        <v>18.841666666666669</v>
      </c>
      <c r="U63" s="195">
        <f t="shared" si="13"/>
        <v>0</v>
      </c>
    </row>
    <row r="64" spans="1:21" x14ac:dyDescent="0.25">
      <c r="A64" s="191">
        <v>2024</v>
      </c>
      <c r="B64" s="189">
        <v>63</v>
      </c>
      <c r="C64" s="71" t="s">
        <v>105</v>
      </c>
      <c r="D64" t="s">
        <v>703</v>
      </c>
      <c r="E64" s="1">
        <v>45415</v>
      </c>
      <c r="F64" t="s">
        <v>34</v>
      </c>
      <c r="I64" t="b">
        <v>0</v>
      </c>
      <c r="J64" s="48">
        <v>13.91</v>
      </c>
      <c r="K64" s="185">
        <f t="shared" si="0"/>
        <v>13.91</v>
      </c>
      <c r="L64" s="72">
        <v>1</v>
      </c>
      <c r="M64" s="72">
        <v>0.2</v>
      </c>
      <c r="N64" s="185">
        <f t="shared" si="8"/>
        <v>2.3183333333333334</v>
      </c>
      <c r="O64" s="185">
        <f t="shared" si="9"/>
        <v>2.3183333333333334</v>
      </c>
      <c r="P64" s="185">
        <f>$J64/(100%+$M64)</f>
        <v>11.591666666666667</v>
      </c>
      <c r="Q64" s="185">
        <f t="shared" si="10"/>
        <v>11.591666666666667</v>
      </c>
      <c r="T64" s="187">
        <f t="shared" si="12"/>
        <v>11.591666666666667</v>
      </c>
      <c r="U64" s="195">
        <f t="shared" si="13"/>
        <v>0</v>
      </c>
    </row>
    <row r="65" spans="1:21" x14ac:dyDescent="0.25">
      <c r="A65" s="191">
        <v>2024</v>
      </c>
      <c r="B65" s="189">
        <v>64</v>
      </c>
      <c r="C65" s="71" t="s">
        <v>105</v>
      </c>
      <c r="D65" t="s">
        <v>705</v>
      </c>
      <c r="E65" s="1">
        <v>45415</v>
      </c>
      <c r="F65" t="s">
        <v>1404</v>
      </c>
      <c r="I65" t="b">
        <v>0</v>
      </c>
      <c r="J65" s="48">
        <v>32.82</v>
      </c>
      <c r="K65" s="185">
        <f t="shared" si="0"/>
        <v>32.82</v>
      </c>
      <c r="L65" s="72">
        <v>1</v>
      </c>
      <c r="M65" s="72">
        <v>0</v>
      </c>
      <c r="N65" s="185">
        <f t="shared" si="8"/>
        <v>0</v>
      </c>
      <c r="O65" s="185">
        <f t="shared" si="9"/>
        <v>0</v>
      </c>
      <c r="P65" s="185">
        <f>$J65/(100%+$M65)</f>
        <v>32.82</v>
      </c>
      <c r="Q65" s="185">
        <f t="shared" si="10"/>
        <v>32.82</v>
      </c>
      <c r="R65" s="192">
        <f t="shared" ref="R65:R75" si="16">voranmeldefrist_vierteljaehrlich(E65)</f>
        <v>45519</v>
      </c>
      <c r="S65">
        <v>20</v>
      </c>
      <c r="T65" s="183">
        <f t="shared" si="12"/>
        <v>32.82</v>
      </c>
      <c r="U65" s="195">
        <f t="shared" si="13"/>
        <v>6.5640000000000001</v>
      </c>
    </row>
    <row r="66" spans="1:21" x14ac:dyDescent="0.25">
      <c r="A66" s="191">
        <v>2024</v>
      </c>
      <c r="B66" s="189">
        <v>65</v>
      </c>
      <c r="C66" s="71" t="s">
        <v>105</v>
      </c>
      <c r="D66" t="s">
        <v>705</v>
      </c>
      <c r="E66" s="1">
        <v>45426</v>
      </c>
      <c r="F66" t="s">
        <v>1783</v>
      </c>
      <c r="I66" t="b">
        <v>0</v>
      </c>
      <c r="J66" s="48">
        <v>52.21</v>
      </c>
      <c r="K66" s="185">
        <f t="shared" ref="K66:K129" si="17">$J66*$L66</f>
        <v>52.21</v>
      </c>
      <c r="L66" s="72">
        <v>1</v>
      </c>
      <c r="M66" s="72">
        <v>0</v>
      </c>
      <c r="N66" s="185">
        <f t="shared" si="8"/>
        <v>0</v>
      </c>
      <c r="O66" s="185">
        <f t="shared" ref="O66:O97" si="18">L66*$N66</f>
        <v>0</v>
      </c>
      <c r="P66" s="185">
        <f>$J66/(100%+$M66)</f>
        <v>52.21</v>
      </c>
      <c r="Q66" s="185">
        <f t="shared" ref="Q66:Q97" si="19">$L66*$P66</f>
        <v>52.21</v>
      </c>
      <c r="R66" s="192">
        <f t="shared" si="16"/>
        <v>45519</v>
      </c>
      <c r="S66">
        <v>20</v>
      </c>
      <c r="T66" s="183">
        <f t="shared" ref="T66:T97" si="20">IF(G66=TRUE,Q66/F66,Q66)</f>
        <v>52.21</v>
      </c>
      <c r="U66" s="195">
        <f t="shared" ref="U66:U97" si="21">$S66/100*$K66</f>
        <v>10.442</v>
      </c>
    </row>
    <row r="67" spans="1:21" x14ac:dyDescent="0.25">
      <c r="A67" s="191">
        <v>2024</v>
      </c>
      <c r="B67" s="189">
        <v>66</v>
      </c>
      <c r="C67" s="71" t="s">
        <v>105</v>
      </c>
      <c r="D67" t="s">
        <v>705</v>
      </c>
      <c r="E67" s="1">
        <v>45427</v>
      </c>
      <c r="F67" t="s">
        <v>1786</v>
      </c>
      <c r="I67" t="b">
        <v>0</v>
      </c>
      <c r="J67" s="48">
        <f>746.61-332.01-86.5</f>
        <v>328.1</v>
      </c>
      <c r="K67" s="185">
        <f t="shared" si="17"/>
        <v>30.235813924130532</v>
      </c>
      <c r="L67" s="72">
        <f>14.6/158.43</f>
        <v>9.2154263712680679E-2</v>
      </c>
      <c r="M67" s="98">
        <f>N67/P67</f>
        <v>7.2208436724565755E-2</v>
      </c>
      <c r="N67" s="196">
        <f>10%*144.62+10%*62.24+10%*11.39</f>
        <v>21.824999999999999</v>
      </c>
      <c r="O67" s="185">
        <f t="shared" si="18"/>
        <v>2.0112668055292557</v>
      </c>
      <c r="P67">
        <f>26.75+53.5+144.62+3.75+62.24+11.39</f>
        <v>302.25</v>
      </c>
      <c r="Q67" s="185">
        <f t="shared" si="19"/>
        <v>27.853626207157735</v>
      </c>
      <c r="R67" s="192">
        <f t="shared" si="16"/>
        <v>45519</v>
      </c>
      <c r="T67" s="183">
        <f t="shared" si="20"/>
        <v>27.853626207157735</v>
      </c>
      <c r="U67" s="195">
        <f t="shared" si="21"/>
        <v>0</v>
      </c>
    </row>
    <row r="68" spans="1:21" x14ac:dyDescent="0.25">
      <c r="A68" s="191">
        <v>2024</v>
      </c>
      <c r="B68" s="189">
        <v>67</v>
      </c>
      <c r="C68" s="71" t="s">
        <v>105</v>
      </c>
      <c r="D68" t="s">
        <v>685</v>
      </c>
      <c r="E68" s="1">
        <v>45427</v>
      </c>
      <c r="F68" t="s">
        <v>1782</v>
      </c>
      <c r="I68" t="b">
        <v>0</v>
      </c>
      <c r="J68" s="48">
        <v>365</v>
      </c>
      <c r="K68" s="185">
        <f t="shared" si="17"/>
        <v>365</v>
      </c>
      <c r="L68" s="72">
        <v>1</v>
      </c>
      <c r="M68" s="72">
        <v>0</v>
      </c>
      <c r="N68" s="185">
        <f t="shared" ref="N68:N81" si="22">$P68*$M68</f>
        <v>0</v>
      </c>
      <c r="O68" s="185">
        <f t="shared" si="18"/>
        <v>0</v>
      </c>
      <c r="P68" s="185">
        <f t="shared" ref="P68:P73" si="23">$J68/(100%+$M68)</f>
        <v>365</v>
      </c>
      <c r="Q68" s="185">
        <f t="shared" si="19"/>
        <v>365</v>
      </c>
      <c r="R68" s="192">
        <f t="shared" si="16"/>
        <v>45519</v>
      </c>
      <c r="T68" s="183">
        <f t="shared" si="20"/>
        <v>365</v>
      </c>
      <c r="U68" s="195">
        <f t="shared" si="21"/>
        <v>0</v>
      </c>
    </row>
    <row r="69" spans="1:21" x14ac:dyDescent="0.25">
      <c r="A69" s="191">
        <v>2024</v>
      </c>
      <c r="B69" s="189">
        <v>68</v>
      </c>
      <c r="C69" s="71" t="s">
        <v>105</v>
      </c>
      <c r="D69" t="s">
        <v>703</v>
      </c>
      <c r="E69" s="1">
        <v>45428</v>
      </c>
      <c r="F69" t="s">
        <v>1781</v>
      </c>
      <c r="I69" t="b">
        <v>0</v>
      </c>
      <c r="J69" s="48">
        <v>1.9</v>
      </c>
      <c r="K69" s="185">
        <f t="shared" si="17"/>
        <v>1.2729999999999999</v>
      </c>
      <c r="L69" s="72">
        <v>0.67</v>
      </c>
      <c r="M69" s="72">
        <v>0.2</v>
      </c>
      <c r="N69" s="185">
        <f t="shared" si="22"/>
        <v>0.31666666666666665</v>
      </c>
      <c r="O69" s="185">
        <f t="shared" si="18"/>
        <v>0.21216666666666667</v>
      </c>
      <c r="P69" s="185">
        <f t="shared" si="23"/>
        <v>1.5833333333333333</v>
      </c>
      <c r="Q69" s="185">
        <f t="shared" si="19"/>
        <v>1.0608333333333333</v>
      </c>
      <c r="R69" s="192">
        <f t="shared" si="16"/>
        <v>45519</v>
      </c>
      <c r="T69" s="183">
        <f t="shared" si="20"/>
        <v>1.0608333333333333</v>
      </c>
      <c r="U69" s="195">
        <f t="shared" si="21"/>
        <v>0</v>
      </c>
    </row>
    <row r="70" spans="1:21" x14ac:dyDescent="0.25">
      <c r="A70" s="191">
        <v>2024</v>
      </c>
      <c r="B70" s="189">
        <v>69</v>
      </c>
      <c r="C70" s="71" t="s">
        <v>105</v>
      </c>
      <c r="D70" t="s">
        <v>705</v>
      </c>
      <c r="E70" s="1">
        <v>45428</v>
      </c>
      <c r="F70" t="s">
        <v>1783</v>
      </c>
      <c r="I70" t="b">
        <v>0</v>
      </c>
      <c r="J70" s="48">
        <v>52.21</v>
      </c>
      <c r="K70" s="185">
        <f t="shared" si="17"/>
        <v>52.21</v>
      </c>
      <c r="L70" s="72">
        <v>1</v>
      </c>
      <c r="M70" s="72">
        <v>0</v>
      </c>
      <c r="N70" s="185">
        <f t="shared" si="22"/>
        <v>0</v>
      </c>
      <c r="O70" s="185">
        <f t="shared" si="18"/>
        <v>0</v>
      </c>
      <c r="P70" s="185">
        <f t="shared" si="23"/>
        <v>52.21</v>
      </c>
      <c r="Q70" s="185">
        <f t="shared" si="19"/>
        <v>52.21</v>
      </c>
      <c r="R70" s="192">
        <f t="shared" si="16"/>
        <v>45519</v>
      </c>
      <c r="S70">
        <v>20</v>
      </c>
      <c r="T70" s="183">
        <f t="shared" si="20"/>
        <v>52.21</v>
      </c>
      <c r="U70" s="195">
        <f t="shared" si="21"/>
        <v>10.442</v>
      </c>
    </row>
    <row r="71" spans="1:21" x14ac:dyDescent="0.25">
      <c r="A71" s="191">
        <v>2024</v>
      </c>
      <c r="B71" s="189">
        <v>70</v>
      </c>
      <c r="C71" s="71" t="s">
        <v>708</v>
      </c>
      <c r="D71" t="s">
        <v>709</v>
      </c>
      <c r="E71" s="1">
        <v>45428</v>
      </c>
      <c r="F71" t="s">
        <v>1788</v>
      </c>
      <c r="J71" s="48">
        <v>17289.98</v>
      </c>
      <c r="K71" s="185">
        <f t="shared" si="17"/>
        <v>17289.98</v>
      </c>
      <c r="L71" s="72">
        <v>1</v>
      </c>
      <c r="M71" s="72">
        <v>0.2</v>
      </c>
      <c r="N71" s="185">
        <f t="shared" si="22"/>
        <v>2881.6633333333339</v>
      </c>
      <c r="O71" s="185">
        <f t="shared" si="18"/>
        <v>2881.6633333333339</v>
      </c>
      <c r="P71" s="185">
        <f t="shared" si="23"/>
        <v>14408.316666666668</v>
      </c>
      <c r="Q71" s="185">
        <f t="shared" si="19"/>
        <v>14408.316666666668</v>
      </c>
      <c r="R71" s="192">
        <f t="shared" si="16"/>
        <v>45519</v>
      </c>
      <c r="T71" s="183">
        <f t="shared" si="20"/>
        <v>14408.316666666668</v>
      </c>
      <c r="U71" s="195">
        <f t="shared" si="21"/>
        <v>0</v>
      </c>
    </row>
    <row r="72" spans="1:21" x14ac:dyDescent="0.25">
      <c r="A72" s="191">
        <v>2024</v>
      </c>
      <c r="B72" s="189">
        <v>71</v>
      </c>
      <c r="C72" s="71" t="s">
        <v>105</v>
      </c>
      <c r="D72" t="s">
        <v>705</v>
      </c>
      <c r="E72" s="1">
        <v>45433</v>
      </c>
      <c r="F72" t="s">
        <v>1032</v>
      </c>
      <c r="I72" t="b">
        <v>0</v>
      </c>
      <c r="J72" s="48">
        <v>11.7</v>
      </c>
      <c r="K72" s="185">
        <f t="shared" si="17"/>
        <v>11.7</v>
      </c>
      <c r="L72" s="72">
        <v>1</v>
      </c>
      <c r="M72" s="72">
        <v>0</v>
      </c>
      <c r="N72" s="185">
        <f t="shared" si="22"/>
        <v>0</v>
      </c>
      <c r="O72" s="185">
        <f t="shared" si="18"/>
        <v>0</v>
      </c>
      <c r="P72" s="185">
        <f t="shared" si="23"/>
        <v>11.7</v>
      </c>
      <c r="Q72" s="185">
        <f t="shared" si="19"/>
        <v>11.7</v>
      </c>
      <c r="R72" s="192">
        <f t="shared" si="16"/>
        <v>45519</v>
      </c>
      <c r="S72">
        <v>20</v>
      </c>
      <c r="T72" s="183">
        <f t="shared" si="20"/>
        <v>11.7</v>
      </c>
      <c r="U72" s="195">
        <f t="shared" si="21"/>
        <v>2.34</v>
      </c>
    </row>
    <row r="73" spans="1:21" x14ac:dyDescent="0.25">
      <c r="A73" s="191">
        <v>2024</v>
      </c>
      <c r="B73" s="189">
        <v>72</v>
      </c>
      <c r="C73" s="71" t="s">
        <v>105</v>
      </c>
      <c r="D73" t="s">
        <v>689</v>
      </c>
      <c r="E73" s="1">
        <v>45434</v>
      </c>
      <c r="F73" t="s">
        <v>962</v>
      </c>
      <c r="I73" t="b">
        <v>0</v>
      </c>
      <c r="J73" s="48">
        <v>365</v>
      </c>
      <c r="K73" s="185">
        <f t="shared" si="17"/>
        <v>365</v>
      </c>
      <c r="L73" s="72">
        <v>1</v>
      </c>
      <c r="M73" s="72">
        <v>0.1</v>
      </c>
      <c r="N73" s="185">
        <f t="shared" si="22"/>
        <v>33.18181818181818</v>
      </c>
      <c r="O73" s="185">
        <f t="shared" si="18"/>
        <v>33.18181818181818</v>
      </c>
      <c r="P73" s="185">
        <f t="shared" si="23"/>
        <v>331.81818181818181</v>
      </c>
      <c r="Q73" s="185">
        <f t="shared" si="19"/>
        <v>331.81818181818181</v>
      </c>
      <c r="R73" s="192">
        <f t="shared" si="16"/>
        <v>45519</v>
      </c>
      <c r="T73" s="183">
        <f t="shared" si="20"/>
        <v>331.81818181818181</v>
      </c>
      <c r="U73" s="195">
        <f t="shared" si="21"/>
        <v>0</v>
      </c>
    </row>
    <row r="74" spans="1:21" x14ac:dyDescent="0.25">
      <c r="A74" s="191">
        <v>2024</v>
      </c>
      <c r="B74" s="189">
        <v>73</v>
      </c>
      <c r="C74" s="71" t="s">
        <v>105</v>
      </c>
      <c r="D74" t="s">
        <v>705</v>
      </c>
      <c r="E74" s="1">
        <v>45439</v>
      </c>
      <c r="F74" t="s">
        <v>1794</v>
      </c>
      <c r="I74" t="b">
        <v>0</v>
      </c>
      <c r="J74" s="48">
        <v>22.52</v>
      </c>
      <c r="K74" s="185">
        <f t="shared" si="17"/>
        <v>22.52</v>
      </c>
      <c r="L74" s="72">
        <v>1</v>
      </c>
      <c r="M74" s="72">
        <v>0.2</v>
      </c>
      <c r="N74" s="185">
        <f t="shared" si="22"/>
        <v>3.7</v>
      </c>
      <c r="O74" s="185">
        <f t="shared" si="18"/>
        <v>3.7</v>
      </c>
      <c r="P74" s="185">
        <f>($J74-0.32)/(100%+$M74)</f>
        <v>18.5</v>
      </c>
      <c r="Q74" s="185">
        <f t="shared" si="19"/>
        <v>18.5</v>
      </c>
      <c r="R74" s="192">
        <f t="shared" si="16"/>
        <v>45519</v>
      </c>
      <c r="T74" s="183">
        <f t="shared" si="20"/>
        <v>18.5</v>
      </c>
      <c r="U74" s="195">
        <f t="shared" si="21"/>
        <v>0</v>
      </c>
    </row>
    <row r="75" spans="1:21" x14ac:dyDescent="0.25">
      <c r="A75" s="191">
        <v>2024</v>
      </c>
      <c r="B75" s="189">
        <v>74</v>
      </c>
      <c r="C75" s="71" t="s">
        <v>105</v>
      </c>
      <c r="D75" t="s">
        <v>695</v>
      </c>
      <c r="E75" s="1">
        <v>45443</v>
      </c>
      <c r="F75" t="s">
        <v>1795</v>
      </c>
      <c r="I75" t="b">
        <v>0</v>
      </c>
      <c r="J75" s="48">
        <v>4986.2</v>
      </c>
      <c r="K75" s="185">
        <f t="shared" si="17"/>
        <v>4986.2</v>
      </c>
      <c r="L75" s="72">
        <v>1</v>
      </c>
      <c r="M75" s="72">
        <v>0</v>
      </c>
      <c r="N75" s="185">
        <f t="shared" si="22"/>
        <v>0</v>
      </c>
      <c r="O75" s="185">
        <f t="shared" si="18"/>
        <v>0</v>
      </c>
      <c r="P75" s="185">
        <f t="shared" ref="P75:P81" si="24">$J75/(100%+$M75)</f>
        <v>4986.2</v>
      </c>
      <c r="Q75" s="185">
        <f t="shared" si="19"/>
        <v>4986.2</v>
      </c>
      <c r="R75" s="192">
        <f t="shared" si="16"/>
        <v>45519</v>
      </c>
      <c r="T75" s="183">
        <f t="shared" si="20"/>
        <v>4986.2</v>
      </c>
      <c r="U75" s="195">
        <f t="shared" si="21"/>
        <v>0</v>
      </c>
    </row>
    <row r="76" spans="1:21" x14ac:dyDescent="0.25">
      <c r="A76" s="191">
        <v>2024</v>
      </c>
      <c r="B76" s="189">
        <v>75</v>
      </c>
      <c r="C76" s="71" t="s">
        <v>105</v>
      </c>
      <c r="D76" t="s">
        <v>703</v>
      </c>
      <c r="E76" s="1">
        <v>45446</v>
      </c>
      <c r="F76" t="s">
        <v>34</v>
      </c>
      <c r="I76" t="b">
        <v>0</v>
      </c>
      <c r="J76" s="48">
        <v>40.909999999999997</v>
      </c>
      <c r="K76" s="185">
        <f t="shared" si="17"/>
        <v>40.909999999999997</v>
      </c>
      <c r="L76" s="72">
        <v>1</v>
      </c>
      <c r="M76" s="72">
        <v>0.2</v>
      </c>
      <c r="N76" s="185">
        <f t="shared" si="22"/>
        <v>6.8183333333333342</v>
      </c>
      <c r="O76" s="185">
        <f t="shared" si="18"/>
        <v>6.8183333333333342</v>
      </c>
      <c r="P76" s="185">
        <f t="shared" si="24"/>
        <v>34.091666666666669</v>
      </c>
      <c r="Q76" s="185">
        <f t="shared" si="19"/>
        <v>34.091666666666669</v>
      </c>
      <c r="T76" s="187">
        <f t="shared" si="20"/>
        <v>34.091666666666669</v>
      </c>
      <c r="U76" s="195">
        <f t="shared" si="21"/>
        <v>0</v>
      </c>
    </row>
    <row r="77" spans="1:21" x14ac:dyDescent="0.25">
      <c r="A77" s="191">
        <v>2024</v>
      </c>
      <c r="B77" s="189">
        <v>76</v>
      </c>
      <c r="C77" s="71" t="s">
        <v>105</v>
      </c>
      <c r="D77" t="s">
        <v>705</v>
      </c>
      <c r="E77" s="1">
        <v>45446</v>
      </c>
      <c r="F77" t="s">
        <v>1404</v>
      </c>
      <c r="I77" t="b">
        <v>0</v>
      </c>
      <c r="J77" s="48">
        <v>31.67</v>
      </c>
      <c r="K77" s="185">
        <f t="shared" si="17"/>
        <v>31.67</v>
      </c>
      <c r="L77" s="72">
        <v>1</v>
      </c>
      <c r="M77" s="72">
        <v>0</v>
      </c>
      <c r="N77" s="185">
        <f t="shared" si="22"/>
        <v>0</v>
      </c>
      <c r="O77" s="185">
        <f t="shared" si="18"/>
        <v>0</v>
      </c>
      <c r="P77" s="185">
        <f t="shared" si="24"/>
        <v>31.67</v>
      </c>
      <c r="Q77" s="185">
        <f t="shared" si="19"/>
        <v>31.67</v>
      </c>
      <c r="R77" s="192">
        <f t="shared" ref="R77:R108" si="25">voranmeldefrist_vierteljaehrlich(E77)</f>
        <v>45519</v>
      </c>
      <c r="S77">
        <v>20</v>
      </c>
      <c r="T77" s="183">
        <f t="shared" si="20"/>
        <v>31.67</v>
      </c>
      <c r="U77" s="195">
        <f t="shared" si="21"/>
        <v>6.3340000000000005</v>
      </c>
    </row>
    <row r="78" spans="1:21" x14ac:dyDescent="0.25">
      <c r="A78" s="191">
        <v>2024</v>
      </c>
      <c r="B78" s="189">
        <v>77</v>
      </c>
      <c r="C78" s="71" t="s">
        <v>105</v>
      </c>
      <c r="D78" t="s">
        <v>705</v>
      </c>
      <c r="E78" s="1">
        <v>45446</v>
      </c>
      <c r="F78" t="s">
        <v>1404</v>
      </c>
      <c r="I78" t="b">
        <v>0</v>
      </c>
      <c r="J78" s="48">
        <v>13.8</v>
      </c>
      <c r="K78" s="185">
        <f t="shared" si="17"/>
        <v>13.8</v>
      </c>
      <c r="L78" s="72">
        <v>1</v>
      </c>
      <c r="M78" s="72">
        <v>0</v>
      </c>
      <c r="N78" s="185">
        <f t="shared" si="22"/>
        <v>0</v>
      </c>
      <c r="O78" s="185">
        <f t="shared" si="18"/>
        <v>0</v>
      </c>
      <c r="P78" s="185">
        <f t="shared" si="24"/>
        <v>13.8</v>
      </c>
      <c r="Q78" s="185">
        <f t="shared" si="19"/>
        <v>13.8</v>
      </c>
      <c r="R78" s="192">
        <f t="shared" si="25"/>
        <v>45519</v>
      </c>
      <c r="S78">
        <v>20</v>
      </c>
      <c r="T78" s="183">
        <f t="shared" si="20"/>
        <v>13.8</v>
      </c>
      <c r="U78" s="195">
        <f t="shared" si="21"/>
        <v>2.7600000000000002</v>
      </c>
    </row>
    <row r="79" spans="1:21" x14ac:dyDescent="0.25">
      <c r="A79" s="191">
        <v>2024</v>
      </c>
      <c r="B79" s="189">
        <v>78</v>
      </c>
      <c r="C79" s="71" t="s">
        <v>105</v>
      </c>
      <c r="D79" t="s">
        <v>692</v>
      </c>
      <c r="E79" s="1">
        <v>45453</v>
      </c>
      <c r="F79" t="s">
        <v>1805</v>
      </c>
      <c r="H79" t="s">
        <v>958</v>
      </c>
      <c r="I79" t="b">
        <v>0</v>
      </c>
      <c r="J79" s="157">
        <v>46.06</v>
      </c>
      <c r="K79" s="185">
        <f t="shared" si="17"/>
        <v>46.06</v>
      </c>
      <c r="L79" s="72">
        <v>1</v>
      </c>
      <c r="M79" s="72">
        <v>0</v>
      </c>
      <c r="N79" s="185">
        <f t="shared" si="22"/>
        <v>0</v>
      </c>
      <c r="O79" s="185">
        <f t="shared" si="18"/>
        <v>0</v>
      </c>
      <c r="P79" s="185">
        <f t="shared" si="24"/>
        <v>46.06</v>
      </c>
      <c r="Q79" s="185">
        <f t="shared" si="19"/>
        <v>46.06</v>
      </c>
      <c r="R79" s="192">
        <f t="shared" si="25"/>
        <v>45519</v>
      </c>
      <c r="T79" s="183">
        <f t="shared" si="20"/>
        <v>46.06</v>
      </c>
      <c r="U79" s="195">
        <f t="shared" si="21"/>
        <v>0</v>
      </c>
    </row>
    <row r="80" spans="1:21" x14ac:dyDescent="0.25">
      <c r="A80" s="191">
        <v>2024</v>
      </c>
      <c r="B80" s="189">
        <v>79</v>
      </c>
      <c r="C80" s="71" t="s">
        <v>105</v>
      </c>
      <c r="D80" t="s">
        <v>689</v>
      </c>
      <c r="E80" s="1">
        <v>45455</v>
      </c>
      <c r="F80" t="s">
        <v>1785</v>
      </c>
      <c r="I80" t="b">
        <v>0</v>
      </c>
      <c r="J80" s="48">
        <v>36.21</v>
      </c>
      <c r="K80" s="185">
        <f t="shared" si="17"/>
        <v>36.21</v>
      </c>
      <c r="L80" s="72">
        <v>1</v>
      </c>
      <c r="M80" s="72">
        <v>0.1</v>
      </c>
      <c r="N80" s="185">
        <f t="shared" si="22"/>
        <v>3.2918181818181815</v>
      </c>
      <c r="O80" s="185">
        <f t="shared" si="18"/>
        <v>3.2918181818181815</v>
      </c>
      <c r="P80" s="185">
        <f t="shared" si="24"/>
        <v>32.918181818181814</v>
      </c>
      <c r="Q80" s="185">
        <f t="shared" si="19"/>
        <v>32.918181818181814</v>
      </c>
      <c r="R80" s="192">
        <f t="shared" si="25"/>
        <v>45519</v>
      </c>
      <c r="T80" s="183">
        <f t="shared" si="20"/>
        <v>32.918181818181814</v>
      </c>
      <c r="U80" s="195">
        <f t="shared" si="21"/>
        <v>0</v>
      </c>
    </row>
    <row r="81" spans="1:21" x14ac:dyDescent="0.25">
      <c r="A81" s="191">
        <v>2024</v>
      </c>
      <c r="B81" s="189">
        <v>80</v>
      </c>
      <c r="C81" s="71" t="s">
        <v>105</v>
      </c>
      <c r="D81" t="s">
        <v>705</v>
      </c>
      <c r="E81" s="1">
        <v>45456</v>
      </c>
      <c r="F81" t="s">
        <v>1783</v>
      </c>
      <c r="I81" t="b">
        <v>0</v>
      </c>
      <c r="J81" s="48">
        <v>52.21</v>
      </c>
      <c r="K81" s="185">
        <f t="shared" si="17"/>
        <v>52.21</v>
      </c>
      <c r="L81" s="72">
        <v>1</v>
      </c>
      <c r="M81" s="72">
        <v>0</v>
      </c>
      <c r="N81" s="185">
        <f t="shared" si="22"/>
        <v>0</v>
      </c>
      <c r="O81" s="185">
        <f t="shared" si="18"/>
        <v>0</v>
      </c>
      <c r="P81" s="185">
        <f t="shared" si="24"/>
        <v>52.21</v>
      </c>
      <c r="Q81" s="185">
        <f t="shared" si="19"/>
        <v>52.21</v>
      </c>
      <c r="R81" s="192">
        <f t="shared" si="25"/>
        <v>45519</v>
      </c>
      <c r="S81">
        <v>20</v>
      </c>
      <c r="T81" s="183">
        <f t="shared" si="20"/>
        <v>52.21</v>
      </c>
      <c r="U81" s="195">
        <f t="shared" si="21"/>
        <v>10.442</v>
      </c>
    </row>
    <row r="82" spans="1:21" x14ac:dyDescent="0.25">
      <c r="A82" s="191">
        <v>2024</v>
      </c>
      <c r="B82" s="189">
        <v>81</v>
      </c>
      <c r="C82" s="71" t="s">
        <v>105</v>
      </c>
      <c r="D82" t="s">
        <v>703</v>
      </c>
      <c r="E82" s="1">
        <v>45457</v>
      </c>
      <c r="F82" t="s">
        <v>1781</v>
      </c>
      <c r="I82" t="b">
        <v>0</v>
      </c>
      <c r="J82" s="48">
        <v>57.44</v>
      </c>
      <c r="K82" s="185">
        <f t="shared" si="17"/>
        <v>38.4848</v>
      </c>
      <c r="L82" s="72">
        <v>0.67</v>
      </c>
      <c r="M82" s="98">
        <f>N82/P82</f>
        <v>0.17200571311977148</v>
      </c>
      <c r="N82" s="185">
        <f>1.36+7.07</f>
        <v>8.43</v>
      </c>
      <c r="O82" s="185">
        <f t="shared" si="18"/>
        <v>5.6481000000000003</v>
      </c>
      <c r="P82" s="185">
        <f>13.64+35.37</f>
        <v>49.01</v>
      </c>
      <c r="Q82" s="185">
        <f t="shared" si="19"/>
        <v>32.8367</v>
      </c>
      <c r="R82" s="192">
        <f t="shared" si="25"/>
        <v>45519</v>
      </c>
      <c r="T82" s="183">
        <f t="shared" si="20"/>
        <v>32.8367</v>
      </c>
      <c r="U82" s="195">
        <f t="shared" si="21"/>
        <v>0</v>
      </c>
    </row>
    <row r="83" spans="1:21" x14ac:dyDescent="0.25">
      <c r="A83" s="191">
        <v>2024</v>
      </c>
      <c r="B83" s="189">
        <v>82</v>
      </c>
      <c r="C83" s="71" t="s">
        <v>105</v>
      </c>
      <c r="D83" t="s">
        <v>705</v>
      </c>
      <c r="E83" s="1">
        <v>45457</v>
      </c>
      <c r="F83" t="s">
        <v>1783</v>
      </c>
      <c r="I83" t="b">
        <v>0</v>
      </c>
      <c r="J83" s="48">
        <v>1.76</v>
      </c>
      <c r="K83" s="185">
        <f t="shared" si="17"/>
        <v>1.76</v>
      </c>
      <c r="L83" s="72">
        <v>1</v>
      </c>
      <c r="M83" s="72">
        <v>0</v>
      </c>
      <c r="N83" s="185">
        <f t="shared" ref="N83:N98" si="26">$P83*$M83</f>
        <v>0</v>
      </c>
      <c r="O83" s="185">
        <f t="shared" si="18"/>
        <v>0</v>
      </c>
      <c r="P83" s="185">
        <f t="shared" ref="P83:P90" si="27">$J83/(100%+$M83)</f>
        <v>1.76</v>
      </c>
      <c r="Q83" s="185">
        <f t="shared" si="19"/>
        <v>1.76</v>
      </c>
      <c r="R83" s="192">
        <f t="shared" si="25"/>
        <v>45519</v>
      </c>
      <c r="S83">
        <v>20</v>
      </c>
      <c r="T83" s="183">
        <f t="shared" si="20"/>
        <v>1.76</v>
      </c>
      <c r="U83" s="195">
        <f t="shared" si="21"/>
        <v>0.35200000000000004</v>
      </c>
    </row>
    <row r="84" spans="1:21" x14ac:dyDescent="0.25">
      <c r="A84" s="191">
        <v>2024</v>
      </c>
      <c r="B84" s="189">
        <v>83</v>
      </c>
      <c r="C84" s="71" t="s">
        <v>105</v>
      </c>
      <c r="D84" t="s">
        <v>339</v>
      </c>
      <c r="E84" s="1">
        <v>45459</v>
      </c>
      <c r="F84" t="s">
        <v>979</v>
      </c>
      <c r="I84" t="b">
        <v>0</v>
      </c>
      <c r="J84" s="48">
        <v>50.58</v>
      </c>
      <c r="K84" s="185">
        <f t="shared" si="17"/>
        <v>50.58</v>
      </c>
      <c r="L84" s="72">
        <v>1</v>
      </c>
      <c r="M84" s="72">
        <v>0.2</v>
      </c>
      <c r="N84" s="185">
        <f t="shared" si="26"/>
        <v>8.43</v>
      </c>
      <c r="O84" s="185">
        <f t="shared" si="18"/>
        <v>8.43</v>
      </c>
      <c r="P84" s="185">
        <f t="shared" si="27"/>
        <v>42.15</v>
      </c>
      <c r="Q84" s="185">
        <f t="shared" si="19"/>
        <v>42.15</v>
      </c>
      <c r="R84" s="192">
        <f t="shared" si="25"/>
        <v>45519</v>
      </c>
      <c r="T84" s="183">
        <f t="shared" si="20"/>
        <v>42.15</v>
      </c>
      <c r="U84" s="195">
        <f t="shared" si="21"/>
        <v>0</v>
      </c>
    </row>
    <row r="85" spans="1:21" x14ac:dyDescent="0.25">
      <c r="A85" s="191">
        <v>2024</v>
      </c>
      <c r="B85" s="189">
        <v>84</v>
      </c>
      <c r="C85" s="71" t="s">
        <v>105</v>
      </c>
      <c r="D85" t="s">
        <v>685</v>
      </c>
      <c r="E85" s="1">
        <v>45460</v>
      </c>
      <c r="F85" t="s">
        <v>1782</v>
      </c>
      <c r="I85" t="b">
        <v>0</v>
      </c>
      <c r="J85" s="48">
        <v>365</v>
      </c>
      <c r="K85" s="185">
        <f t="shared" si="17"/>
        <v>365</v>
      </c>
      <c r="L85" s="72">
        <v>1</v>
      </c>
      <c r="M85" s="72">
        <v>0</v>
      </c>
      <c r="N85" s="185">
        <f t="shared" si="26"/>
        <v>0</v>
      </c>
      <c r="O85" s="185">
        <f t="shared" si="18"/>
        <v>0</v>
      </c>
      <c r="P85" s="185">
        <f t="shared" si="27"/>
        <v>365</v>
      </c>
      <c r="Q85" s="185">
        <f t="shared" si="19"/>
        <v>365</v>
      </c>
      <c r="R85" s="192">
        <f t="shared" si="25"/>
        <v>45519</v>
      </c>
      <c r="T85" s="183">
        <f t="shared" si="20"/>
        <v>365</v>
      </c>
      <c r="U85" s="195">
        <f t="shared" si="21"/>
        <v>0</v>
      </c>
    </row>
    <row r="86" spans="1:21" x14ac:dyDescent="0.25">
      <c r="A86" s="191">
        <v>2024</v>
      </c>
      <c r="B86" s="189">
        <v>85</v>
      </c>
      <c r="C86" s="71" t="s">
        <v>105</v>
      </c>
      <c r="D86" t="s">
        <v>339</v>
      </c>
      <c r="E86" s="1">
        <v>45461</v>
      </c>
      <c r="F86" t="s">
        <v>979</v>
      </c>
      <c r="I86" t="b">
        <v>0</v>
      </c>
      <c r="J86" s="48">
        <v>31.38</v>
      </c>
      <c r="K86" s="185">
        <f t="shared" si="17"/>
        <v>31.38</v>
      </c>
      <c r="L86" s="72">
        <v>1</v>
      </c>
      <c r="M86" s="72">
        <v>0.2</v>
      </c>
      <c r="N86" s="185">
        <f t="shared" si="26"/>
        <v>5.23</v>
      </c>
      <c r="O86" s="185">
        <f t="shared" si="18"/>
        <v>5.23</v>
      </c>
      <c r="P86" s="185">
        <f t="shared" si="27"/>
        <v>26.15</v>
      </c>
      <c r="Q86" s="185">
        <f t="shared" si="19"/>
        <v>26.15</v>
      </c>
      <c r="R86" s="192">
        <f t="shared" si="25"/>
        <v>45519</v>
      </c>
      <c r="T86" s="183">
        <f t="shared" si="20"/>
        <v>26.15</v>
      </c>
      <c r="U86" s="195">
        <f t="shared" si="21"/>
        <v>0</v>
      </c>
    </row>
    <row r="87" spans="1:21" x14ac:dyDescent="0.25">
      <c r="A87" s="191">
        <v>2024</v>
      </c>
      <c r="B87" s="189">
        <v>86</v>
      </c>
      <c r="C87" s="71" t="s">
        <v>105</v>
      </c>
      <c r="D87" t="s">
        <v>705</v>
      </c>
      <c r="E87" s="1">
        <v>45462</v>
      </c>
      <c r="F87" t="s">
        <v>1032</v>
      </c>
      <c r="I87" t="b">
        <v>0</v>
      </c>
      <c r="J87" s="48">
        <v>11.7</v>
      </c>
      <c r="K87" s="185">
        <f t="shared" si="17"/>
        <v>11.7</v>
      </c>
      <c r="L87" s="72">
        <v>1</v>
      </c>
      <c r="M87" s="72">
        <v>0</v>
      </c>
      <c r="N87" s="185">
        <f t="shared" si="26"/>
        <v>0</v>
      </c>
      <c r="O87" s="185">
        <f t="shared" si="18"/>
        <v>0</v>
      </c>
      <c r="P87" s="185">
        <f t="shared" si="27"/>
        <v>11.7</v>
      </c>
      <c r="Q87" s="185">
        <f t="shared" si="19"/>
        <v>11.7</v>
      </c>
      <c r="R87" s="192">
        <f t="shared" si="25"/>
        <v>45519</v>
      </c>
      <c r="S87">
        <v>20</v>
      </c>
      <c r="T87" s="183">
        <f t="shared" si="20"/>
        <v>11.7</v>
      </c>
      <c r="U87" s="195">
        <f t="shared" si="21"/>
        <v>2.34</v>
      </c>
    </row>
    <row r="88" spans="1:21" x14ac:dyDescent="0.25">
      <c r="A88" s="191">
        <v>2024</v>
      </c>
      <c r="B88" s="189">
        <v>87</v>
      </c>
      <c r="C88" s="71" t="s">
        <v>708</v>
      </c>
      <c r="D88" t="s">
        <v>709</v>
      </c>
      <c r="E88" s="1">
        <v>45463</v>
      </c>
      <c r="F88" t="s">
        <v>1788</v>
      </c>
      <c r="J88" s="48">
        <v>23155.58</v>
      </c>
      <c r="K88" s="185">
        <f t="shared" si="17"/>
        <v>23155.58</v>
      </c>
      <c r="L88" s="72">
        <v>1</v>
      </c>
      <c r="M88" s="72">
        <v>0.2</v>
      </c>
      <c r="N88" s="185">
        <f t="shared" si="26"/>
        <v>3859.2633333333342</v>
      </c>
      <c r="O88" s="185">
        <f t="shared" si="18"/>
        <v>3859.2633333333342</v>
      </c>
      <c r="P88" s="185">
        <f t="shared" si="27"/>
        <v>19296.316666666669</v>
      </c>
      <c r="Q88" s="185">
        <f t="shared" si="19"/>
        <v>19296.316666666669</v>
      </c>
      <c r="R88" s="192">
        <f t="shared" si="25"/>
        <v>45519</v>
      </c>
      <c r="T88" s="183">
        <f t="shared" si="20"/>
        <v>19296.316666666669</v>
      </c>
      <c r="U88" s="195">
        <f t="shared" si="21"/>
        <v>0</v>
      </c>
    </row>
    <row r="89" spans="1:21" x14ac:dyDescent="0.25">
      <c r="A89" s="191">
        <v>2024</v>
      </c>
      <c r="B89" s="189">
        <v>88</v>
      </c>
      <c r="C89" s="71" t="s">
        <v>105</v>
      </c>
      <c r="D89" t="s">
        <v>705</v>
      </c>
      <c r="E89" s="1">
        <v>45462</v>
      </c>
      <c r="F89" t="s">
        <v>1032</v>
      </c>
      <c r="I89" t="b">
        <v>0</v>
      </c>
      <c r="J89" s="48">
        <v>69</v>
      </c>
      <c r="K89" s="185">
        <f t="shared" si="17"/>
        <v>69</v>
      </c>
      <c r="L89" s="72">
        <v>1</v>
      </c>
      <c r="M89" s="72">
        <v>0.2</v>
      </c>
      <c r="N89" s="185">
        <f t="shared" si="26"/>
        <v>11.5</v>
      </c>
      <c r="O89" s="185">
        <f t="shared" si="18"/>
        <v>11.5</v>
      </c>
      <c r="P89" s="185">
        <f t="shared" si="27"/>
        <v>57.5</v>
      </c>
      <c r="Q89" s="185">
        <f t="shared" si="19"/>
        <v>57.5</v>
      </c>
      <c r="R89" s="192">
        <f t="shared" si="25"/>
        <v>45519</v>
      </c>
      <c r="T89" s="183">
        <f t="shared" si="20"/>
        <v>57.5</v>
      </c>
      <c r="U89" s="195">
        <f t="shared" si="21"/>
        <v>0</v>
      </c>
    </row>
    <row r="90" spans="1:21" x14ac:dyDescent="0.25">
      <c r="A90" s="191">
        <v>2024</v>
      </c>
      <c r="B90" s="189">
        <v>89</v>
      </c>
      <c r="C90" s="71" t="s">
        <v>105</v>
      </c>
      <c r="D90" t="s">
        <v>705</v>
      </c>
      <c r="E90" s="1">
        <v>45468</v>
      </c>
      <c r="F90" t="s">
        <v>1793</v>
      </c>
      <c r="I90" t="b">
        <v>0</v>
      </c>
      <c r="J90" s="109">
        <v>55</v>
      </c>
      <c r="K90" s="185">
        <f t="shared" si="17"/>
        <v>5.0684845041974373</v>
      </c>
      <c r="L90" s="72">
        <f>14.6/158.43</f>
        <v>9.2154263712680679E-2</v>
      </c>
      <c r="M90" s="72">
        <v>0.1</v>
      </c>
      <c r="N90" s="185">
        <f t="shared" si="26"/>
        <v>5</v>
      </c>
      <c r="O90" s="185">
        <f t="shared" si="18"/>
        <v>0.46077131856340336</v>
      </c>
      <c r="P90" s="185">
        <f t="shared" si="27"/>
        <v>49.999999999999993</v>
      </c>
      <c r="Q90" s="185">
        <f t="shared" si="19"/>
        <v>4.607713185634033</v>
      </c>
      <c r="R90" s="192">
        <f t="shared" si="25"/>
        <v>45519</v>
      </c>
      <c r="T90" s="183">
        <f t="shared" si="20"/>
        <v>4.607713185634033</v>
      </c>
      <c r="U90" s="195">
        <f t="shared" si="21"/>
        <v>0</v>
      </c>
    </row>
    <row r="91" spans="1:21" x14ac:dyDescent="0.25">
      <c r="A91" s="191">
        <v>2024</v>
      </c>
      <c r="B91" s="189">
        <v>90</v>
      </c>
      <c r="C91" s="71" t="s">
        <v>105</v>
      </c>
      <c r="D91" t="s">
        <v>705</v>
      </c>
      <c r="E91" s="1">
        <v>45468</v>
      </c>
      <c r="F91" t="s">
        <v>1794</v>
      </c>
      <c r="I91" t="b">
        <v>0</v>
      </c>
      <c r="J91" s="157">
        <v>55</v>
      </c>
      <c r="K91" s="185">
        <f t="shared" si="17"/>
        <v>55</v>
      </c>
      <c r="L91" s="72">
        <v>1</v>
      </c>
      <c r="M91" s="72">
        <v>0.2</v>
      </c>
      <c r="N91" s="185">
        <f t="shared" si="26"/>
        <v>9.1133333333333351</v>
      </c>
      <c r="O91" s="185">
        <f t="shared" si="18"/>
        <v>9.1133333333333351</v>
      </c>
      <c r="P91" s="185">
        <f>($J91-0.32)/(100%+$M91)</f>
        <v>45.56666666666667</v>
      </c>
      <c r="Q91" s="185">
        <f t="shared" si="19"/>
        <v>45.56666666666667</v>
      </c>
      <c r="R91" s="192">
        <f t="shared" si="25"/>
        <v>45519</v>
      </c>
      <c r="T91" s="183">
        <f t="shared" si="20"/>
        <v>45.56666666666667</v>
      </c>
      <c r="U91" s="195">
        <f t="shared" si="21"/>
        <v>0</v>
      </c>
    </row>
    <row r="92" spans="1:21" x14ac:dyDescent="0.25">
      <c r="A92" s="191">
        <v>2024</v>
      </c>
      <c r="B92" s="189">
        <v>91</v>
      </c>
      <c r="C92" s="71" t="s">
        <v>105</v>
      </c>
      <c r="D92" t="s">
        <v>339</v>
      </c>
      <c r="E92" s="1">
        <v>45470</v>
      </c>
      <c r="F92" t="s">
        <v>979</v>
      </c>
      <c r="I92" t="b">
        <v>0</v>
      </c>
      <c r="J92" s="48">
        <v>557.88</v>
      </c>
      <c r="K92" s="185">
        <f t="shared" si="17"/>
        <v>557.88</v>
      </c>
      <c r="L92" s="72">
        <v>1</v>
      </c>
      <c r="M92" s="72">
        <v>0.2</v>
      </c>
      <c r="N92" s="185">
        <f t="shared" si="26"/>
        <v>92.980000000000018</v>
      </c>
      <c r="O92" s="185">
        <f t="shared" si="18"/>
        <v>92.980000000000018</v>
      </c>
      <c r="P92" s="185">
        <f t="shared" ref="P92:P98" si="28">$J92/(100%+$M92)</f>
        <v>464.90000000000003</v>
      </c>
      <c r="Q92" s="185">
        <f t="shared" si="19"/>
        <v>464.90000000000003</v>
      </c>
      <c r="R92" s="192">
        <f t="shared" si="25"/>
        <v>45519</v>
      </c>
      <c r="T92" s="183">
        <f t="shared" si="20"/>
        <v>464.90000000000003</v>
      </c>
      <c r="U92" s="195">
        <f t="shared" si="21"/>
        <v>0</v>
      </c>
    </row>
    <row r="93" spans="1:21" x14ac:dyDescent="0.25">
      <c r="A93" s="191">
        <v>2024</v>
      </c>
      <c r="B93" s="189">
        <v>92</v>
      </c>
      <c r="C93" s="71" t="s">
        <v>708</v>
      </c>
      <c r="D93" t="s">
        <v>709</v>
      </c>
      <c r="E93" s="1">
        <v>45474</v>
      </c>
      <c r="F93" t="s">
        <v>1038</v>
      </c>
      <c r="J93" s="48">
        <v>1409.76</v>
      </c>
      <c r="K93" s="185">
        <f t="shared" si="17"/>
        <v>1409.76</v>
      </c>
      <c r="L93" s="72">
        <v>1</v>
      </c>
      <c r="M93" s="72">
        <v>0.2</v>
      </c>
      <c r="N93" s="185">
        <f t="shared" si="26"/>
        <v>234.96</v>
      </c>
      <c r="O93" s="185">
        <f t="shared" si="18"/>
        <v>234.96</v>
      </c>
      <c r="P93" s="185">
        <f t="shared" si="28"/>
        <v>1174.8</v>
      </c>
      <c r="Q93" s="185">
        <f t="shared" si="19"/>
        <v>1174.8</v>
      </c>
      <c r="R93" s="192">
        <f t="shared" si="25"/>
        <v>45611</v>
      </c>
      <c r="T93" s="183">
        <f t="shared" si="20"/>
        <v>1174.8</v>
      </c>
      <c r="U93" s="195">
        <f t="shared" si="21"/>
        <v>0</v>
      </c>
    </row>
    <row r="94" spans="1:21" x14ac:dyDescent="0.25">
      <c r="A94" s="191">
        <v>2024</v>
      </c>
      <c r="B94" s="189">
        <v>93</v>
      </c>
      <c r="C94" s="71" t="s">
        <v>105</v>
      </c>
      <c r="D94" t="s">
        <v>703</v>
      </c>
      <c r="E94" s="1">
        <v>45475</v>
      </c>
      <c r="F94" t="s">
        <v>34</v>
      </c>
      <c r="I94" t="b">
        <v>0</v>
      </c>
      <c r="J94" s="48">
        <v>13.91</v>
      </c>
      <c r="K94" s="185">
        <f t="shared" si="17"/>
        <v>13.91</v>
      </c>
      <c r="L94" s="72">
        <v>1</v>
      </c>
      <c r="M94" s="72">
        <v>0.2</v>
      </c>
      <c r="N94" s="185">
        <f t="shared" si="26"/>
        <v>2.3183333333333334</v>
      </c>
      <c r="O94" s="185">
        <f t="shared" si="18"/>
        <v>2.3183333333333334</v>
      </c>
      <c r="P94" s="185">
        <f t="shared" si="28"/>
        <v>11.591666666666667</v>
      </c>
      <c r="Q94" s="185">
        <f t="shared" si="19"/>
        <v>11.591666666666667</v>
      </c>
      <c r="R94" s="192">
        <f t="shared" si="25"/>
        <v>45611</v>
      </c>
      <c r="T94" s="183">
        <f t="shared" si="20"/>
        <v>11.591666666666667</v>
      </c>
      <c r="U94" s="195">
        <f t="shared" si="21"/>
        <v>0</v>
      </c>
    </row>
    <row r="95" spans="1:21" x14ac:dyDescent="0.25">
      <c r="A95" s="191">
        <v>2024</v>
      </c>
      <c r="B95" s="189">
        <v>94</v>
      </c>
      <c r="C95" s="71" t="s">
        <v>708</v>
      </c>
      <c r="D95" t="s">
        <v>709</v>
      </c>
      <c r="E95" s="1">
        <v>45476</v>
      </c>
      <c r="F95" t="s">
        <v>1806</v>
      </c>
      <c r="J95" s="48">
        <v>155.46</v>
      </c>
      <c r="K95" s="185">
        <f t="shared" si="17"/>
        <v>155.46</v>
      </c>
      <c r="L95" s="72">
        <v>1</v>
      </c>
      <c r="M95" s="72">
        <v>0.2</v>
      </c>
      <c r="N95" s="185">
        <f t="shared" si="26"/>
        <v>25.910000000000004</v>
      </c>
      <c r="O95" s="185">
        <f t="shared" si="18"/>
        <v>25.910000000000004</v>
      </c>
      <c r="P95" s="185">
        <f t="shared" si="28"/>
        <v>129.55000000000001</v>
      </c>
      <c r="Q95" s="185">
        <f t="shared" si="19"/>
        <v>129.55000000000001</v>
      </c>
      <c r="R95" s="192">
        <f t="shared" si="25"/>
        <v>45611</v>
      </c>
      <c r="T95" s="183">
        <f t="shared" si="20"/>
        <v>129.55000000000001</v>
      </c>
      <c r="U95" s="195">
        <f t="shared" si="21"/>
        <v>0</v>
      </c>
    </row>
    <row r="96" spans="1:21" x14ac:dyDescent="0.25">
      <c r="A96" s="191">
        <v>2024</v>
      </c>
      <c r="B96" s="189">
        <v>95</v>
      </c>
      <c r="C96" s="71" t="s">
        <v>105</v>
      </c>
      <c r="D96" t="s">
        <v>705</v>
      </c>
      <c r="E96" s="1">
        <v>45476</v>
      </c>
      <c r="F96" t="s">
        <v>1404</v>
      </c>
      <c r="I96" t="b">
        <v>0</v>
      </c>
      <c r="J96" s="48">
        <v>13.8</v>
      </c>
      <c r="K96" s="185">
        <f t="shared" si="17"/>
        <v>13.8</v>
      </c>
      <c r="L96" s="72">
        <v>1</v>
      </c>
      <c r="M96" s="72">
        <v>0</v>
      </c>
      <c r="N96" s="185">
        <f t="shared" si="26"/>
        <v>0</v>
      </c>
      <c r="O96" s="185">
        <f t="shared" si="18"/>
        <v>0</v>
      </c>
      <c r="P96" s="185">
        <f t="shared" si="28"/>
        <v>13.8</v>
      </c>
      <c r="Q96" s="185">
        <f t="shared" si="19"/>
        <v>13.8</v>
      </c>
      <c r="R96" s="192">
        <f t="shared" si="25"/>
        <v>45611</v>
      </c>
      <c r="S96">
        <v>20</v>
      </c>
      <c r="T96" s="183">
        <f t="shared" si="20"/>
        <v>13.8</v>
      </c>
      <c r="U96" s="195">
        <f t="shared" si="21"/>
        <v>2.7600000000000002</v>
      </c>
    </row>
    <row r="97" spans="1:21" x14ac:dyDescent="0.25">
      <c r="A97" s="191">
        <v>2024</v>
      </c>
      <c r="B97" s="189">
        <v>96</v>
      </c>
      <c r="C97" s="71" t="s">
        <v>105</v>
      </c>
      <c r="D97" t="s">
        <v>705</v>
      </c>
      <c r="E97" s="1">
        <v>45483</v>
      </c>
      <c r="F97" t="s">
        <v>1807</v>
      </c>
      <c r="I97" t="b">
        <v>0</v>
      </c>
      <c r="J97" s="48">
        <v>19</v>
      </c>
      <c r="K97" s="185">
        <f t="shared" si="17"/>
        <v>19</v>
      </c>
      <c r="L97" s="72">
        <v>1</v>
      </c>
      <c r="M97" s="72">
        <v>0</v>
      </c>
      <c r="N97" s="185">
        <f t="shared" si="26"/>
        <v>0</v>
      </c>
      <c r="O97" s="185">
        <f t="shared" si="18"/>
        <v>0</v>
      </c>
      <c r="P97" s="185">
        <f t="shared" si="28"/>
        <v>19</v>
      </c>
      <c r="Q97" s="185">
        <f t="shared" si="19"/>
        <v>19</v>
      </c>
      <c r="R97" s="192">
        <f t="shared" si="25"/>
        <v>45611</v>
      </c>
      <c r="T97" s="183">
        <f t="shared" si="20"/>
        <v>19</v>
      </c>
      <c r="U97" s="195">
        <f t="shared" si="21"/>
        <v>0</v>
      </c>
    </row>
    <row r="98" spans="1:21" x14ac:dyDescent="0.25">
      <c r="A98" s="191">
        <v>2024</v>
      </c>
      <c r="B98" s="189">
        <v>97</v>
      </c>
      <c r="C98" s="71" t="s">
        <v>105</v>
      </c>
      <c r="D98" t="s">
        <v>705</v>
      </c>
      <c r="E98" s="1">
        <v>45484</v>
      </c>
      <c r="F98" t="s">
        <v>1783</v>
      </c>
      <c r="I98" t="b">
        <v>0</v>
      </c>
      <c r="J98" s="48">
        <v>52.21</v>
      </c>
      <c r="K98" s="185">
        <f t="shared" si="17"/>
        <v>52.21</v>
      </c>
      <c r="L98" s="72">
        <v>1</v>
      </c>
      <c r="M98" s="72">
        <v>0</v>
      </c>
      <c r="N98" s="185">
        <f t="shared" si="26"/>
        <v>0</v>
      </c>
      <c r="O98" s="185">
        <f t="shared" ref="O98:O129" si="29">L98*$N98</f>
        <v>0</v>
      </c>
      <c r="P98" s="185">
        <f t="shared" si="28"/>
        <v>52.21</v>
      </c>
      <c r="Q98" s="185">
        <f t="shared" ref="Q98:Q129" si="30">$L98*$P98</f>
        <v>52.21</v>
      </c>
      <c r="R98" s="192">
        <f t="shared" si="25"/>
        <v>45611</v>
      </c>
      <c r="S98">
        <v>20</v>
      </c>
      <c r="T98" s="183">
        <f t="shared" ref="T98:T129" si="31">IF(G98=TRUE,Q98/F98,Q98)</f>
        <v>52.21</v>
      </c>
      <c r="U98" s="195">
        <f t="shared" ref="U98:U129" si="32">$S98/100*$K98</f>
        <v>10.442</v>
      </c>
    </row>
    <row r="99" spans="1:21" x14ac:dyDescent="0.25">
      <c r="A99" s="191">
        <v>2024</v>
      </c>
      <c r="B99" s="189">
        <v>98</v>
      </c>
      <c r="C99" s="71" t="s">
        <v>105</v>
      </c>
      <c r="D99" t="s">
        <v>703</v>
      </c>
      <c r="E99" s="1">
        <v>45488</v>
      </c>
      <c r="F99" t="s">
        <v>1781</v>
      </c>
      <c r="I99" t="b">
        <v>0</v>
      </c>
      <c r="J99" s="48">
        <v>55.7</v>
      </c>
      <c r="K99" s="185">
        <f t="shared" si="17"/>
        <v>37.319000000000003</v>
      </c>
      <c r="L99" s="72">
        <v>0.67</v>
      </c>
      <c r="M99" s="98">
        <f>N99/P99</f>
        <v>0.17213804713804712</v>
      </c>
      <c r="N99" s="185">
        <f>1.32+6.86</f>
        <v>8.18</v>
      </c>
      <c r="O99" s="185">
        <f t="shared" si="29"/>
        <v>5.4805999999999999</v>
      </c>
      <c r="P99" s="185">
        <f>13.21+34.31</f>
        <v>47.52</v>
      </c>
      <c r="Q99" s="185">
        <f t="shared" si="30"/>
        <v>31.838400000000004</v>
      </c>
      <c r="R99" s="192">
        <f t="shared" si="25"/>
        <v>45611</v>
      </c>
      <c r="T99" s="183">
        <f t="shared" si="31"/>
        <v>31.838400000000004</v>
      </c>
      <c r="U99" s="195">
        <f t="shared" si="32"/>
        <v>0</v>
      </c>
    </row>
    <row r="100" spans="1:21" x14ac:dyDescent="0.25">
      <c r="A100" s="191">
        <v>2024</v>
      </c>
      <c r="B100" s="189">
        <v>99</v>
      </c>
      <c r="C100" s="71" t="s">
        <v>105</v>
      </c>
      <c r="D100" t="s">
        <v>685</v>
      </c>
      <c r="E100" s="1">
        <v>45488</v>
      </c>
      <c r="F100" t="s">
        <v>1782</v>
      </c>
      <c r="I100" t="b">
        <v>0</v>
      </c>
      <c r="J100" s="48">
        <v>365</v>
      </c>
      <c r="K100" s="185">
        <f t="shared" si="17"/>
        <v>365</v>
      </c>
      <c r="L100" s="72">
        <v>1</v>
      </c>
      <c r="M100" s="72">
        <v>0</v>
      </c>
      <c r="N100" s="185">
        <f t="shared" ref="N100:N110" si="33">$P100*$M100</f>
        <v>0</v>
      </c>
      <c r="O100" s="185">
        <f t="shared" si="29"/>
        <v>0</v>
      </c>
      <c r="P100" s="185">
        <f>$J100/(100%+$M100)</f>
        <v>365</v>
      </c>
      <c r="Q100" s="185">
        <f t="shared" si="30"/>
        <v>365</v>
      </c>
      <c r="R100" s="192">
        <f t="shared" si="25"/>
        <v>45611</v>
      </c>
      <c r="T100" s="183">
        <f t="shared" si="31"/>
        <v>365</v>
      </c>
      <c r="U100" s="195">
        <f t="shared" si="32"/>
        <v>0</v>
      </c>
    </row>
    <row r="101" spans="1:21" x14ac:dyDescent="0.25">
      <c r="A101" s="191">
        <v>2024</v>
      </c>
      <c r="B101" s="189">
        <v>100</v>
      </c>
      <c r="C101" s="71" t="s">
        <v>105</v>
      </c>
      <c r="D101" t="s">
        <v>705</v>
      </c>
      <c r="E101" s="1">
        <v>45489</v>
      </c>
      <c r="F101" t="s">
        <v>1783</v>
      </c>
      <c r="I101" t="b">
        <v>0</v>
      </c>
      <c r="J101" s="48">
        <v>1.76</v>
      </c>
      <c r="K101" s="185">
        <f t="shared" si="17"/>
        <v>1.76</v>
      </c>
      <c r="L101" s="72">
        <v>1</v>
      </c>
      <c r="M101" s="72">
        <v>0</v>
      </c>
      <c r="N101" s="185">
        <f t="shared" si="33"/>
        <v>0</v>
      </c>
      <c r="O101" s="185">
        <f t="shared" si="29"/>
        <v>0</v>
      </c>
      <c r="P101" s="185">
        <f>$J101/(100%+$M101)</f>
        <v>1.76</v>
      </c>
      <c r="Q101" s="185">
        <f t="shared" si="30"/>
        <v>1.76</v>
      </c>
      <c r="R101" s="192">
        <f t="shared" si="25"/>
        <v>45611</v>
      </c>
      <c r="S101">
        <v>20</v>
      </c>
      <c r="T101" s="183">
        <f t="shared" si="31"/>
        <v>1.76</v>
      </c>
      <c r="U101" s="195">
        <f t="shared" si="32"/>
        <v>0.35200000000000004</v>
      </c>
    </row>
    <row r="102" spans="1:21" x14ac:dyDescent="0.25">
      <c r="A102" s="191">
        <v>2024</v>
      </c>
      <c r="B102" s="189">
        <v>101</v>
      </c>
      <c r="C102" s="71" t="s">
        <v>708</v>
      </c>
      <c r="D102" t="s">
        <v>709</v>
      </c>
      <c r="E102" s="1">
        <v>45489</v>
      </c>
      <c r="F102" t="s">
        <v>1788</v>
      </c>
      <c r="J102" s="48">
        <v>20610.82</v>
      </c>
      <c r="K102" s="185">
        <f t="shared" si="17"/>
        <v>20610.82</v>
      </c>
      <c r="L102" s="72">
        <v>1</v>
      </c>
      <c r="M102" s="72">
        <v>0.2</v>
      </c>
      <c r="N102" s="185">
        <f t="shared" si="33"/>
        <v>3435.1366666666672</v>
      </c>
      <c r="O102" s="185">
        <f t="shared" si="29"/>
        <v>3435.1366666666672</v>
      </c>
      <c r="P102" s="185">
        <f>$J102/(100%+$M102)</f>
        <v>17175.683333333334</v>
      </c>
      <c r="Q102" s="185">
        <f t="shared" si="30"/>
        <v>17175.683333333334</v>
      </c>
      <c r="R102" s="192">
        <f t="shared" si="25"/>
        <v>45611</v>
      </c>
      <c r="T102" s="183">
        <f t="shared" si="31"/>
        <v>17175.683333333334</v>
      </c>
      <c r="U102" s="195">
        <f t="shared" si="32"/>
        <v>0</v>
      </c>
    </row>
    <row r="103" spans="1:21" x14ac:dyDescent="0.25">
      <c r="A103" s="191">
        <v>2024</v>
      </c>
      <c r="B103" s="189">
        <v>102</v>
      </c>
      <c r="C103" s="71" t="s">
        <v>105</v>
      </c>
      <c r="D103" t="s">
        <v>705</v>
      </c>
      <c r="E103" s="1">
        <v>45490</v>
      </c>
      <c r="F103" t="s">
        <v>1808</v>
      </c>
      <c r="H103" t="s">
        <v>958</v>
      </c>
      <c r="I103" t="b">
        <v>0</v>
      </c>
      <c r="J103" s="48">
        <v>84.51</v>
      </c>
      <c r="K103" s="185">
        <f t="shared" si="17"/>
        <v>84.51</v>
      </c>
      <c r="L103" s="72">
        <v>1</v>
      </c>
      <c r="M103" s="72">
        <v>0</v>
      </c>
      <c r="N103" s="185">
        <f t="shared" si="33"/>
        <v>0</v>
      </c>
      <c r="O103" s="185">
        <f t="shared" si="29"/>
        <v>0</v>
      </c>
      <c r="P103" s="185">
        <f>$J103/(100%+$M103)</f>
        <v>84.51</v>
      </c>
      <c r="Q103" s="185">
        <f t="shared" si="30"/>
        <v>84.51</v>
      </c>
      <c r="R103" s="192">
        <f t="shared" si="25"/>
        <v>45611</v>
      </c>
      <c r="S103">
        <v>20</v>
      </c>
      <c r="T103" s="183">
        <f t="shared" si="31"/>
        <v>84.51</v>
      </c>
      <c r="U103" s="195">
        <f t="shared" si="32"/>
        <v>16.902000000000001</v>
      </c>
    </row>
    <row r="104" spans="1:21" x14ac:dyDescent="0.25">
      <c r="A104" s="191">
        <v>2024</v>
      </c>
      <c r="B104" s="189">
        <v>103</v>
      </c>
      <c r="C104" s="71" t="s">
        <v>105</v>
      </c>
      <c r="D104" t="s">
        <v>705</v>
      </c>
      <c r="E104" s="1">
        <v>45495</v>
      </c>
      <c r="F104" t="s">
        <v>1032</v>
      </c>
      <c r="I104" t="b">
        <v>0</v>
      </c>
      <c r="J104" s="48">
        <v>11.7</v>
      </c>
      <c r="K104" s="185">
        <f t="shared" si="17"/>
        <v>11.7</v>
      </c>
      <c r="L104" s="72">
        <v>1</v>
      </c>
      <c r="M104" s="72">
        <v>0</v>
      </c>
      <c r="N104" s="185">
        <f t="shared" si="33"/>
        <v>0</v>
      </c>
      <c r="O104" s="185">
        <f t="shared" si="29"/>
        <v>0</v>
      </c>
      <c r="P104" s="185">
        <f>$J104/(100%+$M104)</f>
        <v>11.7</v>
      </c>
      <c r="Q104" s="185">
        <f t="shared" si="30"/>
        <v>11.7</v>
      </c>
      <c r="R104" s="192">
        <f t="shared" si="25"/>
        <v>45611</v>
      </c>
      <c r="S104">
        <v>20</v>
      </c>
      <c r="T104" s="183">
        <f t="shared" si="31"/>
        <v>11.7</v>
      </c>
      <c r="U104" s="195">
        <f t="shared" si="32"/>
        <v>2.34</v>
      </c>
    </row>
    <row r="105" spans="1:21" x14ac:dyDescent="0.25">
      <c r="A105" s="191">
        <v>2024</v>
      </c>
      <c r="B105" s="189">
        <v>104</v>
      </c>
      <c r="C105" s="71" t="s">
        <v>105</v>
      </c>
      <c r="D105" t="s">
        <v>705</v>
      </c>
      <c r="E105" s="1">
        <v>45498</v>
      </c>
      <c r="F105" t="s">
        <v>1794</v>
      </c>
      <c r="I105" t="b">
        <v>0</v>
      </c>
      <c r="J105" s="157">
        <v>55</v>
      </c>
      <c r="K105" s="185">
        <f t="shared" si="17"/>
        <v>55</v>
      </c>
      <c r="L105" s="72">
        <v>1</v>
      </c>
      <c r="M105" s="72">
        <v>0.2</v>
      </c>
      <c r="N105" s="185">
        <f t="shared" si="33"/>
        <v>9.1133333333333351</v>
      </c>
      <c r="O105" s="185">
        <f t="shared" si="29"/>
        <v>9.1133333333333351</v>
      </c>
      <c r="P105" s="185">
        <f>($J105-0.32)/(100%+$M105)</f>
        <v>45.56666666666667</v>
      </c>
      <c r="Q105" s="185">
        <f t="shared" si="30"/>
        <v>45.56666666666667</v>
      </c>
      <c r="R105" s="192">
        <f t="shared" si="25"/>
        <v>45611</v>
      </c>
      <c r="T105" s="183">
        <f t="shared" si="31"/>
        <v>45.56666666666667</v>
      </c>
      <c r="U105" s="195">
        <f t="shared" si="32"/>
        <v>0</v>
      </c>
    </row>
    <row r="106" spans="1:21" x14ac:dyDescent="0.25">
      <c r="A106" s="191">
        <v>2024</v>
      </c>
      <c r="B106" s="189">
        <v>105</v>
      </c>
      <c r="C106" s="71" t="s">
        <v>105</v>
      </c>
      <c r="D106" t="s">
        <v>339</v>
      </c>
      <c r="E106" s="1">
        <v>45470</v>
      </c>
      <c r="F106" t="s">
        <v>979</v>
      </c>
      <c r="I106" t="b">
        <v>0</v>
      </c>
      <c r="J106" s="48">
        <v>4.9400000000000004</v>
      </c>
      <c r="K106" s="185">
        <f t="shared" si="17"/>
        <v>4.9400000000000004</v>
      </c>
      <c r="L106" s="72">
        <v>1</v>
      </c>
      <c r="M106" s="72">
        <v>0.2</v>
      </c>
      <c r="N106" s="185">
        <f t="shared" si="33"/>
        <v>0.82333333333333347</v>
      </c>
      <c r="O106" s="185">
        <f t="shared" si="29"/>
        <v>0.82333333333333347</v>
      </c>
      <c r="P106" s="185">
        <f>$J106/(100%+$M106)</f>
        <v>4.1166666666666671</v>
      </c>
      <c r="Q106" s="185">
        <f t="shared" si="30"/>
        <v>4.1166666666666671</v>
      </c>
      <c r="R106" s="192">
        <f t="shared" si="25"/>
        <v>45519</v>
      </c>
      <c r="T106" s="183">
        <f t="shared" si="31"/>
        <v>4.1166666666666671</v>
      </c>
      <c r="U106" s="195">
        <f t="shared" si="32"/>
        <v>0</v>
      </c>
    </row>
    <row r="107" spans="1:21" x14ac:dyDescent="0.25">
      <c r="A107" s="191">
        <v>2024</v>
      </c>
      <c r="B107" s="189">
        <v>106</v>
      </c>
      <c r="C107" s="71" t="s">
        <v>105</v>
      </c>
      <c r="D107" t="s">
        <v>703</v>
      </c>
      <c r="E107" s="1">
        <v>45505</v>
      </c>
      <c r="F107" t="s">
        <v>34</v>
      </c>
      <c r="I107" t="b">
        <v>0</v>
      </c>
      <c r="J107" s="48">
        <v>13.91</v>
      </c>
      <c r="K107" s="185">
        <f t="shared" si="17"/>
        <v>13.91</v>
      </c>
      <c r="L107" s="72">
        <v>1</v>
      </c>
      <c r="M107" s="72">
        <v>0.2</v>
      </c>
      <c r="N107" s="185">
        <f t="shared" si="33"/>
        <v>2.3183333333333334</v>
      </c>
      <c r="O107" s="185">
        <f t="shared" si="29"/>
        <v>2.3183333333333334</v>
      </c>
      <c r="P107" s="185">
        <f>$J107/(100%+$M107)</f>
        <v>11.591666666666667</v>
      </c>
      <c r="Q107" s="185">
        <f t="shared" si="30"/>
        <v>11.591666666666667</v>
      </c>
      <c r="R107" s="192">
        <f t="shared" si="25"/>
        <v>45611</v>
      </c>
      <c r="T107" s="183">
        <f t="shared" si="31"/>
        <v>11.591666666666667</v>
      </c>
      <c r="U107" s="195">
        <f t="shared" si="32"/>
        <v>0</v>
      </c>
    </row>
    <row r="108" spans="1:21" x14ac:dyDescent="0.25">
      <c r="A108" s="191">
        <v>2024</v>
      </c>
      <c r="B108" s="189">
        <v>107</v>
      </c>
      <c r="C108" s="71" t="s">
        <v>105</v>
      </c>
      <c r="D108" t="s">
        <v>705</v>
      </c>
      <c r="E108" s="1">
        <v>45509</v>
      </c>
      <c r="F108" t="s">
        <v>1404</v>
      </c>
      <c r="I108" t="b">
        <v>0</v>
      </c>
      <c r="J108" s="48">
        <v>13.8</v>
      </c>
      <c r="K108" s="185">
        <f t="shared" si="17"/>
        <v>13.8</v>
      </c>
      <c r="L108" s="72">
        <v>1</v>
      </c>
      <c r="M108" s="72">
        <v>0</v>
      </c>
      <c r="N108" s="185">
        <f t="shared" si="33"/>
        <v>0</v>
      </c>
      <c r="O108" s="185">
        <f t="shared" si="29"/>
        <v>0</v>
      </c>
      <c r="P108" s="185">
        <f>$J108/(100%+$M108)</f>
        <v>13.8</v>
      </c>
      <c r="Q108" s="185">
        <f t="shared" si="30"/>
        <v>13.8</v>
      </c>
      <c r="R108" s="192">
        <f t="shared" si="25"/>
        <v>45611</v>
      </c>
      <c r="S108">
        <v>20</v>
      </c>
      <c r="T108" s="183">
        <f t="shared" si="31"/>
        <v>13.8</v>
      </c>
      <c r="U108" s="195">
        <f t="shared" si="32"/>
        <v>2.7600000000000002</v>
      </c>
    </row>
    <row r="109" spans="1:21" x14ac:dyDescent="0.25">
      <c r="A109" s="191">
        <v>2024</v>
      </c>
      <c r="B109" s="189">
        <v>108</v>
      </c>
      <c r="C109" s="71" t="s">
        <v>105</v>
      </c>
      <c r="D109" t="s">
        <v>705</v>
      </c>
      <c r="E109" s="1">
        <v>45517</v>
      </c>
      <c r="F109" t="s">
        <v>1783</v>
      </c>
      <c r="I109" t="b">
        <v>0</v>
      </c>
      <c r="J109" s="48">
        <v>52.42</v>
      </c>
      <c r="K109" s="185">
        <f t="shared" si="17"/>
        <v>52.42</v>
      </c>
      <c r="L109" s="72">
        <v>1</v>
      </c>
      <c r="M109" s="72">
        <v>0</v>
      </c>
      <c r="N109" s="185">
        <f t="shared" si="33"/>
        <v>0</v>
      </c>
      <c r="O109" s="185">
        <f t="shared" si="29"/>
        <v>0</v>
      </c>
      <c r="P109" s="185">
        <f>$J109/(100%+$M109)</f>
        <v>52.42</v>
      </c>
      <c r="Q109" s="185">
        <f t="shared" si="30"/>
        <v>52.42</v>
      </c>
      <c r="R109" s="192">
        <f t="shared" ref="R109:R140" si="34">voranmeldefrist_vierteljaehrlich(E109)</f>
        <v>45611</v>
      </c>
      <c r="S109">
        <v>20</v>
      </c>
      <c r="T109" s="183">
        <f t="shared" si="31"/>
        <v>52.42</v>
      </c>
      <c r="U109" s="195">
        <f t="shared" si="32"/>
        <v>10.484000000000002</v>
      </c>
    </row>
    <row r="110" spans="1:21" x14ac:dyDescent="0.25">
      <c r="A110" s="191">
        <v>2024</v>
      </c>
      <c r="B110" s="189">
        <v>109</v>
      </c>
      <c r="C110" s="71" t="s">
        <v>708</v>
      </c>
      <c r="D110" t="s">
        <v>709</v>
      </c>
      <c r="E110" s="1">
        <v>45517</v>
      </c>
      <c r="F110" t="s">
        <v>1788</v>
      </c>
      <c r="J110" s="48">
        <v>20610.82</v>
      </c>
      <c r="K110" s="185">
        <f t="shared" si="17"/>
        <v>20610.82</v>
      </c>
      <c r="L110" s="72">
        <v>1</v>
      </c>
      <c r="M110" s="72">
        <v>0.2</v>
      </c>
      <c r="N110" s="185">
        <f t="shared" si="33"/>
        <v>3435.1366666666672</v>
      </c>
      <c r="O110" s="185">
        <f t="shared" si="29"/>
        <v>3435.1366666666672</v>
      </c>
      <c r="P110" s="185">
        <f>$J110/(100%+$M110)</f>
        <v>17175.683333333334</v>
      </c>
      <c r="Q110" s="185">
        <f t="shared" si="30"/>
        <v>17175.683333333334</v>
      </c>
      <c r="R110" s="192">
        <f t="shared" si="34"/>
        <v>45611</v>
      </c>
      <c r="T110" s="183">
        <f t="shared" si="31"/>
        <v>17175.683333333334</v>
      </c>
      <c r="U110" s="195">
        <f t="shared" si="32"/>
        <v>0</v>
      </c>
    </row>
    <row r="111" spans="1:21" x14ac:dyDescent="0.25">
      <c r="A111" s="191">
        <v>2024</v>
      </c>
      <c r="B111" s="189">
        <v>110</v>
      </c>
      <c r="C111" s="71" t="s">
        <v>105</v>
      </c>
      <c r="D111" t="s">
        <v>703</v>
      </c>
      <c r="E111" s="1">
        <v>45518</v>
      </c>
      <c r="F111" t="s">
        <v>1781</v>
      </c>
      <c r="I111" t="b">
        <v>0</v>
      </c>
      <c r="J111" s="48">
        <v>55.7</v>
      </c>
      <c r="K111" s="185">
        <f t="shared" si="17"/>
        <v>37.319000000000003</v>
      </c>
      <c r="L111" s="72">
        <v>0.67</v>
      </c>
      <c r="M111" s="98">
        <f>N111/P111</f>
        <v>0.17213804713804712</v>
      </c>
      <c r="N111" s="185">
        <f>1.32+6.86</f>
        <v>8.18</v>
      </c>
      <c r="O111" s="185">
        <f t="shared" si="29"/>
        <v>5.4805999999999999</v>
      </c>
      <c r="P111" s="185">
        <f>13.21+34.31</f>
        <v>47.52</v>
      </c>
      <c r="Q111" s="185">
        <f t="shared" si="30"/>
        <v>31.838400000000004</v>
      </c>
      <c r="R111" s="192">
        <f t="shared" si="34"/>
        <v>45611</v>
      </c>
      <c r="T111" s="183">
        <f t="shared" si="31"/>
        <v>31.838400000000004</v>
      </c>
      <c r="U111" s="195">
        <f t="shared" si="32"/>
        <v>0</v>
      </c>
    </row>
    <row r="112" spans="1:21" x14ac:dyDescent="0.25">
      <c r="A112" s="191">
        <v>2024</v>
      </c>
      <c r="B112" s="189">
        <v>111</v>
      </c>
      <c r="C112" s="71" t="s">
        <v>105</v>
      </c>
      <c r="D112" t="s">
        <v>705</v>
      </c>
      <c r="E112" s="1">
        <v>45518</v>
      </c>
      <c r="F112" t="s">
        <v>1786</v>
      </c>
      <c r="I112" t="b">
        <v>0</v>
      </c>
      <c r="J112" s="48">
        <f>P112+N112</f>
        <v>192.09600000000003</v>
      </c>
      <c r="K112" s="185">
        <f t="shared" si="17"/>
        <v>17.702465442151112</v>
      </c>
      <c r="L112" s="72">
        <f>14.6/158.43</f>
        <v>9.2154263712680679E-2</v>
      </c>
      <c r="M112" s="98">
        <f>N112/P112</f>
        <v>0.12068140715244149</v>
      </c>
      <c r="N112" s="185">
        <f>10%*62.24+10%*144.62</f>
        <v>20.686</v>
      </c>
      <c r="O112" s="185">
        <f t="shared" si="29"/>
        <v>1.9063030991605125</v>
      </c>
      <c r="P112" s="185">
        <f>62.24+3.75-39.2+144.62</f>
        <v>171.41000000000003</v>
      </c>
      <c r="Q112" s="185">
        <f t="shared" si="30"/>
        <v>15.796162342990597</v>
      </c>
      <c r="R112" s="192">
        <f t="shared" si="34"/>
        <v>45611</v>
      </c>
      <c r="T112" s="183">
        <f t="shared" si="31"/>
        <v>15.796162342990597</v>
      </c>
      <c r="U112" s="195">
        <f t="shared" si="32"/>
        <v>0</v>
      </c>
    </row>
    <row r="113" spans="1:21" x14ac:dyDescent="0.25">
      <c r="A113" s="191">
        <v>2024</v>
      </c>
      <c r="B113" s="189">
        <v>112</v>
      </c>
      <c r="C113" s="71" t="s">
        <v>105</v>
      </c>
      <c r="D113" t="s">
        <v>705</v>
      </c>
      <c r="E113" s="1">
        <v>45519</v>
      </c>
      <c r="F113" t="s">
        <v>1783</v>
      </c>
      <c r="I113" t="b">
        <v>0</v>
      </c>
      <c r="J113" s="48">
        <v>1.76</v>
      </c>
      <c r="K113" s="185">
        <f t="shared" si="17"/>
        <v>1.76</v>
      </c>
      <c r="L113" s="72">
        <v>1</v>
      </c>
      <c r="M113" s="72">
        <v>0</v>
      </c>
      <c r="N113" s="185">
        <f t="shared" ref="N113:N128" si="35">$P113*$M113</f>
        <v>0</v>
      </c>
      <c r="O113" s="185">
        <f t="shared" si="29"/>
        <v>0</v>
      </c>
      <c r="P113" s="185">
        <f>$J113/(100%+$M113)</f>
        <v>1.76</v>
      </c>
      <c r="Q113" s="185">
        <f t="shared" si="30"/>
        <v>1.76</v>
      </c>
      <c r="R113" s="192">
        <f t="shared" si="34"/>
        <v>45611</v>
      </c>
      <c r="S113">
        <v>20</v>
      </c>
      <c r="T113" s="183">
        <f t="shared" si="31"/>
        <v>1.76</v>
      </c>
      <c r="U113" s="195">
        <f t="shared" si="32"/>
        <v>0.35200000000000004</v>
      </c>
    </row>
    <row r="114" spans="1:21" x14ac:dyDescent="0.25">
      <c r="A114" s="191">
        <v>2024</v>
      </c>
      <c r="B114" s="189">
        <v>113</v>
      </c>
      <c r="C114" s="71" t="s">
        <v>105</v>
      </c>
      <c r="D114" t="s">
        <v>685</v>
      </c>
      <c r="E114" s="1">
        <v>45522</v>
      </c>
      <c r="F114" t="s">
        <v>1782</v>
      </c>
      <c r="I114" t="b">
        <v>0</v>
      </c>
      <c r="J114" s="48">
        <v>365</v>
      </c>
      <c r="K114" s="185">
        <f t="shared" si="17"/>
        <v>365</v>
      </c>
      <c r="L114" s="72">
        <v>1</v>
      </c>
      <c r="M114" s="72">
        <v>0</v>
      </c>
      <c r="N114" s="185">
        <f t="shared" si="35"/>
        <v>0</v>
      </c>
      <c r="O114" s="185">
        <f t="shared" si="29"/>
        <v>0</v>
      </c>
      <c r="P114" s="185">
        <f>$J114/(100%+$M114)</f>
        <v>365</v>
      </c>
      <c r="Q114" s="185">
        <f t="shared" si="30"/>
        <v>365</v>
      </c>
      <c r="R114" s="192">
        <f t="shared" si="34"/>
        <v>45611</v>
      </c>
      <c r="T114" s="183">
        <f t="shared" si="31"/>
        <v>365</v>
      </c>
      <c r="U114" s="195">
        <f t="shared" si="32"/>
        <v>0</v>
      </c>
    </row>
    <row r="115" spans="1:21" x14ac:dyDescent="0.25">
      <c r="A115" s="191">
        <v>2024</v>
      </c>
      <c r="B115" s="189">
        <v>114</v>
      </c>
      <c r="C115" s="71" t="s">
        <v>708</v>
      </c>
      <c r="D115" t="s">
        <v>709</v>
      </c>
      <c r="E115" s="1">
        <v>45524</v>
      </c>
      <c r="F115" t="s">
        <v>1809</v>
      </c>
      <c r="J115" s="48">
        <v>764.4</v>
      </c>
      <c r="K115" s="185">
        <f t="shared" si="17"/>
        <v>764.4</v>
      </c>
      <c r="L115" s="72">
        <v>1</v>
      </c>
      <c r="M115" s="72">
        <v>0.2</v>
      </c>
      <c r="N115" s="185">
        <f t="shared" si="35"/>
        <v>127.4</v>
      </c>
      <c r="O115" s="185">
        <f t="shared" si="29"/>
        <v>127.4</v>
      </c>
      <c r="P115" s="185">
        <f>$J115/(100%+$M115)</f>
        <v>637</v>
      </c>
      <c r="Q115" s="185">
        <f t="shared" si="30"/>
        <v>637</v>
      </c>
      <c r="R115" s="192">
        <f t="shared" si="34"/>
        <v>45611</v>
      </c>
      <c r="T115" s="183">
        <f t="shared" si="31"/>
        <v>637</v>
      </c>
      <c r="U115" s="195">
        <f t="shared" si="32"/>
        <v>0</v>
      </c>
    </row>
    <row r="116" spans="1:21" x14ac:dyDescent="0.25">
      <c r="A116" s="191">
        <v>2024</v>
      </c>
      <c r="B116" s="189">
        <v>115</v>
      </c>
      <c r="C116" s="71" t="s">
        <v>105</v>
      </c>
      <c r="D116" t="s">
        <v>705</v>
      </c>
      <c r="E116" s="1">
        <v>45525</v>
      </c>
      <c r="F116" t="s">
        <v>1032</v>
      </c>
      <c r="I116" t="b">
        <v>0</v>
      </c>
      <c r="J116" s="48">
        <v>11.7</v>
      </c>
      <c r="K116" s="185">
        <f t="shared" si="17"/>
        <v>11.7</v>
      </c>
      <c r="L116" s="72">
        <v>1</v>
      </c>
      <c r="M116" s="72">
        <v>0</v>
      </c>
      <c r="N116" s="185">
        <f t="shared" si="35"/>
        <v>0</v>
      </c>
      <c r="O116" s="185">
        <f t="shared" si="29"/>
        <v>0</v>
      </c>
      <c r="P116" s="185">
        <f>$J116/(100%+$M116)</f>
        <v>11.7</v>
      </c>
      <c r="Q116" s="185">
        <f t="shared" si="30"/>
        <v>11.7</v>
      </c>
      <c r="R116" s="192">
        <f t="shared" si="34"/>
        <v>45611</v>
      </c>
      <c r="S116">
        <v>20</v>
      </c>
      <c r="T116" s="183">
        <f t="shared" si="31"/>
        <v>11.7</v>
      </c>
      <c r="U116" s="195">
        <f t="shared" si="32"/>
        <v>2.34</v>
      </c>
    </row>
    <row r="117" spans="1:21" x14ac:dyDescent="0.25">
      <c r="A117" s="191">
        <v>2024</v>
      </c>
      <c r="B117" s="189">
        <v>116</v>
      </c>
      <c r="C117" s="71" t="s">
        <v>105</v>
      </c>
      <c r="D117" t="s">
        <v>689</v>
      </c>
      <c r="E117" s="1">
        <v>45526</v>
      </c>
      <c r="F117" t="s">
        <v>1812</v>
      </c>
      <c r="I117" t="b">
        <v>0</v>
      </c>
      <c r="J117" s="48">
        <v>860</v>
      </c>
      <c r="K117" s="185">
        <f t="shared" si="17"/>
        <v>860</v>
      </c>
      <c r="L117" s="72">
        <v>1</v>
      </c>
      <c r="M117" s="72">
        <v>0.1</v>
      </c>
      <c r="N117" s="185">
        <f t="shared" si="35"/>
        <v>78.181818181818187</v>
      </c>
      <c r="O117" s="185">
        <f t="shared" si="29"/>
        <v>78.181818181818187</v>
      </c>
      <c r="P117" s="185">
        <f>$J117/(100%+$M117)</f>
        <v>781.81818181818176</v>
      </c>
      <c r="Q117" s="185">
        <f t="shared" si="30"/>
        <v>781.81818181818176</v>
      </c>
      <c r="R117" s="192">
        <f t="shared" si="34"/>
        <v>45611</v>
      </c>
      <c r="T117" s="183">
        <f t="shared" si="31"/>
        <v>781.81818181818176</v>
      </c>
      <c r="U117" s="195">
        <f t="shared" si="32"/>
        <v>0</v>
      </c>
    </row>
    <row r="118" spans="1:21" x14ac:dyDescent="0.25">
      <c r="A118" s="191">
        <v>2024</v>
      </c>
      <c r="B118" s="189">
        <v>117</v>
      </c>
      <c r="C118" s="71" t="s">
        <v>105</v>
      </c>
      <c r="D118" t="s">
        <v>705</v>
      </c>
      <c r="E118" s="1">
        <v>45530</v>
      </c>
      <c r="F118" t="s">
        <v>1794</v>
      </c>
      <c r="I118" t="b">
        <v>0</v>
      </c>
      <c r="J118" s="48">
        <v>21.95</v>
      </c>
      <c r="K118" s="185">
        <f t="shared" si="17"/>
        <v>21.95</v>
      </c>
      <c r="L118" s="72">
        <v>1</v>
      </c>
      <c r="M118" s="72">
        <v>0.2</v>
      </c>
      <c r="N118" s="185">
        <f t="shared" si="35"/>
        <v>3.605</v>
      </c>
      <c r="O118" s="185">
        <f t="shared" si="29"/>
        <v>3.605</v>
      </c>
      <c r="P118" s="185">
        <f>($J118-0.32)/(100%+$M118)</f>
        <v>18.024999999999999</v>
      </c>
      <c r="Q118" s="185">
        <f t="shared" si="30"/>
        <v>18.024999999999999</v>
      </c>
      <c r="R118" s="192">
        <f t="shared" si="34"/>
        <v>45611</v>
      </c>
      <c r="T118" s="183">
        <f t="shared" si="31"/>
        <v>18.024999999999999</v>
      </c>
      <c r="U118" s="195">
        <f t="shared" si="32"/>
        <v>0</v>
      </c>
    </row>
    <row r="119" spans="1:21" x14ac:dyDescent="0.25">
      <c r="A119" s="191">
        <v>2024</v>
      </c>
      <c r="B119" s="189">
        <v>118</v>
      </c>
      <c r="C119" s="71" t="s">
        <v>105</v>
      </c>
      <c r="D119" t="s">
        <v>695</v>
      </c>
      <c r="E119" s="1">
        <v>45534</v>
      </c>
      <c r="F119" t="s">
        <v>1795</v>
      </c>
      <c r="I119" t="b">
        <v>0</v>
      </c>
      <c r="J119" s="48">
        <v>4993.46</v>
      </c>
      <c r="K119" s="185">
        <f t="shared" si="17"/>
        <v>4993.46</v>
      </c>
      <c r="L119" s="72">
        <v>1</v>
      </c>
      <c r="M119" s="72">
        <v>0</v>
      </c>
      <c r="N119" s="185">
        <f t="shared" si="35"/>
        <v>0</v>
      </c>
      <c r="O119" s="185">
        <f t="shared" si="29"/>
        <v>0</v>
      </c>
      <c r="P119" s="185">
        <f t="shared" ref="P119:P128" si="36">$J119/(100%+$M119)</f>
        <v>4993.46</v>
      </c>
      <c r="Q119" s="185">
        <f t="shared" si="30"/>
        <v>4993.46</v>
      </c>
      <c r="R119" s="192">
        <f t="shared" si="34"/>
        <v>45611</v>
      </c>
      <c r="T119" s="183">
        <f t="shared" si="31"/>
        <v>4993.46</v>
      </c>
      <c r="U119" s="195">
        <f t="shared" si="32"/>
        <v>0</v>
      </c>
    </row>
    <row r="120" spans="1:21" x14ac:dyDescent="0.25">
      <c r="A120" s="191">
        <v>2024</v>
      </c>
      <c r="B120" s="189">
        <v>119</v>
      </c>
      <c r="C120" s="71" t="s">
        <v>105</v>
      </c>
      <c r="D120" t="s">
        <v>705</v>
      </c>
      <c r="E120" s="1">
        <v>45537</v>
      </c>
      <c r="F120" t="s">
        <v>1793</v>
      </c>
      <c r="I120" t="b">
        <v>0</v>
      </c>
      <c r="J120" s="109">
        <v>354.16</v>
      </c>
      <c r="K120" s="185">
        <f t="shared" si="17"/>
        <v>32.637354036482989</v>
      </c>
      <c r="L120" s="72">
        <f>14.6/158.43</f>
        <v>9.2154263712680679E-2</v>
      </c>
      <c r="M120" s="72">
        <v>0.1</v>
      </c>
      <c r="N120" s="185">
        <f t="shared" si="35"/>
        <v>32.196363636363635</v>
      </c>
      <c r="O120" s="185">
        <f t="shared" si="29"/>
        <v>2.9670321851348169</v>
      </c>
      <c r="P120" s="185">
        <f t="shared" si="36"/>
        <v>321.96363636363634</v>
      </c>
      <c r="Q120" s="185">
        <f t="shared" si="30"/>
        <v>29.67032185134817</v>
      </c>
      <c r="R120" s="192">
        <f t="shared" si="34"/>
        <v>45611</v>
      </c>
      <c r="T120" s="183">
        <f t="shared" si="31"/>
        <v>29.67032185134817</v>
      </c>
      <c r="U120" s="195">
        <f t="shared" si="32"/>
        <v>0</v>
      </c>
    </row>
    <row r="121" spans="1:21" x14ac:dyDescent="0.25">
      <c r="A121" s="191">
        <v>2024</v>
      </c>
      <c r="B121" s="189">
        <v>120</v>
      </c>
      <c r="C121" s="71" t="s">
        <v>105</v>
      </c>
      <c r="D121" t="s">
        <v>703</v>
      </c>
      <c r="E121" s="1">
        <v>45538</v>
      </c>
      <c r="F121" t="s">
        <v>34</v>
      </c>
      <c r="I121" t="b">
        <v>0</v>
      </c>
      <c r="J121" s="48">
        <v>13.91</v>
      </c>
      <c r="K121" s="185">
        <f t="shared" si="17"/>
        <v>13.91</v>
      </c>
      <c r="L121" s="72">
        <v>1</v>
      </c>
      <c r="M121" s="72">
        <v>0.2</v>
      </c>
      <c r="N121" s="185">
        <f t="shared" si="35"/>
        <v>2.3183333333333334</v>
      </c>
      <c r="O121" s="185">
        <f t="shared" si="29"/>
        <v>2.3183333333333334</v>
      </c>
      <c r="P121" s="185">
        <f t="shared" si="36"/>
        <v>11.591666666666667</v>
      </c>
      <c r="Q121" s="185">
        <f t="shared" si="30"/>
        <v>11.591666666666667</v>
      </c>
      <c r="R121" s="192">
        <f t="shared" si="34"/>
        <v>45611</v>
      </c>
      <c r="T121" s="183">
        <f t="shared" si="31"/>
        <v>11.591666666666667</v>
      </c>
      <c r="U121" s="195">
        <f t="shared" si="32"/>
        <v>0</v>
      </c>
    </row>
    <row r="122" spans="1:21" x14ac:dyDescent="0.25">
      <c r="A122" s="191">
        <v>2024</v>
      </c>
      <c r="B122" s="189">
        <v>121</v>
      </c>
      <c r="C122" s="71" t="s">
        <v>105</v>
      </c>
      <c r="D122" t="s">
        <v>705</v>
      </c>
      <c r="E122" s="1">
        <v>45538</v>
      </c>
      <c r="F122" t="s">
        <v>1787</v>
      </c>
      <c r="I122" t="b">
        <v>0</v>
      </c>
      <c r="J122" s="48">
        <v>13.91</v>
      </c>
      <c r="K122" s="185">
        <f t="shared" si="17"/>
        <v>13.91</v>
      </c>
      <c r="L122" s="72">
        <v>1</v>
      </c>
      <c r="M122" s="72">
        <v>0</v>
      </c>
      <c r="N122" s="185">
        <f t="shared" si="35"/>
        <v>0</v>
      </c>
      <c r="O122" s="185">
        <f t="shared" si="29"/>
        <v>0</v>
      </c>
      <c r="P122" s="185">
        <f t="shared" si="36"/>
        <v>13.91</v>
      </c>
      <c r="Q122" s="185">
        <f t="shared" si="30"/>
        <v>13.91</v>
      </c>
      <c r="R122" s="192">
        <f t="shared" si="34"/>
        <v>45611</v>
      </c>
      <c r="T122" s="183">
        <f t="shared" si="31"/>
        <v>13.91</v>
      </c>
      <c r="U122" s="195">
        <f t="shared" si="32"/>
        <v>0</v>
      </c>
    </row>
    <row r="123" spans="1:21" x14ac:dyDescent="0.25">
      <c r="A123" s="191">
        <v>2024</v>
      </c>
      <c r="B123" s="189">
        <v>122</v>
      </c>
      <c r="C123" s="71" t="s">
        <v>105</v>
      </c>
      <c r="D123" t="s">
        <v>705</v>
      </c>
      <c r="E123" s="1">
        <v>45538</v>
      </c>
      <c r="F123" t="s">
        <v>1404</v>
      </c>
      <c r="I123" t="b">
        <v>0</v>
      </c>
      <c r="J123" s="48">
        <v>13.8</v>
      </c>
      <c r="K123" s="185">
        <f t="shared" si="17"/>
        <v>13.8</v>
      </c>
      <c r="L123" s="72">
        <v>1</v>
      </c>
      <c r="M123" s="72">
        <v>0</v>
      </c>
      <c r="N123" s="185">
        <f t="shared" si="35"/>
        <v>0</v>
      </c>
      <c r="O123" s="185">
        <f t="shared" si="29"/>
        <v>0</v>
      </c>
      <c r="P123" s="185">
        <f t="shared" si="36"/>
        <v>13.8</v>
      </c>
      <c r="Q123" s="185">
        <f t="shared" si="30"/>
        <v>13.8</v>
      </c>
      <c r="R123" s="192">
        <f t="shared" si="34"/>
        <v>45611</v>
      </c>
      <c r="S123">
        <v>20</v>
      </c>
      <c r="T123" s="183">
        <f t="shared" si="31"/>
        <v>13.8</v>
      </c>
      <c r="U123" s="195">
        <f t="shared" si="32"/>
        <v>2.7600000000000002</v>
      </c>
    </row>
    <row r="124" spans="1:21" x14ac:dyDescent="0.25">
      <c r="A124" s="191">
        <v>2024</v>
      </c>
      <c r="B124" s="189">
        <v>123</v>
      </c>
      <c r="C124" s="71" t="s">
        <v>708</v>
      </c>
      <c r="D124" t="s">
        <v>709</v>
      </c>
      <c r="E124" s="1">
        <v>45540</v>
      </c>
      <c r="F124" t="s">
        <v>1788</v>
      </c>
      <c r="J124" s="48">
        <v>10377.6</v>
      </c>
      <c r="K124" s="185">
        <f t="shared" si="17"/>
        <v>10377.6</v>
      </c>
      <c r="L124" s="72">
        <v>1</v>
      </c>
      <c r="M124" s="72">
        <v>0.2</v>
      </c>
      <c r="N124" s="185">
        <f t="shared" si="35"/>
        <v>1729.6000000000001</v>
      </c>
      <c r="O124" s="185">
        <f t="shared" si="29"/>
        <v>1729.6000000000001</v>
      </c>
      <c r="P124" s="185">
        <f t="shared" si="36"/>
        <v>8648</v>
      </c>
      <c r="Q124" s="185">
        <f t="shared" si="30"/>
        <v>8648</v>
      </c>
      <c r="R124" s="192">
        <f t="shared" si="34"/>
        <v>45611</v>
      </c>
      <c r="T124" s="183">
        <f t="shared" si="31"/>
        <v>8648</v>
      </c>
      <c r="U124" s="195">
        <f t="shared" si="32"/>
        <v>0</v>
      </c>
    </row>
    <row r="125" spans="1:21" x14ac:dyDescent="0.25">
      <c r="A125" s="191">
        <v>2024</v>
      </c>
      <c r="B125" s="189">
        <v>124</v>
      </c>
      <c r="C125" s="71" t="s">
        <v>105</v>
      </c>
      <c r="D125" t="s">
        <v>689</v>
      </c>
      <c r="E125" s="1">
        <v>45540</v>
      </c>
      <c r="F125" t="s">
        <v>962</v>
      </c>
      <c r="I125" t="b">
        <v>0</v>
      </c>
      <c r="J125" s="48">
        <v>-273.75</v>
      </c>
      <c r="K125" s="185">
        <f t="shared" si="17"/>
        <v>-273.75</v>
      </c>
      <c r="L125" s="72">
        <v>1</v>
      </c>
      <c r="M125" s="72">
        <v>0.1</v>
      </c>
      <c r="N125" s="185">
        <f t="shared" si="35"/>
        <v>-24.886363636363637</v>
      </c>
      <c r="O125" s="185">
        <f t="shared" si="29"/>
        <v>-24.886363636363637</v>
      </c>
      <c r="P125" s="185">
        <f t="shared" si="36"/>
        <v>-248.86363636363635</v>
      </c>
      <c r="Q125" s="185">
        <f t="shared" si="30"/>
        <v>-248.86363636363635</v>
      </c>
      <c r="R125" s="192">
        <f t="shared" si="34"/>
        <v>45611</v>
      </c>
      <c r="T125" s="183">
        <f t="shared" si="31"/>
        <v>-248.86363636363635</v>
      </c>
      <c r="U125" s="195">
        <f t="shared" si="32"/>
        <v>0</v>
      </c>
    </row>
    <row r="126" spans="1:21" x14ac:dyDescent="0.25">
      <c r="A126" s="191">
        <v>2024</v>
      </c>
      <c r="B126" s="189">
        <v>125</v>
      </c>
      <c r="C126" s="71" t="s">
        <v>105</v>
      </c>
      <c r="D126" t="s">
        <v>705</v>
      </c>
      <c r="E126" s="1">
        <v>45544</v>
      </c>
      <c r="F126" t="s">
        <v>1110</v>
      </c>
      <c r="I126" t="b">
        <v>0</v>
      </c>
      <c r="J126" s="48">
        <v>341.35</v>
      </c>
      <c r="K126" s="185">
        <f t="shared" si="17"/>
        <v>31.45685791832355</v>
      </c>
      <c r="L126" s="72">
        <f>14.6/158.43</f>
        <v>9.2154263712680679E-2</v>
      </c>
      <c r="M126" s="72">
        <v>0.2</v>
      </c>
      <c r="N126" s="185">
        <f t="shared" si="35"/>
        <v>56.89166666666668</v>
      </c>
      <c r="O126" s="185">
        <f t="shared" si="29"/>
        <v>5.2428096530539259</v>
      </c>
      <c r="P126" s="185">
        <f t="shared" si="36"/>
        <v>284.45833333333337</v>
      </c>
      <c r="Q126" s="185">
        <f t="shared" si="30"/>
        <v>26.214048265269629</v>
      </c>
      <c r="R126" s="192">
        <f t="shared" si="34"/>
        <v>45611</v>
      </c>
      <c r="T126" s="183">
        <f t="shared" si="31"/>
        <v>26.214048265269629</v>
      </c>
      <c r="U126" s="195">
        <f t="shared" si="32"/>
        <v>0</v>
      </c>
    </row>
    <row r="127" spans="1:21" x14ac:dyDescent="0.25">
      <c r="A127" s="191">
        <v>2024</v>
      </c>
      <c r="B127" s="189">
        <v>126</v>
      </c>
      <c r="C127" s="71" t="s">
        <v>105</v>
      </c>
      <c r="D127" t="s">
        <v>692</v>
      </c>
      <c r="E127" s="1">
        <v>45544</v>
      </c>
      <c r="F127" t="s">
        <v>1810</v>
      </c>
      <c r="H127" s="2" t="s">
        <v>958</v>
      </c>
      <c r="I127" t="b">
        <v>0</v>
      </c>
      <c r="J127" s="48">
        <v>45</v>
      </c>
      <c r="K127" s="185">
        <f t="shared" si="17"/>
        <v>45</v>
      </c>
      <c r="L127" s="72">
        <v>1</v>
      </c>
      <c r="M127" s="72">
        <v>0.2</v>
      </c>
      <c r="N127" s="185">
        <f t="shared" si="35"/>
        <v>7.5</v>
      </c>
      <c r="O127" s="185">
        <f t="shared" si="29"/>
        <v>7.5</v>
      </c>
      <c r="P127" s="185">
        <f t="shared" si="36"/>
        <v>37.5</v>
      </c>
      <c r="Q127" s="185">
        <f t="shared" si="30"/>
        <v>37.5</v>
      </c>
      <c r="R127" s="192">
        <f t="shared" si="34"/>
        <v>45611</v>
      </c>
      <c r="T127" s="183">
        <f t="shared" si="31"/>
        <v>37.5</v>
      </c>
      <c r="U127" s="195">
        <f t="shared" si="32"/>
        <v>0</v>
      </c>
    </row>
    <row r="128" spans="1:21" x14ac:dyDescent="0.25">
      <c r="A128" s="191">
        <v>2024</v>
      </c>
      <c r="B128" s="189">
        <v>127</v>
      </c>
      <c r="C128" s="71" t="s">
        <v>105</v>
      </c>
      <c r="D128" t="s">
        <v>705</v>
      </c>
      <c r="E128" s="1">
        <v>45547</v>
      </c>
      <c r="F128" t="s">
        <v>1783</v>
      </c>
      <c r="I128" t="b">
        <v>0</v>
      </c>
      <c r="J128" s="48">
        <v>56</v>
      </c>
      <c r="K128" s="185">
        <f t="shared" si="17"/>
        <v>56</v>
      </c>
      <c r="L128" s="72">
        <v>1</v>
      </c>
      <c r="M128" s="72">
        <v>0</v>
      </c>
      <c r="N128" s="185">
        <f t="shared" si="35"/>
        <v>0</v>
      </c>
      <c r="O128" s="185">
        <f t="shared" si="29"/>
        <v>0</v>
      </c>
      <c r="P128" s="185">
        <f t="shared" si="36"/>
        <v>56</v>
      </c>
      <c r="Q128" s="185">
        <f t="shared" si="30"/>
        <v>56</v>
      </c>
      <c r="R128" s="192">
        <f t="shared" si="34"/>
        <v>45611</v>
      </c>
      <c r="S128">
        <v>20</v>
      </c>
      <c r="T128" s="183">
        <f t="shared" si="31"/>
        <v>56</v>
      </c>
      <c r="U128" s="195">
        <f t="shared" si="32"/>
        <v>11.200000000000001</v>
      </c>
    </row>
    <row r="129" spans="1:21" x14ac:dyDescent="0.25">
      <c r="A129" s="191">
        <v>2024</v>
      </c>
      <c r="B129" s="189">
        <v>128</v>
      </c>
      <c r="C129" s="71" t="s">
        <v>105</v>
      </c>
      <c r="D129" t="s">
        <v>703</v>
      </c>
      <c r="E129" s="1">
        <v>45548</v>
      </c>
      <c r="F129" t="s">
        <v>1781</v>
      </c>
      <c r="I129" t="b">
        <v>0</v>
      </c>
      <c r="J129" s="48">
        <v>55.7</v>
      </c>
      <c r="K129" s="185">
        <f t="shared" si="17"/>
        <v>37.319000000000003</v>
      </c>
      <c r="L129" s="72">
        <v>0.67</v>
      </c>
      <c r="M129" s="98">
        <f>N129/P129</f>
        <v>0.17213804713804712</v>
      </c>
      <c r="N129" s="185">
        <f>1.32+6.86</f>
        <v>8.18</v>
      </c>
      <c r="O129" s="185">
        <f t="shared" si="29"/>
        <v>5.4805999999999999</v>
      </c>
      <c r="P129" s="185">
        <f>13.21+34.31</f>
        <v>47.52</v>
      </c>
      <c r="Q129" s="185">
        <f t="shared" si="30"/>
        <v>31.838400000000004</v>
      </c>
      <c r="R129" s="192">
        <f t="shared" si="34"/>
        <v>45611</v>
      </c>
      <c r="T129" s="183">
        <f t="shared" si="31"/>
        <v>31.838400000000004</v>
      </c>
      <c r="U129" s="195">
        <f t="shared" si="32"/>
        <v>0</v>
      </c>
    </row>
    <row r="130" spans="1:21" x14ac:dyDescent="0.25">
      <c r="A130" s="191">
        <v>2024</v>
      </c>
      <c r="B130" s="189">
        <v>129</v>
      </c>
      <c r="C130" s="71" t="s">
        <v>105</v>
      </c>
      <c r="D130" t="s">
        <v>703</v>
      </c>
      <c r="E130" s="1">
        <v>45551</v>
      </c>
      <c r="F130" t="s">
        <v>1811</v>
      </c>
      <c r="I130" t="b">
        <v>0</v>
      </c>
      <c r="J130" s="48">
        <v>177.6</v>
      </c>
      <c r="K130" s="185">
        <f t="shared" ref="K130:K193" si="37">$J130*$L130</f>
        <v>16.366597235372087</v>
      </c>
      <c r="L130" s="72">
        <f>14.6/158.43</f>
        <v>9.2154263712680679E-2</v>
      </c>
      <c r="M130" s="72">
        <v>0.2</v>
      </c>
      <c r="N130" s="185">
        <f t="shared" ref="N130:N140" si="38">$P130*$M130</f>
        <v>29.6</v>
      </c>
      <c r="O130" s="185">
        <f t="shared" ref="O130:O161" si="39">L130*$N130</f>
        <v>2.7277662058953482</v>
      </c>
      <c r="P130" s="185">
        <f>$J130/(100%+$M130)</f>
        <v>148</v>
      </c>
      <c r="Q130" s="185">
        <f t="shared" ref="Q130:Q161" si="40">$L130*$P130</f>
        <v>13.638831029476741</v>
      </c>
      <c r="R130" s="192">
        <f t="shared" si="34"/>
        <v>45611</v>
      </c>
      <c r="T130" s="183">
        <f t="shared" ref="T130:T161" si="41">IF(G130=TRUE,Q130/F130,Q130)</f>
        <v>13.638831029476741</v>
      </c>
      <c r="U130" s="195">
        <f t="shared" ref="U130:U161" si="42">$S130/100*$K130</f>
        <v>0</v>
      </c>
    </row>
    <row r="131" spans="1:21" x14ac:dyDescent="0.25">
      <c r="A131" s="191">
        <v>2024</v>
      </c>
      <c r="B131" s="189">
        <v>130</v>
      </c>
      <c r="C131" s="71" t="s">
        <v>708</v>
      </c>
      <c r="D131" t="s">
        <v>709</v>
      </c>
      <c r="E131" s="1">
        <v>45551</v>
      </c>
      <c r="F131" t="s">
        <v>1815</v>
      </c>
      <c r="J131" s="48">
        <v>1148.1400000000001</v>
      </c>
      <c r="K131" s="185">
        <f t="shared" si="37"/>
        <v>1148.1400000000001</v>
      </c>
      <c r="L131" s="72">
        <v>1</v>
      </c>
      <c r="M131" s="72">
        <v>0.2</v>
      </c>
      <c r="N131" s="185">
        <f t="shared" si="38"/>
        <v>191.35666666666668</v>
      </c>
      <c r="O131" s="185">
        <f t="shared" si="39"/>
        <v>191.35666666666668</v>
      </c>
      <c r="P131" s="185">
        <f>$J131/(100%+$M131)</f>
        <v>956.78333333333342</v>
      </c>
      <c r="Q131" s="185">
        <f t="shared" si="40"/>
        <v>956.78333333333342</v>
      </c>
      <c r="R131" s="192">
        <f t="shared" si="34"/>
        <v>45611</v>
      </c>
      <c r="T131" s="183">
        <f t="shared" si="41"/>
        <v>956.78333333333342</v>
      </c>
      <c r="U131" s="195">
        <f t="shared" si="42"/>
        <v>0</v>
      </c>
    </row>
    <row r="132" spans="1:21" x14ac:dyDescent="0.25">
      <c r="A132" s="191">
        <v>2024</v>
      </c>
      <c r="B132" s="189">
        <v>131</v>
      </c>
      <c r="C132" s="71" t="s">
        <v>105</v>
      </c>
      <c r="D132" t="s">
        <v>705</v>
      </c>
      <c r="E132" s="1">
        <v>45551</v>
      </c>
      <c r="F132" t="s">
        <v>1783</v>
      </c>
      <c r="I132" t="b">
        <v>0</v>
      </c>
      <c r="J132" s="48">
        <v>19.6936</v>
      </c>
      <c r="K132" s="185">
        <f t="shared" si="37"/>
        <v>19.6936</v>
      </c>
      <c r="L132" s="72">
        <v>1</v>
      </c>
      <c r="M132" s="72">
        <v>0</v>
      </c>
      <c r="N132" s="185">
        <f t="shared" si="38"/>
        <v>0</v>
      </c>
      <c r="O132" s="185">
        <f t="shared" si="39"/>
        <v>0</v>
      </c>
      <c r="P132" s="185">
        <f>$J132/(100%+$M132)</f>
        <v>19.6936</v>
      </c>
      <c r="Q132" s="185">
        <f t="shared" si="40"/>
        <v>19.6936</v>
      </c>
      <c r="R132" s="192">
        <f t="shared" si="34"/>
        <v>45611</v>
      </c>
      <c r="S132">
        <v>20</v>
      </c>
      <c r="T132" s="183">
        <f t="shared" si="41"/>
        <v>19.6936</v>
      </c>
      <c r="U132" s="195">
        <f t="shared" si="42"/>
        <v>3.93872</v>
      </c>
    </row>
    <row r="133" spans="1:21" x14ac:dyDescent="0.25">
      <c r="A133" s="191">
        <v>2024</v>
      </c>
      <c r="B133" s="189">
        <v>132</v>
      </c>
      <c r="C133" s="71" t="s">
        <v>105</v>
      </c>
      <c r="D133" t="s">
        <v>705</v>
      </c>
      <c r="E133" s="1">
        <v>45555</v>
      </c>
      <c r="F133" t="s">
        <v>1032</v>
      </c>
      <c r="I133" t="b">
        <v>0</v>
      </c>
      <c r="J133" s="48">
        <v>11.7</v>
      </c>
      <c r="K133" s="185">
        <f t="shared" si="37"/>
        <v>11.7</v>
      </c>
      <c r="L133" s="72">
        <v>1</v>
      </c>
      <c r="M133" s="72">
        <v>0</v>
      </c>
      <c r="N133" s="185">
        <f t="shared" si="38"/>
        <v>0</v>
      </c>
      <c r="O133" s="185">
        <f t="shared" si="39"/>
        <v>0</v>
      </c>
      <c r="P133" s="185">
        <f>$J133/(100%+$M133)</f>
        <v>11.7</v>
      </c>
      <c r="Q133" s="185">
        <f t="shared" si="40"/>
        <v>11.7</v>
      </c>
      <c r="R133" s="192">
        <f t="shared" si="34"/>
        <v>45611</v>
      </c>
      <c r="S133">
        <v>20</v>
      </c>
      <c r="T133" s="183">
        <f t="shared" si="41"/>
        <v>11.7</v>
      </c>
      <c r="U133" s="195">
        <f t="shared" si="42"/>
        <v>2.34</v>
      </c>
    </row>
    <row r="134" spans="1:21" x14ac:dyDescent="0.25">
      <c r="A134" s="191">
        <v>2024</v>
      </c>
      <c r="B134" s="189">
        <v>133</v>
      </c>
      <c r="C134" s="71" t="s">
        <v>105</v>
      </c>
      <c r="D134" t="s">
        <v>705</v>
      </c>
      <c r="E134" s="1">
        <v>45560</v>
      </c>
      <c r="F134" t="s">
        <v>1794</v>
      </c>
      <c r="I134" t="b">
        <v>0</v>
      </c>
      <c r="J134" s="48">
        <v>21.87</v>
      </c>
      <c r="K134" s="185">
        <f t="shared" si="37"/>
        <v>21.87</v>
      </c>
      <c r="L134" s="72">
        <v>1</v>
      </c>
      <c r="M134" s="72">
        <v>0.2</v>
      </c>
      <c r="N134" s="185">
        <f t="shared" si="38"/>
        <v>3.5916666666666672</v>
      </c>
      <c r="O134" s="185">
        <f t="shared" si="39"/>
        <v>3.5916666666666672</v>
      </c>
      <c r="P134" s="185">
        <f>($J134-0.32)/(100%+$M134)</f>
        <v>17.958333333333336</v>
      </c>
      <c r="Q134" s="185">
        <f t="shared" si="40"/>
        <v>17.958333333333336</v>
      </c>
      <c r="R134" s="192">
        <f t="shared" si="34"/>
        <v>45611</v>
      </c>
      <c r="T134" s="183">
        <f t="shared" si="41"/>
        <v>17.958333333333336</v>
      </c>
      <c r="U134" s="195">
        <f t="shared" si="42"/>
        <v>0</v>
      </c>
    </row>
    <row r="135" spans="1:21" x14ac:dyDescent="0.25">
      <c r="A135" s="191">
        <v>2024</v>
      </c>
      <c r="B135" s="189">
        <v>134</v>
      </c>
      <c r="C135" s="71" t="s">
        <v>105</v>
      </c>
      <c r="D135" t="s">
        <v>703</v>
      </c>
      <c r="E135" s="1">
        <v>45567</v>
      </c>
      <c r="F135" t="s">
        <v>34</v>
      </c>
      <c r="I135" t="b">
        <v>0</v>
      </c>
      <c r="J135" s="48">
        <v>13.91</v>
      </c>
      <c r="K135" s="185">
        <f t="shared" si="37"/>
        <v>13.91</v>
      </c>
      <c r="L135" s="72">
        <v>1</v>
      </c>
      <c r="M135" s="72">
        <v>0.2</v>
      </c>
      <c r="N135" s="185">
        <f t="shared" si="38"/>
        <v>2.3183333333333334</v>
      </c>
      <c r="O135" s="185">
        <f t="shared" si="39"/>
        <v>2.3183333333333334</v>
      </c>
      <c r="P135" s="185">
        <f t="shared" ref="P135:P140" si="43">$J135/(100%+$M135)</f>
        <v>11.591666666666667</v>
      </c>
      <c r="Q135" s="185">
        <f t="shared" si="40"/>
        <v>11.591666666666667</v>
      </c>
      <c r="R135" s="192">
        <f t="shared" si="34"/>
        <v>45703</v>
      </c>
      <c r="T135" s="183">
        <f t="shared" si="41"/>
        <v>11.591666666666667</v>
      </c>
      <c r="U135" s="195">
        <f t="shared" si="42"/>
        <v>0</v>
      </c>
    </row>
    <row r="136" spans="1:21" x14ac:dyDescent="0.25">
      <c r="A136" s="191">
        <v>2024</v>
      </c>
      <c r="B136" s="189">
        <v>135</v>
      </c>
      <c r="C136" s="71" t="s">
        <v>105</v>
      </c>
      <c r="D136" t="s">
        <v>692</v>
      </c>
      <c r="E136" s="1">
        <v>45567</v>
      </c>
      <c r="F136" t="s">
        <v>1813</v>
      </c>
      <c r="I136" t="b">
        <v>0</v>
      </c>
      <c r="J136" s="48">
        <v>337</v>
      </c>
      <c r="K136" s="185">
        <f t="shared" si="37"/>
        <v>337</v>
      </c>
      <c r="L136" s="72">
        <v>1</v>
      </c>
      <c r="M136" s="72">
        <v>0</v>
      </c>
      <c r="N136" s="185">
        <f t="shared" si="38"/>
        <v>0</v>
      </c>
      <c r="O136" s="185">
        <f t="shared" si="39"/>
        <v>0</v>
      </c>
      <c r="P136" s="185">
        <f t="shared" si="43"/>
        <v>337</v>
      </c>
      <c r="Q136" s="185">
        <f t="shared" si="40"/>
        <v>337</v>
      </c>
      <c r="R136" s="192">
        <f t="shared" si="34"/>
        <v>45703</v>
      </c>
      <c r="S136">
        <v>20</v>
      </c>
      <c r="T136" s="183">
        <f t="shared" si="41"/>
        <v>337</v>
      </c>
      <c r="U136" s="195">
        <f t="shared" si="42"/>
        <v>67.400000000000006</v>
      </c>
    </row>
    <row r="137" spans="1:21" x14ac:dyDescent="0.25">
      <c r="A137" s="191">
        <v>2024</v>
      </c>
      <c r="B137" s="189">
        <v>136</v>
      </c>
      <c r="C137" s="71" t="s">
        <v>105</v>
      </c>
      <c r="D137" t="s">
        <v>705</v>
      </c>
      <c r="E137" s="1">
        <v>45568</v>
      </c>
      <c r="F137" t="s">
        <v>1404</v>
      </c>
      <c r="I137" t="b">
        <v>0</v>
      </c>
      <c r="J137" s="48">
        <v>13.8</v>
      </c>
      <c r="K137" s="185">
        <f t="shared" si="37"/>
        <v>13.8</v>
      </c>
      <c r="L137" s="72">
        <v>1</v>
      </c>
      <c r="M137" s="72">
        <v>0</v>
      </c>
      <c r="N137" s="185">
        <f t="shared" si="38"/>
        <v>0</v>
      </c>
      <c r="O137" s="185">
        <f t="shared" si="39"/>
        <v>0</v>
      </c>
      <c r="P137" s="185">
        <f t="shared" si="43"/>
        <v>13.8</v>
      </c>
      <c r="Q137" s="185">
        <f t="shared" si="40"/>
        <v>13.8</v>
      </c>
      <c r="R137" s="192">
        <f t="shared" si="34"/>
        <v>45703</v>
      </c>
      <c r="S137">
        <v>20</v>
      </c>
      <c r="T137" s="183">
        <f t="shared" si="41"/>
        <v>13.8</v>
      </c>
      <c r="U137" s="195">
        <f t="shared" si="42"/>
        <v>2.7600000000000002</v>
      </c>
    </row>
    <row r="138" spans="1:21" x14ac:dyDescent="0.25">
      <c r="A138" s="191">
        <v>2024</v>
      </c>
      <c r="B138" s="189">
        <v>137</v>
      </c>
      <c r="C138" s="71" t="s">
        <v>105</v>
      </c>
      <c r="D138" t="s">
        <v>705</v>
      </c>
      <c r="E138" s="1">
        <v>45576</v>
      </c>
      <c r="F138" t="s">
        <v>1783</v>
      </c>
      <c r="I138" t="b">
        <v>0</v>
      </c>
      <c r="J138" s="48">
        <v>56</v>
      </c>
      <c r="K138" s="185">
        <f t="shared" si="37"/>
        <v>56</v>
      </c>
      <c r="L138" s="72">
        <v>1</v>
      </c>
      <c r="M138" s="72">
        <v>0</v>
      </c>
      <c r="N138" s="185">
        <f t="shared" si="38"/>
        <v>0</v>
      </c>
      <c r="O138" s="185">
        <f t="shared" si="39"/>
        <v>0</v>
      </c>
      <c r="P138" s="185">
        <f t="shared" si="43"/>
        <v>56</v>
      </c>
      <c r="Q138" s="185">
        <f t="shared" si="40"/>
        <v>56</v>
      </c>
      <c r="R138" s="192">
        <f t="shared" si="34"/>
        <v>45703</v>
      </c>
      <c r="S138">
        <v>20</v>
      </c>
      <c r="T138" s="183">
        <f t="shared" si="41"/>
        <v>56</v>
      </c>
      <c r="U138" s="195">
        <f t="shared" si="42"/>
        <v>11.200000000000001</v>
      </c>
    </row>
    <row r="139" spans="1:21" x14ac:dyDescent="0.25">
      <c r="A139" s="191">
        <v>2024</v>
      </c>
      <c r="B139" s="189">
        <v>138</v>
      </c>
      <c r="C139" s="71" t="s">
        <v>708</v>
      </c>
      <c r="D139" t="s">
        <v>709</v>
      </c>
      <c r="E139" s="1">
        <v>45576</v>
      </c>
      <c r="F139" t="s">
        <v>1788</v>
      </c>
      <c r="J139" s="48">
        <v>7841.86</v>
      </c>
      <c r="K139" s="185">
        <f t="shared" si="37"/>
        <v>7841.86</v>
      </c>
      <c r="L139" s="72">
        <v>1</v>
      </c>
      <c r="M139" s="72">
        <v>0.2</v>
      </c>
      <c r="N139" s="185">
        <f t="shared" si="38"/>
        <v>1306.9766666666667</v>
      </c>
      <c r="O139" s="185">
        <f t="shared" si="39"/>
        <v>1306.9766666666667</v>
      </c>
      <c r="P139" s="185">
        <f t="shared" si="43"/>
        <v>6534.8833333333332</v>
      </c>
      <c r="Q139" s="185">
        <f t="shared" si="40"/>
        <v>6534.8833333333332</v>
      </c>
      <c r="R139" s="192">
        <f t="shared" si="34"/>
        <v>45703</v>
      </c>
      <c r="T139" s="183">
        <f t="shared" si="41"/>
        <v>6534.8833333333332</v>
      </c>
      <c r="U139" s="195">
        <f t="shared" si="42"/>
        <v>0</v>
      </c>
    </row>
    <row r="140" spans="1:21" x14ac:dyDescent="0.25">
      <c r="A140" s="191">
        <v>2024</v>
      </c>
      <c r="B140" s="189">
        <v>139</v>
      </c>
      <c r="C140" s="71" t="s">
        <v>708</v>
      </c>
      <c r="D140" t="s">
        <v>710</v>
      </c>
      <c r="E140" s="1">
        <v>45551</v>
      </c>
      <c r="F140" t="s">
        <v>1814</v>
      </c>
      <c r="J140" s="48">
        <v>450</v>
      </c>
      <c r="K140" s="185">
        <f t="shared" si="37"/>
        <v>450</v>
      </c>
      <c r="L140" s="72">
        <v>1</v>
      </c>
      <c r="M140" s="72">
        <v>0</v>
      </c>
      <c r="N140" s="185">
        <f t="shared" si="38"/>
        <v>0</v>
      </c>
      <c r="O140" s="185">
        <f t="shared" si="39"/>
        <v>0</v>
      </c>
      <c r="P140" s="185">
        <f t="shared" si="43"/>
        <v>450</v>
      </c>
      <c r="Q140" s="185">
        <f t="shared" si="40"/>
        <v>450</v>
      </c>
      <c r="R140" s="192">
        <f t="shared" si="34"/>
        <v>45611</v>
      </c>
      <c r="T140" s="183">
        <f t="shared" si="41"/>
        <v>450</v>
      </c>
      <c r="U140" s="195">
        <f t="shared" si="42"/>
        <v>0</v>
      </c>
    </row>
    <row r="141" spans="1:21" x14ac:dyDescent="0.25">
      <c r="A141" s="191">
        <v>2024</v>
      </c>
      <c r="B141" s="189">
        <v>140</v>
      </c>
      <c r="C141" s="71" t="s">
        <v>105</v>
      </c>
      <c r="D141" t="s">
        <v>703</v>
      </c>
      <c r="E141" s="1">
        <v>45580</v>
      </c>
      <c r="F141" t="s">
        <v>1781</v>
      </c>
      <c r="I141" t="b">
        <v>0</v>
      </c>
      <c r="J141" s="48">
        <v>55.7</v>
      </c>
      <c r="K141" s="185">
        <f t="shared" si="37"/>
        <v>37.319000000000003</v>
      </c>
      <c r="L141" s="72">
        <v>0.67</v>
      </c>
      <c r="M141" s="98">
        <f>N141/P141</f>
        <v>0.17213804713804712</v>
      </c>
      <c r="N141" s="185">
        <f>1.32+6.86</f>
        <v>8.18</v>
      </c>
      <c r="O141" s="185">
        <f t="shared" si="39"/>
        <v>5.4805999999999999</v>
      </c>
      <c r="P141" s="185">
        <f>13.21+34.31</f>
        <v>47.52</v>
      </c>
      <c r="Q141" s="185">
        <f t="shared" si="40"/>
        <v>31.838400000000004</v>
      </c>
      <c r="R141" s="192">
        <f t="shared" ref="R141:R173" si="44">voranmeldefrist_vierteljaehrlich(E141)</f>
        <v>45703</v>
      </c>
      <c r="T141" s="183">
        <f t="shared" si="41"/>
        <v>31.838400000000004</v>
      </c>
      <c r="U141" s="195">
        <f t="shared" si="42"/>
        <v>0</v>
      </c>
    </row>
    <row r="142" spans="1:21" x14ac:dyDescent="0.25">
      <c r="A142" s="191">
        <v>2024</v>
      </c>
      <c r="B142" s="189">
        <v>141</v>
      </c>
      <c r="C142" s="71" t="s">
        <v>105</v>
      </c>
      <c r="D142" t="s">
        <v>705</v>
      </c>
      <c r="E142" s="1">
        <v>45581</v>
      </c>
      <c r="F142" t="s">
        <v>1783</v>
      </c>
      <c r="I142" t="b">
        <v>0</v>
      </c>
      <c r="J142" s="48">
        <v>9.16</v>
      </c>
      <c r="K142" s="185">
        <f t="shared" si="37"/>
        <v>9.16</v>
      </c>
      <c r="L142" s="72">
        <v>1</v>
      </c>
      <c r="M142" s="72">
        <v>0</v>
      </c>
      <c r="N142" s="185">
        <f t="shared" ref="N142:N149" si="45">$P142*$M142</f>
        <v>0</v>
      </c>
      <c r="O142" s="185">
        <f t="shared" si="39"/>
        <v>0</v>
      </c>
      <c r="P142" s="185">
        <f>$J142/(100%+$M142)</f>
        <v>9.16</v>
      </c>
      <c r="Q142" s="185">
        <f t="shared" si="40"/>
        <v>9.16</v>
      </c>
      <c r="R142" s="192">
        <f t="shared" si="44"/>
        <v>45703</v>
      </c>
      <c r="S142">
        <v>20</v>
      </c>
      <c r="T142" s="183">
        <f t="shared" si="41"/>
        <v>9.16</v>
      </c>
      <c r="U142" s="195">
        <f t="shared" si="42"/>
        <v>1.8320000000000001</v>
      </c>
    </row>
    <row r="143" spans="1:21" x14ac:dyDescent="0.25">
      <c r="A143" s="191">
        <v>2024</v>
      </c>
      <c r="B143" s="189">
        <v>142</v>
      </c>
      <c r="C143" s="71" t="s">
        <v>708</v>
      </c>
      <c r="D143" t="s">
        <v>709</v>
      </c>
      <c r="E143" s="1">
        <v>45582</v>
      </c>
      <c r="F143" t="s">
        <v>1038</v>
      </c>
      <c r="J143" s="48">
        <v>2405.41</v>
      </c>
      <c r="K143" s="185">
        <f t="shared" si="37"/>
        <v>2405.41</v>
      </c>
      <c r="L143" s="72">
        <v>1</v>
      </c>
      <c r="M143" s="72">
        <v>0.2</v>
      </c>
      <c r="N143" s="185">
        <f t="shared" si="45"/>
        <v>400.90166666666664</v>
      </c>
      <c r="O143" s="185">
        <f t="shared" si="39"/>
        <v>400.90166666666664</v>
      </c>
      <c r="P143" s="185">
        <f>$J143/(100%+$M143)</f>
        <v>2004.5083333333332</v>
      </c>
      <c r="Q143" s="185">
        <f t="shared" si="40"/>
        <v>2004.5083333333332</v>
      </c>
      <c r="R143" s="192">
        <f t="shared" si="44"/>
        <v>45703</v>
      </c>
      <c r="T143" s="183">
        <f t="shared" si="41"/>
        <v>2004.5083333333332</v>
      </c>
      <c r="U143" s="195">
        <f t="shared" si="42"/>
        <v>0</v>
      </c>
    </row>
    <row r="144" spans="1:21" x14ac:dyDescent="0.25">
      <c r="A144" s="191">
        <v>2024</v>
      </c>
      <c r="B144" s="189">
        <v>143</v>
      </c>
      <c r="C144" s="71" t="s">
        <v>105</v>
      </c>
      <c r="D144" t="s">
        <v>339</v>
      </c>
      <c r="E144" s="1">
        <v>45586</v>
      </c>
      <c r="F144" t="s">
        <v>1746</v>
      </c>
      <c r="H144" s="2"/>
      <c r="I144" t="b">
        <v>0</v>
      </c>
      <c r="J144" s="48">
        <v>118.75</v>
      </c>
      <c r="K144" s="185">
        <f t="shared" si="37"/>
        <v>118.75</v>
      </c>
      <c r="L144" s="72">
        <v>1</v>
      </c>
      <c r="M144" s="72">
        <v>0.2</v>
      </c>
      <c r="N144" s="185">
        <f t="shared" si="45"/>
        <v>19.791666666666671</v>
      </c>
      <c r="O144" s="185">
        <f t="shared" si="39"/>
        <v>19.791666666666671</v>
      </c>
      <c r="P144" s="185">
        <f>$J144/(100%+$M144)</f>
        <v>98.958333333333343</v>
      </c>
      <c r="Q144" s="185">
        <f t="shared" si="40"/>
        <v>98.958333333333343</v>
      </c>
      <c r="R144" s="192">
        <f t="shared" si="44"/>
        <v>45703</v>
      </c>
      <c r="T144" s="183">
        <f t="shared" si="41"/>
        <v>98.958333333333343</v>
      </c>
      <c r="U144" s="195">
        <f t="shared" si="42"/>
        <v>0</v>
      </c>
    </row>
    <row r="145" spans="1:21" x14ac:dyDescent="0.25">
      <c r="A145" s="191">
        <v>2024</v>
      </c>
      <c r="B145" s="189">
        <v>144</v>
      </c>
      <c r="C145" s="71" t="s">
        <v>105</v>
      </c>
      <c r="D145" t="s">
        <v>705</v>
      </c>
      <c r="E145" s="1">
        <v>45586</v>
      </c>
      <c r="F145" t="s">
        <v>1032</v>
      </c>
      <c r="I145" t="b">
        <v>0</v>
      </c>
      <c r="J145" s="48">
        <v>11.7</v>
      </c>
      <c r="K145" s="185">
        <f t="shared" si="37"/>
        <v>11.7</v>
      </c>
      <c r="L145" s="72">
        <v>1</v>
      </c>
      <c r="M145" s="72">
        <v>0</v>
      </c>
      <c r="N145" s="185">
        <f t="shared" si="45"/>
        <v>0</v>
      </c>
      <c r="O145" s="185">
        <f t="shared" si="39"/>
        <v>0</v>
      </c>
      <c r="P145" s="185">
        <f>$J145/(100%+$M145)</f>
        <v>11.7</v>
      </c>
      <c r="Q145" s="185">
        <f t="shared" si="40"/>
        <v>11.7</v>
      </c>
      <c r="R145" s="192">
        <f t="shared" si="44"/>
        <v>45703</v>
      </c>
      <c r="S145">
        <v>20</v>
      </c>
      <c r="T145" s="183">
        <f t="shared" si="41"/>
        <v>11.7</v>
      </c>
      <c r="U145" s="195">
        <f t="shared" si="42"/>
        <v>2.34</v>
      </c>
    </row>
    <row r="146" spans="1:21" x14ac:dyDescent="0.25">
      <c r="A146" s="191">
        <v>2024</v>
      </c>
      <c r="B146" s="189">
        <v>145</v>
      </c>
      <c r="C146" s="71" t="s">
        <v>708</v>
      </c>
      <c r="D146" t="s">
        <v>709</v>
      </c>
      <c r="E146" s="1">
        <v>45587</v>
      </c>
      <c r="F146" t="s">
        <v>1816</v>
      </c>
      <c r="J146" s="48">
        <v>198</v>
      </c>
      <c r="K146" s="185">
        <f t="shared" si="37"/>
        <v>198</v>
      </c>
      <c r="L146" s="72">
        <v>1</v>
      </c>
      <c r="M146" s="72">
        <v>0.2</v>
      </c>
      <c r="N146" s="185">
        <f t="shared" si="45"/>
        <v>33</v>
      </c>
      <c r="O146" s="185">
        <f t="shared" si="39"/>
        <v>33</v>
      </c>
      <c r="P146" s="185">
        <f>$J146/(100%+$M146)</f>
        <v>165</v>
      </c>
      <c r="Q146" s="185">
        <f t="shared" si="40"/>
        <v>165</v>
      </c>
      <c r="R146" s="192">
        <f t="shared" si="44"/>
        <v>45703</v>
      </c>
      <c r="T146" s="183">
        <f t="shared" si="41"/>
        <v>165</v>
      </c>
      <c r="U146" s="195">
        <f t="shared" si="42"/>
        <v>0</v>
      </c>
    </row>
    <row r="147" spans="1:21" x14ac:dyDescent="0.25">
      <c r="A147" s="191">
        <v>2024</v>
      </c>
      <c r="B147" s="189">
        <v>146</v>
      </c>
      <c r="C147" s="71" t="s">
        <v>105</v>
      </c>
      <c r="D147" t="s">
        <v>705</v>
      </c>
      <c r="E147" s="1">
        <v>45590</v>
      </c>
      <c r="F147" t="s">
        <v>1794</v>
      </c>
      <c r="I147" t="b">
        <v>0</v>
      </c>
      <c r="J147" s="48">
        <v>22.57</v>
      </c>
      <c r="K147" s="185">
        <f t="shared" si="37"/>
        <v>22.57</v>
      </c>
      <c r="L147" s="72">
        <v>1</v>
      </c>
      <c r="M147" s="72">
        <v>0.2</v>
      </c>
      <c r="N147" s="185">
        <f t="shared" si="45"/>
        <v>3.7083333333333339</v>
      </c>
      <c r="O147" s="185">
        <f t="shared" si="39"/>
        <v>3.7083333333333339</v>
      </c>
      <c r="P147" s="185">
        <f>($J147-0.32)/(100%+$M147)</f>
        <v>18.541666666666668</v>
      </c>
      <c r="Q147" s="185">
        <f t="shared" si="40"/>
        <v>18.541666666666668</v>
      </c>
      <c r="R147" s="192">
        <f t="shared" si="44"/>
        <v>45703</v>
      </c>
      <c r="T147" s="183">
        <f t="shared" si="41"/>
        <v>18.541666666666668</v>
      </c>
      <c r="U147" s="195">
        <f t="shared" si="42"/>
        <v>0</v>
      </c>
    </row>
    <row r="148" spans="1:21" x14ac:dyDescent="0.25">
      <c r="A148" s="191">
        <v>2024</v>
      </c>
      <c r="B148" s="189">
        <v>147</v>
      </c>
      <c r="C148" s="71" t="s">
        <v>105</v>
      </c>
      <c r="D148" t="s">
        <v>692</v>
      </c>
      <c r="E148" s="1">
        <v>45593</v>
      </c>
      <c r="F148" t="s">
        <v>1817</v>
      </c>
      <c r="H148" s="2" t="s">
        <v>958</v>
      </c>
      <c r="I148" t="b">
        <v>0</v>
      </c>
      <c r="J148" s="48">
        <v>20.28</v>
      </c>
      <c r="K148" s="185">
        <f t="shared" si="37"/>
        <v>20.28</v>
      </c>
      <c r="L148" s="72">
        <v>1</v>
      </c>
      <c r="M148" s="72">
        <v>0</v>
      </c>
      <c r="N148" s="185">
        <f t="shared" si="45"/>
        <v>0</v>
      </c>
      <c r="O148" s="185">
        <f t="shared" si="39"/>
        <v>0</v>
      </c>
      <c r="P148" s="185">
        <f>$J148/(100%+$M148)</f>
        <v>20.28</v>
      </c>
      <c r="Q148" s="185">
        <f t="shared" si="40"/>
        <v>20.28</v>
      </c>
      <c r="R148" s="192">
        <f t="shared" si="44"/>
        <v>45703</v>
      </c>
      <c r="S148">
        <v>20</v>
      </c>
      <c r="T148" s="183">
        <f t="shared" si="41"/>
        <v>20.28</v>
      </c>
      <c r="U148" s="195">
        <f t="shared" si="42"/>
        <v>4.056</v>
      </c>
    </row>
    <row r="149" spans="1:21" x14ac:dyDescent="0.25">
      <c r="A149" s="191">
        <v>2024</v>
      </c>
      <c r="B149" s="189">
        <v>148</v>
      </c>
      <c r="C149" s="71" t="s">
        <v>105</v>
      </c>
      <c r="D149" t="s">
        <v>705</v>
      </c>
      <c r="E149" s="1">
        <v>45596</v>
      </c>
      <c r="F149" t="s">
        <v>1818</v>
      </c>
      <c r="I149" t="b">
        <v>0</v>
      </c>
      <c r="J149" s="48">
        <v>380.9</v>
      </c>
      <c r="K149" s="185">
        <f t="shared" si="37"/>
        <v>380.9</v>
      </c>
      <c r="L149" s="72">
        <v>1</v>
      </c>
      <c r="M149" s="72">
        <v>0.2</v>
      </c>
      <c r="N149" s="185">
        <f t="shared" si="45"/>
        <v>63.483333333333341</v>
      </c>
      <c r="O149" s="185">
        <f t="shared" si="39"/>
        <v>63.483333333333341</v>
      </c>
      <c r="P149" s="185">
        <f>$J149/(100%+$M149)</f>
        <v>317.41666666666669</v>
      </c>
      <c r="Q149" s="185">
        <f t="shared" si="40"/>
        <v>317.41666666666669</v>
      </c>
      <c r="R149" s="192">
        <f t="shared" si="44"/>
        <v>45703</v>
      </c>
      <c r="T149" s="183">
        <f t="shared" si="41"/>
        <v>317.41666666666669</v>
      </c>
      <c r="U149" s="195">
        <f t="shared" si="42"/>
        <v>0</v>
      </c>
    </row>
    <row r="150" spans="1:21" x14ac:dyDescent="0.25">
      <c r="A150" s="191">
        <v>2024</v>
      </c>
      <c r="B150" s="189">
        <v>149</v>
      </c>
      <c r="C150" s="71" t="s">
        <v>105</v>
      </c>
      <c r="D150" t="s">
        <v>705</v>
      </c>
      <c r="E150" s="1">
        <v>45600</v>
      </c>
      <c r="F150" t="s">
        <v>1786</v>
      </c>
      <c r="I150" t="b">
        <v>0</v>
      </c>
      <c r="J150" s="48">
        <v>234.71</v>
      </c>
      <c r="K150" s="185">
        <f t="shared" si="37"/>
        <v>21.629527236003284</v>
      </c>
      <c r="L150" s="72">
        <f>14.6/158.43</f>
        <v>9.2154263712680679E-2</v>
      </c>
      <c r="M150" s="98">
        <f>N150/P150</f>
        <v>9.8212614635972292E-2</v>
      </c>
      <c r="N150" s="185">
        <v>20.99</v>
      </c>
      <c r="O150" s="185">
        <f t="shared" si="39"/>
        <v>1.9343179953291674</v>
      </c>
      <c r="P150" s="185">
        <v>213.72</v>
      </c>
      <c r="Q150" s="185">
        <f t="shared" si="40"/>
        <v>19.695209240674114</v>
      </c>
      <c r="R150" s="192">
        <f t="shared" si="44"/>
        <v>45703</v>
      </c>
      <c r="T150" s="183">
        <f t="shared" si="41"/>
        <v>19.695209240674114</v>
      </c>
      <c r="U150" s="195">
        <f t="shared" si="42"/>
        <v>0</v>
      </c>
    </row>
    <row r="151" spans="1:21" x14ac:dyDescent="0.25">
      <c r="A151" s="191">
        <v>2024</v>
      </c>
      <c r="B151" s="189">
        <v>150</v>
      </c>
      <c r="C151" s="71" t="s">
        <v>105</v>
      </c>
      <c r="D151" t="s">
        <v>703</v>
      </c>
      <c r="E151" s="1">
        <v>45600</v>
      </c>
      <c r="F151" t="s">
        <v>34</v>
      </c>
      <c r="I151" t="b">
        <v>0</v>
      </c>
      <c r="J151" s="48">
        <v>15.28</v>
      </c>
      <c r="K151" s="185">
        <f t="shared" si="37"/>
        <v>15.28</v>
      </c>
      <c r="L151" s="72">
        <v>1</v>
      </c>
      <c r="M151" s="72">
        <v>0.2</v>
      </c>
      <c r="N151" s="185">
        <f>$P151*$M151</f>
        <v>2.5466666666666669</v>
      </c>
      <c r="O151" s="185">
        <f t="shared" si="39"/>
        <v>2.5466666666666669</v>
      </c>
      <c r="P151" s="185">
        <f>$J151/(100%+$M151)</f>
        <v>12.733333333333333</v>
      </c>
      <c r="Q151" s="185">
        <f t="shared" si="40"/>
        <v>12.733333333333333</v>
      </c>
      <c r="R151" s="192">
        <f t="shared" si="44"/>
        <v>45703</v>
      </c>
      <c r="T151" s="183">
        <f t="shared" si="41"/>
        <v>12.733333333333333</v>
      </c>
      <c r="U151" s="195">
        <f t="shared" si="42"/>
        <v>0</v>
      </c>
    </row>
    <row r="152" spans="1:21" x14ac:dyDescent="0.25">
      <c r="A152" s="191">
        <v>2024</v>
      </c>
      <c r="B152" s="189">
        <v>151</v>
      </c>
      <c r="C152" s="71" t="s">
        <v>105</v>
      </c>
      <c r="D152" t="s">
        <v>705</v>
      </c>
      <c r="E152" s="1">
        <v>45600</v>
      </c>
      <c r="F152" t="s">
        <v>1404</v>
      </c>
      <c r="I152" t="b">
        <v>0</v>
      </c>
      <c r="J152" s="48">
        <v>13.8</v>
      </c>
      <c r="K152" s="185">
        <f t="shared" si="37"/>
        <v>13.8</v>
      </c>
      <c r="L152" s="72">
        <v>1</v>
      </c>
      <c r="M152" s="72">
        <v>0</v>
      </c>
      <c r="N152" s="185">
        <f>$P152*$M152</f>
        <v>0</v>
      </c>
      <c r="O152" s="185">
        <f t="shared" si="39"/>
        <v>0</v>
      </c>
      <c r="P152" s="185">
        <f>$J152/(100%+$M152)</f>
        <v>13.8</v>
      </c>
      <c r="Q152" s="185">
        <f t="shared" si="40"/>
        <v>13.8</v>
      </c>
      <c r="R152" s="192">
        <f t="shared" si="44"/>
        <v>45703</v>
      </c>
      <c r="S152">
        <v>20</v>
      </c>
      <c r="T152" s="183">
        <f t="shared" si="41"/>
        <v>13.8</v>
      </c>
      <c r="U152" s="195">
        <f t="shared" si="42"/>
        <v>2.7600000000000002</v>
      </c>
    </row>
    <row r="153" spans="1:21" x14ac:dyDescent="0.25">
      <c r="A153" s="191">
        <v>2024</v>
      </c>
      <c r="B153" s="189">
        <v>152</v>
      </c>
      <c r="C153" s="71" t="s">
        <v>708</v>
      </c>
      <c r="D153" t="s">
        <v>709</v>
      </c>
      <c r="E153" s="1">
        <v>45608</v>
      </c>
      <c r="F153" t="s">
        <v>1788</v>
      </c>
      <c r="J153" s="48">
        <v>23290.94</v>
      </c>
      <c r="K153" s="185">
        <f t="shared" si="37"/>
        <v>23290.94</v>
      </c>
      <c r="L153" s="72">
        <v>1</v>
      </c>
      <c r="M153" s="72">
        <v>0.2</v>
      </c>
      <c r="N153" s="185">
        <f>$P153*$M153</f>
        <v>3881.8233333333333</v>
      </c>
      <c r="O153" s="185">
        <f t="shared" si="39"/>
        <v>3881.8233333333333</v>
      </c>
      <c r="P153" s="185">
        <f>$J153/(100%+$M153)</f>
        <v>19409.116666666665</v>
      </c>
      <c r="Q153" s="185">
        <f t="shared" si="40"/>
        <v>19409.116666666665</v>
      </c>
      <c r="R153" s="192">
        <f t="shared" si="44"/>
        <v>45703</v>
      </c>
      <c r="T153" s="183">
        <f t="shared" si="41"/>
        <v>19409.116666666665</v>
      </c>
      <c r="U153" s="195">
        <f t="shared" si="42"/>
        <v>0</v>
      </c>
    </row>
    <row r="154" spans="1:21" x14ac:dyDescent="0.25">
      <c r="A154" s="191">
        <v>2024</v>
      </c>
      <c r="B154" s="189">
        <v>153</v>
      </c>
      <c r="C154" s="71" t="s">
        <v>105</v>
      </c>
      <c r="D154" t="s">
        <v>705</v>
      </c>
      <c r="E154" s="1">
        <v>45609</v>
      </c>
      <c r="F154" t="s">
        <v>1783</v>
      </c>
      <c r="I154" t="b">
        <v>0</v>
      </c>
      <c r="J154" s="48">
        <v>56</v>
      </c>
      <c r="K154" s="185">
        <f t="shared" si="37"/>
        <v>56</v>
      </c>
      <c r="L154" s="72">
        <v>1</v>
      </c>
      <c r="M154" s="72">
        <v>0</v>
      </c>
      <c r="N154" s="185">
        <f>$P154*$M154</f>
        <v>0</v>
      </c>
      <c r="O154" s="185">
        <f t="shared" si="39"/>
        <v>0</v>
      </c>
      <c r="P154" s="185">
        <f>$J154/(100%+$M154)</f>
        <v>56</v>
      </c>
      <c r="Q154" s="185">
        <f t="shared" si="40"/>
        <v>56</v>
      </c>
      <c r="R154" s="192">
        <f t="shared" si="44"/>
        <v>45703</v>
      </c>
      <c r="S154">
        <v>20</v>
      </c>
      <c r="T154" s="183">
        <f t="shared" si="41"/>
        <v>56</v>
      </c>
      <c r="U154" s="195">
        <f t="shared" si="42"/>
        <v>11.200000000000001</v>
      </c>
    </row>
    <row r="155" spans="1:21" x14ac:dyDescent="0.25">
      <c r="A155" s="191">
        <v>2024</v>
      </c>
      <c r="B155" s="189">
        <v>154</v>
      </c>
      <c r="C155" s="71" t="s">
        <v>105</v>
      </c>
      <c r="D155" t="s">
        <v>705</v>
      </c>
      <c r="E155" s="1">
        <v>45610</v>
      </c>
      <c r="F155" t="s">
        <v>1783</v>
      </c>
      <c r="I155" t="b">
        <v>0</v>
      </c>
      <c r="J155" s="48">
        <v>9.16</v>
      </c>
      <c r="K155" s="185">
        <f t="shared" si="37"/>
        <v>9.16</v>
      </c>
      <c r="L155" s="72">
        <v>1</v>
      </c>
      <c r="M155" s="72">
        <v>0</v>
      </c>
      <c r="N155" s="185">
        <f>$P155*$M155</f>
        <v>0</v>
      </c>
      <c r="O155" s="185">
        <f t="shared" si="39"/>
        <v>0</v>
      </c>
      <c r="P155" s="185">
        <f>$J155/(100%+$M155)</f>
        <v>9.16</v>
      </c>
      <c r="Q155" s="185">
        <f t="shared" si="40"/>
        <v>9.16</v>
      </c>
      <c r="R155" s="192">
        <f t="shared" si="44"/>
        <v>45703</v>
      </c>
      <c r="S155">
        <v>20</v>
      </c>
      <c r="T155" s="183">
        <f t="shared" si="41"/>
        <v>9.16</v>
      </c>
      <c r="U155" s="195">
        <f t="shared" si="42"/>
        <v>1.8320000000000001</v>
      </c>
    </row>
    <row r="156" spans="1:21" x14ac:dyDescent="0.25">
      <c r="A156" s="191">
        <v>2024</v>
      </c>
      <c r="B156" s="189">
        <v>155</v>
      </c>
      <c r="C156" s="71" t="s">
        <v>105</v>
      </c>
      <c r="D156" t="s">
        <v>703</v>
      </c>
      <c r="E156" s="1">
        <v>45611</v>
      </c>
      <c r="F156" t="s">
        <v>1781</v>
      </c>
      <c r="I156" t="b">
        <v>0</v>
      </c>
      <c r="J156" s="48">
        <v>55.7</v>
      </c>
      <c r="K156" s="185">
        <f t="shared" si="37"/>
        <v>37.319000000000003</v>
      </c>
      <c r="L156" s="72">
        <v>0.67</v>
      </c>
      <c r="M156" s="98">
        <f>N156/P156</f>
        <v>0.17213804713804712</v>
      </c>
      <c r="N156" s="185">
        <f>1.32+6.86</f>
        <v>8.18</v>
      </c>
      <c r="O156" s="185">
        <f t="shared" si="39"/>
        <v>5.4805999999999999</v>
      </c>
      <c r="P156" s="185">
        <f>13.21+34.31</f>
        <v>47.52</v>
      </c>
      <c r="Q156" s="185">
        <f t="shared" si="40"/>
        <v>31.838400000000004</v>
      </c>
      <c r="R156" s="192">
        <f t="shared" si="44"/>
        <v>45703</v>
      </c>
      <c r="T156" s="183">
        <f t="shared" si="41"/>
        <v>31.838400000000004</v>
      </c>
      <c r="U156" s="195">
        <f t="shared" si="42"/>
        <v>0</v>
      </c>
    </row>
    <row r="157" spans="1:21" x14ac:dyDescent="0.25">
      <c r="A157" s="191">
        <v>2024</v>
      </c>
      <c r="B157" s="189">
        <v>156</v>
      </c>
      <c r="C157" s="71" t="s">
        <v>105</v>
      </c>
      <c r="D157" t="s">
        <v>705</v>
      </c>
      <c r="E157" s="1">
        <v>45615</v>
      </c>
      <c r="F157" t="s">
        <v>1032</v>
      </c>
      <c r="I157" t="b">
        <v>0</v>
      </c>
      <c r="J157" s="48">
        <v>11.7</v>
      </c>
      <c r="K157" s="185">
        <f t="shared" si="37"/>
        <v>11.7</v>
      </c>
      <c r="L157" s="72">
        <v>1</v>
      </c>
      <c r="M157" s="72">
        <v>0</v>
      </c>
      <c r="N157" s="185">
        <f t="shared" ref="N157:N165" si="46">$P157*$M157</f>
        <v>0</v>
      </c>
      <c r="O157" s="185">
        <f t="shared" si="39"/>
        <v>0</v>
      </c>
      <c r="P157" s="185">
        <f>$J157/(100%+$M157)</f>
        <v>11.7</v>
      </c>
      <c r="Q157" s="185">
        <f t="shared" si="40"/>
        <v>11.7</v>
      </c>
      <c r="R157" s="192">
        <f t="shared" si="44"/>
        <v>45703</v>
      </c>
      <c r="S157">
        <v>20</v>
      </c>
      <c r="T157" s="183">
        <f t="shared" si="41"/>
        <v>11.7</v>
      </c>
      <c r="U157" s="195">
        <f t="shared" si="42"/>
        <v>2.34</v>
      </c>
    </row>
    <row r="158" spans="1:21" x14ac:dyDescent="0.25">
      <c r="A158" s="191">
        <v>2024</v>
      </c>
      <c r="B158" s="189">
        <v>157</v>
      </c>
      <c r="C158" s="71" t="s">
        <v>105</v>
      </c>
      <c r="D158" t="s">
        <v>705</v>
      </c>
      <c r="E158" s="1">
        <v>45621</v>
      </c>
      <c r="F158" t="s">
        <v>1794</v>
      </c>
      <c r="I158" t="b">
        <v>0</v>
      </c>
      <c r="J158" s="48">
        <v>23.58</v>
      </c>
      <c r="K158" s="185">
        <f t="shared" si="37"/>
        <v>23.58</v>
      </c>
      <c r="L158" s="72">
        <v>1</v>
      </c>
      <c r="M158" s="72">
        <v>0.2</v>
      </c>
      <c r="N158" s="185">
        <f t="shared" si="46"/>
        <v>3.8766666666666669</v>
      </c>
      <c r="O158" s="185">
        <f t="shared" si="39"/>
        <v>3.8766666666666669</v>
      </c>
      <c r="P158" s="185">
        <f>($J158-0.32)/(100%+$M158)</f>
        <v>19.383333333333333</v>
      </c>
      <c r="Q158" s="185">
        <f t="shared" si="40"/>
        <v>19.383333333333333</v>
      </c>
      <c r="R158" s="192">
        <f t="shared" si="44"/>
        <v>45703</v>
      </c>
      <c r="T158" s="183">
        <f t="shared" si="41"/>
        <v>19.383333333333333</v>
      </c>
      <c r="U158" s="195">
        <f t="shared" si="42"/>
        <v>0</v>
      </c>
    </row>
    <row r="159" spans="1:21" x14ac:dyDescent="0.25">
      <c r="A159" s="191">
        <v>2024</v>
      </c>
      <c r="B159" s="189">
        <v>158</v>
      </c>
      <c r="C159" s="71" t="s">
        <v>105</v>
      </c>
      <c r="D159" t="s">
        <v>695</v>
      </c>
      <c r="E159" s="1">
        <v>45625</v>
      </c>
      <c r="F159" t="s">
        <v>1795</v>
      </c>
      <c r="I159" t="b">
        <v>0</v>
      </c>
      <c r="J159" s="48">
        <v>5069.38</v>
      </c>
      <c r="K159" s="185">
        <f t="shared" si="37"/>
        <v>5069.38</v>
      </c>
      <c r="L159" s="72">
        <v>1</v>
      </c>
      <c r="M159" s="72">
        <v>0</v>
      </c>
      <c r="N159" s="185">
        <f t="shared" si="46"/>
        <v>0</v>
      </c>
      <c r="O159" s="185">
        <f t="shared" si="39"/>
        <v>0</v>
      </c>
      <c r="P159" s="185">
        <f t="shared" ref="P159:P165" si="47">$J159/(100%+$M159)</f>
        <v>5069.38</v>
      </c>
      <c r="Q159" s="185">
        <f t="shared" si="40"/>
        <v>5069.38</v>
      </c>
      <c r="R159" s="192">
        <f t="shared" si="44"/>
        <v>45703</v>
      </c>
      <c r="T159" s="183">
        <f t="shared" si="41"/>
        <v>5069.38</v>
      </c>
      <c r="U159" s="195">
        <f t="shared" si="42"/>
        <v>0</v>
      </c>
    </row>
    <row r="160" spans="1:21" x14ac:dyDescent="0.25">
      <c r="A160" s="191">
        <v>2024</v>
      </c>
      <c r="B160" s="189">
        <v>159</v>
      </c>
      <c r="C160" s="71" t="s">
        <v>105</v>
      </c>
      <c r="D160" t="s">
        <v>705</v>
      </c>
      <c r="E160" s="1">
        <v>45629</v>
      </c>
      <c r="F160" t="s">
        <v>1819</v>
      </c>
      <c r="I160" t="b">
        <v>0</v>
      </c>
      <c r="J160" s="48">
        <v>436.5</v>
      </c>
      <c r="K160" s="185">
        <f t="shared" si="37"/>
        <v>40.225336110585118</v>
      </c>
      <c r="L160" s="72">
        <f>14.6/158.43</f>
        <v>9.2154263712680679E-2</v>
      </c>
      <c r="M160" s="72">
        <v>0</v>
      </c>
      <c r="N160" s="185">
        <f t="shared" si="46"/>
        <v>0</v>
      </c>
      <c r="O160" s="185">
        <f t="shared" si="39"/>
        <v>0</v>
      </c>
      <c r="P160" s="185">
        <f t="shared" si="47"/>
        <v>436.5</v>
      </c>
      <c r="Q160" s="185">
        <f t="shared" si="40"/>
        <v>40.225336110585118</v>
      </c>
      <c r="R160" s="192">
        <f t="shared" si="44"/>
        <v>45703</v>
      </c>
      <c r="T160" s="183">
        <f t="shared" si="41"/>
        <v>40.225336110585118</v>
      </c>
      <c r="U160" s="195">
        <f t="shared" si="42"/>
        <v>0</v>
      </c>
    </row>
    <row r="161" spans="1:21" x14ac:dyDescent="0.25">
      <c r="A161" s="191">
        <v>2024</v>
      </c>
      <c r="B161" s="189">
        <v>160</v>
      </c>
      <c r="C161" s="71" t="s">
        <v>105</v>
      </c>
      <c r="D161" t="s">
        <v>703</v>
      </c>
      <c r="E161" s="1">
        <v>45629</v>
      </c>
      <c r="F161" t="s">
        <v>34</v>
      </c>
      <c r="I161" t="b">
        <v>0</v>
      </c>
      <c r="J161" s="48">
        <v>13.91</v>
      </c>
      <c r="K161" s="185">
        <f t="shared" si="37"/>
        <v>13.91</v>
      </c>
      <c r="L161" s="72">
        <v>1</v>
      </c>
      <c r="M161" s="72">
        <v>0.2</v>
      </c>
      <c r="N161" s="185">
        <f t="shared" si="46"/>
        <v>2.3183333333333334</v>
      </c>
      <c r="O161" s="185">
        <f t="shared" si="39"/>
        <v>2.3183333333333334</v>
      </c>
      <c r="P161" s="185">
        <f t="shared" si="47"/>
        <v>11.591666666666667</v>
      </c>
      <c r="Q161" s="185">
        <f t="shared" si="40"/>
        <v>11.591666666666667</v>
      </c>
      <c r="R161" s="192">
        <f t="shared" si="44"/>
        <v>45703</v>
      </c>
      <c r="T161" s="183">
        <f t="shared" si="41"/>
        <v>11.591666666666667</v>
      </c>
      <c r="U161" s="195">
        <f t="shared" si="42"/>
        <v>0</v>
      </c>
    </row>
    <row r="162" spans="1:21" x14ac:dyDescent="0.25">
      <c r="A162" s="191">
        <v>2024</v>
      </c>
      <c r="B162" s="189">
        <v>161</v>
      </c>
      <c r="C162" s="71" t="s">
        <v>105</v>
      </c>
      <c r="D162" t="s">
        <v>705</v>
      </c>
      <c r="E162" s="1">
        <v>45629</v>
      </c>
      <c r="F162" t="s">
        <v>1404</v>
      </c>
      <c r="I162" t="b">
        <v>0</v>
      </c>
      <c r="J162" s="48">
        <v>13.8</v>
      </c>
      <c r="K162" s="185">
        <f t="shared" si="37"/>
        <v>13.8</v>
      </c>
      <c r="L162" s="72">
        <v>1</v>
      </c>
      <c r="M162" s="72">
        <v>0</v>
      </c>
      <c r="N162" s="185">
        <f t="shared" si="46"/>
        <v>0</v>
      </c>
      <c r="O162" s="185">
        <f t="shared" ref="O162:O183" si="48">L162*$N162</f>
        <v>0</v>
      </c>
      <c r="P162" s="185">
        <f t="shared" si="47"/>
        <v>13.8</v>
      </c>
      <c r="Q162" s="185">
        <f t="shared" ref="Q162:Q185" si="49">$L162*$P162</f>
        <v>13.8</v>
      </c>
      <c r="R162" s="192">
        <f t="shared" si="44"/>
        <v>45703</v>
      </c>
      <c r="S162">
        <v>20</v>
      </c>
      <c r="T162" s="183">
        <f t="shared" ref="T162:T183" si="50">IF(G162=TRUE,Q162/F162,Q162)</f>
        <v>13.8</v>
      </c>
      <c r="U162" s="195">
        <f t="shared" ref="U162:U173" si="51">$S162/100*$K162</f>
        <v>2.7600000000000002</v>
      </c>
    </row>
    <row r="163" spans="1:21" x14ac:dyDescent="0.25">
      <c r="A163" s="191">
        <v>2024</v>
      </c>
      <c r="B163" s="189">
        <v>162</v>
      </c>
      <c r="C163" s="71" t="s">
        <v>105</v>
      </c>
      <c r="D163" t="s">
        <v>705</v>
      </c>
      <c r="E163" s="1">
        <v>45635</v>
      </c>
      <c r="F163" t="s">
        <v>1820</v>
      </c>
      <c r="I163" t="b">
        <v>0</v>
      </c>
      <c r="J163" s="48">
        <v>2160</v>
      </c>
      <c r="K163" s="185">
        <f t="shared" si="37"/>
        <v>2160</v>
      </c>
      <c r="L163" s="72">
        <v>1</v>
      </c>
      <c r="M163" s="72">
        <v>0.2</v>
      </c>
      <c r="N163" s="185">
        <f t="shared" si="46"/>
        <v>360</v>
      </c>
      <c r="O163" s="185">
        <f t="shared" si="48"/>
        <v>360</v>
      </c>
      <c r="P163" s="185">
        <f t="shared" si="47"/>
        <v>1800</v>
      </c>
      <c r="Q163" s="185">
        <f t="shared" si="49"/>
        <v>1800</v>
      </c>
      <c r="R163" s="192">
        <f t="shared" si="44"/>
        <v>45703</v>
      </c>
      <c r="T163" s="183">
        <f t="shared" si="50"/>
        <v>1800</v>
      </c>
      <c r="U163" s="195">
        <f t="shared" si="51"/>
        <v>0</v>
      </c>
    </row>
    <row r="164" spans="1:21" x14ac:dyDescent="0.25">
      <c r="A164" s="191">
        <v>2024</v>
      </c>
      <c r="B164" s="189">
        <v>163</v>
      </c>
      <c r="C164" s="71" t="s">
        <v>708</v>
      </c>
      <c r="D164" t="s">
        <v>709</v>
      </c>
      <c r="E164" s="1">
        <v>45637</v>
      </c>
      <c r="F164" t="s">
        <v>1788</v>
      </c>
      <c r="J164" s="48">
        <v>22388.54</v>
      </c>
      <c r="K164" s="185">
        <f t="shared" si="37"/>
        <v>22388.54</v>
      </c>
      <c r="L164" s="72">
        <v>1</v>
      </c>
      <c r="M164" s="72">
        <v>0.2</v>
      </c>
      <c r="N164" s="185">
        <f t="shared" si="46"/>
        <v>3731.4233333333341</v>
      </c>
      <c r="O164" s="185">
        <f t="shared" si="48"/>
        <v>3731.4233333333341</v>
      </c>
      <c r="P164" s="185">
        <f t="shared" si="47"/>
        <v>18657.116666666669</v>
      </c>
      <c r="Q164" s="185">
        <f t="shared" si="49"/>
        <v>18657.116666666669</v>
      </c>
      <c r="R164" s="192">
        <f t="shared" si="44"/>
        <v>45703</v>
      </c>
      <c r="T164" s="183">
        <f t="shared" si="50"/>
        <v>18657.116666666669</v>
      </c>
      <c r="U164" s="195">
        <f t="shared" si="51"/>
        <v>0</v>
      </c>
    </row>
    <row r="165" spans="1:21" x14ac:dyDescent="0.25">
      <c r="A165" s="191">
        <v>2024</v>
      </c>
      <c r="B165" s="189">
        <v>164</v>
      </c>
      <c r="C165" s="71" t="s">
        <v>105</v>
      </c>
      <c r="D165" t="s">
        <v>705</v>
      </c>
      <c r="E165" s="1">
        <v>45638</v>
      </c>
      <c r="F165" t="s">
        <v>1783</v>
      </c>
      <c r="I165" t="b">
        <v>0</v>
      </c>
      <c r="J165" s="48">
        <v>56</v>
      </c>
      <c r="K165" s="185">
        <f t="shared" si="37"/>
        <v>56</v>
      </c>
      <c r="L165" s="72">
        <v>1</v>
      </c>
      <c r="M165" s="72">
        <v>0</v>
      </c>
      <c r="N165" s="185">
        <f t="shared" si="46"/>
        <v>0</v>
      </c>
      <c r="O165" s="185">
        <f t="shared" si="48"/>
        <v>0</v>
      </c>
      <c r="P165" s="185">
        <f t="shared" si="47"/>
        <v>56</v>
      </c>
      <c r="Q165" s="185">
        <f t="shared" si="49"/>
        <v>56</v>
      </c>
      <c r="R165" s="192">
        <f t="shared" si="44"/>
        <v>45703</v>
      </c>
      <c r="S165">
        <v>20</v>
      </c>
      <c r="T165" s="183">
        <f t="shared" si="50"/>
        <v>56</v>
      </c>
      <c r="U165" s="195">
        <f t="shared" si="51"/>
        <v>11.200000000000001</v>
      </c>
    </row>
    <row r="166" spans="1:21" x14ac:dyDescent="0.25">
      <c r="A166" s="191">
        <v>2024</v>
      </c>
      <c r="B166" s="189">
        <v>165</v>
      </c>
      <c r="C166" s="71" t="s">
        <v>105</v>
      </c>
      <c r="D166" t="s">
        <v>703</v>
      </c>
      <c r="E166" s="1">
        <v>45639</v>
      </c>
      <c r="F166" t="s">
        <v>1781</v>
      </c>
      <c r="I166" t="b">
        <v>0</v>
      </c>
      <c r="J166" s="48">
        <v>55.7</v>
      </c>
      <c r="K166" s="185">
        <f t="shared" si="37"/>
        <v>37.319000000000003</v>
      </c>
      <c r="L166" s="72">
        <v>0.67</v>
      </c>
      <c r="M166" s="98">
        <f>N166/P166</f>
        <v>0.17213804713804712</v>
      </c>
      <c r="N166" s="185">
        <f>1.32+6.86</f>
        <v>8.18</v>
      </c>
      <c r="O166" s="185">
        <f t="shared" si="48"/>
        <v>5.4805999999999999</v>
      </c>
      <c r="P166" s="185">
        <f>13.21+34.31</f>
        <v>47.52</v>
      </c>
      <c r="Q166" s="185">
        <f t="shared" si="49"/>
        <v>31.838400000000004</v>
      </c>
      <c r="R166" s="192">
        <f t="shared" si="44"/>
        <v>45703</v>
      </c>
      <c r="T166" s="183">
        <f t="shared" si="50"/>
        <v>31.838400000000004</v>
      </c>
      <c r="U166" s="195">
        <f t="shared" si="51"/>
        <v>0</v>
      </c>
    </row>
    <row r="167" spans="1:21" x14ac:dyDescent="0.25">
      <c r="A167" s="191">
        <v>2024</v>
      </c>
      <c r="B167" s="189">
        <v>166</v>
      </c>
      <c r="C167" s="71" t="s">
        <v>105</v>
      </c>
      <c r="D167" t="s">
        <v>705</v>
      </c>
      <c r="E167" s="1">
        <v>45642</v>
      </c>
      <c r="F167" t="s">
        <v>1783</v>
      </c>
      <c r="I167" t="b">
        <v>0</v>
      </c>
      <c r="J167" s="48">
        <v>9.16</v>
      </c>
      <c r="K167" s="185">
        <f t="shared" si="37"/>
        <v>9.16</v>
      </c>
      <c r="L167" s="72">
        <v>1</v>
      </c>
      <c r="M167" s="72">
        <v>0</v>
      </c>
      <c r="N167" s="185">
        <f t="shared" ref="N167:N179" si="52">$P167*$M167</f>
        <v>0</v>
      </c>
      <c r="O167" s="185">
        <f t="shared" si="48"/>
        <v>0</v>
      </c>
      <c r="P167" s="185">
        <f t="shared" ref="P167:P172" si="53">$J167/(100%+$M167)</f>
        <v>9.16</v>
      </c>
      <c r="Q167" s="185">
        <f t="shared" si="49"/>
        <v>9.16</v>
      </c>
      <c r="R167" s="192">
        <f t="shared" si="44"/>
        <v>45703</v>
      </c>
      <c r="S167">
        <v>20</v>
      </c>
      <c r="T167" s="183">
        <f t="shared" si="50"/>
        <v>9.16</v>
      </c>
      <c r="U167" s="195">
        <f t="shared" si="51"/>
        <v>1.8320000000000001</v>
      </c>
    </row>
    <row r="168" spans="1:21" x14ac:dyDescent="0.25">
      <c r="A168" s="191">
        <v>2024</v>
      </c>
      <c r="B168" s="189">
        <v>167</v>
      </c>
      <c r="C168" s="71" t="s">
        <v>708</v>
      </c>
      <c r="D168" t="s">
        <v>709</v>
      </c>
      <c r="E168" s="1">
        <v>45645</v>
      </c>
      <c r="F168" t="s">
        <v>1809</v>
      </c>
      <c r="J168" s="48">
        <v>420</v>
      </c>
      <c r="K168" s="185">
        <f t="shared" si="37"/>
        <v>420</v>
      </c>
      <c r="L168" s="72">
        <v>1</v>
      </c>
      <c r="M168" s="72">
        <v>0.2</v>
      </c>
      <c r="N168" s="185">
        <f t="shared" si="52"/>
        <v>70</v>
      </c>
      <c r="O168" s="185">
        <f t="shared" si="48"/>
        <v>70</v>
      </c>
      <c r="P168" s="185">
        <f t="shared" si="53"/>
        <v>350</v>
      </c>
      <c r="Q168" s="185">
        <f t="shared" si="49"/>
        <v>350</v>
      </c>
      <c r="R168" s="192">
        <f t="shared" si="44"/>
        <v>45703</v>
      </c>
      <c r="T168" s="183">
        <f t="shared" si="50"/>
        <v>350</v>
      </c>
      <c r="U168" s="195">
        <f t="shared" si="51"/>
        <v>0</v>
      </c>
    </row>
    <row r="169" spans="1:21" x14ac:dyDescent="0.25">
      <c r="A169" s="191">
        <v>2024</v>
      </c>
      <c r="B169" s="189">
        <v>168</v>
      </c>
      <c r="C169" s="71" t="s">
        <v>105</v>
      </c>
      <c r="D169" t="s">
        <v>705</v>
      </c>
      <c r="E169" s="1">
        <v>45646</v>
      </c>
      <c r="F169" t="s">
        <v>1793</v>
      </c>
      <c r="I169" t="b">
        <v>0</v>
      </c>
      <c r="J169" s="109">
        <v>110</v>
      </c>
      <c r="K169" s="185">
        <f t="shared" si="37"/>
        <v>10.136969008394875</v>
      </c>
      <c r="L169" s="72">
        <f>14.6/158.43</f>
        <v>9.2154263712680679E-2</v>
      </c>
      <c r="M169" s="72">
        <v>0.1</v>
      </c>
      <c r="N169" s="185">
        <f t="shared" si="52"/>
        <v>10</v>
      </c>
      <c r="O169" s="185">
        <f t="shared" si="48"/>
        <v>0.92154263712680673</v>
      </c>
      <c r="P169" s="185">
        <f t="shared" si="53"/>
        <v>99.999999999999986</v>
      </c>
      <c r="Q169" s="185">
        <f t="shared" si="49"/>
        <v>9.215426371268066</v>
      </c>
      <c r="R169" s="192">
        <f t="shared" si="44"/>
        <v>45703</v>
      </c>
      <c r="T169" s="183">
        <f t="shared" si="50"/>
        <v>9.215426371268066</v>
      </c>
      <c r="U169" s="195">
        <f t="shared" si="51"/>
        <v>0</v>
      </c>
    </row>
    <row r="170" spans="1:21" x14ac:dyDescent="0.25">
      <c r="A170" s="191">
        <v>2024</v>
      </c>
      <c r="B170" s="189">
        <v>169</v>
      </c>
      <c r="C170" s="71" t="s">
        <v>105</v>
      </c>
      <c r="D170" t="s">
        <v>705</v>
      </c>
      <c r="E170" s="1">
        <v>45646</v>
      </c>
      <c r="F170" t="s">
        <v>1032</v>
      </c>
      <c r="I170" t="b">
        <v>0</v>
      </c>
      <c r="J170" s="48">
        <v>11.7</v>
      </c>
      <c r="K170" s="185">
        <f t="shared" si="37"/>
        <v>11.7</v>
      </c>
      <c r="L170" s="72">
        <v>1</v>
      </c>
      <c r="M170" s="72">
        <v>0</v>
      </c>
      <c r="N170" s="185">
        <f t="shared" si="52"/>
        <v>0</v>
      </c>
      <c r="O170" s="185">
        <f t="shared" si="48"/>
        <v>0</v>
      </c>
      <c r="P170" s="185">
        <f t="shared" si="53"/>
        <v>11.7</v>
      </c>
      <c r="Q170" s="185">
        <f t="shared" si="49"/>
        <v>11.7</v>
      </c>
      <c r="R170" s="192">
        <f t="shared" si="44"/>
        <v>45703</v>
      </c>
      <c r="S170">
        <v>20</v>
      </c>
      <c r="T170" s="183">
        <f t="shared" si="50"/>
        <v>11.7</v>
      </c>
      <c r="U170" s="195">
        <f t="shared" si="51"/>
        <v>2.34</v>
      </c>
    </row>
    <row r="171" spans="1:21" x14ac:dyDescent="0.25">
      <c r="A171" s="191">
        <v>2024</v>
      </c>
      <c r="B171" s="189">
        <v>170</v>
      </c>
      <c r="C171" s="71" t="s">
        <v>708</v>
      </c>
      <c r="D171" t="s">
        <v>709</v>
      </c>
      <c r="E171" s="1">
        <v>45649</v>
      </c>
      <c r="F171" t="s">
        <v>1384</v>
      </c>
      <c r="J171" s="48">
        <v>1176</v>
      </c>
      <c r="K171" s="185">
        <f t="shared" si="37"/>
        <v>1176</v>
      </c>
      <c r="L171" s="72">
        <v>1</v>
      </c>
      <c r="M171" s="72">
        <v>0.2</v>
      </c>
      <c r="N171" s="185">
        <f t="shared" si="52"/>
        <v>196</v>
      </c>
      <c r="O171" s="185">
        <f t="shared" si="48"/>
        <v>196</v>
      </c>
      <c r="P171" s="185">
        <f t="shared" si="53"/>
        <v>980</v>
      </c>
      <c r="Q171" s="185">
        <f t="shared" si="49"/>
        <v>980</v>
      </c>
      <c r="R171" s="192">
        <f t="shared" si="44"/>
        <v>45703</v>
      </c>
      <c r="T171" s="183">
        <f t="shared" si="50"/>
        <v>980</v>
      </c>
      <c r="U171" s="195">
        <f t="shared" si="51"/>
        <v>0</v>
      </c>
    </row>
    <row r="172" spans="1:21" x14ac:dyDescent="0.25">
      <c r="A172" s="191">
        <v>2024</v>
      </c>
      <c r="B172" s="189">
        <v>171</v>
      </c>
      <c r="C172" s="71" t="s">
        <v>105</v>
      </c>
      <c r="D172" t="s">
        <v>695</v>
      </c>
      <c r="E172" s="1">
        <v>45653</v>
      </c>
      <c r="F172" t="s">
        <v>1833</v>
      </c>
      <c r="I172" t="b">
        <v>0</v>
      </c>
      <c r="J172" s="48">
        <v>30000</v>
      </c>
      <c r="K172" s="185">
        <f t="shared" si="37"/>
        <v>30000</v>
      </c>
      <c r="L172" s="72">
        <v>1</v>
      </c>
      <c r="M172" s="72">
        <v>0</v>
      </c>
      <c r="N172" s="185">
        <f t="shared" si="52"/>
        <v>0</v>
      </c>
      <c r="O172" s="185">
        <f t="shared" si="48"/>
        <v>0</v>
      </c>
      <c r="P172" s="185">
        <f t="shared" si="53"/>
        <v>30000</v>
      </c>
      <c r="Q172" s="185">
        <f t="shared" si="49"/>
        <v>30000</v>
      </c>
      <c r="R172" s="192">
        <f t="shared" si="44"/>
        <v>45703</v>
      </c>
      <c r="T172" s="183">
        <f t="shared" si="50"/>
        <v>30000</v>
      </c>
      <c r="U172" s="195">
        <f t="shared" si="51"/>
        <v>0</v>
      </c>
    </row>
    <row r="173" spans="1:21" x14ac:dyDescent="0.25">
      <c r="A173" s="191">
        <v>2024</v>
      </c>
      <c r="B173" s="189">
        <v>172</v>
      </c>
      <c r="C173" s="71" t="s">
        <v>105</v>
      </c>
      <c r="D173" t="s">
        <v>705</v>
      </c>
      <c r="E173" s="1">
        <v>45653</v>
      </c>
      <c r="F173" t="s">
        <v>1794</v>
      </c>
      <c r="I173" t="b">
        <v>0</v>
      </c>
      <c r="J173" s="48">
        <v>23.56</v>
      </c>
      <c r="K173" s="185">
        <f t="shared" si="37"/>
        <v>23.56</v>
      </c>
      <c r="L173" s="72">
        <v>1</v>
      </c>
      <c r="M173" s="72">
        <v>0.2</v>
      </c>
      <c r="N173" s="185">
        <f t="shared" si="52"/>
        <v>3.8733333333333335</v>
      </c>
      <c r="O173" s="185">
        <f t="shared" si="48"/>
        <v>3.8733333333333335</v>
      </c>
      <c r="P173" s="185">
        <f>($J173-0.32)/(100%+$M173)</f>
        <v>19.366666666666667</v>
      </c>
      <c r="Q173" s="185">
        <f t="shared" si="49"/>
        <v>19.366666666666667</v>
      </c>
      <c r="R173" s="192">
        <f t="shared" si="44"/>
        <v>45703</v>
      </c>
      <c r="T173" s="183">
        <f t="shared" si="50"/>
        <v>19.366666666666667</v>
      </c>
      <c r="U173" s="195">
        <f t="shared" si="51"/>
        <v>0</v>
      </c>
    </row>
    <row r="174" spans="1:21" x14ac:dyDescent="0.25">
      <c r="A174" s="191">
        <v>2024</v>
      </c>
      <c r="B174" s="189">
        <v>173</v>
      </c>
      <c r="C174" s="71" t="s">
        <v>708</v>
      </c>
      <c r="D174" t="s">
        <v>709</v>
      </c>
      <c r="E174" s="1">
        <v>45546</v>
      </c>
      <c r="F174" t="s">
        <v>1842</v>
      </c>
      <c r="J174" s="48">
        <v>971.68</v>
      </c>
      <c r="K174" s="185">
        <f t="shared" si="37"/>
        <v>971.68</v>
      </c>
      <c r="L174" s="72">
        <v>1</v>
      </c>
      <c r="M174" s="72">
        <v>0</v>
      </c>
      <c r="N174" s="185">
        <f t="shared" si="52"/>
        <v>0</v>
      </c>
      <c r="O174" s="185">
        <f t="shared" si="48"/>
        <v>0</v>
      </c>
      <c r="P174" s="185">
        <f>($J174-0.32)/(100%+$M174)</f>
        <v>971.3599999999999</v>
      </c>
      <c r="Q174" s="185">
        <f t="shared" si="49"/>
        <v>971.3599999999999</v>
      </c>
      <c r="R174" s="192"/>
      <c r="S174">
        <v>20</v>
      </c>
      <c r="T174" s="183">
        <f t="shared" si="50"/>
        <v>971.3599999999999</v>
      </c>
      <c r="U174" s="195"/>
    </row>
    <row r="175" spans="1:21" x14ac:dyDescent="0.25">
      <c r="A175" s="191">
        <v>2024</v>
      </c>
      <c r="B175" s="189">
        <v>174</v>
      </c>
      <c r="C175" s="71" t="s">
        <v>105</v>
      </c>
      <c r="D175" t="s">
        <v>705</v>
      </c>
      <c r="E175" s="1">
        <v>45643</v>
      </c>
      <c r="F175" t="s">
        <v>1844</v>
      </c>
      <c r="I175" t="b">
        <v>0</v>
      </c>
      <c r="J175" s="48">
        <v>10550</v>
      </c>
      <c r="K175" s="185">
        <f t="shared" si="37"/>
        <v>10550</v>
      </c>
      <c r="L175" s="72">
        <v>1</v>
      </c>
      <c r="M175" s="72">
        <v>0</v>
      </c>
      <c r="N175" s="185">
        <f t="shared" si="52"/>
        <v>0</v>
      </c>
      <c r="O175" s="185">
        <f t="shared" si="48"/>
        <v>0</v>
      </c>
      <c r="P175" s="185">
        <f>($J175-0.32)/(100%+$M175)</f>
        <v>10549.68</v>
      </c>
      <c r="Q175" s="185">
        <f t="shared" si="49"/>
        <v>10549.68</v>
      </c>
      <c r="R175" s="192"/>
      <c r="T175" s="183">
        <f t="shared" si="50"/>
        <v>10549.68</v>
      </c>
      <c r="U175" s="195"/>
    </row>
    <row r="176" spans="1:21" x14ac:dyDescent="0.25">
      <c r="A176" s="191">
        <v>2024</v>
      </c>
      <c r="B176" s="189">
        <v>175</v>
      </c>
      <c r="C176" s="71" t="s">
        <v>105</v>
      </c>
      <c r="D176" t="s">
        <v>694</v>
      </c>
      <c r="E176" s="1">
        <v>45657</v>
      </c>
      <c r="F176" t="s">
        <v>1845</v>
      </c>
      <c r="I176" t="b">
        <v>0</v>
      </c>
      <c r="J176" s="48">
        <v>297</v>
      </c>
      <c r="K176" s="185">
        <f t="shared" si="37"/>
        <v>27.369816322666161</v>
      </c>
      <c r="L176" s="72">
        <f>14.6/158.43</f>
        <v>9.2154263712680679E-2</v>
      </c>
      <c r="M176" s="72">
        <v>0</v>
      </c>
      <c r="N176" s="185">
        <f t="shared" si="52"/>
        <v>0</v>
      </c>
      <c r="O176" s="185">
        <f t="shared" si="48"/>
        <v>0</v>
      </c>
      <c r="P176" s="185">
        <f>($J176-0.32)/(100%+$M176)</f>
        <v>296.68</v>
      </c>
      <c r="Q176" s="185">
        <f t="shared" si="49"/>
        <v>27.340326958278105</v>
      </c>
      <c r="R176" s="192"/>
      <c r="T176" s="183">
        <f t="shared" si="50"/>
        <v>27.340326958278105</v>
      </c>
      <c r="U176" s="195"/>
    </row>
    <row r="177" spans="1:21" x14ac:dyDescent="0.25">
      <c r="A177" s="191">
        <v>2024</v>
      </c>
      <c r="B177" s="189">
        <v>176</v>
      </c>
      <c r="C177" s="71" t="s">
        <v>105</v>
      </c>
      <c r="D177" t="s">
        <v>694</v>
      </c>
      <c r="E177" s="1">
        <v>45657</v>
      </c>
      <c r="F177" t="s">
        <v>1846</v>
      </c>
      <c r="I177" t="b">
        <v>0</v>
      </c>
      <c r="J177" s="48">
        <f>6954.12+140</f>
        <v>7094.12</v>
      </c>
      <c r="K177" s="185">
        <f t="shared" si="37"/>
        <v>653.75340528940228</v>
      </c>
      <c r="L177" s="72">
        <f>14.6/158.43</f>
        <v>9.2154263712680679E-2</v>
      </c>
      <c r="M177" s="72">
        <v>0</v>
      </c>
      <c r="N177" s="185">
        <f t="shared" si="52"/>
        <v>0</v>
      </c>
      <c r="O177" s="185">
        <f t="shared" si="48"/>
        <v>0</v>
      </c>
      <c r="P177" s="185">
        <f>($J177-0.32)/(100%+$M177)</f>
        <v>7093.8</v>
      </c>
      <c r="Q177" s="185">
        <f t="shared" si="49"/>
        <v>653.72391592501424</v>
      </c>
      <c r="R177" s="192"/>
      <c r="T177" s="183">
        <f t="shared" si="50"/>
        <v>653.72391592501424</v>
      </c>
      <c r="U177" s="195"/>
    </row>
    <row r="178" spans="1:21" x14ac:dyDescent="0.25">
      <c r="A178" s="191">
        <v>2024</v>
      </c>
      <c r="B178" s="189">
        <v>177</v>
      </c>
      <c r="C178" s="71" t="s">
        <v>708</v>
      </c>
      <c r="D178" t="s">
        <v>694</v>
      </c>
      <c r="E178" s="1">
        <v>45293</v>
      </c>
      <c r="F178" t="s">
        <v>1847</v>
      </c>
      <c r="I178" t="b">
        <v>0</v>
      </c>
      <c r="J178" s="48">
        <v>1701.85</v>
      </c>
      <c r="K178" s="185">
        <f t="shared" si="37"/>
        <v>156.8327336994256</v>
      </c>
      <c r="L178" s="72">
        <f>14.6/158.43</f>
        <v>9.2154263712680679E-2</v>
      </c>
      <c r="M178" s="72">
        <v>0</v>
      </c>
      <c r="N178" s="185">
        <f t="shared" si="52"/>
        <v>0</v>
      </c>
      <c r="O178" s="185">
        <f t="shared" si="48"/>
        <v>0</v>
      </c>
      <c r="P178" s="185">
        <f>$J178/(100%+$M178)</f>
        <v>1701.85</v>
      </c>
      <c r="Q178" s="185">
        <f t="shared" si="49"/>
        <v>156.8327336994256</v>
      </c>
      <c r="R178" s="192">
        <f t="shared" ref="R178:R216" si="54">voranmeldefrist_vierteljaehrlich(E178)</f>
        <v>45427</v>
      </c>
      <c r="T178" s="183">
        <f t="shared" si="50"/>
        <v>156.8327336994256</v>
      </c>
      <c r="U178" s="195">
        <f t="shared" ref="U178:U212" si="55">$S178/100*$K178</f>
        <v>0</v>
      </c>
    </row>
    <row r="179" spans="1:21" x14ac:dyDescent="0.25">
      <c r="A179" s="191">
        <v>2025</v>
      </c>
      <c r="B179" s="189">
        <v>1</v>
      </c>
      <c r="C179" s="71" t="s">
        <v>105</v>
      </c>
      <c r="D179" t="s">
        <v>705</v>
      </c>
      <c r="E179" s="1">
        <v>45660</v>
      </c>
      <c r="F179" t="s">
        <v>1404</v>
      </c>
      <c r="I179" t="b">
        <v>0</v>
      </c>
      <c r="J179" s="48">
        <v>13.8</v>
      </c>
      <c r="K179" s="185">
        <f t="shared" si="37"/>
        <v>13.8</v>
      </c>
      <c r="L179" s="72">
        <v>1</v>
      </c>
      <c r="M179" s="72">
        <v>0</v>
      </c>
      <c r="N179" s="185">
        <f t="shared" si="52"/>
        <v>0</v>
      </c>
      <c r="O179" s="185">
        <f t="shared" si="48"/>
        <v>0</v>
      </c>
      <c r="P179" s="185">
        <f>$J179/(100%+$M179)</f>
        <v>13.8</v>
      </c>
      <c r="Q179" s="185">
        <f t="shared" si="49"/>
        <v>13.8</v>
      </c>
      <c r="R179" s="192">
        <f t="shared" si="54"/>
        <v>45792</v>
      </c>
      <c r="S179">
        <v>20</v>
      </c>
      <c r="T179" s="183">
        <f t="shared" si="50"/>
        <v>13.8</v>
      </c>
      <c r="U179" s="195">
        <f t="shared" si="55"/>
        <v>2.7600000000000002</v>
      </c>
    </row>
    <row r="180" spans="1:21" x14ac:dyDescent="0.25">
      <c r="A180" s="191">
        <v>2025</v>
      </c>
      <c r="B180" s="189">
        <v>2</v>
      </c>
      <c r="C180" s="71" t="s">
        <v>105</v>
      </c>
      <c r="D180" t="s">
        <v>703</v>
      </c>
      <c r="E180" s="1">
        <v>45665</v>
      </c>
      <c r="F180" t="s">
        <v>34</v>
      </c>
      <c r="I180" t="b">
        <v>0</v>
      </c>
      <c r="J180" s="48">
        <v>14.26</v>
      </c>
      <c r="K180" s="185">
        <f t="shared" si="37"/>
        <v>14.26</v>
      </c>
      <c r="L180" s="72">
        <v>1</v>
      </c>
      <c r="M180" s="72">
        <v>0.2</v>
      </c>
      <c r="N180" s="185">
        <f t="shared" ref="N180" si="56">$P180*$M180</f>
        <v>2.3766666666666665</v>
      </c>
      <c r="O180" s="185">
        <f t="shared" si="48"/>
        <v>2.3766666666666665</v>
      </c>
      <c r="P180" s="185">
        <f t="shared" ref="P180" si="57">$J180/(100%+$M180)</f>
        <v>11.883333333333333</v>
      </c>
      <c r="Q180" s="185">
        <f t="shared" si="49"/>
        <v>11.883333333333333</v>
      </c>
      <c r="R180" s="192">
        <f t="shared" si="54"/>
        <v>45792</v>
      </c>
      <c r="T180" s="183">
        <f t="shared" si="50"/>
        <v>11.883333333333333</v>
      </c>
      <c r="U180" s="195">
        <f t="shared" si="55"/>
        <v>0</v>
      </c>
    </row>
    <row r="181" spans="1:21" x14ac:dyDescent="0.25">
      <c r="A181" s="191">
        <v>2025</v>
      </c>
      <c r="B181" s="189">
        <v>3</v>
      </c>
      <c r="C181" s="71" t="s">
        <v>105</v>
      </c>
      <c r="D181" t="s">
        <v>705</v>
      </c>
      <c r="E181" s="1">
        <v>45670</v>
      </c>
      <c r="F181" t="s">
        <v>1783</v>
      </c>
      <c r="I181" t="b">
        <v>0</v>
      </c>
      <c r="J181" s="48">
        <v>56</v>
      </c>
      <c r="K181" s="185">
        <f t="shared" si="37"/>
        <v>56</v>
      </c>
      <c r="L181" s="72">
        <v>1</v>
      </c>
      <c r="M181" s="72">
        <v>0</v>
      </c>
      <c r="N181" s="185">
        <f>$P181*$M181</f>
        <v>0</v>
      </c>
      <c r="O181" s="185">
        <f t="shared" si="48"/>
        <v>0</v>
      </c>
      <c r="P181" s="185">
        <f>$J181/(100%+$M181)</f>
        <v>56</v>
      </c>
      <c r="Q181" s="185">
        <f t="shared" si="49"/>
        <v>56</v>
      </c>
      <c r="R181" s="192">
        <f t="shared" si="54"/>
        <v>45792</v>
      </c>
      <c r="S181">
        <v>20</v>
      </c>
      <c r="T181" s="183">
        <f t="shared" si="50"/>
        <v>56</v>
      </c>
      <c r="U181" s="195">
        <f t="shared" si="55"/>
        <v>11.200000000000001</v>
      </c>
    </row>
    <row r="182" spans="1:21" x14ac:dyDescent="0.25">
      <c r="A182" s="191">
        <v>2025</v>
      </c>
      <c r="B182" s="189">
        <v>4</v>
      </c>
      <c r="C182" s="71" t="s">
        <v>708</v>
      </c>
      <c r="D182" t="s">
        <v>709</v>
      </c>
      <c r="E182" s="1">
        <v>45671</v>
      </c>
      <c r="F182" t="s">
        <v>1788</v>
      </c>
      <c r="I182" t="b">
        <v>0</v>
      </c>
      <c r="J182" s="48">
        <v>23381.18</v>
      </c>
      <c r="K182" s="185">
        <f t="shared" si="37"/>
        <v>23381.18</v>
      </c>
      <c r="L182" s="72">
        <v>1</v>
      </c>
      <c r="M182" s="72">
        <v>0.2</v>
      </c>
      <c r="N182" s="185">
        <f>$P182*$M182</f>
        <v>3896.8633333333341</v>
      </c>
      <c r="O182" s="185">
        <f t="shared" si="48"/>
        <v>3896.8633333333341</v>
      </c>
      <c r="P182" s="185">
        <f>$J182/(100%+$M182)</f>
        <v>19484.316666666669</v>
      </c>
      <c r="Q182" s="185">
        <f t="shared" si="49"/>
        <v>19484.316666666669</v>
      </c>
      <c r="R182" s="192">
        <f t="shared" si="54"/>
        <v>45792</v>
      </c>
      <c r="T182" s="183">
        <f t="shared" si="50"/>
        <v>19484.316666666669</v>
      </c>
      <c r="U182" s="195">
        <f t="shared" si="55"/>
        <v>0</v>
      </c>
    </row>
    <row r="183" spans="1:21" x14ac:dyDescent="0.25">
      <c r="A183" s="191">
        <v>2025</v>
      </c>
      <c r="B183" s="189">
        <v>5</v>
      </c>
      <c r="C183" s="71" t="s">
        <v>105</v>
      </c>
      <c r="D183" t="s">
        <v>703</v>
      </c>
      <c r="E183" s="198">
        <v>45673</v>
      </c>
      <c r="F183" t="s">
        <v>1781</v>
      </c>
      <c r="I183" t="b">
        <v>0</v>
      </c>
      <c r="J183" s="48">
        <v>55.7</v>
      </c>
      <c r="K183" s="185">
        <f t="shared" si="37"/>
        <v>37.319000000000003</v>
      </c>
      <c r="L183" s="72">
        <v>0.67</v>
      </c>
      <c r="M183" s="72" t="s">
        <v>14</v>
      </c>
      <c r="N183" s="185">
        <f>1.36+7.07</f>
        <v>8.43</v>
      </c>
      <c r="O183" s="185">
        <f t="shared" si="48"/>
        <v>5.6481000000000003</v>
      </c>
      <c r="P183" s="185">
        <v>49.01</v>
      </c>
      <c r="Q183" s="185">
        <f t="shared" si="49"/>
        <v>32.8367</v>
      </c>
      <c r="R183" s="192">
        <f t="shared" si="54"/>
        <v>45792</v>
      </c>
      <c r="T183" s="183">
        <f t="shared" si="50"/>
        <v>32.8367</v>
      </c>
      <c r="U183" s="195">
        <f t="shared" si="55"/>
        <v>0</v>
      </c>
    </row>
    <row r="184" spans="1:21" x14ac:dyDescent="0.25">
      <c r="A184" s="191">
        <v>2025</v>
      </c>
      <c r="B184" s="189">
        <v>6</v>
      </c>
      <c r="C184" s="71" t="s">
        <v>105</v>
      </c>
      <c r="D184" t="s">
        <v>705</v>
      </c>
      <c r="E184" s="1">
        <v>45673</v>
      </c>
      <c r="F184" t="s">
        <v>1783</v>
      </c>
      <c r="I184" t="b">
        <v>0</v>
      </c>
      <c r="J184" s="48">
        <v>20.16</v>
      </c>
      <c r="K184" s="185">
        <f t="shared" si="37"/>
        <v>20.16</v>
      </c>
      <c r="L184" s="72">
        <v>1</v>
      </c>
      <c r="M184" s="72">
        <v>0</v>
      </c>
      <c r="N184" s="185">
        <f>$P184*$M184</f>
        <v>0</v>
      </c>
      <c r="O184" s="185">
        <f t="shared" ref="O184:O196" si="58">L184*$N184</f>
        <v>0</v>
      </c>
      <c r="P184" s="185">
        <f>$J184/(100%+$M184)</f>
        <v>20.16</v>
      </c>
      <c r="Q184" s="185">
        <f t="shared" si="49"/>
        <v>20.16</v>
      </c>
      <c r="R184" s="192">
        <f t="shared" si="54"/>
        <v>45792</v>
      </c>
      <c r="S184">
        <v>20</v>
      </c>
      <c r="T184" s="183">
        <f t="shared" ref="T184:T196" si="59">IF(G184=TRUE,Q184/F184,Q184)</f>
        <v>20.16</v>
      </c>
      <c r="U184" s="195">
        <f t="shared" si="55"/>
        <v>4.032</v>
      </c>
    </row>
    <row r="185" spans="1:21" x14ac:dyDescent="0.25">
      <c r="A185" s="191">
        <v>2025</v>
      </c>
      <c r="B185" s="189">
        <v>7</v>
      </c>
      <c r="C185" s="71" t="s">
        <v>105</v>
      </c>
      <c r="D185" t="s">
        <v>705</v>
      </c>
      <c r="E185" s="1">
        <v>45677</v>
      </c>
      <c r="F185" t="s">
        <v>1032</v>
      </c>
      <c r="I185" t="b">
        <v>0</v>
      </c>
      <c r="J185" s="48">
        <v>11.7</v>
      </c>
      <c r="K185" s="185">
        <f t="shared" si="37"/>
        <v>11.7</v>
      </c>
      <c r="L185" s="72">
        <v>1</v>
      </c>
      <c r="M185" s="72">
        <v>0</v>
      </c>
      <c r="N185" s="185">
        <f>$P185*$M185</f>
        <v>0</v>
      </c>
      <c r="O185" s="185">
        <f t="shared" si="58"/>
        <v>0</v>
      </c>
      <c r="P185" s="185">
        <f>$J185/(100%+$M185)</f>
        <v>11.7</v>
      </c>
      <c r="Q185" s="185">
        <f t="shared" si="49"/>
        <v>11.7</v>
      </c>
      <c r="R185" s="192">
        <f t="shared" si="54"/>
        <v>45792</v>
      </c>
      <c r="S185">
        <v>20</v>
      </c>
      <c r="T185" s="183">
        <f t="shared" si="59"/>
        <v>11.7</v>
      </c>
      <c r="U185" s="195">
        <f t="shared" si="55"/>
        <v>2.34</v>
      </c>
    </row>
    <row r="186" spans="1:21" x14ac:dyDescent="0.25">
      <c r="A186" s="191">
        <v>2025</v>
      </c>
      <c r="B186" s="189">
        <v>8</v>
      </c>
      <c r="C186" s="71" t="s">
        <v>105</v>
      </c>
      <c r="D186" t="s">
        <v>705</v>
      </c>
      <c r="E186" s="198">
        <v>45678</v>
      </c>
      <c r="F186" t="s">
        <v>934</v>
      </c>
      <c r="I186" t="b">
        <v>0</v>
      </c>
      <c r="J186" s="48">
        <v>289.74</v>
      </c>
      <c r="K186" s="185">
        <f t="shared" si="37"/>
        <v>289.74</v>
      </c>
      <c r="L186" s="72">
        <v>1</v>
      </c>
      <c r="M186" s="72">
        <v>0</v>
      </c>
      <c r="N186" s="185">
        <f t="shared" ref="N186:N187" si="60">$P186*$M186</f>
        <v>0</v>
      </c>
      <c r="O186" s="185">
        <f t="shared" si="58"/>
        <v>0</v>
      </c>
      <c r="P186" s="185">
        <f t="shared" ref="P186" si="61">$J186/(100%+$M186)</f>
        <v>289.74</v>
      </c>
      <c r="Q186" s="185">
        <f t="shared" ref="Q186:Q220" si="62">$L186*$P186</f>
        <v>289.74</v>
      </c>
      <c r="R186" s="192">
        <f t="shared" si="54"/>
        <v>45792</v>
      </c>
      <c r="T186" s="183">
        <f t="shared" si="59"/>
        <v>289.74</v>
      </c>
      <c r="U186" s="195">
        <f t="shared" si="55"/>
        <v>0</v>
      </c>
    </row>
    <row r="187" spans="1:21" x14ac:dyDescent="0.25">
      <c r="A187" s="191">
        <v>2025</v>
      </c>
      <c r="B187" s="189">
        <v>9</v>
      </c>
      <c r="C187" s="71" t="s">
        <v>105</v>
      </c>
      <c r="D187" t="s">
        <v>705</v>
      </c>
      <c r="E187" s="1">
        <v>45681</v>
      </c>
      <c r="F187" t="s">
        <v>1794</v>
      </c>
      <c r="I187" t="b">
        <v>0</v>
      </c>
      <c r="J187" s="48">
        <v>23.44</v>
      </c>
      <c r="K187" s="185">
        <f t="shared" si="37"/>
        <v>23.44</v>
      </c>
      <c r="L187" s="72">
        <v>1</v>
      </c>
      <c r="M187" s="72">
        <v>0.2</v>
      </c>
      <c r="N187" s="185">
        <f t="shared" si="60"/>
        <v>3.8533333333333339</v>
      </c>
      <c r="O187" s="185">
        <f t="shared" si="58"/>
        <v>3.8533333333333339</v>
      </c>
      <c r="P187" s="185">
        <f>($J187-0.32)/(100%+$M187)</f>
        <v>19.266666666666669</v>
      </c>
      <c r="Q187" s="185">
        <f t="shared" si="62"/>
        <v>19.266666666666669</v>
      </c>
      <c r="R187" s="192">
        <f t="shared" si="54"/>
        <v>45792</v>
      </c>
      <c r="T187" s="183">
        <f t="shared" si="59"/>
        <v>19.266666666666669</v>
      </c>
      <c r="U187" s="195">
        <f t="shared" si="55"/>
        <v>0</v>
      </c>
    </row>
    <row r="188" spans="1:21" x14ac:dyDescent="0.25">
      <c r="A188" s="191">
        <v>2025</v>
      </c>
      <c r="B188" s="189">
        <v>10</v>
      </c>
      <c r="C188" s="71" t="s">
        <v>105</v>
      </c>
      <c r="D188" t="s">
        <v>705</v>
      </c>
      <c r="E188" s="1">
        <v>45688</v>
      </c>
      <c r="F188" t="s">
        <v>1786</v>
      </c>
      <c r="I188" t="b">
        <v>0</v>
      </c>
      <c r="J188" s="48">
        <v>234.71</v>
      </c>
      <c r="K188" s="185">
        <f t="shared" si="37"/>
        <v>21.629527236003284</v>
      </c>
      <c r="L188" s="72">
        <f>14.6/158.43</f>
        <v>9.2154263712680679E-2</v>
      </c>
      <c r="M188" s="72" t="s">
        <v>14</v>
      </c>
      <c r="N188" s="185">
        <v>20.99</v>
      </c>
      <c r="O188" s="185">
        <f t="shared" si="58"/>
        <v>1.9343179953291674</v>
      </c>
      <c r="P188" s="185">
        <v>213.72</v>
      </c>
      <c r="Q188" s="185">
        <f t="shared" si="62"/>
        <v>19.695209240674114</v>
      </c>
      <c r="R188" s="192">
        <f t="shared" si="54"/>
        <v>45792</v>
      </c>
      <c r="T188" s="183">
        <f t="shared" si="59"/>
        <v>19.695209240674114</v>
      </c>
      <c r="U188" s="195">
        <f t="shared" si="55"/>
        <v>0</v>
      </c>
    </row>
    <row r="189" spans="1:21" x14ac:dyDescent="0.25">
      <c r="A189" s="191">
        <v>2025</v>
      </c>
      <c r="B189" s="189">
        <v>11</v>
      </c>
      <c r="C189" s="71" t="s">
        <v>105</v>
      </c>
      <c r="D189" t="s">
        <v>705</v>
      </c>
      <c r="E189" s="1">
        <v>45691</v>
      </c>
      <c r="F189" t="s">
        <v>1404</v>
      </c>
      <c r="I189" t="b">
        <v>0</v>
      </c>
      <c r="J189" s="48">
        <v>13.8</v>
      </c>
      <c r="K189" s="185">
        <f t="shared" si="37"/>
        <v>13.8</v>
      </c>
      <c r="L189" s="72">
        <v>1</v>
      </c>
      <c r="M189" s="72">
        <v>0</v>
      </c>
      <c r="N189" s="185">
        <f>$P189*$M189</f>
        <v>0</v>
      </c>
      <c r="O189" s="185">
        <f t="shared" si="58"/>
        <v>0</v>
      </c>
      <c r="P189" s="185">
        <f>$J189/(100%+$M189)</f>
        <v>13.8</v>
      </c>
      <c r="Q189" s="185">
        <f t="shared" si="62"/>
        <v>13.8</v>
      </c>
      <c r="R189" s="192">
        <f t="shared" si="54"/>
        <v>45792</v>
      </c>
      <c r="S189">
        <v>20</v>
      </c>
      <c r="T189" s="183">
        <f t="shared" si="59"/>
        <v>13.8</v>
      </c>
      <c r="U189" s="195">
        <f t="shared" si="55"/>
        <v>2.7600000000000002</v>
      </c>
    </row>
    <row r="190" spans="1:21" x14ac:dyDescent="0.25">
      <c r="A190" s="191">
        <v>2025</v>
      </c>
      <c r="B190" s="189">
        <v>12</v>
      </c>
      <c r="C190" s="71" t="s">
        <v>105</v>
      </c>
      <c r="D190" t="s">
        <v>703</v>
      </c>
      <c r="E190" s="1">
        <v>45692</v>
      </c>
      <c r="F190" t="s">
        <v>34</v>
      </c>
      <c r="I190" t="b">
        <v>0</v>
      </c>
      <c r="J190" s="48">
        <v>13.91</v>
      </c>
      <c r="K190" s="185">
        <f t="shared" si="37"/>
        <v>13.91</v>
      </c>
      <c r="L190" s="72">
        <v>1</v>
      </c>
      <c r="M190" s="72">
        <v>0.2</v>
      </c>
      <c r="N190" s="185">
        <f t="shared" ref="N190:N214" si="63">$P190*$M190</f>
        <v>2.3183333333333334</v>
      </c>
      <c r="O190" s="185">
        <f t="shared" si="58"/>
        <v>2.3183333333333334</v>
      </c>
      <c r="P190" s="185">
        <f t="shared" ref="P190:P214" si="64">$J190/(100%+$M190)</f>
        <v>11.591666666666667</v>
      </c>
      <c r="Q190" s="185">
        <f t="shared" si="62"/>
        <v>11.591666666666667</v>
      </c>
      <c r="R190" s="192">
        <f t="shared" si="54"/>
        <v>45792</v>
      </c>
      <c r="T190" s="183">
        <f t="shared" si="59"/>
        <v>11.591666666666667</v>
      </c>
      <c r="U190" s="195">
        <f t="shared" si="55"/>
        <v>0</v>
      </c>
    </row>
    <row r="191" spans="1:21" x14ac:dyDescent="0.25">
      <c r="A191" s="191">
        <v>2025</v>
      </c>
      <c r="B191" s="189">
        <v>13</v>
      </c>
      <c r="C191" s="71" t="s">
        <v>105</v>
      </c>
      <c r="D191" t="s">
        <v>705</v>
      </c>
      <c r="E191" s="1">
        <v>45691</v>
      </c>
      <c r="F191" t="s">
        <v>1404</v>
      </c>
      <c r="I191" t="b">
        <v>0</v>
      </c>
      <c r="J191" s="48">
        <v>13.8</v>
      </c>
      <c r="K191" s="185">
        <f t="shared" si="37"/>
        <v>13.8</v>
      </c>
      <c r="L191" s="72">
        <v>1</v>
      </c>
      <c r="M191" s="72">
        <v>0</v>
      </c>
      <c r="N191" s="185">
        <f t="shared" si="63"/>
        <v>0</v>
      </c>
      <c r="O191" s="185">
        <f t="shared" si="58"/>
        <v>0</v>
      </c>
      <c r="P191" s="185">
        <f t="shared" si="64"/>
        <v>13.8</v>
      </c>
      <c r="Q191" s="185">
        <f t="shared" si="62"/>
        <v>13.8</v>
      </c>
      <c r="R191" s="192">
        <f t="shared" si="54"/>
        <v>45792</v>
      </c>
      <c r="S191">
        <v>20</v>
      </c>
      <c r="T191" s="183">
        <f t="shared" si="59"/>
        <v>13.8</v>
      </c>
      <c r="U191" s="195">
        <f t="shared" si="55"/>
        <v>2.7600000000000002</v>
      </c>
    </row>
    <row r="192" spans="1:21" x14ac:dyDescent="0.25">
      <c r="A192" s="191">
        <v>2025</v>
      </c>
      <c r="B192" s="189">
        <v>14</v>
      </c>
      <c r="C192" s="71" t="s">
        <v>105</v>
      </c>
      <c r="D192" t="s">
        <v>703</v>
      </c>
      <c r="E192" s="1">
        <v>45692</v>
      </c>
      <c r="F192" t="s">
        <v>34</v>
      </c>
      <c r="I192" t="b">
        <v>0</v>
      </c>
      <c r="J192" s="48">
        <v>13.91</v>
      </c>
      <c r="K192" s="185">
        <f t="shared" si="37"/>
        <v>13.91</v>
      </c>
      <c r="L192" s="72">
        <v>1</v>
      </c>
      <c r="M192" s="72">
        <v>0.2</v>
      </c>
      <c r="N192" s="185">
        <f t="shared" si="63"/>
        <v>2.3183333333333334</v>
      </c>
      <c r="O192" s="185">
        <f t="shared" si="58"/>
        <v>2.3183333333333334</v>
      </c>
      <c r="P192" s="185">
        <f t="shared" si="64"/>
        <v>11.591666666666667</v>
      </c>
      <c r="Q192" s="185">
        <f t="shared" si="62"/>
        <v>11.591666666666667</v>
      </c>
      <c r="R192" s="192">
        <f t="shared" si="54"/>
        <v>45792</v>
      </c>
      <c r="T192" s="183">
        <f t="shared" si="59"/>
        <v>11.591666666666667</v>
      </c>
      <c r="U192" s="195">
        <f t="shared" si="55"/>
        <v>0</v>
      </c>
    </row>
    <row r="193" spans="1:21" x14ac:dyDescent="0.25">
      <c r="A193" s="191">
        <v>2025</v>
      </c>
      <c r="B193" s="189">
        <v>15</v>
      </c>
      <c r="C193" s="71" t="s">
        <v>708</v>
      </c>
      <c r="D193" t="s">
        <v>709</v>
      </c>
      <c r="E193" s="1">
        <v>45700</v>
      </c>
      <c r="F193" t="s">
        <v>1788</v>
      </c>
      <c r="I193" t="b">
        <v>0</v>
      </c>
      <c r="J193" s="48">
        <v>13536</v>
      </c>
      <c r="K193" s="185">
        <f t="shared" si="37"/>
        <v>13536</v>
      </c>
      <c r="L193" s="72">
        <v>1</v>
      </c>
      <c r="M193" s="72">
        <v>0.2</v>
      </c>
      <c r="N193" s="185">
        <f>$P193*$M193</f>
        <v>2256</v>
      </c>
      <c r="O193" s="185">
        <f t="shared" si="58"/>
        <v>2256</v>
      </c>
      <c r="P193" s="185">
        <f>$J193/(100%+$M193)</f>
        <v>11280</v>
      </c>
      <c r="Q193" s="185">
        <f t="shared" si="62"/>
        <v>11280</v>
      </c>
      <c r="R193" s="192">
        <f t="shared" si="54"/>
        <v>45792</v>
      </c>
      <c r="T193" s="183">
        <f t="shared" si="59"/>
        <v>11280</v>
      </c>
      <c r="U193" s="195">
        <f t="shared" si="55"/>
        <v>0</v>
      </c>
    </row>
    <row r="194" spans="1:21" x14ac:dyDescent="0.25">
      <c r="A194" s="191">
        <v>2025</v>
      </c>
      <c r="B194" s="189">
        <v>16</v>
      </c>
      <c r="C194" s="71" t="s">
        <v>105</v>
      </c>
      <c r="D194" t="s">
        <v>705</v>
      </c>
      <c r="E194" s="1">
        <v>45701</v>
      </c>
      <c r="F194" t="s">
        <v>1783</v>
      </c>
      <c r="I194" t="b">
        <v>0</v>
      </c>
      <c r="J194" s="48">
        <v>56</v>
      </c>
      <c r="K194" s="185">
        <f t="shared" ref="K194:K207" si="65">$J194*$L194</f>
        <v>56</v>
      </c>
      <c r="L194" s="72">
        <v>1</v>
      </c>
      <c r="M194" s="72">
        <v>0</v>
      </c>
      <c r="N194" s="185">
        <f>$P194*$M194</f>
        <v>0</v>
      </c>
      <c r="O194" s="185">
        <f t="shared" si="58"/>
        <v>0</v>
      </c>
      <c r="P194" s="185">
        <f>$J194/(100%+$M194)</f>
        <v>56</v>
      </c>
      <c r="Q194" s="185">
        <f t="shared" si="62"/>
        <v>56</v>
      </c>
      <c r="R194" s="192">
        <f t="shared" si="54"/>
        <v>45792</v>
      </c>
      <c r="S194">
        <v>20</v>
      </c>
      <c r="T194" s="183">
        <f t="shared" si="59"/>
        <v>56</v>
      </c>
      <c r="U194" s="195">
        <f t="shared" si="55"/>
        <v>11.200000000000001</v>
      </c>
    </row>
    <row r="195" spans="1:21" x14ac:dyDescent="0.25">
      <c r="A195" s="191">
        <v>2025</v>
      </c>
      <c r="B195" s="189">
        <v>17</v>
      </c>
      <c r="C195" s="71" t="s">
        <v>105</v>
      </c>
      <c r="D195" t="s">
        <v>703</v>
      </c>
      <c r="E195" s="1">
        <v>45702</v>
      </c>
      <c r="F195" t="s">
        <v>1781</v>
      </c>
      <c r="I195" t="b">
        <v>0</v>
      </c>
      <c r="J195" s="48">
        <v>55.7</v>
      </c>
      <c r="K195" s="185">
        <f t="shared" si="65"/>
        <v>37.319000000000003</v>
      </c>
      <c r="L195" s="72">
        <v>0.67</v>
      </c>
      <c r="M195" s="72" t="s">
        <v>14</v>
      </c>
      <c r="N195" s="185">
        <f>1.36+7.07</f>
        <v>8.43</v>
      </c>
      <c r="O195" s="185">
        <f t="shared" si="58"/>
        <v>5.6481000000000003</v>
      </c>
      <c r="P195" s="185">
        <v>49.01</v>
      </c>
      <c r="Q195" s="185">
        <f t="shared" si="62"/>
        <v>32.8367</v>
      </c>
      <c r="R195" s="192">
        <f t="shared" si="54"/>
        <v>45792</v>
      </c>
      <c r="T195" s="183">
        <f t="shared" si="59"/>
        <v>32.8367</v>
      </c>
      <c r="U195" s="195">
        <f t="shared" si="55"/>
        <v>0</v>
      </c>
    </row>
    <row r="196" spans="1:21" x14ac:dyDescent="0.25">
      <c r="A196" s="191">
        <v>2025</v>
      </c>
      <c r="B196" s="189">
        <v>18</v>
      </c>
      <c r="C196" s="71" t="s">
        <v>105</v>
      </c>
      <c r="D196" t="s">
        <v>705</v>
      </c>
      <c r="E196" s="1">
        <v>45702</v>
      </c>
      <c r="F196" t="s">
        <v>1783</v>
      </c>
      <c r="I196" t="b">
        <v>0</v>
      </c>
      <c r="J196" s="48">
        <v>9.16</v>
      </c>
      <c r="K196" s="185">
        <f t="shared" si="65"/>
        <v>9.16</v>
      </c>
      <c r="L196" s="72">
        <v>1</v>
      </c>
      <c r="M196" s="72">
        <v>0</v>
      </c>
      <c r="N196" s="185">
        <f>$P196*$M196</f>
        <v>0</v>
      </c>
      <c r="O196" s="185">
        <f t="shared" si="58"/>
        <v>0</v>
      </c>
      <c r="P196" s="185">
        <f>$J196/(100%+$M196)</f>
        <v>9.16</v>
      </c>
      <c r="Q196" s="185">
        <f t="shared" si="62"/>
        <v>9.16</v>
      </c>
      <c r="R196" s="192">
        <f t="shared" si="54"/>
        <v>45792</v>
      </c>
      <c r="S196">
        <v>20</v>
      </c>
      <c r="T196" s="183">
        <f t="shared" si="59"/>
        <v>9.16</v>
      </c>
      <c r="U196" s="195">
        <f t="shared" si="55"/>
        <v>1.8320000000000001</v>
      </c>
    </row>
    <row r="197" spans="1:21" x14ac:dyDescent="0.25">
      <c r="A197" s="191">
        <v>2025</v>
      </c>
      <c r="B197" s="189">
        <v>19</v>
      </c>
      <c r="C197" s="71" t="s">
        <v>105</v>
      </c>
      <c r="D197" t="s">
        <v>705</v>
      </c>
      <c r="E197" s="1">
        <v>45708</v>
      </c>
      <c r="F197" t="s">
        <v>1032</v>
      </c>
      <c r="I197" t="b">
        <v>0</v>
      </c>
      <c r="J197" s="48">
        <v>11.7</v>
      </c>
      <c r="K197" s="185">
        <f t="shared" si="65"/>
        <v>11.7</v>
      </c>
      <c r="L197" s="72">
        <v>1</v>
      </c>
      <c r="M197" s="72">
        <v>0</v>
      </c>
      <c r="N197" s="185">
        <f>$P197*$M197</f>
        <v>0</v>
      </c>
      <c r="O197" s="185">
        <f t="shared" ref="O197:O206" si="66">L197*$N197</f>
        <v>0</v>
      </c>
      <c r="P197" s="185">
        <f>$J197/(100%+$M197)</f>
        <v>11.7</v>
      </c>
      <c r="Q197" s="185">
        <f>$L197*$P197</f>
        <v>11.7</v>
      </c>
      <c r="R197" s="192">
        <f t="shared" si="54"/>
        <v>45792</v>
      </c>
      <c r="S197">
        <v>20</v>
      </c>
      <c r="T197" s="183">
        <f t="shared" ref="T197:T206" si="67">IF(G197=TRUE,Q197/F197,Q197)</f>
        <v>11.7</v>
      </c>
      <c r="U197" s="195">
        <f t="shared" si="55"/>
        <v>2.34</v>
      </c>
    </row>
    <row r="198" spans="1:21" x14ac:dyDescent="0.25">
      <c r="A198" s="191">
        <v>2025</v>
      </c>
      <c r="B198" s="189">
        <v>20</v>
      </c>
      <c r="C198" s="71" t="s">
        <v>105</v>
      </c>
      <c r="D198" t="s">
        <v>705</v>
      </c>
      <c r="E198" s="1">
        <v>45713</v>
      </c>
      <c r="F198" t="s">
        <v>1794</v>
      </c>
      <c r="I198" t="b">
        <v>0</v>
      </c>
      <c r="J198" s="48">
        <v>23.32</v>
      </c>
      <c r="K198" s="185">
        <f t="shared" si="65"/>
        <v>23.32</v>
      </c>
      <c r="L198" s="72">
        <v>1</v>
      </c>
      <c r="M198" s="72">
        <v>0.2</v>
      </c>
      <c r="N198" s="185">
        <f t="shared" ref="N198" si="68">$P198*$M198</f>
        <v>3.8333333333333339</v>
      </c>
      <c r="O198" s="185">
        <f t="shared" si="66"/>
        <v>3.8333333333333339</v>
      </c>
      <c r="P198" s="185">
        <f>($J198-0.32)/(100%+$M198)</f>
        <v>19.166666666666668</v>
      </c>
      <c r="Q198" s="185">
        <f t="shared" si="62"/>
        <v>19.166666666666668</v>
      </c>
      <c r="R198" s="192">
        <f t="shared" si="54"/>
        <v>45792</v>
      </c>
      <c r="T198" s="183">
        <f t="shared" si="67"/>
        <v>19.166666666666668</v>
      </c>
      <c r="U198" s="195">
        <f t="shared" si="55"/>
        <v>0</v>
      </c>
    </row>
    <row r="199" spans="1:21" x14ac:dyDescent="0.25">
      <c r="A199" s="191">
        <v>2025</v>
      </c>
      <c r="B199" s="189">
        <v>21</v>
      </c>
      <c r="C199" s="71" t="s">
        <v>105</v>
      </c>
      <c r="D199" t="s">
        <v>705</v>
      </c>
      <c r="E199" s="1">
        <v>45719</v>
      </c>
      <c r="F199" t="s">
        <v>1404</v>
      </c>
      <c r="I199" t="b">
        <v>0</v>
      </c>
      <c r="J199" s="48">
        <v>13.8</v>
      </c>
      <c r="K199" s="185">
        <f t="shared" si="65"/>
        <v>13.8</v>
      </c>
      <c r="L199" s="72">
        <v>1</v>
      </c>
      <c r="M199" s="72">
        <v>0</v>
      </c>
      <c r="N199" s="185">
        <f>$P199*$M199</f>
        <v>0</v>
      </c>
      <c r="O199" s="185">
        <f t="shared" si="66"/>
        <v>0</v>
      </c>
      <c r="P199" s="185">
        <f>$J199/(100%+$M199)</f>
        <v>13.8</v>
      </c>
      <c r="Q199" s="185">
        <f t="shared" si="62"/>
        <v>13.8</v>
      </c>
      <c r="R199" s="192">
        <f t="shared" si="54"/>
        <v>45792</v>
      </c>
      <c r="S199">
        <v>20</v>
      </c>
      <c r="T199" s="183">
        <f t="shared" si="67"/>
        <v>13.8</v>
      </c>
      <c r="U199" s="195">
        <f t="shared" si="55"/>
        <v>2.7600000000000002</v>
      </c>
    </row>
    <row r="200" spans="1:21" x14ac:dyDescent="0.25">
      <c r="A200" s="191">
        <v>2025</v>
      </c>
      <c r="B200" s="189">
        <v>22</v>
      </c>
      <c r="C200" s="71" t="s">
        <v>105</v>
      </c>
      <c r="D200" t="s">
        <v>703</v>
      </c>
      <c r="E200" s="1">
        <v>45721</v>
      </c>
      <c r="F200" t="s">
        <v>34</v>
      </c>
      <c r="I200" t="b">
        <v>0</v>
      </c>
      <c r="J200" s="48">
        <v>13.91</v>
      </c>
      <c r="K200" s="185">
        <f t="shared" si="65"/>
        <v>13.91</v>
      </c>
      <c r="L200" s="72">
        <v>1</v>
      </c>
      <c r="M200" s="72">
        <v>0.2</v>
      </c>
      <c r="N200" s="185">
        <f t="shared" si="63"/>
        <v>2.3183333333333334</v>
      </c>
      <c r="O200" s="185">
        <f t="shared" si="66"/>
        <v>2.3183333333333334</v>
      </c>
      <c r="P200" s="185">
        <f t="shared" si="64"/>
        <v>11.591666666666667</v>
      </c>
      <c r="Q200" s="185">
        <f t="shared" si="62"/>
        <v>11.591666666666667</v>
      </c>
      <c r="R200" s="192">
        <f t="shared" si="54"/>
        <v>45792</v>
      </c>
      <c r="T200" s="183">
        <f t="shared" si="67"/>
        <v>11.591666666666667</v>
      </c>
      <c r="U200" s="195">
        <f t="shared" si="55"/>
        <v>0</v>
      </c>
    </row>
    <row r="201" spans="1:21" x14ac:dyDescent="0.25">
      <c r="A201" s="191">
        <v>2025</v>
      </c>
      <c r="B201" s="189">
        <v>23</v>
      </c>
      <c r="C201" s="71" t="s">
        <v>105</v>
      </c>
      <c r="D201" t="s">
        <v>705</v>
      </c>
      <c r="E201" s="1">
        <v>45726</v>
      </c>
      <c r="F201" t="s">
        <v>1110</v>
      </c>
      <c r="I201" t="b">
        <v>0</v>
      </c>
      <c r="J201" s="48">
        <v>24</v>
      </c>
      <c r="K201" s="185">
        <f t="shared" si="65"/>
        <v>2.2117023291043365</v>
      </c>
      <c r="L201" s="72">
        <f>14.6/158.43</f>
        <v>9.2154263712680679E-2</v>
      </c>
      <c r="M201" s="72">
        <v>0.2</v>
      </c>
      <c r="N201" s="185">
        <f t="shared" si="63"/>
        <v>4</v>
      </c>
      <c r="O201" s="185">
        <f t="shared" si="66"/>
        <v>0.36861705485072271</v>
      </c>
      <c r="P201" s="185">
        <f t="shared" si="64"/>
        <v>20</v>
      </c>
      <c r="Q201" s="185">
        <f t="shared" si="62"/>
        <v>1.8430852742536135</v>
      </c>
      <c r="R201" s="192">
        <f t="shared" si="54"/>
        <v>45792</v>
      </c>
      <c r="T201" s="183">
        <f t="shared" si="67"/>
        <v>1.8430852742536135</v>
      </c>
      <c r="U201" s="195">
        <f t="shared" si="55"/>
        <v>0</v>
      </c>
    </row>
    <row r="202" spans="1:21" x14ac:dyDescent="0.25">
      <c r="A202" s="191">
        <v>2025</v>
      </c>
      <c r="B202" s="189">
        <v>24</v>
      </c>
      <c r="C202" s="71" t="s">
        <v>105</v>
      </c>
      <c r="D202" t="s">
        <v>705</v>
      </c>
      <c r="E202" s="1">
        <v>45729</v>
      </c>
      <c r="F202" t="s">
        <v>1783</v>
      </c>
      <c r="I202" t="b">
        <v>0</v>
      </c>
      <c r="J202" s="48">
        <v>56</v>
      </c>
      <c r="K202" s="185">
        <f t="shared" si="65"/>
        <v>56</v>
      </c>
      <c r="L202" s="72">
        <v>1</v>
      </c>
      <c r="M202" s="72">
        <v>0</v>
      </c>
      <c r="N202" s="185">
        <f>$P202*$M202</f>
        <v>0</v>
      </c>
      <c r="O202" s="185">
        <f t="shared" si="66"/>
        <v>0</v>
      </c>
      <c r="P202" s="185">
        <f>$J202/(100%+$M202)</f>
        <v>56</v>
      </c>
      <c r="Q202" s="185">
        <f t="shared" si="62"/>
        <v>56</v>
      </c>
      <c r="R202" s="192">
        <f t="shared" si="54"/>
        <v>45792</v>
      </c>
      <c r="S202">
        <v>20</v>
      </c>
      <c r="T202" s="183">
        <f t="shared" si="67"/>
        <v>56</v>
      </c>
      <c r="U202" s="195">
        <f t="shared" si="55"/>
        <v>11.200000000000001</v>
      </c>
    </row>
    <row r="203" spans="1:21" x14ac:dyDescent="0.25">
      <c r="A203" s="191">
        <v>2025</v>
      </c>
      <c r="B203" s="189">
        <v>25</v>
      </c>
      <c r="C203" s="71" t="s">
        <v>105</v>
      </c>
      <c r="D203" t="s">
        <v>703</v>
      </c>
      <c r="E203" s="1">
        <v>45730</v>
      </c>
      <c r="F203" t="s">
        <v>1781</v>
      </c>
      <c r="I203" t="b">
        <v>0</v>
      </c>
      <c r="J203" s="48">
        <v>58.89</v>
      </c>
      <c r="K203" s="185">
        <f t="shared" si="65"/>
        <v>39.456300000000006</v>
      </c>
      <c r="L203" s="72">
        <v>0.67</v>
      </c>
      <c r="M203" s="72" t="s">
        <v>14</v>
      </c>
      <c r="N203" s="185">
        <f>1.38+7.29</f>
        <v>8.67</v>
      </c>
      <c r="O203" s="185">
        <f t="shared" si="66"/>
        <v>5.8089000000000004</v>
      </c>
      <c r="P203" s="185">
        <v>50.22</v>
      </c>
      <c r="Q203" s="185">
        <f t="shared" si="62"/>
        <v>33.647400000000005</v>
      </c>
      <c r="R203" s="192">
        <f t="shared" si="54"/>
        <v>45792</v>
      </c>
      <c r="T203" s="183">
        <f t="shared" si="67"/>
        <v>33.647400000000005</v>
      </c>
      <c r="U203" s="195">
        <f t="shared" si="55"/>
        <v>0</v>
      </c>
    </row>
    <row r="204" spans="1:21" x14ac:dyDescent="0.25">
      <c r="A204" s="191">
        <v>2025</v>
      </c>
      <c r="B204" s="189">
        <v>26</v>
      </c>
      <c r="C204" s="71" t="s">
        <v>105</v>
      </c>
      <c r="D204" t="s">
        <v>705</v>
      </c>
      <c r="E204" s="1">
        <v>45730</v>
      </c>
      <c r="F204" t="s">
        <v>1783</v>
      </c>
      <c r="I204" t="b">
        <v>0</v>
      </c>
      <c r="J204" s="48">
        <v>9.16</v>
      </c>
      <c r="K204" s="185">
        <f t="shared" si="65"/>
        <v>9.16</v>
      </c>
      <c r="L204" s="72">
        <v>1</v>
      </c>
      <c r="M204" s="72">
        <v>0</v>
      </c>
      <c r="N204" s="185">
        <f>$P204*$M204</f>
        <v>0</v>
      </c>
      <c r="O204" s="185">
        <f t="shared" si="66"/>
        <v>0</v>
      </c>
      <c r="P204" s="185">
        <f>$J204/(100%+$M204)</f>
        <v>9.16</v>
      </c>
      <c r="Q204" s="185">
        <f t="shared" si="62"/>
        <v>9.16</v>
      </c>
      <c r="R204" s="192">
        <f t="shared" si="54"/>
        <v>45792</v>
      </c>
      <c r="S204">
        <v>20</v>
      </c>
      <c r="T204" s="183">
        <f t="shared" si="67"/>
        <v>9.16</v>
      </c>
      <c r="U204" s="195">
        <f t="shared" si="55"/>
        <v>1.8320000000000001</v>
      </c>
    </row>
    <row r="205" spans="1:21" x14ac:dyDescent="0.25">
      <c r="A205" s="191">
        <v>2025</v>
      </c>
      <c r="B205" s="189">
        <v>27</v>
      </c>
      <c r="C205" s="71" t="s">
        <v>708</v>
      </c>
      <c r="D205" t="s">
        <v>709</v>
      </c>
      <c r="E205" s="1">
        <v>45736</v>
      </c>
      <c r="F205" t="s">
        <v>1788</v>
      </c>
      <c r="I205" t="b">
        <v>0</v>
      </c>
      <c r="J205" s="48">
        <v>19791.740000000002</v>
      </c>
      <c r="K205" s="185">
        <f t="shared" si="65"/>
        <v>19791.740000000002</v>
      </c>
      <c r="L205" s="72">
        <v>1</v>
      </c>
      <c r="M205" s="72">
        <v>0.2</v>
      </c>
      <c r="N205" s="185">
        <f>$P205*$M205</f>
        <v>3298.6233333333339</v>
      </c>
      <c r="O205" s="185">
        <f t="shared" si="66"/>
        <v>3298.6233333333339</v>
      </c>
      <c r="P205" s="185">
        <f>$J205/(100%+$M205)</f>
        <v>16493.116666666669</v>
      </c>
      <c r="Q205" s="185">
        <f t="shared" si="62"/>
        <v>16493.116666666669</v>
      </c>
      <c r="R205" s="192">
        <f t="shared" si="54"/>
        <v>45792</v>
      </c>
      <c r="T205" s="183">
        <f t="shared" si="67"/>
        <v>16493.116666666669</v>
      </c>
      <c r="U205" s="195">
        <f t="shared" si="55"/>
        <v>0</v>
      </c>
    </row>
    <row r="206" spans="1:21" x14ac:dyDescent="0.25">
      <c r="A206" s="191">
        <v>2025</v>
      </c>
      <c r="B206" s="189">
        <v>28</v>
      </c>
      <c r="C206" s="71" t="s">
        <v>105</v>
      </c>
      <c r="D206" t="s">
        <v>705</v>
      </c>
      <c r="E206" s="1">
        <v>45740</v>
      </c>
      <c r="F206" t="s">
        <v>1793</v>
      </c>
      <c r="I206" t="b">
        <v>0</v>
      </c>
      <c r="J206" s="109">
        <v>110</v>
      </c>
      <c r="K206" s="185">
        <f t="shared" si="65"/>
        <v>10.136969008394875</v>
      </c>
      <c r="L206" s="72">
        <f>14.6/158.43</f>
        <v>9.2154263712680679E-2</v>
      </c>
      <c r="M206" s="72">
        <v>0.1</v>
      </c>
      <c r="N206" s="185">
        <f t="shared" ref="N206:N207" si="69">$P206*$M206</f>
        <v>10</v>
      </c>
      <c r="O206" s="185">
        <f t="shared" si="66"/>
        <v>0.92154263712680673</v>
      </c>
      <c r="P206" s="185">
        <f t="shared" ref="P206" si="70">$J206/(100%+$M206)</f>
        <v>99.999999999999986</v>
      </c>
      <c r="Q206" s="185">
        <f t="shared" si="62"/>
        <v>9.215426371268066</v>
      </c>
      <c r="R206" s="192">
        <f t="shared" si="54"/>
        <v>45792</v>
      </c>
      <c r="T206" s="183">
        <f t="shared" si="67"/>
        <v>9.215426371268066</v>
      </c>
      <c r="U206" s="195">
        <f t="shared" si="55"/>
        <v>0</v>
      </c>
    </row>
    <row r="207" spans="1:21" x14ac:dyDescent="0.25">
      <c r="A207" s="191">
        <v>2025</v>
      </c>
      <c r="B207" s="189">
        <v>29</v>
      </c>
      <c r="C207" s="71" t="s">
        <v>105</v>
      </c>
      <c r="D207" t="s">
        <v>705</v>
      </c>
      <c r="E207" s="1">
        <v>45741</v>
      </c>
      <c r="F207" t="s">
        <v>1794</v>
      </c>
      <c r="I207" t="b">
        <v>0</v>
      </c>
      <c r="J207" s="48">
        <v>22.56</v>
      </c>
      <c r="K207" s="185">
        <f t="shared" si="65"/>
        <v>22.56</v>
      </c>
      <c r="L207" s="72">
        <v>1</v>
      </c>
      <c r="M207" s="72">
        <v>0.2</v>
      </c>
      <c r="N207" s="185">
        <f t="shared" si="69"/>
        <v>3.7066666666666666</v>
      </c>
      <c r="O207" s="185">
        <f t="shared" ref="O207" si="71">L207*$N207</f>
        <v>3.7066666666666666</v>
      </c>
      <c r="P207" s="185">
        <f>($J207-0.32)/(100%+$M207)</f>
        <v>18.533333333333331</v>
      </c>
      <c r="Q207" s="185">
        <f t="shared" si="62"/>
        <v>18.533333333333331</v>
      </c>
      <c r="R207" s="192">
        <f t="shared" si="54"/>
        <v>45792</v>
      </c>
      <c r="T207" s="183">
        <f t="shared" ref="T207" si="72">IF(G207=TRUE,Q207/F207,Q207)</f>
        <v>18.533333333333331</v>
      </c>
      <c r="U207" s="195">
        <f t="shared" si="55"/>
        <v>0</v>
      </c>
    </row>
    <row r="208" spans="1:21" x14ac:dyDescent="0.25">
      <c r="A208" s="191">
        <v>2025</v>
      </c>
      <c r="B208" s="189">
        <v>30</v>
      </c>
      <c r="C208" s="71" t="s">
        <v>105</v>
      </c>
      <c r="D208" t="s">
        <v>694</v>
      </c>
      <c r="E208" s="1">
        <v>45747</v>
      </c>
      <c r="F208" t="s">
        <v>1838</v>
      </c>
      <c r="I208" t="b">
        <v>0</v>
      </c>
      <c r="J208" s="48">
        <v>1679.84</v>
      </c>
      <c r="K208" s="185">
        <f t="shared" ref="K208:K224" si="73">$J208*$L208</f>
        <v>154.8044183551095</v>
      </c>
      <c r="L208" s="72">
        <f>14.6/158.43</f>
        <v>9.2154263712680679E-2</v>
      </c>
      <c r="M208" s="72">
        <v>0</v>
      </c>
      <c r="N208" s="185">
        <f t="shared" si="63"/>
        <v>0</v>
      </c>
      <c r="O208" s="185">
        <f t="shared" ref="O208:O219" si="74">L208*$N208</f>
        <v>0</v>
      </c>
      <c r="P208" s="185">
        <f t="shared" si="64"/>
        <v>1679.84</v>
      </c>
      <c r="Q208" s="185">
        <f t="shared" si="62"/>
        <v>154.8044183551095</v>
      </c>
      <c r="R208" s="192">
        <f t="shared" si="54"/>
        <v>45792</v>
      </c>
      <c r="T208" s="183">
        <f t="shared" ref="T208:T219" si="75">IF(G208=TRUE,Q208/F208,Q208)</f>
        <v>154.8044183551095</v>
      </c>
      <c r="U208" s="195">
        <f t="shared" si="55"/>
        <v>0</v>
      </c>
    </row>
    <row r="209" spans="1:21" x14ac:dyDescent="0.25">
      <c r="A209" s="191">
        <v>2025</v>
      </c>
      <c r="B209" s="189">
        <v>31</v>
      </c>
      <c r="C209" s="71" t="s">
        <v>105</v>
      </c>
      <c r="D209" t="s">
        <v>694</v>
      </c>
      <c r="E209" s="1">
        <v>45747</v>
      </c>
      <c r="F209" t="s">
        <v>1839</v>
      </c>
      <c r="I209" t="b">
        <v>0</v>
      </c>
      <c r="J209" s="48">
        <v>35</v>
      </c>
      <c r="K209" s="185">
        <f t="shared" si="73"/>
        <v>3.2253992299438239</v>
      </c>
      <c r="L209" s="72">
        <f>14.6/158.43</f>
        <v>9.2154263712680679E-2</v>
      </c>
      <c r="M209" s="72">
        <v>0</v>
      </c>
      <c r="N209" s="185">
        <f t="shared" si="63"/>
        <v>0</v>
      </c>
      <c r="O209" s="185">
        <f t="shared" ref="O209:O213" si="76">L209*$N209</f>
        <v>0</v>
      </c>
      <c r="P209" s="185">
        <f t="shared" si="64"/>
        <v>35</v>
      </c>
      <c r="Q209" s="185">
        <f t="shared" si="62"/>
        <v>3.2253992299438239</v>
      </c>
      <c r="R209" s="192">
        <f t="shared" si="54"/>
        <v>45792</v>
      </c>
      <c r="T209" s="183">
        <f t="shared" ref="T209:T213" si="77">IF(G209=TRUE,Q209/F209,Q209)</f>
        <v>3.2253992299438239</v>
      </c>
      <c r="U209" s="195">
        <f t="shared" si="55"/>
        <v>0</v>
      </c>
    </row>
    <row r="210" spans="1:21" x14ac:dyDescent="0.25">
      <c r="A210" s="191">
        <v>2025</v>
      </c>
      <c r="B210" s="189">
        <v>32</v>
      </c>
      <c r="C210" s="71" t="s">
        <v>105</v>
      </c>
      <c r="D210" t="s">
        <v>705</v>
      </c>
      <c r="E210" s="1">
        <v>45736</v>
      </c>
      <c r="F210" t="s">
        <v>1032</v>
      </c>
      <c r="I210" t="b">
        <v>0</v>
      </c>
      <c r="J210" s="48">
        <v>11.7</v>
      </c>
      <c r="K210" s="185">
        <f t="shared" si="73"/>
        <v>11.7</v>
      </c>
      <c r="L210" s="72">
        <v>1</v>
      </c>
      <c r="M210" s="72">
        <v>0</v>
      </c>
      <c r="N210" s="185">
        <f>$P210*$M210</f>
        <v>0</v>
      </c>
      <c r="O210" s="185">
        <f t="shared" si="76"/>
        <v>0</v>
      </c>
      <c r="P210" s="185">
        <f>$J210/(100%+$M210)</f>
        <v>11.7</v>
      </c>
      <c r="Q210" s="185">
        <f>$L210*$P210</f>
        <v>11.7</v>
      </c>
      <c r="R210" s="192">
        <f t="shared" si="54"/>
        <v>45792</v>
      </c>
      <c r="S210">
        <v>20</v>
      </c>
      <c r="T210" s="183">
        <f t="shared" si="77"/>
        <v>11.7</v>
      </c>
      <c r="U210" s="195">
        <f t="shared" si="55"/>
        <v>2.34</v>
      </c>
    </row>
    <row r="211" spans="1:21" x14ac:dyDescent="0.25">
      <c r="A211" s="191">
        <v>2025</v>
      </c>
      <c r="B211" s="189">
        <v>33</v>
      </c>
      <c r="C211" s="71" t="s">
        <v>105</v>
      </c>
      <c r="D211" t="s">
        <v>703</v>
      </c>
      <c r="E211" s="1">
        <v>45748</v>
      </c>
      <c r="F211" t="s">
        <v>34</v>
      </c>
      <c r="I211" t="b">
        <v>0</v>
      </c>
      <c r="J211" s="48">
        <v>13.91</v>
      </c>
      <c r="K211" s="185">
        <f t="shared" si="73"/>
        <v>13.91</v>
      </c>
      <c r="L211" s="72">
        <v>1</v>
      </c>
      <c r="M211" s="72">
        <v>0.2</v>
      </c>
      <c r="N211" s="185">
        <f t="shared" si="63"/>
        <v>2.3183333333333334</v>
      </c>
      <c r="O211" s="185">
        <f t="shared" si="76"/>
        <v>2.3183333333333334</v>
      </c>
      <c r="P211" s="185">
        <f t="shared" si="64"/>
        <v>11.591666666666667</v>
      </c>
      <c r="Q211" s="185">
        <f t="shared" si="62"/>
        <v>11.591666666666667</v>
      </c>
      <c r="R211" s="192">
        <f t="shared" si="54"/>
        <v>45884</v>
      </c>
      <c r="T211" s="183">
        <f t="shared" si="77"/>
        <v>11.591666666666667</v>
      </c>
      <c r="U211" s="195">
        <f t="shared" si="55"/>
        <v>0</v>
      </c>
    </row>
    <row r="212" spans="1:21" x14ac:dyDescent="0.25">
      <c r="A212" s="191">
        <v>2025</v>
      </c>
      <c r="B212" s="189">
        <v>34</v>
      </c>
      <c r="C212" s="71" t="s">
        <v>105</v>
      </c>
      <c r="D212" t="s">
        <v>705</v>
      </c>
      <c r="E212" s="1">
        <v>45750</v>
      </c>
      <c r="F212" t="s">
        <v>1404</v>
      </c>
      <c r="I212" t="b">
        <v>0</v>
      </c>
      <c r="J212" s="48">
        <v>13.8</v>
      </c>
      <c r="K212" s="185">
        <f t="shared" si="73"/>
        <v>13.8</v>
      </c>
      <c r="L212" s="72">
        <v>1</v>
      </c>
      <c r="M212" s="72">
        <v>0</v>
      </c>
      <c r="N212" s="185">
        <f>$P212*$M212</f>
        <v>0</v>
      </c>
      <c r="O212" s="185">
        <f t="shared" si="76"/>
        <v>0</v>
      </c>
      <c r="P212" s="185">
        <f>$J212/(100%+$M212)</f>
        <v>13.8</v>
      </c>
      <c r="Q212" s="185">
        <f t="shared" si="62"/>
        <v>13.8</v>
      </c>
      <c r="R212" s="192">
        <f t="shared" si="54"/>
        <v>45884</v>
      </c>
      <c r="S212">
        <v>20</v>
      </c>
      <c r="T212" s="183">
        <f t="shared" si="77"/>
        <v>13.8</v>
      </c>
      <c r="U212" s="195">
        <f t="shared" si="55"/>
        <v>2.7600000000000002</v>
      </c>
    </row>
    <row r="213" spans="1:21" x14ac:dyDescent="0.25">
      <c r="A213" s="191">
        <v>2025</v>
      </c>
      <c r="B213" s="189">
        <v>35</v>
      </c>
      <c r="C213" s="71" t="s">
        <v>105</v>
      </c>
      <c r="D213" t="s">
        <v>705</v>
      </c>
      <c r="E213" s="1">
        <v>45750</v>
      </c>
      <c r="F213" t="s">
        <v>1798</v>
      </c>
      <c r="I213" t="b">
        <v>0</v>
      </c>
      <c r="J213" s="48">
        <v>442.8</v>
      </c>
      <c r="K213" s="185">
        <f t="shared" si="73"/>
        <v>442.8</v>
      </c>
      <c r="L213" s="72">
        <v>1</v>
      </c>
      <c r="M213" s="72">
        <v>0</v>
      </c>
      <c r="N213" s="185">
        <f t="shared" ref="N213" si="78">$P213*$M213</f>
        <v>0</v>
      </c>
      <c r="O213" s="185">
        <f t="shared" si="76"/>
        <v>0</v>
      </c>
      <c r="P213" s="185">
        <f t="shared" ref="P213" si="79">$J213/(100%+$M213)</f>
        <v>442.8</v>
      </c>
      <c r="Q213" s="185">
        <f t="shared" si="62"/>
        <v>442.8</v>
      </c>
      <c r="R213" s="192">
        <f t="shared" si="54"/>
        <v>45884</v>
      </c>
      <c r="S213">
        <v>20</v>
      </c>
      <c r="T213" s="183">
        <f t="shared" si="77"/>
        <v>442.8</v>
      </c>
      <c r="U213" s="195">
        <f t="shared" ref="U213" si="80">$S213/100*$K213</f>
        <v>88.56</v>
      </c>
    </row>
    <row r="214" spans="1:21" x14ac:dyDescent="0.25">
      <c r="A214" s="191">
        <v>2025</v>
      </c>
      <c r="B214" s="189">
        <v>36</v>
      </c>
      <c r="C214" s="71" t="s">
        <v>105</v>
      </c>
      <c r="D214" t="s">
        <v>705</v>
      </c>
      <c r="E214" s="1">
        <v>45751</v>
      </c>
      <c r="F214" t="s">
        <v>1840</v>
      </c>
      <c r="I214" t="b">
        <v>0</v>
      </c>
      <c r="J214" s="48">
        <v>249.69</v>
      </c>
      <c r="K214" s="185">
        <f t="shared" si="73"/>
        <v>249.69</v>
      </c>
      <c r="L214" s="72">
        <v>1</v>
      </c>
      <c r="M214" s="72">
        <v>0</v>
      </c>
      <c r="N214" s="185">
        <f t="shared" si="63"/>
        <v>0</v>
      </c>
      <c r="O214" s="185">
        <f t="shared" si="74"/>
        <v>0</v>
      </c>
      <c r="P214" s="185">
        <f t="shared" si="64"/>
        <v>249.69</v>
      </c>
      <c r="Q214" s="185">
        <f t="shared" si="62"/>
        <v>249.69</v>
      </c>
      <c r="R214" s="192">
        <f t="shared" si="54"/>
        <v>45884</v>
      </c>
      <c r="S214">
        <v>20</v>
      </c>
      <c r="T214" s="183">
        <f t="shared" si="75"/>
        <v>249.69</v>
      </c>
      <c r="U214" s="195">
        <f t="shared" ref="U214:U260" si="81">$S214/100*$K214</f>
        <v>49.938000000000002</v>
      </c>
    </row>
    <row r="215" spans="1:21" x14ac:dyDescent="0.25">
      <c r="A215" s="191">
        <v>2025</v>
      </c>
      <c r="B215" s="189">
        <v>37</v>
      </c>
      <c r="C215" s="71" t="s">
        <v>105</v>
      </c>
      <c r="D215" t="s">
        <v>705</v>
      </c>
      <c r="E215" s="1">
        <v>45758</v>
      </c>
      <c r="F215" t="s">
        <v>1783</v>
      </c>
      <c r="I215" t="b">
        <v>0</v>
      </c>
      <c r="J215" s="48">
        <v>56</v>
      </c>
      <c r="K215" s="185">
        <f t="shared" si="73"/>
        <v>56</v>
      </c>
      <c r="L215" s="72">
        <v>1</v>
      </c>
      <c r="M215" s="72">
        <v>0</v>
      </c>
      <c r="N215" s="185">
        <f>$P215*$M215</f>
        <v>0</v>
      </c>
      <c r="O215" s="185">
        <f t="shared" si="74"/>
        <v>0</v>
      </c>
      <c r="P215" s="185">
        <f>$J215/(100%+$M215)</f>
        <v>56</v>
      </c>
      <c r="Q215" s="185">
        <f t="shared" si="62"/>
        <v>56</v>
      </c>
      <c r="R215" s="192">
        <f t="shared" si="54"/>
        <v>45884</v>
      </c>
      <c r="S215">
        <v>20</v>
      </c>
      <c r="T215" s="183">
        <f t="shared" si="75"/>
        <v>56</v>
      </c>
      <c r="U215" s="195">
        <f t="shared" si="81"/>
        <v>11.200000000000001</v>
      </c>
    </row>
    <row r="216" spans="1:21" x14ac:dyDescent="0.25">
      <c r="A216" s="191">
        <v>2025</v>
      </c>
      <c r="B216" s="189">
        <v>38</v>
      </c>
      <c r="C216" s="71" t="s">
        <v>708</v>
      </c>
      <c r="D216" t="s">
        <v>709</v>
      </c>
      <c r="E216" s="1">
        <v>45758</v>
      </c>
      <c r="F216" t="s">
        <v>1788</v>
      </c>
      <c r="I216" t="b">
        <v>0</v>
      </c>
      <c r="J216" s="48">
        <v>19906.37</v>
      </c>
      <c r="K216" s="185">
        <f t="shared" si="73"/>
        <v>19906.37</v>
      </c>
      <c r="L216" s="72">
        <v>1</v>
      </c>
      <c r="M216" s="72">
        <v>0.2</v>
      </c>
      <c r="N216" s="185">
        <f>$P216*$M216</f>
        <v>3317.7283333333335</v>
      </c>
      <c r="O216" s="185">
        <f t="shared" si="74"/>
        <v>3317.7283333333335</v>
      </c>
      <c r="P216" s="185">
        <f>$J216/(100%+$M216)</f>
        <v>16588.641666666666</v>
      </c>
      <c r="Q216" s="185">
        <f t="shared" si="62"/>
        <v>16588.641666666666</v>
      </c>
      <c r="R216" s="192">
        <f t="shared" si="54"/>
        <v>45884</v>
      </c>
      <c r="T216" s="183">
        <f t="shared" si="75"/>
        <v>16588.641666666666</v>
      </c>
      <c r="U216" s="195">
        <f t="shared" si="81"/>
        <v>0</v>
      </c>
    </row>
    <row r="217" spans="1:21" x14ac:dyDescent="0.25">
      <c r="A217" s="191">
        <v>2025</v>
      </c>
      <c r="B217" s="189">
        <v>39</v>
      </c>
      <c r="C217" s="71" t="s">
        <v>105</v>
      </c>
      <c r="D217" t="s">
        <v>692</v>
      </c>
      <c r="E217" s="1">
        <v>45761</v>
      </c>
      <c r="F217" t="s">
        <v>1801</v>
      </c>
      <c r="I217" t="b">
        <v>0</v>
      </c>
      <c r="J217" s="48">
        <v>46.8</v>
      </c>
      <c r="K217" s="185">
        <f t="shared" si="73"/>
        <v>46.8</v>
      </c>
      <c r="L217" s="72">
        <v>1</v>
      </c>
      <c r="M217" s="72">
        <v>0.2</v>
      </c>
      <c r="N217" s="185">
        <f t="shared" ref="N217" si="82">$P217*$M217</f>
        <v>7.8000000000000007</v>
      </c>
      <c r="O217" s="185">
        <f t="shared" si="74"/>
        <v>7.8000000000000007</v>
      </c>
      <c r="P217" s="185">
        <f t="shared" ref="P217" si="83">$J217/(100%+$M217)</f>
        <v>39</v>
      </c>
      <c r="Q217" s="185">
        <f t="shared" si="62"/>
        <v>39</v>
      </c>
      <c r="T217" s="187">
        <f t="shared" si="75"/>
        <v>39</v>
      </c>
      <c r="U217" s="195">
        <f t="shared" si="81"/>
        <v>0</v>
      </c>
    </row>
    <row r="218" spans="1:21" x14ac:dyDescent="0.25">
      <c r="A218" s="191">
        <v>2025</v>
      </c>
      <c r="B218" s="189">
        <v>40</v>
      </c>
      <c r="C218" s="71" t="s">
        <v>105</v>
      </c>
      <c r="D218" t="s">
        <v>703</v>
      </c>
      <c r="E218" s="1">
        <v>45762</v>
      </c>
      <c r="F218" t="s">
        <v>1781</v>
      </c>
      <c r="I218" t="b">
        <v>0</v>
      </c>
      <c r="J218" s="48">
        <v>58.89</v>
      </c>
      <c r="K218" s="185">
        <f t="shared" si="73"/>
        <v>39.456300000000006</v>
      </c>
      <c r="L218" s="72">
        <v>0.67</v>
      </c>
      <c r="M218" s="72" t="s">
        <v>14</v>
      </c>
      <c r="N218" s="185">
        <f>1.38+7.29</f>
        <v>8.67</v>
      </c>
      <c r="O218" s="185">
        <f t="shared" si="74"/>
        <v>5.8089000000000004</v>
      </c>
      <c r="P218" s="185">
        <v>50.22</v>
      </c>
      <c r="Q218" s="185">
        <f t="shared" si="62"/>
        <v>33.647400000000005</v>
      </c>
      <c r="R218" s="192">
        <f t="shared" ref="R218:R249" si="84">voranmeldefrist_vierteljaehrlich(E218)</f>
        <v>45884</v>
      </c>
      <c r="T218" s="183">
        <f t="shared" si="75"/>
        <v>33.647400000000005</v>
      </c>
      <c r="U218" s="195">
        <f t="shared" si="81"/>
        <v>0</v>
      </c>
    </row>
    <row r="219" spans="1:21" x14ac:dyDescent="0.25">
      <c r="A219" s="191">
        <v>2025</v>
      </c>
      <c r="B219" s="189">
        <v>41</v>
      </c>
      <c r="C219" s="71" t="s">
        <v>105</v>
      </c>
      <c r="D219" t="s">
        <v>705</v>
      </c>
      <c r="E219" s="1">
        <v>45763</v>
      </c>
      <c r="F219" t="s">
        <v>1783</v>
      </c>
      <c r="I219" t="b">
        <v>0</v>
      </c>
      <c r="J219" s="48">
        <v>9.16</v>
      </c>
      <c r="K219" s="185">
        <f t="shared" si="73"/>
        <v>9.16</v>
      </c>
      <c r="L219" s="72">
        <v>1</v>
      </c>
      <c r="M219" s="72">
        <v>0</v>
      </c>
      <c r="N219" s="185">
        <f>$P219*$M219</f>
        <v>0</v>
      </c>
      <c r="O219" s="185">
        <f t="shared" si="74"/>
        <v>0</v>
      </c>
      <c r="P219" s="185">
        <f>$J219/(100%+$M219)</f>
        <v>9.16</v>
      </c>
      <c r="Q219" s="185">
        <f t="shared" si="62"/>
        <v>9.16</v>
      </c>
      <c r="R219" s="192">
        <f t="shared" si="84"/>
        <v>45884</v>
      </c>
      <c r="S219">
        <v>20</v>
      </c>
      <c r="T219" s="183">
        <f t="shared" si="75"/>
        <v>9.16</v>
      </c>
      <c r="U219" s="195">
        <f t="shared" si="81"/>
        <v>1.8320000000000001</v>
      </c>
    </row>
    <row r="220" spans="1:21" x14ac:dyDescent="0.25">
      <c r="A220" s="191">
        <v>2025</v>
      </c>
      <c r="B220" s="189">
        <v>42</v>
      </c>
      <c r="C220" s="71" t="s">
        <v>105</v>
      </c>
      <c r="D220" t="s">
        <v>705</v>
      </c>
      <c r="E220" s="1">
        <v>45764</v>
      </c>
      <c r="F220" t="s">
        <v>1840</v>
      </c>
      <c r="I220" t="b">
        <v>0</v>
      </c>
      <c r="J220" s="48">
        <v>-249.69</v>
      </c>
      <c r="K220" s="185">
        <f t="shared" si="73"/>
        <v>-249.69</v>
      </c>
      <c r="L220" s="72">
        <v>1</v>
      </c>
      <c r="M220" s="72">
        <v>0</v>
      </c>
      <c r="N220" s="185">
        <f t="shared" ref="N220" si="85">$P220*$M220</f>
        <v>0</v>
      </c>
      <c r="O220" s="185">
        <f t="shared" ref="O220:O221" si="86">L220*$N220</f>
        <v>0</v>
      </c>
      <c r="P220" s="185">
        <f t="shared" ref="P220" si="87">$J220/(100%+$M220)</f>
        <v>-249.69</v>
      </c>
      <c r="Q220" s="185">
        <f t="shared" si="62"/>
        <v>-249.69</v>
      </c>
      <c r="R220" s="192">
        <f t="shared" si="84"/>
        <v>45884</v>
      </c>
      <c r="S220">
        <v>20</v>
      </c>
      <c r="T220" s="183">
        <f t="shared" ref="T220:T221" si="88">IF(G220=TRUE,Q220/F220,Q220)</f>
        <v>-249.69</v>
      </c>
      <c r="U220" s="195">
        <f t="shared" si="81"/>
        <v>-49.938000000000002</v>
      </c>
    </row>
    <row r="221" spans="1:21" x14ac:dyDescent="0.25">
      <c r="A221" s="191">
        <v>2025</v>
      </c>
      <c r="B221" s="189">
        <v>43</v>
      </c>
      <c r="C221" s="71" t="s">
        <v>105</v>
      </c>
      <c r="D221" t="s">
        <v>705</v>
      </c>
      <c r="E221" s="1">
        <v>45769</v>
      </c>
      <c r="F221" t="s">
        <v>1032</v>
      </c>
      <c r="I221" t="b">
        <v>0</v>
      </c>
      <c r="J221" s="48">
        <v>11.7</v>
      </c>
      <c r="K221" s="185">
        <f t="shared" si="73"/>
        <v>11.7</v>
      </c>
      <c r="L221" s="72">
        <v>1</v>
      </c>
      <c r="M221" s="72">
        <v>0</v>
      </c>
      <c r="N221" s="185">
        <f>$P221*$M221</f>
        <v>0</v>
      </c>
      <c r="O221" s="185">
        <f t="shared" si="86"/>
        <v>0</v>
      </c>
      <c r="P221" s="185">
        <f>$J221/(100%+$M221)</f>
        <v>11.7</v>
      </c>
      <c r="Q221" s="185">
        <f>$L221*$P221</f>
        <v>11.7</v>
      </c>
      <c r="R221" s="192">
        <f t="shared" si="84"/>
        <v>45884</v>
      </c>
      <c r="S221">
        <v>20</v>
      </c>
      <c r="T221" s="183">
        <f t="shared" si="88"/>
        <v>11.7</v>
      </c>
      <c r="U221" s="195">
        <f t="shared" si="81"/>
        <v>2.34</v>
      </c>
    </row>
    <row r="222" spans="1:21" x14ac:dyDescent="0.25">
      <c r="A222" s="191">
        <v>2025</v>
      </c>
      <c r="B222" s="189">
        <v>44</v>
      </c>
      <c r="C222" s="71" t="s">
        <v>105</v>
      </c>
      <c r="D222" t="s">
        <v>692</v>
      </c>
      <c r="E222" s="1">
        <v>45771</v>
      </c>
      <c r="F222" t="s">
        <v>1841</v>
      </c>
      <c r="I222" t="b">
        <v>0</v>
      </c>
      <c r="J222" s="48">
        <v>420</v>
      </c>
      <c r="K222" s="185">
        <f t="shared" si="73"/>
        <v>420</v>
      </c>
      <c r="L222" s="72">
        <v>1</v>
      </c>
      <c r="M222" s="72">
        <v>0.2</v>
      </c>
      <c r="N222" s="185">
        <f>$P222*$M222</f>
        <v>70</v>
      </c>
      <c r="O222" s="185">
        <f t="shared" ref="O222:O235" si="89">L222*$N222</f>
        <v>70</v>
      </c>
      <c r="P222" s="185">
        <f>$J222/(100%+$M222)</f>
        <v>350</v>
      </c>
      <c r="Q222" s="185">
        <f>$L222*$P222</f>
        <v>350</v>
      </c>
      <c r="R222" s="192">
        <f t="shared" si="84"/>
        <v>45884</v>
      </c>
      <c r="T222" s="183">
        <f t="shared" ref="T222:T235" si="90">IF(G222=TRUE,Q222/F222,Q222)</f>
        <v>350</v>
      </c>
      <c r="U222" s="195">
        <f t="shared" si="81"/>
        <v>0</v>
      </c>
    </row>
    <row r="223" spans="1:21" x14ac:dyDescent="0.25">
      <c r="A223" s="191">
        <v>2025</v>
      </c>
      <c r="B223" s="189">
        <v>45</v>
      </c>
      <c r="C223" s="71" t="s">
        <v>105</v>
      </c>
      <c r="D223" t="s">
        <v>705</v>
      </c>
      <c r="E223" s="1">
        <v>45772</v>
      </c>
      <c r="F223" t="s">
        <v>1794</v>
      </c>
      <c r="I223" t="b">
        <v>0</v>
      </c>
      <c r="J223" s="48">
        <v>21.34</v>
      </c>
      <c r="K223" s="185">
        <f t="shared" si="73"/>
        <v>21.34</v>
      </c>
      <c r="L223" s="72">
        <v>1</v>
      </c>
      <c r="M223" s="72">
        <v>0.2</v>
      </c>
      <c r="N223" s="185">
        <f t="shared" ref="N223:N224" si="91">$P223*$M223</f>
        <v>3.5033333333333334</v>
      </c>
      <c r="O223" s="185">
        <f t="shared" si="89"/>
        <v>3.5033333333333334</v>
      </c>
      <c r="P223" s="185">
        <f>($J223-0.32)/(100%+$M223)</f>
        <v>17.516666666666666</v>
      </c>
      <c r="Q223" s="185">
        <f t="shared" ref="Q223:Q224" si="92">$L223*$P223</f>
        <v>17.516666666666666</v>
      </c>
      <c r="R223" s="192">
        <f t="shared" si="84"/>
        <v>45884</v>
      </c>
      <c r="T223" s="183">
        <f t="shared" si="90"/>
        <v>17.516666666666666</v>
      </c>
      <c r="U223" s="195">
        <f t="shared" si="81"/>
        <v>0</v>
      </c>
    </row>
    <row r="224" spans="1:21" x14ac:dyDescent="0.25">
      <c r="A224" s="191">
        <v>2025</v>
      </c>
      <c r="B224" s="189">
        <v>46</v>
      </c>
      <c r="C224" s="71" t="s">
        <v>105</v>
      </c>
      <c r="D224" t="s">
        <v>703</v>
      </c>
      <c r="E224" s="1">
        <v>45770</v>
      </c>
      <c r="F224" t="s">
        <v>34</v>
      </c>
      <c r="I224" t="b">
        <v>0</v>
      </c>
      <c r="J224" s="48">
        <v>13.91</v>
      </c>
      <c r="K224" s="185">
        <f t="shared" si="73"/>
        <v>13.91</v>
      </c>
      <c r="L224" s="72">
        <v>1</v>
      </c>
      <c r="M224" s="72">
        <v>0.2</v>
      </c>
      <c r="N224" s="185">
        <f t="shared" si="91"/>
        <v>2.3183333333333334</v>
      </c>
      <c r="O224" s="185">
        <f t="shared" si="89"/>
        <v>2.3183333333333334</v>
      </c>
      <c r="P224" s="185">
        <f t="shared" ref="P224" si="93">$J224/(100%+$M224)</f>
        <v>11.591666666666667</v>
      </c>
      <c r="Q224" s="185">
        <f t="shared" si="92"/>
        <v>11.591666666666667</v>
      </c>
      <c r="R224" s="192">
        <f t="shared" si="84"/>
        <v>45884</v>
      </c>
      <c r="T224" s="183">
        <f t="shared" si="90"/>
        <v>11.591666666666667</v>
      </c>
      <c r="U224" s="195">
        <f t="shared" si="81"/>
        <v>0</v>
      </c>
    </row>
    <row r="225" spans="1:21" x14ac:dyDescent="0.25">
      <c r="A225" s="191">
        <v>2025</v>
      </c>
      <c r="B225" s="189">
        <v>47</v>
      </c>
      <c r="C225" s="71" t="s">
        <v>708</v>
      </c>
      <c r="D225" t="s">
        <v>709</v>
      </c>
      <c r="E225" s="1">
        <v>45782</v>
      </c>
      <c r="F225" t="s">
        <v>1038</v>
      </c>
      <c r="I225" t="b">
        <v>0</v>
      </c>
      <c r="J225" s="48">
        <v>1665.36</v>
      </c>
      <c r="K225" s="185">
        <f>$J225*$L225</f>
        <v>1665.36</v>
      </c>
      <c r="L225" s="72">
        <v>1</v>
      </c>
      <c r="M225" s="72">
        <v>0.2</v>
      </c>
      <c r="N225" s="185">
        <f>$P225*$M225</f>
        <v>277.56</v>
      </c>
      <c r="O225" s="185">
        <f t="shared" si="89"/>
        <v>277.56</v>
      </c>
      <c r="P225" s="185">
        <f>$J225/(100%+$M225)</f>
        <v>1387.8</v>
      </c>
      <c r="Q225" s="185">
        <f>$L225*$P225</f>
        <v>1387.8</v>
      </c>
      <c r="R225" s="192">
        <f t="shared" si="84"/>
        <v>45884</v>
      </c>
      <c r="T225" s="183">
        <f t="shared" si="90"/>
        <v>1387.8</v>
      </c>
      <c r="U225" s="195">
        <f t="shared" si="81"/>
        <v>0</v>
      </c>
    </row>
    <row r="226" spans="1:21" x14ac:dyDescent="0.25">
      <c r="A226" s="191">
        <v>2025</v>
      </c>
      <c r="B226" s="189">
        <v>48</v>
      </c>
      <c r="C226" s="71" t="s">
        <v>105</v>
      </c>
      <c r="D226" t="s">
        <v>705</v>
      </c>
      <c r="E226" s="1">
        <v>45782</v>
      </c>
      <c r="F226" t="s">
        <v>1840</v>
      </c>
      <c r="I226" t="b">
        <v>0</v>
      </c>
      <c r="J226" s="48">
        <v>13.8</v>
      </c>
      <c r="K226" s="185">
        <f t="shared" ref="K226:K234" si="94">$J226*$L226</f>
        <v>13.8</v>
      </c>
      <c r="L226" s="72">
        <v>1</v>
      </c>
      <c r="M226" s="72">
        <v>0</v>
      </c>
      <c r="N226" s="185">
        <f>$P226*$M226</f>
        <v>0</v>
      </c>
      <c r="O226" s="185">
        <f t="shared" si="89"/>
        <v>0</v>
      </c>
      <c r="P226" s="185">
        <f>$J226/(100%+$M226)</f>
        <v>13.8</v>
      </c>
      <c r="Q226" s="185">
        <f t="shared" ref="Q226:Q232" si="95">$L226*$P226</f>
        <v>13.8</v>
      </c>
      <c r="R226" s="192">
        <f t="shared" si="84"/>
        <v>45884</v>
      </c>
      <c r="S226">
        <v>20</v>
      </c>
      <c r="T226" s="183">
        <f t="shared" si="90"/>
        <v>13.8</v>
      </c>
      <c r="U226" s="195">
        <f t="shared" si="81"/>
        <v>2.7600000000000002</v>
      </c>
    </row>
    <row r="227" spans="1:21" x14ac:dyDescent="0.25">
      <c r="A227" s="191">
        <v>2025</v>
      </c>
      <c r="B227" s="189">
        <v>49</v>
      </c>
      <c r="C227" s="71" t="s">
        <v>708</v>
      </c>
      <c r="D227" t="s">
        <v>709</v>
      </c>
      <c r="E227" s="1">
        <v>45784</v>
      </c>
      <c r="F227" t="s">
        <v>1806</v>
      </c>
      <c r="I227" t="b">
        <v>0</v>
      </c>
      <c r="J227" s="48">
        <v>462</v>
      </c>
      <c r="K227" s="185">
        <f t="shared" si="94"/>
        <v>462</v>
      </c>
      <c r="L227" s="72">
        <v>1</v>
      </c>
      <c r="M227" s="72">
        <v>0.2</v>
      </c>
      <c r="N227" s="185">
        <f t="shared" ref="N227" si="96">$P227*$M227</f>
        <v>77</v>
      </c>
      <c r="O227" s="185">
        <f t="shared" si="89"/>
        <v>77</v>
      </c>
      <c r="P227" s="185">
        <f t="shared" ref="P227" si="97">$J227/(100%+$M227)</f>
        <v>385</v>
      </c>
      <c r="Q227" s="185">
        <f t="shared" si="95"/>
        <v>385</v>
      </c>
      <c r="R227" s="192">
        <f t="shared" si="84"/>
        <v>45884</v>
      </c>
      <c r="T227" s="183">
        <f t="shared" si="90"/>
        <v>385</v>
      </c>
      <c r="U227" s="195">
        <f t="shared" si="81"/>
        <v>0</v>
      </c>
    </row>
    <row r="228" spans="1:21" x14ac:dyDescent="0.25">
      <c r="A228" s="191">
        <v>2025</v>
      </c>
      <c r="B228" s="189">
        <v>50</v>
      </c>
      <c r="C228" s="71" t="s">
        <v>105</v>
      </c>
      <c r="D228" t="s">
        <v>705</v>
      </c>
      <c r="E228" s="1">
        <v>45790</v>
      </c>
      <c r="F228" t="s">
        <v>1783</v>
      </c>
      <c r="I228" t="b">
        <v>0</v>
      </c>
      <c r="J228" s="48">
        <v>56</v>
      </c>
      <c r="K228" s="185">
        <f t="shared" si="94"/>
        <v>56</v>
      </c>
      <c r="L228" s="72">
        <v>1</v>
      </c>
      <c r="M228" s="72">
        <v>0</v>
      </c>
      <c r="N228" s="185">
        <f>$P228*$M228</f>
        <v>0</v>
      </c>
      <c r="O228" s="185">
        <f t="shared" si="89"/>
        <v>0</v>
      </c>
      <c r="P228" s="185">
        <f>$J228/(100%+$M228)</f>
        <v>56</v>
      </c>
      <c r="Q228" s="185">
        <f t="shared" si="95"/>
        <v>56</v>
      </c>
      <c r="R228" s="192">
        <f t="shared" si="84"/>
        <v>45884</v>
      </c>
      <c r="S228">
        <v>20</v>
      </c>
      <c r="T228" s="183">
        <f t="shared" si="90"/>
        <v>56</v>
      </c>
      <c r="U228" s="195">
        <f t="shared" si="81"/>
        <v>11.200000000000001</v>
      </c>
    </row>
    <row r="229" spans="1:21" x14ac:dyDescent="0.25">
      <c r="A229" s="191">
        <v>2025</v>
      </c>
      <c r="B229" s="189">
        <v>51</v>
      </c>
      <c r="C229" s="71" t="s">
        <v>708</v>
      </c>
      <c r="D229" t="s">
        <v>709</v>
      </c>
      <c r="E229" s="1">
        <v>45791</v>
      </c>
      <c r="F229" t="s">
        <v>1788</v>
      </c>
      <c r="I229" t="b">
        <v>0</v>
      </c>
      <c r="J229" s="48">
        <v>23488.37</v>
      </c>
      <c r="K229" s="185">
        <f t="shared" si="94"/>
        <v>23488.37</v>
      </c>
      <c r="L229" s="72">
        <v>1</v>
      </c>
      <c r="M229" s="72">
        <v>0.2</v>
      </c>
      <c r="N229" s="185">
        <f>$P229*$M229</f>
        <v>3914.7283333333335</v>
      </c>
      <c r="O229" s="185">
        <f t="shared" si="89"/>
        <v>3914.7283333333335</v>
      </c>
      <c r="P229" s="185">
        <f>$J229/(100%+$M229)</f>
        <v>19573.641666666666</v>
      </c>
      <c r="Q229" s="185">
        <f t="shared" si="95"/>
        <v>19573.641666666666</v>
      </c>
      <c r="R229" s="192">
        <f t="shared" si="84"/>
        <v>45884</v>
      </c>
      <c r="T229" s="183">
        <f t="shared" si="90"/>
        <v>19573.641666666666</v>
      </c>
      <c r="U229" s="195">
        <f t="shared" si="81"/>
        <v>0</v>
      </c>
    </row>
    <row r="230" spans="1:21" x14ac:dyDescent="0.25">
      <c r="A230" s="191">
        <v>2025</v>
      </c>
      <c r="B230" s="189">
        <v>52</v>
      </c>
      <c r="C230" s="71" t="s">
        <v>105</v>
      </c>
      <c r="D230" t="s">
        <v>705</v>
      </c>
      <c r="E230" s="1">
        <v>45792</v>
      </c>
      <c r="F230" t="s">
        <v>1783</v>
      </c>
      <c r="I230" t="b">
        <v>0</v>
      </c>
      <c r="J230" s="48">
        <v>9.16</v>
      </c>
      <c r="K230" s="185">
        <f t="shared" si="94"/>
        <v>9.16</v>
      </c>
      <c r="L230" s="72">
        <v>1</v>
      </c>
      <c r="M230" s="72">
        <v>0</v>
      </c>
      <c r="N230" s="185">
        <f>$P230*$M230</f>
        <v>0</v>
      </c>
      <c r="O230" s="185">
        <f t="shared" si="89"/>
        <v>0</v>
      </c>
      <c r="P230" s="185">
        <f>$J230/(100%+$M230)</f>
        <v>9.16</v>
      </c>
      <c r="Q230" s="185">
        <f t="shared" si="95"/>
        <v>9.16</v>
      </c>
      <c r="R230" s="192">
        <f t="shared" si="84"/>
        <v>45884</v>
      </c>
      <c r="S230">
        <v>20</v>
      </c>
      <c r="T230" s="183">
        <f t="shared" si="90"/>
        <v>9.16</v>
      </c>
      <c r="U230" s="195">
        <f t="shared" si="81"/>
        <v>1.8320000000000001</v>
      </c>
    </row>
    <row r="231" spans="1:21" x14ac:dyDescent="0.25">
      <c r="A231" s="191">
        <v>2025</v>
      </c>
      <c r="B231" s="189">
        <v>53</v>
      </c>
      <c r="C231" s="71" t="s">
        <v>105</v>
      </c>
      <c r="D231" t="s">
        <v>703</v>
      </c>
      <c r="E231" s="1">
        <v>45793</v>
      </c>
      <c r="F231" t="s">
        <v>1781</v>
      </c>
      <c r="I231" t="b">
        <v>0</v>
      </c>
      <c r="J231" s="48">
        <v>58.89</v>
      </c>
      <c r="K231" s="185">
        <f t="shared" si="94"/>
        <v>39.456300000000006</v>
      </c>
      <c r="L231" s="72">
        <v>0.67</v>
      </c>
      <c r="M231" s="72" t="s">
        <v>14</v>
      </c>
      <c r="N231" s="185">
        <f>1.38+7.29</f>
        <v>8.67</v>
      </c>
      <c r="O231" s="185">
        <f t="shared" si="89"/>
        <v>5.8089000000000004</v>
      </c>
      <c r="P231" s="185">
        <v>50.22</v>
      </c>
      <c r="Q231" s="185">
        <f t="shared" si="95"/>
        <v>33.647400000000005</v>
      </c>
      <c r="R231" s="192">
        <f t="shared" si="84"/>
        <v>45884</v>
      </c>
      <c r="T231" s="183">
        <f t="shared" si="90"/>
        <v>33.647400000000005</v>
      </c>
      <c r="U231" s="195">
        <f t="shared" si="81"/>
        <v>0</v>
      </c>
    </row>
    <row r="232" spans="1:21" x14ac:dyDescent="0.25">
      <c r="A232" s="191">
        <v>2025</v>
      </c>
      <c r="B232" s="189">
        <v>54</v>
      </c>
      <c r="C232" s="71" t="s">
        <v>105</v>
      </c>
      <c r="D232" t="s">
        <v>339</v>
      </c>
      <c r="E232" s="1">
        <v>45796</v>
      </c>
      <c r="F232" t="s">
        <v>1848</v>
      </c>
      <c r="H232" t="s">
        <v>958</v>
      </c>
      <c r="I232" t="b">
        <v>0</v>
      </c>
      <c r="J232" s="48">
        <v>294.38</v>
      </c>
      <c r="K232" s="185">
        <f t="shared" si="94"/>
        <v>294.38</v>
      </c>
      <c r="L232" s="72">
        <v>1</v>
      </c>
      <c r="M232" s="72">
        <v>0.2</v>
      </c>
      <c r="N232" s="185">
        <f t="shared" ref="N232" si="98">$P232*$M232</f>
        <v>49.063333333333333</v>
      </c>
      <c r="O232" s="185">
        <f t="shared" si="89"/>
        <v>49.063333333333333</v>
      </c>
      <c r="P232" s="185">
        <f t="shared" ref="P232" si="99">$J232/(100%+$M232)</f>
        <v>245.31666666666666</v>
      </c>
      <c r="Q232" s="185">
        <f t="shared" si="95"/>
        <v>245.31666666666666</v>
      </c>
      <c r="R232" s="192">
        <f t="shared" si="84"/>
        <v>45884</v>
      </c>
      <c r="T232" s="183">
        <f t="shared" si="90"/>
        <v>245.31666666666666</v>
      </c>
      <c r="U232" s="195">
        <f t="shared" si="81"/>
        <v>0</v>
      </c>
    </row>
    <row r="233" spans="1:21" x14ac:dyDescent="0.25">
      <c r="A233" s="191">
        <v>2025</v>
      </c>
      <c r="B233" s="189">
        <v>55</v>
      </c>
      <c r="C233" s="71" t="s">
        <v>105</v>
      </c>
      <c r="D233" t="s">
        <v>705</v>
      </c>
      <c r="E233" s="1">
        <v>45797</v>
      </c>
      <c r="F233" t="s">
        <v>1032</v>
      </c>
      <c r="I233" t="b">
        <v>0</v>
      </c>
      <c r="J233" s="48">
        <v>11.7</v>
      </c>
      <c r="K233" s="185">
        <f t="shared" si="94"/>
        <v>11.7</v>
      </c>
      <c r="L233" s="72">
        <v>1</v>
      </c>
      <c r="M233" s="72">
        <v>0</v>
      </c>
      <c r="N233" s="185">
        <f>$P233*$M233</f>
        <v>0</v>
      </c>
      <c r="O233" s="185">
        <f t="shared" si="89"/>
        <v>0</v>
      </c>
      <c r="P233" s="185">
        <f>$J233/(100%+$M233)</f>
        <v>11.7</v>
      </c>
      <c r="Q233" s="185">
        <f>$L233*$P233</f>
        <v>11.7</v>
      </c>
      <c r="R233" s="192">
        <f t="shared" si="84"/>
        <v>45884</v>
      </c>
      <c r="S233">
        <v>20</v>
      </c>
      <c r="T233" s="183">
        <f t="shared" si="90"/>
        <v>11.7</v>
      </c>
      <c r="U233" s="195">
        <f t="shared" si="81"/>
        <v>2.34</v>
      </c>
    </row>
    <row r="234" spans="1:21" x14ac:dyDescent="0.25">
      <c r="A234" s="191">
        <v>2025</v>
      </c>
      <c r="B234" s="189">
        <v>56</v>
      </c>
      <c r="C234" s="71" t="s">
        <v>105</v>
      </c>
      <c r="D234" t="s">
        <v>705</v>
      </c>
      <c r="E234" s="1">
        <v>45803</v>
      </c>
      <c r="F234" t="s">
        <v>1794</v>
      </c>
      <c r="I234" t="b">
        <v>0</v>
      </c>
      <c r="J234" s="48">
        <v>21.65</v>
      </c>
      <c r="K234" s="185">
        <f t="shared" si="94"/>
        <v>21.65</v>
      </c>
      <c r="L234" s="72">
        <v>1</v>
      </c>
      <c r="M234" s="72">
        <v>0.2</v>
      </c>
      <c r="N234" s="185">
        <f t="shared" ref="N234" si="100">$P234*$M234</f>
        <v>3.5549999999999997</v>
      </c>
      <c r="O234" s="185">
        <f t="shared" si="89"/>
        <v>3.5549999999999997</v>
      </c>
      <c r="P234" s="185">
        <f>($J234-0.32)/(100%+$M234)</f>
        <v>17.774999999999999</v>
      </c>
      <c r="Q234" s="185">
        <f t="shared" ref="Q234" si="101">$L234*$P234</f>
        <v>17.774999999999999</v>
      </c>
      <c r="R234" s="192">
        <f t="shared" si="84"/>
        <v>45884</v>
      </c>
      <c r="T234" s="183">
        <f t="shared" si="90"/>
        <v>17.774999999999999</v>
      </c>
      <c r="U234" s="195">
        <f t="shared" si="81"/>
        <v>0</v>
      </c>
    </row>
    <row r="235" spans="1:21" x14ac:dyDescent="0.25">
      <c r="A235" s="191">
        <v>2025</v>
      </c>
      <c r="B235" s="189">
        <v>57</v>
      </c>
      <c r="C235" s="71" t="s">
        <v>105</v>
      </c>
      <c r="D235" t="s">
        <v>705</v>
      </c>
      <c r="E235" s="1">
        <v>45807</v>
      </c>
      <c r="F235" t="s">
        <v>1786</v>
      </c>
      <c r="I235" t="b">
        <v>0</v>
      </c>
      <c r="J235" s="48">
        <v>261.45999999999998</v>
      </c>
      <c r="K235" s="185">
        <f t="shared" ref="K235:K243" si="102">$J235*$L235</f>
        <v>24.094653790317487</v>
      </c>
      <c r="L235" s="72">
        <f>14.6/158.43</f>
        <v>9.2154263712680679E-2</v>
      </c>
      <c r="M235" s="72" t="s">
        <v>14</v>
      </c>
      <c r="N235" s="185">
        <v>20.99</v>
      </c>
      <c r="O235" s="185">
        <f t="shared" si="89"/>
        <v>1.9343179953291674</v>
      </c>
      <c r="P235" s="185">
        <v>240.47</v>
      </c>
      <c r="Q235" s="185">
        <f t="shared" ref="Q235:Q243" si="103">$L235*$P235</f>
        <v>22.160335794988324</v>
      </c>
      <c r="R235" s="192">
        <f t="shared" si="84"/>
        <v>45884</v>
      </c>
      <c r="T235" s="183">
        <f t="shared" si="90"/>
        <v>22.160335794988324</v>
      </c>
      <c r="U235" s="195">
        <f t="shared" ref="U235:U263" si="104">$S235/100*$K235</f>
        <v>0</v>
      </c>
    </row>
    <row r="236" spans="1:21" x14ac:dyDescent="0.25">
      <c r="A236" s="191">
        <v>2025</v>
      </c>
      <c r="B236" s="189">
        <v>58</v>
      </c>
      <c r="C236" s="71" t="s">
        <v>105</v>
      </c>
      <c r="D236" t="s">
        <v>703</v>
      </c>
      <c r="E236" s="1">
        <v>45811</v>
      </c>
      <c r="F236" t="s">
        <v>34</v>
      </c>
      <c r="I236" t="b">
        <v>0</v>
      </c>
      <c r="J236" s="48">
        <v>40.909999999999997</v>
      </c>
      <c r="K236" s="185">
        <f t="shared" si="102"/>
        <v>40.909999999999997</v>
      </c>
      <c r="L236" s="72">
        <v>1</v>
      </c>
      <c r="M236" s="72">
        <v>0.2</v>
      </c>
      <c r="N236" s="185">
        <f t="shared" ref="N236" si="105">$P236*$M236</f>
        <v>6.8183333333333342</v>
      </c>
      <c r="O236" s="185">
        <f t="shared" ref="O236:O247" si="106">L236*$N236</f>
        <v>6.8183333333333342</v>
      </c>
      <c r="P236" s="185">
        <f t="shared" ref="P236" si="107">$J236/(100%+$M236)</f>
        <v>34.091666666666669</v>
      </c>
      <c r="Q236" s="185">
        <f t="shared" si="103"/>
        <v>34.091666666666669</v>
      </c>
      <c r="R236" s="192">
        <f t="shared" si="84"/>
        <v>45884</v>
      </c>
      <c r="T236" s="183">
        <f t="shared" ref="T236:T243" si="108">IF(G236=TRUE,Q236/F236,Q236)</f>
        <v>34.091666666666669</v>
      </c>
      <c r="U236" s="195">
        <f t="shared" si="81"/>
        <v>0</v>
      </c>
    </row>
    <row r="237" spans="1:21" x14ac:dyDescent="0.25">
      <c r="A237" s="191">
        <v>2025</v>
      </c>
      <c r="B237" s="189">
        <v>59</v>
      </c>
      <c r="C237" s="71" t="s">
        <v>105</v>
      </c>
      <c r="D237" t="s">
        <v>705</v>
      </c>
      <c r="E237" s="1">
        <v>45811</v>
      </c>
      <c r="F237" t="s">
        <v>1840</v>
      </c>
      <c r="I237" t="b">
        <v>0</v>
      </c>
      <c r="J237" s="48">
        <v>13.8</v>
      </c>
      <c r="K237" s="185">
        <f t="shared" si="102"/>
        <v>13.8</v>
      </c>
      <c r="L237" s="72">
        <v>1</v>
      </c>
      <c r="M237" s="72">
        <v>0</v>
      </c>
      <c r="N237" s="185">
        <f>$P237*$M237</f>
        <v>0</v>
      </c>
      <c r="O237" s="185">
        <f t="shared" si="106"/>
        <v>0</v>
      </c>
      <c r="P237" s="185">
        <f>$J237/(100%+$M237)</f>
        <v>13.8</v>
      </c>
      <c r="Q237" s="185">
        <f t="shared" si="103"/>
        <v>13.8</v>
      </c>
      <c r="R237" s="192">
        <f t="shared" si="84"/>
        <v>45884</v>
      </c>
      <c r="S237">
        <v>20</v>
      </c>
      <c r="T237" s="183">
        <f t="shared" si="108"/>
        <v>13.8</v>
      </c>
      <c r="U237" s="195">
        <f t="shared" si="81"/>
        <v>2.7600000000000002</v>
      </c>
    </row>
    <row r="238" spans="1:21" x14ac:dyDescent="0.25">
      <c r="A238" s="191">
        <v>2025</v>
      </c>
      <c r="B238" s="189">
        <v>60</v>
      </c>
      <c r="C238" s="71" t="s">
        <v>105</v>
      </c>
      <c r="D238" t="s">
        <v>705</v>
      </c>
      <c r="E238" s="1">
        <v>45818</v>
      </c>
      <c r="F238" t="s">
        <v>1110</v>
      </c>
      <c r="I238" t="b">
        <v>0</v>
      </c>
      <c r="J238" s="48">
        <v>24</v>
      </c>
      <c r="K238" s="185">
        <f t="shared" si="102"/>
        <v>2.2117023291043365</v>
      </c>
      <c r="L238" s="72">
        <f>14.6/158.43</f>
        <v>9.2154263712680679E-2</v>
      </c>
      <c r="M238" s="72">
        <v>0.2</v>
      </c>
      <c r="N238" s="185">
        <f t="shared" ref="N238:N239" si="109">$P238*$M238</f>
        <v>4</v>
      </c>
      <c r="O238" s="185">
        <f t="shared" si="106"/>
        <v>0.36861705485072271</v>
      </c>
      <c r="P238" s="185">
        <f t="shared" ref="P238:P239" si="110">$J238/(100%+$M238)</f>
        <v>20</v>
      </c>
      <c r="Q238" s="185">
        <f t="shared" si="103"/>
        <v>1.8430852742536135</v>
      </c>
      <c r="R238" s="192">
        <f t="shared" si="84"/>
        <v>45884</v>
      </c>
      <c r="T238" s="183">
        <f t="shared" si="108"/>
        <v>1.8430852742536135</v>
      </c>
      <c r="U238" s="195">
        <f t="shared" si="81"/>
        <v>0</v>
      </c>
    </row>
    <row r="239" spans="1:21" x14ac:dyDescent="0.25">
      <c r="A239" s="191">
        <v>2025</v>
      </c>
      <c r="B239" s="189">
        <v>61</v>
      </c>
      <c r="C239" s="71" t="s">
        <v>105</v>
      </c>
      <c r="D239" t="s">
        <v>692</v>
      </c>
      <c r="E239" s="1">
        <v>45819</v>
      </c>
      <c r="F239" t="s">
        <v>1805</v>
      </c>
      <c r="I239" t="b">
        <v>0</v>
      </c>
      <c r="J239" s="157">
        <v>43.7</v>
      </c>
      <c r="K239" s="185">
        <f t="shared" si="102"/>
        <v>43.7</v>
      </c>
      <c r="L239" s="72">
        <v>1</v>
      </c>
      <c r="M239" s="72">
        <v>0</v>
      </c>
      <c r="N239" s="185">
        <f t="shared" si="109"/>
        <v>0</v>
      </c>
      <c r="O239" s="185">
        <f t="shared" si="106"/>
        <v>0</v>
      </c>
      <c r="P239" s="185">
        <f t="shared" si="110"/>
        <v>43.7</v>
      </c>
      <c r="Q239" s="185">
        <f t="shared" si="103"/>
        <v>43.7</v>
      </c>
      <c r="R239" s="192">
        <f t="shared" si="84"/>
        <v>45884</v>
      </c>
      <c r="T239" s="183">
        <f t="shared" si="108"/>
        <v>43.7</v>
      </c>
      <c r="U239" s="195">
        <f t="shared" si="81"/>
        <v>0</v>
      </c>
    </row>
    <row r="240" spans="1:21" x14ac:dyDescent="0.25">
      <c r="A240" s="191">
        <v>2025</v>
      </c>
      <c r="B240" s="189">
        <v>62</v>
      </c>
      <c r="C240" s="71" t="s">
        <v>708</v>
      </c>
      <c r="D240" t="s">
        <v>709</v>
      </c>
      <c r="E240" s="1">
        <v>45820</v>
      </c>
      <c r="F240" t="s">
        <v>1788</v>
      </c>
      <c r="I240" t="b">
        <v>0</v>
      </c>
      <c r="J240" s="48">
        <v>17642.54</v>
      </c>
      <c r="K240" s="185">
        <f t="shared" si="102"/>
        <v>17642.54</v>
      </c>
      <c r="L240" s="72">
        <v>1</v>
      </c>
      <c r="M240" s="72">
        <v>0.2</v>
      </c>
      <c r="N240" s="185">
        <f>$P240*$M240</f>
        <v>2940.4233333333341</v>
      </c>
      <c r="O240" s="185">
        <f t="shared" si="106"/>
        <v>2940.4233333333341</v>
      </c>
      <c r="P240" s="185">
        <f>$J240/(100%+$M240)</f>
        <v>14702.116666666669</v>
      </c>
      <c r="Q240" s="185">
        <f t="shared" si="103"/>
        <v>14702.116666666669</v>
      </c>
      <c r="R240" s="192">
        <f t="shared" si="84"/>
        <v>45884</v>
      </c>
      <c r="T240" s="183">
        <f t="shared" si="108"/>
        <v>14702.116666666669</v>
      </c>
      <c r="U240" s="195">
        <f t="shared" si="81"/>
        <v>0</v>
      </c>
    </row>
    <row r="241" spans="1:21" x14ac:dyDescent="0.25">
      <c r="A241" s="191">
        <v>2025</v>
      </c>
      <c r="B241" s="189">
        <v>63</v>
      </c>
      <c r="C241" s="71" t="s">
        <v>105</v>
      </c>
      <c r="D241" t="s">
        <v>703</v>
      </c>
      <c r="E241" s="1">
        <v>45821</v>
      </c>
      <c r="F241" t="s">
        <v>1781</v>
      </c>
      <c r="I241" t="b">
        <v>0</v>
      </c>
      <c r="J241" s="48">
        <v>58.89</v>
      </c>
      <c r="K241" s="185">
        <f t="shared" si="102"/>
        <v>39.456300000000006</v>
      </c>
      <c r="L241" s="72">
        <v>0.67</v>
      </c>
      <c r="M241" s="72" t="s">
        <v>14</v>
      </c>
      <c r="N241" s="185">
        <f>1.38+7.29</f>
        <v>8.67</v>
      </c>
      <c r="O241" s="185">
        <f t="shared" si="106"/>
        <v>5.8089000000000004</v>
      </c>
      <c r="P241" s="185">
        <v>50.22</v>
      </c>
      <c r="Q241" s="185">
        <f t="shared" si="103"/>
        <v>33.647400000000005</v>
      </c>
      <c r="R241" s="192">
        <f t="shared" si="84"/>
        <v>45884</v>
      </c>
      <c r="T241" s="183">
        <f t="shared" si="108"/>
        <v>33.647400000000005</v>
      </c>
      <c r="U241" s="195">
        <f t="shared" si="81"/>
        <v>0</v>
      </c>
    </row>
    <row r="242" spans="1:21" x14ac:dyDescent="0.25">
      <c r="A242" s="191">
        <v>2025</v>
      </c>
      <c r="B242" s="189">
        <v>64</v>
      </c>
      <c r="C242" s="71" t="s">
        <v>105</v>
      </c>
      <c r="D242" t="s">
        <v>705</v>
      </c>
      <c r="E242" s="1">
        <v>45821</v>
      </c>
      <c r="F242" t="s">
        <v>1783</v>
      </c>
      <c r="I242" t="b">
        <v>0</v>
      </c>
      <c r="J242" s="48">
        <v>56</v>
      </c>
      <c r="K242" s="185">
        <f t="shared" si="102"/>
        <v>56</v>
      </c>
      <c r="L242" s="72">
        <v>1</v>
      </c>
      <c r="M242" s="72">
        <v>0</v>
      </c>
      <c r="N242" s="185">
        <f>$P242*$M242</f>
        <v>0</v>
      </c>
      <c r="O242" s="185">
        <f t="shared" si="106"/>
        <v>0</v>
      </c>
      <c r="P242" s="185">
        <f>$J242/(100%+$M242)</f>
        <v>56</v>
      </c>
      <c r="Q242" s="185">
        <f t="shared" si="103"/>
        <v>56</v>
      </c>
      <c r="R242" s="192">
        <f t="shared" si="84"/>
        <v>45884</v>
      </c>
      <c r="S242">
        <v>20</v>
      </c>
      <c r="T242" s="183">
        <f t="shared" si="108"/>
        <v>56</v>
      </c>
      <c r="U242" s="195">
        <f t="shared" si="81"/>
        <v>11.200000000000001</v>
      </c>
    </row>
    <row r="243" spans="1:21" x14ac:dyDescent="0.25">
      <c r="A243" s="191">
        <v>2025</v>
      </c>
      <c r="B243" s="189">
        <v>65</v>
      </c>
      <c r="C243" s="71" t="s">
        <v>105</v>
      </c>
      <c r="D243" t="s">
        <v>705</v>
      </c>
      <c r="E243" s="1">
        <v>45824</v>
      </c>
      <c r="F243" t="s">
        <v>1783</v>
      </c>
      <c r="I243" t="b">
        <v>0</v>
      </c>
      <c r="J243" s="48">
        <v>9.16</v>
      </c>
      <c r="K243" s="185">
        <f t="shared" si="102"/>
        <v>9.16</v>
      </c>
      <c r="L243" s="72">
        <v>1</v>
      </c>
      <c r="M243" s="72">
        <v>0</v>
      </c>
      <c r="N243" s="185">
        <f>$P243*$M243</f>
        <v>0</v>
      </c>
      <c r="O243" s="185">
        <f t="shared" si="106"/>
        <v>0</v>
      </c>
      <c r="P243" s="185">
        <f>$J243/(100%+$M243)</f>
        <v>9.16</v>
      </c>
      <c r="Q243" s="185">
        <f t="shared" si="103"/>
        <v>9.16</v>
      </c>
      <c r="R243" s="192">
        <f t="shared" si="84"/>
        <v>45884</v>
      </c>
      <c r="S243">
        <v>20</v>
      </c>
      <c r="T243" s="183">
        <f t="shared" si="108"/>
        <v>9.16</v>
      </c>
      <c r="U243" s="195">
        <f t="shared" si="81"/>
        <v>1.8320000000000001</v>
      </c>
    </row>
    <row r="244" spans="1:21" x14ac:dyDescent="0.25">
      <c r="A244" s="191">
        <v>2025</v>
      </c>
      <c r="B244" s="189">
        <v>66</v>
      </c>
      <c r="C244" s="71" t="s">
        <v>105</v>
      </c>
      <c r="D244" t="s">
        <v>705</v>
      </c>
      <c r="E244" s="1">
        <v>45828</v>
      </c>
      <c r="F244" t="s">
        <v>1032</v>
      </c>
      <c r="I244" t="b">
        <v>0</v>
      </c>
      <c r="J244" s="157">
        <v>69</v>
      </c>
      <c r="K244" s="201">
        <f t="shared" ref="K244:K314" si="111">$J244*$L244</f>
        <v>69</v>
      </c>
      <c r="L244" s="202">
        <v>1</v>
      </c>
      <c r="M244" s="202">
        <v>0</v>
      </c>
      <c r="N244" s="201">
        <f>$P244*$M244</f>
        <v>0</v>
      </c>
      <c r="O244" s="201">
        <f t="shared" si="106"/>
        <v>0</v>
      </c>
      <c r="P244" s="201">
        <f>$J244/(100%+$M244)</f>
        <v>69</v>
      </c>
      <c r="Q244" s="201">
        <f>$L244*$P244</f>
        <v>69</v>
      </c>
      <c r="R244" s="203">
        <f t="shared" si="84"/>
        <v>45884</v>
      </c>
      <c r="S244" s="59">
        <v>20</v>
      </c>
      <c r="U244" s="195">
        <f t="shared" si="104"/>
        <v>13.8</v>
      </c>
    </row>
    <row r="245" spans="1:21" x14ac:dyDescent="0.25">
      <c r="A245" s="191">
        <v>2025</v>
      </c>
      <c r="B245" s="189">
        <v>67</v>
      </c>
      <c r="C245" s="71" t="s">
        <v>105</v>
      </c>
      <c r="D245" t="s">
        <v>705</v>
      </c>
      <c r="E245" s="1">
        <v>45828</v>
      </c>
      <c r="F245" t="s">
        <v>1032</v>
      </c>
      <c r="I245" t="b">
        <v>0</v>
      </c>
      <c r="J245" s="48">
        <v>11.7</v>
      </c>
      <c r="K245" s="185">
        <f t="shared" si="111"/>
        <v>11.7</v>
      </c>
      <c r="L245" s="72">
        <v>1</v>
      </c>
      <c r="M245" s="72">
        <v>0</v>
      </c>
      <c r="N245" s="185">
        <f>$P245*$M245</f>
        <v>0</v>
      </c>
      <c r="O245" s="185">
        <f t="shared" si="106"/>
        <v>0</v>
      </c>
      <c r="P245" s="185">
        <f>$J245/(100%+$M245)</f>
        <v>11.7</v>
      </c>
      <c r="Q245" s="185">
        <f>$L245*$P245</f>
        <v>11.7</v>
      </c>
      <c r="R245" s="192">
        <f t="shared" si="84"/>
        <v>45884</v>
      </c>
      <c r="S245">
        <v>20</v>
      </c>
      <c r="T245" s="183">
        <f t="shared" ref="T245:T249" si="112">IF(G245=TRUE,Q245/F245,Q245)</f>
        <v>11.7</v>
      </c>
      <c r="U245" s="195">
        <f t="shared" si="81"/>
        <v>2.34</v>
      </c>
    </row>
    <row r="246" spans="1:21" x14ac:dyDescent="0.25">
      <c r="A246" s="191">
        <v>2025</v>
      </c>
      <c r="B246" s="189">
        <v>68</v>
      </c>
      <c r="C246" s="71" t="s">
        <v>105</v>
      </c>
      <c r="D246" t="s">
        <v>705</v>
      </c>
      <c r="E246" s="1">
        <v>45833</v>
      </c>
      <c r="F246" t="s">
        <v>1793</v>
      </c>
      <c r="I246" t="b">
        <v>0</v>
      </c>
      <c r="J246" s="109">
        <v>110</v>
      </c>
      <c r="K246" s="185">
        <f t="shared" si="111"/>
        <v>10.136969008394875</v>
      </c>
      <c r="L246" s="72">
        <f>14.6/158.43</f>
        <v>9.2154263712680679E-2</v>
      </c>
      <c r="M246" s="72">
        <v>0.1</v>
      </c>
      <c r="N246" s="185">
        <f t="shared" ref="N246:N250" si="113">$P246*$M246</f>
        <v>10</v>
      </c>
      <c r="O246" s="185">
        <f t="shared" si="106"/>
        <v>0.92154263712680673</v>
      </c>
      <c r="P246" s="185">
        <f t="shared" ref="P246" si="114">$J246/(100%+$M246)</f>
        <v>99.999999999999986</v>
      </c>
      <c r="Q246" s="185">
        <f t="shared" ref="Q246:Q314" si="115">$L246*$P246</f>
        <v>9.215426371268066</v>
      </c>
      <c r="R246" s="192">
        <f t="shared" si="84"/>
        <v>45884</v>
      </c>
      <c r="T246" s="183">
        <f t="shared" si="112"/>
        <v>9.215426371268066</v>
      </c>
      <c r="U246" s="195">
        <f t="shared" si="81"/>
        <v>0</v>
      </c>
    </row>
    <row r="247" spans="1:21" x14ac:dyDescent="0.25">
      <c r="A247" s="191">
        <v>2025</v>
      </c>
      <c r="B247" s="189">
        <v>69</v>
      </c>
      <c r="C247" s="71" t="s">
        <v>105</v>
      </c>
      <c r="D247" t="s">
        <v>705</v>
      </c>
      <c r="E247" s="1">
        <v>45833</v>
      </c>
      <c r="F247" t="s">
        <v>1794</v>
      </c>
      <c r="I247" t="b">
        <v>0</v>
      </c>
      <c r="J247" s="48">
        <v>21.21</v>
      </c>
      <c r="K247" s="185">
        <f t="shared" si="111"/>
        <v>21.21</v>
      </c>
      <c r="L247" s="72">
        <v>1</v>
      </c>
      <c r="M247" s="72">
        <v>0.2</v>
      </c>
      <c r="N247" s="185">
        <f t="shared" si="113"/>
        <v>3.4816666666666674</v>
      </c>
      <c r="O247" s="185">
        <f t="shared" si="106"/>
        <v>3.4816666666666674</v>
      </c>
      <c r="P247" s="185">
        <f>($J247-0.32)/(100%+$M247)</f>
        <v>17.408333333333335</v>
      </c>
      <c r="Q247" s="185">
        <f t="shared" si="115"/>
        <v>17.408333333333335</v>
      </c>
      <c r="R247" s="192">
        <f t="shared" si="84"/>
        <v>45884</v>
      </c>
      <c r="T247" s="183">
        <f t="shared" si="112"/>
        <v>17.408333333333335</v>
      </c>
      <c r="U247" s="195">
        <f t="shared" si="81"/>
        <v>0</v>
      </c>
    </row>
    <row r="248" spans="1:21" x14ac:dyDescent="0.25">
      <c r="A248" s="191">
        <v>2025</v>
      </c>
      <c r="B248" s="189">
        <v>70</v>
      </c>
      <c r="C248" s="71" t="s">
        <v>105</v>
      </c>
      <c r="D248" t="s">
        <v>703</v>
      </c>
      <c r="E248" s="1">
        <v>45840</v>
      </c>
      <c r="F248" t="s">
        <v>34</v>
      </c>
      <c r="I248" t="b">
        <v>0</v>
      </c>
      <c r="J248" s="48">
        <v>13.91</v>
      </c>
      <c r="K248" s="185">
        <f t="shared" si="111"/>
        <v>13.91</v>
      </c>
      <c r="L248" s="72">
        <v>1</v>
      </c>
      <c r="M248" s="72">
        <v>0.2</v>
      </c>
      <c r="N248" s="185">
        <f t="shared" si="113"/>
        <v>2.3183333333333334</v>
      </c>
      <c r="O248" s="185">
        <f t="shared" ref="O248:O249" si="116">L248*$N248</f>
        <v>2.3183333333333334</v>
      </c>
      <c r="P248" s="185">
        <f t="shared" ref="P248:P250" si="117">$J248/(100%+$M248)</f>
        <v>11.591666666666667</v>
      </c>
      <c r="Q248" s="185">
        <f t="shared" si="115"/>
        <v>11.591666666666667</v>
      </c>
      <c r="R248" s="192">
        <f t="shared" si="84"/>
        <v>45976</v>
      </c>
      <c r="T248" s="183">
        <f t="shared" si="112"/>
        <v>11.591666666666667</v>
      </c>
      <c r="U248" s="195">
        <f t="shared" si="81"/>
        <v>0</v>
      </c>
    </row>
    <row r="249" spans="1:21" x14ac:dyDescent="0.25">
      <c r="A249" s="191">
        <v>2025</v>
      </c>
      <c r="B249" s="189">
        <v>71</v>
      </c>
      <c r="C249" s="71" t="s">
        <v>105</v>
      </c>
      <c r="D249" t="s">
        <v>705</v>
      </c>
      <c r="E249" s="1">
        <v>45841</v>
      </c>
      <c r="F249" t="s">
        <v>1840</v>
      </c>
      <c r="I249" t="b">
        <v>0</v>
      </c>
      <c r="J249" s="48">
        <v>13.8</v>
      </c>
      <c r="K249" s="185">
        <f t="shared" si="111"/>
        <v>13.8</v>
      </c>
      <c r="L249" s="72">
        <v>1</v>
      </c>
      <c r="M249" s="72">
        <v>0</v>
      </c>
      <c r="N249" s="185">
        <f>$P249*$M249</f>
        <v>0</v>
      </c>
      <c r="O249" s="185">
        <f t="shared" si="116"/>
        <v>0</v>
      </c>
      <c r="P249" s="185">
        <f>$J249/(100%+$M249)</f>
        <v>13.8</v>
      </c>
      <c r="Q249" s="185">
        <f t="shared" si="115"/>
        <v>13.8</v>
      </c>
      <c r="R249" s="192">
        <f t="shared" si="84"/>
        <v>45976</v>
      </c>
      <c r="S249">
        <v>20</v>
      </c>
      <c r="T249" s="183">
        <f t="shared" si="112"/>
        <v>13.8</v>
      </c>
      <c r="U249" s="195">
        <f t="shared" si="81"/>
        <v>2.7600000000000002</v>
      </c>
    </row>
    <row r="250" spans="1:21" x14ac:dyDescent="0.25">
      <c r="A250" s="191">
        <v>2025</v>
      </c>
      <c r="B250" s="189">
        <v>72</v>
      </c>
      <c r="C250" s="71" t="s">
        <v>105</v>
      </c>
      <c r="D250" t="s">
        <v>705</v>
      </c>
      <c r="E250" s="1">
        <v>45845</v>
      </c>
      <c r="F250" t="s">
        <v>1850</v>
      </c>
      <c r="I250" t="b">
        <v>0</v>
      </c>
      <c r="J250" s="157">
        <v>36</v>
      </c>
      <c r="K250" s="185">
        <f t="shared" si="111"/>
        <v>36</v>
      </c>
      <c r="L250" s="72">
        <v>1</v>
      </c>
      <c r="M250" s="72">
        <v>0.2</v>
      </c>
      <c r="N250" s="185">
        <f t="shared" si="113"/>
        <v>6</v>
      </c>
      <c r="O250" s="185">
        <f t="shared" ref="O250:O255" si="118">L250*$N250</f>
        <v>6</v>
      </c>
      <c r="P250" s="185">
        <f t="shared" si="117"/>
        <v>30</v>
      </c>
      <c r="Q250" s="185">
        <f t="shared" si="115"/>
        <v>30</v>
      </c>
      <c r="R250" s="192">
        <f t="shared" ref="R250:R281" si="119">voranmeldefrist_vierteljaehrlich(E250)</f>
        <v>45976</v>
      </c>
      <c r="U250" s="195">
        <f t="shared" si="104"/>
        <v>0</v>
      </c>
    </row>
    <row r="251" spans="1:21" x14ac:dyDescent="0.25">
      <c r="A251" s="191">
        <v>2025</v>
      </c>
      <c r="B251" s="189">
        <v>73</v>
      </c>
      <c r="C251" s="71" t="s">
        <v>105</v>
      </c>
      <c r="D251" t="s">
        <v>705</v>
      </c>
      <c r="E251" s="1">
        <v>45849</v>
      </c>
      <c r="F251" t="s">
        <v>1783</v>
      </c>
      <c r="I251" t="b">
        <v>0</v>
      </c>
      <c r="J251" s="48">
        <v>56</v>
      </c>
      <c r="K251" s="185">
        <f t="shared" si="111"/>
        <v>56</v>
      </c>
      <c r="L251" s="72">
        <v>1</v>
      </c>
      <c r="M251" s="72">
        <v>0</v>
      </c>
      <c r="N251" s="185">
        <f>$P251*$M251</f>
        <v>0</v>
      </c>
      <c r="O251" s="185">
        <f t="shared" si="118"/>
        <v>0</v>
      </c>
      <c r="P251" s="185">
        <f>$J251/(100%+$M251)</f>
        <v>56</v>
      </c>
      <c r="Q251" s="185">
        <f t="shared" si="115"/>
        <v>56</v>
      </c>
      <c r="R251" s="192">
        <f t="shared" si="119"/>
        <v>45976</v>
      </c>
      <c r="S251">
        <v>20</v>
      </c>
      <c r="T251" s="183">
        <f t="shared" ref="T251:T255" si="120">IF(G251=TRUE,Q251/F251,Q251)</f>
        <v>56</v>
      </c>
      <c r="U251" s="195">
        <f t="shared" si="81"/>
        <v>11.200000000000001</v>
      </c>
    </row>
    <row r="252" spans="1:21" x14ac:dyDescent="0.25">
      <c r="A252" s="191">
        <v>2025</v>
      </c>
      <c r="B252" s="189">
        <v>74</v>
      </c>
      <c r="C252" s="71" t="s">
        <v>105</v>
      </c>
      <c r="D252" t="s">
        <v>703</v>
      </c>
      <c r="E252" s="1">
        <v>45853</v>
      </c>
      <c r="F252" t="s">
        <v>1781</v>
      </c>
      <c r="I252" t="b">
        <v>0</v>
      </c>
      <c r="J252" s="48">
        <v>58.89</v>
      </c>
      <c r="K252" s="185">
        <f t="shared" si="111"/>
        <v>39.456300000000006</v>
      </c>
      <c r="L252" s="72">
        <v>0.67</v>
      </c>
      <c r="M252" s="72" t="s">
        <v>14</v>
      </c>
      <c r="N252" s="185">
        <f>1.38+7.29</f>
        <v>8.67</v>
      </c>
      <c r="O252" s="185">
        <f t="shared" si="118"/>
        <v>5.8089000000000004</v>
      </c>
      <c r="P252" s="185">
        <v>50.22</v>
      </c>
      <c r="Q252" s="185">
        <f t="shared" si="115"/>
        <v>33.647400000000005</v>
      </c>
      <c r="R252" s="192">
        <f t="shared" si="119"/>
        <v>45976</v>
      </c>
      <c r="T252" s="183">
        <f t="shared" si="120"/>
        <v>33.647400000000005</v>
      </c>
      <c r="U252" s="195">
        <f t="shared" si="81"/>
        <v>0</v>
      </c>
    </row>
    <row r="253" spans="1:21" x14ac:dyDescent="0.25">
      <c r="A253" s="191">
        <v>2025</v>
      </c>
      <c r="B253" s="189">
        <v>75</v>
      </c>
      <c r="C253" s="71" t="s">
        <v>708</v>
      </c>
      <c r="D253" t="s">
        <v>709</v>
      </c>
      <c r="E253" s="1">
        <v>45853</v>
      </c>
      <c r="F253" t="s">
        <v>1788</v>
      </c>
      <c r="I253" t="b">
        <v>0</v>
      </c>
      <c r="J253" s="48">
        <v>19667.57</v>
      </c>
      <c r="K253" s="185">
        <f t="shared" si="111"/>
        <v>19667.57</v>
      </c>
      <c r="L253" s="72">
        <v>1</v>
      </c>
      <c r="M253" s="72">
        <v>0.2</v>
      </c>
      <c r="N253" s="185">
        <f>$P253*$M253</f>
        <v>3277.9283333333333</v>
      </c>
      <c r="O253" s="185">
        <f t="shared" si="118"/>
        <v>3277.9283333333333</v>
      </c>
      <c r="P253" s="185">
        <f>$J253/(100%+$M253)</f>
        <v>16389.641666666666</v>
      </c>
      <c r="Q253" s="185">
        <f t="shared" si="115"/>
        <v>16389.641666666666</v>
      </c>
      <c r="R253" s="192">
        <f t="shared" si="119"/>
        <v>45976</v>
      </c>
      <c r="T253" s="183">
        <f t="shared" si="120"/>
        <v>16389.641666666666</v>
      </c>
      <c r="U253" s="195">
        <f t="shared" si="81"/>
        <v>0</v>
      </c>
    </row>
    <row r="254" spans="1:21" x14ac:dyDescent="0.25">
      <c r="A254" s="191">
        <v>2025</v>
      </c>
      <c r="B254" s="189">
        <v>76</v>
      </c>
      <c r="C254" s="71" t="s">
        <v>105</v>
      </c>
      <c r="D254" t="s">
        <v>705</v>
      </c>
      <c r="E254" s="1">
        <v>45854</v>
      </c>
      <c r="F254" t="s">
        <v>1783</v>
      </c>
      <c r="I254" t="b">
        <v>0</v>
      </c>
      <c r="J254" s="48">
        <v>9.16</v>
      </c>
      <c r="K254" s="185">
        <f t="shared" si="111"/>
        <v>9.16</v>
      </c>
      <c r="L254" s="72">
        <v>1</v>
      </c>
      <c r="M254" s="72">
        <v>0</v>
      </c>
      <c r="N254" s="185">
        <f>$P254*$M254</f>
        <v>0</v>
      </c>
      <c r="O254" s="185">
        <f t="shared" si="118"/>
        <v>0</v>
      </c>
      <c r="P254" s="185">
        <f>$J254/(100%+$M254)</f>
        <v>9.16</v>
      </c>
      <c r="Q254" s="185">
        <f t="shared" si="115"/>
        <v>9.16</v>
      </c>
      <c r="R254" s="192">
        <f t="shared" si="119"/>
        <v>45976</v>
      </c>
      <c r="S254">
        <v>20</v>
      </c>
      <c r="T254" s="183">
        <f t="shared" si="120"/>
        <v>9.16</v>
      </c>
      <c r="U254" s="195">
        <f t="shared" si="81"/>
        <v>1.8320000000000001</v>
      </c>
    </row>
    <row r="255" spans="1:21" x14ac:dyDescent="0.25">
      <c r="A255" s="191">
        <v>2025</v>
      </c>
      <c r="B255" s="189">
        <v>77</v>
      </c>
      <c r="C255" s="71" t="s">
        <v>105</v>
      </c>
      <c r="D255" t="s">
        <v>705</v>
      </c>
      <c r="E255" s="1">
        <v>45859</v>
      </c>
      <c r="F255" t="s">
        <v>1032</v>
      </c>
      <c r="I255" t="b">
        <v>0</v>
      </c>
      <c r="J255" s="48">
        <v>11.7</v>
      </c>
      <c r="K255" s="185">
        <f t="shared" si="111"/>
        <v>11.7</v>
      </c>
      <c r="L255" s="72">
        <v>1</v>
      </c>
      <c r="M255" s="72">
        <v>0</v>
      </c>
      <c r="N255" s="185">
        <f>$P255*$M255</f>
        <v>0</v>
      </c>
      <c r="O255" s="185">
        <f t="shared" si="118"/>
        <v>0</v>
      </c>
      <c r="P255" s="185">
        <f>$J255/(100%+$M255)</f>
        <v>11.7</v>
      </c>
      <c r="Q255" s="185">
        <f>$L255*$P255</f>
        <v>11.7</v>
      </c>
      <c r="R255" s="192">
        <f t="shared" si="119"/>
        <v>45976</v>
      </c>
      <c r="S255">
        <v>20</v>
      </c>
      <c r="T255" s="183">
        <f t="shared" si="120"/>
        <v>11.7</v>
      </c>
      <c r="U255" s="195">
        <f t="shared" si="81"/>
        <v>2.34</v>
      </c>
    </row>
    <row r="256" spans="1:21" x14ac:dyDescent="0.25">
      <c r="A256" s="191">
        <v>2025</v>
      </c>
      <c r="B256" s="189">
        <v>78</v>
      </c>
      <c r="C256" s="71" t="s">
        <v>105</v>
      </c>
      <c r="D256" t="s">
        <v>705</v>
      </c>
      <c r="E256" s="1">
        <v>45860</v>
      </c>
      <c r="F256" t="s">
        <v>1849</v>
      </c>
      <c r="I256" t="b">
        <v>0</v>
      </c>
      <c r="J256" s="157">
        <v>25.75</v>
      </c>
      <c r="K256" s="185">
        <f t="shared" si="111"/>
        <v>25.75</v>
      </c>
      <c r="L256" s="72">
        <v>1</v>
      </c>
      <c r="M256" s="72">
        <v>0.2</v>
      </c>
      <c r="N256" s="185">
        <f t="shared" ref="N256:N260" si="121">$P256*$M256</f>
        <v>4.291666666666667</v>
      </c>
      <c r="O256" s="185">
        <f t="shared" ref="O256:O263" si="122">L256*$N256</f>
        <v>4.291666666666667</v>
      </c>
      <c r="P256" s="185">
        <f t="shared" ref="P256" si="123">$J256/(100%+$M256)</f>
        <v>21.458333333333336</v>
      </c>
      <c r="Q256" s="185">
        <f t="shared" si="115"/>
        <v>21.458333333333336</v>
      </c>
      <c r="R256" s="192">
        <f t="shared" si="119"/>
        <v>45976</v>
      </c>
      <c r="U256" s="195">
        <f t="shared" si="104"/>
        <v>0</v>
      </c>
    </row>
    <row r="257" spans="1:21" x14ac:dyDescent="0.25">
      <c r="A257" s="191">
        <v>2025</v>
      </c>
      <c r="B257" s="189">
        <v>79</v>
      </c>
      <c r="C257" s="71" t="s">
        <v>105</v>
      </c>
      <c r="D257" t="s">
        <v>705</v>
      </c>
      <c r="E257" s="1">
        <v>45863</v>
      </c>
      <c r="F257" t="s">
        <v>1794</v>
      </c>
      <c r="I257" t="b">
        <v>0</v>
      </c>
      <c r="J257" s="48">
        <v>20.86</v>
      </c>
      <c r="K257" s="185">
        <f t="shared" si="111"/>
        <v>20.86</v>
      </c>
      <c r="L257" s="72">
        <v>1</v>
      </c>
      <c r="M257" s="72">
        <v>0.2</v>
      </c>
      <c r="N257" s="185">
        <f t="shared" si="121"/>
        <v>3.4233333333333338</v>
      </c>
      <c r="O257" s="185">
        <f t="shared" si="122"/>
        <v>3.4233333333333338</v>
      </c>
      <c r="P257" s="185">
        <f>($J257-0.32)/(100%+$M257)</f>
        <v>17.116666666666667</v>
      </c>
      <c r="Q257" s="185">
        <f t="shared" si="115"/>
        <v>17.116666666666667</v>
      </c>
      <c r="R257" s="192">
        <f t="shared" si="119"/>
        <v>45976</v>
      </c>
      <c r="T257" s="183">
        <f t="shared" ref="T257:T261" si="124">IF(G257=TRUE,Q257/F257,Q257)</f>
        <v>17.116666666666667</v>
      </c>
      <c r="U257" s="195">
        <f t="shared" si="81"/>
        <v>0</v>
      </c>
    </row>
    <row r="258" spans="1:21" x14ac:dyDescent="0.25">
      <c r="A258" s="191">
        <v>2025</v>
      </c>
      <c r="B258" s="189">
        <v>80</v>
      </c>
      <c r="C258" s="71" t="s">
        <v>105</v>
      </c>
      <c r="D258" t="s">
        <v>339</v>
      </c>
      <c r="E258" s="1">
        <v>45866</v>
      </c>
      <c r="F258" t="s">
        <v>1848</v>
      </c>
      <c r="I258" t="b">
        <v>0</v>
      </c>
      <c r="J258" s="48">
        <v>127.11</v>
      </c>
      <c r="K258" s="185">
        <f t="shared" si="111"/>
        <v>127.11</v>
      </c>
      <c r="L258" s="72">
        <v>1</v>
      </c>
      <c r="M258" s="72">
        <v>0.2</v>
      </c>
      <c r="N258" s="185">
        <f t="shared" si="121"/>
        <v>21.185000000000002</v>
      </c>
      <c r="O258" s="185">
        <f t="shared" si="122"/>
        <v>21.185000000000002</v>
      </c>
      <c r="P258" s="185">
        <f t="shared" ref="P258" si="125">$J258/(100%+$M258)</f>
        <v>105.925</v>
      </c>
      <c r="Q258" s="185">
        <f t="shared" si="115"/>
        <v>105.925</v>
      </c>
      <c r="R258" s="192">
        <f t="shared" si="119"/>
        <v>45976</v>
      </c>
      <c r="T258" s="183">
        <f t="shared" si="124"/>
        <v>105.925</v>
      </c>
      <c r="U258" s="195">
        <f t="shared" si="81"/>
        <v>0</v>
      </c>
    </row>
    <row r="259" spans="1:21" x14ac:dyDescent="0.25">
      <c r="A259" s="191">
        <v>2025</v>
      </c>
      <c r="B259" s="189">
        <v>81</v>
      </c>
      <c r="C259" s="71" t="s">
        <v>708</v>
      </c>
      <c r="D259" t="s">
        <v>709</v>
      </c>
      <c r="E259" s="1">
        <v>45870</v>
      </c>
      <c r="F259" t="s">
        <v>1816</v>
      </c>
      <c r="I259" t="b">
        <v>0</v>
      </c>
      <c r="J259" s="48">
        <v>1302.3800000000001</v>
      </c>
      <c r="K259" s="185">
        <f t="shared" si="111"/>
        <v>1302.3800000000001</v>
      </c>
      <c r="L259" s="72">
        <v>1</v>
      </c>
      <c r="M259" s="72">
        <v>0.2</v>
      </c>
      <c r="N259" s="185">
        <f t="shared" si="121"/>
        <v>217.06333333333339</v>
      </c>
      <c r="O259" s="185">
        <f t="shared" si="122"/>
        <v>217.06333333333339</v>
      </c>
      <c r="P259" s="185">
        <f>$J259/(100%+$M259)</f>
        <v>1085.3166666666668</v>
      </c>
      <c r="Q259" s="185">
        <f t="shared" si="115"/>
        <v>1085.3166666666668</v>
      </c>
      <c r="R259" s="192">
        <f t="shared" si="119"/>
        <v>45976</v>
      </c>
      <c r="T259" s="183">
        <f t="shared" si="124"/>
        <v>1085.3166666666668</v>
      </c>
      <c r="U259" s="195">
        <f t="shared" si="81"/>
        <v>0</v>
      </c>
    </row>
    <row r="260" spans="1:21" x14ac:dyDescent="0.25">
      <c r="A260" s="191">
        <v>2025</v>
      </c>
      <c r="B260" s="189">
        <v>82</v>
      </c>
      <c r="C260" s="71" t="s">
        <v>105</v>
      </c>
      <c r="D260" t="s">
        <v>703</v>
      </c>
      <c r="E260" s="1">
        <v>45870</v>
      </c>
      <c r="F260" t="s">
        <v>34</v>
      </c>
      <c r="I260" t="b">
        <v>0</v>
      </c>
      <c r="J260" s="48">
        <v>13.91</v>
      </c>
      <c r="K260" s="185">
        <f t="shared" si="111"/>
        <v>13.91</v>
      </c>
      <c r="L260" s="72">
        <v>1</v>
      </c>
      <c r="M260" s="72">
        <v>0.2</v>
      </c>
      <c r="N260" s="185">
        <f t="shared" si="121"/>
        <v>2.3183333333333334</v>
      </c>
      <c r="O260" s="185">
        <f t="shared" si="122"/>
        <v>2.3183333333333334</v>
      </c>
      <c r="P260" s="185">
        <f t="shared" ref="P260" si="126">$J260/(100%+$M260)</f>
        <v>11.591666666666667</v>
      </c>
      <c r="Q260" s="185">
        <f t="shared" si="115"/>
        <v>11.591666666666667</v>
      </c>
      <c r="R260" s="192">
        <f t="shared" si="119"/>
        <v>45976</v>
      </c>
      <c r="T260" s="183">
        <f t="shared" si="124"/>
        <v>11.591666666666667</v>
      </c>
      <c r="U260" s="195">
        <f t="shared" si="81"/>
        <v>0</v>
      </c>
    </row>
    <row r="261" spans="1:21" x14ac:dyDescent="0.25">
      <c r="A261" s="191">
        <v>2025</v>
      </c>
      <c r="B261" s="189">
        <v>83</v>
      </c>
      <c r="C261" s="71" t="s">
        <v>105</v>
      </c>
      <c r="D261" t="s">
        <v>705</v>
      </c>
      <c r="E261" s="1">
        <v>45873</v>
      </c>
      <c r="F261" t="s">
        <v>1786</v>
      </c>
      <c r="I261" t="b">
        <v>0</v>
      </c>
      <c r="J261" s="48">
        <v>234.71</v>
      </c>
      <c r="K261" s="185">
        <f t="shared" si="111"/>
        <v>21.629527236003284</v>
      </c>
      <c r="L261" s="72">
        <f>14.6/158.43</f>
        <v>9.2154263712680679E-2</v>
      </c>
      <c r="M261" s="72" t="s">
        <v>14</v>
      </c>
      <c r="N261" s="185">
        <v>20.99</v>
      </c>
      <c r="O261" s="185">
        <f t="shared" si="122"/>
        <v>1.9343179953291674</v>
      </c>
      <c r="P261" s="185">
        <v>213.72</v>
      </c>
      <c r="Q261" s="185">
        <f t="shared" si="115"/>
        <v>19.695209240674114</v>
      </c>
      <c r="R261" s="192">
        <f t="shared" si="119"/>
        <v>45976</v>
      </c>
      <c r="T261" s="183">
        <f t="shared" si="124"/>
        <v>19.695209240674114</v>
      </c>
      <c r="U261" s="195">
        <f t="shared" si="104"/>
        <v>0</v>
      </c>
    </row>
    <row r="262" spans="1:21" x14ac:dyDescent="0.25">
      <c r="A262" s="191">
        <v>2025</v>
      </c>
      <c r="B262" s="189">
        <v>84</v>
      </c>
      <c r="C262" s="71" t="s">
        <v>105</v>
      </c>
      <c r="D262" t="s">
        <v>705</v>
      </c>
      <c r="E262" s="1">
        <v>45873</v>
      </c>
      <c r="F262" t="s">
        <v>1850</v>
      </c>
      <c r="I262" t="b">
        <v>0</v>
      </c>
      <c r="J262" s="48">
        <v>36</v>
      </c>
      <c r="K262" s="185">
        <f t="shared" si="111"/>
        <v>36</v>
      </c>
      <c r="L262" s="72">
        <v>1</v>
      </c>
      <c r="M262" s="72">
        <v>0.2</v>
      </c>
      <c r="N262" s="185">
        <f t="shared" ref="N262:N264" si="127">$P262*$M262</f>
        <v>6</v>
      </c>
      <c r="O262" s="185">
        <f t="shared" si="122"/>
        <v>6</v>
      </c>
      <c r="P262" s="185">
        <f t="shared" ref="P262:P264" si="128">$J262/(100%+$M262)</f>
        <v>30</v>
      </c>
      <c r="Q262" s="185">
        <f t="shared" si="115"/>
        <v>30</v>
      </c>
      <c r="R262" s="192">
        <f t="shared" si="119"/>
        <v>45976</v>
      </c>
      <c r="U262" s="195">
        <f t="shared" si="104"/>
        <v>0</v>
      </c>
    </row>
    <row r="263" spans="1:21" x14ac:dyDescent="0.25">
      <c r="A263" s="191">
        <v>2025</v>
      </c>
      <c r="B263" s="189">
        <v>85</v>
      </c>
      <c r="C263" s="71" t="s">
        <v>105</v>
      </c>
      <c r="D263" t="s">
        <v>705</v>
      </c>
      <c r="E263" s="1">
        <v>45873</v>
      </c>
      <c r="F263" t="s">
        <v>1840</v>
      </c>
      <c r="I263" t="b">
        <v>0</v>
      </c>
      <c r="J263" s="48">
        <v>15.57</v>
      </c>
      <c r="K263" s="185">
        <f t="shared" si="111"/>
        <v>15.57</v>
      </c>
      <c r="L263" s="72">
        <v>1</v>
      </c>
      <c r="M263" s="72">
        <v>0</v>
      </c>
      <c r="N263" s="185">
        <f>$P263*$M263</f>
        <v>0</v>
      </c>
      <c r="O263" s="185">
        <f t="shared" si="122"/>
        <v>0</v>
      </c>
      <c r="P263" s="185">
        <f>$J263/(100%+$M263)</f>
        <v>15.57</v>
      </c>
      <c r="Q263" s="185">
        <f t="shared" si="115"/>
        <v>15.57</v>
      </c>
      <c r="R263" s="192">
        <f t="shared" si="119"/>
        <v>45976</v>
      </c>
      <c r="S263">
        <v>20</v>
      </c>
      <c r="T263" s="183">
        <f t="shared" ref="T263" si="129">IF(G263=TRUE,Q263/F263,Q263)</f>
        <v>15.57</v>
      </c>
      <c r="U263" s="195">
        <f t="shared" si="104"/>
        <v>3.1140000000000003</v>
      </c>
    </row>
    <row r="264" spans="1:21" x14ac:dyDescent="0.25">
      <c r="A264" s="191">
        <v>2025</v>
      </c>
      <c r="B264" s="189">
        <v>86</v>
      </c>
      <c r="C264" s="71" t="s">
        <v>105</v>
      </c>
      <c r="D264" t="s">
        <v>689</v>
      </c>
      <c r="E264" s="1">
        <v>45874</v>
      </c>
      <c r="F264" t="s">
        <v>1812</v>
      </c>
      <c r="I264" t="b">
        <v>0</v>
      </c>
      <c r="J264" s="48">
        <v>898</v>
      </c>
      <c r="K264" s="185">
        <f t="shared" si="111"/>
        <v>898</v>
      </c>
      <c r="L264" s="72">
        <v>1</v>
      </c>
      <c r="M264" s="72">
        <v>0.1</v>
      </c>
      <c r="N264" s="185">
        <f t="shared" si="127"/>
        <v>81.636363636363626</v>
      </c>
      <c r="O264" s="185">
        <f t="shared" ref="O264:O265" si="130">L264*$N264</f>
        <v>81.636363636363626</v>
      </c>
      <c r="P264" s="185">
        <f t="shared" si="128"/>
        <v>816.36363636363626</v>
      </c>
      <c r="Q264" s="185">
        <f t="shared" si="115"/>
        <v>816.36363636363626</v>
      </c>
      <c r="R264" s="192">
        <f t="shared" si="119"/>
        <v>45976</v>
      </c>
      <c r="U264" s="195">
        <f t="shared" ref="U264:U351" si="131">$S264/100*$K264</f>
        <v>0</v>
      </c>
    </row>
    <row r="265" spans="1:21" x14ac:dyDescent="0.25">
      <c r="A265" s="191">
        <v>2025</v>
      </c>
      <c r="B265" s="189">
        <v>87</v>
      </c>
      <c r="C265" s="71" t="s">
        <v>105</v>
      </c>
      <c r="D265" t="s">
        <v>705</v>
      </c>
      <c r="E265" s="1">
        <v>45882</v>
      </c>
      <c r="F265" t="s">
        <v>1783</v>
      </c>
      <c r="I265" t="b">
        <v>0</v>
      </c>
      <c r="J265" s="48">
        <v>56</v>
      </c>
      <c r="K265" s="185">
        <f t="shared" si="111"/>
        <v>56</v>
      </c>
      <c r="L265" s="72">
        <v>1</v>
      </c>
      <c r="M265" s="72">
        <v>0</v>
      </c>
      <c r="N265" s="185">
        <f>$P265*$M265</f>
        <v>0</v>
      </c>
      <c r="O265" s="185">
        <f t="shared" si="130"/>
        <v>0</v>
      </c>
      <c r="P265" s="185">
        <f>$J265/(100%+$M265)</f>
        <v>56</v>
      </c>
      <c r="Q265" s="185">
        <f t="shared" si="115"/>
        <v>56</v>
      </c>
      <c r="R265" s="192">
        <f t="shared" si="119"/>
        <v>45976</v>
      </c>
      <c r="S265">
        <v>20</v>
      </c>
      <c r="T265" s="183">
        <f t="shared" ref="T265" si="132">IF(G265=TRUE,Q265/F265,Q265)</f>
        <v>56</v>
      </c>
      <c r="U265" s="195">
        <f t="shared" si="131"/>
        <v>11.200000000000001</v>
      </c>
    </row>
    <row r="266" spans="1:21" x14ac:dyDescent="0.25">
      <c r="A266" s="191">
        <v>2025</v>
      </c>
      <c r="B266" s="189">
        <v>88</v>
      </c>
      <c r="C266" s="71" t="s">
        <v>105</v>
      </c>
      <c r="D266" t="s">
        <v>705</v>
      </c>
      <c r="E266" s="1">
        <v>45883</v>
      </c>
      <c r="F266" t="s">
        <v>1783</v>
      </c>
      <c r="I266" t="b">
        <v>0</v>
      </c>
      <c r="J266" s="48">
        <v>9.16</v>
      </c>
      <c r="K266" s="185">
        <f t="shared" si="111"/>
        <v>9.16</v>
      </c>
      <c r="L266" s="72">
        <v>1</v>
      </c>
      <c r="M266" s="72">
        <v>0</v>
      </c>
      <c r="N266" s="185">
        <f>$P266*$M266</f>
        <v>0</v>
      </c>
      <c r="O266" s="185">
        <f t="shared" ref="O266:O273" si="133">L266*$N266</f>
        <v>0</v>
      </c>
      <c r="P266" s="185">
        <f>$J266/(100%+$M266)</f>
        <v>9.16</v>
      </c>
      <c r="Q266" s="185">
        <f t="shared" si="115"/>
        <v>9.16</v>
      </c>
      <c r="R266" s="192">
        <f t="shared" si="119"/>
        <v>45976</v>
      </c>
      <c r="S266">
        <v>20</v>
      </c>
      <c r="T266" s="183">
        <f t="shared" ref="T266:T273" si="134">IF(G266=TRUE,Q266/F266,Q266)</f>
        <v>9.16</v>
      </c>
      <c r="U266" s="195">
        <f t="shared" si="131"/>
        <v>1.8320000000000001</v>
      </c>
    </row>
    <row r="267" spans="1:21" x14ac:dyDescent="0.25">
      <c r="A267" s="191">
        <v>2025</v>
      </c>
      <c r="B267" s="189">
        <v>89</v>
      </c>
      <c r="C267" s="71" t="s">
        <v>708</v>
      </c>
      <c r="D267" t="s">
        <v>709</v>
      </c>
      <c r="E267" s="1">
        <v>45887</v>
      </c>
      <c r="F267" t="s">
        <v>1788</v>
      </c>
      <c r="I267" t="b">
        <v>0</v>
      </c>
      <c r="J267" s="48">
        <v>21673.49</v>
      </c>
      <c r="K267" s="185">
        <f t="shared" si="111"/>
        <v>21673.49</v>
      </c>
      <c r="L267" s="72">
        <v>1</v>
      </c>
      <c r="M267" s="72">
        <v>0.2</v>
      </c>
      <c r="N267" s="185">
        <f>$P267*$M267</f>
        <v>3612.2483333333339</v>
      </c>
      <c r="O267" s="185">
        <f t="shared" si="133"/>
        <v>3612.2483333333339</v>
      </c>
      <c r="P267" s="185">
        <f>$J267/(100%+$M267)</f>
        <v>18061.241666666669</v>
      </c>
      <c r="Q267" s="185">
        <f t="shared" si="115"/>
        <v>18061.241666666669</v>
      </c>
      <c r="R267" s="192">
        <f t="shared" si="119"/>
        <v>45976</v>
      </c>
      <c r="T267" s="183">
        <f t="shared" si="134"/>
        <v>18061.241666666669</v>
      </c>
      <c r="U267" s="195">
        <f t="shared" si="131"/>
        <v>0</v>
      </c>
    </row>
    <row r="268" spans="1:21" x14ac:dyDescent="0.25">
      <c r="A268" s="191">
        <v>2025</v>
      </c>
      <c r="B268" s="189">
        <v>90</v>
      </c>
      <c r="C268" s="71" t="s">
        <v>105</v>
      </c>
      <c r="D268" t="s">
        <v>705</v>
      </c>
      <c r="E268" s="1">
        <v>45888</v>
      </c>
      <c r="F268" t="s">
        <v>1032</v>
      </c>
      <c r="I268" t="b">
        <v>0</v>
      </c>
      <c r="J268" s="48">
        <v>11.7</v>
      </c>
      <c r="K268" s="185">
        <f t="shared" si="111"/>
        <v>11.7</v>
      </c>
      <c r="L268" s="72">
        <v>1</v>
      </c>
      <c r="M268" s="72">
        <v>0</v>
      </c>
      <c r="N268" s="185">
        <f>$P268*$M268</f>
        <v>0</v>
      </c>
      <c r="O268" s="185">
        <f t="shared" si="133"/>
        <v>0</v>
      </c>
      <c r="P268" s="185">
        <f>$J268/(100%+$M268)</f>
        <v>11.7</v>
      </c>
      <c r="Q268" s="185">
        <f>$L268*$P268</f>
        <v>11.7</v>
      </c>
      <c r="R268" s="192">
        <f t="shared" si="119"/>
        <v>45976</v>
      </c>
      <c r="S268">
        <v>20</v>
      </c>
      <c r="T268" s="183">
        <f t="shared" si="134"/>
        <v>11.7</v>
      </c>
      <c r="U268" s="195">
        <f t="shared" si="131"/>
        <v>2.34</v>
      </c>
    </row>
    <row r="269" spans="1:21" x14ac:dyDescent="0.25">
      <c r="A269" s="191">
        <v>2025</v>
      </c>
      <c r="B269" s="189">
        <v>91</v>
      </c>
      <c r="C269" s="71" t="s">
        <v>105</v>
      </c>
      <c r="D269" t="s">
        <v>705</v>
      </c>
      <c r="E269" s="1">
        <v>45894</v>
      </c>
      <c r="F269" t="s">
        <v>1794</v>
      </c>
      <c r="I269" t="b">
        <v>0</v>
      </c>
      <c r="J269" s="48">
        <v>21.03</v>
      </c>
      <c r="K269" s="185">
        <f t="shared" si="111"/>
        <v>21.03</v>
      </c>
      <c r="L269" s="72">
        <v>1</v>
      </c>
      <c r="M269" s="72">
        <v>0.2</v>
      </c>
      <c r="N269" s="185">
        <f t="shared" ref="N269:N270" si="135">$P269*$M269</f>
        <v>3.4516666666666675</v>
      </c>
      <c r="O269" s="185">
        <f t="shared" si="133"/>
        <v>3.4516666666666675</v>
      </c>
      <c r="P269" s="185">
        <f>($J269-0.32)/(100%+$M269)</f>
        <v>17.258333333333336</v>
      </c>
      <c r="Q269" s="185">
        <f t="shared" si="115"/>
        <v>17.258333333333336</v>
      </c>
      <c r="R269" s="192">
        <f t="shared" si="119"/>
        <v>45976</v>
      </c>
      <c r="T269" s="183">
        <f t="shared" si="134"/>
        <v>17.258333333333336</v>
      </c>
      <c r="U269" s="195">
        <f t="shared" si="131"/>
        <v>0</v>
      </c>
    </row>
    <row r="270" spans="1:21" x14ac:dyDescent="0.25">
      <c r="A270" s="191">
        <v>2025</v>
      </c>
      <c r="B270" s="189">
        <v>92</v>
      </c>
      <c r="C270" s="71" t="s">
        <v>105</v>
      </c>
      <c r="D270" t="s">
        <v>703</v>
      </c>
      <c r="E270" s="1">
        <v>45903</v>
      </c>
      <c r="F270" t="s">
        <v>34</v>
      </c>
      <c r="I270" t="b">
        <v>0</v>
      </c>
      <c r="J270" s="48">
        <v>13.91</v>
      </c>
      <c r="K270" s="185">
        <f t="shared" si="111"/>
        <v>13.91</v>
      </c>
      <c r="L270" s="72">
        <v>1</v>
      </c>
      <c r="M270" s="72">
        <v>0.2</v>
      </c>
      <c r="N270" s="185">
        <f t="shared" si="135"/>
        <v>2.3183333333333334</v>
      </c>
      <c r="O270" s="185">
        <f t="shared" si="133"/>
        <v>2.3183333333333334</v>
      </c>
      <c r="P270" s="185">
        <f t="shared" ref="P270" si="136">$J270/(100%+$M270)</f>
        <v>11.591666666666667</v>
      </c>
      <c r="Q270" s="185">
        <f t="shared" si="115"/>
        <v>11.591666666666667</v>
      </c>
      <c r="R270" s="192">
        <f t="shared" si="119"/>
        <v>45976</v>
      </c>
      <c r="T270" s="183">
        <f t="shared" si="134"/>
        <v>11.591666666666667</v>
      </c>
      <c r="U270" s="195">
        <f t="shared" si="131"/>
        <v>0</v>
      </c>
    </row>
    <row r="271" spans="1:21" x14ac:dyDescent="0.25">
      <c r="A271" s="191">
        <v>2025</v>
      </c>
      <c r="B271" s="189">
        <v>93</v>
      </c>
      <c r="C271" s="71" t="s">
        <v>105</v>
      </c>
      <c r="D271" t="s">
        <v>705</v>
      </c>
      <c r="E271" s="1">
        <v>45903</v>
      </c>
      <c r="F271" t="s">
        <v>1840</v>
      </c>
      <c r="I271" t="b">
        <v>0</v>
      </c>
      <c r="J271" s="48">
        <v>16.2</v>
      </c>
      <c r="K271" s="185">
        <f t="shared" si="111"/>
        <v>16.2</v>
      </c>
      <c r="L271" s="72">
        <v>1</v>
      </c>
      <c r="M271" s="72">
        <v>0</v>
      </c>
      <c r="N271" s="185">
        <f>$P271*$M271</f>
        <v>0</v>
      </c>
      <c r="O271" s="185">
        <f t="shared" si="133"/>
        <v>0</v>
      </c>
      <c r="P271" s="185">
        <f>$J271/(100%+$M271)</f>
        <v>16.2</v>
      </c>
      <c r="Q271" s="185">
        <f t="shared" si="115"/>
        <v>16.2</v>
      </c>
      <c r="R271" s="192">
        <f t="shared" si="119"/>
        <v>45976</v>
      </c>
      <c r="S271">
        <v>20</v>
      </c>
      <c r="T271" s="183">
        <f t="shared" si="134"/>
        <v>16.2</v>
      </c>
      <c r="U271" s="195">
        <f t="shared" si="131"/>
        <v>3.24</v>
      </c>
    </row>
    <row r="272" spans="1:21" x14ac:dyDescent="0.25">
      <c r="A272" s="191">
        <v>2025</v>
      </c>
      <c r="B272" s="189">
        <v>94</v>
      </c>
      <c r="C272" s="71" t="s">
        <v>105</v>
      </c>
      <c r="D272" t="s">
        <v>705</v>
      </c>
      <c r="E272" s="1">
        <v>45908</v>
      </c>
      <c r="F272" t="s">
        <v>1793</v>
      </c>
      <c r="I272" t="b">
        <v>0</v>
      </c>
      <c r="J272" s="109">
        <v>616.98</v>
      </c>
      <c r="K272" s="185">
        <f t="shared" si="111"/>
        <v>56.857337625449723</v>
      </c>
      <c r="L272" s="72">
        <f>14.6/158.43</f>
        <v>9.2154263712680679E-2</v>
      </c>
      <c r="M272" s="72">
        <v>0.1</v>
      </c>
      <c r="N272" s="185">
        <f t="shared" ref="N272:N273" si="137">$P272*$M272</f>
        <v>56.089090909090913</v>
      </c>
      <c r="O272" s="185">
        <f t="shared" si="133"/>
        <v>5.1688488750408847</v>
      </c>
      <c r="P272" s="185">
        <f t="shared" ref="P272:P273" si="138">$J272/(100%+$M272)</f>
        <v>560.89090909090908</v>
      </c>
      <c r="Q272" s="185">
        <f t="shared" si="115"/>
        <v>51.688488750408837</v>
      </c>
      <c r="R272" s="192">
        <f t="shared" si="119"/>
        <v>45976</v>
      </c>
      <c r="T272" s="183">
        <f t="shared" si="134"/>
        <v>51.688488750408837</v>
      </c>
      <c r="U272" s="195">
        <f t="shared" si="131"/>
        <v>0</v>
      </c>
    </row>
    <row r="273" spans="1:21" x14ac:dyDescent="0.25">
      <c r="A273" s="191">
        <v>2025</v>
      </c>
      <c r="B273" s="189">
        <v>95</v>
      </c>
      <c r="C273" s="71" t="s">
        <v>105</v>
      </c>
      <c r="D273" t="s">
        <v>705</v>
      </c>
      <c r="E273" s="1">
        <v>45910</v>
      </c>
      <c r="F273" t="s">
        <v>1110</v>
      </c>
      <c r="I273" t="b">
        <v>0</v>
      </c>
      <c r="J273" s="48">
        <v>4891.59</v>
      </c>
      <c r="K273" s="185">
        <f t="shared" si="111"/>
        <v>450.7808748343117</v>
      </c>
      <c r="L273" s="72">
        <f>14.6/158.43</f>
        <v>9.2154263712680679E-2</v>
      </c>
      <c r="M273" s="72">
        <v>0.2</v>
      </c>
      <c r="N273" s="185">
        <f t="shared" si="137"/>
        <v>815.2650000000001</v>
      </c>
      <c r="O273" s="185">
        <f t="shared" si="133"/>
        <v>75.130145805718627</v>
      </c>
      <c r="P273" s="185">
        <f t="shared" si="138"/>
        <v>4076.3250000000003</v>
      </c>
      <c r="Q273" s="185">
        <f t="shared" si="115"/>
        <v>375.6507290285931</v>
      </c>
      <c r="R273" s="192">
        <f t="shared" si="119"/>
        <v>45976</v>
      </c>
      <c r="T273" s="183">
        <f t="shared" si="134"/>
        <v>375.6507290285931</v>
      </c>
      <c r="U273" s="195">
        <f t="shared" si="131"/>
        <v>0</v>
      </c>
    </row>
    <row r="274" spans="1:21" x14ac:dyDescent="0.25">
      <c r="A274" s="191">
        <v>2025</v>
      </c>
      <c r="B274" s="189">
        <v>96</v>
      </c>
      <c r="C274" s="71" t="s">
        <v>708</v>
      </c>
      <c r="D274" t="s">
        <v>709</v>
      </c>
      <c r="E274" s="1">
        <v>45910</v>
      </c>
      <c r="F274" t="s">
        <v>1788</v>
      </c>
      <c r="I274" t="b">
        <v>0</v>
      </c>
      <c r="J274" s="48">
        <v>11825.38</v>
      </c>
      <c r="K274" s="185">
        <f t="shared" si="111"/>
        <v>11825.38</v>
      </c>
      <c r="L274" s="72">
        <v>1</v>
      </c>
      <c r="M274" s="72">
        <v>0.2</v>
      </c>
      <c r="N274" s="185">
        <f>$P274*$M274</f>
        <v>1970.8966666666668</v>
      </c>
      <c r="O274" s="185">
        <f t="shared" ref="O274:O279" si="139">L274*$N274</f>
        <v>1970.8966666666668</v>
      </c>
      <c r="P274" s="185">
        <f>$J274/(100%+$M274)</f>
        <v>9854.4833333333336</v>
      </c>
      <c r="Q274" s="185">
        <f t="shared" si="115"/>
        <v>9854.4833333333336</v>
      </c>
      <c r="R274" s="192">
        <f t="shared" si="119"/>
        <v>45976</v>
      </c>
      <c r="T274" s="183">
        <f t="shared" ref="T274:T279" si="140">IF(G274=TRUE,Q274/F274,Q274)</f>
        <v>9854.4833333333336</v>
      </c>
      <c r="U274" s="195">
        <f t="shared" si="131"/>
        <v>0</v>
      </c>
    </row>
    <row r="275" spans="1:21" x14ac:dyDescent="0.25">
      <c r="A275" s="191">
        <v>2025</v>
      </c>
      <c r="B275" s="189">
        <v>97</v>
      </c>
      <c r="C275" s="71" t="s">
        <v>105</v>
      </c>
      <c r="D275" t="s">
        <v>705</v>
      </c>
      <c r="E275" s="1">
        <v>45911</v>
      </c>
      <c r="F275" t="s">
        <v>1783</v>
      </c>
      <c r="I275" t="b">
        <v>0</v>
      </c>
      <c r="J275" s="48">
        <v>56</v>
      </c>
      <c r="K275" s="185">
        <f t="shared" si="111"/>
        <v>56</v>
      </c>
      <c r="L275" s="72">
        <v>1</v>
      </c>
      <c r="M275" s="72">
        <v>0</v>
      </c>
      <c r="N275" s="185">
        <f>$P275*$M275</f>
        <v>0</v>
      </c>
      <c r="O275" s="185">
        <f t="shared" si="139"/>
        <v>0</v>
      </c>
      <c r="P275" s="185">
        <f>$J275/(100%+$M275)</f>
        <v>56</v>
      </c>
      <c r="Q275" s="185">
        <f t="shared" si="115"/>
        <v>56</v>
      </c>
      <c r="R275" s="192">
        <f t="shared" si="119"/>
        <v>45976</v>
      </c>
      <c r="S275">
        <v>20</v>
      </c>
      <c r="T275" s="183">
        <f t="shared" si="140"/>
        <v>56</v>
      </c>
      <c r="U275" s="195">
        <f t="shared" si="131"/>
        <v>11.200000000000001</v>
      </c>
    </row>
    <row r="276" spans="1:21" x14ac:dyDescent="0.25">
      <c r="A276" s="191">
        <v>2025</v>
      </c>
      <c r="B276" s="189">
        <v>98</v>
      </c>
      <c r="C276" s="71" t="s">
        <v>105</v>
      </c>
      <c r="D276" t="s">
        <v>703</v>
      </c>
      <c r="E276" s="1">
        <v>45915</v>
      </c>
      <c r="F276" t="s">
        <v>1781</v>
      </c>
      <c r="I276" t="b">
        <v>0</v>
      </c>
      <c r="J276" s="48">
        <v>58.89</v>
      </c>
      <c r="K276" s="185">
        <f t="shared" si="111"/>
        <v>39.456300000000006</v>
      </c>
      <c r="L276" s="72">
        <v>0.67</v>
      </c>
      <c r="M276" s="72" t="s">
        <v>14</v>
      </c>
      <c r="N276" s="185">
        <f>1.38+7.29</f>
        <v>8.67</v>
      </c>
      <c r="O276" s="185">
        <f t="shared" si="139"/>
        <v>5.8089000000000004</v>
      </c>
      <c r="P276" s="185">
        <v>50.22</v>
      </c>
      <c r="Q276" s="185">
        <f t="shared" si="115"/>
        <v>33.647400000000005</v>
      </c>
      <c r="R276" s="192">
        <f t="shared" si="119"/>
        <v>45976</v>
      </c>
      <c r="T276" s="183">
        <f t="shared" si="140"/>
        <v>33.647400000000005</v>
      </c>
      <c r="U276" s="195">
        <f t="shared" si="131"/>
        <v>0</v>
      </c>
    </row>
    <row r="277" spans="1:21" x14ac:dyDescent="0.25">
      <c r="A277" s="191">
        <v>2025</v>
      </c>
      <c r="B277" s="189">
        <v>99</v>
      </c>
      <c r="C277" s="71" t="s">
        <v>105</v>
      </c>
      <c r="D277" t="s">
        <v>705</v>
      </c>
      <c r="E277" s="1">
        <v>45915</v>
      </c>
      <c r="F277" t="s">
        <v>1787</v>
      </c>
      <c r="I277" t="b">
        <v>0</v>
      </c>
      <c r="J277" s="48">
        <v>124</v>
      </c>
      <c r="K277" s="185">
        <f t="shared" si="111"/>
        <v>124</v>
      </c>
      <c r="L277" s="72">
        <v>1</v>
      </c>
      <c r="M277" s="72">
        <v>0</v>
      </c>
      <c r="N277" s="185">
        <f t="shared" ref="N277" si="141">$P277*$M277</f>
        <v>0</v>
      </c>
      <c r="O277" s="185">
        <f t="shared" si="139"/>
        <v>0</v>
      </c>
      <c r="P277" s="185">
        <f t="shared" ref="P277" si="142">$J277/(100%+$M277)</f>
        <v>124</v>
      </c>
      <c r="Q277" s="185">
        <f t="shared" si="115"/>
        <v>124</v>
      </c>
      <c r="R277" s="192">
        <f t="shared" si="119"/>
        <v>45976</v>
      </c>
      <c r="T277" s="183">
        <f t="shared" si="140"/>
        <v>124</v>
      </c>
      <c r="U277" s="195">
        <f t="shared" si="131"/>
        <v>0</v>
      </c>
    </row>
    <row r="278" spans="1:21" x14ac:dyDescent="0.25">
      <c r="A278" s="191">
        <v>2025</v>
      </c>
      <c r="B278" s="189">
        <v>100</v>
      </c>
      <c r="C278" s="71" t="s">
        <v>105</v>
      </c>
      <c r="D278" t="s">
        <v>705</v>
      </c>
      <c r="E278" s="1">
        <v>45916</v>
      </c>
      <c r="F278" t="s">
        <v>1783</v>
      </c>
      <c r="I278" t="b">
        <v>0</v>
      </c>
      <c r="J278" s="48">
        <v>19.66</v>
      </c>
      <c r="K278" s="185">
        <f t="shared" si="111"/>
        <v>19.66</v>
      </c>
      <c r="L278" s="72">
        <v>1</v>
      </c>
      <c r="M278" s="72">
        <v>0</v>
      </c>
      <c r="N278" s="185">
        <f>$P278*$M278</f>
        <v>0</v>
      </c>
      <c r="O278" s="185">
        <f t="shared" si="139"/>
        <v>0</v>
      </c>
      <c r="P278" s="185">
        <f>$J278/(100%+$M278)</f>
        <v>19.66</v>
      </c>
      <c r="Q278" s="185">
        <f t="shared" si="115"/>
        <v>19.66</v>
      </c>
      <c r="R278" s="192">
        <f t="shared" si="119"/>
        <v>45976</v>
      </c>
      <c r="S278">
        <v>20</v>
      </c>
      <c r="T278" s="183">
        <f t="shared" si="140"/>
        <v>19.66</v>
      </c>
      <c r="U278" s="195">
        <f t="shared" si="131"/>
        <v>3.9320000000000004</v>
      </c>
    </row>
    <row r="279" spans="1:21" x14ac:dyDescent="0.25">
      <c r="A279" s="191">
        <v>2025</v>
      </c>
      <c r="B279" s="189">
        <v>101</v>
      </c>
      <c r="C279" s="71" t="s">
        <v>105</v>
      </c>
      <c r="D279" t="s">
        <v>705</v>
      </c>
      <c r="E279" s="1">
        <v>45916</v>
      </c>
      <c r="F279" t="s">
        <v>979</v>
      </c>
      <c r="I279" t="b">
        <v>0</v>
      </c>
      <c r="J279" s="48">
        <v>19.510000000000002</v>
      </c>
      <c r="K279" s="185">
        <f t="shared" si="111"/>
        <v>19.510000000000002</v>
      </c>
      <c r="L279" s="72">
        <v>1</v>
      </c>
      <c r="M279" s="72">
        <v>0.2</v>
      </c>
      <c r="N279" s="185">
        <f t="shared" ref="N279:N280" si="143">$P279*$M279</f>
        <v>3.2516666666666674</v>
      </c>
      <c r="O279" s="185">
        <f t="shared" si="139"/>
        <v>3.2516666666666674</v>
      </c>
      <c r="P279" s="185">
        <f>$J279/(100%+$M279)</f>
        <v>16.258333333333336</v>
      </c>
      <c r="Q279" s="185">
        <f t="shared" si="115"/>
        <v>16.258333333333336</v>
      </c>
      <c r="R279" s="192">
        <f t="shared" si="119"/>
        <v>45976</v>
      </c>
      <c r="T279" s="183">
        <f t="shared" si="140"/>
        <v>16.258333333333336</v>
      </c>
      <c r="U279" s="195">
        <f t="shared" si="131"/>
        <v>0</v>
      </c>
    </row>
    <row r="280" spans="1:21" x14ac:dyDescent="0.25">
      <c r="A280" s="191">
        <v>2025</v>
      </c>
      <c r="B280" s="189">
        <v>102</v>
      </c>
      <c r="C280" s="71" t="s">
        <v>105</v>
      </c>
      <c r="D280" t="s">
        <v>339</v>
      </c>
      <c r="E280" s="1">
        <v>45916</v>
      </c>
      <c r="F280" t="s">
        <v>979</v>
      </c>
      <c r="I280" t="b">
        <v>0</v>
      </c>
      <c r="J280" s="48">
        <v>15.58</v>
      </c>
      <c r="K280" s="185">
        <f t="shared" si="111"/>
        <v>15.58</v>
      </c>
      <c r="L280" s="72">
        <v>1</v>
      </c>
      <c r="M280" s="72">
        <v>0.2</v>
      </c>
      <c r="N280" s="185">
        <f t="shared" si="143"/>
        <v>2.5966666666666671</v>
      </c>
      <c r="O280" s="185">
        <f t="shared" ref="O280:O282" si="144">L280*$N280</f>
        <v>2.5966666666666671</v>
      </c>
      <c r="P280" s="185">
        <f>$J280/(100%+$M280)</f>
        <v>12.983333333333334</v>
      </c>
      <c r="Q280" s="185">
        <f t="shared" si="115"/>
        <v>12.983333333333334</v>
      </c>
      <c r="R280" s="192">
        <f t="shared" si="119"/>
        <v>45976</v>
      </c>
      <c r="T280" s="183">
        <f t="shared" ref="T280:T282" si="145">IF(G280=TRUE,Q280/F280,Q280)</f>
        <v>12.983333333333334</v>
      </c>
      <c r="U280" s="195">
        <f t="shared" si="131"/>
        <v>0</v>
      </c>
    </row>
    <row r="281" spans="1:21" x14ac:dyDescent="0.25">
      <c r="A281" s="191">
        <v>2025</v>
      </c>
      <c r="B281" s="189">
        <v>103</v>
      </c>
      <c r="C281" s="71" t="s">
        <v>105</v>
      </c>
      <c r="D281" t="s">
        <v>705</v>
      </c>
      <c r="E281" s="1">
        <v>45922</v>
      </c>
      <c r="F281" t="s">
        <v>1032</v>
      </c>
      <c r="I281" t="b">
        <v>0</v>
      </c>
      <c r="J281" s="48">
        <v>11.7</v>
      </c>
      <c r="K281" s="185">
        <f t="shared" si="111"/>
        <v>11.7</v>
      </c>
      <c r="L281" s="72">
        <v>1</v>
      </c>
      <c r="M281" s="72">
        <v>0</v>
      </c>
      <c r="N281" s="185">
        <f>$P281*$M281</f>
        <v>0</v>
      </c>
      <c r="O281" s="185">
        <f t="shared" si="144"/>
        <v>0</v>
      </c>
      <c r="P281" s="185">
        <f>$J281/(100%+$M281)</f>
        <v>11.7</v>
      </c>
      <c r="Q281" s="185">
        <f>$L281*$P281</f>
        <v>11.7</v>
      </c>
      <c r="R281" s="192">
        <f t="shared" si="119"/>
        <v>45976</v>
      </c>
      <c r="S281">
        <v>20</v>
      </c>
      <c r="T281" s="183">
        <f t="shared" si="145"/>
        <v>11.7</v>
      </c>
      <c r="U281" s="195">
        <f t="shared" si="131"/>
        <v>2.34</v>
      </c>
    </row>
    <row r="282" spans="1:21" x14ac:dyDescent="0.25">
      <c r="A282" s="191">
        <v>2025</v>
      </c>
      <c r="B282" s="189">
        <v>104</v>
      </c>
      <c r="C282" s="71" t="s">
        <v>105</v>
      </c>
      <c r="D282" t="s">
        <v>705</v>
      </c>
      <c r="E282" s="1">
        <v>45925</v>
      </c>
      <c r="F282" t="s">
        <v>1794</v>
      </c>
      <c r="I282" t="b">
        <v>0</v>
      </c>
      <c r="J282" s="48">
        <v>20.78</v>
      </c>
      <c r="K282" s="185">
        <f t="shared" si="111"/>
        <v>20.78</v>
      </c>
      <c r="L282" s="72">
        <v>1</v>
      </c>
      <c r="M282" s="72">
        <v>0.2</v>
      </c>
      <c r="N282" s="185">
        <f t="shared" ref="N282:N284" si="146">$P282*$M282</f>
        <v>3.41</v>
      </c>
      <c r="O282" s="185">
        <f t="shared" si="144"/>
        <v>3.41</v>
      </c>
      <c r="P282" s="185">
        <f>($J282-0.32)/(100%+$M282)</f>
        <v>17.05</v>
      </c>
      <c r="Q282" s="185">
        <f t="shared" si="115"/>
        <v>17.05</v>
      </c>
      <c r="R282" s="192">
        <f t="shared" ref="R282:R313" si="147">voranmeldefrist_vierteljaehrlich(E282)</f>
        <v>45976</v>
      </c>
      <c r="T282" s="183">
        <f t="shared" si="145"/>
        <v>17.05</v>
      </c>
      <c r="U282" s="195">
        <f t="shared" si="131"/>
        <v>0</v>
      </c>
    </row>
    <row r="283" spans="1:21" x14ac:dyDescent="0.25">
      <c r="A283" s="191">
        <v>2025</v>
      </c>
      <c r="B283" s="189">
        <v>105</v>
      </c>
      <c r="C283" s="71" t="s">
        <v>105</v>
      </c>
      <c r="D283" t="s">
        <v>705</v>
      </c>
      <c r="E283" s="1">
        <v>45926</v>
      </c>
      <c r="F283" t="s">
        <v>1851</v>
      </c>
      <c r="I283" t="b">
        <v>0</v>
      </c>
      <c r="J283" s="48">
        <v>36.29</v>
      </c>
      <c r="K283" s="185">
        <f t="shared" si="111"/>
        <v>36.29</v>
      </c>
      <c r="L283" s="72">
        <v>1</v>
      </c>
      <c r="M283" s="72">
        <v>0.2</v>
      </c>
      <c r="N283" s="185">
        <f t="shared" si="146"/>
        <v>6.0483333333333338</v>
      </c>
      <c r="O283" s="185">
        <f t="shared" ref="O283:O294" si="148">L283*$N283</f>
        <v>6.0483333333333338</v>
      </c>
      <c r="P283" s="185">
        <f>$J283/(100%+$M283)</f>
        <v>30.241666666666667</v>
      </c>
      <c r="Q283" s="185">
        <f t="shared" si="115"/>
        <v>30.241666666666667</v>
      </c>
      <c r="R283" s="192">
        <f t="shared" si="147"/>
        <v>45976</v>
      </c>
      <c r="T283" s="183">
        <f t="shared" ref="T283:T294" si="149">IF(G283=TRUE,Q283/F283,Q283)</f>
        <v>30.241666666666667</v>
      </c>
      <c r="U283" s="195">
        <f t="shared" si="131"/>
        <v>0</v>
      </c>
    </row>
    <row r="284" spans="1:21" x14ac:dyDescent="0.25">
      <c r="A284" s="191">
        <v>2025</v>
      </c>
      <c r="B284" s="189">
        <v>106</v>
      </c>
      <c r="C284" s="71" t="s">
        <v>105</v>
      </c>
      <c r="D284" t="s">
        <v>703</v>
      </c>
      <c r="E284" s="1">
        <v>45932</v>
      </c>
      <c r="F284" t="s">
        <v>34</v>
      </c>
      <c r="I284" t="b">
        <v>0</v>
      </c>
      <c r="J284" s="48">
        <v>13.91</v>
      </c>
      <c r="K284" s="185">
        <f t="shared" si="111"/>
        <v>13.91</v>
      </c>
      <c r="L284" s="72">
        <v>1</v>
      </c>
      <c r="M284" s="72">
        <v>0.2</v>
      </c>
      <c r="N284" s="185">
        <f t="shared" si="146"/>
        <v>2.3183333333333334</v>
      </c>
      <c r="O284" s="185">
        <f t="shared" si="148"/>
        <v>2.3183333333333334</v>
      </c>
      <c r="P284" s="185">
        <f t="shared" ref="P284" si="150">$J284/(100%+$M284)</f>
        <v>11.591666666666667</v>
      </c>
      <c r="Q284" s="185">
        <f t="shared" si="115"/>
        <v>11.591666666666667</v>
      </c>
      <c r="R284" s="192">
        <f t="shared" si="147"/>
        <v>46068</v>
      </c>
      <c r="T284" s="183">
        <f t="shared" si="149"/>
        <v>11.591666666666667</v>
      </c>
      <c r="U284" s="195">
        <f t="shared" si="131"/>
        <v>0</v>
      </c>
    </row>
    <row r="285" spans="1:21" x14ac:dyDescent="0.25">
      <c r="A285" s="191">
        <v>2025</v>
      </c>
      <c r="B285" s="189">
        <v>107</v>
      </c>
      <c r="C285" s="71" t="s">
        <v>105</v>
      </c>
      <c r="D285" t="s">
        <v>705</v>
      </c>
      <c r="E285" s="1">
        <v>45933</v>
      </c>
      <c r="F285" t="s">
        <v>1840</v>
      </c>
      <c r="I285" t="b">
        <v>0</v>
      </c>
      <c r="J285" s="48">
        <v>16.2</v>
      </c>
      <c r="K285" s="185">
        <f t="shared" si="111"/>
        <v>16.2</v>
      </c>
      <c r="L285" s="72">
        <v>1</v>
      </c>
      <c r="M285" s="72">
        <v>0</v>
      </c>
      <c r="N285" s="185">
        <f>$P285*$M285</f>
        <v>0</v>
      </c>
      <c r="O285" s="185">
        <f t="shared" si="148"/>
        <v>0</v>
      </c>
      <c r="P285" s="185">
        <f>$J285/(100%+$M285)</f>
        <v>16.2</v>
      </c>
      <c r="Q285" s="185">
        <f t="shared" si="115"/>
        <v>16.2</v>
      </c>
      <c r="R285" s="192">
        <f t="shared" si="147"/>
        <v>46068</v>
      </c>
      <c r="S285">
        <v>20</v>
      </c>
      <c r="T285" s="183">
        <f t="shared" si="149"/>
        <v>16.2</v>
      </c>
      <c r="U285" s="195">
        <f t="shared" si="131"/>
        <v>3.24</v>
      </c>
    </row>
    <row r="286" spans="1:21" x14ac:dyDescent="0.25">
      <c r="A286" s="191">
        <v>2025</v>
      </c>
      <c r="B286" s="189">
        <v>108</v>
      </c>
      <c r="C286" s="71" t="s">
        <v>105</v>
      </c>
      <c r="D286" t="s">
        <v>705</v>
      </c>
      <c r="E286" s="1">
        <v>45937</v>
      </c>
      <c r="F286" t="s">
        <v>1820</v>
      </c>
      <c r="I286" t="b">
        <v>0</v>
      </c>
      <c r="J286" s="48">
        <v>1488</v>
      </c>
      <c r="K286" s="185">
        <f t="shared" si="111"/>
        <v>1488</v>
      </c>
      <c r="L286" s="72">
        <v>1</v>
      </c>
      <c r="M286" s="72">
        <v>0.2</v>
      </c>
      <c r="N286" s="185">
        <f t="shared" ref="N286" si="151">$P286*$M286</f>
        <v>248</v>
      </c>
      <c r="O286" s="185">
        <f t="shared" si="148"/>
        <v>248</v>
      </c>
      <c r="P286" s="185">
        <f t="shared" ref="P286" si="152">$J286/(100%+$M286)</f>
        <v>1240</v>
      </c>
      <c r="Q286" s="185">
        <f t="shared" si="115"/>
        <v>1240</v>
      </c>
      <c r="R286" s="192">
        <f t="shared" si="147"/>
        <v>46068</v>
      </c>
      <c r="T286" s="183">
        <f t="shared" si="149"/>
        <v>1240</v>
      </c>
      <c r="U286" s="195">
        <f t="shared" si="131"/>
        <v>0</v>
      </c>
    </row>
    <row r="287" spans="1:21" x14ac:dyDescent="0.25">
      <c r="A287" s="191">
        <v>2025</v>
      </c>
      <c r="B287" s="189">
        <v>109</v>
      </c>
      <c r="C287" s="71" t="s">
        <v>105</v>
      </c>
      <c r="D287" t="s">
        <v>705</v>
      </c>
      <c r="E287" s="1">
        <v>45943</v>
      </c>
      <c r="F287" t="s">
        <v>1783</v>
      </c>
      <c r="I287" t="b">
        <v>0</v>
      </c>
      <c r="J287" s="48">
        <v>56</v>
      </c>
      <c r="K287" s="185">
        <f t="shared" si="111"/>
        <v>56</v>
      </c>
      <c r="L287" s="72">
        <v>1</v>
      </c>
      <c r="M287" s="72">
        <v>0</v>
      </c>
      <c r="N287" s="185">
        <f>$P287*$M287</f>
        <v>0</v>
      </c>
      <c r="O287" s="185">
        <f t="shared" si="148"/>
        <v>0</v>
      </c>
      <c r="P287" s="185">
        <f>$J287/(100%+$M287)</f>
        <v>56</v>
      </c>
      <c r="Q287" s="185">
        <f t="shared" si="115"/>
        <v>56</v>
      </c>
      <c r="R287" s="192">
        <f t="shared" si="147"/>
        <v>46068</v>
      </c>
      <c r="S287">
        <v>20</v>
      </c>
      <c r="T287" s="183">
        <f t="shared" si="149"/>
        <v>56</v>
      </c>
      <c r="U287" s="195">
        <f t="shared" si="131"/>
        <v>11.200000000000001</v>
      </c>
    </row>
    <row r="288" spans="1:21" x14ac:dyDescent="0.25">
      <c r="A288" s="191">
        <v>2025</v>
      </c>
      <c r="B288" s="189">
        <v>110</v>
      </c>
      <c r="C288" s="71" t="s">
        <v>708</v>
      </c>
      <c r="D288" t="s">
        <v>709</v>
      </c>
      <c r="E288" s="1">
        <v>45944</v>
      </c>
      <c r="F288" t="s">
        <v>1788</v>
      </c>
      <c r="I288" t="b">
        <v>0</v>
      </c>
      <c r="J288" s="48">
        <v>12360</v>
      </c>
      <c r="K288" s="185">
        <f t="shared" si="111"/>
        <v>12360</v>
      </c>
      <c r="L288" s="72">
        <v>1</v>
      </c>
      <c r="M288" s="72">
        <v>0.2</v>
      </c>
      <c r="N288" s="185">
        <f>$P288*$M288</f>
        <v>2060</v>
      </c>
      <c r="O288" s="185">
        <f t="shared" si="148"/>
        <v>2060</v>
      </c>
      <c r="P288" s="185">
        <f>$J288/(100%+$M288)</f>
        <v>10300</v>
      </c>
      <c r="Q288" s="185">
        <f t="shared" si="115"/>
        <v>10300</v>
      </c>
      <c r="R288" s="192">
        <f t="shared" si="147"/>
        <v>46068</v>
      </c>
      <c r="T288" s="183">
        <f t="shared" si="149"/>
        <v>10300</v>
      </c>
      <c r="U288" s="195">
        <f t="shared" si="131"/>
        <v>0</v>
      </c>
    </row>
    <row r="289" spans="1:21" x14ac:dyDescent="0.25">
      <c r="A289" s="191">
        <v>2025</v>
      </c>
      <c r="B289" s="189">
        <v>111</v>
      </c>
      <c r="C289" s="71" t="s">
        <v>105</v>
      </c>
      <c r="D289" t="s">
        <v>703</v>
      </c>
      <c r="E289" s="1">
        <v>45945</v>
      </c>
      <c r="F289" t="s">
        <v>1781</v>
      </c>
      <c r="I289" t="b">
        <v>0</v>
      </c>
      <c r="J289" s="48">
        <v>58.89</v>
      </c>
      <c r="K289" s="185">
        <f t="shared" si="111"/>
        <v>39.456300000000006</v>
      </c>
      <c r="L289" s="72">
        <v>0.67</v>
      </c>
      <c r="M289" s="72" t="s">
        <v>14</v>
      </c>
      <c r="N289" s="185">
        <f>1.38+7.29</f>
        <v>8.67</v>
      </c>
      <c r="O289" s="185">
        <f t="shared" si="148"/>
        <v>5.8089000000000004</v>
      </c>
      <c r="P289" s="185">
        <v>50.22</v>
      </c>
      <c r="Q289" s="185">
        <f t="shared" si="115"/>
        <v>33.647400000000005</v>
      </c>
      <c r="R289" s="192">
        <f t="shared" si="147"/>
        <v>46068</v>
      </c>
      <c r="T289" s="183">
        <f t="shared" si="149"/>
        <v>33.647400000000005</v>
      </c>
      <c r="U289" s="195">
        <f t="shared" si="131"/>
        <v>0</v>
      </c>
    </row>
    <row r="290" spans="1:21" x14ac:dyDescent="0.25">
      <c r="A290" s="191">
        <v>2025</v>
      </c>
      <c r="B290" s="189">
        <v>112</v>
      </c>
      <c r="C290" s="71" t="s">
        <v>105</v>
      </c>
      <c r="D290" t="s">
        <v>705</v>
      </c>
      <c r="E290" s="1">
        <v>45946</v>
      </c>
      <c r="F290" t="s">
        <v>1783</v>
      </c>
      <c r="I290" t="b">
        <v>0</v>
      </c>
      <c r="J290" s="48">
        <v>9.16</v>
      </c>
      <c r="K290" s="185">
        <f t="shared" si="111"/>
        <v>9.16</v>
      </c>
      <c r="L290" s="72">
        <v>1</v>
      </c>
      <c r="M290" s="72">
        <v>0</v>
      </c>
      <c r="N290" s="185">
        <f>$P290*$M290</f>
        <v>0</v>
      </c>
      <c r="O290" s="185">
        <f t="shared" si="148"/>
        <v>0</v>
      </c>
      <c r="P290" s="185">
        <f>$J290/(100%+$M290)</f>
        <v>9.16</v>
      </c>
      <c r="Q290" s="185">
        <f t="shared" si="115"/>
        <v>9.16</v>
      </c>
      <c r="R290" s="192">
        <f t="shared" si="147"/>
        <v>46068</v>
      </c>
      <c r="S290">
        <v>20</v>
      </c>
      <c r="T290" s="183">
        <f t="shared" si="149"/>
        <v>9.16</v>
      </c>
      <c r="U290" s="195">
        <f t="shared" si="131"/>
        <v>1.8320000000000001</v>
      </c>
    </row>
    <row r="291" spans="1:21" x14ac:dyDescent="0.25">
      <c r="A291" s="191">
        <v>2025</v>
      </c>
      <c r="B291" s="189">
        <v>113</v>
      </c>
      <c r="C291" s="71" t="s">
        <v>105</v>
      </c>
      <c r="D291" t="s">
        <v>705</v>
      </c>
      <c r="E291" s="1">
        <v>45951</v>
      </c>
      <c r="F291" t="s">
        <v>1032</v>
      </c>
      <c r="I291" t="b">
        <v>0</v>
      </c>
      <c r="J291" s="48">
        <v>11.7</v>
      </c>
      <c r="K291" s="185">
        <f t="shared" si="111"/>
        <v>11.7</v>
      </c>
      <c r="L291" s="72">
        <v>1</v>
      </c>
      <c r="M291" s="72">
        <v>0</v>
      </c>
      <c r="N291" s="185">
        <f>$P291*$M291</f>
        <v>0</v>
      </c>
      <c r="O291" s="185">
        <f t="shared" si="148"/>
        <v>0</v>
      </c>
      <c r="P291" s="185">
        <f>$J291/(100%+$M291)</f>
        <v>11.7</v>
      </c>
      <c r="Q291" s="185">
        <f>$L291*$P291</f>
        <v>11.7</v>
      </c>
      <c r="R291" s="192">
        <f t="shared" si="147"/>
        <v>46068</v>
      </c>
      <c r="S291">
        <v>20</v>
      </c>
      <c r="T291" s="183">
        <f t="shared" si="149"/>
        <v>11.7</v>
      </c>
      <c r="U291" s="195">
        <f t="shared" si="131"/>
        <v>2.34</v>
      </c>
    </row>
    <row r="292" spans="1:21" x14ac:dyDescent="0.25">
      <c r="A292" s="191">
        <v>2025</v>
      </c>
      <c r="B292" s="189">
        <v>114</v>
      </c>
      <c r="C292" s="71" t="s">
        <v>105</v>
      </c>
      <c r="D292" t="s">
        <v>705</v>
      </c>
      <c r="E292" s="1">
        <v>45957</v>
      </c>
      <c r="F292" t="s">
        <v>1794</v>
      </c>
      <c r="I292" t="b">
        <v>0</v>
      </c>
      <c r="J292" s="48">
        <v>21.04</v>
      </c>
      <c r="K292" s="185">
        <f t="shared" si="111"/>
        <v>21.04</v>
      </c>
      <c r="L292" s="72">
        <v>1</v>
      </c>
      <c r="M292" s="72">
        <v>0.2</v>
      </c>
      <c r="N292" s="185">
        <f t="shared" ref="N292:N293" si="153">$P292*$M292</f>
        <v>3.4533333333333331</v>
      </c>
      <c r="O292" s="185">
        <f t="shared" si="148"/>
        <v>3.4533333333333331</v>
      </c>
      <c r="P292" s="185">
        <f>($J292-0.32)/(100%+$M292)</f>
        <v>17.266666666666666</v>
      </c>
      <c r="Q292" s="185">
        <f t="shared" si="115"/>
        <v>17.266666666666666</v>
      </c>
      <c r="R292" s="192">
        <f t="shared" si="147"/>
        <v>46068</v>
      </c>
      <c r="T292" s="183">
        <f t="shared" si="149"/>
        <v>17.266666666666666</v>
      </c>
      <c r="U292" s="195">
        <f t="shared" si="131"/>
        <v>0</v>
      </c>
    </row>
    <row r="293" spans="1:21" x14ac:dyDescent="0.25">
      <c r="A293" s="191">
        <v>2025</v>
      </c>
      <c r="B293" s="189">
        <v>115</v>
      </c>
      <c r="C293" s="71" t="s">
        <v>105</v>
      </c>
      <c r="D293" t="s">
        <v>692</v>
      </c>
      <c r="E293" s="1">
        <v>45957</v>
      </c>
      <c r="F293" t="s">
        <v>1817</v>
      </c>
      <c r="I293" t="b">
        <v>0</v>
      </c>
      <c r="J293" s="48">
        <v>20.28</v>
      </c>
      <c r="K293" s="185">
        <f t="shared" si="111"/>
        <v>20.28</v>
      </c>
      <c r="L293" s="72">
        <v>1</v>
      </c>
      <c r="M293" s="72">
        <v>0</v>
      </c>
      <c r="N293" s="185">
        <f t="shared" si="153"/>
        <v>0</v>
      </c>
      <c r="O293" s="185">
        <f t="shared" si="148"/>
        <v>0</v>
      </c>
      <c r="P293" s="185">
        <f>$J293/(100%+$M293)</f>
        <v>20.28</v>
      </c>
      <c r="Q293" s="185">
        <f t="shared" si="115"/>
        <v>20.28</v>
      </c>
      <c r="R293" s="192">
        <f t="shared" si="147"/>
        <v>46068</v>
      </c>
      <c r="S293">
        <v>20</v>
      </c>
      <c r="T293" s="183">
        <f t="shared" si="149"/>
        <v>20.28</v>
      </c>
      <c r="U293" s="195">
        <f t="shared" si="131"/>
        <v>4.056</v>
      </c>
    </row>
    <row r="294" spans="1:21" x14ac:dyDescent="0.25">
      <c r="A294" s="191">
        <v>2025</v>
      </c>
      <c r="B294" s="189">
        <v>116</v>
      </c>
      <c r="C294" s="71" t="s">
        <v>105</v>
      </c>
      <c r="D294" t="s">
        <v>705</v>
      </c>
      <c r="E294" s="1">
        <v>45960</v>
      </c>
      <c r="F294" t="s">
        <v>1786</v>
      </c>
      <c r="I294" t="b">
        <v>0</v>
      </c>
      <c r="J294" s="48">
        <v>234.72</v>
      </c>
      <c r="K294" s="185">
        <f t="shared" si="111"/>
        <v>21.63044877864041</v>
      </c>
      <c r="L294" s="72">
        <f>14.6/158.43</f>
        <v>9.2154263712680679E-2</v>
      </c>
      <c r="M294" s="72" t="s">
        <v>14</v>
      </c>
      <c r="N294" s="185">
        <v>20.99</v>
      </c>
      <c r="O294" s="185">
        <f t="shared" si="148"/>
        <v>1.9343179953291674</v>
      </c>
      <c r="P294" s="185">
        <v>213.72</v>
      </c>
      <c r="Q294" s="185">
        <f t="shared" si="115"/>
        <v>19.695209240674114</v>
      </c>
      <c r="R294" s="192">
        <f t="shared" si="147"/>
        <v>46068</v>
      </c>
      <c r="T294" s="183">
        <f t="shared" si="149"/>
        <v>19.695209240674114</v>
      </c>
      <c r="U294" s="195">
        <f t="shared" si="131"/>
        <v>0</v>
      </c>
    </row>
    <row r="295" spans="1:21" x14ac:dyDescent="0.25">
      <c r="A295" s="191">
        <v>2025</v>
      </c>
      <c r="B295" s="189">
        <v>117</v>
      </c>
      <c r="C295" s="71" t="s">
        <v>105</v>
      </c>
      <c r="D295" t="s">
        <v>705</v>
      </c>
      <c r="E295" s="1">
        <v>45961</v>
      </c>
      <c r="F295" s="3" t="s">
        <v>1852</v>
      </c>
      <c r="I295" t="b">
        <v>1</v>
      </c>
      <c r="J295" s="48">
        <v>4575</v>
      </c>
      <c r="K295" s="185">
        <f t="shared" si="111"/>
        <v>4575</v>
      </c>
      <c r="L295" s="72">
        <v>1</v>
      </c>
      <c r="M295" s="72">
        <v>0.2</v>
      </c>
      <c r="N295" s="185">
        <f t="shared" ref="N295:N296" si="154">$P295*$M295</f>
        <v>762.5</v>
      </c>
      <c r="O295" s="185">
        <f t="shared" ref="O295:O306" si="155">L295*$N295</f>
        <v>762.5</v>
      </c>
      <c r="P295" s="185">
        <f t="shared" ref="P295:P296" si="156">$J295/(100%+$M295)</f>
        <v>3812.5</v>
      </c>
      <c r="Q295" s="185">
        <f t="shared" si="115"/>
        <v>3812.5</v>
      </c>
      <c r="R295" s="192">
        <f t="shared" si="147"/>
        <v>46068</v>
      </c>
      <c r="T295" s="183">
        <f t="shared" ref="T295:T306" si="157">IF(G295=TRUE,Q295/F295,Q295)</f>
        <v>3812.5</v>
      </c>
      <c r="U295" s="195">
        <f t="shared" si="131"/>
        <v>0</v>
      </c>
    </row>
    <row r="296" spans="1:21" x14ac:dyDescent="0.25">
      <c r="A296" s="191">
        <v>2025</v>
      </c>
      <c r="B296" s="189">
        <v>118</v>
      </c>
      <c r="C296" s="71" t="s">
        <v>105</v>
      </c>
      <c r="D296" t="s">
        <v>692</v>
      </c>
      <c r="E296" s="1">
        <v>45964</v>
      </c>
      <c r="F296" t="s">
        <v>1813</v>
      </c>
      <c r="I296" t="b">
        <v>0</v>
      </c>
      <c r="J296" s="48">
        <v>123</v>
      </c>
      <c r="K296" s="185">
        <f t="shared" si="111"/>
        <v>123</v>
      </c>
      <c r="L296" s="72">
        <v>1</v>
      </c>
      <c r="M296" s="72">
        <v>0</v>
      </c>
      <c r="N296" s="185">
        <f t="shared" si="154"/>
        <v>0</v>
      </c>
      <c r="O296" s="185">
        <f t="shared" si="155"/>
        <v>0</v>
      </c>
      <c r="P296" s="185">
        <f t="shared" si="156"/>
        <v>123</v>
      </c>
      <c r="Q296" s="185">
        <f t="shared" si="115"/>
        <v>123</v>
      </c>
      <c r="R296" s="192">
        <f t="shared" si="147"/>
        <v>46068</v>
      </c>
      <c r="S296">
        <v>20</v>
      </c>
      <c r="T296" s="183">
        <f t="shared" si="157"/>
        <v>123</v>
      </c>
      <c r="U296" s="195">
        <f t="shared" si="131"/>
        <v>24.6</v>
      </c>
    </row>
    <row r="297" spans="1:21" x14ac:dyDescent="0.25">
      <c r="A297" s="191">
        <v>2025</v>
      </c>
      <c r="B297" s="189">
        <v>119</v>
      </c>
      <c r="C297" s="71" t="s">
        <v>105</v>
      </c>
      <c r="D297" t="s">
        <v>705</v>
      </c>
      <c r="E297" s="1">
        <v>45964</v>
      </c>
      <c r="F297" t="s">
        <v>1840</v>
      </c>
      <c r="I297" t="b">
        <v>0</v>
      </c>
      <c r="J297" s="48">
        <v>16.2</v>
      </c>
      <c r="K297" s="185">
        <f t="shared" si="111"/>
        <v>16.2</v>
      </c>
      <c r="L297" s="72">
        <v>1</v>
      </c>
      <c r="M297" s="72">
        <v>0</v>
      </c>
      <c r="N297" s="185">
        <f>$P297*$M297</f>
        <v>0</v>
      </c>
      <c r="O297" s="185">
        <f t="shared" si="155"/>
        <v>0</v>
      </c>
      <c r="P297" s="185">
        <f>$J297/(100%+$M297)</f>
        <v>16.2</v>
      </c>
      <c r="Q297" s="185">
        <f t="shared" si="115"/>
        <v>16.2</v>
      </c>
      <c r="R297" s="192">
        <f t="shared" si="147"/>
        <v>46068</v>
      </c>
      <c r="S297">
        <v>20</v>
      </c>
      <c r="T297" s="183">
        <f t="shared" si="157"/>
        <v>16.2</v>
      </c>
      <c r="U297" s="195">
        <f t="shared" si="131"/>
        <v>3.24</v>
      </c>
    </row>
    <row r="298" spans="1:21" x14ac:dyDescent="0.25">
      <c r="A298" s="191">
        <v>2025</v>
      </c>
      <c r="B298" s="189">
        <v>120</v>
      </c>
      <c r="C298" s="71" t="s">
        <v>105</v>
      </c>
      <c r="D298" t="s">
        <v>703</v>
      </c>
      <c r="E298" s="1">
        <v>45965</v>
      </c>
      <c r="F298" t="s">
        <v>34</v>
      </c>
      <c r="I298" t="b">
        <v>0</v>
      </c>
      <c r="J298" s="48">
        <v>13.91</v>
      </c>
      <c r="K298" s="185">
        <f t="shared" si="111"/>
        <v>13.91</v>
      </c>
      <c r="L298" s="72">
        <v>1</v>
      </c>
      <c r="M298" s="72">
        <v>0.2</v>
      </c>
      <c r="N298" s="185">
        <f t="shared" ref="N298:N299" si="158">$P298*$M298</f>
        <v>2.3183333333333334</v>
      </c>
      <c r="O298" s="185">
        <f t="shared" si="155"/>
        <v>2.3183333333333334</v>
      </c>
      <c r="P298" s="185">
        <f t="shared" ref="P298" si="159">$J298/(100%+$M298)</f>
        <v>11.591666666666667</v>
      </c>
      <c r="Q298" s="185">
        <f t="shared" si="115"/>
        <v>11.591666666666667</v>
      </c>
      <c r="R298" s="192">
        <f t="shared" si="147"/>
        <v>46068</v>
      </c>
      <c r="T298" s="183">
        <f t="shared" si="157"/>
        <v>11.591666666666667</v>
      </c>
      <c r="U298" s="195">
        <f t="shared" si="131"/>
        <v>0</v>
      </c>
    </row>
    <row r="299" spans="1:21" x14ac:dyDescent="0.25">
      <c r="A299" s="191">
        <v>2025</v>
      </c>
      <c r="B299" s="189">
        <v>121</v>
      </c>
      <c r="C299" s="71" t="s">
        <v>105</v>
      </c>
      <c r="D299" t="s">
        <v>339</v>
      </c>
      <c r="E299" s="1">
        <v>45970</v>
      </c>
      <c r="F299" t="s">
        <v>979</v>
      </c>
      <c r="I299" t="b">
        <v>0</v>
      </c>
      <c r="J299" s="48">
        <v>17.12</v>
      </c>
      <c r="K299" s="185">
        <f t="shared" si="111"/>
        <v>17.12</v>
      </c>
      <c r="L299" s="72">
        <v>1</v>
      </c>
      <c r="M299" s="72">
        <v>0.2</v>
      </c>
      <c r="N299" s="185">
        <f t="shared" si="158"/>
        <v>2.8533333333333335</v>
      </c>
      <c r="O299" s="185">
        <f t="shared" si="155"/>
        <v>2.8533333333333335</v>
      </c>
      <c r="P299" s="185">
        <f>$J299/(100%+$M299)</f>
        <v>14.266666666666667</v>
      </c>
      <c r="Q299" s="185">
        <f t="shared" si="115"/>
        <v>14.266666666666667</v>
      </c>
      <c r="R299" s="192">
        <f t="shared" si="147"/>
        <v>46068</v>
      </c>
      <c r="T299" s="183">
        <f t="shared" si="157"/>
        <v>14.266666666666667</v>
      </c>
      <c r="U299" s="195">
        <f t="shared" si="131"/>
        <v>0</v>
      </c>
    </row>
    <row r="300" spans="1:21" x14ac:dyDescent="0.25">
      <c r="A300" s="191">
        <v>2025</v>
      </c>
      <c r="B300" s="189">
        <v>122</v>
      </c>
      <c r="C300" s="71" t="s">
        <v>708</v>
      </c>
      <c r="D300" t="s">
        <v>709</v>
      </c>
      <c r="E300" s="1">
        <v>45973</v>
      </c>
      <c r="F300" t="s">
        <v>1788</v>
      </c>
      <c r="I300" t="b">
        <v>0</v>
      </c>
      <c r="J300" s="48">
        <v>24032.83</v>
      </c>
      <c r="K300" s="185">
        <f t="shared" si="111"/>
        <v>24032.83</v>
      </c>
      <c r="L300" s="72">
        <v>1</v>
      </c>
      <c r="M300" s="72">
        <v>0.2</v>
      </c>
      <c r="N300" s="185">
        <f>$P300*$M300</f>
        <v>4005.4716666666677</v>
      </c>
      <c r="O300" s="185">
        <f t="shared" si="155"/>
        <v>4005.4716666666677</v>
      </c>
      <c r="P300" s="185">
        <f>$J300/(100%+$M300)</f>
        <v>20027.358333333337</v>
      </c>
      <c r="Q300" s="185">
        <f t="shared" si="115"/>
        <v>20027.358333333337</v>
      </c>
      <c r="R300" s="192">
        <f t="shared" si="147"/>
        <v>46068</v>
      </c>
      <c r="T300" s="183">
        <f t="shared" si="157"/>
        <v>20027.358333333337</v>
      </c>
      <c r="U300" s="195">
        <f t="shared" si="131"/>
        <v>0</v>
      </c>
    </row>
    <row r="301" spans="1:21" x14ac:dyDescent="0.25">
      <c r="A301" s="191">
        <v>2025</v>
      </c>
      <c r="B301" s="189">
        <v>123</v>
      </c>
      <c r="C301" s="71" t="s">
        <v>105</v>
      </c>
      <c r="D301" t="s">
        <v>705</v>
      </c>
      <c r="E301" s="1">
        <v>45974</v>
      </c>
      <c r="F301" t="s">
        <v>1783</v>
      </c>
      <c r="I301" t="b">
        <v>0</v>
      </c>
      <c r="J301" s="48">
        <v>56</v>
      </c>
      <c r="K301" s="185">
        <f t="shared" si="111"/>
        <v>56</v>
      </c>
      <c r="L301" s="72">
        <v>1</v>
      </c>
      <c r="M301" s="72">
        <v>0</v>
      </c>
      <c r="N301" s="185">
        <f>$P301*$M301</f>
        <v>0</v>
      </c>
      <c r="O301" s="185">
        <f t="shared" si="155"/>
        <v>0</v>
      </c>
      <c r="P301" s="185">
        <f>$J301/(100%+$M301)</f>
        <v>56</v>
      </c>
      <c r="Q301" s="185">
        <f t="shared" si="115"/>
        <v>56</v>
      </c>
      <c r="R301" s="192">
        <f t="shared" si="147"/>
        <v>46068</v>
      </c>
      <c r="S301">
        <v>20</v>
      </c>
      <c r="T301" s="183">
        <f t="shared" si="157"/>
        <v>56</v>
      </c>
      <c r="U301" s="195">
        <f t="shared" si="131"/>
        <v>11.200000000000001</v>
      </c>
    </row>
    <row r="302" spans="1:21" x14ac:dyDescent="0.25">
      <c r="A302" s="191">
        <v>2025</v>
      </c>
      <c r="B302" s="189">
        <v>124</v>
      </c>
      <c r="C302" s="71" t="s">
        <v>105</v>
      </c>
      <c r="D302" t="s">
        <v>703</v>
      </c>
      <c r="E302" s="1">
        <v>45975</v>
      </c>
      <c r="F302" t="s">
        <v>1781</v>
      </c>
      <c r="I302" t="b">
        <v>0</v>
      </c>
      <c r="J302" s="48">
        <v>58.89</v>
      </c>
      <c r="K302" s="185">
        <f t="shared" si="111"/>
        <v>39.456300000000006</v>
      </c>
      <c r="L302" s="72">
        <v>0.67</v>
      </c>
      <c r="M302" s="72" t="s">
        <v>14</v>
      </c>
      <c r="N302" s="185">
        <f>1.38+7.29</f>
        <v>8.67</v>
      </c>
      <c r="O302" s="185">
        <f t="shared" si="155"/>
        <v>5.8089000000000004</v>
      </c>
      <c r="P302" s="185">
        <v>50.22</v>
      </c>
      <c r="Q302" s="185">
        <f t="shared" si="115"/>
        <v>33.647400000000005</v>
      </c>
      <c r="R302" s="192">
        <f t="shared" si="147"/>
        <v>46068</v>
      </c>
      <c r="T302" s="183">
        <f t="shared" si="157"/>
        <v>33.647400000000005</v>
      </c>
      <c r="U302" s="195">
        <f t="shared" si="131"/>
        <v>0</v>
      </c>
    </row>
    <row r="303" spans="1:21" x14ac:dyDescent="0.25">
      <c r="A303" s="191">
        <v>2025</v>
      </c>
      <c r="B303" s="189">
        <v>125</v>
      </c>
      <c r="C303" s="71" t="s">
        <v>105</v>
      </c>
      <c r="D303" t="s">
        <v>705</v>
      </c>
      <c r="E303" s="1">
        <v>45975</v>
      </c>
      <c r="F303" t="s">
        <v>1783</v>
      </c>
      <c r="I303" t="b">
        <v>0</v>
      </c>
      <c r="J303" s="48">
        <v>9.16</v>
      </c>
      <c r="K303" s="185">
        <f t="shared" si="111"/>
        <v>9.16</v>
      </c>
      <c r="L303" s="72">
        <v>1</v>
      </c>
      <c r="M303" s="72">
        <v>0</v>
      </c>
      <c r="N303" s="185">
        <f>$P303*$M303</f>
        <v>0</v>
      </c>
      <c r="O303" s="185">
        <f t="shared" si="155"/>
        <v>0</v>
      </c>
      <c r="P303" s="185">
        <f>$J303/(100%+$M303)</f>
        <v>9.16</v>
      </c>
      <c r="Q303" s="185">
        <f t="shared" si="115"/>
        <v>9.16</v>
      </c>
      <c r="R303" s="192">
        <f t="shared" si="147"/>
        <v>46068</v>
      </c>
      <c r="S303">
        <v>20</v>
      </c>
      <c r="T303" s="183">
        <f t="shared" si="157"/>
        <v>9.16</v>
      </c>
      <c r="U303" s="195">
        <f t="shared" si="131"/>
        <v>1.8320000000000001</v>
      </c>
    </row>
    <row r="304" spans="1:21" x14ac:dyDescent="0.25">
      <c r="A304" s="191">
        <v>2025</v>
      </c>
      <c r="B304" s="189">
        <v>126</v>
      </c>
      <c r="C304" s="71" t="s">
        <v>105</v>
      </c>
      <c r="D304" t="s">
        <v>705</v>
      </c>
      <c r="E304" s="1">
        <v>45981</v>
      </c>
      <c r="F304" t="s">
        <v>1032</v>
      </c>
      <c r="I304" t="b">
        <v>0</v>
      </c>
      <c r="J304" s="48">
        <v>11.7</v>
      </c>
      <c r="K304" s="185">
        <f t="shared" si="111"/>
        <v>11.7</v>
      </c>
      <c r="L304" s="72">
        <v>1</v>
      </c>
      <c r="M304" s="72">
        <v>0</v>
      </c>
      <c r="N304" s="185">
        <f>$P304*$M304</f>
        <v>0</v>
      </c>
      <c r="O304" s="185">
        <f t="shared" si="155"/>
        <v>0</v>
      </c>
      <c r="P304" s="185">
        <f>$J304/(100%+$M304)</f>
        <v>11.7</v>
      </c>
      <c r="Q304" s="185">
        <f>$L304*$P304</f>
        <v>11.7</v>
      </c>
      <c r="R304" s="192">
        <f t="shared" si="147"/>
        <v>46068</v>
      </c>
      <c r="S304">
        <v>20</v>
      </c>
      <c r="T304" s="183">
        <f t="shared" si="157"/>
        <v>11.7</v>
      </c>
      <c r="U304" s="195">
        <f t="shared" si="131"/>
        <v>2.34</v>
      </c>
    </row>
    <row r="305" spans="1:21" x14ac:dyDescent="0.25">
      <c r="A305" s="191">
        <v>2025</v>
      </c>
      <c r="B305" s="189">
        <v>127</v>
      </c>
      <c r="C305" s="71" t="s">
        <v>105</v>
      </c>
      <c r="D305" t="s">
        <v>705</v>
      </c>
      <c r="E305" s="1">
        <v>45986</v>
      </c>
      <c r="F305" t="s">
        <v>1794</v>
      </c>
      <c r="I305" t="b">
        <v>0</v>
      </c>
      <c r="J305" s="48">
        <v>21.2</v>
      </c>
      <c r="K305" s="185">
        <f t="shared" si="111"/>
        <v>21.2</v>
      </c>
      <c r="L305" s="72">
        <v>1</v>
      </c>
      <c r="M305" s="72">
        <v>0.2</v>
      </c>
      <c r="N305" s="185">
        <f t="shared" ref="N305:N309" si="160">$P305*$M305</f>
        <v>3.4816666666666674</v>
      </c>
      <c r="O305" s="185">
        <f t="shared" si="155"/>
        <v>3.4816666666666674</v>
      </c>
      <c r="P305" s="185">
        <f>($J305-0.31)/(100%+$M305)</f>
        <v>17.408333333333335</v>
      </c>
      <c r="Q305" s="185">
        <f t="shared" si="115"/>
        <v>17.408333333333335</v>
      </c>
      <c r="R305" s="192">
        <f t="shared" si="147"/>
        <v>46068</v>
      </c>
      <c r="T305" s="183">
        <f t="shared" si="157"/>
        <v>17.408333333333335</v>
      </c>
      <c r="U305" s="195">
        <f t="shared" si="131"/>
        <v>0</v>
      </c>
    </row>
    <row r="306" spans="1:21" x14ac:dyDescent="0.25">
      <c r="A306" s="191">
        <v>2025</v>
      </c>
      <c r="B306" s="189">
        <v>128</v>
      </c>
      <c r="C306" s="71" t="s">
        <v>105</v>
      </c>
      <c r="D306" t="s">
        <v>695</v>
      </c>
      <c r="E306" s="1">
        <v>45989</v>
      </c>
      <c r="F306" t="s">
        <v>1853</v>
      </c>
      <c r="I306" t="b">
        <v>0</v>
      </c>
      <c r="J306" s="48">
        <v>4820.38</v>
      </c>
      <c r="K306" s="185">
        <f t="shared" si="111"/>
        <v>4820.38</v>
      </c>
      <c r="L306" s="72">
        <v>1</v>
      </c>
      <c r="M306" s="72">
        <v>0</v>
      </c>
      <c r="N306" s="185">
        <f t="shared" si="160"/>
        <v>0</v>
      </c>
      <c r="O306" s="185">
        <f t="shared" si="155"/>
        <v>0</v>
      </c>
      <c r="P306" s="185">
        <f t="shared" ref="P306:P309" si="161">$J306/(100%+$M306)</f>
        <v>4820.38</v>
      </c>
      <c r="Q306" s="185">
        <f t="shared" si="115"/>
        <v>4820.38</v>
      </c>
      <c r="R306" s="192">
        <f t="shared" si="147"/>
        <v>46068</v>
      </c>
      <c r="T306" s="183">
        <f t="shared" si="157"/>
        <v>4820.38</v>
      </c>
      <c r="U306" s="195">
        <f t="shared" si="131"/>
        <v>0</v>
      </c>
    </row>
    <row r="307" spans="1:21" x14ac:dyDescent="0.25">
      <c r="A307" s="191">
        <v>2025</v>
      </c>
      <c r="B307" s="189">
        <v>129</v>
      </c>
      <c r="C307" s="71" t="s">
        <v>105</v>
      </c>
      <c r="D307" t="s">
        <v>703</v>
      </c>
      <c r="E307" s="1">
        <v>45994</v>
      </c>
      <c r="F307" t="s">
        <v>34</v>
      </c>
      <c r="I307" t="b">
        <v>0</v>
      </c>
      <c r="J307" s="48">
        <v>13.91</v>
      </c>
      <c r="K307" s="185">
        <f t="shared" si="111"/>
        <v>13.91</v>
      </c>
      <c r="L307" s="72">
        <v>1</v>
      </c>
      <c r="M307" s="72">
        <v>0.2</v>
      </c>
      <c r="N307" s="185">
        <f t="shared" si="160"/>
        <v>2.3183333333333334</v>
      </c>
      <c r="O307" s="185">
        <f t="shared" ref="O307:O308" si="162">L307*$N307</f>
        <v>2.3183333333333334</v>
      </c>
      <c r="P307" s="185">
        <f t="shared" si="161"/>
        <v>11.591666666666667</v>
      </c>
      <c r="Q307" s="185">
        <f t="shared" si="115"/>
        <v>11.591666666666667</v>
      </c>
      <c r="R307" s="192">
        <f t="shared" si="147"/>
        <v>46068</v>
      </c>
      <c r="T307" s="183">
        <f t="shared" ref="T307:T308" si="163">IF(G307=TRUE,Q307/F307,Q307)</f>
        <v>11.591666666666667</v>
      </c>
      <c r="U307" s="195">
        <f t="shared" si="131"/>
        <v>0</v>
      </c>
    </row>
    <row r="308" spans="1:21" x14ac:dyDescent="0.25">
      <c r="A308" s="191">
        <v>2025</v>
      </c>
      <c r="B308" s="189">
        <v>130</v>
      </c>
      <c r="C308" s="71" t="s">
        <v>105</v>
      </c>
      <c r="D308" t="s">
        <v>705</v>
      </c>
      <c r="E308" s="1">
        <v>45994</v>
      </c>
      <c r="F308" t="s">
        <v>1840</v>
      </c>
      <c r="I308" t="b">
        <v>0</v>
      </c>
      <c r="J308" s="48">
        <v>16.2</v>
      </c>
      <c r="K308" s="185">
        <f t="shared" si="111"/>
        <v>16.2</v>
      </c>
      <c r="L308" s="72">
        <v>1</v>
      </c>
      <c r="M308" s="72">
        <v>0</v>
      </c>
      <c r="N308" s="185">
        <f>$P308*$M308</f>
        <v>0</v>
      </c>
      <c r="O308" s="185">
        <f t="shared" si="162"/>
        <v>0</v>
      </c>
      <c r="P308" s="185">
        <f>$J308/(100%+$M308)</f>
        <v>16.2</v>
      </c>
      <c r="Q308" s="185">
        <f t="shared" si="115"/>
        <v>16.2</v>
      </c>
      <c r="R308" s="192">
        <f t="shared" si="147"/>
        <v>46068</v>
      </c>
      <c r="S308">
        <v>20</v>
      </c>
      <c r="T308" s="183">
        <f t="shared" si="163"/>
        <v>16.2</v>
      </c>
      <c r="U308" s="195">
        <f t="shared" si="131"/>
        <v>3.24</v>
      </c>
    </row>
    <row r="309" spans="1:21" x14ac:dyDescent="0.25">
      <c r="A309" s="191">
        <v>2025</v>
      </c>
      <c r="B309" s="189">
        <v>131</v>
      </c>
      <c r="C309" s="71" t="s">
        <v>105</v>
      </c>
      <c r="D309" t="s">
        <v>705</v>
      </c>
      <c r="E309" s="1">
        <v>45993</v>
      </c>
      <c r="F309" t="s">
        <v>1854</v>
      </c>
      <c r="I309" t="b">
        <v>0</v>
      </c>
      <c r="J309" s="48">
        <v>448.39</v>
      </c>
      <c r="K309" s="185">
        <f t="shared" ref="K309" si="164">$J309*$L309</f>
        <v>41.321050306128889</v>
      </c>
      <c r="L309" s="72">
        <f>14.6/158.43</f>
        <v>9.2154263712680679E-2</v>
      </c>
      <c r="M309" s="72">
        <v>0</v>
      </c>
      <c r="N309" s="185">
        <f t="shared" si="160"/>
        <v>0</v>
      </c>
      <c r="O309" s="185">
        <f t="shared" ref="O309:O314" si="165">L309*$N309</f>
        <v>0</v>
      </c>
      <c r="P309" s="185">
        <f t="shared" si="161"/>
        <v>448.39</v>
      </c>
      <c r="Q309" s="185">
        <f t="shared" si="115"/>
        <v>41.321050306128889</v>
      </c>
      <c r="R309" s="192">
        <f t="shared" si="147"/>
        <v>46068</v>
      </c>
      <c r="T309" s="183">
        <f t="shared" ref="T309:T314" si="166">IF(G309=TRUE,Q309/F309,Q309)</f>
        <v>41.321050306128889</v>
      </c>
      <c r="U309" s="195">
        <f t="shared" si="131"/>
        <v>0</v>
      </c>
    </row>
    <row r="310" spans="1:21" x14ac:dyDescent="0.25">
      <c r="A310" s="191">
        <v>2025</v>
      </c>
      <c r="B310" s="189">
        <v>132</v>
      </c>
      <c r="C310" s="71" t="s">
        <v>105</v>
      </c>
      <c r="D310" t="s">
        <v>705</v>
      </c>
      <c r="E310" s="1">
        <v>46002</v>
      </c>
      <c r="F310" t="s">
        <v>1783</v>
      </c>
      <c r="I310" t="b">
        <v>0</v>
      </c>
      <c r="J310" s="48">
        <v>56</v>
      </c>
      <c r="K310" s="185">
        <f t="shared" si="111"/>
        <v>56</v>
      </c>
      <c r="L310" s="72">
        <v>1</v>
      </c>
      <c r="M310" s="72">
        <v>0</v>
      </c>
      <c r="N310" s="185">
        <f>$P310*$M310</f>
        <v>0</v>
      </c>
      <c r="O310" s="185">
        <f t="shared" si="165"/>
        <v>0</v>
      </c>
      <c r="P310" s="185">
        <f>$J310/(100%+$M310)</f>
        <v>56</v>
      </c>
      <c r="Q310" s="185">
        <f t="shared" si="115"/>
        <v>56</v>
      </c>
      <c r="R310" s="192">
        <f t="shared" si="147"/>
        <v>46068</v>
      </c>
      <c r="S310">
        <v>20</v>
      </c>
      <c r="T310" s="183">
        <f t="shared" si="166"/>
        <v>56</v>
      </c>
      <c r="U310" s="195">
        <f t="shared" si="131"/>
        <v>11.200000000000001</v>
      </c>
    </row>
    <row r="311" spans="1:21" x14ac:dyDescent="0.25">
      <c r="A311" s="191">
        <v>2025</v>
      </c>
      <c r="B311" s="189">
        <v>133</v>
      </c>
      <c r="C311" s="71" t="s">
        <v>708</v>
      </c>
      <c r="D311" t="s">
        <v>709</v>
      </c>
      <c r="E311" s="1">
        <v>46002</v>
      </c>
      <c r="F311" t="s">
        <v>1038</v>
      </c>
      <c r="I311" t="b">
        <v>0</v>
      </c>
      <c r="J311" s="48">
        <v>2640.67</v>
      </c>
      <c r="K311" s="185">
        <f>$J311*$L311</f>
        <v>2640.67</v>
      </c>
      <c r="L311" s="72">
        <v>1</v>
      </c>
      <c r="M311" s="72">
        <v>0.2</v>
      </c>
      <c r="N311" s="185">
        <f>$P311*$M311</f>
        <v>440.11166666666668</v>
      </c>
      <c r="O311" s="185">
        <f t="shared" si="165"/>
        <v>440.11166666666668</v>
      </c>
      <c r="P311" s="185">
        <f>$J311/(100%+$M311)</f>
        <v>2200.5583333333334</v>
      </c>
      <c r="Q311" s="185">
        <f>$L311*$P311</f>
        <v>2200.5583333333334</v>
      </c>
      <c r="R311" s="192">
        <f t="shared" si="147"/>
        <v>46068</v>
      </c>
      <c r="T311" s="183">
        <f t="shared" si="166"/>
        <v>2200.5583333333334</v>
      </c>
      <c r="U311" s="195">
        <f t="shared" si="131"/>
        <v>0</v>
      </c>
    </row>
    <row r="312" spans="1:21" x14ac:dyDescent="0.25">
      <c r="A312" s="191">
        <v>2025</v>
      </c>
      <c r="B312" s="189">
        <v>134</v>
      </c>
      <c r="C312" s="71" t="s">
        <v>105</v>
      </c>
      <c r="D312" t="s">
        <v>703</v>
      </c>
      <c r="E312" s="1">
        <v>46006</v>
      </c>
      <c r="F312" t="s">
        <v>1781</v>
      </c>
      <c r="I312" t="b">
        <v>0</v>
      </c>
      <c r="J312" s="48">
        <v>58.89</v>
      </c>
      <c r="K312" s="185">
        <f t="shared" si="111"/>
        <v>39.456300000000006</v>
      </c>
      <c r="L312" s="72">
        <v>0.67</v>
      </c>
      <c r="M312" s="72" t="s">
        <v>14</v>
      </c>
      <c r="N312" s="185">
        <f>1.38+7.29</f>
        <v>8.67</v>
      </c>
      <c r="O312" s="185">
        <f t="shared" si="165"/>
        <v>5.8089000000000004</v>
      </c>
      <c r="P312" s="185">
        <v>50.22</v>
      </c>
      <c r="Q312" s="185">
        <f t="shared" si="115"/>
        <v>33.647400000000005</v>
      </c>
      <c r="R312" s="192">
        <f t="shared" si="147"/>
        <v>46068</v>
      </c>
      <c r="T312" s="183">
        <f t="shared" si="166"/>
        <v>33.647400000000005</v>
      </c>
      <c r="U312" s="195">
        <f t="shared" si="131"/>
        <v>0</v>
      </c>
    </row>
    <row r="313" spans="1:21" x14ac:dyDescent="0.25">
      <c r="A313" s="191">
        <v>2025</v>
      </c>
      <c r="B313" s="189">
        <v>135</v>
      </c>
      <c r="C313" s="71" t="s">
        <v>105</v>
      </c>
      <c r="D313" t="s">
        <v>705</v>
      </c>
      <c r="E313" s="1">
        <v>46006</v>
      </c>
      <c r="F313" t="s">
        <v>1783</v>
      </c>
      <c r="I313" t="b">
        <v>0</v>
      </c>
      <c r="J313" s="48">
        <v>9.16</v>
      </c>
      <c r="K313" s="185">
        <f t="shared" si="111"/>
        <v>9.16</v>
      </c>
      <c r="L313" s="72">
        <v>1</v>
      </c>
      <c r="M313" s="72">
        <v>0</v>
      </c>
      <c r="N313" s="185">
        <f>$P313*$M313</f>
        <v>0</v>
      </c>
      <c r="O313" s="185">
        <f t="shared" si="165"/>
        <v>0</v>
      </c>
      <c r="P313" s="185">
        <f>$J313/(100%+$M313)</f>
        <v>9.16</v>
      </c>
      <c r="Q313" s="185">
        <f t="shared" si="115"/>
        <v>9.16</v>
      </c>
      <c r="R313" s="192">
        <f t="shared" si="147"/>
        <v>46068</v>
      </c>
      <c r="S313">
        <v>20</v>
      </c>
      <c r="T313" s="183">
        <f t="shared" si="166"/>
        <v>9.16</v>
      </c>
      <c r="U313" s="195">
        <f t="shared" si="131"/>
        <v>1.8320000000000001</v>
      </c>
    </row>
    <row r="314" spans="1:21" x14ac:dyDescent="0.25">
      <c r="A314" s="191">
        <v>2025</v>
      </c>
      <c r="B314" s="189">
        <v>136</v>
      </c>
      <c r="C314" s="71" t="s">
        <v>708</v>
      </c>
      <c r="D314" t="s">
        <v>709</v>
      </c>
      <c r="E314" s="1">
        <v>46007</v>
      </c>
      <c r="F314" t="s">
        <v>1788</v>
      </c>
      <c r="I314" t="b">
        <v>0</v>
      </c>
      <c r="J314" s="48">
        <v>15703.49</v>
      </c>
      <c r="K314" s="185">
        <f t="shared" si="111"/>
        <v>15703.49</v>
      </c>
      <c r="L314" s="72">
        <v>1</v>
      </c>
      <c r="M314" s="72">
        <v>0.2</v>
      </c>
      <c r="N314" s="185">
        <f>$P314*$M314</f>
        <v>2617.2483333333334</v>
      </c>
      <c r="O314" s="185">
        <f t="shared" si="165"/>
        <v>2617.2483333333334</v>
      </c>
      <c r="P314" s="185">
        <f>$J314/(100%+$M314)</f>
        <v>13086.241666666667</v>
      </c>
      <c r="Q314" s="185">
        <f t="shared" si="115"/>
        <v>13086.241666666667</v>
      </c>
      <c r="R314" s="192">
        <f t="shared" ref="R314:R345" si="167">voranmeldefrist_vierteljaehrlich(E314)</f>
        <v>46068</v>
      </c>
      <c r="T314" s="183">
        <f t="shared" si="166"/>
        <v>13086.241666666667</v>
      </c>
      <c r="U314" s="195">
        <f t="shared" si="131"/>
        <v>0</v>
      </c>
    </row>
    <row r="315" spans="1:21" x14ac:dyDescent="0.25">
      <c r="A315" s="191">
        <v>2025</v>
      </c>
      <c r="B315" s="189">
        <v>137</v>
      </c>
      <c r="C315" s="71" t="s">
        <v>708</v>
      </c>
      <c r="D315" t="s">
        <v>709</v>
      </c>
      <c r="E315" s="1">
        <v>46009</v>
      </c>
      <c r="F315" t="s">
        <v>895</v>
      </c>
      <c r="I315" t="b">
        <v>0</v>
      </c>
      <c r="J315" s="48">
        <v>1480.8</v>
      </c>
      <c r="K315" s="185">
        <f>$J315*$L315</f>
        <v>1480.8</v>
      </c>
      <c r="L315" s="72">
        <v>1</v>
      </c>
      <c r="M315" s="72">
        <v>0.2</v>
      </c>
      <c r="N315" s="185">
        <f>$P315*$M315</f>
        <v>246.8</v>
      </c>
      <c r="O315" s="185">
        <f t="shared" ref="O315:O325" si="168">L315*$N315</f>
        <v>246.8</v>
      </c>
      <c r="P315" s="185">
        <f>$J315/(100%+$M315)</f>
        <v>1234</v>
      </c>
      <c r="Q315" s="185">
        <f>$L315*$P315</f>
        <v>1234</v>
      </c>
      <c r="R315" s="192">
        <f t="shared" si="167"/>
        <v>46068</v>
      </c>
      <c r="T315" s="183">
        <f t="shared" ref="T315:T325" si="169">IF(G315=TRUE,Q315/F315,Q315)</f>
        <v>1234</v>
      </c>
      <c r="U315" s="195">
        <f t="shared" si="131"/>
        <v>0</v>
      </c>
    </row>
    <row r="316" spans="1:21" x14ac:dyDescent="0.25">
      <c r="A316" s="191">
        <v>2025</v>
      </c>
      <c r="B316" s="189">
        <v>138</v>
      </c>
      <c r="C316" s="71" t="s">
        <v>708</v>
      </c>
      <c r="D316" t="s">
        <v>709</v>
      </c>
      <c r="E316" s="1">
        <v>46010</v>
      </c>
      <c r="F316" t="s">
        <v>1809</v>
      </c>
      <c r="J316" s="48">
        <v>864.6</v>
      </c>
      <c r="K316" s="185">
        <f t="shared" ref="K316:K352" si="170">$J316*$L316</f>
        <v>864.6</v>
      </c>
      <c r="L316" s="72">
        <v>1</v>
      </c>
      <c r="M316" s="72">
        <v>0.2</v>
      </c>
      <c r="N316" s="185">
        <f t="shared" ref="N316" si="171">$P316*$M316</f>
        <v>144.1</v>
      </c>
      <c r="O316" s="185">
        <f t="shared" si="168"/>
        <v>144.1</v>
      </c>
      <c r="P316" s="185">
        <f>$J316/(100%+$M316)</f>
        <v>720.5</v>
      </c>
      <c r="Q316" s="185">
        <f t="shared" ref="Q316" si="172">$L316*$P316</f>
        <v>720.5</v>
      </c>
      <c r="R316" s="192">
        <f t="shared" si="167"/>
        <v>46068</v>
      </c>
      <c r="T316" s="183">
        <f t="shared" si="169"/>
        <v>720.5</v>
      </c>
      <c r="U316" s="195">
        <f t="shared" si="131"/>
        <v>0</v>
      </c>
    </row>
    <row r="317" spans="1:21" x14ac:dyDescent="0.25">
      <c r="A317" s="191">
        <v>2025</v>
      </c>
      <c r="B317" s="189">
        <v>139</v>
      </c>
      <c r="C317" s="71" t="s">
        <v>105</v>
      </c>
      <c r="D317" t="s">
        <v>705</v>
      </c>
      <c r="E317" s="1">
        <v>46013</v>
      </c>
      <c r="F317" t="s">
        <v>1032</v>
      </c>
      <c r="I317" t="b">
        <v>0</v>
      </c>
      <c r="J317" s="48">
        <v>11.7</v>
      </c>
      <c r="K317" s="185">
        <f t="shared" si="170"/>
        <v>11.7</v>
      </c>
      <c r="L317" s="72">
        <v>1</v>
      </c>
      <c r="M317" s="72">
        <v>0</v>
      </c>
      <c r="N317" s="185">
        <f>$P317*$M317</f>
        <v>0</v>
      </c>
      <c r="O317" s="185">
        <f t="shared" si="168"/>
        <v>0</v>
      </c>
      <c r="P317" s="185">
        <f>$J317/(100%+$M317)</f>
        <v>11.7</v>
      </c>
      <c r="Q317" s="185">
        <f>$L317*$P317</f>
        <v>11.7</v>
      </c>
      <c r="R317" s="192">
        <f t="shared" si="167"/>
        <v>46068</v>
      </c>
      <c r="S317">
        <v>20</v>
      </c>
      <c r="T317" s="183">
        <f t="shared" si="169"/>
        <v>11.7</v>
      </c>
      <c r="U317" s="195">
        <f t="shared" si="131"/>
        <v>2.34</v>
      </c>
    </row>
    <row r="318" spans="1:21" x14ac:dyDescent="0.25">
      <c r="A318" s="191">
        <v>2025</v>
      </c>
      <c r="B318" s="189">
        <v>140</v>
      </c>
      <c r="C318" s="71" t="s">
        <v>105</v>
      </c>
      <c r="D318" t="s">
        <v>705</v>
      </c>
      <c r="E318" s="1">
        <v>46020</v>
      </c>
      <c r="F318" t="s">
        <v>1794</v>
      </c>
      <c r="I318" t="b">
        <v>0</v>
      </c>
      <c r="J318" s="48">
        <v>20.82</v>
      </c>
      <c r="K318" s="185">
        <f t="shared" si="170"/>
        <v>20.82</v>
      </c>
      <c r="L318" s="72">
        <v>1</v>
      </c>
      <c r="M318" s="72">
        <v>0.2</v>
      </c>
      <c r="N318" s="185">
        <f t="shared" ref="N318:N320" si="173">$P318*$M318</f>
        <v>3.4183333333333339</v>
      </c>
      <c r="O318" s="185">
        <f t="shared" si="168"/>
        <v>3.4183333333333339</v>
      </c>
      <c r="P318" s="185">
        <f>($J318-0.31)/(100%+$M318)</f>
        <v>17.091666666666669</v>
      </c>
      <c r="Q318" s="185">
        <f t="shared" ref="Q318:Q352" si="174">$L318*$P318</f>
        <v>17.091666666666669</v>
      </c>
      <c r="R318" s="192">
        <f t="shared" si="167"/>
        <v>46068</v>
      </c>
      <c r="T318" s="183">
        <f t="shared" si="169"/>
        <v>17.091666666666669</v>
      </c>
      <c r="U318" s="195">
        <f t="shared" si="131"/>
        <v>0</v>
      </c>
    </row>
    <row r="319" spans="1:21" x14ac:dyDescent="0.25">
      <c r="A319" s="191">
        <v>2025</v>
      </c>
      <c r="B319" s="189">
        <v>141</v>
      </c>
      <c r="C319" s="71" t="s">
        <v>105</v>
      </c>
      <c r="D319" t="s">
        <v>695</v>
      </c>
      <c r="E319" s="1">
        <v>46021</v>
      </c>
      <c r="F319" t="s">
        <v>1856</v>
      </c>
      <c r="I319" t="b">
        <v>0</v>
      </c>
      <c r="J319" s="48">
        <v>35000</v>
      </c>
      <c r="K319" s="185">
        <f t="shared" si="170"/>
        <v>35000</v>
      </c>
      <c r="L319" s="72">
        <v>1</v>
      </c>
      <c r="M319" s="72">
        <v>0</v>
      </c>
      <c r="N319" s="185">
        <f t="shared" si="173"/>
        <v>0</v>
      </c>
      <c r="O319" s="185">
        <f t="shared" si="168"/>
        <v>0</v>
      </c>
      <c r="P319" s="185">
        <f t="shared" ref="P319:P320" si="175">$J319/(100%+$M319)</f>
        <v>35000</v>
      </c>
      <c r="Q319" s="185">
        <f t="shared" si="174"/>
        <v>35000</v>
      </c>
      <c r="R319" s="192">
        <f t="shared" si="167"/>
        <v>46068</v>
      </c>
      <c r="T319" s="183">
        <f t="shared" si="169"/>
        <v>35000</v>
      </c>
      <c r="U319" s="195">
        <f t="shared" si="131"/>
        <v>0</v>
      </c>
    </row>
    <row r="320" spans="1:21" x14ac:dyDescent="0.25">
      <c r="A320" s="191">
        <v>2026</v>
      </c>
      <c r="B320" s="189">
        <v>1</v>
      </c>
      <c r="C320" s="71" t="s">
        <v>105</v>
      </c>
      <c r="D320" t="s">
        <v>703</v>
      </c>
      <c r="E320" s="1">
        <v>46027</v>
      </c>
      <c r="F320" t="s">
        <v>34</v>
      </c>
      <c r="I320" t="b">
        <v>0</v>
      </c>
      <c r="J320" s="48">
        <v>13.91</v>
      </c>
      <c r="K320" s="185">
        <f t="shared" si="170"/>
        <v>13.91</v>
      </c>
      <c r="L320" s="72">
        <v>1</v>
      </c>
      <c r="M320" s="72">
        <v>0.2</v>
      </c>
      <c r="N320" s="185">
        <f t="shared" si="173"/>
        <v>2.3183333333333334</v>
      </c>
      <c r="O320" s="185">
        <f t="shared" si="168"/>
        <v>2.3183333333333334</v>
      </c>
      <c r="P320" s="185">
        <f t="shared" si="175"/>
        <v>11.591666666666667</v>
      </c>
      <c r="Q320" s="185">
        <f t="shared" si="174"/>
        <v>11.591666666666667</v>
      </c>
      <c r="R320" s="192">
        <f t="shared" si="167"/>
        <v>46157</v>
      </c>
      <c r="T320" s="183">
        <f t="shared" si="169"/>
        <v>11.591666666666667</v>
      </c>
      <c r="U320" s="195">
        <f t="shared" si="131"/>
        <v>0</v>
      </c>
    </row>
    <row r="321" spans="1:22" x14ac:dyDescent="0.25">
      <c r="A321" s="191">
        <v>2026</v>
      </c>
      <c r="B321" s="189">
        <v>2</v>
      </c>
      <c r="C321" s="71" t="s">
        <v>105</v>
      </c>
      <c r="D321" t="s">
        <v>705</v>
      </c>
      <c r="E321" s="1">
        <v>46027</v>
      </c>
      <c r="F321" t="s">
        <v>1840</v>
      </c>
      <c r="I321" t="b">
        <v>0</v>
      </c>
      <c r="J321" s="48">
        <v>16.2</v>
      </c>
      <c r="K321" s="185">
        <f t="shared" si="170"/>
        <v>16.2</v>
      </c>
      <c r="L321" s="72">
        <v>1</v>
      </c>
      <c r="M321" s="72">
        <v>0</v>
      </c>
      <c r="N321" s="185">
        <f>$P321*$M321</f>
        <v>0</v>
      </c>
      <c r="O321" s="185">
        <f t="shared" si="168"/>
        <v>0</v>
      </c>
      <c r="P321" s="185">
        <f>$J321/(100%+$M321)</f>
        <v>16.2</v>
      </c>
      <c r="Q321" s="185">
        <f t="shared" si="174"/>
        <v>16.2</v>
      </c>
      <c r="R321" s="192">
        <f t="shared" si="167"/>
        <v>46157</v>
      </c>
      <c r="S321">
        <v>20</v>
      </c>
      <c r="T321" s="183">
        <f t="shared" si="169"/>
        <v>16.2</v>
      </c>
      <c r="U321" s="195">
        <f t="shared" si="131"/>
        <v>3.24</v>
      </c>
    </row>
    <row r="322" spans="1:22" x14ac:dyDescent="0.25">
      <c r="A322" s="191">
        <v>2026</v>
      </c>
      <c r="B322" s="189">
        <v>3</v>
      </c>
      <c r="C322" s="71" t="s">
        <v>105</v>
      </c>
      <c r="D322" t="s">
        <v>705</v>
      </c>
      <c r="E322" s="1">
        <v>46035</v>
      </c>
      <c r="F322" t="s">
        <v>1783</v>
      </c>
      <c r="I322" t="b">
        <v>0</v>
      </c>
      <c r="J322" s="48">
        <v>56</v>
      </c>
      <c r="K322" s="185">
        <f t="shared" si="170"/>
        <v>56</v>
      </c>
      <c r="L322" s="72">
        <v>1</v>
      </c>
      <c r="M322" s="72">
        <v>0</v>
      </c>
      <c r="N322" s="185">
        <f>$P322*$M322</f>
        <v>0</v>
      </c>
      <c r="O322" s="185">
        <f t="shared" si="168"/>
        <v>0</v>
      </c>
      <c r="P322" s="185">
        <f>$J322/(100%+$M322)</f>
        <v>56</v>
      </c>
      <c r="Q322" s="185">
        <f t="shared" si="174"/>
        <v>56</v>
      </c>
      <c r="R322" s="192">
        <f t="shared" si="167"/>
        <v>46157</v>
      </c>
      <c r="S322">
        <v>20</v>
      </c>
      <c r="T322" s="183">
        <f t="shared" si="169"/>
        <v>56</v>
      </c>
      <c r="U322" s="195">
        <f t="shared" si="131"/>
        <v>11.200000000000001</v>
      </c>
    </row>
    <row r="323" spans="1:22" x14ac:dyDescent="0.25">
      <c r="A323" s="191">
        <v>2026</v>
      </c>
      <c r="B323" s="189">
        <v>4</v>
      </c>
      <c r="C323" s="71" t="s">
        <v>708</v>
      </c>
      <c r="D323" t="s">
        <v>709</v>
      </c>
      <c r="E323" s="1">
        <v>46035</v>
      </c>
      <c r="F323" t="s">
        <v>1788</v>
      </c>
      <c r="I323" t="b">
        <v>0</v>
      </c>
      <c r="J323" s="48">
        <v>16534.509999999998</v>
      </c>
      <c r="K323" s="185">
        <f t="shared" si="170"/>
        <v>16534.509999999998</v>
      </c>
      <c r="L323" s="72">
        <v>1</v>
      </c>
      <c r="M323" s="72">
        <v>0.2</v>
      </c>
      <c r="N323" s="185">
        <f>$P323*$M323</f>
        <v>2755.751666666667</v>
      </c>
      <c r="O323" s="185">
        <f t="shared" si="168"/>
        <v>2755.751666666667</v>
      </c>
      <c r="P323" s="185">
        <f>$J323/(100%+$M323)</f>
        <v>13778.758333333333</v>
      </c>
      <c r="Q323" s="185">
        <f t="shared" si="174"/>
        <v>13778.758333333333</v>
      </c>
      <c r="R323" s="192">
        <f t="shared" si="167"/>
        <v>46157</v>
      </c>
      <c r="T323" s="183">
        <f t="shared" si="169"/>
        <v>13778.758333333333</v>
      </c>
      <c r="U323" s="195">
        <f t="shared" si="131"/>
        <v>0</v>
      </c>
    </row>
    <row r="324" spans="1:22" x14ac:dyDescent="0.25">
      <c r="A324" s="191">
        <v>2026</v>
      </c>
      <c r="B324" s="189">
        <v>5</v>
      </c>
      <c r="C324" s="71" t="s">
        <v>105</v>
      </c>
      <c r="D324" t="s">
        <v>703</v>
      </c>
      <c r="E324" s="1">
        <v>46037</v>
      </c>
      <c r="F324" t="s">
        <v>1781</v>
      </c>
      <c r="I324" t="b">
        <v>0</v>
      </c>
      <c r="J324" s="48">
        <v>58.89</v>
      </c>
      <c r="K324" s="185">
        <f t="shared" si="170"/>
        <v>39.456300000000006</v>
      </c>
      <c r="L324" s="98">
        <v>0.67</v>
      </c>
      <c r="M324" s="72" t="s">
        <v>14</v>
      </c>
      <c r="N324" s="185">
        <f>1.38+7.29</f>
        <v>8.67</v>
      </c>
      <c r="O324" s="185">
        <f t="shared" si="168"/>
        <v>5.8089000000000004</v>
      </c>
      <c r="P324" s="185">
        <v>50.22</v>
      </c>
      <c r="Q324" s="185">
        <f t="shared" si="174"/>
        <v>33.647400000000005</v>
      </c>
      <c r="R324" s="192">
        <f t="shared" si="167"/>
        <v>46157</v>
      </c>
      <c r="T324" s="183">
        <f t="shared" si="169"/>
        <v>33.647400000000005</v>
      </c>
      <c r="U324" s="195">
        <f t="shared" si="131"/>
        <v>0</v>
      </c>
    </row>
    <row r="325" spans="1:22" x14ac:dyDescent="0.25">
      <c r="A325" s="191">
        <v>2026</v>
      </c>
      <c r="B325" s="189">
        <v>6</v>
      </c>
      <c r="C325" s="71" t="s">
        <v>105</v>
      </c>
      <c r="D325" t="s">
        <v>705</v>
      </c>
      <c r="E325" s="1">
        <v>46037</v>
      </c>
      <c r="F325" t="s">
        <v>1783</v>
      </c>
      <c r="I325" t="b">
        <v>0</v>
      </c>
      <c r="J325" s="48">
        <v>20.16</v>
      </c>
      <c r="K325" s="185">
        <f t="shared" si="170"/>
        <v>20.16</v>
      </c>
      <c r="L325" s="72">
        <v>1</v>
      </c>
      <c r="M325" s="72">
        <v>0</v>
      </c>
      <c r="N325" s="185">
        <f>$P325*$M325</f>
        <v>0</v>
      </c>
      <c r="O325" s="185">
        <f t="shared" si="168"/>
        <v>0</v>
      </c>
      <c r="P325" s="185">
        <f>$J325/(100%+$M325)</f>
        <v>20.16</v>
      </c>
      <c r="Q325" s="185">
        <f t="shared" si="174"/>
        <v>20.16</v>
      </c>
      <c r="R325" s="192">
        <f t="shared" si="167"/>
        <v>46157</v>
      </c>
      <c r="S325">
        <v>20</v>
      </c>
      <c r="T325" s="183">
        <f t="shared" si="169"/>
        <v>20.16</v>
      </c>
      <c r="U325" s="195">
        <f t="shared" si="131"/>
        <v>4.032</v>
      </c>
    </row>
    <row r="326" spans="1:22" x14ac:dyDescent="0.25">
      <c r="A326" s="191">
        <v>2026</v>
      </c>
      <c r="B326" s="189">
        <v>7</v>
      </c>
      <c r="C326" s="71" t="s">
        <v>105</v>
      </c>
      <c r="D326" t="s">
        <v>705</v>
      </c>
      <c r="E326" s="1">
        <v>46042</v>
      </c>
      <c r="F326" t="s">
        <v>1032</v>
      </c>
      <c r="I326" t="b">
        <v>0</v>
      </c>
      <c r="J326" s="48">
        <v>11.7</v>
      </c>
      <c r="K326" s="185">
        <f t="shared" si="170"/>
        <v>11.7</v>
      </c>
      <c r="L326" s="72">
        <v>1</v>
      </c>
      <c r="M326" s="72">
        <v>0</v>
      </c>
      <c r="N326" s="185">
        <f>$P326*$M326</f>
        <v>0</v>
      </c>
      <c r="O326" s="185">
        <f t="shared" ref="O326:O329" si="176">L326*$N326</f>
        <v>0</v>
      </c>
      <c r="P326" s="185">
        <f>$J326/(100%+$M326)</f>
        <v>11.7</v>
      </c>
      <c r="Q326" s="185">
        <f>$L326*$P326</f>
        <v>11.7</v>
      </c>
      <c r="R326" s="192">
        <f t="shared" si="167"/>
        <v>46157</v>
      </c>
      <c r="S326">
        <v>20</v>
      </c>
      <c r="T326" s="183">
        <f t="shared" ref="T326:T329" si="177">IF(G326=TRUE,Q326/F326,Q326)</f>
        <v>11.7</v>
      </c>
      <c r="U326" s="195">
        <f t="shared" si="131"/>
        <v>2.34</v>
      </c>
    </row>
    <row r="327" spans="1:22" x14ac:dyDescent="0.25">
      <c r="A327" s="191">
        <v>2026</v>
      </c>
      <c r="B327" s="189">
        <v>8</v>
      </c>
      <c r="C327" s="71" t="s">
        <v>105</v>
      </c>
      <c r="D327" t="s">
        <v>705</v>
      </c>
      <c r="E327" s="1">
        <v>46048</v>
      </c>
      <c r="F327" t="s">
        <v>1794</v>
      </c>
      <c r="I327" t="b">
        <v>0</v>
      </c>
      <c r="J327" s="48">
        <v>20.88</v>
      </c>
      <c r="K327" s="185">
        <f t="shared" si="170"/>
        <v>20.88</v>
      </c>
      <c r="L327" s="72">
        <v>1</v>
      </c>
      <c r="M327" s="72">
        <v>0.2</v>
      </c>
      <c r="N327" s="185">
        <f t="shared" ref="N327:N328" si="178">$P327*$M327</f>
        <v>3.4283333333333341</v>
      </c>
      <c r="O327" s="185">
        <f t="shared" si="176"/>
        <v>3.4283333333333341</v>
      </c>
      <c r="P327" s="185">
        <f>($J327-0.31)/(100%+$M327)</f>
        <v>17.141666666666669</v>
      </c>
      <c r="Q327" s="185">
        <f t="shared" si="174"/>
        <v>17.141666666666669</v>
      </c>
      <c r="R327" s="192">
        <f t="shared" si="167"/>
        <v>46157</v>
      </c>
      <c r="T327" s="183">
        <f t="shared" si="177"/>
        <v>17.141666666666669</v>
      </c>
      <c r="U327" s="195">
        <f t="shared" si="131"/>
        <v>0</v>
      </c>
    </row>
    <row r="328" spans="1:22" x14ac:dyDescent="0.25">
      <c r="A328" s="191">
        <v>2026</v>
      </c>
      <c r="B328" s="189">
        <v>9</v>
      </c>
      <c r="C328" s="71" t="s">
        <v>105</v>
      </c>
      <c r="D328" t="s">
        <v>705</v>
      </c>
      <c r="E328" s="1">
        <v>46049</v>
      </c>
      <c r="F328" t="s">
        <v>1857</v>
      </c>
      <c r="I328" t="b">
        <v>0</v>
      </c>
      <c r="J328" s="48">
        <v>301.18</v>
      </c>
      <c r="K328" s="185">
        <f t="shared" si="170"/>
        <v>301.18</v>
      </c>
      <c r="L328" s="72">
        <v>1</v>
      </c>
      <c r="M328" s="72">
        <v>0</v>
      </c>
      <c r="N328" s="185">
        <f t="shared" si="178"/>
        <v>0</v>
      </c>
      <c r="O328" s="185">
        <f t="shared" si="176"/>
        <v>0</v>
      </c>
      <c r="P328" s="185">
        <f t="shared" ref="P328" si="179">$J328/(100%+$M328)</f>
        <v>301.18</v>
      </c>
      <c r="Q328" s="185">
        <f t="shared" si="174"/>
        <v>301.18</v>
      </c>
      <c r="R328" s="192">
        <f t="shared" si="167"/>
        <v>46157</v>
      </c>
      <c r="T328" s="183">
        <f t="shared" si="177"/>
        <v>301.18</v>
      </c>
      <c r="U328" s="195">
        <f t="shared" ref="U328" si="180">$S328/100*$K328</f>
        <v>0</v>
      </c>
    </row>
    <row r="329" spans="1:22" x14ac:dyDescent="0.25">
      <c r="A329" s="191">
        <v>2026</v>
      </c>
      <c r="B329" s="189">
        <v>10</v>
      </c>
      <c r="C329" s="71" t="s">
        <v>105</v>
      </c>
      <c r="D329" t="s">
        <v>705</v>
      </c>
      <c r="E329" s="1">
        <v>46056</v>
      </c>
      <c r="F329" t="s">
        <v>1840</v>
      </c>
      <c r="I329" t="b">
        <v>0</v>
      </c>
      <c r="J329" s="48">
        <v>16.2</v>
      </c>
      <c r="K329" s="185">
        <f t="shared" si="170"/>
        <v>16.2</v>
      </c>
      <c r="L329" s="72">
        <v>1</v>
      </c>
      <c r="M329" s="72">
        <v>0</v>
      </c>
      <c r="N329" s="185">
        <f>$P329*$M329</f>
        <v>0</v>
      </c>
      <c r="O329" s="185">
        <f t="shared" si="176"/>
        <v>0</v>
      </c>
      <c r="P329" s="185">
        <f>$J329/(100%+$M329)</f>
        <v>16.2</v>
      </c>
      <c r="Q329" s="185">
        <f t="shared" si="174"/>
        <v>16.2</v>
      </c>
      <c r="R329" s="192">
        <f t="shared" si="167"/>
        <v>46157</v>
      </c>
      <c r="S329">
        <v>20</v>
      </c>
      <c r="T329" s="183">
        <f t="shared" si="177"/>
        <v>16.2</v>
      </c>
      <c r="U329" s="195">
        <f t="shared" si="131"/>
        <v>3.24</v>
      </c>
      <c r="V329" t="b">
        <f>AND(M329&gt;0,S329&gt;0)</f>
        <v>0</v>
      </c>
    </row>
    <row r="330" spans="1:22" x14ac:dyDescent="0.25">
      <c r="A330" s="191">
        <v>2026</v>
      </c>
      <c r="B330" s="189">
        <v>11</v>
      </c>
      <c r="C330" s="71" t="s">
        <v>105</v>
      </c>
      <c r="D330" t="s">
        <v>705</v>
      </c>
      <c r="E330" s="1">
        <v>46056</v>
      </c>
      <c r="F330" t="s">
        <v>1858</v>
      </c>
      <c r="I330" t="b">
        <v>0</v>
      </c>
      <c r="J330" s="48">
        <v>100</v>
      </c>
      <c r="K330" s="185">
        <f t="shared" si="170"/>
        <v>100</v>
      </c>
      <c r="L330" s="72">
        <v>1</v>
      </c>
      <c r="M330" s="72">
        <v>0.2</v>
      </c>
      <c r="N330" s="185">
        <f>$P330*$M330</f>
        <v>16.666666666666668</v>
      </c>
      <c r="O330" s="185">
        <f t="shared" ref="O330:O331" si="181">L330*$N330</f>
        <v>16.666666666666668</v>
      </c>
      <c r="P330" s="185">
        <f>$J330/(100%+$M330)</f>
        <v>83.333333333333343</v>
      </c>
      <c r="Q330" s="185">
        <f t="shared" si="174"/>
        <v>83.333333333333343</v>
      </c>
      <c r="R330" s="192">
        <f t="shared" si="167"/>
        <v>46157</v>
      </c>
      <c r="T330" s="183">
        <f t="shared" ref="T330:T331" si="182">IF(G330=TRUE,Q330/F330,Q330)</f>
        <v>83.333333333333343</v>
      </c>
      <c r="U330" s="195">
        <f t="shared" si="131"/>
        <v>0</v>
      </c>
      <c r="V330" t="b">
        <f t="shared" ref="V330:V337" si="183">AND(M330&gt;0,S330&gt;0)</f>
        <v>0</v>
      </c>
    </row>
    <row r="331" spans="1:22" x14ac:dyDescent="0.25">
      <c r="A331" s="191">
        <v>2026</v>
      </c>
      <c r="B331" s="189">
        <v>12</v>
      </c>
      <c r="C331" s="71" t="s">
        <v>105</v>
      </c>
      <c r="D331" t="s">
        <v>703</v>
      </c>
      <c r="E331" s="1">
        <v>46056</v>
      </c>
      <c r="F331" t="s">
        <v>34</v>
      </c>
      <c r="I331" t="b">
        <v>0</v>
      </c>
      <c r="J331" s="48">
        <v>13.91</v>
      </c>
      <c r="K331" s="185">
        <f t="shared" si="170"/>
        <v>13.91</v>
      </c>
      <c r="L331" s="72">
        <v>1</v>
      </c>
      <c r="M331" s="72">
        <v>0.2</v>
      </c>
      <c r="N331" s="185">
        <f t="shared" ref="N331" si="184">$P331*$M331</f>
        <v>2.3183333333333334</v>
      </c>
      <c r="O331" s="185">
        <f t="shared" si="181"/>
        <v>2.3183333333333334</v>
      </c>
      <c r="P331" s="185">
        <f t="shared" ref="P331" si="185">$J331/(100%+$M331)</f>
        <v>11.591666666666667</v>
      </c>
      <c r="Q331" s="185">
        <f t="shared" si="174"/>
        <v>11.591666666666667</v>
      </c>
      <c r="R331" s="192">
        <f t="shared" si="167"/>
        <v>46157</v>
      </c>
      <c r="T331" s="183">
        <f t="shared" si="182"/>
        <v>11.591666666666667</v>
      </c>
      <c r="U331" s="195">
        <f t="shared" si="131"/>
        <v>0</v>
      </c>
      <c r="V331" t="b">
        <f t="shared" si="183"/>
        <v>0</v>
      </c>
    </row>
    <row r="332" spans="1:22" x14ac:dyDescent="0.25">
      <c r="A332" s="191">
        <v>2026</v>
      </c>
      <c r="B332" s="189">
        <v>13</v>
      </c>
      <c r="C332" s="71" t="s">
        <v>105</v>
      </c>
      <c r="D332" t="s">
        <v>705</v>
      </c>
      <c r="E332" s="1">
        <v>46063</v>
      </c>
      <c r="F332" t="s">
        <v>1858</v>
      </c>
      <c r="I332" t="b">
        <v>0</v>
      </c>
      <c r="J332" s="48">
        <v>20</v>
      </c>
      <c r="K332" s="185">
        <f t="shared" si="170"/>
        <v>20</v>
      </c>
      <c r="L332" s="72">
        <v>1</v>
      </c>
      <c r="M332" s="72">
        <v>0.2</v>
      </c>
      <c r="N332" s="185">
        <f>$P332*$M332</f>
        <v>3.3333333333333339</v>
      </c>
      <c r="O332" s="185">
        <f t="shared" ref="O332:O340" si="186">L332*$N332</f>
        <v>3.3333333333333339</v>
      </c>
      <c r="P332" s="185">
        <f>$J332/(100%+$M332)</f>
        <v>16.666666666666668</v>
      </c>
      <c r="Q332" s="185">
        <f t="shared" si="174"/>
        <v>16.666666666666668</v>
      </c>
      <c r="R332" s="192">
        <f t="shared" si="167"/>
        <v>46157</v>
      </c>
      <c r="T332" s="183">
        <f t="shared" ref="T332:T340" si="187">IF(G332=TRUE,Q332/F332,Q332)</f>
        <v>16.666666666666668</v>
      </c>
      <c r="U332" s="195">
        <f t="shared" si="131"/>
        <v>0</v>
      </c>
      <c r="V332" t="b">
        <f t="shared" si="183"/>
        <v>0</v>
      </c>
    </row>
    <row r="333" spans="1:22" x14ac:dyDescent="0.25">
      <c r="A333" s="191">
        <v>2026</v>
      </c>
      <c r="B333" s="189">
        <v>14</v>
      </c>
      <c r="C333" s="71" t="s">
        <v>105</v>
      </c>
      <c r="D333" t="s">
        <v>705</v>
      </c>
      <c r="E333" s="1">
        <v>46065</v>
      </c>
      <c r="F333" t="s">
        <v>1783</v>
      </c>
      <c r="I333" t="b">
        <v>0</v>
      </c>
      <c r="J333" s="48">
        <v>56</v>
      </c>
      <c r="K333" s="185">
        <f t="shared" si="170"/>
        <v>56</v>
      </c>
      <c r="L333" s="72">
        <v>1</v>
      </c>
      <c r="M333" s="72">
        <v>0</v>
      </c>
      <c r="N333" s="185">
        <f>$P333*$M333</f>
        <v>0</v>
      </c>
      <c r="O333" s="185">
        <f t="shared" si="186"/>
        <v>0</v>
      </c>
      <c r="P333" s="185">
        <f>$J333/(100%+$M333)</f>
        <v>56</v>
      </c>
      <c r="Q333" s="185">
        <f t="shared" si="174"/>
        <v>56</v>
      </c>
      <c r="R333" s="192">
        <f t="shared" si="167"/>
        <v>46157</v>
      </c>
      <c r="S333">
        <v>20</v>
      </c>
      <c r="T333" s="183">
        <f t="shared" si="187"/>
        <v>56</v>
      </c>
      <c r="U333" s="195">
        <f t="shared" si="131"/>
        <v>11.200000000000001</v>
      </c>
      <c r="V333" t="b">
        <f t="shared" si="183"/>
        <v>0</v>
      </c>
    </row>
    <row r="334" spans="1:22" x14ac:dyDescent="0.25">
      <c r="A334" s="191">
        <v>2026</v>
      </c>
      <c r="B334" s="189">
        <v>15</v>
      </c>
      <c r="C334" s="71" t="s">
        <v>708</v>
      </c>
      <c r="D334" t="s">
        <v>709</v>
      </c>
      <c r="E334" s="1">
        <v>46065</v>
      </c>
      <c r="F334" t="s">
        <v>1788</v>
      </c>
      <c r="I334" t="b">
        <v>0</v>
      </c>
      <c r="J334" s="48">
        <v>14805.6</v>
      </c>
      <c r="K334" s="185">
        <f t="shared" si="170"/>
        <v>14805.6</v>
      </c>
      <c r="L334" s="72">
        <v>1</v>
      </c>
      <c r="M334" s="72">
        <v>0.2</v>
      </c>
      <c r="N334" s="185">
        <f>$P334*$M334</f>
        <v>2467.6000000000004</v>
      </c>
      <c r="O334" s="185">
        <f t="shared" si="186"/>
        <v>2467.6000000000004</v>
      </c>
      <c r="P334" s="185">
        <f>$J334/(100%+$M334)</f>
        <v>12338</v>
      </c>
      <c r="Q334" s="185">
        <f t="shared" si="174"/>
        <v>12338</v>
      </c>
      <c r="R334" s="192">
        <f t="shared" si="167"/>
        <v>46157</v>
      </c>
      <c r="T334" s="183">
        <f t="shared" si="187"/>
        <v>12338</v>
      </c>
      <c r="U334" s="195">
        <f t="shared" si="131"/>
        <v>0</v>
      </c>
      <c r="V334" t="b">
        <f t="shared" si="183"/>
        <v>0</v>
      </c>
    </row>
    <row r="335" spans="1:22" x14ac:dyDescent="0.25">
      <c r="A335" s="191">
        <v>2026</v>
      </c>
      <c r="B335" s="189">
        <v>16</v>
      </c>
      <c r="C335" s="71" t="s">
        <v>105</v>
      </c>
      <c r="D335" t="s">
        <v>705</v>
      </c>
      <c r="E335" s="1">
        <v>46069</v>
      </c>
      <c r="F335" t="s">
        <v>1783</v>
      </c>
      <c r="I335" t="b">
        <v>0</v>
      </c>
      <c r="J335" s="48">
        <v>9.16</v>
      </c>
      <c r="K335" s="185">
        <f t="shared" si="170"/>
        <v>9.16</v>
      </c>
      <c r="L335" s="72">
        <v>1</v>
      </c>
      <c r="M335" s="72">
        <v>0</v>
      </c>
      <c r="N335" s="185">
        <f>$P335*$M335</f>
        <v>0</v>
      </c>
      <c r="O335" s="185">
        <f t="shared" si="186"/>
        <v>0</v>
      </c>
      <c r="P335" s="185">
        <f>$J335/(100%+$M335)</f>
        <v>9.16</v>
      </c>
      <c r="Q335" s="185">
        <f t="shared" si="174"/>
        <v>9.16</v>
      </c>
      <c r="R335" s="192">
        <f t="shared" si="167"/>
        <v>46157</v>
      </c>
      <c r="S335">
        <v>20</v>
      </c>
      <c r="T335" s="183">
        <f t="shared" si="187"/>
        <v>9.16</v>
      </c>
      <c r="U335" s="195">
        <f t="shared" si="131"/>
        <v>1.8320000000000001</v>
      </c>
      <c r="V335" t="b">
        <f t="shared" si="183"/>
        <v>0</v>
      </c>
    </row>
    <row r="336" spans="1:22" x14ac:dyDescent="0.25">
      <c r="A336" s="191">
        <v>2026</v>
      </c>
      <c r="B336" s="189">
        <v>17</v>
      </c>
      <c r="C336" s="71" t="s">
        <v>105</v>
      </c>
      <c r="D336" t="s">
        <v>705</v>
      </c>
      <c r="E336" s="1">
        <v>46073</v>
      </c>
      <c r="F336" t="s">
        <v>1032</v>
      </c>
      <c r="I336" t="b">
        <v>0</v>
      </c>
      <c r="J336" s="48">
        <v>11.7</v>
      </c>
      <c r="K336" s="185">
        <f t="shared" si="170"/>
        <v>11.7</v>
      </c>
      <c r="L336" s="72">
        <v>1</v>
      </c>
      <c r="M336" s="72">
        <v>0</v>
      </c>
      <c r="N336" s="185">
        <f>$P336*$M336</f>
        <v>0</v>
      </c>
      <c r="O336" s="185">
        <f t="shared" si="186"/>
        <v>0</v>
      </c>
      <c r="P336" s="185">
        <f>$J336/(100%+$M336)</f>
        <v>11.7</v>
      </c>
      <c r="Q336" s="185">
        <f>$L336*$P336</f>
        <v>11.7</v>
      </c>
      <c r="R336" s="192">
        <f t="shared" si="167"/>
        <v>46157</v>
      </c>
      <c r="S336">
        <v>20</v>
      </c>
      <c r="T336" s="183">
        <f t="shared" si="187"/>
        <v>11.7</v>
      </c>
      <c r="U336" s="195">
        <f t="shared" si="131"/>
        <v>2.34</v>
      </c>
      <c r="V336" t="b">
        <f t="shared" si="183"/>
        <v>0</v>
      </c>
    </row>
    <row r="337" spans="1:22" x14ac:dyDescent="0.25">
      <c r="A337" s="191">
        <v>2026</v>
      </c>
      <c r="B337" s="189">
        <v>18</v>
      </c>
      <c r="C337" s="71" t="s">
        <v>105</v>
      </c>
      <c r="D337" t="s">
        <v>705</v>
      </c>
      <c r="E337" s="1">
        <v>46078</v>
      </c>
      <c r="F337" t="s">
        <v>1794</v>
      </c>
      <c r="I337" t="b">
        <v>0</v>
      </c>
      <c r="J337" s="48">
        <v>20.75</v>
      </c>
      <c r="K337" s="185">
        <f t="shared" si="170"/>
        <v>20.75</v>
      </c>
      <c r="L337" s="72">
        <v>1</v>
      </c>
      <c r="M337" s="72">
        <v>0.2</v>
      </c>
      <c r="N337" s="185">
        <f t="shared" ref="N337" si="188">$P337*$M337</f>
        <v>3.4066666666666672</v>
      </c>
      <c r="O337" s="185">
        <f t="shared" si="186"/>
        <v>3.4066666666666672</v>
      </c>
      <c r="P337" s="185">
        <f>($J337-0.31)/(100%+$M337)</f>
        <v>17.033333333333335</v>
      </c>
      <c r="Q337" s="185">
        <f t="shared" si="174"/>
        <v>17.033333333333335</v>
      </c>
      <c r="R337" s="192">
        <f t="shared" si="167"/>
        <v>46157</v>
      </c>
      <c r="T337" s="183">
        <f t="shared" si="187"/>
        <v>17.033333333333335</v>
      </c>
      <c r="U337" s="195">
        <f t="shared" si="131"/>
        <v>0</v>
      </c>
      <c r="V337" t="b">
        <f t="shared" si="183"/>
        <v>0</v>
      </c>
    </row>
    <row r="338" spans="1:22" x14ac:dyDescent="0.25">
      <c r="A338" s="191">
        <v>2026</v>
      </c>
      <c r="B338" s="189">
        <v>19</v>
      </c>
      <c r="C338" s="71" t="s">
        <v>105</v>
      </c>
      <c r="D338" t="s">
        <v>705</v>
      </c>
      <c r="E338" s="1">
        <v>46084</v>
      </c>
      <c r="F338" t="s">
        <v>1840</v>
      </c>
      <c r="I338" t="b">
        <v>0</v>
      </c>
      <c r="J338" s="48">
        <v>16.2</v>
      </c>
      <c r="K338" s="185">
        <f t="shared" si="170"/>
        <v>16.2</v>
      </c>
      <c r="L338" s="72">
        <v>1</v>
      </c>
      <c r="M338" s="72">
        <v>0</v>
      </c>
      <c r="N338" s="185">
        <f>$P338*$M338</f>
        <v>0</v>
      </c>
      <c r="O338" s="185">
        <f t="shared" si="186"/>
        <v>0</v>
      </c>
      <c r="P338" s="185">
        <f>$J338/(100%+$M338)</f>
        <v>16.2</v>
      </c>
      <c r="Q338" s="185">
        <f t="shared" si="174"/>
        <v>16.2</v>
      </c>
      <c r="R338" s="192">
        <f t="shared" si="167"/>
        <v>46157</v>
      </c>
      <c r="S338">
        <v>20</v>
      </c>
      <c r="T338" s="183">
        <f t="shared" si="187"/>
        <v>16.2</v>
      </c>
      <c r="U338" s="195">
        <f t="shared" si="131"/>
        <v>3.24</v>
      </c>
    </row>
    <row r="339" spans="1:22" x14ac:dyDescent="0.25">
      <c r="A339" s="191">
        <v>2026</v>
      </c>
      <c r="B339" s="189">
        <v>20</v>
      </c>
      <c r="C339" s="71" t="s">
        <v>105</v>
      </c>
      <c r="D339" t="s">
        <v>705</v>
      </c>
      <c r="E339" s="1">
        <v>46084</v>
      </c>
      <c r="F339" t="s">
        <v>1818</v>
      </c>
      <c r="H339" s="3" t="s">
        <v>958</v>
      </c>
      <c r="I339" t="b">
        <v>0</v>
      </c>
      <c r="J339" s="48">
        <v>669</v>
      </c>
      <c r="K339" s="185">
        <f t="shared" si="170"/>
        <v>669</v>
      </c>
      <c r="L339" s="72">
        <v>1</v>
      </c>
      <c r="M339" s="72">
        <v>0.2</v>
      </c>
      <c r="N339" s="185">
        <f t="shared" ref="N339:N343" si="189">$P339*$M339</f>
        <v>111.5</v>
      </c>
      <c r="O339" s="185">
        <f t="shared" si="186"/>
        <v>111.5</v>
      </c>
      <c r="P339" s="185">
        <f>$J339/(100%+$M339)</f>
        <v>557.5</v>
      </c>
      <c r="Q339" s="185">
        <f t="shared" si="174"/>
        <v>557.5</v>
      </c>
      <c r="R339" s="192">
        <f t="shared" si="167"/>
        <v>46157</v>
      </c>
      <c r="T339" s="183">
        <f t="shared" si="187"/>
        <v>557.5</v>
      </c>
      <c r="U339" s="195">
        <f t="shared" ref="U339" si="190">$S339/100*$K339</f>
        <v>0</v>
      </c>
    </row>
    <row r="340" spans="1:22" x14ac:dyDescent="0.25">
      <c r="A340" s="191">
        <v>2026</v>
      </c>
      <c r="B340" s="189">
        <v>21</v>
      </c>
      <c r="C340" s="71" t="s">
        <v>105</v>
      </c>
      <c r="D340" t="s">
        <v>703</v>
      </c>
      <c r="E340" s="1">
        <v>46086</v>
      </c>
      <c r="F340" t="s">
        <v>34</v>
      </c>
      <c r="I340" t="b">
        <v>0</v>
      </c>
      <c r="J340" s="48">
        <v>13.91</v>
      </c>
      <c r="K340" s="185">
        <f t="shared" si="170"/>
        <v>13.91</v>
      </c>
      <c r="L340" s="72">
        <v>1</v>
      </c>
      <c r="M340" s="72">
        <v>0.2</v>
      </c>
      <c r="N340" s="185">
        <f t="shared" si="189"/>
        <v>2.3183333333333334</v>
      </c>
      <c r="O340" s="185">
        <f t="shared" si="186"/>
        <v>2.3183333333333334</v>
      </c>
      <c r="P340" s="185">
        <f t="shared" ref="P340:P343" si="191">$J340/(100%+$M340)</f>
        <v>11.591666666666667</v>
      </c>
      <c r="Q340" s="185">
        <f t="shared" si="174"/>
        <v>11.591666666666667</v>
      </c>
      <c r="R340" s="192">
        <f t="shared" si="167"/>
        <v>46157</v>
      </c>
      <c r="T340" s="183">
        <f t="shared" si="187"/>
        <v>11.591666666666667</v>
      </c>
      <c r="U340" s="195">
        <f t="shared" si="131"/>
        <v>0</v>
      </c>
    </row>
    <row r="341" spans="1:22" x14ac:dyDescent="0.25">
      <c r="A341" s="191">
        <v>2026</v>
      </c>
      <c r="B341" s="189">
        <v>22</v>
      </c>
      <c r="C341" s="71" t="s">
        <v>105</v>
      </c>
      <c r="D341" t="s">
        <v>705</v>
      </c>
      <c r="E341" s="1">
        <v>46093</v>
      </c>
      <c r="F341" t="s">
        <v>1783</v>
      </c>
      <c r="I341" t="b">
        <v>0</v>
      </c>
      <c r="J341" s="48">
        <v>56</v>
      </c>
      <c r="K341" s="185">
        <f t="shared" si="170"/>
        <v>56</v>
      </c>
      <c r="L341" s="72">
        <v>1</v>
      </c>
      <c r="M341" s="72">
        <v>0</v>
      </c>
      <c r="N341" s="185">
        <f>$P341*$M341</f>
        <v>0</v>
      </c>
      <c r="O341" s="185">
        <f t="shared" ref="O341:O342" si="192">L341*$N341</f>
        <v>0</v>
      </c>
      <c r="P341" s="185">
        <f>$J341/(100%+$M341)</f>
        <v>56</v>
      </c>
      <c r="Q341" s="185">
        <f t="shared" si="174"/>
        <v>56</v>
      </c>
      <c r="R341" s="192">
        <f t="shared" si="167"/>
        <v>46157</v>
      </c>
      <c r="S341">
        <v>20</v>
      </c>
      <c r="T341" s="183">
        <f t="shared" ref="T341:T342" si="193">IF(G341=TRUE,Q341/F341,Q341)</f>
        <v>56</v>
      </c>
      <c r="U341" s="195">
        <f t="shared" si="131"/>
        <v>11.200000000000001</v>
      </c>
    </row>
    <row r="342" spans="1:22" x14ac:dyDescent="0.25">
      <c r="A342" s="191">
        <v>2026</v>
      </c>
      <c r="B342" s="189">
        <v>23</v>
      </c>
      <c r="C342" s="71" t="s">
        <v>105</v>
      </c>
      <c r="D342" t="s">
        <v>705</v>
      </c>
      <c r="E342" s="1">
        <v>46093</v>
      </c>
      <c r="F342" t="s">
        <v>1176</v>
      </c>
      <c r="I342" t="b">
        <v>0</v>
      </c>
      <c r="J342" s="48">
        <v>28.02</v>
      </c>
      <c r="K342" s="185">
        <f t="shared" si="170"/>
        <v>28.02</v>
      </c>
      <c r="L342" s="72">
        <v>1</v>
      </c>
      <c r="M342" s="72">
        <v>0.2</v>
      </c>
      <c r="N342" s="185">
        <f t="shared" si="189"/>
        <v>4.6700000000000008</v>
      </c>
      <c r="O342" s="185">
        <f t="shared" si="192"/>
        <v>4.6700000000000008</v>
      </c>
      <c r="P342" s="185">
        <f t="shared" si="191"/>
        <v>23.35</v>
      </c>
      <c r="Q342" s="185">
        <f t="shared" si="174"/>
        <v>23.35</v>
      </c>
      <c r="R342" s="192">
        <f t="shared" si="167"/>
        <v>46157</v>
      </c>
      <c r="T342" s="183">
        <f t="shared" si="193"/>
        <v>23.35</v>
      </c>
      <c r="U342" s="195">
        <f t="shared" si="131"/>
        <v>0</v>
      </c>
    </row>
    <row r="343" spans="1:22" x14ac:dyDescent="0.25">
      <c r="A343" s="191">
        <v>2026</v>
      </c>
      <c r="B343" s="189">
        <v>24</v>
      </c>
      <c r="C343" s="71" t="s">
        <v>105</v>
      </c>
      <c r="D343" t="s">
        <v>705</v>
      </c>
      <c r="E343" s="1">
        <v>46093</v>
      </c>
      <c r="F343" t="s">
        <v>1176</v>
      </c>
      <c r="I343" t="b">
        <v>0</v>
      </c>
      <c r="J343" s="48">
        <v>43.54</v>
      </c>
      <c r="K343" s="185">
        <f t="shared" si="170"/>
        <v>43.54</v>
      </c>
      <c r="L343" s="72">
        <v>1</v>
      </c>
      <c r="M343" s="72">
        <v>0.2</v>
      </c>
      <c r="N343" s="185">
        <f t="shared" si="189"/>
        <v>7.2566666666666668</v>
      </c>
      <c r="O343" s="185">
        <f t="shared" ref="O343:O347" si="194">L343*$N343</f>
        <v>7.2566666666666668</v>
      </c>
      <c r="P343" s="185">
        <f t="shared" si="191"/>
        <v>36.283333333333331</v>
      </c>
      <c r="Q343" s="185">
        <f t="shared" si="174"/>
        <v>36.283333333333331</v>
      </c>
      <c r="R343" s="192">
        <f t="shared" si="167"/>
        <v>46157</v>
      </c>
      <c r="T343" s="183">
        <f t="shared" ref="T343:T347" si="195">IF(G343=TRUE,Q343/F343,Q343)</f>
        <v>36.283333333333331</v>
      </c>
      <c r="U343" s="195">
        <f t="shared" si="131"/>
        <v>0</v>
      </c>
    </row>
    <row r="344" spans="1:22" x14ac:dyDescent="0.25">
      <c r="A344" s="191">
        <v>2026</v>
      </c>
      <c r="B344" s="189">
        <v>25</v>
      </c>
      <c r="C344" s="71" t="s">
        <v>105</v>
      </c>
      <c r="D344" t="s">
        <v>705</v>
      </c>
      <c r="E344" s="1">
        <v>46097</v>
      </c>
      <c r="F344" t="s">
        <v>1783</v>
      </c>
      <c r="I344" t="b">
        <v>0</v>
      </c>
      <c r="J344" s="48">
        <v>9.16</v>
      </c>
      <c r="K344" s="185">
        <f t="shared" si="170"/>
        <v>9.16</v>
      </c>
      <c r="L344" s="72">
        <v>1</v>
      </c>
      <c r="M344" s="72">
        <v>0</v>
      </c>
      <c r="N344" s="185">
        <f>$P344*$M344</f>
        <v>0</v>
      </c>
      <c r="O344" s="185">
        <f t="shared" si="194"/>
        <v>0</v>
      </c>
      <c r="P344" s="185">
        <f>$J344/(100%+$M344)</f>
        <v>9.16</v>
      </c>
      <c r="Q344" s="185">
        <f t="shared" si="174"/>
        <v>9.16</v>
      </c>
      <c r="R344" s="192">
        <f t="shared" si="167"/>
        <v>46157</v>
      </c>
      <c r="S344">
        <v>20</v>
      </c>
      <c r="T344" s="183">
        <f t="shared" si="195"/>
        <v>9.16</v>
      </c>
      <c r="U344" s="195">
        <f t="shared" si="131"/>
        <v>1.8320000000000001</v>
      </c>
    </row>
    <row r="345" spans="1:22" x14ac:dyDescent="0.25">
      <c r="A345" s="191">
        <v>2026</v>
      </c>
      <c r="B345" s="189">
        <v>26</v>
      </c>
      <c r="C345" s="71" t="s">
        <v>708</v>
      </c>
      <c r="D345" t="s">
        <v>709</v>
      </c>
      <c r="E345" s="1">
        <v>46098</v>
      </c>
      <c r="F345" t="s">
        <v>1788</v>
      </c>
      <c r="I345" t="b">
        <v>0</v>
      </c>
      <c r="J345" s="48">
        <v>21014.400000000001</v>
      </c>
      <c r="K345" s="185">
        <f t="shared" si="170"/>
        <v>21014.400000000001</v>
      </c>
      <c r="L345" s="72">
        <v>1</v>
      </c>
      <c r="M345" s="72">
        <v>0.2</v>
      </c>
      <c r="N345" s="185">
        <f>$P345*$M345</f>
        <v>3502.400000000001</v>
      </c>
      <c r="O345" s="185">
        <f t="shared" si="194"/>
        <v>3502.400000000001</v>
      </c>
      <c r="P345" s="185">
        <f>$J345/(100%+$M345)</f>
        <v>17512.000000000004</v>
      </c>
      <c r="Q345" s="185">
        <f t="shared" si="174"/>
        <v>17512.000000000004</v>
      </c>
      <c r="R345" s="192">
        <f t="shared" si="167"/>
        <v>46157</v>
      </c>
      <c r="T345" s="183">
        <f t="shared" si="195"/>
        <v>17512.000000000004</v>
      </c>
      <c r="U345" s="195">
        <f t="shared" si="131"/>
        <v>0</v>
      </c>
    </row>
    <row r="346" spans="1:22" x14ac:dyDescent="0.25">
      <c r="A346" s="191">
        <v>2026</v>
      </c>
      <c r="B346" s="189">
        <v>27</v>
      </c>
      <c r="C346" s="71" t="s">
        <v>105</v>
      </c>
      <c r="D346" t="s">
        <v>705</v>
      </c>
      <c r="E346" s="1">
        <v>46101</v>
      </c>
      <c r="F346" t="s">
        <v>1032</v>
      </c>
      <c r="I346" t="b">
        <v>0</v>
      </c>
      <c r="J346" s="48">
        <v>11.7</v>
      </c>
      <c r="K346" s="185">
        <f t="shared" si="170"/>
        <v>11.7</v>
      </c>
      <c r="L346" s="72">
        <v>1</v>
      </c>
      <c r="M346" s="72">
        <v>0</v>
      </c>
      <c r="N346" s="185">
        <f>$P346*$M346</f>
        <v>0</v>
      </c>
      <c r="O346" s="185">
        <f t="shared" si="194"/>
        <v>0</v>
      </c>
      <c r="P346" s="185">
        <f>$J346/(100%+$M346)</f>
        <v>11.7</v>
      </c>
      <c r="Q346" s="185">
        <f>$L346*$P346</f>
        <v>11.7</v>
      </c>
      <c r="R346" s="192">
        <f t="shared" ref="R346:R352" si="196">voranmeldefrist_vierteljaehrlich(E346)</f>
        <v>46157</v>
      </c>
      <c r="S346">
        <v>20</v>
      </c>
      <c r="T346" s="183">
        <f t="shared" si="195"/>
        <v>11.7</v>
      </c>
      <c r="U346" s="195">
        <f t="shared" si="131"/>
        <v>2.34</v>
      </c>
    </row>
    <row r="347" spans="1:22" x14ac:dyDescent="0.25">
      <c r="A347" s="191">
        <v>2026</v>
      </c>
      <c r="B347" s="189">
        <v>28</v>
      </c>
      <c r="C347" s="71" t="s">
        <v>105</v>
      </c>
      <c r="D347" t="s">
        <v>705</v>
      </c>
      <c r="E347" s="1">
        <v>46106</v>
      </c>
      <c r="F347" t="s">
        <v>1794</v>
      </c>
      <c r="I347" t="b">
        <v>0</v>
      </c>
      <c r="J347" s="48">
        <v>21.16</v>
      </c>
      <c r="K347" s="185">
        <f t="shared" si="170"/>
        <v>21.16</v>
      </c>
      <c r="L347" s="72">
        <v>1</v>
      </c>
      <c r="M347" s="72">
        <v>0.2</v>
      </c>
      <c r="N347" s="185">
        <f t="shared" ref="N347:N349" si="197">$P347*$M347</f>
        <v>3.475000000000001</v>
      </c>
      <c r="O347" s="185">
        <f t="shared" si="194"/>
        <v>3.475000000000001</v>
      </c>
      <c r="P347" s="185">
        <f>($J347-0.31)/(100%+$M347)</f>
        <v>17.375000000000004</v>
      </c>
      <c r="Q347" s="185">
        <f t="shared" si="174"/>
        <v>17.375000000000004</v>
      </c>
      <c r="R347" s="192">
        <f t="shared" si="196"/>
        <v>46157</v>
      </c>
      <c r="T347" s="183">
        <f t="shared" si="195"/>
        <v>17.375000000000004</v>
      </c>
      <c r="U347" s="195">
        <f t="shared" si="131"/>
        <v>0</v>
      </c>
    </row>
    <row r="348" spans="1:22" x14ac:dyDescent="0.25">
      <c r="A348" s="191">
        <v>2026</v>
      </c>
      <c r="B348" s="189">
        <v>29</v>
      </c>
      <c r="C348" s="71" t="s">
        <v>105</v>
      </c>
      <c r="D348" t="s">
        <v>705</v>
      </c>
      <c r="E348" s="1">
        <v>46107</v>
      </c>
      <c r="F348" t="s">
        <v>1859</v>
      </c>
      <c r="I348" t="b">
        <v>0</v>
      </c>
      <c r="J348" s="48">
        <v>5.27</v>
      </c>
      <c r="K348" s="185">
        <f t="shared" si="170"/>
        <v>5.27</v>
      </c>
      <c r="L348" s="72">
        <v>1</v>
      </c>
      <c r="M348" s="72">
        <v>0.2</v>
      </c>
      <c r="N348" s="185">
        <f t="shared" si="197"/>
        <v>0.82666666666666677</v>
      </c>
      <c r="O348" s="185">
        <f t="shared" ref="O348:O350" si="198">L348*$N348</f>
        <v>0.82666666666666677</v>
      </c>
      <c r="P348" s="185">
        <f>($J348-0.31)/(100%+$M348)</f>
        <v>4.1333333333333337</v>
      </c>
      <c r="Q348" s="185">
        <f t="shared" si="174"/>
        <v>4.1333333333333337</v>
      </c>
      <c r="R348" s="192">
        <f t="shared" si="196"/>
        <v>46157</v>
      </c>
      <c r="T348" s="183">
        <f t="shared" ref="T348:T350" si="199">IF(G348=TRUE,Q348/F348,Q348)</f>
        <v>4.1333333333333337</v>
      </c>
      <c r="U348" s="195">
        <f t="shared" si="131"/>
        <v>0</v>
      </c>
    </row>
    <row r="349" spans="1:22" x14ac:dyDescent="0.25">
      <c r="A349" s="191">
        <v>2026</v>
      </c>
      <c r="B349" s="189">
        <v>30</v>
      </c>
      <c r="C349" s="71" t="s">
        <v>105</v>
      </c>
      <c r="D349" t="s">
        <v>703</v>
      </c>
      <c r="E349" s="1">
        <v>46114</v>
      </c>
      <c r="F349" t="s">
        <v>34</v>
      </c>
      <c r="I349" t="b">
        <v>0</v>
      </c>
      <c r="J349" s="48">
        <v>13.91</v>
      </c>
      <c r="K349" s="185">
        <f t="shared" si="170"/>
        <v>13.91</v>
      </c>
      <c r="L349" s="72">
        <v>1</v>
      </c>
      <c r="M349" s="72">
        <v>0.2</v>
      </c>
      <c r="N349" s="185">
        <f t="shared" si="197"/>
        <v>2.3183333333333334</v>
      </c>
      <c r="O349" s="185">
        <f t="shared" si="198"/>
        <v>2.3183333333333334</v>
      </c>
      <c r="P349" s="185">
        <f t="shared" ref="P349" si="200">$J349/(100%+$M349)</f>
        <v>11.591666666666667</v>
      </c>
      <c r="Q349" s="185">
        <f t="shared" si="174"/>
        <v>11.591666666666667</v>
      </c>
      <c r="R349" s="192">
        <f t="shared" si="196"/>
        <v>46249</v>
      </c>
      <c r="T349" s="183">
        <f t="shared" si="199"/>
        <v>11.591666666666667</v>
      </c>
      <c r="U349" s="195">
        <f t="shared" si="131"/>
        <v>0</v>
      </c>
    </row>
    <row r="350" spans="1:22" x14ac:dyDescent="0.25">
      <c r="A350" s="191">
        <v>2026</v>
      </c>
      <c r="B350" s="189">
        <v>31</v>
      </c>
      <c r="C350" s="71" t="s">
        <v>105</v>
      </c>
      <c r="D350" t="s">
        <v>705</v>
      </c>
      <c r="E350" s="1">
        <v>46115</v>
      </c>
      <c r="F350" t="s">
        <v>1840</v>
      </c>
      <c r="I350" t="b">
        <v>0</v>
      </c>
      <c r="J350" s="48">
        <v>16.2</v>
      </c>
      <c r="K350" s="185">
        <f t="shared" si="170"/>
        <v>16.2</v>
      </c>
      <c r="L350" s="72">
        <v>1</v>
      </c>
      <c r="M350" s="72">
        <v>0</v>
      </c>
      <c r="N350" s="185">
        <f>$P350*$M350</f>
        <v>0</v>
      </c>
      <c r="O350" s="185">
        <f t="shared" si="198"/>
        <v>0</v>
      </c>
      <c r="P350" s="185">
        <f>$J350/(100%+$M350)</f>
        <v>16.2</v>
      </c>
      <c r="Q350" s="185">
        <f t="shared" si="174"/>
        <v>16.2</v>
      </c>
      <c r="R350" s="192">
        <f t="shared" si="196"/>
        <v>46249</v>
      </c>
      <c r="S350">
        <v>20</v>
      </c>
      <c r="T350" s="183">
        <f t="shared" si="199"/>
        <v>16.2</v>
      </c>
      <c r="U350" s="195">
        <f t="shared" si="131"/>
        <v>3.24</v>
      </c>
    </row>
    <row r="351" spans="1:22" x14ac:dyDescent="0.25">
      <c r="A351" s="191">
        <v>2026</v>
      </c>
      <c r="B351" s="189">
        <v>32</v>
      </c>
      <c r="C351" s="71" t="s">
        <v>105</v>
      </c>
      <c r="D351" t="s">
        <v>705</v>
      </c>
      <c r="E351" s="1">
        <v>46120</v>
      </c>
      <c r="F351" t="s">
        <v>1860</v>
      </c>
      <c r="I351" t="b">
        <v>0</v>
      </c>
      <c r="J351" s="48">
        <v>306</v>
      </c>
      <c r="K351" s="185">
        <f t="shared" si="170"/>
        <v>28.199204696080287</v>
      </c>
      <c r="L351" s="72">
        <f>14.6/158.43</f>
        <v>9.2154263712680679E-2</v>
      </c>
      <c r="M351" s="72">
        <v>0.2</v>
      </c>
      <c r="N351" s="185">
        <f>$P351*$M351</f>
        <v>51</v>
      </c>
      <c r="O351" s="185">
        <f t="shared" ref="O351:O352" si="201">L351*$N351</f>
        <v>4.6998674493467147</v>
      </c>
      <c r="P351" s="185">
        <f>$J351/(100%+$M351)</f>
        <v>255</v>
      </c>
      <c r="Q351" s="185">
        <f t="shared" si="174"/>
        <v>23.499337246733575</v>
      </c>
      <c r="R351" s="192">
        <f t="shared" si="196"/>
        <v>46249</v>
      </c>
      <c r="T351" s="183">
        <f t="shared" ref="T351:T352" si="202">IF(G351=TRUE,Q351/F351,Q351)</f>
        <v>23.499337246733575</v>
      </c>
      <c r="U351" s="195">
        <f t="shared" si="131"/>
        <v>0</v>
      </c>
    </row>
    <row r="352" spans="1:22" x14ac:dyDescent="0.25">
      <c r="A352" s="191">
        <v>2026</v>
      </c>
      <c r="B352" s="189">
        <v>33</v>
      </c>
      <c r="C352" s="71" t="s">
        <v>105</v>
      </c>
      <c r="D352" t="s">
        <v>705</v>
      </c>
      <c r="E352" s="1">
        <v>46122</v>
      </c>
      <c r="F352" t="s">
        <v>1110</v>
      </c>
      <c r="I352" t="b">
        <v>0</v>
      </c>
      <c r="J352" s="48">
        <v>193.92</v>
      </c>
      <c r="K352" s="185">
        <f t="shared" si="170"/>
        <v>17.870554819163036</v>
      </c>
      <c r="L352" s="72">
        <f>14.6/158.43</f>
        <v>9.2154263712680679E-2</v>
      </c>
      <c r="M352" s="72">
        <v>0.2</v>
      </c>
      <c r="N352" s="185">
        <f t="shared" ref="N352" si="203">$P352*$M352</f>
        <v>32.32</v>
      </c>
      <c r="O352" s="185">
        <f t="shared" si="201"/>
        <v>2.9784258031938395</v>
      </c>
      <c r="P352" s="185">
        <f t="shared" ref="P352" si="204">$J352/(100%+$M352)</f>
        <v>161.6</v>
      </c>
      <c r="Q352" s="185">
        <f t="shared" si="174"/>
        <v>14.892129015969196</v>
      </c>
      <c r="R352" s="192">
        <f t="shared" si="196"/>
        <v>46249</v>
      </c>
      <c r="T352" s="183">
        <f t="shared" si="202"/>
        <v>14.892129015969196</v>
      </c>
      <c r="U352" s="195">
        <f t="shared" ref="U352" si="205">$S352/100*$K352</f>
        <v>0</v>
      </c>
    </row>
    <row r="353" spans="1:21" x14ac:dyDescent="0.25">
      <c r="A353" s="191">
        <v>2026</v>
      </c>
      <c r="B353" s="189">
        <v>34</v>
      </c>
      <c r="C353" s="71" t="s">
        <v>708</v>
      </c>
      <c r="D353" t="s">
        <v>709</v>
      </c>
      <c r="E353" s="1">
        <v>46125</v>
      </c>
      <c r="F353" t="s">
        <v>1861</v>
      </c>
      <c r="I353" t="b">
        <v>0</v>
      </c>
      <c r="J353" s="48">
        <v>1993.8</v>
      </c>
      <c r="K353" s="185">
        <v>1993.8</v>
      </c>
      <c r="L353" s="72">
        <v>1</v>
      </c>
      <c r="M353" s="72">
        <v>0.2</v>
      </c>
      <c r="N353" s="185">
        <v>332.3</v>
      </c>
      <c r="O353" s="185">
        <v>332.3</v>
      </c>
      <c r="P353" s="185">
        <v>1661.5</v>
      </c>
      <c r="Q353" s="185">
        <v>1661.5</v>
      </c>
      <c r="R353" s="192">
        <v>46249</v>
      </c>
      <c r="U353" s="195"/>
    </row>
    <row r="354" spans="1:21" x14ac:dyDescent="0.25">
      <c r="A354" s="191">
        <v>2026</v>
      </c>
      <c r="B354" s="189">
        <v>35</v>
      </c>
      <c r="C354" s="71" t="s">
        <v>105</v>
      </c>
      <c r="D354" t="s">
        <v>705</v>
      </c>
      <c r="E354" s="1">
        <v>46125</v>
      </c>
      <c r="F354" t="s">
        <v>1862</v>
      </c>
      <c r="I354" t="b">
        <v>0</v>
      </c>
      <c r="J354" s="48">
        <v>56</v>
      </c>
      <c r="K354" s="185">
        <v>56</v>
      </c>
      <c r="L354" s="72">
        <v>1</v>
      </c>
      <c r="M354" s="72">
        <v>0</v>
      </c>
      <c r="N354" s="185">
        <v>0</v>
      </c>
      <c r="O354" s="185">
        <v>0</v>
      </c>
      <c r="P354" s="185">
        <v>56</v>
      </c>
      <c r="Q354" s="185">
        <v>56</v>
      </c>
      <c r="R354" s="192">
        <v>46249</v>
      </c>
      <c r="S354">
        <v>20</v>
      </c>
      <c r="U354" s="195">
        <v>11.2</v>
      </c>
    </row>
    <row r="355" spans="1:21" x14ac:dyDescent="0.25">
      <c r="A355" s="191">
        <v>2026</v>
      </c>
      <c r="B355" s="189">
        <v>36</v>
      </c>
      <c r="C355" s="71" t="s">
        <v>708</v>
      </c>
      <c r="D355" t="s">
        <v>709</v>
      </c>
      <c r="E355" s="1">
        <v>46126</v>
      </c>
      <c r="F355" t="s">
        <v>1863</v>
      </c>
      <c r="I355" t="b">
        <v>0</v>
      </c>
      <c r="J355" s="48">
        <v>14776.94</v>
      </c>
      <c r="K355" s="185">
        <v>14776.94</v>
      </c>
      <c r="L355" s="72">
        <v>1</v>
      </c>
      <c r="M355" s="72">
        <v>0.2</v>
      </c>
      <c r="N355" s="185">
        <v>2462.8200000000002</v>
      </c>
      <c r="O355" s="185">
        <v>2462.8200000000002</v>
      </c>
      <c r="P355" s="185">
        <v>12314.12</v>
      </c>
      <c r="Q355" s="185">
        <v>12314.12</v>
      </c>
      <c r="R355" s="192">
        <v>46249</v>
      </c>
      <c r="U355" s="195"/>
    </row>
    <row r="356" spans="1:21" x14ac:dyDescent="0.25">
      <c r="A356" s="191">
        <v>2026</v>
      </c>
      <c r="B356" s="189">
        <v>37</v>
      </c>
      <c r="C356" s="71" t="s">
        <v>105</v>
      </c>
      <c r="D356" t="s">
        <v>703</v>
      </c>
      <c r="E356" s="1">
        <v>46127</v>
      </c>
      <c r="F356" t="s">
        <v>1864</v>
      </c>
      <c r="I356" t="b">
        <v>0</v>
      </c>
      <c r="J356" s="48">
        <v>58.89</v>
      </c>
      <c r="K356" s="185">
        <v>39.26</v>
      </c>
      <c r="L356" s="72">
        <v>0.66666700000000001</v>
      </c>
      <c r="M356" s="72" t="s">
        <v>14</v>
      </c>
      <c r="N356" s="185">
        <v>8.67</v>
      </c>
      <c r="O356" s="185">
        <v>5.78</v>
      </c>
      <c r="P356" s="185">
        <v>50.22</v>
      </c>
      <c r="Q356" s="185">
        <v>33.479999999999997</v>
      </c>
      <c r="R356" s="192">
        <v>46249</v>
      </c>
      <c r="U356" s="195"/>
    </row>
    <row r="357" spans="1:21" x14ac:dyDescent="0.25">
      <c r="A357" s="191">
        <v>2026</v>
      </c>
      <c r="B357" s="189">
        <v>38</v>
      </c>
      <c r="C357" s="71" t="s">
        <v>105</v>
      </c>
      <c r="D357" t="s">
        <v>705</v>
      </c>
      <c r="E357" s="1">
        <v>46132</v>
      </c>
      <c r="F357" t="s">
        <v>1871</v>
      </c>
      <c r="I357" t="b">
        <v>0</v>
      </c>
      <c r="J357" s="48">
        <v>172.53</v>
      </c>
      <c r="K357" s="185">
        <v>172.53</v>
      </c>
      <c r="L357" s="72">
        <v>1</v>
      </c>
      <c r="M357" s="72">
        <v>0</v>
      </c>
      <c r="N357" s="185">
        <v>0</v>
      </c>
      <c r="O357" s="185">
        <v>0</v>
      </c>
      <c r="P357" s="185">
        <v>169.98</v>
      </c>
      <c r="Q357" s="185">
        <v>169.98</v>
      </c>
      <c r="R357" s="192">
        <v>46249</v>
      </c>
      <c r="U357" s="195"/>
    </row>
    <row r="358" spans="1:21" x14ac:dyDescent="0.25">
      <c r="A358" s="191">
        <v>2026</v>
      </c>
      <c r="B358" s="189">
        <v>39</v>
      </c>
      <c r="C358" s="71" t="s">
        <v>105</v>
      </c>
      <c r="D358" t="s">
        <v>705</v>
      </c>
      <c r="E358" s="1">
        <v>46132</v>
      </c>
      <c r="F358" t="s">
        <v>1865</v>
      </c>
      <c r="I358" t="b">
        <v>0</v>
      </c>
      <c r="J358" s="48">
        <v>11.7</v>
      </c>
      <c r="K358" s="185">
        <v>11.7</v>
      </c>
      <c r="L358" s="72">
        <v>1</v>
      </c>
      <c r="M358" s="72">
        <v>0</v>
      </c>
      <c r="N358" s="185">
        <v>0</v>
      </c>
      <c r="O358" s="185">
        <v>0</v>
      </c>
      <c r="P358" s="185">
        <v>11.7</v>
      </c>
      <c r="Q358" s="185">
        <v>11.7</v>
      </c>
      <c r="R358" s="192">
        <v>46249</v>
      </c>
      <c r="S358">
        <v>20</v>
      </c>
      <c r="U358" s="195">
        <v>2.34</v>
      </c>
    </row>
    <row r="359" spans="1:21" x14ac:dyDescent="0.25">
      <c r="A359" s="191">
        <v>2026</v>
      </c>
      <c r="B359" s="189">
        <v>40</v>
      </c>
      <c r="C359" s="71" t="s">
        <v>708</v>
      </c>
      <c r="D359" t="s">
        <v>709</v>
      </c>
      <c r="E359" s="1">
        <v>46139</v>
      </c>
      <c r="F359" t="s">
        <v>1872</v>
      </c>
      <c r="I359" t="b">
        <v>0</v>
      </c>
      <c r="J359" s="48">
        <v>2142</v>
      </c>
      <c r="K359" s="185">
        <v>2142</v>
      </c>
      <c r="L359" s="72">
        <v>1</v>
      </c>
      <c r="M359" s="72">
        <v>0.2</v>
      </c>
      <c r="N359" s="185">
        <v>357</v>
      </c>
      <c r="O359" s="185">
        <v>357</v>
      </c>
      <c r="P359" s="185">
        <v>1785</v>
      </c>
      <c r="Q359" s="185">
        <v>1785</v>
      </c>
      <c r="R359" s="192">
        <v>46249</v>
      </c>
      <c r="U359" s="195"/>
    </row>
    <row r="360" spans="1:21" x14ac:dyDescent="0.25">
      <c r="A360" s="191">
        <v>2026</v>
      </c>
      <c r="B360" s="189">
        <v>41</v>
      </c>
      <c r="C360" s="71" t="s">
        <v>105</v>
      </c>
      <c r="D360" t="s">
        <v>705</v>
      </c>
      <c r="E360" s="1">
        <v>46139</v>
      </c>
      <c r="F360" t="s">
        <v>1866</v>
      </c>
      <c r="I360" t="b">
        <v>0</v>
      </c>
      <c r="J360" s="48">
        <v>20.8</v>
      </c>
      <c r="K360" s="185">
        <v>20.8</v>
      </c>
      <c r="L360" s="72">
        <v>1</v>
      </c>
      <c r="M360" s="72">
        <v>0.2</v>
      </c>
      <c r="N360" s="185">
        <v>3.42</v>
      </c>
      <c r="O360" s="185">
        <v>3.42</v>
      </c>
      <c r="P360" s="185">
        <v>17.07</v>
      </c>
      <c r="Q360" s="185">
        <v>17.07</v>
      </c>
      <c r="R360" s="192">
        <v>46249</v>
      </c>
      <c r="U360" s="195"/>
    </row>
    <row r="361" spans="1:21" x14ac:dyDescent="0.25">
      <c r="A361" s="191">
        <v>2026</v>
      </c>
      <c r="B361" s="189">
        <v>42</v>
      </c>
      <c r="C361" s="71" t="s">
        <v>105</v>
      </c>
      <c r="D361" t="s">
        <v>705</v>
      </c>
      <c r="E361" s="1">
        <v>46141</v>
      </c>
      <c r="F361" t="s">
        <v>1867</v>
      </c>
      <c r="I361" t="b">
        <v>0</v>
      </c>
      <c r="J361" s="48">
        <v>21.6</v>
      </c>
      <c r="K361" s="185">
        <v>21.6</v>
      </c>
      <c r="L361" s="72">
        <v>1</v>
      </c>
      <c r="M361" s="72">
        <v>0.2</v>
      </c>
      <c r="N361" s="185">
        <v>3.6</v>
      </c>
      <c r="O361" s="185">
        <v>3.6</v>
      </c>
      <c r="P361" s="185">
        <v>18</v>
      </c>
      <c r="Q361" s="185">
        <v>18</v>
      </c>
      <c r="R361" s="192">
        <v>46249</v>
      </c>
      <c r="U361" s="195"/>
    </row>
    <row r="362" spans="1:21" x14ac:dyDescent="0.25">
      <c r="A362" s="191">
        <v>2026</v>
      </c>
      <c r="B362" s="189">
        <v>43</v>
      </c>
      <c r="C362" s="71" t="s">
        <v>105</v>
      </c>
      <c r="D362" t="s">
        <v>705</v>
      </c>
      <c r="E362" s="1">
        <v>46142</v>
      </c>
      <c r="F362" t="s">
        <v>1868</v>
      </c>
      <c r="I362" t="b">
        <v>0</v>
      </c>
      <c r="J362" s="48">
        <v>50.57</v>
      </c>
      <c r="K362" s="185">
        <v>50.57</v>
      </c>
      <c r="L362" s="72">
        <v>1</v>
      </c>
      <c r="M362" s="72">
        <v>0.2</v>
      </c>
      <c r="N362" s="185">
        <v>8.43</v>
      </c>
      <c r="O362" s="185">
        <v>8.43</v>
      </c>
      <c r="P362" s="185">
        <v>42.14</v>
      </c>
      <c r="Q362" s="185">
        <v>42.14</v>
      </c>
      <c r="R362" s="192">
        <v>46249</v>
      </c>
      <c r="U362" s="195"/>
    </row>
    <row r="363" spans="1:21" x14ac:dyDescent="0.25">
      <c r="A363" s="191">
        <v>2026</v>
      </c>
      <c r="B363" s="189">
        <v>44</v>
      </c>
      <c r="C363" s="71" t="s">
        <v>105</v>
      </c>
      <c r="D363" t="s">
        <v>705</v>
      </c>
      <c r="E363" s="1">
        <v>46146</v>
      </c>
      <c r="F363" t="s">
        <v>1870</v>
      </c>
      <c r="I363" t="b">
        <v>0</v>
      </c>
      <c r="J363" s="48">
        <v>-43.54</v>
      </c>
      <c r="K363" s="185">
        <v>-43.54</v>
      </c>
      <c r="L363" s="72">
        <v>1</v>
      </c>
      <c r="M363" s="72">
        <v>0.2</v>
      </c>
      <c r="N363" s="185">
        <v>-7.26</v>
      </c>
      <c r="O363" s="185">
        <v>-7.26</v>
      </c>
      <c r="P363" s="185">
        <v>-36.28</v>
      </c>
      <c r="Q363" s="185">
        <v>-36.28</v>
      </c>
      <c r="R363" s="192">
        <v>46249</v>
      </c>
      <c r="U363" s="195"/>
    </row>
    <row r="364" spans="1:21" x14ac:dyDescent="0.25">
      <c r="A364" s="191">
        <v>2026</v>
      </c>
      <c r="B364" s="189">
        <v>45</v>
      </c>
      <c r="C364" s="71" t="s">
        <v>105</v>
      </c>
      <c r="D364" t="s">
        <v>705</v>
      </c>
      <c r="E364" s="1">
        <v>46146</v>
      </c>
      <c r="F364" t="s">
        <v>1869</v>
      </c>
      <c r="I364" t="b">
        <v>0</v>
      </c>
      <c r="J364" s="48">
        <v>16.2</v>
      </c>
      <c r="K364" s="185">
        <v>16.2</v>
      </c>
      <c r="L364" s="72">
        <v>1</v>
      </c>
      <c r="M364" s="72">
        <v>0</v>
      </c>
      <c r="N364" s="185">
        <v>0</v>
      </c>
      <c r="O364" s="185">
        <v>0</v>
      </c>
      <c r="P364" s="185">
        <v>16.2</v>
      </c>
      <c r="Q364" s="185">
        <v>16.2</v>
      </c>
      <c r="R364" s="192">
        <v>46249</v>
      </c>
      <c r="S364">
        <v>20</v>
      </c>
      <c r="U364" s="195">
        <v>3.24</v>
      </c>
    </row>
    <row r="365" spans="1:21" x14ac:dyDescent="0.25">
      <c r="A365" s="191">
        <v>2026</v>
      </c>
      <c r="B365" s="189">
        <v>46</v>
      </c>
      <c r="C365" s="71" t="s">
        <v>105</v>
      </c>
      <c r="D365" t="s">
        <v>703</v>
      </c>
      <c r="E365" s="1">
        <v>46147</v>
      </c>
      <c r="F365" t="s">
        <v>34</v>
      </c>
      <c r="I365" t="b">
        <v>0</v>
      </c>
      <c r="J365" s="48">
        <v>14.82</v>
      </c>
      <c r="K365" s="185">
        <v>14.82</v>
      </c>
      <c r="L365" s="72">
        <v>1</v>
      </c>
      <c r="M365" s="72">
        <v>0.2</v>
      </c>
      <c r="N365" s="185">
        <v>2.4700000000000002</v>
      </c>
      <c r="O365" s="185">
        <v>2.4700000000000002</v>
      </c>
      <c r="P365" s="185">
        <v>12.35</v>
      </c>
      <c r="Q365" s="185">
        <v>12.35</v>
      </c>
      <c r="R365" s="192">
        <v>46249</v>
      </c>
      <c r="U365" s="195"/>
    </row>
    <row r="366" spans="1:21" x14ac:dyDescent="0.25">
      <c r="A366" s="191">
        <v>2026</v>
      </c>
      <c r="B366" s="189">
        <v>47</v>
      </c>
      <c r="C366" s="71" t="s">
        <v>105</v>
      </c>
      <c r="D366" t="s">
        <v>705</v>
      </c>
      <c r="E366" s="1">
        <v>46147</v>
      </c>
      <c r="F366" t="s">
        <v>1873</v>
      </c>
      <c r="I366" t="b">
        <v>0</v>
      </c>
      <c r="J366" s="48">
        <v>6.23</v>
      </c>
      <c r="K366" s="185">
        <v>6.23</v>
      </c>
      <c r="L366" s="72">
        <v>1</v>
      </c>
      <c r="M366" s="72">
        <v>0.2</v>
      </c>
      <c r="N366" s="185">
        <v>1.02</v>
      </c>
      <c r="O366" s="185">
        <v>1.02</v>
      </c>
      <c r="P366" s="185">
        <v>5.12</v>
      </c>
      <c r="Q366" s="185">
        <v>5.12</v>
      </c>
      <c r="R366" s="192">
        <v>46249</v>
      </c>
      <c r="U366" s="195"/>
    </row>
    <row r="367" spans="1:21" x14ac:dyDescent="0.25">
      <c r="U367" s="195"/>
    </row>
    <row r="368" spans="1:21" x14ac:dyDescent="0.25">
      <c r="C368" s="71"/>
      <c r="U368" s="195"/>
    </row>
    <row r="369" spans="21:21" x14ac:dyDescent="0.25">
      <c r="U369" s="195"/>
    </row>
    <row r="370" spans="21:21" x14ac:dyDescent="0.25">
      <c r="U370" s="195"/>
    </row>
    <row r="371" spans="21:21" x14ac:dyDescent="0.25">
      <c r="U371" s="195"/>
    </row>
    <row r="372" spans="21:21" x14ac:dyDescent="0.25">
      <c r="U372" s="195"/>
    </row>
    <row r="373" spans="21:21" x14ac:dyDescent="0.25">
      <c r="U373" s="195"/>
    </row>
    <row r="374" spans="21:21" x14ac:dyDescent="0.25">
      <c r="U374" s="195"/>
    </row>
    <row r="375" spans="21:21" x14ac:dyDescent="0.25">
      <c r="U375" s="195"/>
    </row>
    <row r="376" spans="21:21" x14ac:dyDescent="0.25">
      <c r="U376" s="195"/>
    </row>
    <row r="377" spans="21:21" x14ac:dyDescent="0.25">
      <c r="U377" s="195"/>
    </row>
    <row r="378" spans="21:21" x14ac:dyDescent="0.25">
      <c r="U378" s="195"/>
    </row>
    <row r="379" spans="21:21" x14ac:dyDescent="0.25">
      <c r="U379" s="195"/>
    </row>
    <row r="380" spans="21:21" x14ac:dyDescent="0.25">
      <c r="U380" s="195"/>
    </row>
    <row r="381" spans="21:21" x14ac:dyDescent="0.25">
      <c r="U381" s="195"/>
    </row>
    <row r="382" spans="21:21" x14ac:dyDescent="0.25">
      <c r="U382" s="195"/>
    </row>
    <row r="383" spans="21:21" x14ac:dyDescent="0.25">
      <c r="U383" s="195"/>
    </row>
    <row r="384" spans="21:21" x14ac:dyDescent="0.25">
      <c r="U384" s="195"/>
    </row>
    <row r="385" spans="21:21" x14ac:dyDescent="0.25">
      <c r="U385" s="195"/>
    </row>
    <row r="386" spans="21:21" x14ac:dyDescent="0.25">
      <c r="U386" s="195"/>
    </row>
    <row r="387" spans="21:21" x14ac:dyDescent="0.25">
      <c r="U387" s="195"/>
    </row>
    <row r="388" spans="21:21" x14ac:dyDescent="0.25">
      <c r="U388" s="195"/>
    </row>
    <row r="389" spans="21:21" x14ac:dyDescent="0.25">
      <c r="U389" s="195"/>
    </row>
    <row r="390" spans="21:21" x14ac:dyDescent="0.25">
      <c r="U390" s="195"/>
    </row>
    <row r="391" spans="21:21" x14ac:dyDescent="0.25">
      <c r="U391" s="195"/>
    </row>
    <row r="392" spans="21:21" x14ac:dyDescent="0.25">
      <c r="U392" s="195"/>
    </row>
    <row r="393" spans="21:21" x14ac:dyDescent="0.25">
      <c r="U393" s="195"/>
    </row>
    <row r="394" spans="21:21" x14ac:dyDescent="0.25">
      <c r="U394" s="195"/>
    </row>
    <row r="395" spans="21:21" x14ac:dyDescent="0.25">
      <c r="U395" s="195"/>
    </row>
    <row r="396" spans="21:21" x14ac:dyDescent="0.25">
      <c r="U396" s="195"/>
    </row>
    <row r="397" spans="21:21" x14ac:dyDescent="0.25">
      <c r="U397" s="195"/>
    </row>
    <row r="398" spans="21:21" x14ac:dyDescent="0.25">
      <c r="U398" s="195"/>
    </row>
    <row r="399" spans="21:21" x14ac:dyDescent="0.25">
      <c r="U399" s="195"/>
    </row>
    <row r="400" spans="21:21" x14ac:dyDescent="0.25">
      <c r="U400" s="195"/>
    </row>
    <row r="401" spans="21:21" x14ac:dyDescent="0.25">
      <c r="U401" s="195"/>
    </row>
    <row r="402" spans="21:21" x14ac:dyDescent="0.25">
      <c r="U402" s="195"/>
    </row>
    <row r="403" spans="21:21" x14ac:dyDescent="0.25">
      <c r="U403" s="195"/>
    </row>
    <row r="404" spans="21:21" x14ac:dyDescent="0.25">
      <c r="U404" s="195"/>
    </row>
    <row r="405" spans="21:21" x14ac:dyDescent="0.25">
      <c r="U405" s="195"/>
    </row>
    <row r="406" spans="21:21" x14ac:dyDescent="0.25">
      <c r="U406" s="195"/>
    </row>
    <row r="407" spans="21:21" x14ac:dyDescent="0.25">
      <c r="U407" s="195"/>
    </row>
    <row r="408" spans="21:21" x14ac:dyDescent="0.25">
      <c r="U408" s="195"/>
    </row>
    <row r="409" spans="21:21" x14ac:dyDescent="0.25">
      <c r="U409" s="195"/>
    </row>
    <row r="410" spans="21:21" x14ac:dyDescent="0.25">
      <c r="U410" s="195"/>
    </row>
    <row r="411" spans="21:21" x14ac:dyDescent="0.25">
      <c r="U411" s="195"/>
    </row>
    <row r="412" spans="21:21" x14ac:dyDescent="0.25">
      <c r="U412" s="195"/>
    </row>
    <row r="413" spans="21:21" x14ac:dyDescent="0.25">
      <c r="U413" s="195"/>
    </row>
    <row r="414" spans="21:21" x14ac:dyDescent="0.25">
      <c r="U414" s="195"/>
    </row>
    <row r="415" spans="21:21" x14ac:dyDescent="0.25">
      <c r="U415" s="195"/>
    </row>
    <row r="416" spans="21:21" x14ac:dyDescent="0.25">
      <c r="U416" s="195"/>
    </row>
    <row r="417" spans="21:21" x14ac:dyDescent="0.25">
      <c r="U417" s="195"/>
    </row>
    <row r="418" spans="21:21" x14ac:dyDescent="0.25">
      <c r="U418" s="195"/>
    </row>
    <row r="419" spans="21:21" x14ac:dyDescent="0.25">
      <c r="U419" s="195"/>
    </row>
    <row r="420" spans="21:21" x14ac:dyDescent="0.25">
      <c r="U420" s="195"/>
    </row>
    <row r="421" spans="21:21" x14ac:dyDescent="0.25">
      <c r="U421" s="195"/>
    </row>
    <row r="422" spans="21:21" x14ac:dyDescent="0.25">
      <c r="U422" s="195"/>
    </row>
    <row r="423" spans="21:21" x14ac:dyDescent="0.25">
      <c r="U423" s="195"/>
    </row>
    <row r="424" spans="21:21" x14ac:dyDescent="0.25">
      <c r="U424" s="195"/>
    </row>
    <row r="425" spans="21:21" x14ac:dyDescent="0.25">
      <c r="U425" s="195"/>
    </row>
    <row r="426" spans="21:21" x14ac:dyDescent="0.25">
      <c r="U426" s="195"/>
    </row>
    <row r="427" spans="21:21" x14ac:dyDescent="0.25">
      <c r="U427" s="195"/>
    </row>
    <row r="428" spans="21:21" x14ac:dyDescent="0.25">
      <c r="U428" s="195"/>
    </row>
    <row r="429" spans="21:21" x14ac:dyDescent="0.25">
      <c r="U429" s="195"/>
    </row>
    <row r="430" spans="21:21" x14ac:dyDescent="0.25">
      <c r="U430" s="195"/>
    </row>
    <row r="431" spans="21:21" x14ac:dyDescent="0.25">
      <c r="U431" s="195"/>
    </row>
    <row r="432" spans="21:21" x14ac:dyDescent="0.25">
      <c r="U432" s="195"/>
    </row>
    <row r="433" spans="21:21" x14ac:dyDescent="0.25">
      <c r="U433" s="195"/>
    </row>
    <row r="434" spans="21:21" x14ac:dyDescent="0.25">
      <c r="U434" s="195"/>
    </row>
    <row r="435" spans="21:21" x14ac:dyDescent="0.25">
      <c r="U435" s="195"/>
    </row>
    <row r="436" spans="21:21" x14ac:dyDescent="0.25">
      <c r="U436" s="195"/>
    </row>
    <row r="437" spans="21:21" x14ac:dyDescent="0.25">
      <c r="U437" s="195"/>
    </row>
    <row r="438" spans="21:21" x14ac:dyDescent="0.25">
      <c r="U438" s="195"/>
    </row>
    <row r="439" spans="21:21" x14ac:dyDescent="0.25">
      <c r="U439" s="195"/>
    </row>
    <row r="440" spans="21:21" x14ac:dyDescent="0.25">
      <c r="U440" s="195"/>
    </row>
    <row r="441" spans="21:21" x14ac:dyDescent="0.25">
      <c r="U441" s="195"/>
    </row>
    <row r="442" spans="21:21" x14ac:dyDescent="0.25">
      <c r="U442" s="195"/>
    </row>
    <row r="443" spans="21:21" x14ac:dyDescent="0.25">
      <c r="U443" s="195"/>
    </row>
    <row r="444" spans="21:21" x14ac:dyDescent="0.25">
      <c r="U444" s="195"/>
    </row>
    <row r="445" spans="21:21" x14ac:dyDescent="0.25">
      <c r="U445" s="195"/>
    </row>
    <row r="446" spans="21:21" x14ac:dyDescent="0.25">
      <c r="U446" s="195"/>
    </row>
    <row r="447" spans="21:21" x14ac:dyDescent="0.25">
      <c r="U447" s="195"/>
    </row>
    <row r="448" spans="21:21" x14ac:dyDescent="0.25">
      <c r="U448" s="195"/>
    </row>
    <row r="449" spans="21:21" x14ac:dyDescent="0.25">
      <c r="U449" s="195"/>
    </row>
    <row r="450" spans="21:21" x14ac:dyDescent="0.25">
      <c r="U450" s="195"/>
    </row>
    <row r="451" spans="21:21" x14ac:dyDescent="0.25">
      <c r="U451" s="195"/>
    </row>
    <row r="452" spans="21:21" x14ac:dyDescent="0.25">
      <c r="U452" s="195"/>
    </row>
    <row r="453" spans="21:21" x14ac:dyDescent="0.25">
      <c r="U453" s="195"/>
    </row>
    <row r="454" spans="21:21" x14ac:dyDescent="0.25">
      <c r="U454" s="195"/>
    </row>
    <row r="455" spans="21:21" x14ac:dyDescent="0.25">
      <c r="U455" s="195"/>
    </row>
    <row r="456" spans="21:21" x14ac:dyDescent="0.25">
      <c r="U456" s="195"/>
    </row>
    <row r="457" spans="21:21" x14ac:dyDescent="0.25">
      <c r="U457" s="195"/>
    </row>
    <row r="458" spans="21:21" x14ac:dyDescent="0.25">
      <c r="U458" s="195"/>
    </row>
    <row r="459" spans="21:21" x14ac:dyDescent="0.25">
      <c r="U459" s="195"/>
    </row>
    <row r="460" spans="21:21" x14ac:dyDescent="0.25">
      <c r="U460" s="195"/>
    </row>
    <row r="461" spans="21:21" x14ac:dyDescent="0.25">
      <c r="U461" s="195"/>
    </row>
    <row r="462" spans="21:21" x14ac:dyDescent="0.25">
      <c r="U462" s="195"/>
    </row>
    <row r="463" spans="21:21" x14ac:dyDescent="0.25">
      <c r="U463" s="195"/>
    </row>
    <row r="464" spans="21:21" x14ac:dyDescent="0.25">
      <c r="U464" s="195"/>
    </row>
    <row r="465" spans="21:21" x14ac:dyDescent="0.25">
      <c r="U465" s="195"/>
    </row>
    <row r="466" spans="21:21" x14ac:dyDescent="0.25">
      <c r="U466" s="195"/>
    </row>
    <row r="467" spans="21:21" x14ac:dyDescent="0.25">
      <c r="U467" s="195"/>
    </row>
    <row r="468" spans="21:21" x14ac:dyDescent="0.25">
      <c r="U468" s="195"/>
    </row>
    <row r="469" spans="21:21" x14ac:dyDescent="0.25">
      <c r="U469" s="195"/>
    </row>
    <row r="470" spans="21:21" x14ac:dyDescent="0.25">
      <c r="U470" s="195"/>
    </row>
    <row r="471" spans="21:21" x14ac:dyDescent="0.25">
      <c r="U471" s="195"/>
    </row>
    <row r="472" spans="21:21" x14ac:dyDescent="0.25">
      <c r="U472" s="195"/>
    </row>
    <row r="473" spans="21:21" x14ac:dyDescent="0.25">
      <c r="U473" s="195"/>
    </row>
    <row r="474" spans="21:21" x14ac:dyDescent="0.25">
      <c r="U474" s="195"/>
    </row>
    <row r="475" spans="21:21" x14ac:dyDescent="0.25">
      <c r="U475" s="195"/>
    </row>
    <row r="476" spans="21:21" x14ac:dyDescent="0.25">
      <c r="U476" s="195"/>
    </row>
    <row r="477" spans="21:21" x14ac:dyDescent="0.25">
      <c r="U477" s="195"/>
    </row>
    <row r="478" spans="21:21" x14ac:dyDescent="0.25">
      <c r="U478" s="195"/>
    </row>
    <row r="479" spans="21:21" x14ac:dyDescent="0.25">
      <c r="U479" s="195"/>
    </row>
    <row r="480" spans="21:21" x14ac:dyDescent="0.25">
      <c r="U480" s="195"/>
    </row>
    <row r="481" spans="21:21" x14ac:dyDescent="0.25">
      <c r="U481" s="195"/>
    </row>
    <row r="482" spans="21:21" x14ac:dyDescent="0.25">
      <c r="U482" s="195"/>
    </row>
    <row r="483" spans="21:21" x14ac:dyDescent="0.25">
      <c r="U483" s="195"/>
    </row>
    <row r="484" spans="21:21" x14ac:dyDescent="0.25">
      <c r="U484" s="195"/>
    </row>
    <row r="485" spans="21:21" x14ac:dyDescent="0.25">
      <c r="U485" s="195"/>
    </row>
    <row r="486" spans="21:21" x14ac:dyDescent="0.25">
      <c r="U486" s="195"/>
    </row>
    <row r="487" spans="21:21" x14ac:dyDescent="0.25">
      <c r="U487" s="195"/>
    </row>
    <row r="488" spans="21:21" x14ac:dyDescent="0.25">
      <c r="U488" s="195"/>
    </row>
    <row r="489" spans="21:21" x14ac:dyDescent="0.25">
      <c r="U489" s="195"/>
    </row>
    <row r="490" spans="21:21" x14ac:dyDescent="0.25">
      <c r="U490" s="195"/>
    </row>
    <row r="491" spans="21:21" x14ac:dyDescent="0.25">
      <c r="U491" s="195"/>
    </row>
    <row r="492" spans="21:21" x14ac:dyDescent="0.25">
      <c r="U492" s="195"/>
    </row>
    <row r="493" spans="21:21" x14ac:dyDescent="0.25">
      <c r="U493" s="195"/>
    </row>
    <row r="494" spans="21:21" x14ac:dyDescent="0.25">
      <c r="U494" s="195"/>
    </row>
    <row r="495" spans="21:21" x14ac:dyDescent="0.25">
      <c r="U495" s="195"/>
    </row>
    <row r="496" spans="21:21" x14ac:dyDescent="0.25">
      <c r="U496" s="195"/>
    </row>
    <row r="497" spans="21:21" x14ac:dyDescent="0.25">
      <c r="U497" s="195"/>
    </row>
    <row r="498" spans="21:21" x14ac:dyDescent="0.25">
      <c r="U498" s="195"/>
    </row>
    <row r="499" spans="21:21" x14ac:dyDescent="0.25">
      <c r="U499" s="195"/>
    </row>
    <row r="500" spans="21:21" x14ac:dyDescent="0.25">
      <c r="U500" s="195"/>
    </row>
    <row r="501" spans="21:21" x14ac:dyDescent="0.25">
      <c r="U501" s="195"/>
    </row>
    <row r="502" spans="21:21" x14ac:dyDescent="0.25">
      <c r="U502" s="195"/>
    </row>
    <row r="503" spans="21:21" x14ac:dyDescent="0.25">
      <c r="U503" s="195"/>
    </row>
    <row r="504" spans="21:21" x14ac:dyDescent="0.25">
      <c r="U504" s="195"/>
    </row>
    <row r="505" spans="21:21" x14ac:dyDescent="0.25">
      <c r="U505" s="195"/>
    </row>
    <row r="506" spans="21:21" x14ac:dyDescent="0.25">
      <c r="U506" s="195"/>
    </row>
    <row r="507" spans="21:21" x14ac:dyDescent="0.25">
      <c r="U507" s="195"/>
    </row>
    <row r="508" spans="21:21" x14ac:dyDescent="0.25">
      <c r="U508" s="195"/>
    </row>
    <row r="509" spans="21:21" x14ac:dyDescent="0.25">
      <c r="U509" s="195"/>
    </row>
    <row r="510" spans="21:21" x14ac:dyDescent="0.25">
      <c r="U510" s="195"/>
    </row>
    <row r="511" spans="21:21" x14ac:dyDescent="0.25">
      <c r="U511" s="195"/>
    </row>
    <row r="512" spans="21:21" x14ac:dyDescent="0.25">
      <c r="U512" s="195"/>
    </row>
    <row r="513" spans="21:21" x14ac:dyDescent="0.25">
      <c r="U513" s="195"/>
    </row>
    <row r="514" spans="21:21" x14ac:dyDescent="0.25">
      <c r="U514" s="195"/>
    </row>
    <row r="515" spans="21:21" x14ac:dyDescent="0.25">
      <c r="U515" s="195"/>
    </row>
    <row r="516" spans="21:21" x14ac:dyDescent="0.25">
      <c r="U516" s="195"/>
    </row>
    <row r="517" spans="21:21" x14ac:dyDescent="0.25">
      <c r="U517" s="195"/>
    </row>
    <row r="518" spans="21:21" x14ac:dyDescent="0.25">
      <c r="U518" s="195"/>
    </row>
    <row r="519" spans="21:21" x14ac:dyDescent="0.25">
      <c r="U519" s="195"/>
    </row>
    <row r="520" spans="21:21" x14ac:dyDescent="0.25">
      <c r="U520" s="195"/>
    </row>
    <row r="521" spans="21:21" x14ac:dyDescent="0.25">
      <c r="U521" s="195"/>
    </row>
    <row r="522" spans="21:21" x14ac:dyDescent="0.25">
      <c r="U522" s="195"/>
    </row>
    <row r="523" spans="21:21" x14ac:dyDescent="0.25">
      <c r="U523" s="195"/>
    </row>
    <row r="524" spans="21:21" x14ac:dyDescent="0.25">
      <c r="U524" s="195"/>
    </row>
    <row r="525" spans="21:21" x14ac:dyDescent="0.25">
      <c r="U525" s="195"/>
    </row>
    <row r="526" spans="21:21" x14ac:dyDescent="0.25">
      <c r="U526" s="195"/>
    </row>
    <row r="527" spans="21:21" x14ac:dyDescent="0.25">
      <c r="U527" s="195"/>
    </row>
    <row r="528" spans="21:21" x14ac:dyDescent="0.25">
      <c r="U528" s="195"/>
    </row>
    <row r="529" spans="21:21" x14ac:dyDescent="0.25">
      <c r="U529" s="195"/>
    </row>
    <row r="530" spans="21:21" x14ac:dyDescent="0.25">
      <c r="U530" s="195"/>
    </row>
    <row r="531" spans="21:21" x14ac:dyDescent="0.25">
      <c r="U531" s="195"/>
    </row>
    <row r="532" spans="21:21" x14ac:dyDescent="0.25">
      <c r="U532" s="195"/>
    </row>
    <row r="533" spans="21:21" x14ac:dyDescent="0.25">
      <c r="U533" s="195"/>
    </row>
    <row r="534" spans="21:21" x14ac:dyDescent="0.25">
      <c r="U534" s="195"/>
    </row>
    <row r="535" spans="21:21" x14ac:dyDescent="0.25">
      <c r="U535" s="195"/>
    </row>
    <row r="536" spans="21:21" x14ac:dyDescent="0.25">
      <c r="U536" s="195"/>
    </row>
    <row r="537" spans="21:21" x14ac:dyDescent="0.25">
      <c r="U537" s="195"/>
    </row>
    <row r="538" spans="21:21" x14ac:dyDescent="0.25">
      <c r="U538" s="195"/>
    </row>
    <row r="539" spans="21:21" x14ac:dyDescent="0.25">
      <c r="U539" s="195"/>
    </row>
    <row r="540" spans="21:21" x14ac:dyDescent="0.25">
      <c r="U540" s="195"/>
    </row>
    <row r="541" spans="21:21" x14ac:dyDescent="0.25">
      <c r="U541" s="195"/>
    </row>
    <row r="542" spans="21:21" x14ac:dyDescent="0.25">
      <c r="U542" s="195"/>
    </row>
    <row r="543" spans="21:21" x14ac:dyDescent="0.25">
      <c r="U543" s="195"/>
    </row>
    <row r="544" spans="21:21" x14ac:dyDescent="0.25">
      <c r="U544" s="195"/>
    </row>
    <row r="545" spans="21:21" x14ac:dyDescent="0.25">
      <c r="U545" s="195"/>
    </row>
    <row r="546" spans="21:21" x14ac:dyDescent="0.25">
      <c r="U546" s="195"/>
    </row>
    <row r="547" spans="21:21" x14ac:dyDescent="0.25">
      <c r="U547" s="195"/>
    </row>
    <row r="548" spans="21:21" x14ac:dyDescent="0.25">
      <c r="U548" s="195"/>
    </row>
    <row r="549" spans="21:21" x14ac:dyDescent="0.25">
      <c r="U549" s="195"/>
    </row>
    <row r="550" spans="21:21" x14ac:dyDescent="0.25">
      <c r="U550" s="195"/>
    </row>
    <row r="551" spans="21:21" x14ac:dyDescent="0.25">
      <c r="U551" s="195"/>
    </row>
    <row r="552" spans="21:21" x14ac:dyDescent="0.25">
      <c r="U552" s="195"/>
    </row>
    <row r="553" spans="21:21" x14ac:dyDescent="0.25">
      <c r="U553" s="195"/>
    </row>
    <row r="554" spans="21:21" x14ac:dyDescent="0.25">
      <c r="U554" s="195"/>
    </row>
    <row r="555" spans="21:21" x14ac:dyDescent="0.25">
      <c r="U555" s="195"/>
    </row>
    <row r="556" spans="21:21" x14ac:dyDescent="0.25">
      <c r="U556" s="195"/>
    </row>
    <row r="557" spans="21:21" x14ac:dyDescent="0.25">
      <c r="U557" s="195"/>
    </row>
    <row r="558" spans="21:21" x14ac:dyDescent="0.25">
      <c r="U558" s="195"/>
    </row>
    <row r="559" spans="21:21" x14ac:dyDescent="0.25">
      <c r="U559" s="195"/>
    </row>
    <row r="560" spans="21:21" x14ac:dyDescent="0.25">
      <c r="U560" s="195"/>
    </row>
    <row r="561" spans="21:21" x14ac:dyDescent="0.25">
      <c r="U561" s="195"/>
    </row>
    <row r="562" spans="21:21" x14ac:dyDescent="0.25">
      <c r="U562" s="195"/>
    </row>
    <row r="563" spans="21:21" x14ac:dyDescent="0.25">
      <c r="U563" s="195"/>
    </row>
    <row r="564" spans="21:21" x14ac:dyDescent="0.25">
      <c r="U564" s="195"/>
    </row>
    <row r="565" spans="21:21" x14ac:dyDescent="0.25">
      <c r="U565" s="195"/>
    </row>
    <row r="566" spans="21:21" x14ac:dyDescent="0.25">
      <c r="U566" s="195"/>
    </row>
    <row r="567" spans="21:21" x14ac:dyDescent="0.25">
      <c r="U567" s="195"/>
    </row>
    <row r="568" spans="21:21" x14ac:dyDescent="0.25">
      <c r="U568" s="195"/>
    </row>
    <row r="569" spans="21:21" x14ac:dyDescent="0.25">
      <c r="U569" s="195"/>
    </row>
    <row r="570" spans="21:21" x14ac:dyDescent="0.25">
      <c r="U570" s="195"/>
    </row>
    <row r="571" spans="21:21" x14ac:dyDescent="0.25">
      <c r="U571" s="195"/>
    </row>
    <row r="572" spans="21:21" x14ac:dyDescent="0.25">
      <c r="U572" s="195"/>
    </row>
    <row r="573" spans="21:21" x14ac:dyDescent="0.25">
      <c r="U573" s="195"/>
    </row>
    <row r="574" spans="21:21" x14ac:dyDescent="0.25">
      <c r="U574" s="195"/>
    </row>
    <row r="575" spans="21:21" x14ac:dyDescent="0.25">
      <c r="U575" s="195"/>
    </row>
    <row r="576" spans="21:21" x14ac:dyDescent="0.25">
      <c r="U576" s="195"/>
    </row>
    <row r="577" spans="21:21" x14ac:dyDescent="0.25">
      <c r="U577" s="195"/>
    </row>
    <row r="578" spans="21:21" x14ac:dyDescent="0.25">
      <c r="U578" s="195"/>
    </row>
    <row r="579" spans="21:21" x14ac:dyDescent="0.25">
      <c r="U579" s="195"/>
    </row>
    <row r="580" spans="21:21" x14ac:dyDescent="0.25">
      <c r="U580" s="195"/>
    </row>
    <row r="581" spans="21:21" x14ac:dyDescent="0.25">
      <c r="U581" s="195"/>
    </row>
    <row r="582" spans="21:21" x14ac:dyDescent="0.25">
      <c r="U582" s="195"/>
    </row>
    <row r="583" spans="21:21" x14ac:dyDescent="0.25">
      <c r="U583" s="195"/>
    </row>
    <row r="584" spans="21:21" x14ac:dyDescent="0.25">
      <c r="U584" s="195"/>
    </row>
    <row r="585" spans="21:21" x14ac:dyDescent="0.25">
      <c r="U585" s="195"/>
    </row>
    <row r="586" spans="21:21" x14ac:dyDescent="0.25">
      <c r="U586" s="195"/>
    </row>
    <row r="587" spans="21:21" x14ac:dyDescent="0.25">
      <c r="U587" s="195"/>
    </row>
    <row r="588" spans="21:21" x14ac:dyDescent="0.25">
      <c r="U588" s="195"/>
    </row>
    <row r="589" spans="21:21" x14ac:dyDescent="0.25">
      <c r="U589" s="195"/>
    </row>
    <row r="590" spans="21:21" x14ac:dyDescent="0.25">
      <c r="U590" s="195"/>
    </row>
    <row r="591" spans="21:21" x14ac:dyDescent="0.25">
      <c r="U591" s="195"/>
    </row>
    <row r="592" spans="21:21" x14ac:dyDescent="0.25">
      <c r="U592" s="195"/>
    </row>
    <row r="593" spans="21:21" x14ac:dyDescent="0.25">
      <c r="U593" s="195"/>
    </row>
    <row r="594" spans="21:21" x14ac:dyDescent="0.25">
      <c r="U594" s="195"/>
    </row>
    <row r="595" spans="21:21" x14ac:dyDescent="0.25">
      <c r="U595" s="195"/>
    </row>
    <row r="596" spans="21:21" x14ac:dyDescent="0.25">
      <c r="U596" s="195"/>
    </row>
    <row r="597" spans="21:21" x14ac:dyDescent="0.25">
      <c r="U597" s="195"/>
    </row>
    <row r="598" spans="21:21" x14ac:dyDescent="0.25">
      <c r="U598" s="195"/>
    </row>
    <row r="599" spans="21:21" x14ac:dyDescent="0.25">
      <c r="U599" s="195"/>
    </row>
    <row r="600" spans="21:21" x14ac:dyDescent="0.25">
      <c r="U600" s="195"/>
    </row>
    <row r="601" spans="21:21" x14ac:dyDescent="0.25">
      <c r="U601" s="195"/>
    </row>
    <row r="602" spans="21:21" x14ac:dyDescent="0.25">
      <c r="U602" s="195"/>
    </row>
    <row r="603" spans="21:21" x14ac:dyDescent="0.25">
      <c r="U603" s="195"/>
    </row>
    <row r="604" spans="21:21" x14ac:dyDescent="0.25">
      <c r="U604" s="195"/>
    </row>
    <row r="605" spans="21:21" x14ac:dyDescent="0.25">
      <c r="U605" s="195"/>
    </row>
    <row r="606" spans="21:21" x14ac:dyDescent="0.25">
      <c r="U606" s="195"/>
    </row>
    <row r="607" spans="21:21" x14ac:dyDescent="0.25">
      <c r="U607" s="195"/>
    </row>
    <row r="608" spans="21:21" x14ac:dyDescent="0.25">
      <c r="U608" s="195"/>
    </row>
    <row r="609" spans="21:21" x14ac:dyDescent="0.25">
      <c r="U609" s="195"/>
    </row>
    <row r="610" spans="21:21" x14ac:dyDescent="0.25">
      <c r="U610" s="195"/>
    </row>
    <row r="611" spans="21:21" x14ac:dyDescent="0.25">
      <c r="U611" s="195"/>
    </row>
    <row r="612" spans="21:21" x14ac:dyDescent="0.25">
      <c r="U612" s="195"/>
    </row>
    <row r="613" spans="21:21" x14ac:dyDescent="0.25">
      <c r="U613" s="195"/>
    </row>
    <row r="614" spans="21:21" x14ac:dyDescent="0.25">
      <c r="U614" s="195"/>
    </row>
    <row r="615" spans="21:21" x14ac:dyDescent="0.25">
      <c r="U615" s="195"/>
    </row>
    <row r="616" spans="21:21" x14ac:dyDescent="0.25">
      <c r="U616" s="195"/>
    </row>
    <row r="617" spans="21:21" x14ac:dyDescent="0.25">
      <c r="U617" s="195"/>
    </row>
    <row r="618" spans="21:21" x14ac:dyDescent="0.25">
      <c r="U618" s="195"/>
    </row>
    <row r="619" spans="21:21" x14ac:dyDescent="0.25">
      <c r="U619" s="195"/>
    </row>
    <row r="620" spans="21:21" x14ac:dyDescent="0.25">
      <c r="U620" s="195"/>
    </row>
    <row r="621" spans="21:21" x14ac:dyDescent="0.25">
      <c r="U621" s="195"/>
    </row>
    <row r="622" spans="21:21" x14ac:dyDescent="0.25">
      <c r="U622" s="195"/>
    </row>
    <row r="623" spans="21:21" x14ac:dyDescent="0.25">
      <c r="U623" s="195"/>
    </row>
    <row r="624" spans="21:21" x14ac:dyDescent="0.25">
      <c r="U624" s="195"/>
    </row>
    <row r="625" spans="21:21" x14ac:dyDescent="0.25">
      <c r="U625" s="195"/>
    </row>
    <row r="626" spans="21:21" x14ac:dyDescent="0.25">
      <c r="U626" s="195"/>
    </row>
    <row r="627" spans="21:21" x14ac:dyDescent="0.25">
      <c r="U627" s="195"/>
    </row>
    <row r="628" spans="21:21" x14ac:dyDescent="0.25">
      <c r="U628" s="195"/>
    </row>
    <row r="629" spans="21:21" x14ac:dyDescent="0.25">
      <c r="U629" s="195"/>
    </row>
    <row r="630" spans="21:21" x14ac:dyDescent="0.25">
      <c r="U630" s="195"/>
    </row>
    <row r="631" spans="21:21" x14ac:dyDescent="0.25">
      <c r="U631" s="195"/>
    </row>
    <row r="632" spans="21:21" x14ac:dyDescent="0.25">
      <c r="U632" s="195"/>
    </row>
    <row r="633" spans="21:21" x14ac:dyDescent="0.25">
      <c r="U633" s="195"/>
    </row>
    <row r="634" spans="21:21" x14ac:dyDescent="0.25">
      <c r="U634" s="195"/>
    </row>
    <row r="635" spans="21:21" x14ac:dyDescent="0.25">
      <c r="U635" s="195"/>
    </row>
    <row r="636" spans="21:21" x14ac:dyDescent="0.25">
      <c r="U636" s="195"/>
    </row>
    <row r="637" spans="21:21" x14ac:dyDescent="0.25">
      <c r="U637" s="195"/>
    </row>
    <row r="638" spans="21:21" x14ac:dyDescent="0.25">
      <c r="U638" s="195"/>
    </row>
    <row r="639" spans="21:21" x14ac:dyDescent="0.25">
      <c r="U639" s="195"/>
    </row>
    <row r="640" spans="21:21" x14ac:dyDescent="0.25">
      <c r="U640" s="195"/>
    </row>
    <row r="641" spans="21:21" x14ac:dyDescent="0.25">
      <c r="U641" s="195"/>
    </row>
    <row r="642" spans="21:21" x14ac:dyDescent="0.25">
      <c r="U642" s="195"/>
    </row>
    <row r="643" spans="21:21" x14ac:dyDescent="0.25">
      <c r="U643" s="195"/>
    </row>
    <row r="644" spans="21:21" x14ac:dyDescent="0.25">
      <c r="U644" s="195"/>
    </row>
    <row r="645" spans="21:21" x14ac:dyDescent="0.25">
      <c r="U645" s="195"/>
    </row>
    <row r="646" spans="21:21" x14ac:dyDescent="0.25">
      <c r="U646" s="195"/>
    </row>
    <row r="647" spans="21:21" x14ac:dyDescent="0.25">
      <c r="U647" s="195"/>
    </row>
    <row r="648" spans="21:21" x14ac:dyDescent="0.25">
      <c r="U648" s="195"/>
    </row>
    <row r="649" spans="21:21" x14ac:dyDescent="0.25">
      <c r="U649" s="195"/>
    </row>
    <row r="650" spans="21:21" x14ac:dyDescent="0.25">
      <c r="U650" s="195"/>
    </row>
    <row r="651" spans="21:21" x14ac:dyDescent="0.25">
      <c r="U651" s="195"/>
    </row>
    <row r="652" spans="21:21" x14ac:dyDescent="0.25">
      <c r="U652" s="195"/>
    </row>
    <row r="653" spans="21:21" x14ac:dyDescent="0.25">
      <c r="U653" s="195"/>
    </row>
    <row r="654" spans="21:21" x14ac:dyDescent="0.25">
      <c r="U654" s="195"/>
    </row>
    <row r="655" spans="21:21" x14ac:dyDescent="0.25">
      <c r="U655" s="195"/>
    </row>
    <row r="656" spans="21:21" x14ac:dyDescent="0.25">
      <c r="U656" s="195"/>
    </row>
    <row r="657" spans="21:21" x14ac:dyDescent="0.25">
      <c r="U657" s="195"/>
    </row>
    <row r="658" spans="21:21" x14ac:dyDescent="0.25">
      <c r="U658" s="195"/>
    </row>
    <row r="659" spans="21:21" x14ac:dyDescent="0.25">
      <c r="U659" s="195"/>
    </row>
    <row r="660" spans="21:21" x14ac:dyDescent="0.25">
      <c r="U660" s="195"/>
    </row>
    <row r="661" spans="21:21" x14ac:dyDescent="0.25">
      <c r="U661" s="195"/>
    </row>
    <row r="662" spans="21:21" x14ac:dyDescent="0.25">
      <c r="U662" s="195"/>
    </row>
    <row r="663" spans="21:21" x14ac:dyDescent="0.25">
      <c r="U663" s="195"/>
    </row>
    <row r="664" spans="21:21" x14ac:dyDescent="0.25">
      <c r="U664" s="195"/>
    </row>
    <row r="665" spans="21:21" x14ac:dyDescent="0.25">
      <c r="U665" s="195"/>
    </row>
    <row r="666" spans="21:21" x14ac:dyDescent="0.25">
      <c r="U666" s="195"/>
    </row>
    <row r="667" spans="21:21" x14ac:dyDescent="0.25">
      <c r="U667" s="195"/>
    </row>
    <row r="668" spans="21:21" x14ac:dyDescent="0.25">
      <c r="U668" s="195"/>
    </row>
    <row r="669" spans="21:21" x14ac:dyDescent="0.25">
      <c r="U669" s="195"/>
    </row>
    <row r="670" spans="21:21" x14ac:dyDescent="0.25">
      <c r="U670" s="195"/>
    </row>
    <row r="671" spans="21:21" x14ac:dyDescent="0.25">
      <c r="U671" s="195"/>
    </row>
    <row r="672" spans="21:21" x14ac:dyDescent="0.25">
      <c r="U672" s="195"/>
    </row>
    <row r="673" spans="21:21" x14ac:dyDescent="0.25">
      <c r="U673" s="195"/>
    </row>
    <row r="674" spans="21:21" x14ac:dyDescent="0.25">
      <c r="U674" s="195"/>
    </row>
    <row r="675" spans="21:21" x14ac:dyDescent="0.25">
      <c r="U675" s="195"/>
    </row>
    <row r="676" spans="21:21" x14ac:dyDescent="0.25">
      <c r="U676" s="195"/>
    </row>
    <row r="677" spans="21:21" x14ac:dyDescent="0.25">
      <c r="U677" s="195"/>
    </row>
    <row r="678" spans="21:21" x14ac:dyDescent="0.25">
      <c r="U678" s="195"/>
    </row>
    <row r="679" spans="21:21" x14ac:dyDescent="0.25">
      <c r="U679" s="195"/>
    </row>
    <row r="680" spans="21:21" x14ac:dyDescent="0.25">
      <c r="U680" s="195"/>
    </row>
    <row r="681" spans="21:21" x14ac:dyDescent="0.25">
      <c r="U681" s="195"/>
    </row>
    <row r="682" spans="21:21" x14ac:dyDescent="0.25">
      <c r="U682" s="195"/>
    </row>
    <row r="683" spans="21:21" x14ac:dyDescent="0.25">
      <c r="U683" s="195"/>
    </row>
    <row r="684" spans="21:21" x14ac:dyDescent="0.25">
      <c r="U684" s="195"/>
    </row>
    <row r="685" spans="21:21" x14ac:dyDescent="0.25">
      <c r="U685" s="195"/>
    </row>
    <row r="686" spans="21:21" x14ac:dyDescent="0.25">
      <c r="U686" s="195"/>
    </row>
    <row r="687" spans="21:21" x14ac:dyDescent="0.25">
      <c r="U687" s="195"/>
    </row>
    <row r="688" spans="21:21" x14ac:dyDescent="0.25">
      <c r="U688" s="195"/>
    </row>
    <row r="689" spans="21:21" x14ac:dyDescent="0.25">
      <c r="U689" s="195"/>
    </row>
    <row r="690" spans="21:21" x14ac:dyDescent="0.25">
      <c r="U690" s="195"/>
    </row>
    <row r="691" spans="21:21" x14ac:dyDescent="0.25">
      <c r="U691" s="195"/>
    </row>
    <row r="692" spans="21:21" x14ac:dyDescent="0.25">
      <c r="U692" s="195"/>
    </row>
    <row r="693" spans="21:21" x14ac:dyDescent="0.25">
      <c r="U693" s="195"/>
    </row>
    <row r="694" spans="21:21" x14ac:dyDescent="0.25">
      <c r="U694" s="195"/>
    </row>
    <row r="695" spans="21:21" x14ac:dyDescent="0.25">
      <c r="U695" s="195"/>
    </row>
    <row r="696" spans="21:21" x14ac:dyDescent="0.25">
      <c r="U696" s="195"/>
    </row>
    <row r="697" spans="21:21" x14ac:dyDescent="0.25">
      <c r="U697" s="195"/>
    </row>
    <row r="698" spans="21:21" x14ac:dyDescent="0.25">
      <c r="U698" s="195"/>
    </row>
    <row r="699" spans="21:21" x14ac:dyDescent="0.25">
      <c r="U699" s="195"/>
    </row>
    <row r="700" spans="21:21" x14ac:dyDescent="0.25">
      <c r="U700" s="195"/>
    </row>
    <row r="701" spans="21:21" x14ac:dyDescent="0.25">
      <c r="U701" s="195"/>
    </row>
    <row r="702" spans="21:21" x14ac:dyDescent="0.25">
      <c r="U702" s="195"/>
    </row>
    <row r="703" spans="21:21" x14ac:dyDescent="0.25">
      <c r="U703" s="195"/>
    </row>
    <row r="704" spans="21:21" x14ac:dyDescent="0.25">
      <c r="U704" s="195"/>
    </row>
    <row r="705" spans="21:21" x14ac:dyDescent="0.25">
      <c r="U705" s="195"/>
    </row>
    <row r="706" spans="21:21" x14ac:dyDescent="0.25">
      <c r="U706" s="195"/>
    </row>
    <row r="707" spans="21:21" x14ac:dyDescent="0.25">
      <c r="U707" s="195"/>
    </row>
    <row r="708" spans="21:21" x14ac:dyDescent="0.25">
      <c r="U708" s="195"/>
    </row>
    <row r="709" spans="21:21" x14ac:dyDescent="0.25">
      <c r="U709" s="195"/>
    </row>
    <row r="710" spans="21:21" x14ac:dyDescent="0.25">
      <c r="U710" s="195"/>
    </row>
    <row r="711" spans="21:21" x14ac:dyDescent="0.25">
      <c r="U711" s="195"/>
    </row>
    <row r="712" spans="21:21" x14ac:dyDescent="0.25">
      <c r="U712" s="195"/>
    </row>
    <row r="713" spans="21:21" x14ac:dyDescent="0.25">
      <c r="U713" s="195"/>
    </row>
    <row r="714" spans="21:21" x14ac:dyDescent="0.25">
      <c r="U714" s="195"/>
    </row>
    <row r="715" spans="21:21" x14ac:dyDescent="0.25">
      <c r="U715" s="195"/>
    </row>
    <row r="716" spans="21:21" x14ac:dyDescent="0.25">
      <c r="U716" s="195"/>
    </row>
    <row r="717" spans="21:21" x14ac:dyDescent="0.25">
      <c r="U717" s="195"/>
    </row>
    <row r="718" spans="21:21" x14ac:dyDescent="0.25">
      <c r="U718" s="195"/>
    </row>
    <row r="719" spans="21:21" x14ac:dyDescent="0.25">
      <c r="U719" s="195"/>
    </row>
    <row r="720" spans="21:21" x14ac:dyDescent="0.25">
      <c r="U720" s="195"/>
    </row>
    <row r="721" spans="21:21" x14ac:dyDescent="0.25">
      <c r="U721" s="195"/>
    </row>
    <row r="722" spans="21:21" x14ac:dyDescent="0.25">
      <c r="U722" s="195"/>
    </row>
    <row r="723" spans="21:21" x14ac:dyDescent="0.25">
      <c r="U723" s="195"/>
    </row>
    <row r="724" spans="21:21" x14ac:dyDescent="0.25">
      <c r="U724" s="195"/>
    </row>
    <row r="725" spans="21:21" x14ac:dyDescent="0.25">
      <c r="U725" s="195"/>
    </row>
    <row r="726" spans="21:21" x14ac:dyDescent="0.25">
      <c r="U726" s="195"/>
    </row>
    <row r="727" spans="21:21" x14ac:dyDescent="0.25">
      <c r="U727" s="195"/>
    </row>
    <row r="728" spans="21:21" x14ac:dyDescent="0.25">
      <c r="U728" s="195"/>
    </row>
    <row r="729" spans="21:21" x14ac:dyDescent="0.25">
      <c r="U729" s="195"/>
    </row>
    <row r="730" spans="21:21" x14ac:dyDescent="0.25">
      <c r="U730" s="195"/>
    </row>
    <row r="731" spans="21:21" x14ac:dyDescent="0.25">
      <c r="U731" s="195"/>
    </row>
    <row r="732" spans="21:21" x14ac:dyDescent="0.25">
      <c r="U732" s="195"/>
    </row>
    <row r="733" spans="21:21" x14ac:dyDescent="0.25">
      <c r="U733" s="195"/>
    </row>
    <row r="734" spans="21:21" x14ac:dyDescent="0.25">
      <c r="U734" s="195"/>
    </row>
    <row r="735" spans="21:21" x14ac:dyDescent="0.25">
      <c r="U735" s="195"/>
    </row>
    <row r="736" spans="21:21" x14ac:dyDescent="0.25">
      <c r="U736" s="195"/>
    </row>
    <row r="737" spans="21:21" x14ac:dyDescent="0.25">
      <c r="U737" s="195"/>
    </row>
    <row r="738" spans="21:21" x14ac:dyDescent="0.25">
      <c r="U738" s="195"/>
    </row>
    <row r="739" spans="21:21" x14ac:dyDescent="0.25">
      <c r="U739" s="195"/>
    </row>
    <row r="740" spans="21:21" x14ac:dyDescent="0.25">
      <c r="U740" s="195"/>
    </row>
    <row r="741" spans="21:21" x14ac:dyDescent="0.25">
      <c r="U741" s="195"/>
    </row>
    <row r="742" spans="21:21" x14ac:dyDescent="0.25">
      <c r="U742" s="195"/>
    </row>
    <row r="743" spans="21:21" x14ac:dyDescent="0.25">
      <c r="U743" s="195"/>
    </row>
    <row r="744" spans="21:21" x14ac:dyDescent="0.25">
      <c r="U744" s="195"/>
    </row>
    <row r="745" spans="21:21" x14ac:dyDescent="0.25">
      <c r="U745" s="195"/>
    </row>
    <row r="746" spans="21:21" x14ac:dyDescent="0.25">
      <c r="U746" s="195"/>
    </row>
    <row r="747" spans="21:21" x14ac:dyDescent="0.25">
      <c r="U747" s="195"/>
    </row>
    <row r="748" spans="21:21" x14ac:dyDescent="0.25">
      <c r="U748" s="195"/>
    </row>
    <row r="749" spans="21:21" x14ac:dyDescent="0.25">
      <c r="U749" s="195"/>
    </row>
    <row r="750" spans="21:21" x14ac:dyDescent="0.25">
      <c r="U750" s="195"/>
    </row>
    <row r="751" spans="21:21" x14ac:dyDescent="0.25">
      <c r="U751" s="195"/>
    </row>
    <row r="752" spans="21:21" x14ac:dyDescent="0.25">
      <c r="U752" s="195"/>
    </row>
    <row r="753" spans="21:21" x14ac:dyDescent="0.25">
      <c r="U753" s="195"/>
    </row>
    <row r="754" spans="21:21" x14ac:dyDescent="0.25">
      <c r="U754" s="195"/>
    </row>
    <row r="755" spans="21:21" x14ac:dyDescent="0.25">
      <c r="U755" s="195"/>
    </row>
    <row r="756" spans="21:21" x14ac:dyDescent="0.25">
      <c r="U756" s="195"/>
    </row>
    <row r="757" spans="21:21" x14ac:dyDescent="0.25">
      <c r="U757" s="195"/>
    </row>
    <row r="758" spans="21:21" x14ac:dyDescent="0.25">
      <c r="U758" s="195"/>
    </row>
    <row r="759" spans="21:21" x14ac:dyDescent="0.25">
      <c r="U759" s="195"/>
    </row>
    <row r="760" spans="21:21" x14ac:dyDescent="0.25">
      <c r="U760" s="195"/>
    </row>
    <row r="761" spans="21:21" x14ac:dyDescent="0.25">
      <c r="U761" s="195"/>
    </row>
    <row r="762" spans="21:21" x14ac:dyDescent="0.25">
      <c r="U762" s="195"/>
    </row>
    <row r="763" spans="21:21" x14ac:dyDescent="0.25">
      <c r="U763" s="195"/>
    </row>
    <row r="764" spans="21:21" x14ac:dyDescent="0.25">
      <c r="U764" s="195"/>
    </row>
    <row r="765" spans="21:21" x14ac:dyDescent="0.25">
      <c r="U765" s="195"/>
    </row>
    <row r="766" spans="21:21" x14ac:dyDescent="0.25">
      <c r="U766" s="195"/>
    </row>
    <row r="767" spans="21:21" x14ac:dyDescent="0.25">
      <c r="U767" s="195"/>
    </row>
  </sheetData>
  <autoFilter ref="A1:Z767" xr:uid="{C9B4F5C2-6DFE-434F-985B-1D20A3B51F1A}"/>
  <conditionalFormatting sqref="P1">
    <cfRule type="expression" dxfId="420" priority="491">
      <formula>"$G$G&gt;400"</formula>
    </cfRule>
  </conditionalFormatting>
  <conditionalFormatting sqref="C21">
    <cfRule type="containsText" dxfId="419" priority="478" operator="containsText" text="Einnahmen">
      <formula>NOT(ISERROR(SEARCH("Einnahmen",C21)))</formula>
    </cfRule>
  </conditionalFormatting>
  <conditionalFormatting sqref="C83">
    <cfRule type="containsText" dxfId="418" priority="448" operator="containsText" text="Einnahmen">
      <formula>NOT(ISERROR(SEARCH("Einnahmen",C83)))</formula>
    </cfRule>
    <cfRule type="containsText" dxfId="417" priority="449" operator="containsText" text="Ausgaben">
      <formula>NOT(ISERROR(SEARCH("Ausgaben",C83)))</formula>
    </cfRule>
  </conditionalFormatting>
  <conditionalFormatting sqref="C84">
    <cfRule type="containsText" dxfId="416" priority="446" operator="containsText" text="Einnahmen">
      <formula>NOT(ISERROR(SEARCH("Einnahmen",C84)))</formula>
    </cfRule>
    <cfRule type="containsText" dxfId="415" priority="447" operator="containsText" text="Ausgaben">
      <formula>NOT(ISERROR(SEARCH("Ausgaben",C84)))</formula>
    </cfRule>
  </conditionalFormatting>
  <conditionalFormatting sqref="C85">
    <cfRule type="containsText" dxfId="414" priority="444" operator="containsText" text="Einnahmen">
      <formula>NOT(ISERROR(SEARCH("Einnahmen",C85)))</formula>
    </cfRule>
    <cfRule type="containsText" dxfId="413" priority="445" operator="containsText" text="Ausgaben">
      <formula>NOT(ISERROR(SEARCH("Ausgaben",C85)))</formula>
    </cfRule>
  </conditionalFormatting>
  <conditionalFormatting sqref="C86">
    <cfRule type="containsText" dxfId="412" priority="442" operator="containsText" text="Einnahmen">
      <formula>NOT(ISERROR(SEARCH("Einnahmen",C86)))</formula>
    </cfRule>
    <cfRule type="containsText" dxfId="411" priority="443" operator="containsText" text="Ausgaben">
      <formula>NOT(ISERROR(SEARCH("Ausgaben",C86)))</formula>
    </cfRule>
  </conditionalFormatting>
  <conditionalFormatting sqref="C88">
    <cfRule type="containsText" dxfId="410" priority="440" operator="containsText" text="Einnahmen">
      <formula>NOT(ISERROR(SEARCH("Einnahmen",C88)))</formula>
    </cfRule>
    <cfRule type="containsText" dxfId="409" priority="441" operator="containsText" text="Ausgaben">
      <formula>NOT(ISERROR(SEARCH("Ausgaben",C88)))</formula>
    </cfRule>
  </conditionalFormatting>
  <conditionalFormatting sqref="C90">
    <cfRule type="containsText" dxfId="408" priority="438" operator="containsText" text="Einnahmen">
      <formula>NOT(ISERROR(SEARCH("Einnahmen",C90)))</formula>
    </cfRule>
    <cfRule type="containsText" dxfId="407" priority="439" operator="containsText" text="Ausgaben">
      <formula>NOT(ISERROR(SEARCH("Ausgaben",C90)))</formula>
    </cfRule>
  </conditionalFormatting>
  <conditionalFormatting sqref="C93">
    <cfRule type="containsText" dxfId="406" priority="436" operator="containsText" text="Einnahmen">
      <formula>NOT(ISERROR(SEARCH("Einnahmen",C93)))</formula>
    </cfRule>
    <cfRule type="containsText" dxfId="405" priority="437" operator="containsText" text="Ausgaben">
      <formula>NOT(ISERROR(SEARCH("Ausgaben",C93)))</formula>
    </cfRule>
  </conditionalFormatting>
  <conditionalFormatting sqref="C95">
    <cfRule type="containsText" dxfId="404" priority="434" operator="containsText" text="Einnahmen">
      <formula>NOT(ISERROR(SEARCH("Einnahmen",C95)))</formula>
    </cfRule>
    <cfRule type="containsText" dxfId="403" priority="435" operator="containsText" text="Ausgaben">
      <formula>NOT(ISERROR(SEARCH("Ausgaben",C95)))</formula>
    </cfRule>
  </conditionalFormatting>
  <conditionalFormatting sqref="C99">
    <cfRule type="containsText" dxfId="402" priority="432" operator="containsText" text="Einnahmen">
      <formula>NOT(ISERROR(SEARCH("Einnahmen",C99)))</formula>
    </cfRule>
    <cfRule type="containsText" dxfId="401" priority="433" operator="containsText" text="Ausgaben">
      <formula>NOT(ISERROR(SEARCH("Ausgaben",C99)))</formula>
    </cfRule>
  </conditionalFormatting>
  <conditionalFormatting sqref="C100">
    <cfRule type="containsText" dxfId="400" priority="430" operator="containsText" text="Einnahmen">
      <formula>NOT(ISERROR(SEARCH("Einnahmen",C100)))</formula>
    </cfRule>
    <cfRule type="containsText" dxfId="399" priority="431" operator="containsText" text="Ausgaben">
      <formula>NOT(ISERROR(SEARCH("Ausgaben",C100)))</formula>
    </cfRule>
  </conditionalFormatting>
  <conditionalFormatting sqref="C102">
    <cfRule type="containsText" dxfId="398" priority="428" operator="containsText" text="Einnahmen">
      <formula>NOT(ISERROR(SEARCH("Einnahmen",C102)))</formula>
    </cfRule>
    <cfRule type="containsText" dxfId="397" priority="429" operator="containsText" text="Ausgaben">
      <formula>NOT(ISERROR(SEARCH("Ausgaben",C102)))</formula>
    </cfRule>
  </conditionalFormatting>
  <conditionalFormatting sqref="C110">
    <cfRule type="containsText" dxfId="396" priority="424" operator="containsText" text="Einnahmen">
      <formula>NOT(ISERROR(SEARCH("Einnahmen",C110)))</formula>
    </cfRule>
    <cfRule type="containsText" dxfId="395" priority="425" operator="containsText" text="Ausgaben">
      <formula>NOT(ISERROR(SEARCH("Ausgaben",C110)))</formula>
    </cfRule>
  </conditionalFormatting>
  <conditionalFormatting sqref="C111">
    <cfRule type="containsText" dxfId="394" priority="422" operator="containsText" text="Einnahmen">
      <formula>NOT(ISERROR(SEARCH("Einnahmen",C111)))</formula>
    </cfRule>
    <cfRule type="containsText" dxfId="393" priority="423" operator="containsText" text="Ausgaben">
      <formula>NOT(ISERROR(SEARCH("Ausgaben",C111)))</formula>
    </cfRule>
  </conditionalFormatting>
  <conditionalFormatting sqref="C112">
    <cfRule type="containsText" dxfId="392" priority="420" operator="containsText" text="Einnahmen">
      <formula>NOT(ISERROR(SEARCH("Einnahmen",C112)))</formula>
    </cfRule>
    <cfRule type="containsText" dxfId="391" priority="421" operator="containsText" text="Ausgaben">
      <formula>NOT(ISERROR(SEARCH("Ausgaben",C112)))</formula>
    </cfRule>
  </conditionalFormatting>
  <conditionalFormatting sqref="C114">
    <cfRule type="containsText" dxfId="390" priority="418" operator="containsText" text="Einnahmen">
      <formula>NOT(ISERROR(SEARCH("Einnahmen",C114)))</formula>
    </cfRule>
    <cfRule type="containsText" dxfId="389" priority="419" operator="containsText" text="Ausgaben">
      <formula>NOT(ISERROR(SEARCH("Ausgaben",C114)))</formula>
    </cfRule>
  </conditionalFormatting>
  <conditionalFormatting sqref="C115">
    <cfRule type="containsText" dxfId="388" priority="414" operator="containsText" text="Einnahmen">
      <formula>NOT(ISERROR(SEARCH("Einnahmen",C115)))</formula>
    </cfRule>
    <cfRule type="containsText" dxfId="387" priority="415" operator="containsText" text="Ausgaben">
      <formula>NOT(ISERROR(SEARCH("Ausgaben",C115)))</formula>
    </cfRule>
  </conditionalFormatting>
  <conditionalFormatting sqref="C119">
    <cfRule type="containsText" dxfId="386" priority="412" operator="containsText" text="Einnahmen">
      <formula>NOT(ISERROR(SEARCH("Einnahmen",C119)))</formula>
    </cfRule>
    <cfRule type="containsText" dxfId="385" priority="413" operator="containsText" text="Ausgaben">
      <formula>NOT(ISERROR(SEARCH("Ausgaben",C119)))</formula>
    </cfRule>
  </conditionalFormatting>
  <conditionalFormatting sqref="C120">
    <cfRule type="containsText" dxfId="384" priority="410" operator="containsText" text="Einnahmen">
      <formula>NOT(ISERROR(SEARCH("Einnahmen",C120)))</formula>
    </cfRule>
    <cfRule type="containsText" dxfId="383" priority="411" operator="containsText" text="Ausgaben">
      <formula>NOT(ISERROR(SEARCH("Ausgaben",C120)))</formula>
    </cfRule>
  </conditionalFormatting>
  <conditionalFormatting sqref="C124">
    <cfRule type="containsText" dxfId="382" priority="408" operator="containsText" text="Einnahmen">
      <formula>NOT(ISERROR(SEARCH("Einnahmen",C124)))</formula>
    </cfRule>
    <cfRule type="containsText" dxfId="381" priority="409" operator="containsText" text="Ausgaben">
      <formula>NOT(ISERROR(SEARCH("Ausgaben",C124)))</formula>
    </cfRule>
  </conditionalFormatting>
  <conditionalFormatting sqref="C126">
    <cfRule type="containsText" dxfId="380" priority="406" operator="containsText" text="Einnahmen">
      <formula>NOT(ISERROR(SEARCH("Einnahmen",C126)))</formula>
    </cfRule>
    <cfRule type="containsText" dxfId="379" priority="407" operator="containsText" text="Ausgaben">
      <formula>NOT(ISERROR(SEARCH("Ausgaben",C126)))</formula>
    </cfRule>
  </conditionalFormatting>
  <conditionalFormatting sqref="C129:C130">
    <cfRule type="containsText" dxfId="378" priority="404" operator="containsText" text="Einnahmen">
      <formula>NOT(ISERROR(SEARCH("Einnahmen",C129)))</formula>
    </cfRule>
    <cfRule type="containsText" dxfId="377" priority="405" operator="containsText" text="Ausgaben">
      <formula>NOT(ISERROR(SEARCH("Ausgaben",C129)))</formula>
    </cfRule>
  </conditionalFormatting>
  <conditionalFormatting sqref="C139:C140">
    <cfRule type="containsText" dxfId="376" priority="400" operator="containsText" text="Einnahmen">
      <formula>NOT(ISERROR(SEARCH("Einnahmen",C139)))</formula>
    </cfRule>
    <cfRule type="containsText" dxfId="375" priority="401" operator="containsText" text="Ausgaben">
      <formula>NOT(ISERROR(SEARCH("Ausgaben",C139)))</formula>
    </cfRule>
  </conditionalFormatting>
  <conditionalFormatting sqref="C131">
    <cfRule type="containsText" dxfId="374" priority="398" operator="containsText" text="Einnahmen">
      <formula>NOT(ISERROR(SEARCH("Einnahmen",C131)))</formula>
    </cfRule>
    <cfRule type="containsText" dxfId="373" priority="399" operator="containsText" text="Ausgaben">
      <formula>NOT(ISERROR(SEARCH("Ausgaben",C131)))</formula>
    </cfRule>
  </conditionalFormatting>
  <conditionalFormatting sqref="C141">
    <cfRule type="containsText" dxfId="372" priority="396" operator="containsText" text="Einnahmen">
      <formula>NOT(ISERROR(SEARCH("Einnahmen",C141)))</formula>
    </cfRule>
    <cfRule type="containsText" dxfId="371" priority="397" operator="containsText" text="Ausgaben">
      <formula>NOT(ISERROR(SEARCH("Ausgaben",C141)))</formula>
    </cfRule>
  </conditionalFormatting>
  <conditionalFormatting sqref="C143">
    <cfRule type="containsText" dxfId="370" priority="394" operator="containsText" text="Einnahmen">
      <formula>NOT(ISERROR(SEARCH("Einnahmen",C143)))</formula>
    </cfRule>
    <cfRule type="containsText" dxfId="369" priority="395" operator="containsText" text="Ausgaben">
      <formula>NOT(ISERROR(SEARCH("Ausgaben",C143)))</formula>
    </cfRule>
  </conditionalFormatting>
  <conditionalFormatting sqref="C144">
    <cfRule type="containsText" dxfId="368" priority="392" operator="containsText" text="Einnahmen">
      <formula>NOT(ISERROR(SEARCH("Einnahmen",C144)))</formula>
    </cfRule>
    <cfRule type="containsText" dxfId="367" priority="393" operator="containsText" text="Ausgaben">
      <formula>NOT(ISERROR(SEARCH("Ausgaben",C144)))</formula>
    </cfRule>
  </conditionalFormatting>
  <conditionalFormatting sqref="C145">
    <cfRule type="containsText" dxfId="366" priority="390" operator="containsText" text="Einnahmen">
      <formula>NOT(ISERROR(SEARCH("Einnahmen",C145)))</formula>
    </cfRule>
    <cfRule type="containsText" dxfId="365" priority="391" operator="containsText" text="Ausgaben">
      <formula>NOT(ISERROR(SEARCH("Ausgaben",C145)))</formula>
    </cfRule>
  </conditionalFormatting>
  <conditionalFormatting sqref="C146">
    <cfRule type="containsText" dxfId="364" priority="388" operator="containsText" text="Einnahmen">
      <formula>NOT(ISERROR(SEARCH("Einnahmen",C146)))</formula>
    </cfRule>
    <cfRule type="containsText" dxfId="363" priority="389" operator="containsText" text="Ausgaben">
      <formula>NOT(ISERROR(SEARCH("Ausgaben",C146)))</formula>
    </cfRule>
  </conditionalFormatting>
  <conditionalFormatting sqref="C147:C149">
    <cfRule type="containsText" dxfId="362" priority="386" operator="containsText" text="Einnahmen">
      <formula>NOT(ISERROR(SEARCH("Einnahmen",C147)))</formula>
    </cfRule>
    <cfRule type="containsText" dxfId="361" priority="387" operator="containsText" text="Ausgaben">
      <formula>NOT(ISERROR(SEARCH("Ausgaben",C147)))</formula>
    </cfRule>
  </conditionalFormatting>
  <conditionalFormatting sqref="C150">
    <cfRule type="containsText" dxfId="360" priority="384" operator="containsText" text="Einnahmen">
      <formula>NOT(ISERROR(SEARCH("Einnahmen",C150)))</formula>
    </cfRule>
    <cfRule type="containsText" dxfId="359" priority="385" operator="containsText" text="Ausgaben">
      <formula>NOT(ISERROR(SEARCH("Ausgaben",C150)))</formula>
    </cfRule>
  </conditionalFormatting>
  <conditionalFormatting sqref="C151">
    <cfRule type="containsText" dxfId="358" priority="382" operator="containsText" text="Einnahmen">
      <formula>NOT(ISERROR(SEARCH("Einnahmen",C151)))</formula>
    </cfRule>
    <cfRule type="containsText" dxfId="357" priority="383" operator="containsText" text="Ausgaben">
      <formula>NOT(ISERROR(SEARCH("Ausgaben",C151)))</formula>
    </cfRule>
  </conditionalFormatting>
  <conditionalFormatting sqref="C153">
    <cfRule type="containsText" dxfId="356" priority="380" operator="containsText" text="Einnahmen">
      <formula>NOT(ISERROR(SEARCH("Einnahmen",C153)))</formula>
    </cfRule>
    <cfRule type="containsText" dxfId="355" priority="381" operator="containsText" text="Ausgaben">
      <formula>NOT(ISERROR(SEARCH("Ausgaben",C153)))</formula>
    </cfRule>
  </conditionalFormatting>
  <conditionalFormatting sqref="C154:C155">
    <cfRule type="containsText" dxfId="354" priority="378" operator="containsText" text="Einnahmen">
      <formula>NOT(ISERROR(SEARCH("Einnahmen",C154)))</formula>
    </cfRule>
    <cfRule type="containsText" dxfId="353" priority="379" operator="containsText" text="Ausgaben">
      <formula>NOT(ISERROR(SEARCH("Ausgaben",C154)))</formula>
    </cfRule>
  </conditionalFormatting>
  <conditionalFormatting sqref="C155:C156">
    <cfRule type="containsText" dxfId="352" priority="376" operator="containsText" text="Einnahmen">
      <formula>NOT(ISERROR(SEARCH("Einnahmen",C155)))</formula>
    </cfRule>
    <cfRule type="containsText" dxfId="351" priority="377" operator="containsText" text="Ausgaben">
      <formula>NOT(ISERROR(SEARCH("Ausgaben",C155)))</formula>
    </cfRule>
  </conditionalFormatting>
  <conditionalFormatting sqref="C157">
    <cfRule type="containsText" dxfId="350" priority="374" operator="containsText" text="Einnahmen">
      <formula>NOT(ISERROR(SEARCH("Einnahmen",C157)))</formula>
    </cfRule>
    <cfRule type="containsText" dxfId="349" priority="375" operator="containsText" text="Ausgaben">
      <formula>NOT(ISERROR(SEARCH("Ausgaben",C157)))</formula>
    </cfRule>
  </conditionalFormatting>
  <conditionalFormatting sqref="C158">
    <cfRule type="containsText" dxfId="348" priority="370" operator="containsText" text="Einnahmen">
      <formula>NOT(ISERROR(SEARCH("Einnahmen",C158)))</formula>
    </cfRule>
    <cfRule type="containsText" dxfId="347" priority="371" operator="containsText" text="Ausgaben">
      <formula>NOT(ISERROR(SEARCH("Ausgaben",C158)))</formula>
    </cfRule>
  </conditionalFormatting>
  <conditionalFormatting sqref="C159:C160">
    <cfRule type="containsText" dxfId="346" priority="368" operator="containsText" text="Einnahmen">
      <formula>NOT(ISERROR(SEARCH("Einnahmen",C159)))</formula>
    </cfRule>
    <cfRule type="containsText" dxfId="345" priority="369" operator="containsText" text="Ausgaben">
      <formula>NOT(ISERROR(SEARCH("Ausgaben",C159)))</formula>
    </cfRule>
  </conditionalFormatting>
  <conditionalFormatting sqref="C152">
    <cfRule type="containsText" dxfId="344" priority="366" operator="containsText" text="Einnahmen">
      <formula>NOT(ISERROR(SEARCH("Einnahmen",C152)))</formula>
    </cfRule>
    <cfRule type="containsText" dxfId="343" priority="367" operator="containsText" text="Ausgaben">
      <formula>NOT(ISERROR(SEARCH("Ausgaben",C152)))</formula>
    </cfRule>
  </conditionalFormatting>
  <conditionalFormatting sqref="C161">
    <cfRule type="containsText" dxfId="342" priority="364" operator="containsText" text="Einnahmen">
      <formula>NOT(ISERROR(SEARCH("Einnahmen",C161)))</formula>
    </cfRule>
    <cfRule type="containsText" dxfId="341" priority="365" operator="containsText" text="Ausgaben">
      <formula>NOT(ISERROR(SEARCH("Ausgaben",C161)))</formula>
    </cfRule>
  </conditionalFormatting>
  <conditionalFormatting sqref="C162:C163">
    <cfRule type="containsText" dxfId="340" priority="362" operator="containsText" text="Einnahmen">
      <formula>NOT(ISERROR(SEARCH("Einnahmen",C162)))</formula>
    </cfRule>
    <cfRule type="containsText" dxfId="339" priority="363" operator="containsText" text="Ausgaben">
      <formula>NOT(ISERROR(SEARCH("Ausgaben",C162)))</formula>
    </cfRule>
  </conditionalFormatting>
  <conditionalFormatting sqref="C164">
    <cfRule type="containsText" dxfId="338" priority="360" operator="containsText" text="Einnahmen">
      <formula>NOT(ISERROR(SEARCH("Einnahmen",C164)))</formula>
    </cfRule>
    <cfRule type="containsText" dxfId="337" priority="361" operator="containsText" text="Ausgaben">
      <formula>NOT(ISERROR(SEARCH("Ausgaben",C164)))</formula>
    </cfRule>
  </conditionalFormatting>
  <conditionalFormatting sqref="C165">
    <cfRule type="containsText" dxfId="336" priority="356" operator="containsText" text="Einnahmen">
      <formula>NOT(ISERROR(SEARCH("Einnahmen",C165)))</formula>
    </cfRule>
    <cfRule type="containsText" dxfId="335" priority="357" operator="containsText" text="Ausgaben">
      <formula>NOT(ISERROR(SEARCH("Ausgaben",C165)))</formula>
    </cfRule>
  </conditionalFormatting>
  <conditionalFormatting sqref="C165">
    <cfRule type="containsText" dxfId="334" priority="354" operator="containsText" text="Einnahmen">
      <formula>NOT(ISERROR(SEARCH("Einnahmen",C165)))</formula>
    </cfRule>
    <cfRule type="containsText" dxfId="333" priority="355" operator="containsText" text="Ausgaben">
      <formula>NOT(ISERROR(SEARCH("Ausgaben",C165)))</formula>
    </cfRule>
  </conditionalFormatting>
  <conditionalFormatting sqref="C166">
    <cfRule type="containsText" dxfId="332" priority="352" operator="containsText" text="Einnahmen">
      <formula>NOT(ISERROR(SEARCH("Einnahmen",C166)))</formula>
    </cfRule>
    <cfRule type="containsText" dxfId="331" priority="353" operator="containsText" text="Ausgaben">
      <formula>NOT(ISERROR(SEARCH("Ausgaben",C166)))</formula>
    </cfRule>
  </conditionalFormatting>
  <conditionalFormatting sqref="C167">
    <cfRule type="containsText" dxfId="330" priority="350" operator="containsText" text="Einnahmen">
      <formula>NOT(ISERROR(SEARCH("Einnahmen",C167)))</formula>
    </cfRule>
    <cfRule type="containsText" dxfId="329" priority="351" operator="containsText" text="Ausgaben">
      <formula>NOT(ISERROR(SEARCH("Ausgaben",C167)))</formula>
    </cfRule>
  </conditionalFormatting>
  <conditionalFormatting sqref="C167">
    <cfRule type="containsText" dxfId="328" priority="348" operator="containsText" text="Einnahmen">
      <formula>NOT(ISERROR(SEARCH("Einnahmen",C167)))</formula>
    </cfRule>
    <cfRule type="containsText" dxfId="327" priority="349" operator="containsText" text="Ausgaben">
      <formula>NOT(ISERROR(SEARCH("Ausgaben",C167)))</formula>
    </cfRule>
  </conditionalFormatting>
  <conditionalFormatting sqref="C168">
    <cfRule type="containsText" dxfId="326" priority="346" operator="containsText" text="Einnahmen">
      <formula>NOT(ISERROR(SEARCH("Einnahmen",C168)))</formula>
    </cfRule>
    <cfRule type="containsText" dxfId="325" priority="347" operator="containsText" text="Ausgaben">
      <formula>NOT(ISERROR(SEARCH("Ausgaben",C168)))</formula>
    </cfRule>
  </conditionalFormatting>
  <conditionalFormatting sqref="C169">
    <cfRule type="containsText" dxfId="324" priority="344" operator="containsText" text="Einnahmen">
      <formula>NOT(ISERROR(SEARCH("Einnahmen",C169)))</formula>
    </cfRule>
    <cfRule type="containsText" dxfId="323" priority="345" operator="containsText" text="Ausgaben">
      <formula>NOT(ISERROR(SEARCH("Ausgaben",C169)))</formula>
    </cfRule>
  </conditionalFormatting>
  <conditionalFormatting sqref="C170">
    <cfRule type="containsText" dxfId="322" priority="342" operator="containsText" text="Einnahmen">
      <formula>NOT(ISERROR(SEARCH("Einnahmen",C170)))</formula>
    </cfRule>
    <cfRule type="containsText" dxfId="321" priority="343" operator="containsText" text="Ausgaben">
      <formula>NOT(ISERROR(SEARCH("Ausgaben",C170)))</formula>
    </cfRule>
  </conditionalFormatting>
  <conditionalFormatting sqref="C171">
    <cfRule type="containsText" dxfId="320" priority="340" operator="containsText" text="Einnahmen">
      <formula>NOT(ISERROR(SEARCH("Einnahmen",C171)))</formula>
    </cfRule>
    <cfRule type="containsText" dxfId="319" priority="341" operator="containsText" text="Ausgaben">
      <formula>NOT(ISERROR(SEARCH("Ausgaben",C171)))</formula>
    </cfRule>
  </conditionalFormatting>
  <conditionalFormatting sqref="C172">
    <cfRule type="containsText" dxfId="318" priority="338" operator="containsText" text="Einnahmen">
      <formula>NOT(ISERROR(SEARCH("Einnahmen",C172)))</formula>
    </cfRule>
    <cfRule type="containsText" dxfId="317" priority="339" operator="containsText" text="Ausgaben">
      <formula>NOT(ISERROR(SEARCH("Ausgaben",C172)))</formula>
    </cfRule>
  </conditionalFormatting>
  <conditionalFormatting sqref="C173 C187 C175:C177">
    <cfRule type="containsText" dxfId="316" priority="336" operator="containsText" text="Einnahmen">
      <formula>NOT(ISERROR(SEARCH("Einnahmen",C173)))</formula>
    </cfRule>
    <cfRule type="containsText" dxfId="315" priority="337" operator="containsText" text="Ausgaben">
      <formula>NOT(ISERROR(SEARCH("Ausgaben",C173)))</formula>
    </cfRule>
  </conditionalFormatting>
  <conditionalFormatting sqref="C179">
    <cfRule type="containsText" dxfId="314" priority="334" operator="containsText" text="Einnahmen">
      <formula>NOT(ISERROR(SEARCH("Einnahmen",C179)))</formula>
    </cfRule>
    <cfRule type="containsText" dxfId="313" priority="335" operator="containsText" text="Ausgaben">
      <formula>NOT(ISERROR(SEARCH("Ausgaben",C179)))</formula>
    </cfRule>
  </conditionalFormatting>
  <conditionalFormatting sqref="C180">
    <cfRule type="containsText" dxfId="312" priority="332" operator="containsText" text="Einnahmen">
      <formula>NOT(ISERROR(SEARCH("Einnahmen",C180)))</formula>
    </cfRule>
    <cfRule type="containsText" dxfId="311" priority="333" operator="containsText" text="Ausgaben">
      <formula>NOT(ISERROR(SEARCH("Ausgaben",C180)))</formula>
    </cfRule>
  </conditionalFormatting>
  <conditionalFormatting sqref="C181">
    <cfRule type="containsText" dxfId="310" priority="330" operator="containsText" text="Einnahmen">
      <formula>NOT(ISERROR(SEARCH("Einnahmen",C181)))</formula>
    </cfRule>
    <cfRule type="containsText" dxfId="309" priority="331" operator="containsText" text="Ausgaben">
      <formula>NOT(ISERROR(SEARCH("Ausgaben",C181)))</formula>
    </cfRule>
  </conditionalFormatting>
  <conditionalFormatting sqref="C181">
    <cfRule type="containsText" dxfId="308" priority="328" operator="containsText" text="Einnahmen">
      <formula>NOT(ISERROR(SEARCH("Einnahmen",C181)))</formula>
    </cfRule>
    <cfRule type="containsText" dxfId="307" priority="329" operator="containsText" text="Ausgaben">
      <formula>NOT(ISERROR(SEARCH("Ausgaben",C181)))</formula>
    </cfRule>
  </conditionalFormatting>
  <conditionalFormatting sqref="C182">
    <cfRule type="containsText" dxfId="306" priority="326" operator="containsText" text="Einnahmen">
      <formula>NOT(ISERROR(SEARCH("Einnahmen",C182)))</formula>
    </cfRule>
    <cfRule type="containsText" dxfId="305" priority="327" operator="containsText" text="Ausgaben">
      <formula>NOT(ISERROR(SEARCH("Ausgaben",C182)))</formula>
    </cfRule>
  </conditionalFormatting>
  <conditionalFormatting sqref="C183">
    <cfRule type="containsText" dxfId="304" priority="324" operator="containsText" text="Einnahmen">
      <formula>NOT(ISERROR(SEARCH("Einnahmen",C183)))</formula>
    </cfRule>
    <cfRule type="containsText" dxfId="303" priority="325" operator="containsText" text="Ausgaben">
      <formula>NOT(ISERROR(SEARCH("Ausgaben",C183)))</formula>
    </cfRule>
  </conditionalFormatting>
  <conditionalFormatting sqref="C184">
    <cfRule type="containsText" dxfId="302" priority="322" operator="containsText" text="Einnahmen">
      <formula>NOT(ISERROR(SEARCH("Einnahmen",C184)))</formula>
    </cfRule>
    <cfRule type="containsText" dxfId="301" priority="323" operator="containsText" text="Ausgaben">
      <formula>NOT(ISERROR(SEARCH("Ausgaben",C184)))</formula>
    </cfRule>
  </conditionalFormatting>
  <conditionalFormatting sqref="C184">
    <cfRule type="containsText" dxfId="300" priority="320" operator="containsText" text="Einnahmen">
      <formula>NOT(ISERROR(SEARCH("Einnahmen",C184)))</formula>
    </cfRule>
    <cfRule type="containsText" dxfId="299" priority="321" operator="containsText" text="Ausgaben">
      <formula>NOT(ISERROR(SEARCH("Ausgaben",C184)))</formula>
    </cfRule>
  </conditionalFormatting>
  <conditionalFormatting sqref="C185">
    <cfRule type="containsText" dxfId="298" priority="318" operator="containsText" text="Einnahmen">
      <formula>NOT(ISERROR(SEARCH("Einnahmen",C185)))</formula>
    </cfRule>
    <cfRule type="containsText" dxfId="297" priority="319" operator="containsText" text="Ausgaben">
      <formula>NOT(ISERROR(SEARCH("Ausgaben",C185)))</formula>
    </cfRule>
  </conditionalFormatting>
  <conditionalFormatting sqref="C186">
    <cfRule type="containsText" dxfId="296" priority="316" operator="containsText" text="Einnahmen">
      <formula>NOT(ISERROR(SEARCH("Einnahmen",C186)))</formula>
    </cfRule>
    <cfRule type="containsText" dxfId="295" priority="317" operator="containsText" text="Ausgaben">
      <formula>NOT(ISERROR(SEARCH("Ausgaben",C186)))</formula>
    </cfRule>
  </conditionalFormatting>
  <conditionalFormatting sqref="C188">
    <cfRule type="containsText" dxfId="294" priority="312" operator="containsText" text="Einnahmen">
      <formula>NOT(ISERROR(SEARCH("Einnahmen",C188)))</formula>
    </cfRule>
    <cfRule type="containsText" dxfId="293" priority="313" operator="containsText" text="Ausgaben">
      <formula>NOT(ISERROR(SEARCH("Ausgaben",C188)))</formula>
    </cfRule>
  </conditionalFormatting>
  <conditionalFormatting sqref="C189">
    <cfRule type="containsText" dxfId="292" priority="310" operator="containsText" text="Einnahmen">
      <formula>NOT(ISERROR(SEARCH("Einnahmen",C189)))</formula>
    </cfRule>
    <cfRule type="containsText" dxfId="291" priority="311" operator="containsText" text="Ausgaben">
      <formula>NOT(ISERROR(SEARCH("Ausgaben",C189)))</formula>
    </cfRule>
  </conditionalFormatting>
  <conditionalFormatting sqref="C190 C208:C209 C214 C220 C222 C235 C244 C250">
    <cfRule type="containsText" dxfId="290" priority="308" operator="containsText" text="Einnahmen">
      <formula>NOT(ISERROR(SEARCH("Einnahmen",C190)))</formula>
    </cfRule>
    <cfRule type="containsText" dxfId="289" priority="309" operator="containsText" text="Ausgaben">
      <formula>NOT(ISERROR(SEARCH("Ausgaben",C190)))</formula>
    </cfRule>
  </conditionalFormatting>
  <conditionalFormatting sqref="C191">
    <cfRule type="containsText" dxfId="288" priority="306" operator="containsText" text="Einnahmen">
      <formula>NOT(ISERROR(SEARCH("Einnahmen",C191)))</formula>
    </cfRule>
    <cfRule type="containsText" dxfId="287" priority="307" operator="containsText" text="Ausgaben">
      <formula>NOT(ISERROR(SEARCH("Ausgaben",C191)))</formula>
    </cfRule>
  </conditionalFormatting>
  <conditionalFormatting sqref="C192">
    <cfRule type="containsText" dxfId="286" priority="304" operator="containsText" text="Einnahmen">
      <formula>NOT(ISERROR(SEARCH("Einnahmen",C192)))</formula>
    </cfRule>
    <cfRule type="containsText" dxfId="285" priority="305" operator="containsText" text="Ausgaben">
      <formula>NOT(ISERROR(SEARCH("Ausgaben",C192)))</formula>
    </cfRule>
  </conditionalFormatting>
  <conditionalFormatting sqref="C193">
    <cfRule type="containsText" dxfId="284" priority="302" operator="containsText" text="Einnahmen">
      <formula>NOT(ISERROR(SEARCH("Einnahmen",C193)))</formula>
    </cfRule>
    <cfRule type="containsText" dxfId="283" priority="303" operator="containsText" text="Ausgaben">
      <formula>NOT(ISERROR(SEARCH("Ausgaben",C193)))</formula>
    </cfRule>
  </conditionalFormatting>
  <conditionalFormatting sqref="C194">
    <cfRule type="containsText" dxfId="282" priority="300" operator="containsText" text="Einnahmen">
      <formula>NOT(ISERROR(SEARCH("Einnahmen",C194)))</formula>
    </cfRule>
    <cfRule type="containsText" dxfId="281" priority="301" operator="containsText" text="Ausgaben">
      <formula>NOT(ISERROR(SEARCH("Ausgaben",C194)))</formula>
    </cfRule>
  </conditionalFormatting>
  <conditionalFormatting sqref="C194">
    <cfRule type="containsText" dxfId="280" priority="298" operator="containsText" text="Einnahmen">
      <formula>NOT(ISERROR(SEARCH("Einnahmen",C194)))</formula>
    </cfRule>
    <cfRule type="containsText" dxfId="279" priority="299" operator="containsText" text="Ausgaben">
      <formula>NOT(ISERROR(SEARCH("Ausgaben",C194)))</formula>
    </cfRule>
  </conditionalFormatting>
  <conditionalFormatting sqref="C195">
    <cfRule type="containsText" dxfId="278" priority="296" operator="containsText" text="Einnahmen">
      <formula>NOT(ISERROR(SEARCH("Einnahmen",C195)))</formula>
    </cfRule>
    <cfRule type="containsText" dxfId="277" priority="297" operator="containsText" text="Ausgaben">
      <formula>NOT(ISERROR(SEARCH("Ausgaben",C195)))</formula>
    </cfRule>
  </conditionalFormatting>
  <conditionalFormatting sqref="C196">
    <cfRule type="containsText" dxfId="276" priority="294" operator="containsText" text="Einnahmen">
      <formula>NOT(ISERROR(SEARCH("Einnahmen",C196)))</formula>
    </cfRule>
    <cfRule type="containsText" dxfId="275" priority="295" operator="containsText" text="Ausgaben">
      <formula>NOT(ISERROR(SEARCH("Ausgaben",C196)))</formula>
    </cfRule>
  </conditionalFormatting>
  <conditionalFormatting sqref="C196">
    <cfRule type="containsText" dxfId="274" priority="292" operator="containsText" text="Einnahmen">
      <formula>NOT(ISERROR(SEARCH("Einnahmen",C196)))</formula>
    </cfRule>
    <cfRule type="containsText" dxfId="273" priority="293" operator="containsText" text="Ausgaben">
      <formula>NOT(ISERROR(SEARCH("Ausgaben",C196)))</formula>
    </cfRule>
  </conditionalFormatting>
  <conditionalFormatting sqref="C197">
    <cfRule type="containsText" dxfId="272" priority="290" operator="containsText" text="Einnahmen">
      <formula>NOT(ISERROR(SEARCH("Einnahmen",C197)))</formula>
    </cfRule>
    <cfRule type="containsText" dxfId="271" priority="291" operator="containsText" text="Ausgaben">
      <formula>NOT(ISERROR(SEARCH("Ausgaben",C197)))</formula>
    </cfRule>
  </conditionalFormatting>
  <conditionalFormatting sqref="C198">
    <cfRule type="containsText" dxfId="270" priority="288" operator="containsText" text="Einnahmen">
      <formula>NOT(ISERROR(SEARCH("Einnahmen",C198)))</formula>
    </cfRule>
    <cfRule type="containsText" dxfId="269" priority="289" operator="containsText" text="Ausgaben">
      <formula>NOT(ISERROR(SEARCH("Ausgaben",C198)))</formula>
    </cfRule>
  </conditionalFormatting>
  <conditionalFormatting sqref="C199">
    <cfRule type="containsText" dxfId="268" priority="286" operator="containsText" text="Einnahmen">
      <formula>NOT(ISERROR(SEARCH("Einnahmen",C199)))</formula>
    </cfRule>
    <cfRule type="containsText" dxfId="267" priority="287" operator="containsText" text="Ausgaben">
      <formula>NOT(ISERROR(SEARCH("Ausgaben",C199)))</formula>
    </cfRule>
  </conditionalFormatting>
  <conditionalFormatting sqref="C200">
    <cfRule type="containsText" dxfId="266" priority="284" operator="containsText" text="Einnahmen">
      <formula>NOT(ISERROR(SEARCH("Einnahmen",C200)))</formula>
    </cfRule>
    <cfRule type="containsText" dxfId="265" priority="285" operator="containsText" text="Ausgaben">
      <formula>NOT(ISERROR(SEARCH("Ausgaben",C200)))</formula>
    </cfRule>
  </conditionalFormatting>
  <conditionalFormatting sqref="C201">
    <cfRule type="containsText" dxfId="264" priority="282" operator="containsText" text="Einnahmen">
      <formula>NOT(ISERROR(SEARCH("Einnahmen",C201)))</formula>
    </cfRule>
    <cfRule type="containsText" dxfId="263" priority="283" operator="containsText" text="Ausgaben">
      <formula>NOT(ISERROR(SEARCH("Ausgaben",C201)))</formula>
    </cfRule>
  </conditionalFormatting>
  <conditionalFormatting sqref="C202">
    <cfRule type="containsText" dxfId="262" priority="280" operator="containsText" text="Einnahmen">
      <formula>NOT(ISERROR(SEARCH("Einnahmen",C202)))</formula>
    </cfRule>
    <cfRule type="containsText" dxfId="261" priority="281" operator="containsText" text="Ausgaben">
      <formula>NOT(ISERROR(SEARCH("Ausgaben",C202)))</formula>
    </cfRule>
  </conditionalFormatting>
  <conditionalFormatting sqref="C202">
    <cfRule type="containsText" dxfId="260" priority="278" operator="containsText" text="Einnahmen">
      <formula>NOT(ISERROR(SEARCH("Einnahmen",C202)))</formula>
    </cfRule>
    <cfRule type="containsText" dxfId="259" priority="279" operator="containsText" text="Ausgaben">
      <formula>NOT(ISERROR(SEARCH("Ausgaben",C202)))</formula>
    </cfRule>
  </conditionalFormatting>
  <conditionalFormatting sqref="C203">
    <cfRule type="containsText" dxfId="258" priority="276" operator="containsText" text="Einnahmen">
      <formula>NOT(ISERROR(SEARCH("Einnahmen",C203)))</formula>
    </cfRule>
    <cfRule type="containsText" dxfId="257" priority="277" operator="containsText" text="Ausgaben">
      <formula>NOT(ISERROR(SEARCH("Ausgaben",C203)))</formula>
    </cfRule>
  </conditionalFormatting>
  <conditionalFormatting sqref="C204">
    <cfRule type="containsText" dxfId="256" priority="274" operator="containsText" text="Einnahmen">
      <formula>NOT(ISERROR(SEARCH("Einnahmen",C204)))</formula>
    </cfRule>
    <cfRule type="containsText" dxfId="255" priority="275" operator="containsText" text="Ausgaben">
      <formula>NOT(ISERROR(SEARCH("Ausgaben",C204)))</formula>
    </cfRule>
  </conditionalFormatting>
  <conditionalFormatting sqref="C204">
    <cfRule type="containsText" dxfId="254" priority="272" operator="containsText" text="Einnahmen">
      <formula>NOT(ISERROR(SEARCH("Einnahmen",C204)))</formula>
    </cfRule>
    <cfRule type="containsText" dxfId="253" priority="273" operator="containsText" text="Ausgaben">
      <formula>NOT(ISERROR(SEARCH("Ausgaben",C204)))</formula>
    </cfRule>
  </conditionalFormatting>
  <conditionalFormatting sqref="C205">
    <cfRule type="containsText" dxfId="252" priority="270" operator="containsText" text="Einnahmen">
      <formula>NOT(ISERROR(SEARCH("Einnahmen",C205)))</formula>
    </cfRule>
    <cfRule type="containsText" dxfId="251" priority="271" operator="containsText" text="Ausgaben">
      <formula>NOT(ISERROR(SEARCH("Ausgaben",C205)))</formula>
    </cfRule>
  </conditionalFormatting>
  <conditionalFormatting sqref="C206">
    <cfRule type="containsText" dxfId="250" priority="268" operator="containsText" text="Einnahmen">
      <formula>NOT(ISERROR(SEARCH("Einnahmen",C206)))</formula>
    </cfRule>
    <cfRule type="containsText" dxfId="249" priority="269" operator="containsText" text="Ausgaben">
      <formula>NOT(ISERROR(SEARCH("Ausgaben",C206)))</formula>
    </cfRule>
  </conditionalFormatting>
  <conditionalFormatting sqref="C207">
    <cfRule type="containsText" dxfId="248" priority="266" operator="containsText" text="Einnahmen">
      <formula>NOT(ISERROR(SEARCH("Einnahmen",C207)))</formula>
    </cfRule>
    <cfRule type="containsText" dxfId="247" priority="267" operator="containsText" text="Ausgaben">
      <formula>NOT(ISERROR(SEARCH("Ausgaben",C207)))</formula>
    </cfRule>
  </conditionalFormatting>
  <conditionalFormatting sqref="C2">
    <cfRule type="containsText" dxfId="246" priority="264" operator="containsText" text="Einnahmen">
      <formula>NOT(ISERROR(SEARCH("Einnahmen",C2)))</formula>
    </cfRule>
    <cfRule type="containsText" dxfId="245" priority="265" operator="containsText" text="Ausgaben">
      <formula>NOT(ISERROR(SEARCH("Ausgaben",C2)))</formula>
    </cfRule>
  </conditionalFormatting>
  <conditionalFormatting sqref="C210">
    <cfRule type="containsText" dxfId="244" priority="262" operator="containsText" text="Einnahmen">
      <formula>NOT(ISERROR(SEARCH("Einnahmen",C210)))</formula>
    </cfRule>
    <cfRule type="containsText" dxfId="243" priority="263" operator="containsText" text="Ausgaben">
      <formula>NOT(ISERROR(SEARCH("Ausgaben",C210)))</formula>
    </cfRule>
  </conditionalFormatting>
  <conditionalFormatting sqref="C211">
    <cfRule type="containsText" dxfId="242" priority="260" operator="containsText" text="Einnahmen">
      <formula>NOT(ISERROR(SEARCH("Einnahmen",C211)))</formula>
    </cfRule>
    <cfRule type="containsText" dxfId="241" priority="261" operator="containsText" text="Ausgaben">
      <formula>NOT(ISERROR(SEARCH("Ausgaben",C211)))</formula>
    </cfRule>
  </conditionalFormatting>
  <conditionalFormatting sqref="C212">
    <cfRule type="containsText" dxfId="240" priority="258" operator="containsText" text="Einnahmen">
      <formula>NOT(ISERROR(SEARCH("Einnahmen",C212)))</formula>
    </cfRule>
    <cfRule type="containsText" dxfId="239" priority="259" operator="containsText" text="Ausgaben">
      <formula>NOT(ISERROR(SEARCH("Ausgaben",C212)))</formula>
    </cfRule>
  </conditionalFormatting>
  <conditionalFormatting sqref="C213">
    <cfRule type="containsText" dxfId="238" priority="256" operator="containsText" text="Einnahmen">
      <formula>NOT(ISERROR(SEARCH("Einnahmen",C213)))</formula>
    </cfRule>
    <cfRule type="containsText" dxfId="237" priority="257" operator="containsText" text="Ausgaben">
      <formula>NOT(ISERROR(SEARCH("Ausgaben",C213)))</formula>
    </cfRule>
  </conditionalFormatting>
  <conditionalFormatting sqref="C215">
    <cfRule type="containsText" dxfId="236" priority="254" operator="containsText" text="Einnahmen">
      <formula>NOT(ISERROR(SEARCH("Einnahmen",C215)))</formula>
    </cfRule>
    <cfRule type="containsText" dxfId="235" priority="255" operator="containsText" text="Ausgaben">
      <formula>NOT(ISERROR(SEARCH("Ausgaben",C215)))</formula>
    </cfRule>
  </conditionalFormatting>
  <conditionalFormatting sqref="C215">
    <cfRule type="containsText" dxfId="234" priority="252" operator="containsText" text="Einnahmen">
      <formula>NOT(ISERROR(SEARCH("Einnahmen",C215)))</formula>
    </cfRule>
    <cfRule type="containsText" dxfId="233" priority="253" operator="containsText" text="Ausgaben">
      <formula>NOT(ISERROR(SEARCH("Ausgaben",C215)))</formula>
    </cfRule>
  </conditionalFormatting>
  <conditionalFormatting sqref="C216">
    <cfRule type="containsText" dxfId="232" priority="250" operator="containsText" text="Einnahmen">
      <formula>NOT(ISERROR(SEARCH("Einnahmen",C216)))</formula>
    </cfRule>
    <cfRule type="containsText" dxfId="231" priority="251" operator="containsText" text="Ausgaben">
      <formula>NOT(ISERROR(SEARCH("Ausgaben",C216)))</formula>
    </cfRule>
  </conditionalFormatting>
  <conditionalFormatting sqref="C217">
    <cfRule type="containsText" dxfId="230" priority="248" operator="containsText" text="Einnahmen">
      <formula>NOT(ISERROR(SEARCH("Einnahmen",C217)))</formula>
    </cfRule>
    <cfRule type="containsText" dxfId="229" priority="249" operator="containsText" text="Ausgaben">
      <formula>NOT(ISERROR(SEARCH("Ausgaben",C217)))</formula>
    </cfRule>
  </conditionalFormatting>
  <conditionalFormatting sqref="C218">
    <cfRule type="containsText" dxfId="228" priority="246" operator="containsText" text="Einnahmen">
      <formula>NOT(ISERROR(SEARCH("Einnahmen",C218)))</formula>
    </cfRule>
    <cfRule type="containsText" dxfId="227" priority="247" operator="containsText" text="Ausgaben">
      <formula>NOT(ISERROR(SEARCH("Ausgaben",C218)))</formula>
    </cfRule>
  </conditionalFormatting>
  <conditionalFormatting sqref="C219">
    <cfRule type="containsText" dxfId="226" priority="244" operator="containsText" text="Einnahmen">
      <formula>NOT(ISERROR(SEARCH("Einnahmen",C219)))</formula>
    </cfRule>
    <cfRule type="containsText" dxfId="225" priority="245" operator="containsText" text="Ausgaben">
      <formula>NOT(ISERROR(SEARCH("Ausgaben",C219)))</formula>
    </cfRule>
  </conditionalFormatting>
  <conditionalFormatting sqref="C219">
    <cfRule type="containsText" dxfId="224" priority="242" operator="containsText" text="Einnahmen">
      <formula>NOT(ISERROR(SEARCH("Einnahmen",C219)))</formula>
    </cfRule>
    <cfRule type="containsText" dxfId="223" priority="243" operator="containsText" text="Ausgaben">
      <formula>NOT(ISERROR(SEARCH("Ausgaben",C219)))</formula>
    </cfRule>
  </conditionalFormatting>
  <conditionalFormatting sqref="C221">
    <cfRule type="containsText" dxfId="222" priority="240" operator="containsText" text="Einnahmen">
      <formula>NOT(ISERROR(SEARCH("Einnahmen",C221)))</formula>
    </cfRule>
    <cfRule type="containsText" dxfId="221" priority="241" operator="containsText" text="Ausgaben">
      <formula>NOT(ISERROR(SEARCH("Ausgaben",C221)))</formula>
    </cfRule>
  </conditionalFormatting>
  <conditionalFormatting sqref="C223">
    <cfRule type="containsText" dxfId="220" priority="238" operator="containsText" text="Einnahmen">
      <formula>NOT(ISERROR(SEARCH("Einnahmen",C223)))</formula>
    </cfRule>
    <cfRule type="containsText" dxfId="219" priority="239" operator="containsText" text="Ausgaben">
      <formula>NOT(ISERROR(SEARCH("Ausgaben",C223)))</formula>
    </cfRule>
  </conditionalFormatting>
  <conditionalFormatting sqref="C224">
    <cfRule type="containsText" dxfId="218" priority="236" operator="containsText" text="Einnahmen">
      <formula>NOT(ISERROR(SEARCH("Einnahmen",C224)))</formula>
    </cfRule>
    <cfRule type="containsText" dxfId="217" priority="237" operator="containsText" text="Ausgaben">
      <formula>NOT(ISERROR(SEARCH("Ausgaben",C224)))</formula>
    </cfRule>
  </conditionalFormatting>
  <conditionalFormatting sqref="C225">
    <cfRule type="containsText" dxfId="216" priority="234" operator="containsText" text="Einnahmen">
      <formula>NOT(ISERROR(SEARCH("Einnahmen",C225)))</formula>
    </cfRule>
    <cfRule type="containsText" dxfId="215" priority="235" operator="containsText" text="Ausgaben">
      <formula>NOT(ISERROR(SEARCH("Ausgaben",C225)))</formula>
    </cfRule>
  </conditionalFormatting>
  <conditionalFormatting sqref="C226">
    <cfRule type="containsText" dxfId="214" priority="232" operator="containsText" text="Einnahmen">
      <formula>NOT(ISERROR(SEARCH("Einnahmen",C226)))</formula>
    </cfRule>
    <cfRule type="containsText" dxfId="213" priority="233" operator="containsText" text="Ausgaben">
      <formula>NOT(ISERROR(SEARCH("Ausgaben",C226)))</formula>
    </cfRule>
  </conditionalFormatting>
  <conditionalFormatting sqref="C227">
    <cfRule type="containsText" dxfId="212" priority="230" operator="containsText" text="Einnahmen">
      <formula>NOT(ISERROR(SEARCH("Einnahmen",C227)))</formula>
    </cfRule>
    <cfRule type="containsText" dxfId="211" priority="231" operator="containsText" text="Ausgaben">
      <formula>NOT(ISERROR(SEARCH("Ausgaben",C227)))</formula>
    </cfRule>
  </conditionalFormatting>
  <conditionalFormatting sqref="C228">
    <cfRule type="containsText" dxfId="210" priority="228" operator="containsText" text="Einnahmen">
      <formula>NOT(ISERROR(SEARCH("Einnahmen",C228)))</formula>
    </cfRule>
    <cfRule type="containsText" dxfId="209" priority="229" operator="containsText" text="Ausgaben">
      <formula>NOT(ISERROR(SEARCH("Ausgaben",C228)))</formula>
    </cfRule>
  </conditionalFormatting>
  <conditionalFormatting sqref="C228">
    <cfRule type="containsText" dxfId="208" priority="226" operator="containsText" text="Einnahmen">
      <formula>NOT(ISERROR(SEARCH("Einnahmen",C228)))</formula>
    </cfRule>
    <cfRule type="containsText" dxfId="207" priority="227" operator="containsText" text="Ausgaben">
      <formula>NOT(ISERROR(SEARCH("Ausgaben",C228)))</formula>
    </cfRule>
  </conditionalFormatting>
  <conditionalFormatting sqref="C229">
    <cfRule type="containsText" dxfId="206" priority="224" operator="containsText" text="Einnahmen">
      <formula>NOT(ISERROR(SEARCH("Einnahmen",C229)))</formula>
    </cfRule>
    <cfRule type="containsText" dxfId="205" priority="225" operator="containsText" text="Ausgaben">
      <formula>NOT(ISERROR(SEARCH("Ausgaben",C229)))</formula>
    </cfRule>
  </conditionalFormatting>
  <conditionalFormatting sqref="C230">
    <cfRule type="containsText" dxfId="204" priority="222" operator="containsText" text="Einnahmen">
      <formula>NOT(ISERROR(SEARCH("Einnahmen",C230)))</formula>
    </cfRule>
    <cfRule type="containsText" dxfId="203" priority="223" operator="containsText" text="Ausgaben">
      <formula>NOT(ISERROR(SEARCH("Ausgaben",C230)))</formula>
    </cfRule>
  </conditionalFormatting>
  <conditionalFormatting sqref="C230">
    <cfRule type="containsText" dxfId="202" priority="220" operator="containsText" text="Einnahmen">
      <formula>NOT(ISERROR(SEARCH("Einnahmen",C230)))</formula>
    </cfRule>
    <cfRule type="containsText" dxfId="201" priority="221" operator="containsText" text="Ausgaben">
      <formula>NOT(ISERROR(SEARCH("Ausgaben",C230)))</formula>
    </cfRule>
  </conditionalFormatting>
  <conditionalFormatting sqref="C231">
    <cfRule type="containsText" dxfId="200" priority="218" operator="containsText" text="Einnahmen">
      <formula>NOT(ISERROR(SEARCH("Einnahmen",C231)))</formula>
    </cfRule>
    <cfRule type="containsText" dxfId="199" priority="219" operator="containsText" text="Ausgaben">
      <formula>NOT(ISERROR(SEARCH("Ausgaben",C231)))</formula>
    </cfRule>
  </conditionalFormatting>
  <conditionalFormatting sqref="C232">
    <cfRule type="containsText" dxfId="198" priority="216" operator="containsText" text="Einnahmen">
      <formula>NOT(ISERROR(SEARCH("Einnahmen",C232)))</formula>
    </cfRule>
    <cfRule type="containsText" dxfId="197" priority="217" operator="containsText" text="Ausgaben">
      <formula>NOT(ISERROR(SEARCH("Ausgaben",C232)))</formula>
    </cfRule>
  </conditionalFormatting>
  <conditionalFormatting sqref="C233">
    <cfRule type="containsText" dxfId="196" priority="214" operator="containsText" text="Einnahmen">
      <formula>NOT(ISERROR(SEARCH("Einnahmen",C233)))</formula>
    </cfRule>
    <cfRule type="containsText" dxfId="195" priority="215" operator="containsText" text="Ausgaben">
      <formula>NOT(ISERROR(SEARCH("Ausgaben",C233)))</formula>
    </cfRule>
  </conditionalFormatting>
  <conditionalFormatting sqref="C234">
    <cfRule type="containsText" dxfId="194" priority="212" operator="containsText" text="Einnahmen">
      <formula>NOT(ISERROR(SEARCH("Einnahmen",C234)))</formula>
    </cfRule>
    <cfRule type="containsText" dxfId="193" priority="213" operator="containsText" text="Ausgaben">
      <formula>NOT(ISERROR(SEARCH("Ausgaben",C234)))</formula>
    </cfRule>
  </conditionalFormatting>
  <conditionalFormatting sqref="C236">
    <cfRule type="containsText" dxfId="192" priority="208" operator="containsText" text="Einnahmen">
      <formula>NOT(ISERROR(SEARCH("Einnahmen",C236)))</formula>
    </cfRule>
    <cfRule type="containsText" dxfId="191" priority="209" operator="containsText" text="Ausgaben">
      <formula>NOT(ISERROR(SEARCH("Ausgaben",C236)))</formula>
    </cfRule>
  </conditionalFormatting>
  <conditionalFormatting sqref="C237">
    <cfRule type="containsText" dxfId="190" priority="206" operator="containsText" text="Einnahmen">
      <formula>NOT(ISERROR(SEARCH("Einnahmen",C237)))</formula>
    </cfRule>
    <cfRule type="containsText" dxfId="189" priority="207" operator="containsText" text="Ausgaben">
      <formula>NOT(ISERROR(SEARCH("Ausgaben",C237)))</formula>
    </cfRule>
  </conditionalFormatting>
  <conditionalFormatting sqref="C174">
    <cfRule type="containsText" dxfId="188" priority="204" operator="containsText" text="Einnahmen">
      <formula>NOT(ISERROR(SEARCH("Einnahmen",C174)))</formula>
    </cfRule>
    <cfRule type="containsText" dxfId="187" priority="205" operator="containsText" text="Ausgaben">
      <formula>NOT(ISERROR(SEARCH("Ausgaben",C174)))</formula>
    </cfRule>
  </conditionalFormatting>
  <conditionalFormatting sqref="C178">
    <cfRule type="containsText" dxfId="186" priority="202" operator="containsText" text="Einnahmen">
      <formula>NOT(ISERROR(SEARCH("Einnahmen",C178)))</formula>
    </cfRule>
    <cfRule type="containsText" dxfId="185" priority="203" operator="containsText" text="Ausgaben">
      <formula>NOT(ISERROR(SEARCH("Ausgaben",C178)))</formula>
    </cfRule>
  </conditionalFormatting>
  <conditionalFormatting sqref="C238">
    <cfRule type="containsText" dxfId="184" priority="200" operator="containsText" text="Einnahmen">
      <formula>NOT(ISERROR(SEARCH("Einnahmen",C238)))</formula>
    </cfRule>
    <cfRule type="containsText" dxfId="183" priority="201" operator="containsText" text="Ausgaben">
      <formula>NOT(ISERROR(SEARCH("Ausgaben",C238)))</formula>
    </cfRule>
  </conditionalFormatting>
  <conditionalFormatting sqref="C239">
    <cfRule type="containsText" dxfId="182" priority="198" operator="containsText" text="Einnahmen">
      <formula>NOT(ISERROR(SEARCH("Einnahmen",C239)))</formula>
    </cfRule>
    <cfRule type="containsText" dxfId="181" priority="199" operator="containsText" text="Ausgaben">
      <formula>NOT(ISERROR(SEARCH("Ausgaben",C239)))</formula>
    </cfRule>
  </conditionalFormatting>
  <conditionalFormatting sqref="C240">
    <cfRule type="containsText" dxfId="180" priority="196" operator="containsText" text="Einnahmen">
      <formula>NOT(ISERROR(SEARCH("Einnahmen",C240)))</formula>
    </cfRule>
    <cfRule type="containsText" dxfId="179" priority="197" operator="containsText" text="Ausgaben">
      <formula>NOT(ISERROR(SEARCH("Ausgaben",C240)))</formula>
    </cfRule>
  </conditionalFormatting>
  <conditionalFormatting sqref="C241">
    <cfRule type="containsText" dxfId="178" priority="194" operator="containsText" text="Einnahmen">
      <formula>NOT(ISERROR(SEARCH("Einnahmen",C241)))</formula>
    </cfRule>
    <cfRule type="containsText" dxfId="177" priority="195" operator="containsText" text="Ausgaben">
      <formula>NOT(ISERROR(SEARCH("Ausgaben",C241)))</formula>
    </cfRule>
  </conditionalFormatting>
  <conditionalFormatting sqref="C242">
    <cfRule type="containsText" dxfId="176" priority="192" operator="containsText" text="Einnahmen">
      <formula>NOT(ISERROR(SEARCH("Einnahmen",C242)))</formula>
    </cfRule>
    <cfRule type="containsText" dxfId="175" priority="193" operator="containsText" text="Ausgaben">
      <formula>NOT(ISERROR(SEARCH("Ausgaben",C242)))</formula>
    </cfRule>
  </conditionalFormatting>
  <conditionalFormatting sqref="C242">
    <cfRule type="containsText" dxfId="174" priority="190" operator="containsText" text="Einnahmen">
      <formula>NOT(ISERROR(SEARCH("Einnahmen",C242)))</formula>
    </cfRule>
    <cfRule type="containsText" dxfId="173" priority="191" operator="containsText" text="Ausgaben">
      <formula>NOT(ISERROR(SEARCH("Ausgaben",C242)))</formula>
    </cfRule>
  </conditionalFormatting>
  <conditionalFormatting sqref="C243">
    <cfRule type="containsText" dxfId="172" priority="188" operator="containsText" text="Einnahmen">
      <formula>NOT(ISERROR(SEARCH("Einnahmen",C243)))</formula>
    </cfRule>
    <cfRule type="containsText" dxfId="171" priority="189" operator="containsText" text="Ausgaben">
      <formula>NOT(ISERROR(SEARCH("Ausgaben",C243)))</formula>
    </cfRule>
  </conditionalFormatting>
  <conditionalFormatting sqref="C243">
    <cfRule type="containsText" dxfId="170" priority="186" operator="containsText" text="Einnahmen">
      <formula>NOT(ISERROR(SEARCH("Einnahmen",C243)))</formula>
    </cfRule>
    <cfRule type="containsText" dxfId="169" priority="187" operator="containsText" text="Ausgaben">
      <formula>NOT(ISERROR(SEARCH("Ausgaben",C243)))</formula>
    </cfRule>
  </conditionalFormatting>
  <conditionalFormatting sqref="C245">
    <cfRule type="containsText" dxfId="168" priority="184" operator="containsText" text="Einnahmen">
      <formula>NOT(ISERROR(SEARCH("Einnahmen",C245)))</formula>
    </cfRule>
    <cfRule type="containsText" dxfId="167" priority="185" operator="containsText" text="Ausgaben">
      <formula>NOT(ISERROR(SEARCH("Ausgaben",C245)))</formula>
    </cfRule>
  </conditionalFormatting>
  <conditionalFormatting sqref="C246">
    <cfRule type="containsText" dxfId="166" priority="182" operator="containsText" text="Einnahmen">
      <formula>NOT(ISERROR(SEARCH("Einnahmen",C246)))</formula>
    </cfRule>
    <cfRule type="containsText" dxfId="165" priority="183" operator="containsText" text="Ausgaben">
      <formula>NOT(ISERROR(SEARCH("Ausgaben",C246)))</formula>
    </cfRule>
  </conditionalFormatting>
  <conditionalFormatting sqref="C247">
    <cfRule type="containsText" dxfId="164" priority="180" operator="containsText" text="Einnahmen">
      <formula>NOT(ISERROR(SEARCH("Einnahmen",C247)))</formula>
    </cfRule>
    <cfRule type="containsText" dxfId="163" priority="181" operator="containsText" text="Ausgaben">
      <formula>NOT(ISERROR(SEARCH("Ausgaben",C247)))</formula>
    </cfRule>
  </conditionalFormatting>
  <conditionalFormatting sqref="C248">
    <cfRule type="containsText" dxfId="162" priority="178" operator="containsText" text="Einnahmen">
      <formula>NOT(ISERROR(SEARCH("Einnahmen",C248)))</formula>
    </cfRule>
    <cfRule type="containsText" dxfId="161" priority="179" operator="containsText" text="Ausgaben">
      <formula>NOT(ISERROR(SEARCH("Ausgaben",C248)))</formula>
    </cfRule>
  </conditionalFormatting>
  <conditionalFormatting sqref="C249">
    <cfRule type="containsText" dxfId="160" priority="176" operator="containsText" text="Einnahmen">
      <formula>NOT(ISERROR(SEARCH("Einnahmen",C249)))</formula>
    </cfRule>
    <cfRule type="containsText" dxfId="159" priority="177" operator="containsText" text="Ausgaben">
      <formula>NOT(ISERROR(SEARCH("Ausgaben",C249)))</formula>
    </cfRule>
  </conditionalFormatting>
  <conditionalFormatting sqref="C251">
    <cfRule type="containsText" dxfId="158" priority="174" operator="containsText" text="Einnahmen">
      <formula>NOT(ISERROR(SEARCH("Einnahmen",C251)))</formula>
    </cfRule>
    <cfRule type="containsText" dxfId="157" priority="175" operator="containsText" text="Ausgaben">
      <formula>NOT(ISERROR(SEARCH("Ausgaben",C251)))</formula>
    </cfRule>
  </conditionalFormatting>
  <conditionalFormatting sqref="C251">
    <cfRule type="containsText" dxfId="156" priority="172" operator="containsText" text="Einnahmen">
      <formula>NOT(ISERROR(SEARCH("Einnahmen",C251)))</formula>
    </cfRule>
    <cfRule type="containsText" dxfId="155" priority="173" operator="containsText" text="Ausgaben">
      <formula>NOT(ISERROR(SEARCH("Ausgaben",C251)))</formula>
    </cfRule>
  </conditionalFormatting>
  <conditionalFormatting sqref="C252">
    <cfRule type="containsText" dxfId="154" priority="170" operator="containsText" text="Einnahmen">
      <formula>NOT(ISERROR(SEARCH("Einnahmen",C252)))</formula>
    </cfRule>
    <cfRule type="containsText" dxfId="153" priority="171" operator="containsText" text="Ausgaben">
      <formula>NOT(ISERROR(SEARCH("Ausgaben",C252)))</formula>
    </cfRule>
  </conditionalFormatting>
  <conditionalFormatting sqref="C253">
    <cfRule type="containsText" dxfId="152" priority="168" operator="containsText" text="Einnahmen">
      <formula>NOT(ISERROR(SEARCH("Einnahmen",C253)))</formula>
    </cfRule>
    <cfRule type="containsText" dxfId="151" priority="169" operator="containsText" text="Ausgaben">
      <formula>NOT(ISERROR(SEARCH("Ausgaben",C253)))</formula>
    </cfRule>
  </conditionalFormatting>
  <conditionalFormatting sqref="C254">
    <cfRule type="containsText" dxfId="150" priority="166" operator="containsText" text="Einnahmen">
      <formula>NOT(ISERROR(SEARCH("Einnahmen",C254)))</formula>
    </cfRule>
    <cfRule type="containsText" dxfId="149" priority="167" operator="containsText" text="Ausgaben">
      <formula>NOT(ISERROR(SEARCH("Ausgaben",C254)))</formula>
    </cfRule>
  </conditionalFormatting>
  <conditionalFormatting sqref="C254">
    <cfRule type="containsText" dxfId="148" priority="164" operator="containsText" text="Einnahmen">
      <formula>NOT(ISERROR(SEARCH("Einnahmen",C254)))</formula>
    </cfRule>
    <cfRule type="containsText" dxfId="147" priority="165" operator="containsText" text="Ausgaben">
      <formula>NOT(ISERROR(SEARCH("Ausgaben",C254)))</formula>
    </cfRule>
  </conditionalFormatting>
  <conditionalFormatting sqref="C255">
    <cfRule type="containsText" dxfId="146" priority="162" operator="containsText" text="Einnahmen">
      <formula>NOT(ISERROR(SEARCH("Einnahmen",C255)))</formula>
    </cfRule>
    <cfRule type="containsText" dxfId="145" priority="163" operator="containsText" text="Ausgaben">
      <formula>NOT(ISERROR(SEARCH("Ausgaben",C255)))</formula>
    </cfRule>
  </conditionalFormatting>
  <conditionalFormatting sqref="C256">
    <cfRule type="containsText" dxfId="144" priority="160" operator="containsText" text="Einnahmen">
      <formula>NOT(ISERROR(SEARCH("Einnahmen",C256)))</formula>
    </cfRule>
    <cfRule type="containsText" dxfId="143" priority="161" operator="containsText" text="Ausgaben">
      <formula>NOT(ISERROR(SEARCH("Ausgaben",C256)))</formula>
    </cfRule>
  </conditionalFormatting>
  <conditionalFormatting sqref="C257">
    <cfRule type="containsText" dxfId="142" priority="158" operator="containsText" text="Einnahmen">
      <formula>NOT(ISERROR(SEARCH("Einnahmen",C257)))</formula>
    </cfRule>
    <cfRule type="containsText" dxfId="141" priority="159" operator="containsText" text="Ausgaben">
      <formula>NOT(ISERROR(SEARCH("Ausgaben",C257)))</formula>
    </cfRule>
  </conditionalFormatting>
  <conditionalFormatting sqref="C258">
    <cfRule type="containsText" dxfId="140" priority="156" operator="containsText" text="Einnahmen">
      <formula>NOT(ISERROR(SEARCH("Einnahmen",C258)))</formula>
    </cfRule>
    <cfRule type="containsText" dxfId="139" priority="157" operator="containsText" text="Ausgaben">
      <formula>NOT(ISERROR(SEARCH("Ausgaben",C258)))</formula>
    </cfRule>
  </conditionalFormatting>
  <conditionalFormatting sqref="C259">
    <cfRule type="containsText" dxfId="138" priority="154" operator="containsText" text="Einnahmen">
      <formula>NOT(ISERROR(SEARCH("Einnahmen",C259)))</formula>
    </cfRule>
    <cfRule type="containsText" dxfId="137" priority="155" operator="containsText" text="Ausgaben">
      <formula>NOT(ISERROR(SEARCH("Ausgaben",C259)))</formula>
    </cfRule>
  </conditionalFormatting>
  <conditionalFormatting sqref="C260">
    <cfRule type="containsText" dxfId="136" priority="152" operator="containsText" text="Einnahmen">
      <formula>NOT(ISERROR(SEARCH("Einnahmen",C260)))</formula>
    </cfRule>
    <cfRule type="containsText" dxfId="135" priority="153" operator="containsText" text="Ausgaben">
      <formula>NOT(ISERROR(SEARCH("Ausgaben",C260)))</formula>
    </cfRule>
  </conditionalFormatting>
  <conditionalFormatting sqref="C261:C262">
    <cfRule type="containsText" dxfId="134" priority="150" operator="containsText" text="Einnahmen">
      <formula>NOT(ISERROR(SEARCH("Einnahmen",C261)))</formula>
    </cfRule>
    <cfRule type="containsText" dxfId="133" priority="151" operator="containsText" text="Ausgaben">
      <formula>NOT(ISERROR(SEARCH("Ausgaben",C261)))</formula>
    </cfRule>
  </conditionalFormatting>
  <conditionalFormatting sqref="C263:C264">
    <cfRule type="containsText" dxfId="132" priority="148" operator="containsText" text="Einnahmen">
      <formula>NOT(ISERROR(SEARCH("Einnahmen",C263)))</formula>
    </cfRule>
    <cfRule type="containsText" dxfId="131" priority="149" operator="containsText" text="Ausgaben">
      <formula>NOT(ISERROR(SEARCH("Ausgaben",C263)))</formula>
    </cfRule>
  </conditionalFormatting>
  <conditionalFormatting sqref="C265:C266 C275 C278 C283 C287 C290 C295 C301 C303 C309:C310 C313 C322 C325 C333 C335 C341:C344 C348">
    <cfRule type="containsText" dxfId="130" priority="146" operator="containsText" text="Einnahmen">
      <formula>NOT(ISERROR(SEARCH("Einnahmen",C265)))</formula>
    </cfRule>
    <cfRule type="containsText" dxfId="129" priority="147" operator="containsText" text="Ausgaben">
      <formula>NOT(ISERROR(SEARCH("Ausgaben",C265)))</formula>
    </cfRule>
  </conditionalFormatting>
  <conditionalFormatting sqref="C265:C266 C275 C278 C283 C287 C290 C295 C301 C303 C309:C310 C313 C322 C325 C333 C335 C341:C344 C348">
    <cfRule type="containsText" dxfId="128" priority="144" operator="containsText" text="Einnahmen">
      <formula>NOT(ISERROR(SEARCH("Einnahmen",C265)))</formula>
    </cfRule>
    <cfRule type="containsText" dxfId="127" priority="145" operator="containsText" text="Ausgaben">
      <formula>NOT(ISERROR(SEARCH("Ausgaben",C265)))</formula>
    </cfRule>
  </conditionalFormatting>
  <conditionalFormatting sqref="C267">
    <cfRule type="containsText" dxfId="126" priority="142" operator="containsText" text="Einnahmen">
      <formula>NOT(ISERROR(SEARCH("Einnahmen",C267)))</formula>
    </cfRule>
    <cfRule type="containsText" dxfId="125" priority="143" operator="containsText" text="Ausgaben">
      <formula>NOT(ISERROR(SEARCH("Ausgaben",C267)))</formula>
    </cfRule>
  </conditionalFormatting>
  <conditionalFormatting sqref="C268">
    <cfRule type="containsText" dxfId="124" priority="140" operator="containsText" text="Einnahmen">
      <formula>NOT(ISERROR(SEARCH("Einnahmen",C268)))</formula>
    </cfRule>
    <cfRule type="containsText" dxfId="123" priority="141" operator="containsText" text="Ausgaben">
      <formula>NOT(ISERROR(SEARCH("Ausgaben",C268)))</formula>
    </cfRule>
  </conditionalFormatting>
  <conditionalFormatting sqref="C269">
    <cfRule type="containsText" dxfId="122" priority="138" operator="containsText" text="Einnahmen">
      <formula>NOT(ISERROR(SEARCH("Einnahmen",C269)))</formula>
    </cfRule>
    <cfRule type="containsText" dxfId="121" priority="139" operator="containsText" text="Ausgaben">
      <formula>NOT(ISERROR(SEARCH("Ausgaben",C269)))</formula>
    </cfRule>
  </conditionalFormatting>
  <conditionalFormatting sqref="C270">
    <cfRule type="containsText" dxfId="120" priority="136" operator="containsText" text="Einnahmen">
      <formula>NOT(ISERROR(SEARCH("Einnahmen",C270)))</formula>
    </cfRule>
    <cfRule type="containsText" dxfId="119" priority="137" operator="containsText" text="Ausgaben">
      <formula>NOT(ISERROR(SEARCH("Ausgaben",C270)))</formula>
    </cfRule>
  </conditionalFormatting>
  <conditionalFormatting sqref="C271">
    <cfRule type="containsText" dxfId="118" priority="134" operator="containsText" text="Einnahmen">
      <formula>NOT(ISERROR(SEARCH("Einnahmen",C271)))</formula>
    </cfRule>
    <cfRule type="containsText" dxfId="117" priority="135" operator="containsText" text="Ausgaben">
      <formula>NOT(ISERROR(SEARCH("Ausgaben",C271)))</formula>
    </cfRule>
  </conditionalFormatting>
  <conditionalFormatting sqref="C272">
    <cfRule type="containsText" dxfId="116" priority="132" operator="containsText" text="Einnahmen">
      <formula>NOT(ISERROR(SEARCH("Einnahmen",C272)))</formula>
    </cfRule>
    <cfRule type="containsText" dxfId="115" priority="133" operator="containsText" text="Ausgaben">
      <formula>NOT(ISERROR(SEARCH("Ausgaben",C272)))</formula>
    </cfRule>
  </conditionalFormatting>
  <conditionalFormatting sqref="C273">
    <cfRule type="containsText" dxfId="114" priority="130" operator="containsText" text="Einnahmen">
      <formula>NOT(ISERROR(SEARCH("Einnahmen",C273)))</formula>
    </cfRule>
    <cfRule type="containsText" dxfId="113" priority="131" operator="containsText" text="Ausgaben">
      <formula>NOT(ISERROR(SEARCH("Ausgaben",C273)))</formula>
    </cfRule>
  </conditionalFormatting>
  <conditionalFormatting sqref="C274">
    <cfRule type="containsText" dxfId="112" priority="128" operator="containsText" text="Einnahmen">
      <formula>NOT(ISERROR(SEARCH("Einnahmen",C274)))</formula>
    </cfRule>
    <cfRule type="containsText" dxfId="111" priority="129" operator="containsText" text="Ausgaben">
      <formula>NOT(ISERROR(SEARCH("Ausgaben",C274)))</formula>
    </cfRule>
  </conditionalFormatting>
  <conditionalFormatting sqref="C276">
    <cfRule type="containsText" dxfId="110" priority="126" operator="containsText" text="Einnahmen">
      <formula>NOT(ISERROR(SEARCH("Einnahmen",C276)))</formula>
    </cfRule>
    <cfRule type="containsText" dxfId="109" priority="127" operator="containsText" text="Ausgaben">
      <formula>NOT(ISERROR(SEARCH("Ausgaben",C276)))</formula>
    </cfRule>
  </conditionalFormatting>
  <conditionalFormatting sqref="C277">
    <cfRule type="containsText" dxfId="108" priority="124" operator="containsText" text="Einnahmen">
      <formula>NOT(ISERROR(SEARCH("Einnahmen",C277)))</formula>
    </cfRule>
    <cfRule type="containsText" dxfId="107" priority="125" operator="containsText" text="Ausgaben">
      <formula>NOT(ISERROR(SEARCH("Ausgaben",C277)))</formula>
    </cfRule>
  </conditionalFormatting>
  <conditionalFormatting sqref="C279:C280">
    <cfRule type="containsText" dxfId="106" priority="122" operator="containsText" text="Einnahmen">
      <formula>NOT(ISERROR(SEARCH("Einnahmen",C279)))</formula>
    </cfRule>
    <cfRule type="containsText" dxfId="105" priority="123" operator="containsText" text="Ausgaben">
      <formula>NOT(ISERROR(SEARCH("Ausgaben",C279)))</formula>
    </cfRule>
  </conditionalFormatting>
  <conditionalFormatting sqref="C281">
    <cfRule type="containsText" dxfId="104" priority="120" operator="containsText" text="Einnahmen">
      <formula>NOT(ISERROR(SEARCH("Einnahmen",C281)))</formula>
    </cfRule>
    <cfRule type="containsText" dxfId="103" priority="121" operator="containsText" text="Ausgaben">
      <formula>NOT(ISERROR(SEARCH("Ausgaben",C281)))</formula>
    </cfRule>
  </conditionalFormatting>
  <conditionalFormatting sqref="C282">
    <cfRule type="containsText" dxfId="102" priority="118" operator="containsText" text="Einnahmen">
      <formula>NOT(ISERROR(SEARCH("Einnahmen",C282)))</formula>
    </cfRule>
    <cfRule type="containsText" dxfId="101" priority="119" operator="containsText" text="Ausgaben">
      <formula>NOT(ISERROR(SEARCH("Ausgaben",C282)))</formula>
    </cfRule>
  </conditionalFormatting>
  <conditionalFormatting sqref="C284">
    <cfRule type="containsText" dxfId="100" priority="116" operator="containsText" text="Einnahmen">
      <formula>NOT(ISERROR(SEARCH("Einnahmen",C284)))</formula>
    </cfRule>
    <cfRule type="containsText" dxfId="99" priority="117" operator="containsText" text="Ausgaben">
      <formula>NOT(ISERROR(SEARCH("Ausgaben",C284)))</formula>
    </cfRule>
  </conditionalFormatting>
  <conditionalFormatting sqref="C285">
    <cfRule type="containsText" dxfId="98" priority="114" operator="containsText" text="Einnahmen">
      <formula>NOT(ISERROR(SEARCH("Einnahmen",C285)))</formula>
    </cfRule>
    <cfRule type="containsText" dxfId="97" priority="115" operator="containsText" text="Ausgaben">
      <formula>NOT(ISERROR(SEARCH("Ausgaben",C285)))</formula>
    </cfRule>
  </conditionalFormatting>
  <conditionalFormatting sqref="C286">
    <cfRule type="containsText" dxfId="96" priority="112" operator="containsText" text="Einnahmen">
      <formula>NOT(ISERROR(SEARCH("Einnahmen",C286)))</formula>
    </cfRule>
    <cfRule type="containsText" dxfId="95" priority="113" operator="containsText" text="Ausgaben">
      <formula>NOT(ISERROR(SEARCH("Ausgaben",C286)))</formula>
    </cfRule>
  </conditionalFormatting>
  <conditionalFormatting sqref="C288">
    <cfRule type="containsText" dxfId="94" priority="110" operator="containsText" text="Einnahmen">
      <formula>NOT(ISERROR(SEARCH("Einnahmen",C288)))</formula>
    </cfRule>
    <cfRule type="containsText" dxfId="93" priority="111" operator="containsText" text="Ausgaben">
      <formula>NOT(ISERROR(SEARCH("Ausgaben",C288)))</formula>
    </cfRule>
  </conditionalFormatting>
  <conditionalFormatting sqref="C289">
    <cfRule type="containsText" dxfId="92" priority="108" operator="containsText" text="Einnahmen">
      <formula>NOT(ISERROR(SEARCH("Einnahmen",C289)))</formula>
    </cfRule>
    <cfRule type="containsText" dxfId="91" priority="109" operator="containsText" text="Ausgaben">
      <formula>NOT(ISERROR(SEARCH("Ausgaben",C289)))</formula>
    </cfRule>
  </conditionalFormatting>
  <conditionalFormatting sqref="C291">
    <cfRule type="containsText" dxfId="90" priority="106" operator="containsText" text="Einnahmen">
      <formula>NOT(ISERROR(SEARCH("Einnahmen",C291)))</formula>
    </cfRule>
    <cfRule type="containsText" dxfId="89" priority="107" operator="containsText" text="Ausgaben">
      <formula>NOT(ISERROR(SEARCH("Ausgaben",C291)))</formula>
    </cfRule>
  </conditionalFormatting>
  <conditionalFormatting sqref="C292">
    <cfRule type="containsText" dxfId="88" priority="104" operator="containsText" text="Einnahmen">
      <formula>NOT(ISERROR(SEARCH("Einnahmen",C292)))</formula>
    </cfRule>
    <cfRule type="containsText" dxfId="87" priority="105" operator="containsText" text="Ausgaben">
      <formula>NOT(ISERROR(SEARCH("Ausgaben",C292)))</formula>
    </cfRule>
  </conditionalFormatting>
  <conditionalFormatting sqref="C293">
    <cfRule type="containsText" dxfId="86" priority="102" operator="containsText" text="Einnahmen">
      <formula>NOT(ISERROR(SEARCH("Einnahmen",C293)))</formula>
    </cfRule>
    <cfRule type="containsText" dxfId="85" priority="103" operator="containsText" text="Ausgaben">
      <formula>NOT(ISERROR(SEARCH("Ausgaben",C293)))</formula>
    </cfRule>
  </conditionalFormatting>
  <conditionalFormatting sqref="C294">
    <cfRule type="containsText" dxfId="84" priority="100" operator="containsText" text="Einnahmen">
      <formula>NOT(ISERROR(SEARCH("Einnahmen",C294)))</formula>
    </cfRule>
    <cfRule type="containsText" dxfId="83" priority="101" operator="containsText" text="Ausgaben">
      <formula>NOT(ISERROR(SEARCH("Ausgaben",C294)))</formula>
    </cfRule>
  </conditionalFormatting>
  <conditionalFormatting sqref="C296">
    <cfRule type="containsText" dxfId="82" priority="98" operator="containsText" text="Einnahmen">
      <formula>NOT(ISERROR(SEARCH("Einnahmen",C296)))</formula>
    </cfRule>
    <cfRule type="containsText" dxfId="81" priority="99" operator="containsText" text="Ausgaben">
      <formula>NOT(ISERROR(SEARCH("Ausgaben",C296)))</formula>
    </cfRule>
  </conditionalFormatting>
  <conditionalFormatting sqref="C297">
    <cfRule type="containsText" dxfId="80" priority="96" operator="containsText" text="Einnahmen">
      <formula>NOT(ISERROR(SEARCH("Einnahmen",C297)))</formula>
    </cfRule>
    <cfRule type="containsText" dxfId="79" priority="97" operator="containsText" text="Ausgaben">
      <formula>NOT(ISERROR(SEARCH("Ausgaben",C297)))</formula>
    </cfRule>
  </conditionalFormatting>
  <conditionalFormatting sqref="C298">
    <cfRule type="containsText" dxfId="78" priority="94" operator="containsText" text="Einnahmen">
      <formula>NOT(ISERROR(SEARCH("Einnahmen",C298)))</formula>
    </cfRule>
    <cfRule type="containsText" dxfId="77" priority="95" operator="containsText" text="Ausgaben">
      <formula>NOT(ISERROR(SEARCH("Ausgaben",C298)))</formula>
    </cfRule>
  </conditionalFormatting>
  <conditionalFormatting sqref="C299">
    <cfRule type="containsText" dxfId="76" priority="92" operator="containsText" text="Einnahmen">
      <formula>NOT(ISERROR(SEARCH("Einnahmen",C299)))</formula>
    </cfRule>
    <cfRule type="containsText" dxfId="75" priority="93" operator="containsText" text="Ausgaben">
      <formula>NOT(ISERROR(SEARCH("Ausgaben",C299)))</formula>
    </cfRule>
  </conditionalFormatting>
  <conditionalFormatting sqref="C300">
    <cfRule type="containsText" dxfId="74" priority="90" operator="containsText" text="Einnahmen">
      <formula>NOT(ISERROR(SEARCH("Einnahmen",C300)))</formula>
    </cfRule>
    <cfRule type="containsText" dxfId="73" priority="91" operator="containsText" text="Ausgaben">
      <formula>NOT(ISERROR(SEARCH("Ausgaben",C300)))</formula>
    </cfRule>
  </conditionalFormatting>
  <conditionalFormatting sqref="C302">
    <cfRule type="containsText" dxfId="72" priority="88" operator="containsText" text="Einnahmen">
      <formula>NOT(ISERROR(SEARCH("Einnahmen",C302)))</formula>
    </cfRule>
    <cfRule type="containsText" dxfId="71" priority="89" operator="containsText" text="Ausgaben">
      <formula>NOT(ISERROR(SEARCH("Ausgaben",C302)))</formula>
    </cfRule>
  </conditionalFormatting>
  <conditionalFormatting sqref="C304">
    <cfRule type="containsText" dxfId="70" priority="86" operator="containsText" text="Einnahmen">
      <formula>NOT(ISERROR(SEARCH("Einnahmen",C304)))</formula>
    </cfRule>
    <cfRule type="containsText" dxfId="69" priority="87" operator="containsText" text="Ausgaben">
      <formula>NOT(ISERROR(SEARCH("Ausgaben",C304)))</formula>
    </cfRule>
  </conditionalFormatting>
  <conditionalFormatting sqref="C305">
    <cfRule type="containsText" dxfId="68" priority="84" operator="containsText" text="Einnahmen">
      <formula>NOT(ISERROR(SEARCH("Einnahmen",C305)))</formula>
    </cfRule>
    <cfRule type="containsText" dxfId="67" priority="85" operator="containsText" text="Ausgaben">
      <formula>NOT(ISERROR(SEARCH("Ausgaben",C305)))</formula>
    </cfRule>
  </conditionalFormatting>
  <conditionalFormatting sqref="C306">
    <cfRule type="containsText" dxfId="66" priority="82" operator="containsText" text="Einnahmen">
      <formula>NOT(ISERROR(SEARCH("Einnahmen",C306)))</formula>
    </cfRule>
    <cfRule type="containsText" dxfId="65" priority="83" operator="containsText" text="Ausgaben">
      <formula>NOT(ISERROR(SEARCH("Ausgaben",C306)))</formula>
    </cfRule>
  </conditionalFormatting>
  <conditionalFormatting sqref="C307">
    <cfRule type="containsText" dxfId="64" priority="80" operator="containsText" text="Einnahmen">
      <formula>NOT(ISERROR(SEARCH("Einnahmen",C307)))</formula>
    </cfRule>
    <cfRule type="containsText" dxfId="63" priority="81" operator="containsText" text="Ausgaben">
      <formula>NOT(ISERROR(SEARCH("Ausgaben",C307)))</formula>
    </cfRule>
  </conditionalFormatting>
  <conditionalFormatting sqref="C308">
    <cfRule type="containsText" dxfId="62" priority="78" operator="containsText" text="Einnahmen">
      <formula>NOT(ISERROR(SEARCH("Einnahmen",C308)))</formula>
    </cfRule>
    <cfRule type="containsText" dxfId="61" priority="79" operator="containsText" text="Ausgaben">
      <formula>NOT(ISERROR(SEARCH("Ausgaben",C308)))</formula>
    </cfRule>
  </conditionalFormatting>
  <conditionalFormatting sqref="C311">
    <cfRule type="containsText" dxfId="60" priority="76" operator="containsText" text="Einnahmen">
      <formula>NOT(ISERROR(SEARCH("Einnahmen",C311)))</formula>
    </cfRule>
    <cfRule type="containsText" dxfId="59" priority="77" operator="containsText" text="Ausgaben">
      <formula>NOT(ISERROR(SEARCH("Ausgaben",C311)))</formula>
    </cfRule>
  </conditionalFormatting>
  <conditionalFormatting sqref="C312">
    <cfRule type="containsText" dxfId="58" priority="72" operator="containsText" text="Einnahmen">
      <formula>NOT(ISERROR(SEARCH("Einnahmen",C312)))</formula>
    </cfRule>
    <cfRule type="containsText" dxfId="57" priority="73" operator="containsText" text="Ausgaben">
      <formula>NOT(ISERROR(SEARCH("Ausgaben",C312)))</formula>
    </cfRule>
  </conditionalFormatting>
  <conditionalFormatting sqref="C314">
    <cfRule type="containsText" dxfId="56" priority="70" operator="containsText" text="Einnahmen">
      <formula>NOT(ISERROR(SEARCH("Einnahmen",C314)))</formula>
    </cfRule>
    <cfRule type="containsText" dxfId="55" priority="71" operator="containsText" text="Ausgaben">
      <formula>NOT(ISERROR(SEARCH("Ausgaben",C314)))</formula>
    </cfRule>
  </conditionalFormatting>
  <conditionalFormatting sqref="C315">
    <cfRule type="containsText" dxfId="54" priority="68" operator="containsText" text="Einnahmen">
      <formula>NOT(ISERROR(SEARCH("Einnahmen",C315)))</formula>
    </cfRule>
    <cfRule type="containsText" dxfId="53" priority="69" operator="containsText" text="Ausgaben">
      <formula>NOT(ISERROR(SEARCH("Ausgaben",C315)))</formula>
    </cfRule>
  </conditionalFormatting>
  <conditionalFormatting sqref="C316">
    <cfRule type="containsText" dxfId="52" priority="66" operator="containsText" text="Einnahmen">
      <formula>NOT(ISERROR(SEARCH("Einnahmen",C316)))</formula>
    </cfRule>
    <cfRule type="containsText" dxfId="51" priority="67" operator="containsText" text="Ausgaben">
      <formula>NOT(ISERROR(SEARCH("Ausgaben",C316)))</formula>
    </cfRule>
  </conditionalFormatting>
  <conditionalFormatting sqref="C317">
    <cfRule type="containsText" dxfId="50" priority="64" operator="containsText" text="Einnahmen">
      <formula>NOT(ISERROR(SEARCH("Einnahmen",C317)))</formula>
    </cfRule>
    <cfRule type="containsText" dxfId="49" priority="65" operator="containsText" text="Ausgaben">
      <formula>NOT(ISERROR(SEARCH("Ausgaben",C317)))</formula>
    </cfRule>
  </conditionalFormatting>
  <conditionalFormatting sqref="C318">
    <cfRule type="containsText" dxfId="48" priority="62" operator="containsText" text="Einnahmen">
      <formula>NOT(ISERROR(SEARCH("Einnahmen",C318)))</formula>
    </cfRule>
    <cfRule type="containsText" dxfId="47" priority="63" operator="containsText" text="Ausgaben">
      <formula>NOT(ISERROR(SEARCH("Ausgaben",C318)))</formula>
    </cfRule>
  </conditionalFormatting>
  <conditionalFormatting sqref="C319">
    <cfRule type="containsText" dxfId="46" priority="60" operator="containsText" text="Einnahmen">
      <formula>NOT(ISERROR(SEARCH("Einnahmen",C319)))</formula>
    </cfRule>
    <cfRule type="containsText" dxfId="45" priority="61" operator="containsText" text="Ausgaben">
      <formula>NOT(ISERROR(SEARCH("Ausgaben",C319)))</formula>
    </cfRule>
  </conditionalFormatting>
  <conditionalFormatting sqref="C320">
    <cfRule type="containsText" dxfId="44" priority="58" operator="containsText" text="Einnahmen">
      <formula>NOT(ISERROR(SEARCH("Einnahmen",C320)))</formula>
    </cfRule>
    <cfRule type="containsText" dxfId="43" priority="59" operator="containsText" text="Ausgaben">
      <formula>NOT(ISERROR(SEARCH("Ausgaben",C320)))</formula>
    </cfRule>
  </conditionalFormatting>
  <conditionalFormatting sqref="C321">
    <cfRule type="containsText" dxfId="42" priority="56" operator="containsText" text="Einnahmen">
      <formula>NOT(ISERROR(SEARCH("Einnahmen",C321)))</formula>
    </cfRule>
    <cfRule type="containsText" dxfId="41" priority="57" operator="containsText" text="Ausgaben">
      <formula>NOT(ISERROR(SEARCH("Ausgaben",C321)))</formula>
    </cfRule>
  </conditionalFormatting>
  <conditionalFormatting sqref="C323">
    <cfRule type="containsText" dxfId="40" priority="54" operator="containsText" text="Einnahmen">
      <formula>NOT(ISERROR(SEARCH("Einnahmen",C323)))</formula>
    </cfRule>
    <cfRule type="containsText" dxfId="39" priority="55" operator="containsText" text="Ausgaben">
      <formula>NOT(ISERROR(SEARCH("Ausgaben",C323)))</formula>
    </cfRule>
  </conditionalFormatting>
  <conditionalFormatting sqref="C324">
    <cfRule type="containsText" dxfId="38" priority="52" operator="containsText" text="Einnahmen">
      <formula>NOT(ISERROR(SEARCH("Einnahmen",C324)))</formula>
    </cfRule>
    <cfRule type="containsText" dxfId="37" priority="53" operator="containsText" text="Ausgaben">
      <formula>NOT(ISERROR(SEARCH("Ausgaben",C324)))</formula>
    </cfRule>
  </conditionalFormatting>
  <conditionalFormatting sqref="C326">
    <cfRule type="containsText" dxfId="36" priority="50" operator="containsText" text="Einnahmen">
      <formula>NOT(ISERROR(SEARCH("Einnahmen",C326)))</formula>
    </cfRule>
    <cfRule type="containsText" dxfId="35" priority="51" operator="containsText" text="Ausgaben">
      <formula>NOT(ISERROR(SEARCH("Ausgaben",C326)))</formula>
    </cfRule>
  </conditionalFormatting>
  <conditionalFormatting sqref="C327">
    <cfRule type="containsText" dxfId="34" priority="48" operator="containsText" text="Einnahmen">
      <formula>NOT(ISERROR(SEARCH("Einnahmen",C327)))</formula>
    </cfRule>
    <cfRule type="containsText" dxfId="33" priority="49" operator="containsText" text="Ausgaben">
      <formula>NOT(ISERROR(SEARCH("Ausgaben",C327)))</formula>
    </cfRule>
  </conditionalFormatting>
  <conditionalFormatting sqref="C328">
    <cfRule type="containsText" dxfId="32" priority="46" operator="containsText" text="Einnahmen">
      <formula>NOT(ISERROR(SEARCH("Einnahmen",C328)))</formula>
    </cfRule>
    <cfRule type="containsText" dxfId="31" priority="47" operator="containsText" text="Ausgaben">
      <formula>NOT(ISERROR(SEARCH("Ausgaben",C328)))</formula>
    </cfRule>
  </conditionalFormatting>
  <conditionalFormatting sqref="C329:C330">
    <cfRule type="containsText" dxfId="30" priority="44" operator="containsText" text="Einnahmen">
      <formula>NOT(ISERROR(SEARCH("Einnahmen",C329)))</formula>
    </cfRule>
    <cfRule type="containsText" dxfId="29" priority="45" operator="containsText" text="Ausgaben">
      <formula>NOT(ISERROR(SEARCH("Ausgaben",C329)))</formula>
    </cfRule>
  </conditionalFormatting>
  <conditionalFormatting sqref="C331">
    <cfRule type="containsText" dxfId="28" priority="40" operator="containsText" text="Einnahmen">
      <formula>NOT(ISERROR(SEARCH("Einnahmen",C331)))</formula>
    </cfRule>
    <cfRule type="containsText" dxfId="27" priority="41" operator="containsText" text="Ausgaben">
      <formula>NOT(ISERROR(SEARCH("Ausgaben",C331)))</formula>
    </cfRule>
  </conditionalFormatting>
  <conditionalFormatting sqref="C332">
    <cfRule type="containsText" dxfId="26" priority="38" operator="containsText" text="Einnahmen">
      <formula>NOT(ISERROR(SEARCH("Einnahmen",C332)))</formula>
    </cfRule>
    <cfRule type="containsText" dxfId="25" priority="39" operator="containsText" text="Ausgaben">
      <formula>NOT(ISERROR(SEARCH("Ausgaben",C332)))</formula>
    </cfRule>
  </conditionalFormatting>
  <conditionalFormatting sqref="C334">
    <cfRule type="containsText" dxfId="24" priority="36" operator="containsText" text="Einnahmen">
      <formula>NOT(ISERROR(SEARCH("Einnahmen",C334)))</formula>
    </cfRule>
    <cfRule type="containsText" dxfId="23" priority="37" operator="containsText" text="Ausgaben">
      <formula>NOT(ISERROR(SEARCH("Ausgaben",C334)))</formula>
    </cfRule>
  </conditionalFormatting>
  <conditionalFormatting sqref="C336">
    <cfRule type="containsText" dxfId="22" priority="34" operator="containsText" text="Einnahmen">
      <formula>NOT(ISERROR(SEARCH("Einnahmen",C336)))</formula>
    </cfRule>
    <cfRule type="containsText" dxfId="21" priority="35" operator="containsText" text="Ausgaben">
      <formula>NOT(ISERROR(SEARCH("Ausgaben",C336)))</formula>
    </cfRule>
  </conditionalFormatting>
  <conditionalFormatting sqref="C337">
    <cfRule type="containsText" dxfId="20" priority="32" operator="containsText" text="Einnahmen">
      <formula>NOT(ISERROR(SEARCH("Einnahmen",C337)))</formula>
    </cfRule>
    <cfRule type="containsText" dxfId="19" priority="33" operator="containsText" text="Ausgaben">
      <formula>NOT(ISERROR(SEARCH("Ausgaben",C337)))</formula>
    </cfRule>
  </conditionalFormatting>
  <conditionalFormatting sqref="C338">
    <cfRule type="containsText" dxfId="18" priority="30" operator="containsText" text="Einnahmen">
      <formula>NOT(ISERROR(SEARCH("Einnahmen",C338)))</formula>
    </cfRule>
    <cfRule type="containsText" dxfId="17" priority="31" operator="containsText" text="Ausgaben">
      <formula>NOT(ISERROR(SEARCH("Ausgaben",C338)))</formula>
    </cfRule>
  </conditionalFormatting>
  <conditionalFormatting sqref="C339">
    <cfRule type="containsText" dxfId="16" priority="28" operator="containsText" text="Einnahmen">
      <formula>NOT(ISERROR(SEARCH("Einnahmen",C339)))</formula>
    </cfRule>
    <cfRule type="containsText" dxfId="15" priority="29" operator="containsText" text="Ausgaben">
      <formula>NOT(ISERROR(SEARCH("Ausgaben",C339)))</formula>
    </cfRule>
  </conditionalFormatting>
  <conditionalFormatting sqref="C340">
    <cfRule type="containsText" dxfId="14" priority="26" operator="containsText" text="Einnahmen">
      <formula>NOT(ISERROR(SEARCH("Einnahmen",C340)))</formula>
    </cfRule>
    <cfRule type="containsText" dxfId="13" priority="27" operator="containsText" text="Ausgaben">
      <formula>NOT(ISERROR(SEARCH("Ausgaben",C340)))</formula>
    </cfRule>
  </conditionalFormatting>
  <conditionalFormatting sqref="C345">
    <cfRule type="containsText" dxfId="12" priority="24" operator="containsText" text="Einnahmen">
      <formula>NOT(ISERROR(SEARCH("Einnahmen",C345)))</formula>
    </cfRule>
    <cfRule type="containsText" dxfId="11" priority="25" operator="containsText" text="Ausgaben">
      <formula>NOT(ISERROR(SEARCH("Ausgaben",C345)))</formula>
    </cfRule>
  </conditionalFormatting>
  <conditionalFormatting sqref="C346">
    <cfRule type="containsText" dxfId="10" priority="22" operator="containsText" text="Einnahmen">
      <formula>NOT(ISERROR(SEARCH("Einnahmen",C346)))</formula>
    </cfRule>
    <cfRule type="containsText" dxfId="9" priority="23" operator="containsText" text="Ausgaben">
      <formula>NOT(ISERROR(SEARCH("Ausgaben",C346)))</formula>
    </cfRule>
  </conditionalFormatting>
  <conditionalFormatting sqref="C347">
    <cfRule type="containsText" dxfId="8" priority="20" operator="containsText" text="Einnahmen">
      <formula>NOT(ISERROR(SEARCH("Einnahmen",C347)))</formula>
    </cfRule>
    <cfRule type="containsText" dxfId="7" priority="21" operator="containsText" text="Ausgaben">
      <formula>NOT(ISERROR(SEARCH("Ausgaben",C347)))</formula>
    </cfRule>
  </conditionalFormatting>
  <conditionalFormatting sqref="C349">
    <cfRule type="containsText" dxfId="6" priority="18" operator="containsText" text="Einnahmen">
      <formula>NOT(ISERROR(SEARCH("Einnahmen",C349)))</formula>
    </cfRule>
    <cfRule type="containsText" dxfId="5" priority="19" operator="containsText" text="Ausgaben">
      <formula>NOT(ISERROR(SEARCH("Ausgaben",C349)))</formula>
    </cfRule>
  </conditionalFormatting>
  <conditionalFormatting sqref="C350">
    <cfRule type="containsText" dxfId="4" priority="16" operator="containsText" text="Einnahmen">
      <formula>NOT(ISERROR(SEARCH("Einnahmen",C350)))</formula>
    </cfRule>
    <cfRule type="containsText" dxfId="3" priority="17" operator="containsText" text="Ausgaben">
      <formula>NOT(ISERROR(SEARCH("Ausgaben",C350)))</formula>
    </cfRule>
  </conditionalFormatting>
  <conditionalFormatting sqref="V1:V1048576">
    <cfRule type="cellIs" dxfId="2" priority="13" operator="equal">
      <formula>TRUE</formula>
    </cfRule>
  </conditionalFormatting>
  <conditionalFormatting sqref="C1:C1048576">
    <cfRule type="containsText" dxfId="1" priority="489" operator="containsText" text="Einnahmen">
      <formula>NOT(ISERROR(SEARCH("Einnahmen",C1)))</formula>
    </cfRule>
    <cfRule type="containsText" dxfId="0" priority="486" operator="containsText" text="Ausgaben">
      <formula>NOT(ISERROR(SEARCH("Ausgaben",C1)))</formula>
    </cfRule>
  </conditionalFormatting>
  <dataValidations count="2">
    <dataValidation type="list" allowBlank="1" showInputMessage="1" showErrorMessage="1" sqref="V1 C4:C8 C10:C20 C2:D2 C22:C32 C33:D43 D44 C45:D57 D58 C59:D70 D71:D73 C72:C73 C74:D78 C79:C80 C81:D86 D87:D89 C87 C89 C90:D90 D91:D94 C91:C92 C94 D102:D107 C103:C107 C96:D101 C108:D109 D110 C111:D114 D115:D116 D118 C116:C118 C119:D123 D124:D125 C125 C126:D126 C132:C136 C137:D138 C147:C149 D128:D135 C127:C130 C141:C142 C144:C145 D139:D149 C150:D152 C154:D163 D153 D164 C165:D167 D168 C169:D170 C179:C181 D3:D32 C183:D192 D193 C194:D204 D205 C206:D215 D216 C217:D224 D225 C226:D226 C228:D228 D229 C172:C173 C175:C177 D171:D182 C230:D238 C239 D240 C241:D252 D253 C254:D258 D259 C260:D266 D267 C268:D273 D274 C275:D287 D288 C289:D295 C296 C297:D299 C301:C310 D300:D311 C312:D313 D314:D318 C317:C318 C319:D322 D323 C324:D333 D334 C335:D344 C346:C349 D345:D349 C350:D352" xr:uid="{66F4D32D-A1C1-4035-851A-F46D47D6394B}">
      <formula1>Spesenart</formula1>
    </dataValidation>
    <dataValidation type="list" allowBlank="1" showInputMessage="1" showErrorMessage="1" sqref="C2:C352" xr:uid="{69CDFE1A-7784-4D38-B118-BC5DEF64831D}">
      <formula1>"Einnahmen,Ausgaben"</formula1>
    </dataValidation>
  </dataValidations>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0A361-40A1-4056-BAE3-DB729157698C}">
  <sheetPr codeName="Tabelle25">
    <tabColor theme="9" tint="0.79998168889431442"/>
  </sheetPr>
  <dimension ref="A1:Q41"/>
  <sheetViews>
    <sheetView zoomScaleNormal="100" workbookViewId="0">
      <pane xSplit="2" ySplit="1" topLeftCell="C27" activePane="bottomRight" state="frozen"/>
      <selection pane="topRight" activeCell="C1" sqref="C1"/>
      <selection pane="bottomLeft" activeCell="A2" sqref="A2"/>
      <selection pane="bottomRight" activeCell="H40" sqref="H40"/>
    </sheetView>
  </sheetViews>
  <sheetFormatPr baseColWidth="10" defaultRowHeight="15" x14ac:dyDescent="0.25"/>
  <cols>
    <col min="1" max="1" width="5" bestFit="1" customWidth="1"/>
    <col min="2" max="2" width="6.85546875" bestFit="1" customWidth="1"/>
    <col min="4" max="5" width="10.140625" bestFit="1" customWidth="1"/>
    <col min="6" max="6" width="10.140625" customWidth="1"/>
    <col min="7" max="7" width="9.28515625" customWidth="1"/>
    <col min="8" max="8" width="10.7109375" customWidth="1"/>
    <col min="9" max="9" width="18.7109375" bestFit="1" customWidth="1"/>
    <col min="10" max="10" width="12" customWidth="1"/>
    <col min="11" max="11" width="13.140625" customWidth="1"/>
    <col min="12" max="12" width="9.42578125" customWidth="1"/>
    <col min="13" max="13" width="8.85546875" customWidth="1"/>
    <col min="14" max="14" width="8.42578125" customWidth="1"/>
    <col min="15" max="15" width="8.140625" customWidth="1"/>
    <col min="17" max="17" width="37.7109375" bestFit="1" customWidth="1"/>
  </cols>
  <sheetData>
    <row r="1" spans="1:17" s="2" customFormat="1" x14ac:dyDescent="0.25">
      <c r="A1" s="2" t="s">
        <v>47</v>
      </c>
      <c r="B1" s="2" t="s">
        <v>1467</v>
      </c>
      <c r="C1" s="5" t="s">
        <v>50</v>
      </c>
      <c r="D1" s="5" t="s">
        <v>49</v>
      </c>
      <c r="E1" s="2" t="s">
        <v>52</v>
      </c>
      <c r="F1" s="7" t="s">
        <v>51</v>
      </c>
      <c r="G1" s="7" t="s">
        <v>1528</v>
      </c>
      <c r="H1" s="7" t="s">
        <v>53</v>
      </c>
      <c r="I1" s="2" t="s">
        <v>155</v>
      </c>
      <c r="J1" s="11" t="s">
        <v>1731</v>
      </c>
      <c r="K1" s="11" t="s">
        <v>1730</v>
      </c>
      <c r="L1" s="12" t="s">
        <v>1729</v>
      </c>
      <c r="M1" s="12" t="s">
        <v>1728</v>
      </c>
      <c r="N1" s="12" t="s">
        <v>1727</v>
      </c>
      <c r="O1" s="12" t="s">
        <v>360</v>
      </c>
      <c r="P1" s="12"/>
    </row>
    <row r="2" spans="1:17" x14ac:dyDescent="0.25">
      <c r="A2">
        <v>2023</v>
      </c>
      <c r="B2">
        <v>1</v>
      </c>
      <c r="C2" s="1">
        <f>DATE(A2,B2,1)</f>
        <v>44927</v>
      </c>
      <c r="D2" s="1">
        <f>EOMONTH(C2,0)</f>
        <v>44957</v>
      </c>
      <c r="E2" s="1">
        <f>DATE(YEAR(EOMONTH(C2,2)),MONTH(EOMONTH(C2,2)),15)</f>
        <v>45000</v>
      </c>
      <c r="F2" s="4">
        <f>SUMIFS(Journal_ab_2019!P:P,Journal_ab_2019!G:G,"&lt;=" &amp; D2,Journal_ab_2019!G:G,"&gt;=" &amp;C2,Journal_ab_2019!C:C,"="&amp;"Einnahmen")</f>
        <v>3283.06</v>
      </c>
      <c r="G2" s="4">
        <f>SUMIFS(Journal_ab_2019!P:P,Journal_ab_2019!G:G,"&lt;=" &amp; D2,Journal_ab_2019!G:G,"&gt;=" &amp; C2,Journal_ab_2019!C:C,"="&amp;"Ausgaben")</f>
        <v>174.04000000000002</v>
      </c>
      <c r="H2" s="4">
        <f t="shared" ref="H2:H13" si="0">F2-G2</f>
        <v>3109.02</v>
      </c>
      <c r="I2" s="4">
        <f>SUMIFS(Journal_ab_2019!$Q:$Q,Journal_ab_2019!$G:$G,"&lt;=" &amp; $D2,Journal_ab_2019!$G:$G,"&gt;=" &amp;$C2,Journal_ab_2019!C:C,"="&amp;"Einnahmen")</f>
        <v>16415.3</v>
      </c>
      <c r="J2" s="16">
        <f>SUMIFS(Journal_ab_2019!$Q:$Q,Journal_ab_2019!$G:$G,"&lt;=" &amp; $D2,Journal_ab_2019!$G:$G,"&gt;=" &amp;$C2,Journal_ab_2019!C:C,"="&amp;"Einnahmen")</f>
        <v>16415.3</v>
      </c>
      <c r="K2" s="16">
        <f>SUMIFS(Journal_ab_2019!$Q:$Q,Journal_ab_2019!$G:$G,"&lt;=" &amp; $D2,Journal_ab_2019!$G:$G,"&gt;=" &amp;$C2,Journal_ab_2019!$N:$N,"=20",Journal_ab_2019!$C:$C,"="&amp;"Einnahmen")</f>
        <v>16415.3</v>
      </c>
      <c r="L2" s="16">
        <f>SUMIFS(Journal_ab_2019!$P:$P,Journal_ab_2019!$G:$G,"&lt;=" &amp;$D2,Journal_ab_2019!$G:$G,"&gt;=" &amp;$C2,Journal_ab_2019!$V:$V,"&lt;&gt;ja",Journal_ab_2019!C:C,"="&amp;"Ausgaben")</f>
        <v>174.04000000000002</v>
      </c>
      <c r="M2" s="16">
        <f>SUMIFS(Journal_ab_2019!$X:$X,Journal_ab_2019!$G:$G,"&lt;=" &amp;$D2,Journal_ab_2019!$G:$G,"&gt;=" &amp;$C2,Journal_ab_2019!$V:$V,"&gt;0",Journal_ab_2019!C:C,"="&amp;"Ausgaben")</f>
        <v>14.24006</v>
      </c>
      <c r="N2" s="16">
        <f>SUMIFS(Journal_ab_2019!$Q:$Q,Journal_ab_2019!$G:$G,"&lt;=" &amp;$D2,Journal_ab_2019!$G:$G,"&gt;=" &amp;$C2,Journal_ab_2019!$V:$V,"&gt;0",Journal_ab_2019!C:C,"="&amp;"Ausgaben")</f>
        <v>71.200299999999999</v>
      </c>
      <c r="O2" s="16">
        <f>SUMIFS(Journal_ab_2019!$Q:$Q,Journal_ab_2019!$G:$G,"&lt;=" &amp; $D2,Journal_ab_2019!$G:$G,"&gt;=" &amp;$C2,Journal_ab_2019!$V:$V,"=20",Journal_ab_2019!C:C,"="&amp;"Ausgaben")</f>
        <v>71.200299999999999</v>
      </c>
    </row>
    <row r="3" spans="1:17" x14ac:dyDescent="0.25">
      <c r="A3">
        <v>2023</v>
      </c>
      <c r="B3">
        <v>2</v>
      </c>
      <c r="C3" s="1">
        <f t="shared" ref="C3:C14" si="1">DATE(A3,B3,1)</f>
        <v>44958</v>
      </c>
      <c r="D3" s="1">
        <f t="shared" ref="D3:D14" si="2">EOMONTH(C3,0)</f>
        <v>44985</v>
      </c>
      <c r="E3" s="1">
        <f t="shared" ref="E3:E14" si="3">DATE(YEAR(EOMONTH(C3,2)),MONTH(EOMONTH(C3,2)),15)</f>
        <v>45031</v>
      </c>
      <c r="F3" s="4">
        <f>SUMIFS(Journal_ab_2019!P:P,Journal_ab_2019!G:G,"&lt;=" &amp; D3,Journal_ab_2019!G:G,"&gt;=" &amp;C3,Journal_ab_2019!C:C,"="&amp;"Einnahmen")</f>
        <v>2615.4</v>
      </c>
      <c r="G3" s="4">
        <f>SUMIFS(Journal_ab_2019!P:P,Journal_ab_2019!G:G,"&lt;=" &amp; D3,Journal_ab_2019!G:G,"&gt;=" &amp; C3,Journal_ab_2019!C:C,"="&amp;"Ausgaben")</f>
        <v>165.55466666666672</v>
      </c>
      <c r="H3" s="4">
        <f t="shared" si="0"/>
        <v>2449.8453333333332</v>
      </c>
      <c r="I3" s="4">
        <f>SUMIFS(Journal_ab_2019!$Q:$Q,Journal_ab_2019!$G:$G,"&lt;=" &amp; $D3,Journal_ab_2019!$G:$G,"&gt;=" &amp;$C3,Journal_ab_2019!C:C,"="&amp;"Einnahmen")</f>
        <v>13077</v>
      </c>
      <c r="J3" s="16">
        <f>SUMIFS(Journal_ab_2019!$Q:$Q,Journal_ab_2019!$G:$G,"&lt;=" &amp; $D3,Journal_ab_2019!$G:$G,"&gt;=" &amp;$C3,Journal_ab_2019!C:C,"="&amp;"Einnahmen")</f>
        <v>13077</v>
      </c>
      <c r="K3" s="16">
        <f>SUMIFS(Journal_ab_2019!$Q:$Q,Journal_ab_2019!$G:$G,"&lt;=" &amp; $D3,Journal_ab_2019!$G:$G,"&gt;=" &amp;$C3,Journal_ab_2019!$N:$N,"=20",Journal_ab_2019!$C:$C,"="&amp;"Einnahmen")</f>
        <v>13077</v>
      </c>
      <c r="L3" s="16">
        <f>SUMIFS(Journal_ab_2019!$P:$P,Journal_ab_2019!$G:$G,"&lt;=" &amp;$D3,Journal_ab_2019!$G:$G,"&gt;=" &amp;$C3,Journal_ab_2019!$V:$V,"&lt;&gt;ja",Journal_ab_2019!C:C,"="&amp;"Ausgaben")</f>
        <v>165.55466666666672</v>
      </c>
      <c r="M3" s="16">
        <f>SUMIFS(Journal_ab_2019!$X:$X,Journal_ab_2019!$G:$G,"&lt;=" &amp;$D3,Journal_ab_2019!$G:$G,"&gt;=" &amp;$C3,Journal_ab_2019!$V:$V,"&gt;0",Journal_ab_2019!C:C,"="&amp;"Ausgaben")</f>
        <v>14.414820000000001</v>
      </c>
      <c r="N3" s="16">
        <f>SUMIFS(Journal_ab_2019!$Q:$Q,Journal_ab_2019!$G:$G,"&lt;=" &amp;$D3,Journal_ab_2019!$G:$G,"&gt;=" &amp;$C3,Journal_ab_2019!$V:$V,"&gt;0",Journal_ab_2019!C:C,"="&amp;"Ausgaben")</f>
        <v>72.074100000000001</v>
      </c>
      <c r="O3" s="16">
        <f>SUMIFS(Journal_ab_2019!$Q:$Q,Journal_ab_2019!$G:$G,"&lt;=" &amp; $D3,Journal_ab_2019!$G:$G,"&gt;=" &amp;$C3,Journal_ab_2019!$V:$V,"=20",Journal_ab_2019!C:C,"="&amp;"Ausgaben")</f>
        <v>72.074100000000001</v>
      </c>
    </row>
    <row r="4" spans="1:17" x14ac:dyDescent="0.25">
      <c r="A4">
        <v>2023</v>
      </c>
      <c r="B4">
        <v>3</v>
      </c>
      <c r="C4" s="1">
        <f t="shared" si="1"/>
        <v>44986</v>
      </c>
      <c r="D4" s="1">
        <f t="shared" si="2"/>
        <v>45016</v>
      </c>
      <c r="E4" s="1">
        <f t="shared" si="3"/>
        <v>45061</v>
      </c>
      <c r="F4" s="4">
        <f>SUMIFS(Journal_ab_2019!P:P,Journal_ab_2019!G:G,"&lt;=" &amp; D4,Journal_ab_2019!G:G,"&gt;=" &amp;C4,Journal_ab_2019!C:C,"="&amp;"Einnahmen")</f>
        <v>2635.86</v>
      </c>
      <c r="G4" s="4">
        <f>SUMIFS(Journal_ab_2019!P:P,Journal_ab_2019!G:G,"&lt;=" &amp; D4,Journal_ab_2019!G:G,"&gt;=" &amp; C4,Journal_ab_2019!C:C,"="&amp;"Ausgaben")</f>
        <v>164.4</v>
      </c>
      <c r="H4" s="4">
        <f t="shared" si="0"/>
        <v>2471.46</v>
      </c>
      <c r="I4" s="4">
        <f>SUMIFS(Journal_ab_2019!$Q:$Q,Journal_ab_2019!$G:$G,"&lt;=" &amp; $D4,Journal_ab_2019!$G:$G,"&gt;=" &amp;$C4,Journal_ab_2019!C:C,"="&amp;"Einnahmen")</f>
        <v>13179.3</v>
      </c>
      <c r="J4" s="16">
        <f>SUMIFS(Journal_ab_2019!$Q:$Q,Journal_ab_2019!$G:$G,"&lt;=" &amp; $D4,Journal_ab_2019!$G:$G,"&gt;=" &amp;$C4,Journal_ab_2019!C:C,"="&amp;"Einnahmen")</f>
        <v>13179.3</v>
      </c>
      <c r="K4" s="16">
        <f>SUMIFS(Journal_ab_2019!$Q:$Q,Journal_ab_2019!$G:$G,"&lt;=" &amp; $D4,Journal_ab_2019!$G:$G,"&gt;=" &amp;$C4,Journal_ab_2019!$N:$N,"=20",Journal_ab_2019!$C:$C,"="&amp;"Einnahmen")</f>
        <v>13179.3</v>
      </c>
      <c r="L4" s="16">
        <f>SUMIFS(Journal_ab_2019!$P:$P,Journal_ab_2019!$G:$G,"&lt;=" &amp;$D4,Journal_ab_2019!$G:$G,"&gt;=" &amp;$C4,Journal_ab_2019!$V:$V,"&lt;&gt;ja",Journal_ab_2019!C:C,"="&amp;"Ausgaben")</f>
        <v>164.4</v>
      </c>
      <c r="M4" s="16">
        <f>SUMIFS(Journal_ab_2019!$X:$X,Journal_ab_2019!$G:$G,"&lt;=" &amp;$D4,Journal_ab_2019!$G:$G,"&gt;=" &amp;$C4,Journal_ab_2019!$V:$V,"&gt;0",Journal_ab_2019!C:C,"="&amp;"Ausgaben")</f>
        <v>14.414820000000001</v>
      </c>
      <c r="N4" s="16">
        <f>SUMIFS(Journal_ab_2019!$Q:$Q,Journal_ab_2019!$G:$G,"&lt;=" &amp;$D4,Journal_ab_2019!$G:$G,"&gt;=" &amp;$C4,Journal_ab_2019!$V:$V,"&gt;0",Journal_ab_2019!C:C,"="&amp;"Ausgaben")</f>
        <v>72.074100000000001</v>
      </c>
      <c r="O4" s="16">
        <f>SUMIFS(Journal_ab_2019!$Q:$Q,Journal_ab_2019!$G:$G,"&lt;=" &amp; $D4,Journal_ab_2019!$G:$G,"&gt;=" &amp;$C4,Journal_ab_2019!$V:$V,"=20",Journal_ab_2019!C:C,"="&amp;"Ausgaben")</f>
        <v>72.074100000000001</v>
      </c>
    </row>
    <row r="5" spans="1:17" x14ac:dyDescent="0.25">
      <c r="A5">
        <v>2023</v>
      </c>
      <c r="B5">
        <v>4</v>
      </c>
      <c r="C5" s="1">
        <f t="shared" si="1"/>
        <v>45017</v>
      </c>
      <c r="D5" s="1">
        <f t="shared" si="2"/>
        <v>45046</v>
      </c>
      <c r="E5" s="1">
        <f t="shared" si="3"/>
        <v>45092</v>
      </c>
      <c r="F5" s="4">
        <f>SUMIFS(Journal_ab_2019!P:P,Journal_ab_2019!G:G,"&lt;=" &amp; D5,Journal_ab_2019!G:G,"&gt;=" &amp;C5,Journal_ab_2019!C:C,"="&amp;"Einnahmen")</f>
        <v>4153.5999999999995</v>
      </c>
      <c r="G5" s="4">
        <f>SUMIFS(Journal_ab_2019!P:P,Journal_ab_2019!G:G,"&lt;=" &amp; D5,Journal_ab_2019!G:G,"&gt;=" &amp; C5,Journal_ab_2019!C:C,"="&amp;"Ausgaben")</f>
        <v>163.41200000000003</v>
      </c>
      <c r="H5" s="4">
        <f t="shared" si="0"/>
        <v>3990.1879999999992</v>
      </c>
      <c r="I5" s="4">
        <f>SUMIFS(Journal_ab_2019!$Q:$Q,Journal_ab_2019!$G:$G,"&lt;=" &amp; $D5,Journal_ab_2019!$G:$G,"&gt;=" &amp;$C5,Journal_ab_2019!C:C,"="&amp;"Einnahmen")</f>
        <v>20768</v>
      </c>
      <c r="J5" s="16">
        <f>SUMIFS(Journal_ab_2019!$Q:$Q,Journal_ab_2019!$G:$G,"&lt;=" &amp; $D5,Journal_ab_2019!$G:$G,"&gt;=" &amp;$C5,Journal_ab_2019!C:C,"="&amp;"Einnahmen")</f>
        <v>20768</v>
      </c>
      <c r="K5" s="16">
        <f>SUMIFS(Journal_ab_2019!$Q:$Q,Journal_ab_2019!$G:$G,"&lt;=" &amp; $D5,Journal_ab_2019!$G:$G,"&gt;=" &amp;$C5,Journal_ab_2019!$N:$N,"=20",Journal_ab_2019!$C:$C,"="&amp;"Einnahmen")</f>
        <v>20768</v>
      </c>
      <c r="L5" s="16">
        <f>SUMIFS(Journal_ab_2019!$P:$P,Journal_ab_2019!$G:$G,"&lt;=" &amp;$D5,Journal_ab_2019!$G:$G,"&gt;=" &amp;$C5,Journal_ab_2019!$V:$V,"&lt;&gt;ja",Journal_ab_2019!C:C,"="&amp;"Ausgaben")</f>
        <v>163.41200000000003</v>
      </c>
      <c r="M5" s="16">
        <f>SUMIFS(Journal_ab_2019!$X:$X,Journal_ab_2019!$G:$G,"&lt;=" &amp;$D5,Journal_ab_2019!$G:$G,"&gt;=" &amp;$C5,Journal_ab_2019!$V:$V,"&gt;0",Journal_ab_2019!C:C,"="&amp;"Ausgaben")</f>
        <v>93.37482</v>
      </c>
      <c r="N5" s="16">
        <f>SUMIFS(Journal_ab_2019!$Q:$Q,Journal_ab_2019!$G:$G,"&lt;=" &amp;$D5,Journal_ab_2019!$G:$G,"&gt;=" &amp;$C5,Journal_ab_2019!$V:$V,"&gt;0",Journal_ab_2019!C:C,"="&amp;"Ausgaben")</f>
        <v>466.8741</v>
      </c>
      <c r="O5" s="16">
        <f>SUMIFS(Journal_ab_2019!$Q:$Q,Journal_ab_2019!$G:$G,"&lt;=" &amp; $D5,Journal_ab_2019!$G:$G,"&gt;=" &amp;$C5,Journal_ab_2019!$V:$V,"=20",Journal_ab_2019!C:C,"="&amp;"Ausgaben")</f>
        <v>466.8741</v>
      </c>
    </row>
    <row r="6" spans="1:17" x14ac:dyDescent="0.25">
      <c r="A6">
        <v>2023</v>
      </c>
      <c r="B6">
        <v>5</v>
      </c>
      <c r="C6" s="1">
        <f t="shared" si="1"/>
        <v>45047</v>
      </c>
      <c r="D6" s="1">
        <f t="shared" si="2"/>
        <v>45077</v>
      </c>
      <c r="E6" s="1">
        <f t="shared" si="3"/>
        <v>45122</v>
      </c>
      <c r="F6" s="4">
        <f>SUMIFS(Journal_ab_2019!P:P,Journal_ab_2019!G:G,"&lt;=" &amp; D6,Journal_ab_2019!G:G,"&gt;=" &amp;C6,Journal_ab_2019!C:C,"="&amp;"Einnahmen")</f>
        <v>3504.6</v>
      </c>
      <c r="G6" s="4">
        <f>SUMIFS(Journal_ab_2019!P:P,Journal_ab_2019!G:G,"&lt;=" &amp; D6,Journal_ab_2019!G:G,"&gt;=" &amp; C6,Journal_ab_2019!C:C,"="&amp;"Ausgaben")</f>
        <v>173.21333333333337</v>
      </c>
      <c r="H6" s="4">
        <f t="shared" si="0"/>
        <v>3331.3866666666663</v>
      </c>
      <c r="I6" s="4">
        <f>SUMIFS(Journal_ab_2019!$Q:$Q,Journal_ab_2019!$G:$G,"&lt;=" &amp; $D6,Journal_ab_2019!$G:$G,"&gt;=" &amp;$C6,Journal_ab_2019!C:C,"="&amp;"Einnahmen")</f>
        <v>17523</v>
      </c>
      <c r="J6" s="16">
        <f>SUMIFS(Journal_ab_2019!$Q:$Q,Journal_ab_2019!$G:$G,"&lt;=" &amp; $D6,Journal_ab_2019!$G:$G,"&gt;=" &amp;$C6,Journal_ab_2019!C:C,"="&amp;"Einnahmen")</f>
        <v>17523</v>
      </c>
      <c r="K6" s="16">
        <f>SUMIFS(Journal_ab_2019!$Q:$Q,Journal_ab_2019!$G:$G,"&lt;=" &amp; $D6,Journal_ab_2019!$G:$G,"&gt;=" &amp;$C6,Journal_ab_2019!$N:$N,"=20",Journal_ab_2019!$C:$C,"="&amp;"Einnahmen")</f>
        <v>17523</v>
      </c>
      <c r="L6" s="16">
        <f>SUMIFS(Journal_ab_2019!$P:$P,Journal_ab_2019!$G:$G,"&lt;=" &amp;$D6,Journal_ab_2019!$G:$G,"&gt;=" &amp;$C6,Journal_ab_2019!$V:$V,"&lt;&gt;ja",Journal_ab_2019!C:C,"="&amp;"Ausgaben")</f>
        <v>173.21333333333337</v>
      </c>
      <c r="M6" s="16">
        <f>SUMIFS(Journal_ab_2019!$X:$X,Journal_ab_2019!$G:$G,"&lt;=" &amp;$D6,Journal_ab_2019!$G:$G,"&gt;=" &amp;$C6,Journal_ab_2019!$V:$V,"&gt;0",Journal_ab_2019!C:C,"="&amp;"Ausgaben")</f>
        <v>14.42882</v>
      </c>
      <c r="N6" s="16">
        <f>SUMIFS(Journal_ab_2019!$Q:$Q,Journal_ab_2019!$G:$G,"&lt;=" &amp;$D6,Journal_ab_2019!$G:$G,"&gt;=" &amp;$C6,Journal_ab_2019!$V:$V,"&gt;0",Journal_ab_2019!C:C,"="&amp;"Ausgaben")</f>
        <v>72.144100000000009</v>
      </c>
      <c r="O6" s="16">
        <f>SUMIFS(Journal_ab_2019!$Q:$Q,Journal_ab_2019!$G:$G,"&lt;=" &amp; $D6,Journal_ab_2019!$G:$G,"&gt;=" &amp;$C6,Journal_ab_2019!$V:$V,"=20",Journal_ab_2019!C:C,"="&amp;"Ausgaben")</f>
        <v>72.144100000000009</v>
      </c>
    </row>
    <row r="7" spans="1:17" x14ac:dyDescent="0.25">
      <c r="A7">
        <v>2023</v>
      </c>
      <c r="B7">
        <v>6</v>
      </c>
      <c r="C7" s="1">
        <f t="shared" si="1"/>
        <v>45078</v>
      </c>
      <c r="D7" s="1">
        <f t="shared" si="2"/>
        <v>45107</v>
      </c>
      <c r="E7" s="1">
        <f t="shared" si="3"/>
        <v>45153</v>
      </c>
      <c r="F7" s="4">
        <f>SUMIFS(Journal_ab_2019!P:P,Journal_ab_2019!G:G,"&lt;=" &amp; D7,Journal_ab_2019!G:G,"&gt;=" &amp;C7,Journal_ab_2019!C:C,"="&amp;"Einnahmen")</f>
        <v>3411.6760000000004</v>
      </c>
      <c r="G7" s="4">
        <f>SUMIFS(Journal_ab_2019!P:P,Journal_ab_2019!G:G,"&lt;=" &amp; D7,Journal_ab_2019!G:G,"&gt;=" &amp; C7,Journal_ab_2019!C:C,"="&amp;"Ausgaben")</f>
        <v>185.82100000000005</v>
      </c>
      <c r="H7" s="4">
        <f t="shared" si="0"/>
        <v>3225.8550000000005</v>
      </c>
      <c r="I7" s="4">
        <f>SUMIFS(Journal_ab_2019!$Q:$Q,Journal_ab_2019!$G:$G,"&lt;=" &amp; $D7,Journal_ab_2019!$G:$G,"&gt;=" &amp;$C7,Journal_ab_2019!C:C,"="&amp;"Einnahmen")</f>
        <v>17058.38</v>
      </c>
      <c r="J7" s="16">
        <f>SUMIFS(Journal_ab_2019!$Q:$Q,Journal_ab_2019!$G:$G,"&lt;=" &amp; $D7,Journal_ab_2019!$G:$G,"&gt;=" &amp;$C7,Journal_ab_2019!C:C,"="&amp;"Einnahmen")</f>
        <v>17058.38</v>
      </c>
      <c r="K7" s="16">
        <f>SUMIFS(Journal_ab_2019!$Q:$Q,Journal_ab_2019!$G:$G,"&lt;=" &amp; $D7,Journal_ab_2019!$G:$G,"&gt;=" &amp;$C7,Journal_ab_2019!$N:$N,"=20",Journal_ab_2019!$C:$C,"="&amp;"Einnahmen")</f>
        <v>17058.38</v>
      </c>
      <c r="L7" s="16">
        <f>SUMIFS(Journal_ab_2019!$P:$P,Journal_ab_2019!$G:$G,"&lt;=" &amp;$D7,Journal_ab_2019!$G:$G,"&gt;=" &amp;$C7,Journal_ab_2019!$V:$V,"&lt;&gt;ja",Journal_ab_2019!C:C,"="&amp;"Ausgaben")</f>
        <v>185.82100000000005</v>
      </c>
      <c r="M7" s="16">
        <f>SUMIFS(Journal_ab_2019!$X:$X,Journal_ab_2019!$G:$G,"&lt;=" &amp;$D7,Journal_ab_2019!$G:$G,"&gt;=" &amp;$C7,Journal_ab_2019!$V:$V,"&gt;0",Journal_ab_2019!C:C,"="&amp;"Ausgaben")</f>
        <v>20.104820000000004</v>
      </c>
      <c r="N7" s="16">
        <f>SUMIFS(Journal_ab_2019!$Q:$Q,Journal_ab_2019!$G:$G,"&lt;=" &amp;$D7,Journal_ab_2019!$G:$G,"&gt;=" &amp;$C7,Journal_ab_2019!$V:$V,"&gt;0",Journal_ab_2019!C:C,"="&amp;"Ausgaben")</f>
        <v>100.5241</v>
      </c>
      <c r="O7" s="16">
        <f>SUMIFS(Journal_ab_2019!$Q:$Q,Journal_ab_2019!$G:$G,"&lt;=" &amp; $D7,Journal_ab_2019!$G:$G,"&gt;=" &amp;$C7,Journal_ab_2019!$V:$V,"=20",Journal_ab_2019!C:C,"="&amp;"Ausgaben")</f>
        <v>100.5241</v>
      </c>
    </row>
    <row r="8" spans="1:17" x14ac:dyDescent="0.25">
      <c r="A8">
        <v>2023</v>
      </c>
      <c r="B8">
        <v>7</v>
      </c>
      <c r="C8" s="1">
        <f t="shared" si="1"/>
        <v>45108</v>
      </c>
      <c r="D8" s="1">
        <f t="shared" si="2"/>
        <v>45138</v>
      </c>
      <c r="E8" s="1">
        <f t="shared" si="3"/>
        <v>45184</v>
      </c>
      <c r="F8" s="4">
        <f>SUMIFS(Journal_ab_2019!P:P,Journal_ab_2019!G:G,"&lt;=" &amp; D8,Journal_ab_2019!G:G,"&gt;=" &amp;C8,Journal_ab_2019!C:C,"="&amp;"Einnahmen")</f>
        <v>3377.3316666666669</v>
      </c>
      <c r="G8" s="4">
        <f>SUMIFS(Journal_ab_2019!P:P,Journal_ab_2019!G:G,"&lt;=" &amp; D8,Journal_ab_2019!G:G,"&gt;=" &amp; C8,Journal_ab_2019!C:C,"="&amp;"Ausgaben")</f>
        <v>512.35233333333338</v>
      </c>
      <c r="H8" s="4">
        <f t="shared" si="0"/>
        <v>2864.9793333333337</v>
      </c>
      <c r="I8" s="4">
        <f>SUMIFS(Journal_ab_2019!$Q:$Q,Journal_ab_2019!$G:$G,"&lt;=" &amp; $D8,Journal_ab_2019!$G:$G,"&gt;=" &amp;$C8,Journal_ab_2019!C:C,"="&amp;"Einnahmen")</f>
        <v>16886.658333333333</v>
      </c>
      <c r="J8" s="16">
        <f>SUMIFS(Journal_ab_2019!$Q:$Q,Journal_ab_2019!$G:$G,"&lt;=" &amp; $D8,Journal_ab_2019!$G:$G,"&gt;=" &amp;$C8,Journal_ab_2019!C:C,"="&amp;"Einnahmen")</f>
        <v>16886.658333333333</v>
      </c>
      <c r="K8" s="16">
        <f>SUMIFS(Journal_ab_2019!$Q:$Q,Journal_ab_2019!$G:$G,"&lt;=" &amp; $D8,Journal_ab_2019!$G:$G,"&gt;=" &amp;$C8,Journal_ab_2019!$N:$N,"=20",Journal_ab_2019!$C:$C,"="&amp;"Einnahmen")</f>
        <v>16886.658333333333</v>
      </c>
      <c r="L8" s="16">
        <f>SUMIFS(Journal_ab_2019!$P:$P,Journal_ab_2019!$G:$G,"&lt;=" &amp;$D8,Journal_ab_2019!$G:$G,"&gt;=" &amp;$C8,Journal_ab_2019!$V:$V,"&lt;&gt;ja",Journal_ab_2019!C:C,"="&amp;"Ausgaben")</f>
        <v>512.35233333333338</v>
      </c>
      <c r="M8" s="16">
        <f>SUMIFS(Journal_ab_2019!$X:$X,Journal_ab_2019!$G:$G,"&lt;=" &amp;$D8,Journal_ab_2019!$G:$G,"&gt;=" &amp;$C8,Journal_ab_2019!$V:$V,"&gt;0",Journal_ab_2019!C:C,"="&amp;"Ausgaben")</f>
        <v>14.622820000000001</v>
      </c>
      <c r="N8" s="16">
        <f>SUMIFS(Journal_ab_2019!$Q:$Q,Journal_ab_2019!$G:$G,"&lt;=" &amp;$D8,Journal_ab_2019!$G:$G,"&gt;=" &amp;$C8,Journal_ab_2019!$V:$V,"&gt;0",Journal_ab_2019!C:C,"="&amp;"Ausgaben")</f>
        <v>73.114100000000008</v>
      </c>
      <c r="O8" s="16">
        <f>SUMIFS(Journal_ab_2019!$Q:$Q,Journal_ab_2019!$G:$G,"&lt;=" &amp; $D8,Journal_ab_2019!$G:$G,"&gt;=" &amp;$C8,Journal_ab_2019!$V:$V,"=20",Journal_ab_2019!C:C,"="&amp;"Ausgaben")</f>
        <v>73.114100000000008</v>
      </c>
    </row>
    <row r="9" spans="1:17" x14ac:dyDescent="0.25">
      <c r="A9">
        <v>2023</v>
      </c>
      <c r="B9">
        <v>8</v>
      </c>
      <c r="C9" s="1">
        <f t="shared" si="1"/>
        <v>45139</v>
      </c>
      <c r="D9" s="1">
        <f t="shared" si="2"/>
        <v>45169</v>
      </c>
      <c r="E9" s="1">
        <f t="shared" si="3"/>
        <v>45214</v>
      </c>
      <c r="F9" s="4">
        <f>SUMIFS(Journal_ab_2019!P:P,Journal_ab_2019!G:G,"&lt;=" &amp; D9,Journal_ab_2019!G:G,"&gt;=" &amp;C9,Journal_ab_2019!C:C,"="&amp;"Einnahmen")</f>
        <v>1318.65</v>
      </c>
      <c r="G9" s="4">
        <f>SUMIFS(Journal_ab_2019!P:P,Journal_ab_2019!G:G,"&lt;=" &amp; D9,Journal_ab_2019!G:G,"&gt;=" &amp; C9,Journal_ab_2019!C:C,"="&amp;"Ausgaben")</f>
        <v>-2.9457878787878258</v>
      </c>
      <c r="H9" s="4">
        <f t="shared" si="0"/>
        <v>1321.5957878787879</v>
      </c>
      <c r="I9" s="4">
        <f>SUMIFS(Journal_ab_2019!$Q:$Q,Journal_ab_2019!$G:$G,"&lt;=" &amp; $D9,Journal_ab_2019!$G:$G,"&gt;=" &amp;$C9,Journal_ab_2019!C:C,"="&amp;"Einnahmen")</f>
        <v>6593.25</v>
      </c>
      <c r="J9" s="16">
        <f>SUMIFS(Journal_ab_2019!$Q:$Q,Journal_ab_2019!$G:$G,"&lt;=" &amp; $D9,Journal_ab_2019!$G:$G,"&gt;=" &amp;$C9,Journal_ab_2019!C:C,"="&amp;"Einnahmen")</f>
        <v>6593.25</v>
      </c>
      <c r="K9" s="16">
        <f>SUMIFS(Journal_ab_2019!$Q:$Q,Journal_ab_2019!$G:$G,"&lt;=" &amp; $D9,Journal_ab_2019!$G:$G,"&gt;=" &amp;$C9,Journal_ab_2019!$N:$N,"=20",Journal_ab_2019!$C:$C,"="&amp;"Einnahmen")</f>
        <v>6593.25</v>
      </c>
      <c r="L9" s="16">
        <f>SUMIFS(Journal_ab_2019!$P:$P,Journal_ab_2019!$G:$G,"&lt;=" &amp;$D9,Journal_ab_2019!$G:$G,"&gt;=" &amp;$C9,Journal_ab_2019!$V:$V,"&lt;&gt;ja",Journal_ab_2019!C:C,"="&amp;"Ausgaben")</f>
        <v>-2.9457878787878258</v>
      </c>
      <c r="M9" s="16">
        <f>SUMIFS(Journal_ab_2019!$X:$X,Journal_ab_2019!$G:$G,"&lt;=" &amp;$D9,Journal_ab_2019!$G:$G,"&gt;=" &amp;$C9,Journal_ab_2019!$V:$V,"&gt;0",Journal_ab_2019!C:C,"="&amp;"Ausgaben")</f>
        <v>14.622820000000001</v>
      </c>
      <c r="N9" s="16">
        <f>SUMIFS(Journal_ab_2019!$Q:$Q,Journal_ab_2019!$G:$G,"&lt;=" &amp;$D9,Journal_ab_2019!$G:$G,"&gt;=" &amp;$C9,Journal_ab_2019!$V:$V,"&gt;0",Journal_ab_2019!C:C,"="&amp;"Ausgaben")</f>
        <v>73.114100000000008</v>
      </c>
      <c r="O9" s="16">
        <f>SUMIFS(Journal_ab_2019!$Q:$Q,Journal_ab_2019!$G:$G,"&lt;=" &amp; $D9,Journal_ab_2019!$G:$G,"&gt;=" &amp;$C9,Journal_ab_2019!$V:$V,"=20",Journal_ab_2019!C:C,"="&amp;"Ausgaben")</f>
        <v>73.114100000000008</v>
      </c>
    </row>
    <row r="10" spans="1:17" x14ac:dyDescent="0.25">
      <c r="A10">
        <v>2023</v>
      </c>
      <c r="B10">
        <v>9</v>
      </c>
      <c r="C10" s="1">
        <f t="shared" si="1"/>
        <v>45170</v>
      </c>
      <c r="D10" s="1">
        <f t="shared" si="2"/>
        <v>45199</v>
      </c>
      <c r="E10" s="1">
        <f t="shared" si="3"/>
        <v>45245</v>
      </c>
      <c r="F10" s="4">
        <f>SUMIFS(Journal_ab_2019!P:P,Journal_ab_2019!G:G,"&lt;=" &amp; D10,Journal_ab_2019!G:G,"&gt;=" &amp;C10,Journal_ab_2019!C:C,"="&amp;"Einnahmen")</f>
        <v>3031.1259999999997</v>
      </c>
      <c r="G10" s="4">
        <f>SUMIFS(Journal_ab_2019!P:P,Journal_ab_2019!G:G,"&lt;=" &amp; D10,Journal_ab_2019!G:G,"&gt;=" &amp; C10,Journal_ab_2019!C:C,"="&amp;"Ausgaben")</f>
        <v>140.25566666666671</v>
      </c>
      <c r="H10" s="4">
        <f t="shared" si="0"/>
        <v>2890.8703333333328</v>
      </c>
      <c r="I10" s="4">
        <f>SUMIFS(Journal_ab_2019!$Q:$Q,Journal_ab_2019!$G:$G,"&lt;=" &amp; $D10,Journal_ab_2019!$G:$G,"&gt;=" &amp;$C10,Journal_ab_2019!C:C,"="&amp;"Einnahmen")</f>
        <v>15155.63</v>
      </c>
      <c r="J10" s="16">
        <f>SUMIFS(Journal_ab_2019!$Q:$Q,Journal_ab_2019!$G:$G,"&lt;=" &amp; $D10,Journal_ab_2019!$G:$G,"&gt;=" &amp;$C10,Journal_ab_2019!C:C,"="&amp;"Einnahmen")</f>
        <v>15155.63</v>
      </c>
      <c r="K10" s="16">
        <f>SUMIFS(Journal_ab_2019!$Q:$Q,Journal_ab_2019!$G:$G,"&lt;=" &amp; $D10,Journal_ab_2019!$G:$G,"&gt;=" &amp;$C10,Journal_ab_2019!$N:$N,"=20",Journal_ab_2019!$C:$C,"="&amp;"Einnahmen")</f>
        <v>15155.63</v>
      </c>
      <c r="L10" s="16">
        <f>SUMIFS(Journal_ab_2019!$P:$P,Journal_ab_2019!$G:$G,"&lt;=" &amp;$D10,Journal_ab_2019!$G:$G,"&gt;=" &amp;$C10,Journal_ab_2019!$V:$V,"&lt;&gt;ja",Journal_ab_2019!C:C,"="&amp;"Ausgaben")</f>
        <v>140.25566666666671</v>
      </c>
      <c r="M10" s="16">
        <f>SUMIFS(Journal_ab_2019!$X:$X,Journal_ab_2019!$G:$G,"&lt;=" &amp;$D10,Journal_ab_2019!$G:$G,"&gt;=" &amp;$C10,Journal_ab_2019!$V:$V,"&gt;0",Journal_ab_2019!C:C,"="&amp;"Ausgaben")</f>
        <v>14.622820000000001</v>
      </c>
      <c r="N10" s="16">
        <f>SUMIFS(Journal_ab_2019!$Q:$Q,Journal_ab_2019!$G:$G,"&lt;=" &amp;$D10,Journal_ab_2019!$G:$G,"&gt;=" &amp;$C10,Journal_ab_2019!$V:$V,"&gt;0",Journal_ab_2019!C:C,"="&amp;"Ausgaben")</f>
        <v>73.114100000000008</v>
      </c>
      <c r="O10" s="16">
        <f>SUMIFS(Journal_ab_2019!$Q:$Q,Journal_ab_2019!$G:$G,"&lt;=" &amp; $D10,Journal_ab_2019!$G:$G,"&gt;=" &amp;$C10,Journal_ab_2019!$V:$V,"=20",Journal_ab_2019!C:C,"="&amp;"Ausgaben")</f>
        <v>73.114100000000008</v>
      </c>
    </row>
    <row r="11" spans="1:17" x14ac:dyDescent="0.25">
      <c r="A11">
        <v>2023</v>
      </c>
      <c r="B11">
        <v>10</v>
      </c>
      <c r="C11" s="1">
        <f t="shared" si="1"/>
        <v>45200</v>
      </c>
      <c r="D11" s="1">
        <f t="shared" si="2"/>
        <v>45230</v>
      </c>
      <c r="E11" s="1">
        <f t="shared" si="3"/>
        <v>45275</v>
      </c>
      <c r="F11" s="4">
        <f>SUMIFS(Journal_ab_2019!P:P,Journal_ab_2019!G:G,"&lt;=" &amp; D11,Journal_ab_2019!G:G,"&gt;=" &amp;C11,Journal_ab_2019!C:C,"="&amp;"Einnahmen")</f>
        <v>2393.9259999999999</v>
      </c>
      <c r="G11" s="4">
        <f>SUMIFS(Journal_ab_2019!P:P,Journal_ab_2019!G:G,"&lt;=" &amp; D11,Journal_ab_2019!G:G,"&gt;=" &amp; C11,Journal_ab_2019!C:C,"="&amp;"Ausgaben")</f>
        <v>71.664000000000001</v>
      </c>
      <c r="H11" s="4">
        <f>F11-G11</f>
        <v>2322.2619999999997</v>
      </c>
      <c r="I11" s="4">
        <f>SUMIFS(Journal_ab_2019!$Q:$Q,Journal_ab_2019!$G:$G,"&lt;=" &amp; $D11,Journal_ab_2019!$G:$G,"&gt;=" &amp;$C11,Journal_ab_2019!C:C,"="&amp;"Einnahmen")</f>
        <v>11969.63</v>
      </c>
      <c r="J11" s="16">
        <f>SUMIFS(Journal_ab_2019!$Q:$Q,Journal_ab_2019!$G:$G,"&lt;=" &amp; $D11,Journal_ab_2019!$G:$G,"&gt;=" &amp;$C11,Journal_ab_2019!C:C,"="&amp;"Einnahmen")</f>
        <v>11969.63</v>
      </c>
      <c r="K11" s="16">
        <f>SUMIFS(Journal_ab_2019!$Q:$Q,Journal_ab_2019!$G:$G,"&lt;=" &amp; $D11,Journal_ab_2019!$G:$G,"&gt;=" &amp;$C11,Journal_ab_2019!$N:$N,"=20",Journal_ab_2019!$C:$C,"="&amp;"Einnahmen")</f>
        <v>11969.63</v>
      </c>
      <c r="L11" s="16">
        <f>SUMIFS(Journal_ab_2019!$P:$P,Journal_ab_2019!$G:$G,"&lt;=" &amp;$D11,Journal_ab_2019!$G:$G,"&gt;=" &amp;$C11,Journal_ab_2019!$V:$V,"&lt;&gt;ja",Journal_ab_2019!C:C,"="&amp;"Ausgaben")</f>
        <v>71.664000000000001</v>
      </c>
      <c r="M11" s="16">
        <f>SUMIFS(Journal_ab_2019!$X:$X,Journal_ab_2019!$G:$G,"&lt;=" &amp;$D11,Journal_ab_2019!$G:$G,"&gt;=" &amp;$C11,Journal_ab_2019!$V:$V,"&gt;0",Journal_ab_2019!C:C,"="&amp;"Ausgaben")</f>
        <v>21.994820000000001</v>
      </c>
      <c r="N11" s="16">
        <f>SUMIFS(Journal_ab_2019!$Q:$Q,Journal_ab_2019!$G:$G,"&lt;=" &amp;$D11,Journal_ab_2019!$G:$G,"&gt;=" &amp;$C11,Journal_ab_2019!$V:$V,"&gt;0",Journal_ab_2019!C:C,"="&amp;"Ausgaben")</f>
        <v>109.97410000000001</v>
      </c>
      <c r="O11" s="16">
        <f>SUMIFS(Journal_ab_2019!$Q:$Q,Journal_ab_2019!$G:$G,"&lt;=" &amp; $D11,Journal_ab_2019!$G:$G,"&gt;=" &amp;$C11,Journal_ab_2019!$V:$V,"=20",Journal_ab_2019!C:C,"="&amp;"Ausgaben")</f>
        <v>109.97410000000001</v>
      </c>
    </row>
    <row r="12" spans="1:17" x14ac:dyDescent="0.25">
      <c r="A12">
        <v>2023</v>
      </c>
      <c r="B12">
        <v>11</v>
      </c>
      <c r="C12" s="1">
        <f t="shared" si="1"/>
        <v>45231</v>
      </c>
      <c r="D12" s="1">
        <f t="shared" si="2"/>
        <v>45260</v>
      </c>
      <c r="E12" s="1">
        <f t="shared" si="3"/>
        <v>45306</v>
      </c>
      <c r="F12" s="4">
        <f>SUMIFS(Journal_ab_2019!P:P,Journal_ab_2019!G:G,"&lt;=" &amp; D12,Journal_ab_2019!G:G,"&gt;=" &amp;C12,Journal_ab_2019!C:C,"="&amp;"Einnahmen")</f>
        <v>3301.05</v>
      </c>
      <c r="G12" s="4">
        <f>SUMIFS(Journal_ab_2019!P:P,Journal_ab_2019!G:G,"&lt;=" &amp; D12,Journal_ab_2019!G:G,"&gt;=" &amp; C12,Journal_ab_2019!C:C,"="&amp;"Ausgaben")</f>
        <v>384.13900000000001</v>
      </c>
      <c r="H12" s="4">
        <f t="shared" si="0"/>
        <v>2916.9110000000001</v>
      </c>
      <c r="I12" s="4">
        <f>SUMIFS(Journal_ab_2019!$Q:$Q,Journal_ab_2019!$G:$G,"&lt;=" &amp; $D12,Journal_ab_2019!$G:$G,"&gt;=" &amp;$C12,Journal_ab_2019!C:C,"="&amp;"Einnahmen")</f>
        <v>16505.25</v>
      </c>
      <c r="J12" s="16">
        <f>SUMIFS(Journal_ab_2019!$Q:$Q,Journal_ab_2019!$G:$G,"&lt;=" &amp; $D12,Journal_ab_2019!$G:$G,"&gt;=" &amp;$C12,Journal_ab_2019!C:C,"="&amp;"Einnahmen")</f>
        <v>16505.25</v>
      </c>
      <c r="K12" s="16">
        <f>SUMIFS(Journal_ab_2019!$Q:$Q,Journal_ab_2019!$G:$G,"&lt;=" &amp; $D12,Journal_ab_2019!$G:$G,"&gt;=" &amp;$C12,Journal_ab_2019!$N:$N,"=20",Journal_ab_2019!$C:$C,"="&amp;"Einnahmen")</f>
        <v>16505.25</v>
      </c>
      <c r="L12" s="16">
        <f>SUMIFS(Journal_ab_2019!$P:$P,Journal_ab_2019!$G:$G,"&lt;=" &amp;$D12,Journal_ab_2019!$G:$G,"&gt;=" &amp;$C12,Journal_ab_2019!$V:$V,"&lt;&gt;ja",Journal_ab_2019!C:C,"="&amp;"Ausgaben")</f>
        <v>384.13900000000001</v>
      </c>
      <c r="M12" s="16">
        <f>SUMIFS(Journal_ab_2019!$X:$X,Journal_ab_2019!$G:$G,"&lt;=" &amp;$D12,Journal_ab_2019!$G:$G,"&gt;=" &amp;$C12,Journal_ab_2019!$V:$V,"&gt;0",Journal_ab_2019!C:C,"="&amp;"Ausgaben")</f>
        <v>14.622820000000001</v>
      </c>
      <c r="N12" s="16">
        <f>SUMIFS(Journal_ab_2019!$Q:$Q,Journal_ab_2019!$G:$G,"&lt;=" &amp;$D12,Journal_ab_2019!$G:$G,"&gt;=" &amp;$C12,Journal_ab_2019!$V:$V,"&gt;0",Journal_ab_2019!C:C,"="&amp;"Ausgaben")</f>
        <v>73.114100000000008</v>
      </c>
      <c r="O12" s="16">
        <f>SUMIFS(Journal_ab_2019!$Q:$Q,Journal_ab_2019!$G:$G,"&lt;=" &amp; $D12,Journal_ab_2019!$G:$G,"&gt;=" &amp;$C12,Journal_ab_2019!$V:$V,"=20",Journal_ab_2019!C:C,"="&amp;"Ausgaben")</f>
        <v>73.114100000000008</v>
      </c>
    </row>
    <row r="13" spans="1:17" x14ac:dyDescent="0.25">
      <c r="A13">
        <v>2023</v>
      </c>
      <c r="B13">
        <v>12</v>
      </c>
      <c r="C13" s="1">
        <f t="shared" si="1"/>
        <v>45261</v>
      </c>
      <c r="D13" s="1">
        <f t="shared" si="2"/>
        <v>45291</v>
      </c>
      <c r="E13" s="1">
        <f t="shared" si="3"/>
        <v>45337</v>
      </c>
      <c r="F13" s="4">
        <f>SUMIFS(Journal_ab_2019!P:P,Journal_ab_2019!G:G,"&lt;=" &amp; D13,Journal_ab_2019!G:G,"&gt;=" &amp;C13,Journal_ab_2019!C:C,"="&amp;"Einnahmen")</f>
        <v>2243.4759999999997</v>
      </c>
      <c r="G13" s="4">
        <f>SUMIFS(Journal_ab_2019!P:P,Journal_ab_2019!G:G,"&lt;=" &amp; D13,Journal_ab_2019!G:G,"&gt;=" &amp; C13,Journal_ab_2019!C:C,"="&amp;"Ausgaben")</f>
        <v>232.7956666666667</v>
      </c>
      <c r="H13" s="4">
        <f t="shared" si="0"/>
        <v>2010.680333333333</v>
      </c>
      <c r="I13" s="4">
        <f>SUMIFS(Journal_ab_2019!$Q:$Q,Journal_ab_2019!$G:$G,"&lt;=" &amp; $D13,Journal_ab_2019!$G:$G,"&gt;=" &amp;$C13,Journal_ab_2019!C:C,"="&amp;"Einnahmen")</f>
        <v>11217.38</v>
      </c>
      <c r="J13" s="16">
        <f>SUMIFS(Journal_ab_2019!$Q:$Q,Journal_ab_2019!$G:$G,"&lt;=" &amp; $D13,Journal_ab_2019!$G:$G,"&gt;=" &amp;$C13,Journal_ab_2019!C:C,"="&amp;"Einnahmen")</f>
        <v>11217.38</v>
      </c>
      <c r="K13" s="16">
        <f>SUMIFS(Journal_ab_2019!$Q:$Q,Journal_ab_2019!$G:$G,"&lt;=" &amp; $D13,Journal_ab_2019!$G:$G,"&gt;=" &amp;$C13,Journal_ab_2019!$N:$N,"=20",Journal_ab_2019!$C:$C,"="&amp;"Einnahmen")</f>
        <v>11217.38</v>
      </c>
      <c r="L13" s="16">
        <f>SUMIFS(Journal_ab_2019!$P:$P,Journal_ab_2019!$G:$G,"&lt;=" &amp;$D13,Journal_ab_2019!$G:$G,"&gt;=" &amp;$C13,Journal_ab_2019!$V:$V,"&lt;&gt;ja",Journal_ab_2019!C:C,"="&amp;"Ausgaben")</f>
        <v>232.7956666666667</v>
      </c>
      <c r="M13" s="16">
        <f>SUMIFS(Journal_ab_2019!$X:$X,Journal_ab_2019!$G:$G,"&lt;=" &amp;$D13,Journal_ab_2019!$G:$G,"&gt;=" &amp;$C13,Journal_ab_2019!$V:$V,"&gt;0",Journal_ab_2019!C:C,"="&amp;"Ausgaben")</f>
        <v>17.062820000000002</v>
      </c>
      <c r="N13" s="16">
        <f>SUMIFS(Journal_ab_2019!$Q:$Q,Journal_ab_2019!$G:$G,"&lt;=" &amp;$D13,Journal_ab_2019!$G:$G,"&gt;=" &amp;$C13,Journal_ab_2019!$V:$V,"&gt;0",Journal_ab_2019!C:C,"="&amp;"Ausgaben")</f>
        <v>85.314099999999996</v>
      </c>
      <c r="O13" s="16">
        <f>SUMIFS(Journal_ab_2019!$Q:$Q,Journal_ab_2019!$G:$G,"&lt;=" &amp; $D13,Journal_ab_2019!$G:$G,"&gt;=" &amp;$C13,Journal_ab_2019!$V:$V,"=20",Journal_ab_2019!C:C,"="&amp;"Ausgaben")</f>
        <v>85.314099999999996</v>
      </c>
    </row>
    <row r="14" spans="1:17" x14ac:dyDescent="0.25">
      <c r="A14">
        <v>2024</v>
      </c>
      <c r="B14">
        <v>1</v>
      </c>
      <c r="C14" s="1">
        <f t="shared" si="1"/>
        <v>45292</v>
      </c>
      <c r="D14" s="1">
        <f t="shared" si="2"/>
        <v>45322</v>
      </c>
      <c r="E14" s="1">
        <f t="shared" si="3"/>
        <v>45366</v>
      </c>
      <c r="F14" s="4">
        <f>SUMIFS(Journal_ab_2024!$O:$O,Journal_ab_2024!$E:$E,"&lt;=" &amp; $D14,Journal_ab_2024!$E:$E,"&gt;=" &amp;$C14,Journal_ab_2024!$C:$C,"="&amp;"Einnahmen")</f>
        <v>2917.0833333333335</v>
      </c>
      <c r="G14" s="4">
        <f>SUMIFS(Journal_ab_2024!$O:$O,Journal_ab_2024!$E:$E,"&lt;=" &amp; $D14,Journal_ab_2024!$E:$E,"&gt;=" &amp;$C14,Journal_ab_2024!$C:$C,"="&amp;"Ausgaben")</f>
        <v>508.7466597799621</v>
      </c>
      <c r="H14" s="4">
        <f t="shared" ref="H14:H23" si="4">F14-G14</f>
        <v>2408.3366735533714</v>
      </c>
      <c r="I14" s="4">
        <f>SUMIFS(Journal_ab_2024!$Q:$Q,Journal_ab_2024!$E:$E,"&lt;=" &amp; $D14,Journal_ab_2024!$E:$E,"&gt;=" &amp;$C14,Journal_ab_2024!C:C,"="&amp;"Einnahmen",Journal_ab_2024!$D:$D,"Waren-/Leistungserlöse")</f>
        <v>14585.416666666666</v>
      </c>
      <c r="J14" s="16">
        <f>SUMIFS(Journal_ab_2024!$Q:$Q,Journal_ab_2024!$E:$E,"&lt;=" &amp; $D14,Journal_ab_2024!$E:$E,"&gt;=" &amp;$C14,Journal_ab_2024!C:C,"="&amp;"Einnahmen",Journal_ab_2024!D:D,"Waren-/Leistungserlöse")</f>
        <v>14585.416666666666</v>
      </c>
      <c r="K14" s="16">
        <f>SUMIFS(Journal_ab_2024!$Q:$Q,Journal_ab_2024!$E:$E,"&lt;=" &amp; $D14,Journal_ab_2024!$E:$E,"&gt;=" &amp;$C14,Journal_ab_2024!$M:$M,"=20%",Journal_ab_2024!$C:$C,"="&amp;"Einnahmen")</f>
        <v>14585.416666666666</v>
      </c>
      <c r="L14" s="16">
        <f>SUMIFS(Journal_ab_2024!$O:$O,Journal_ab_2024!$E:$E,"&lt;=" &amp;$D14,Journal_ab_2024!$E:$E,"&gt;=" &amp;$C14,Journal_ab_2024!$S:$S,"&lt;&gt;ja",Journal_ab_2024!C:C,"="&amp;"Ausgaben")</f>
        <v>508.7466597799621</v>
      </c>
      <c r="M14" s="16">
        <f>SUMIFS(Journal_ab_2024!$U:$U,Journal_ab_2024!$E:$E,"&lt;=" &amp;$D14,Journal_ab_2024!$E:$E,"&gt;=" &amp;$C14,Journal_ab_2024!$S:$S,"&gt;0",Journal_ab_2024!C:C,"="&amp;"Ausgaben")</f>
        <v>20.858000000000004</v>
      </c>
      <c r="N14" s="16">
        <f>SUMIFS(Journal_ab_2024!$Q:$Q,Journal_ab_2024!$E:$E,"&lt;=" &amp;$D14,Journal_ab_2024!$E:$E,"&gt;=" &amp;$C14,Journal_ab_2024!$S:$S,"&gt;0",Journal_ab_2024!C:C,"="&amp;"Ausgaben")</f>
        <v>100.97333333333333</v>
      </c>
      <c r="O14" s="16">
        <f>SUMIFS(Journal_ab_2024!$Q:$Q,Journal_ab_2024!$E:$E,"&lt;=" &amp; $D14,Journal_ab_2024!$E:$E,"&gt;=" &amp;$C14,Journal_ab_2024!$S:$S,"=20",Journal_ab_2024!C:C,"="&amp;"Ausgaben")</f>
        <v>100.97333333333333</v>
      </c>
      <c r="Q14" s="193" t="s">
        <v>1789</v>
      </c>
    </row>
    <row r="15" spans="1:17" x14ac:dyDescent="0.25">
      <c r="A15">
        <v>2024</v>
      </c>
      <c r="B15">
        <v>2</v>
      </c>
      <c r="C15" s="1">
        <f t="shared" ref="C15:C25" si="5">DATE(A15,B15,1)</f>
        <v>45323</v>
      </c>
      <c r="D15" s="1">
        <f t="shared" ref="D15:D25" si="6">EOMONTH(C15,0)</f>
        <v>45351</v>
      </c>
      <c r="E15" s="1">
        <f t="shared" ref="E15:E25" si="7">DATE(YEAR(EOMONTH(C15,2)),MONTH(EOMONTH(C15,2)),15)</f>
        <v>45397</v>
      </c>
      <c r="F15" s="4">
        <f>SUMIFS(Journal_ab_2024!$O:$O,Journal_ab_2024!$E:$E,"&lt;=" &amp; $D15,Journal_ab_2024!$E:$E,"&gt;=" &amp;$C15,Journal_ab_2024!$C:$C,"="&amp;"Einnahmen")</f>
        <v>2256.75</v>
      </c>
      <c r="G15" s="4">
        <f>SUMIFS(Journal_ab_2024!$O:$O,Journal_ab_2024!$E:$E,"&lt;=" &amp; $D15,Journal_ab_2024!$E:$E,"&gt;=" &amp;$C15,Journal_ab_2024!$C:$C,"="&amp;"Ausgaben")</f>
        <v>10.677739800963623</v>
      </c>
      <c r="H15" s="4">
        <f t="shared" si="4"/>
        <v>2246.0722601990365</v>
      </c>
      <c r="I15" s="4">
        <f>SUMIFS(Journal_ab_2024!$Q:$Q,Journal_ab_2024!$E:$E,"&lt;=" &amp; $D15,Journal_ab_2024!$E:$E,"&gt;=" &amp;$C15,Journal_ab_2024!C:C,"="&amp;"Einnahmen",Journal_ab_2024!$D:$D,"Waren-/Leistungserlöse")</f>
        <v>11283.75</v>
      </c>
      <c r="J15" s="16">
        <f>SUMIFS(Journal_ab_2024!$Q:$Q,Journal_ab_2024!$E:$E,"&lt;=" &amp; $D15,Journal_ab_2024!$E:$E,"&gt;=" &amp;$C15,Journal_ab_2024!C:C,"="&amp;"Einnahmen",Journal_ab_2024!D:D,"Waren-/Leistungserlöse")</f>
        <v>11283.75</v>
      </c>
      <c r="K15" s="16">
        <f>SUMIFS(Journal_ab_2024!$Q:$Q,Journal_ab_2024!$E:$E,"&lt;=" &amp; $D15,Journal_ab_2024!$E:$E,"&gt;=" &amp;$C15,Journal_ab_2024!$M:$M,"=20%",Journal_ab_2024!$C:$C,"="&amp;"Einnahmen")</f>
        <v>11283.75</v>
      </c>
      <c r="L15" s="16">
        <f>SUMIFS(Journal_ab_2024!$O:$O,Journal_ab_2024!$E:$E,"&lt;=" &amp;$D15,Journal_ab_2024!$E:$E,"&gt;=" &amp;$C15,Journal_ab_2024!$S:$S,"&lt;&gt;ja",Journal_ab_2024!C:C,"="&amp;"Ausgaben")</f>
        <v>10.677739800963623</v>
      </c>
      <c r="M15" s="16">
        <f>SUMIFS(Journal_ab_2024!$U:$U,Journal_ab_2024!$E:$E,"&lt;=" &amp;$D15,Journal_ab_2024!$E:$E,"&gt;=" &amp;$C15,Journal_ab_2024!$S:$S,"&gt;0",Journal_ab_2024!C:C,"="&amp;"Ausgaben")</f>
        <v>17.294</v>
      </c>
      <c r="N15" s="16">
        <f>SUMIFS(Journal_ab_2024!$Q:$Q,Journal_ab_2024!$E:$E,"&lt;=" &amp;$D15,Journal_ab_2024!$E:$E,"&gt;=" &amp;$C15,Journal_ab_2024!$S:$S,"&gt;0",Journal_ab_2024!C:C,"="&amp;"Ausgaben")</f>
        <v>86.470000000000013</v>
      </c>
      <c r="O15" s="16">
        <f>SUMIFS(Journal_ab_2024!$Q:$Q,Journal_ab_2024!$E:$E,"&lt;=" &amp; $D15,Journal_ab_2024!$E:$E,"&gt;=" &amp;$C15,Journal_ab_2024!$S:$S,"=20",Journal_ab_2024!C:C,"="&amp;"Ausgaben")</f>
        <v>86.470000000000013</v>
      </c>
      <c r="Q15" s="193" t="s">
        <v>1789</v>
      </c>
    </row>
    <row r="16" spans="1:17" x14ac:dyDescent="0.25">
      <c r="A16">
        <v>2024</v>
      </c>
      <c r="B16">
        <v>3</v>
      </c>
      <c r="C16" s="1">
        <f t="shared" si="5"/>
        <v>45352</v>
      </c>
      <c r="D16" s="1">
        <f t="shared" si="6"/>
        <v>45382</v>
      </c>
      <c r="E16" s="1">
        <f t="shared" si="7"/>
        <v>45427</v>
      </c>
      <c r="F16" s="4">
        <f>SUMIFS(Journal_ab_2024!$O:$O,Journal_ab_2024!$E:$E,"&lt;=" &amp; $D16,Journal_ab_2024!$E:$E,"&gt;=" &amp;$C16,Journal_ab_2024!$C:$C,"="&amp;"Einnahmen")</f>
        <v>3680.2883333333334</v>
      </c>
      <c r="G16" s="4">
        <f>SUMIFS(Journal_ab_2024!$O:$O,Journal_ab_2024!$E:$E,"&lt;=" &amp; $D16,Journal_ab_2024!$E:$E,"&gt;=" &amp;$C16,Journal_ab_2024!$C:$C,"="&amp;"Ausgaben")</f>
        <v>689.33480075322439</v>
      </c>
      <c r="H16" s="4">
        <f t="shared" si="4"/>
        <v>2990.9535325801089</v>
      </c>
      <c r="I16" s="4">
        <f>SUMIFS(Journal_ab_2024!$Q:$Q,Journal_ab_2024!$E:$E,"&lt;=" &amp; $D16,Journal_ab_2024!$E:$E,"&gt;=" &amp;$C16,Journal_ab_2024!C:C,"="&amp;"Einnahmen",Journal_ab_2024!$D:$D,"Waren-/Leistungserlöse")</f>
        <v>18401.441666666666</v>
      </c>
      <c r="J16" s="16">
        <f>SUMIFS(Journal_ab_2024!$Q:$Q,Journal_ab_2024!$E:$E,"&lt;=" &amp; $D16,Journal_ab_2024!$E:$E,"&gt;=" &amp;$C16,Journal_ab_2024!C:C,"="&amp;"Einnahmen",Journal_ab_2024!D:D,"Waren-/Leistungserlöse")</f>
        <v>18401.441666666666</v>
      </c>
      <c r="K16" s="16">
        <f>SUMIFS(Journal_ab_2024!$Q:$Q,Journal_ab_2024!$E:$E,"&lt;=" &amp; $D16,Journal_ab_2024!$E:$E,"&gt;=" &amp;$C16,Journal_ab_2024!$M:$M,"=20%",Journal_ab_2024!$C:$C,"="&amp;"Einnahmen")</f>
        <v>18401.441666666666</v>
      </c>
      <c r="L16" s="16">
        <f>SUMIFS(Journal_ab_2024!$O:$O,Journal_ab_2024!$E:$E,"&lt;=" &amp;$D16,Journal_ab_2024!$E:$E,"&gt;=" &amp;$C16,Journal_ab_2024!$S:$S,"&lt;&gt;ja",Journal_ab_2024!C:C,"="&amp;"Ausgaben")</f>
        <v>689.33480075322439</v>
      </c>
      <c r="M16" s="16">
        <f>SUMIFS(Journal_ab_2024!$U:$U,Journal_ab_2024!$E:$E,"&lt;=" &amp;$D16,Journal_ab_2024!$E:$E,"&gt;=" &amp;$C16,Journal_ab_2024!$S:$S,"&gt;0",Journal_ab_2024!C:C,"="&amp;"Ausgaben")</f>
        <v>4.7720000000000002</v>
      </c>
      <c r="N16" s="16">
        <f>SUMIFS(Journal_ab_2024!$Q:$Q,Journal_ab_2024!$E:$E,"&lt;=" &amp;$D16,Journal_ab_2024!$E:$E,"&gt;=" &amp;$C16,Journal_ab_2024!$S:$S,"&gt;0",Journal_ab_2024!C:C,"="&amp;"Ausgaben")</f>
        <v>23.86</v>
      </c>
      <c r="O16" s="16">
        <f>SUMIFS(Journal_ab_2024!$Q:$Q,Journal_ab_2024!$E:$E,"&lt;=" &amp; $D16,Journal_ab_2024!$E:$E,"&gt;=" &amp;$C16,Journal_ab_2024!$S:$S,"=20",Journal_ab_2024!C:C,"="&amp;"Ausgaben")</f>
        <v>23.86</v>
      </c>
    </row>
    <row r="17" spans="1:16" x14ac:dyDescent="0.25">
      <c r="A17">
        <v>2024</v>
      </c>
      <c r="B17">
        <v>4</v>
      </c>
      <c r="C17" s="1">
        <f t="shared" si="5"/>
        <v>45383</v>
      </c>
      <c r="D17" s="1">
        <f t="shared" si="6"/>
        <v>45412</v>
      </c>
      <c r="E17" s="1">
        <f t="shared" si="7"/>
        <v>45458</v>
      </c>
      <c r="F17" s="4">
        <f>SUMIFS(Journal_ab_2024!$O:$O,Journal_ab_2024!$E:$E,"&lt;=" &amp; $D17,Journal_ab_2024!$E:$E,"&gt;=" &amp;$C17,Journal_ab_2024!$C:$C,"="&amp;"Einnahmen")</f>
        <v>4068.3199999999997</v>
      </c>
      <c r="G17" s="4">
        <f>SUMIFS(Journal_ab_2024!$O:$O,Journal_ab_2024!$E:$E,"&lt;=" &amp; $D17,Journal_ab_2024!$E:$E,"&gt;=" &amp;$C17,Journal_ab_2024!$C:$C,"="&amp;"Ausgaben")</f>
        <v>17.930500000000002</v>
      </c>
      <c r="H17" s="4">
        <f t="shared" si="4"/>
        <v>4050.3894999999998</v>
      </c>
      <c r="I17" s="4">
        <f>SUMIFS(Journal_ab_2024!$Q:$Q,Journal_ab_2024!$E:$E,"&lt;=" &amp; $D17,Journal_ab_2024!$E:$E,"&gt;=" &amp;$C17,Journal_ab_2024!C:C,"="&amp;"Einnahmen",Journal_ab_2024!$D:$D,"Waren-/Leistungserlöse")</f>
        <v>20341.599999999999</v>
      </c>
      <c r="J17" s="16">
        <f>SUMIFS(Journal_ab_2024!$Q:$Q,Journal_ab_2024!$E:$E,"&lt;=" &amp; $D17,Journal_ab_2024!$E:$E,"&gt;=" &amp;$C17,Journal_ab_2024!C:C,"="&amp;"Einnahmen",Journal_ab_2024!D:D,"Waren-/Leistungserlöse")</f>
        <v>20341.599999999999</v>
      </c>
      <c r="K17" s="16">
        <f>SUMIFS(Journal_ab_2024!$Q:$Q,Journal_ab_2024!$E:$E,"&lt;=" &amp; $D17,Journal_ab_2024!$E:$E,"&gt;=" &amp;$C17,Journal_ab_2024!$M:$M,"=20%",Journal_ab_2024!$C:$C,"="&amp;"Einnahmen")</f>
        <v>20341.599999999999</v>
      </c>
      <c r="L17" s="16">
        <f>SUMIFS(Journal_ab_2024!$O:$O,Journal_ab_2024!$E:$E,"&lt;=" &amp;$D17,Journal_ab_2024!$E:$E,"&gt;=" &amp;$C17,Journal_ab_2024!$S:$S,"&lt;&gt;ja",Journal_ab_2024!C:C,"="&amp;"Ausgaben")</f>
        <v>17.930500000000002</v>
      </c>
      <c r="M17" s="16">
        <f>SUMIFS(Journal_ab_2024!$U:$U,Journal_ab_2024!$E:$E,"&lt;=" &amp;$D17,Journal_ab_2024!$E:$E,"&gt;=" &amp;$C17,Journal_ab_2024!$S:$S,"&gt;0",Journal_ab_2024!C:C,"="&amp;"Ausgaben")</f>
        <v>87.808000000000007</v>
      </c>
      <c r="N17" s="16">
        <f>SUMIFS(Journal_ab_2024!$Q:$Q,Journal_ab_2024!$E:$E,"&lt;=" &amp;$D17,Journal_ab_2024!$E:$E,"&gt;=" &amp;$C17,Journal_ab_2024!$S:$S,"&gt;0",Journal_ab_2024!C:C,"="&amp;"Ausgaben")</f>
        <v>439.03999999999996</v>
      </c>
      <c r="O17" s="16">
        <f>SUMIFS(Journal_ab_2024!$Q:$Q,Journal_ab_2024!$E:$E,"&lt;=" &amp; $D17,Journal_ab_2024!$E:$E,"&gt;=" &amp;$C17,Journal_ab_2024!$S:$S,"=20",Journal_ab_2024!C:C,"="&amp;"Ausgaben")</f>
        <v>439.03999999999996</v>
      </c>
    </row>
    <row r="18" spans="1:16" x14ac:dyDescent="0.25">
      <c r="A18">
        <v>2024</v>
      </c>
      <c r="B18">
        <v>5</v>
      </c>
      <c r="C18" s="1">
        <f t="shared" si="5"/>
        <v>45413</v>
      </c>
      <c r="D18" s="1">
        <f t="shared" si="6"/>
        <v>45443</v>
      </c>
      <c r="E18" s="1">
        <f t="shared" si="7"/>
        <v>45488</v>
      </c>
      <c r="F18" s="4">
        <f>SUMIFS(Journal_ab_2024!$O:$O,Journal_ab_2024!$E:$E,"&lt;=" &amp; $D18,Journal_ab_2024!$E:$E,"&gt;=" &amp;$C18,Journal_ab_2024!$C:$C,"="&amp;"Einnahmen")</f>
        <v>2881.6633333333339</v>
      </c>
      <c r="G18" s="4">
        <f>SUMIFS(Journal_ab_2024!$O:$O,Journal_ab_2024!$E:$E,"&lt;=" &amp; $D18,Journal_ab_2024!$E:$E,"&gt;=" &amp;$C18,Journal_ab_2024!$C:$C,"="&amp;"Ausgaben")</f>
        <v>41.423584987347439</v>
      </c>
      <c r="H18" s="4">
        <f t="shared" si="4"/>
        <v>2840.2397483459863</v>
      </c>
      <c r="I18" s="4">
        <f>SUMIFS(Journal_ab_2024!$Q:$Q,Journal_ab_2024!$E:$E,"&lt;=" &amp; $D18,Journal_ab_2024!$E:$E,"&gt;=" &amp;$C18,Journal_ab_2024!C:C,"="&amp;"Einnahmen",Journal_ab_2024!$D:$D,"Waren-/Leistungserlöse")</f>
        <v>14408.316666666668</v>
      </c>
      <c r="J18" s="16">
        <f>SUMIFS(Journal_ab_2024!$Q:$Q,Journal_ab_2024!$E:$E,"&lt;=" &amp; $D18,Journal_ab_2024!$E:$E,"&gt;=" &amp;$C18,Journal_ab_2024!C:C,"="&amp;"Einnahmen",Journal_ab_2024!D:D,"Waren-/Leistungserlöse")</f>
        <v>14408.316666666668</v>
      </c>
      <c r="K18" s="16">
        <f>SUMIFS(Journal_ab_2024!$Q:$Q,Journal_ab_2024!$E:$E,"&lt;=" &amp; $D18,Journal_ab_2024!$E:$E,"&gt;=" &amp;$C18,Journal_ab_2024!$M:$M,"=20%",Journal_ab_2024!$C:$C,"="&amp;"Einnahmen")</f>
        <v>14408.316666666668</v>
      </c>
      <c r="L18" s="16">
        <f>SUMIFS(Journal_ab_2024!$O:$O,Journal_ab_2024!$E:$E,"&lt;=" &amp;$D18,Journal_ab_2024!$E:$E,"&gt;=" &amp;$C18,Journal_ab_2024!$S:$S,"&lt;&gt;ja",Journal_ab_2024!C:C,"="&amp;"Ausgaben")</f>
        <v>41.423584987347439</v>
      </c>
      <c r="M18" s="16">
        <f>SUMIFS(Journal_ab_2024!$U:$U,Journal_ab_2024!$E:$E,"&lt;=" &amp;$D18,Journal_ab_2024!$E:$E,"&gt;=" &amp;$C18,Journal_ab_2024!$S:$S,"&gt;0",Journal_ab_2024!C:C,"="&amp;"Ausgaben")</f>
        <v>30.108000000000001</v>
      </c>
      <c r="N18" s="16">
        <f>SUMIFS(Journal_ab_2024!$Q:$Q,Journal_ab_2024!$E:$E,"&lt;=" &amp;$D18,Journal_ab_2024!$E:$E,"&gt;=" &amp;$C18,Journal_ab_2024!$S:$S,"&gt;0",Journal_ab_2024!C:C,"="&amp;"Ausgaben")</f>
        <v>150.54</v>
      </c>
      <c r="O18" s="16">
        <f>SUMIFS(Journal_ab_2024!$Q:$Q,Journal_ab_2024!$E:$E,"&lt;=" &amp; $D18,Journal_ab_2024!$E:$E,"&gt;=" &amp;$C18,Journal_ab_2024!$S:$S,"=20",Journal_ab_2024!C:C,"="&amp;"Ausgaben")</f>
        <v>150.54</v>
      </c>
    </row>
    <row r="19" spans="1:16" x14ac:dyDescent="0.25">
      <c r="A19">
        <v>2024</v>
      </c>
      <c r="B19">
        <v>6</v>
      </c>
      <c r="C19" s="1">
        <f t="shared" si="5"/>
        <v>45444</v>
      </c>
      <c r="D19" s="1">
        <f t="shared" si="6"/>
        <v>45473</v>
      </c>
      <c r="E19" s="1">
        <f t="shared" si="7"/>
        <v>45519</v>
      </c>
      <c r="F19" s="4">
        <f>SUMIFS(Journal_ab_2024!$O:$O,Journal_ab_2024!$E:$E,"&lt;=" &amp; $D19,Journal_ab_2024!$E:$E,"&gt;=" &amp;$C19,Journal_ab_2024!$C:$C,"="&amp;"Einnahmen")</f>
        <v>3859.2633333333342</v>
      </c>
      <c r="G19" s="4">
        <f>SUMIFS(Journal_ab_2024!$O:$O,Journal_ab_2024!$E:$E,"&lt;=" &amp; $D19,Journal_ab_2024!$E:$E,"&gt;=" &amp;$C19,Journal_ab_2024!$C:$C,"="&amp;"Ausgaben")</f>
        <v>144.2956895003816</v>
      </c>
      <c r="H19" s="4">
        <f t="shared" si="4"/>
        <v>3714.9676438329525</v>
      </c>
      <c r="I19" s="4">
        <f>SUMIFS(Journal_ab_2024!$Q:$Q,Journal_ab_2024!$E:$E,"&lt;=" &amp; $D19,Journal_ab_2024!$E:$E,"&gt;=" &amp;$C19,Journal_ab_2024!C:C,"="&amp;"Einnahmen",Journal_ab_2024!$D:$D,"Waren-/Leistungserlöse")</f>
        <v>19296.316666666669</v>
      </c>
      <c r="J19" s="16">
        <f>SUMIFS(Journal_ab_2024!$Q:$Q,Journal_ab_2024!$E:$E,"&lt;=" &amp; $D19,Journal_ab_2024!$E:$E,"&gt;=" &amp;$C19,Journal_ab_2024!C:C,"="&amp;"Einnahmen",Journal_ab_2024!D:D,"Waren-/Leistungserlöse")</f>
        <v>19296.316666666669</v>
      </c>
      <c r="K19" s="16">
        <f>SUMIFS(Journal_ab_2024!$Q:$Q,Journal_ab_2024!$E:$E,"&lt;=" &amp; $D19,Journal_ab_2024!$E:$E,"&gt;=" &amp;$C19,Journal_ab_2024!$M:$M,"=20%",Journal_ab_2024!$C:$C,"="&amp;"Einnahmen")</f>
        <v>19296.316666666669</v>
      </c>
      <c r="L19" s="16">
        <f>SUMIFS(Journal_ab_2024!$O:$O,Journal_ab_2024!$E:$E,"&lt;=" &amp;$D19,Journal_ab_2024!$E:$E,"&gt;=" &amp;$C19,Journal_ab_2024!$S:$S,"&lt;&gt;ja",Journal_ab_2024!C:C,"="&amp;"Ausgaben")</f>
        <v>144.2956895003816</v>
      </c>
      <c r="M19" s="16">
        <f>SUMIFS(Journal_ab_2024!$U:$U,Journal_ab_2024!$E:$E,"&lt;=" &amp;$D19,Journal_ab_2024!$E:$E,"&gt;=" &amp;$C19,Journal_ab_2024!$S:$S,"&gt;0",Journal_ab_2024!C:C,"="&amp;"Ausgaben")</f>
        <v>22.228000000000002</v>
      </c>
      <c r="N19" s="16">
        <f>SUMIFS(Journal_ab_2024!$Q:$Q,Journal_ab_2024!$E:$E,"&lt;=" &amp;$D19,Journal_ab_2024!$E:$E,"&gt;=" &amp;$C19,Journal_ab_2024!$S:$S,"&gt;0",Journal_ab_2024!C:C,"="&amp;"Ausgaben")</f>
        <v>111.14000000000001</v>
      </c>
      <c r="O19" s="16">
        <f>SUMIFS(Journal_ab_2024!$Q:$Q,Journal_ab_2024!$E:$E,"&lt;=" &amp; $D19,Journal_ab_2024!$E:$E,"&gt;=" &amp;$C19,Journal_ab_2024!$S:$S,"=20",Journal_ab_2024!C:C,"="&amp;"Ausgaben")</f>
        <v>111.14000000000001</v>
      </c>
    </row>
    <row r="20" spans="1:16" x14ac:dyDescent="0.25">
      <c r="A20">
        <v>2024</v>
      </c>
      <c r="B20">
        <v>7</v>
      </c>
      <c r="C20" s="1">
        <f t="shared" si="5"/>
        <v>45474</v>
      </c>
      <c r="D20" s="1">
        <f t="shared" si="6"/>
        <v>45504</v>
      </c>
      <c r="E20" s="1">
        <f t="shared" si="7"/>
        <v>45550</v>
      </c>
      <c r="F20" s="4">
        <f>SUMIFS(Journal_ab_2024!$O:$O,Journal_ab_2024!$E:$E,"&lt;=" &amp; $D20,Journal_ab_2024!$E:$E,"&gt;=" &amp;$C20,Journal_ab_2024!$C:$C,"="&amp;"Einnahmen")</f>
        <v>3696.0066666666671</v>
      </c>
      <c r="G20" s="4">
        <f>SUMIFS(Journal_ab_2024!$O:$O,Journal_ab_2024!$E:$E,"&lt;=" &amp; $D20,Journal_ab_2024!$E:$E,"&gt;=" &amp;$C20,Journal_ab_2024!$C:$C,"="&amp;"Ausgaben")</f>
        <v>16.912266666666667</v>
      </c>
      <c r="H20" s="4">
        <f t="shared" si="4"/>
        <v>3679.0944000000004</v>
      </c>
      <c r="I20" s="4">
        <f>SUMIFS(Journal_ab_2024!$Q:$Q,Journal_ab_2024!$E:$E,"&lt;=" &amp; $D20,Journal_ab_2024!$E:$E,"&gt;=" &amp;$C20,Journal_ab_2024!C:C,"="&amp;"Einnahmen",Journal_ab_2024!$D:$D,"Waren-/Leistungserlöse")</f>
        <v>18480.033333333333</v>
      </c>
      <c r="J20" s="16">
        <f>SUMIFS(Journal_ab_2024!$Q:$Q,Journal_ab_2024!$E:$E,"&lt;=" &amp; $D20,Journal_ab_2024!$E:$E,"&gt;=" &amp;$C20,Journal_ab_2024!C:C,"="&amp;"Einnahmen",Journal_ab_2024!D:D,"Waren-/Leistungserlöse")</f>
        <v>18480.033333333333</v>
      </c>
      <c r="K20" s="16">
        <f>SUMIFS(Journal_ab_2024!$Q:$Q,Journal_ab_2024!$E:$E,"&lt;=" &amp; $D20,Journal_ab_2024!$E:$E,"&gt;=" &amp;$C20,Journal_ab_2024!$M:$M,"=20%",Journal_ab_2024!$C:$C,"="&amp;"Einnahmen")</f>
        <v>18480.033333333333</v>
      </c>
      <c r="L20" s="16">
        <f>SUMIFS(Journal_ab_2024!$O:$O,Journal_ab_2024!$E:$E,"&lt;=" &amp;$D20,Journal_ab_2024!$E:$E,"&gt;=" &amp;$C20,Journal_ab_2024!$S:$S,"&lt;&gt;ja",Journal_ab_2024!C:C,"="&amp;"Ausgaben")</f>
        <v>16.912266666666667</v>
      </c>
      <c r="M20" s="16">
        <f>SUMIFS(Journal_ab_2024!$U:$U,Journal_ab_2024!$E:$E,"&lt;=" &amp;$D20,Journal_ab_2024!$E:$E,"&gt;=" &amp;$C20,Journal_ab_2024!$S:$S,"&gt;0",Journal_ab_2024!C:C,"="&amp;"Ausgaben")</f>
        <v>32.796000000000006</v>
      </c>
      <c r="N20" s="16">
        <f>SUMIFS(Journal_ab_2024!$Q:$Q,Journal_ab_2024!$E:$E,"&lt;=" &amp;$D20,Journal_ab_2024!$E:$E,"&gt;=" &amp;$C20,Journal_ab_2024!$S:$S,"&gt;0",Journal_ab_2024!C:C,"="&amp;"Ausgaben")</f>
        <v>163.98000000000002</v>
      </c>
      <c r="O20" s="16">
        <f>SUMIFS(Journal_ab_2024!$Q:$Q,Journal_ab_2024!$E:$E,"&lt;=" &amp; $D20,Journal_ab_2024!$E:$E,"&gt;=" &amp;$C20,Journal_ab_2024!$S:$S,"=20",Journal_ab_2024!C:C,"="&amp;"Ausgaben")</f>
        <v>163.98000000000002</v>
      </c>
    </row>
    <row r="21" spans="1:16" x14ac:dyDescent="0.25">
      <c r="A21">
        <v>2024</v>
      </c>
      <c r="B21">
        <v>8</v>
      </c>
      <c r="C21" s="1">
        <f t="shared" si="5"/>
        <v>45505</v>
      </c>
      <c r="D21" s="1">
        <f t="shared" si="6"/>
        <v>45535</v>
      </c>
      <c r="E21" s="1">
        <f t="shared" si="7"/>
        <v>45580</v>
      </c>
      <c r="F21" s="4">
        <f>SUMIFS(Journal_ab_2024!$O:$O,Journal_ab_2024!$E:$E,"&lt;=" &amp; $D21,Journal_ab_2024!$E:$E,"&gt;=" &amp;$C21,Journal_ab_2024!$C:$C,"="&amp;"Einnahmen")</f>
        <v>3562.5366666666673</v>
      </c>
      <c r="G21" s="4">
        <f>SUMIFS(Journal_ab_2024!$O:$O,Journal_ab_2024!$E:$E,"&lt;=" &amp; $D21,Journal_ab_2024!$E:$E,"&gt;=" &amp;$C21,Journal_ab_2024!$C:$C,"="&amp;"Ausgaben")</f>
        <v>91.492054614312039</v>
      </c>
      <c r="H21" s="4">
        <f t="shared" si="4"/>
        <v>3471.0446120523552</v>
      </c>
      <c r="I21" s="4">
        <f>SUMIFS(Journal_ab_2024!$Q:$Q,Journal_ab_2024!$E:$E,"&lt;=" &amp; $D21,Journal_ab_2024!$E:$E,"&gt;=" &amp;$C21,Journal_ab_2024!C:C,"="&amp;"Einnahmen",Journal_ab_2024!$D:$D,"Waren-/Leistungserlöse")</f>
        <v>17812.683333333334</v>
      </c>
      <c r="J21" s="16">
        <f>SUMIFS(Journal_ab_2024!$Q:$Q,Journal_ab_2024!$E:$E,"&lt;=" &amp; $D21,Journal_ab_2024!$E:$E,"&gt;=" &amp;$C21,Journal_ab_2024!C:C,"="&amp;"Einnahmen",Journal_ab_2024!D:D,"Waren-/Leistungserlöse")</f>
        <v>17812.683333333334</v>
      </c>
      <c r="K21" s="16">
        <f>SUMIFS(Journal_ab_2024!$Q:$Q,Journal_ab_2024!$E:$E,"&lt;=" &amp; $D21,Journal_ab_2024!$E:$E,"&gt;=" &amp;$C21,Journal_ab_2024!$M:$M,"=20%",Journal_ab_2024!$C:$C,"="&amp;"Einnahmen")</f>
        <v>17812.683333333334</v>
      </c>
      <c r="L21" s="16">
        <f>SUMIFS(Journal_ab_2024!$O:$O,Journal_ab_2024!$E:$E,"&lt;=" &amp;$D21,Journal_ab_2024!$E:$E,"&gt;=" &amp;$C21,Journal_ab_2024!$S:$S,"&lt;&gt;ja",Journal_ab_2024!C:C,"="&amp;"Ausgaben")</f>
        <v>91.492054614312039</v>
      </c>
      <c r="M21" s="16">
        <f>SUMIFS(Journal_ab_2024!$U:$U,Journal_ab_2024!$E:$E,"&lt;=" &amp;$D21,Journal_ab_2024!$E:$E,"&gt;=" &amp;$C21,Journal_ab_2024!$S:$S,"&gt;0",Journal_ab_2024!C:C,"="&amp;"Ausgaben")</f>
        <v>15.936000000000002</v>
      </c>
      <c r="N21" s="16">
        <f>SUMIFS(Journal_ab_2024!$Q:$Q,Journal_ab_2024!$E:$E,"&lt;=" &amp;$D21,Journal_ab_2024!$E:$E,"&gt;=" &amp;$C21,Journal_ab_2024!$S:$S,"&gt;0",Journal_ab_2024!C:C,"="&amp;"Ausgaben")</f>
        <v>79.680000000000007</v>
      </c>
      <c r="O21" s="16">
        <f>SUMIFS(Journal_ab_2024!$Q:$Q,Journal_ab_2024!$E:$E,"&lt;=" &amp; $D21,Journal_ab_2024!$E:$E,"&gt;=" &amp;$C21,Journal_ab_2024!$S:$S,"=20",Journal_ab_2024!C:C,"="&amp;"Ausgaben")</f>
        <v>79.680000000000007</v>
      </c>
    </row>
    <row r="22" spans="1:16" x14ac:dyDescent="0.25">
      <c r="A22">
        <v>2024</v>
      </c>
      <c r="B22">
        <v>9</v>
      </c>
      <c r="C22" s="1">
        <f t="shared" si="5"/>
        <v>45536</v>
      </c>
      <c r="D22" s="1">
        <f t="shared" si="6"/>
        <v>45565</v>
      </c>
      <c r="E22" s="1">
        <f t="shared" si="7"/>
        <v>45611</v>
      </c>
      <c r="F22" s="4">
        <f>SUMIFS(Journal_ab_2024!$O:$O,Journal_ab_2024!$E:$E,"&lt;=" &amp; $D22,Journal_ab_2024!$E:$E,"&gt;=" &amp;$C22,Journal_ab_2024!$C:$C,"="&amp;"Einnahmen")</f>
        <v>1920.9566666666669</v>
      </c>
      <c r="G22" s="4">
        <f>SUMIFS(Journal_ab_2024!$O:$O,Journal_ab_2024!$E:$E,"&lt;=" &amp; $D22,Journal_ab_2024!$E:$E,"&gt;=" &amp;$C22,Journal_ab_2024!$C:$C,"="&amp;"Ausgaben")</f>
        <v>4.9418444077204544</v>
      </c>
      <c r="H22" s="4">
        <f t="shared" si="4"/>
        <v>1916.0148222589464</v>
      </c>
      <c r="I22" s="4">
        <f>SUMIFS(Journal_ab_2024!$Q:$Q,Journal_ab_2024!$E:$E,"&lt;=" &amp; $D22,Journal_ab_2024!$E:$E,"&gt;=" &amp;$C22,Journal_ab_2024!C:C,"="&amp;"Einnahmen",Journal_ab_2024!$D:$D,"Waren-/Leistungserlöse")</f>
        <v>10576.143333333333</v>
      </c>
      <c r="J22" s="16">
        <f>SUMIFS(Journal_ab_2024!$Q:$Q,Journal_ab_2024!$E:$E,"&lt;=" &amp; $D22,Journal_ab_2024!$E:$E,"&gt;=" &amp;$C22,Journal_ab_2024!C:C,"="&amp;"Einnahmen",Journal_ab_2024!D:D,"Waren-/Leistungserlöse")</f>
        <v>10576.143333333333</v>
      </c>
      <c r="K22" s="16">
        <f>SUMIFS(Journal_ab_2024!$Q:$Q,Journal_ab_2024!$E:$E,"&lt;=" &amp; $D22,Journal_ab_2024!$E:$E,"&gt;=" &amp;$C22,Journal_ab_2024!$M:$M,"=20%",Journal_ab_2024!$C:$C,"="&amp;"Einnahmen")</f>
        <v>9604.7833333333328</v>
      </c>
      <c r="L22" s="16">
        <f>SUMIFS(Journal_ab_2024!$O:$O,Journal_ab_2024!$E:$E,"&lt;=" &amp;$D22,Journal_ab_2024!$E:$E,"&gt;=" &amp;$C22,Journal_ab_2024!$S:$S,"&lt;&gt;ja",Journal_ab_2024!C:C,"="&amp;"Ausgaben")</f>
        <v>4.9418444077204544</v>
      </c>
      <c r="M22" s="16">
        <f>SUMIFS(Journal_ab_2024!$U:$U,Journal_ab_2024!$E:$E,"&lt;=" &amp;$D22,Journal_ab_2024!$E:$E,"&gt;=" &amp;$C22,Journal_ab_2024!$S:$S,"&gt;0",Journal_ab_2024!C:C,"="&amp;"Ausgaben")</f>
        <v>20.238720000000001</v>
      </c>
      <c r="N22" s="16">
        <f>SUMIFS(Journal_ab_2024!$Q:$Q,Journal_ab_2024!$E:$E,"&lt;=" &amp;$D22,Journal_ab_2024!$E:$E,"&gt;=" &amp;$C22,Journal_ab_2024!$S:$S,"&gt;0",Journal_ab_2024!C:C,"="&amp;"Ausgaben")</f>
        <v>101.1936</v>
      </c>
      <c r="O22" s="16">
        <f>SUMIFS(Journal_ab_2024!$Q:$Q,Journal_ab_2024!$E:$E,"&lt;=" &amp; $D22,Journal_ab_2024!$E:$E,"&gt;=" &amp;$C22,Journal_ab_2024!$S:$S,"=20",Journal_ab_2024!C:C,"="&amp;"Ausgaben")</f>
        <v>101.1936</v>
      </c>
      <c r="P22" s="48"/>
    </row>
    <row r="23" spans="1:16" x14ac:dyDescent="0.25">
      <c r="A23">
        <v>2024</v>
      </c>
      <c r="B23">
        <v>10</v>
      </c>
      <c r="C23" s="1">
        <f t="shared" si="5"/>
        <v>45566</v>
      </c>
      <c r="D23" s="1">
        <f t="shared" si="6"/>
        <v>45596</v>
      </c>
      <c r="E23" s="1">
        <f t="shared" si="7"/>
        <v>45641</v>
      </c>
      <c r="F23" s="4">
        <f>SUMIFS(Journal_ab_2024!$O:$O,Journal_ab_2024!$E:$E,"&lt;=" &amp; $D23,Journal_ab_2024!$E:$E,"&gt;=" &amp;$C23,Journal_ab_2024!$C:$C,"="&amp;"Einnahmen")</f>
        <v>1740.8783333333333</v>
      </c>
      <c r="G23" s="4">
        <f>SUMIFS(Journal_ab_2024!$O:$O,Journal_ab_2024!$E:$E,"&lt;=" &amp; $D23,Journal_ab_2024!$E:$E,"&gt;=" &amp;$C23,Journal_ab_2024!$C:$C,"="&amp;"Ausgaben")</f>
        <v>94.782266666666686</v>
      </c>
      <c r="H23" s="4">
        <f t="shared" si="4"/>
        <v>1646.0960666666667</v>
      </c>
      <c r="I23" s="4">
        <f>SUMIFS(Journal_ab_2024!$Q:$Q,Journal_ab_2024!$E:$E,"&lt;=" &amp; $D23,Journal_ab_2024!$E:$E,"&gt;=" &amp;$C23,Journal_ab_2024!C:C,"="&amp;"Einnahmen",Journal_ab_2024!$D:$D,"Waren-/Leistungserlöse")</f>
        <v>8704.3916666666664</v>
      </c>
      <c r="J23" s="16">
        <f>SUMIFS(Journal_ab_2024!$Q:$Q,Journal_ab_2024!$E:$E,"&lt;=" &amp; $D23,Journal_ab_2024!$E:$E,"&gt;=" &amp;$C23,Journal_ab_2024!C:C,"="&amp;"Einnahmen",Journal_ab_2024!D:D,"Waren-/Leistungserlöse")</f>
        <v>8704.3916666666664</v>
      </c>
      <c r="K23" s="16">
        <f>SUMIFS(Journal_ab_2024!$Q:$Q,Journal_ab_2024!$E:$E,"&lt;=" &amp; $D23,Journal_ab_2024!$E:$E,"&gt;=" &amp;$C23,Journal_ab_2024!$M:$M,"=20%",Journal_ab_2024!$C:$C,"="&amp;"Einnahmen")</f>
        <v>8704.3916666666664</v>
      </c>
      <c r="L23" s="16">
        <f>SUMIFS(Journal_ab_2024!$O:$O,Journal_ab_2024!$E:$E,"&lt;=" &amp;$D23,Journal_ab_2024!$E:$E,"&gt;=" &amp;$C23,Journal_ab_2024!$S:$S,"&lt;&gt;ja",Journal_ab_2024!C:C,"="&amp;"Ausgaben")</f>
        <v>94.782266666666686</v>
      </c>
      <c r="M23" s="16">
        <f>SUMIFS(Journal_ab_2024!$U:$U,Journal_ab_2024!$E:$E,"&lt;=" &amp;$D23,Journal_ab_2024!$E:$E,"&gt;=" &amp;$C23,Journal_ab_2024!$S:$S,"&gt;0",Journal_ab_2024!C:C,"="&amp;"Ausgaben")</f>
        <v>89.588000000000008</v>
      </c>
      <c r="N23" s="16">
        <f>SUMIFS(Journal_ab_2024!$Q:$Q,Journal_ab_2024!$E:$E,"&lt;=" &amp;$D23,Journal_ab_2024!$E:$E,"&gt;=" &amp;$C23,Journal_ab_2024!$S:$S,"&gt;0",Journal_ab_2024!C:C,"="&amp;"Ausgaben")</f>
        <v>447.94000000000005</v>
      </c>
      <c r="O23" s="16">
        <f>SUMIFS(Journal_ab_2024!$Q:$Q,Journal_ab_2024!$E:$E,"&lt;=" &amp; $D23,Journal_ab_2024!$E:$E,"&gt;=" &amp;$C23,Journal_ab_2024!$S:$S,"=20",Journal_ab_2024!C:C,"="&amp;"Ausgaben")</f>
        <v>447.94000000000005</v>
      </c>
    </row>
    <row r="24" spans="1:16" x14ac:dyDescent="0.25">
      <c r="A24">
        <v>2024</v>
      </c>
      <c r="B24">
        <v>11</v>
      </c>
      <c r="C24" s="1">
        <f t="shared" si="5"/>
        <v>45597</v>
      </c>
      <c r="D24" s="1">
        <f t="shared" si="6"/>
        <v>45626</v>
      </c>
      <c r="E24" s="1">
        <f t="shared" si="7"/>
        <v>45672</v>
      </c>
      <c r="F24" s="4">
        <f>SUMIFS(Journal_ab_2024!$O:$O,Journal_ab_2024!$E:$E,"&lt;=" &amp; $D24,Journal_ab_2024!$E:$E,"&gt;=" &amp;$C24,Journal_ab_2024!$C:$C,"="&amp;"Einnahmen")</f>
        <v>3881.8233333333333</v>
      </c>
      <c r="G24" s="4">
        <f>SUMIFS(Journal_ab_2024!$O:$O,Journal_ab_2024!$E:$E,"&lt;=" &amp; $D24,Journal_ab_2024!$E:$E,"&gt;=" &amp;$C24,Journal_ab_2024!$C:$C,"="&amp;"Ausgaben")</f>
        <v>13.838251328662501</v>
      </c>
      <c r="H24" s="4">
        <f t="shared" ref="H24" si="8">F24-G24</f>
        <v>3867.9850820046709</v>
      </c>
      <c r="I24" s="4">
        <f>SUMIFS(Journal_ab_2024!$Q:$Q,Journal_ab_2024!$E:$E,"&lt;=" &amp; $D24,Journal_ab_2024!$E:$E,"&gt;=" &amp;$C24,Journal_ab_2024!C:C,"="&amp;"Einnahmen",Journal_ab_2024!$D:$D,"Waren-/Leistungserlöse")</f>
        <v>19409.116666666665</v>
      </c>
      <c r="J24" s="16">
        <f>SUMIFS(Journal_ab_2024!$Q:$Q,Journal_ab_2024!$E:$E,"&lt;=" &amp; $D24,Journal_ab_2024!$E:$E,"&gt;=" &amp;$C24,Journal_ab_2024!C:C,"="&amp;"Einnahmen",Journal_ab_2024!D:D,"Waren-/Leistungserlöse")</f>
        <v>19409.116666666665</v>
      </c>
      <c r="K24" s="16">
        <f>SUMIFS(Journal_ab_2024!$Q:$Q,Journal_ab_2024!$E:$E,"&lt;=" &amp; $D24,Journal_ab_2024!$E:$E,"&gt;=" &amp;$C24,Journal_ab_2024!$M:$M,"=20%",Journal_ab_2024!$C:$C,"="&amp;"Einnahmen")</f>
        <v>19409.116666666665</v>
      </c>
      <c r="L24" s="16">
        <f>SUMIFS(Journal_ab_2024!$O:$O,Journal_ab_2024!$E:$E,"&lt;=" &amp;$D24,Journal_ab_2024!$E:$E,"&gt;=" &amp;$C24,Journal_ab_2024!$S:$S,"&lt;&gt;ja",Journal_ab_2024!C:C,"="&amp;"Ausgaben")</f>
        <v>13.838251328662501</v>
      </c>
      <c r="M24" s="16">
        <f>SUMIFS(Journal_ab_2024!$U:$U,Journal_ab_2024!$E:$E,"&lt;=" &amp;$D24,Journal_ab_2024!$E:$E,"&gt;=" &amp;$C24,Journal_ab_2024!$S:$S,"&gt;0",Journal_ab_2024!C:C,"="&amp;"Ausgaben")</f>
        <v>18.132000000000001</v>
      </c>
      <c r="N24" s="16">
        <f>SUMIFS(Journal_ab_2024!$Q:$Q,Journal_ab_2024!$E:$E,"&lt;=" &amp;$D24,Journal_ab_2024!$E:$E,"&gt;=" &amp;$C24,Journal_ab_2024!$S:$S,"&gt;0",Journal_ab_2024!C:C,"="&amp;"Ausgaben")</f>
        <v>90.66</v>
      </c>
      <c r="O24" s="16">
        <f>SUMIFS(Journal_ab_2024!$Q:$Q,Journal_ab_2024!$E:$E,"&lt;=" &amp; $D24,Journal_ab_2024!$E:$E,"&gt;=" &amp;$C24,Journal_ab_2024!$S:$S,"=20",Journal_ab_2024!C:C,"="&amp;"Ausgaben")</f>
        <v>90.66</v>
      </c>
    </row>
    <row r="25" spans="1:16" x14ac:dyDescent="0.25">
      <c r="A25">
        <v>2024</v>
      </c>
      <c r="B25">
        <v>12</v>
      </c>
      <c r="C25" s="1">
        <f t="shared" si="5"/>
        <v>45627</v>
      </c>
      <c r="D25" s="1">
        <f t="shared" si="6"/>
        <v>45657</v>
      </c>
      <c r="E25" s="1">
        <f t="shared" si="7"/>
        <v>45703</v>
      </c>
      <c r="F25" s="4">
        <f>SUMIFS(Journal_ab_2024!$O:$O,Journal_ab_2024!$E:$E,"&lt;=" &amp; $D25,Journal_ab_2024!$E:$E,"&gt;=" &amp;$C25,Journal_ab_2024!$C:$C,"="&amp;"Einnahmen")</f>
        <v>3997.4233333333341</v>
      </c>
      <c r="G25" s="4">
        <f>SUMIFS(Journal_ab_2024!$O:$O,Journal_ab_2024!$E:$E,"&lt;=" &amp; $D25,Journal_ab_2024!$E:$E,"&gt;=" &amp;$C25,Journal_ab_2024!$C:$C,"="&amp;"Ausgaben")</f>
        <v>372.59380930379348</v>
      </c>
      <c r="H25" s="4">
        <f t="shared" ref="H25" si="9">F25-G25</f>
        <v>3624.8295240295406</v>
      </c>
      <c r="I25" s="4">
        <f>SUMIFS(Journal_ab_2024!$Q:$Q,Journal_ab_2024!$E:$E,"&lt;=" &amp; $D25,Journal_ab_2024!$E:$E,"&gt;=" &amp;$C25,Journal_ab_2024!C:C,"="&amp;"Einnahmen",Journal_ab_2024!$D:$D,"Waren-/Leistungserlöse")</f>
        <v>19987.116666666669</v>
      </c>
      <c r="J25" s="16">
        <f>SUMIFS(Journal_ab_2024!$Q:$Q,Journal_ab_2024!$E:$E,"&lt;=" &amp; $D25,Journal_ab_2024!$E:$E,"&gt;=" &amp;$C25,Journal_ab_2024!C:C,"="&amp;"Einnahmen",Journal_ab_2024!D:D,"Waren-/Leistungserlöse")</f>
        <v>19987.116666666669</v>
      </c>
      <c r="K25" s="16">
        <f>SUMIFS(Journal_ab_2024!$Q:$Q,Journal_ab_2024!$E:$E,"&lt;=" &amp; $D25,Journal_ab_2024!$E:$E,"&gt;=" &amp;$C25,Journal_ab_2024!$M:$M,"=20%",Journal_ab_2024!$C:$C,"="&amp;"Einnahmen")</f>
        <v>19987.116666666669</v>
      </c>
      <c r="L25" s="16">
        <f>SUMIFS(Journal_ab_2024!$O:$O,Journal_ab_2024!$E:$E,"&lt;=" &amp;$D25,Journal_ab_2024!$E:$E,"&gt;=" &amp;$C25,Journal_ab_2024!$S:$S,"&lt;&gt;ja",Journal_ab_2024!C:C,"="&amp;"Ausgaben")</f>
        <v>372.59380930379348</v>
      </c>
      <c r="M25" s="16">
        <f>SUMIFS(Journal_ab_2024!$U:$U,Journal_ab_2024!$E:$E,"&lt;=" &amp;$D25,Journal_ab_2024!$E:$E,"&gt;=" &amp;$C25,Journal_ab_2024!$S:$S,"&gt;0",Journal_ab_2024!C:C,"="&amp;"Ausgaben")</f>
        <v>18.132000000000001</v>
      </c>
      <c r="N25" s="16">
        <f>SUMIFS(Journal_ab_2024!$Q:$Q,Journal_ab_2024!$E:$E,"&lt;=" &amp;$D25,Journal_ab_2024!$E:$E,"&gt;=" &amp;$C25,Journal_ab_2024!$S:$S,"&gt;0",Journal_ab_2024!C:C,"="&amp;"Ausgaben")</f>
        <v>90.66</v>
      </c>
      <c r="O25" s="16">
        <f>SUMIFS(Journal_ab_2024!$Q:$Q,Journal_ab_2024!$E:$E,"&lt;=" &amp; $D25,Journal_ab_2024!$E:$E,"&gt;=" &amp;$C25,Journal_ab_2024!$S:$S,"=20",Journal_ab_2024!C:C,"="&amp;"Ausgaben")</f>
        <v>90.66</v>
      </c>
    </row>
    <row r="26" spans="1:16" x14ac:dyDescent="0.25">
      <c r="A26">
        <v>2025</v>
      </c>
      <c r="B26">
        <v>1</v>
      </c>
      <c r="C26" s="1">
        <f t="shared" ref="C26:C27" si="10">DATE(A26,B26,1)</f>
        <v>45658</v>
      </c>
      <c r="D26" s="1">
        <f t="shared" ref="D26:D27" si="11">EOMONTH(C26,0)</f>
        <v>45688</v>
      </c>
      <c r="E26" s="1">
        <f t="shared" ref="E26:E27" si="12">DATE(YEAR(EOMONTH(C26,2)),MONTH(EOMONTH(C26,2)),15)</f>
        <v>45731</v>
      </c>
      <c r="F26" s="4">
        <f>SUMIFS(Journal_ab_2024!$O:$O,Journal_ab_2024!$E:$E,"&lt;=" &amp; $D26,Journal_ab_2024!$E:$E,"&gt;=" &amp;$C26,Journal_ab_2024!$C:$C,"="&amp;"Einnahmen")</f>
        <v>3896.8633333333341</v>
      </c>
      <c r="G26" s="4">
        <f>SUMIFS(Journal_ab_2024!$O:$O,Journal_ab_2024!$E:$E,"&lt;=" &amp; $D26,Journal_ab_2024!$E:$E,"&gt;=" &amp;$C26,Journal_ab_2024!$C:$C,"="&amp;"Ausgaben")</f>
        <v>13.812417995329167</v>
      </c>
      <c r="H26" s="4">
        <f t="shared" ref="H26" si="13">F26-G26</f>
        <v>3883.0509153380049</v>
      </c>
      <c r="I26" s="4">
        <f>SUMIFS(Journal_ab_2024!$Q:$Q,Journal_ab_2024!$E:$E,"&lt;=" &amp; $D26,Journal_ab_2024!$E:$E,"&gt;=" &amp;$C26,Journal_ab_2024!C:C,"="&amp;"Einnahmen",Journal_ab_2024!$D:$D,"Waren-/Leistungserlöse")</f>
        <v>19484.316666666669</v>
      </c>
      <c r="J26" s="16">
        <f>SUMIFS(Journal_ab_2024!$Q:$Q,Journal_ab_2024!$E:$E,"&lt;=" &amp; $D26,Journal_ab_2024!$E:$E,"&gt;=" &amp;$C26,Journal_ab_2024!C:C,"="&amp;"Einnahmen",Journal_ab_2024!D:D,"Waren-/Leistungserlöse")</f>
        <v>19484.316666666669</v>
      </c>
      <c r="K26" s="16">
        <f>SUMIFS(Journal_ab_2024!$Q:$Q,Journal_ab_2024!$E:$E,"&lt;=" &amp; $D26,Journal_ab_2024!$E:$E,"&gt;=" &amp;$C26,Journal_ab_2024!$M:$M,"=20%",Journal_ab_2024!$C:$C,"="&amp;"Einnahmen")</f>
        <v>19484.316666666669</v>
      </c>
      <c r="L26" s="16">
        <f>SUMIFS(Journal_ab_2024!$O:$O,Journal_ab_2024!$E:$E,"&lt;=" &amp;$D26,Journal_ab_2024!$E:$E,"&gt;=" &amp;$C26,Journal_ab_2024!$S:$S,"&lt;&gt;ja",Journal_ab_2024!C:C,"="&amp;"Ausgaben")</f>
        <v>13.812417995329167</v>
      </c>
      <c r="M26" s="16">
        <f>SUMIFS(Journal_ab_2024!$U:$U,Journal_ab_2024!$E:$E,"&lt;=" &amp;$D26,Journal_ab_2024!$E:$E,"&gt;=" &amp;$C26,Journal_ab_2024!$S:$S,"&gt;0",Journal_ab_2024!C:C,"="&amp;"Ausgaben")</f>
        <v>20.332000000000001</v>
      </c>
      <c r="N26" s="16">
        <f>SUMIFS(Journal_ab_2024!$Q:$Q,Journal_ab_2024!$E:$E,"&lt;=" &amp;$D26,Journal_ab_2024!$E:$E,"&gt;=" &amp;$C26,Journal_ab_2024!$S:$S,"&gt;0",Journal_ab_2024!C:C,"="&amp;"Ausgaben")</f>
        <v>101.66</v>
      </c>
      <c r="O26" s="16">
        <f>SUMIFS(Journal_ab_2024!$Q:$Q,Journal_ab_2024!$E:$E,"&lt;=" &amp; $D26,Journal_ab_2024!$E:$E,"&gt;=" &amp;$C26,Journal_ab_2024!$S:$S,"=20",Journal_ab_2024!C:C,"="&amp;"Ausgaben")</f>
        <v>101.66</v>
      </c>
    </row>
    <row r="27" spans="1:16" x14ac:dyDescent="0.25">
      <c r="A27">
        <v>2025</v>
      </c>
      <c r="B27">
        <v>2</v>
      </c>
      <c r="C27" s="1">
        <f t="shared" si="10"/>
        <v>45689</v>
      </c>
      <c r="D27" s="1">
        <f t="shared" si="11"/>
        <v>45716</v>
      </c>
      <c r="E27" s="1">
        <f t="shared" si="12"/>
        <v>45762</v>
      </c>
      <c r="F27" s="4">
        <f>SUMIFS(Journal_ab_2024!$O:$O,Journal_ab_2024!$E:$E,"&lt;=" &amp; $D27,Journal_ab_2024!$E:$E,"&gt;=" &amp;$C27,Journal_ab_2024!$C:$C,"="&amp;"Einnahmen")</f>
        <v>2256</v>
      </c>
      <c r="G27" s="4">
        <f>SUMIFS(Journal_ab_2024!$O:$O,Journal_ab_2024!$E:$E,"&lt;=" &amp; $D27,Journal_ab_2024!$E:$E,"&gt;=" &amp;$C27,Journal_ab_2024!$C:$C,"="&amp;"Ausgaben")</f>
        <v>14.1181</v>
      </c>
      <c r="H27" s="4">
        <f t="shared" ref="H27" si="14">F27-G27</f>
        <v>2241.8818999999999</v>
      </c>
      <c r="I27" s="4">
        <f>SUMIFS(Journal_ab_2024!$Q:$Q,Journal_ab_2024!$E:$E,"&lt;=" &amp; $D27,Journal_ab_2024!$E:$E,"&gt;=" &amp;$C27,Journal_ab_2024!C:C,"="&amp;"Einnahmen",Journal_ab_2024!$D:$D,"Waren-/Leistungserlöse")</f>
        <v>11280</v>
      </c>
      <c r="J27" s="16">
        <f>SUMIFS(Journal_ab_2024!$Q:$Q,Journal_ab_2024!$E:$E,"&lt;=" &amp; $D27,Journal_ab_2024!$E:$E,"&gt;=" &amp;$C27,Journal_ab_2024!C:C,"="&amp;"Einnahmen",Journal_ab_2024!D:D,"Waren-/Leistungserlöse")</f>
        <v>11280</v>
      </c>
      <c r="K27" s="16">
        <f>SUMIFS(Journal_ab_2024!$Q:$Q,Journal_ab_2024!$E:$E,"&lt;=" &amp; $D27,Journal_ab_2024!$E:$E,"&gt;=" &amp;$C27,Journal_ab_2024!$M:$M,"=20%",Journal_ab_2024!$C:$C,"="&amp;"Einnahmen")</f>
        <v>11280</v>
      </c>
      <c r="L27" s="16">
        <f>SUMIFS(Journal_ab_2024!$O:$O,Journal_ab_2024!$E:$E,"&lt;=" &amp;$D27,Journal_ab_2024!$E:$E,"&gt;=" &amp;$C27,Journal_ab_2024!$S:$S,"&lt;&gt;ja",Journal_ab_2024!C:C,"="&amp;"Ausgaben")</f>
        <v>14.1181</v>
      </c>
      <c r="M27" s="16">
        <f>SUMIFS(Journal_ab_2024!$U:$U,Journal_ab_2024!$E:$E,"&lt;=" &amp;$D27,Journal_ab_2024!$E:$E,"&gt;=" &amp;$C27,Journal_ab_2024!$S:$S,"&gt;0",Journal_ab_2024!C:C,"="&amp;"Ausgaben")</f>
        <v>20.892000000000003</v>
      </c>
      <c r="N27" s="16">
        <f>SUMIFS(Journal_ab_2024!$Q:$Q,Journal_ab_2024!$E:$E,"&lt;=" &amp;$D27,Journal_ab_2024!$E:$E,"&gt;=" &amp;$C27,Journal_ab_2024!$S:$S,"&gt;0",Journal_ab_2024!C:C,"="&amp;"Ausgaben")</f>
        <v>104.46</v>
      </c>
      <c r="O27" s="16">
        <f>SUMIFS(Journal_ab_2024!$Q:$Q,Journal_ab_2024!$E:$E,"&lt;=" &amp; $D27,Journal_ab_2024!$E:$E,"&gt;=" &amp;$C27,Journal_ab_2024!$S:$S,"=20",Journal_ab_2024!C:C,"="&amp;"Ausgaben")</f>
        <v>104.46</v>
      </c>
    </row>
    <row r="28" spans="1:16" x14ac:dyDescent="0.25">
      <c r="A28">
        <v>2025</v>
      </c>
      <c r="B28">
        <v>3</v>
      </c>
      <c r="C28" s="1">
        <f t="shared" ref="C28" si="15">DATE(A28,B28,1)</f>
        <v>45717</v>
      </c>
      <c r="D28" s="1">
        <f t="shared" ref="D28" si="16">EOMONTH(C28,0)</f>
        <v>45747</v>
      </c>
      <c r="E28" s="1">
        <f t="shared" ref="E28" si="17">DATE(YEAR(EOMONTH(C28,2)),MONTH(EOMONTH(C28,2)),15)</f>
        <v>45792</v>
      </c>
      <c r="F28" s="4">
        <f>SUMIFS(Journal_ab_2024!$O:$O,Journal_ab_2024!$E:$E,"&lt;=" &amp; $D28,Journal_ab_2024!$E:$E,"&gt;=" &amp;$C28,Journal_ab_2024!$C:$C,"="&amp;"Einnahmen")</f>
        <v>3298.6233333333339</v>
      </c>
      <c r="G28" s="4">
        <f>SUMIFS(Journal_ab_2024!$O:$O,Journal_ab_2024!$E:$E,"&lt;=" &amp; $D28,Journal_ab_2024!$E:$E,"&gt;=" &amp;$C28,Journal_ab_2024!$C:$C,"="&amp;"Ausgaben")</f>
        <v>13.12405969197753</v>
      </c>
      <c r="H28" s="4">
        <f t="shared" ref="H28" si="18">F28-G28</f>
        <v>3285.4992736413565</v>
      </c>
      <c r="I28" s="4">
        <f>SUMIFS(Journal_ab_2024!$Q:$Q,Journal_ab_2024!$E:$E,"&lt;=" &amp; $D28,Journal_ab_2024!$E:$E,"&gt;=" &amp;$C28,Journal_ab_2024!C:C,"="&amp;"Einnahmen",Journal_ab_2024!$D:$D,"Waren-/Leistungserlöse")</f>
        <v>16493.116666666669</v>
      </c>
      <c r="J28" s="16">
        <f>SUMIFS(Journal_ab_2024!$Q:$Q,Journal_ab_2024!$E:$E,"&lt;=" &amp; $D28,Journal_ab_2024!$E:$E,"&gt;=" &amp;$C28,Journal_ab_2024!C:C,"="&amp;"Einnahmen",Journal_ab_2024!D:D,"Waren-/Leistungserlöse")</f>
        <v>16493.116666666669</v>
      </c>
      <c r="K28" s="16">
        <f>SUMIFS(Journal_ab_2024!$Q:$Q,Journal_ab_2024!$E:$E,"&lt;=" &amp; $D28,Journal_ab_2024!$E:$E,"&gt;=" &amp;$C28,Journal_ab_2024!$M:$M,"=20%",Journal_ab_2024!$C:$C,"="&amp;"Einnahmen")</f>
        <v>16493.116666666669</v>
      </c>
      <c r="L28" s="16">
        <f>SUMIFS(Journal_ab_2024!$O:$O,Journal_ab_2024!$E:$E,"&lt;=" &amp;$D28,Journal_ab_2024!$E:$E,"&gt;=" &amp;$C28,Journal_ab_2024!$S:$S,"&lt;&gt;ja",Journal_ab_2024!C:C,"="&amp;"Ausgaben")</f>
        <v>13.12405969197753</v>
      </c>
      <c r="M28" s="16">
        <f>SUMIFS(Journal_ab_2024!$U:$U,Journal_ab_2024!$E:$E,"&lt;=" &amp;$D28,Journal_ab_2024!$E:$E,"&gt;=" &amp;$C28,Journal_ab_2024!$S:$S,"&gt;0",Journal_ab_2024!C:C,"="&amp;"Ausgaben")</f>
        <v>18.132000000000001</v>
      </c>
      <c r="N28" s="16">
        <f>SUMIFS(Journal_ab_2024!$Q:$Q,Journal_ab_2024!$E:$E,"&lt;=" &amp;$D28,Journal_ab_2024!$E:$E,"&gt;=" &amp;$C28,Journal_ab_2024!$S:$S,"&gt;0",Journal_ab_2024!C:C,"="&amp;"Ausgaben")</f>
        <v>90.66</v>
      </c>
      <c r="O28" s="16">
        <f>SUMIFS(Journal_ab_2024!$Q:$Q,Journal_ab_2024!$E:$E,"&lt;=" &amp; $D28,Journal_ab_2024!$E:$E,"&gt;=" &amp;$C28,Journal_ab_2024!$S:$S,"=20",Journal_ab_2024!C:C,"="&amp;"Ausgaben")</f>
        <v>90.66</v>
      </c>
    </row>
    <row r="29" spans="1:16" x14ac:dyDescent="0.25">
      <c r="A29">
        <v>2025</v>
      </c>
      <c r="B29">
        <v>4</v>
      </c>
      <c r="C29" s="1">
        <f t="shared" ref="C29" si="19">DATE(A29,B29,1)</f>
        <v>45748</v>
      </c>
      <c r="D29" s="1">
        <f t="shared" ref="D29" si="20">EOMONTH(C29,0)</f>
        <v>45777</v>
      </c>
      <c r="E29" s="1">
        <f t="shared" ref="E29" si="21">DATE(YEAR(EOMONTH(C29,2)),MONTH(EOMONTH(C29,2)),15)</f>
        <v>45823</v>
      </c>
      <c r="F29" s="4">
        <f>SUMIFS(Journal_ab_2024!$O:$O,Journal_ab_2024!$E:$E,"&lt;=" &amp; $D29,Journal_ab_2024!$E:$E,"&gt;=" &amp;$C29,Journal_ab_2024!$C:$C,"="&amp;"Einnahmen")</f>
        <v>3317.7283333333335</v>
      </c>
      <c r="G29" s="4">
        <f>SUMIFS(Journal_ab_2024!$O:$O,Journal_ab_2024!$E:$E,"&lt;=" &amp; $D29,Journal_ab_2024!$E:$E,"&gt;=" &amp;$C29,Journal_ab_2024!$C:$C,"="&amp;"Ausgaben")</f>
        <v>91.748899999999992</v>
      </c>
      <c r="H29" s="4">
        <f t="shared" ref="H29" si="22">F29-G29</f>
        <v>3225.9794333333334</v>
      </c>
      <c r="I29" s="4">
        <f>SUMIFS(Journal_ab_2024!$Q:$Q,Journal_ab_2024!$E:$E,"&lt;=" &amp; $D29,Journal_ab_2024!$E:$E,"&gt;=" &amp;$C29,Journal_ab_2024!C:C,"="&amp;"Einnahmen",Journal_ab_2024!$D:$D,"Waren-/Leistungserlöse")</f>
        <v>16588.641666666666</v>
      </c>
      <c r="J29" s="16">
        <f>SUMIFS(Journal_ab_2024!$Q:$Q,Journal_ab_2024!$E:$E,"&lt;=" &amp; $D29,Journal_ab_2024!$E:$E,"&gt;=" &amp;$C29,Journal_ab_2024!C:C,"="&amp;"Einnahmen",Journal_ab_2024!D:D,"Waren-/Leistungserlöse")</f>
        <v>16588.641666666666</v>
      </c>
      <c r="K29" s="16">
        <f>SUMIFS(Journal_ab_2024!$Q:$Q,Journal_ab_2024!$E:$E,"&lt;=" &amp; $D29,Journal_ab_2024!$E:$E,"&gt;=" &amp;$C29,Journal_ab_2024!$M:$M,"=20%",Journal_ab_2024!$C:$C,"="&amp;"Einnahmen")</f>
        <v>16588.641666666666</v>
      </c>
      <c r="L29" s="16">
        <f>SUMIFS(Journal_ab_2024!$O:$O,Journal_ab_2024!$E:$E,"&lt;=" &amp;$D29,Journal_ab_2024!$E:$E,"&gt;=" &amp;$C29,Journal_ab_2024!$S:$S,"&lt;&gt;ja",Journal_ab_2024!C:C,"="&amp;"Ausgaben")</f>
        <v>91.748899999999992</v>
      </c>
      <c r="M29" s="16">
        <f>SUMIFS(Journal_ab_2024!$U:$U,Journal_ab_2024!$E:$E,"&lt;=" &amp;$D29,Journal_ab_2024!$E:$E,"&gt;=" &amp;$C29,Journal_ab_2024!$S:$S,"&gt;0",Journal_ab_2024!C:C,"="&amp;"Ausgaben")</f>
        <v>106.69199999999999</v>
      </c>
      <c r="N29" s="16">
        <f>SUMIFS(Journal_ab_2024!$Q:$Q,Journal_ab_2024!$E:$E,"&lt;=" &amp;$D29,Journal_ab_2024!$E:$E,"&gt;=" &amp;$C29,Journal_ab_2024!$S:$S,"&gt;0",Journal_ab_2024!C:C,"="&amp;"Ausgaben")</f>
        <v>533.46</v>
      </c>
      <c r="O29" s="16">
        <f>SUMIFS(Journal_ab_2024!$Q:$Q,Journal_ab_2024!$E:$E,"&lt;=" &amp; $D29,Journal_ab_2024!$E:$E,"&gt;=" &amp;$C29,Journal_ab_2024!$S:$S,"=20",Journal_ab_2024!C:C,"="&amp;"Ausgaben")</f>
        <v>533.46</v>
      </c>
    </row>
    <row r="30" spans="1:16" x14ac:dyDescent="0.25">
      <c r="A30">
        <v>2025</v>
      </c>
      <c r="B30">
        <v>5</v>
      </c>
      <c r="C30" s="1">
        <f t="shared" ref="C30" si="23">DATE(A30,B30,1)</f>
        <v>45778</v>
      </c>
      <c r="D30" s="1">
        <f t="shared" ref="D30" si="24">EOMONTH(C30,0)</f>
        <v>45808</v>
      </c>
      <c r="E30" s="1">
        <f t="shared" ref="E30" si="25">DATE(YEAR(EOMONTH(C30,2)),MONTH(EOMONTH(C30,2)),15)</f>
        <v>45853</v>
      </c>
      <c r="F30" s="4">
        <f>SUMIFS(Journal_ab_2024!$O:$O,Journal_ab_2024!$E:$E,"&lt;=" &amp; $D30,Journal_ab_2024!$E:$E,"&gt;=" &amp;$C30,Journal_ab_2024!$C:$C,"="&amp;"Einnahmen")</f>
        <v>4269.2883333333339</v>
      </c>
      <c r="G30" s="4">
        <f>SUMIFS(Journal_ab_2024!$O:$O,Journal_ab_2024!$E:$E,"&lt;=" &amp; $D30,Journal_ab_2024!$E:$E,"&gt;=" &amp;$C30,Journal_ab_2024!$C:$C,"="&amp;"Ausgaben")</f>
        <v>60.3615513286625</v>
      </c>
      <c r="H30" s="4">
        <f t="shared" ref="H30" si="26">F30-G30</f>
        <v>4208.9267820046716</v>
      </c>
      <c r="I30" s="4">
        <f>SUMIFS(Journal_ab_2024!$Q:$Q,Journal_ab_2024!$E:$E,"&lt;=" &amp; $D30,Journal_ab_2024!$E:$E,"&gt;=" &amp;$C30,Journal_ab_2024!C:C,"="&amp;"Einnahmen",Journal_ab_2024!$D:$D,"Waren-/Leistungserlöse")</f>
        <v>21346.441666666666</v>
      </c>
      <c r="J30" s="16">
        <f>SUMIFS(Journal_ab_2024!$Q:$Q,Journal_ab_2024!$E:$E,"&lt;=" &amp; $D30,Journal_ab_2024!$E:$E,"&gt;=" &amp;$C30,Journal_ab_2024!C:C,"="&amp;"Einnahmen",Journal_ab_2024!D:D,"Waren-/Leistungserlöse")</f>
        <v>21346.441666666666</v>
      </c>
      <c r="K30" s="16">
        <f>SUMIFS(Journal_ab_2024!$Q:$Q,Journal_ab_2024!$E:$E,"&lt;=" &amp; $D30,Journal_ab_2024!$E:$E,"&gt;=" &amp;$C30,Journal_ab_2024!$M:$M,"=20%",Journal_ab_2024!$C:$C,"="&amp;"Einnahmen")</f>
        <v>21346.441666666666</v>
      </c>
      <c r="L30" s="16">
        <f>SUMIFS(Journal_ab_2024!$O:$O,Journal_ab_2024!$E:$E,"&lt;=" &amp;$D30,Journal_ab_2024!$E:$E,"&gt;=" &amp;$C30,Journal_ab_2024!$S:$S,"&lt;&gt;ja",Journal_ab_2024!C:C,"="&amp;"Ausgaben")</f>
        <v>60.3615513286625</v>
      </c>
      <c r="M30" s="16">
        <f>SUMIFS(Journal_ab_2024!$U:$U,Journal_ab_2024!$E:$E,"&lt;=" &amp;$D30,Journal_ab_2024!$E:$E,"&gt;=" &amp;$C30,Journal_ab_2024!$S:$S,"&gt;0",Journal_ab_2024!C:C,"="&amp;"Ausgaben")</f>
        <v>18.132000000000001</v>
      </c>
      <c r="N30" s="16">
        <f>SUMIFS(Journal_ab_2024!$Q:$Q,Journal_ab_2024!$E:$E,"&lt;=" &amp;$D30,Journal_ab_2024!$E:$E,"&gt;=" &amp;$C30,Journal_ab_2024!$S:$S,"&gt;0",Journal_ab_2024!C:C,"="&amp;"Ausgaben")</f>
        <v>90.66</v>
      </c>
      <c r="O30" s="16">
        <f>SUMIFS(Journal_ab_2024!$Q:$Q,Journal_ab_2024!$E:$E,"&lt;=" &amp; $D30,Journal_ab_2024!$E:$E,"&gt;=" &amp;$C30,Journal_ab_2024!$S:$S,"=20",Journal_ab_2024!C:C,"="&amp;"Ausgaben")</f>
        <v>90.66</v>
      </c>
    </row>
    <row r="31" spans="1:16" x14ac:dyDescent="0.25">
      <c r="A31">
        <v>2025</v>
      </c>
      <c r="B31">
        <v>6</v>
      </c>
      <c r="C31" s="1">
        <f t="shared" ref="C31" si="27">DATE(A31,B31,1)</f>
        <v>45809</v>
      </c>
      <c r="D31" s="1">
        <f t="shared" ref="D31" si="28">EOMONTH(C31,0)</f>
        <v>45838</v>
      </c>
      <c r="E31" s="1">
        <f t="shared" ref="E31" si="29">DATE(YEAR(EOMONTH(C31,2)),MONTH(EOMONTH(C31,2)),15)</f>
        <v>45884</v>
      </c>
      <c r="F31" s="4">
        <f>SUMIFS(Journal_ab_2024!$O:$O,Journal_ab_2024!$E:$E,"&lt;=" &amp; $D31,Journal_ab_2024!$E:$E,"&gt;=" &amp;$C31,Journal_ab_2024!$C:$C,"="&amp;"Einnahmen")</f>
        <v>2940.4233333333341</v>
      </c>
      <c r="G31" s="4">
        <f>SUMIFS(Journal_ab_2024!$O:$O,Journal_ab_2024!$E:$E,"&lt;=" &amp; $D31,Journal_ab_2024!$E:$E,"&gt;=" &amp;$C31,Journal_ab_2024!$C:$C,"="&amp;"Ausgaben")</f>
        <v>17.399059691977531</v>
      </c>
      <c r="H31" s="4">
        <f t="shared" ref="H31" si="30">F31-G31</f>
        <v>2923.0242736413566</v>
      </c>
      <c r="I31" s="4">
        <f>SUMIFS(Journal_ab_2024!$Q:$Q,Journal_ab_2024!$E:$E,"&lt;=" &amp; $D31,Journal_ab_2024!$E:$E,"&gt;=" &amp;$C31,Journal_ab_2024!C:C,"="&amp;"Einnahmen",Journal_ab_2024!$D:$D,"Waren-/Leistungserlöse")</f>
        <v>14702.116666666669</v>
      </c>
      <c r="J31" s="16">
        <f>SUMIFS(Journal_ab_2024!$Q:$Q,Journal_ab_2024!$E:$E,"&lt;=" &amp; $D31,Journal_ab_2024!$E:$E,"&gt;=" &amp;$C31,Journal_ab_2024!C:C,"="&amp;"Einnahmen",Journal_ab_2024!D:D,"Waren-/Leistungserlöse")</f>
        <v>14702.116666666669</v>
      </c>
      <c r="K31" s="16">
        <f>SUMIFS(Journal_ab_2024!$Q:$Q,Journal_ab_2024!$E:$E,"&lt;=" &amp; $D31,Journal_ab_2024!$E:$E,"&gt;=" &amp;$C31,Journal_ab_2024!$M:$M,"=20%",Journal_ab_2024!$C:$C,"="&amp;"Einnahmen")</f>
        <v>14702.116666666669</v>
      </c>
      <c r="L31" s="16">
        <f>SUMIFS(Journal_ab_2024!$O:$O,Journal_ab_2024!$E:$E,"&lt;=" &amp;$D31,Journal_ab_2024!$E:$E,"&gt;=" &amp;$C31,Journal_ab_2024!$S:$S,"&lt;&gt;ja",Journal_ab_2024!C:C,"="&amp;"Ausgaben")</f>
        <v>17.399059691977531</v>
      </c>
      <c r="M31" s="16">
        <f>SUMIFS(Journal_ab_2024!$U:$U,Journal_ab_2024!$E:$E,"&lt;=" &amp;$D31,Journal_ab_2024!$E:$E,"&gt;=" &amp;$C31,Journal_ab_2024!$S:$S,"&gt;0",Journal_ab_2024!C:C,"="&amp;"Ausgaben")</f>
        <v>31.932000000000002</v>
      </c>
      <c r="N31" s="16">
        <f>SUMIFS(Journal_ab_2024!$Q:$Q,Journal_ab_2024!$E:$E,"&lt;=" &amp;$D31,Journal_ab_2024!$E:$E,"&gt;=" &amp;$C31,Journal_ab_2024!$S:$S,"&gt;0",Journal_ab_2024!C:C,"="&amp;"Ausgaben")</f>
        <v>159.65999999999997</v>
      </c>
      <c r="O31" s="16">
        <f>SUMIFS(Journal_ab_2024!$Q:$Q,Journal_ab_2024!$E:$E,"&lt;=" &amp; $D31,Journal_ab_2024!$E:$E,"&gt;=" &amp;$C31,Journal_ab_2024!$S:$S,"=20",Journal_ab_2024!C:C,"="&amp;"Ausgaben")</f>
        <v>159.65999999999997</v>
      </c>
    </row>
    <row r="32" spans="1:16" x14ac:dyDescent="0.25">
      <c r="A32">
        <v>2025</v>
      </c>
      <c r="B32">
        <v>7</v>
      </c>
      <c r="C32" s="1">
        <f t="shared" ref="C32" si="31">DATE(A32,B32,1)</f>
        <v>45839</v>
      </c>
      <c r="D32" s="1">
        <f t="shared" ref="D32" si="32">EOMONTH(C32,0)</f>
        <v>45869</v>
      </c>
      <c r="E32" s="1">
        <f t="shared" ref="E32" si="33">DATE(YEAR(EOMONTH(C32,2)),MONTH(EOMONTH(C32,2)),15)</f>
        <v>45915</v>
      </c>
      <c r="F32" s="4">
        <f>SUMIFS(Journal_ab_2024!$O:$O,Journal_ab_2024!$E:$E,"&lt;=" &amp; $D32,Journal_ab_2024!$E:$E,"&gt;=" &amp;$C32,Journal_ab_2024!$C:$C,"="&amp;"Einnahmen")</f>
        <v>3277.9283333333333</v>
      </c>
      <c r="G32" s="4">
        <f>SUMIFS(Journal_ab_2024!$O:$O,Journal_ab_2024!$E:$E,"&lt;=" &amp; $D32,Journal_ab_2024!$E:$E,"&gt;=" &amp;$C32,Journal_ab_2024!$C:$C,"="&amp;"Ausgaben")</f>
        <v>43.027233333333335</v>
      </c>
      <c r="H32" s="4">
        <f t="shared" ref="H32" si="34">F32-G32</f>
        <v>3234.9011</v>
      </c>
      <c r="I32" s="4">
        <f>SUMIFS(Journal_ab_2024!$Q:$Q,Journal_ab_2024!$E:$E,"&lt;=" &amp; $D32,Journal_ab_2024!$E:$E,"&gt;=" &amp;$C32,Journal_ab_2024!C:C,"="&amp;"Einnahmen",Journal_ab_2024!$D:$D,"Waren-/Leistungserlöse")</f>
        <v>16389.641666666666</v>
      </c>
      <c r="J32" s="16">
        <f>SUMIFS(Journal_ab_2024!$Q:$Q,Journal_ab_2024!$E:$E,"&lt;=" &amp; $D32,Journal_ab_2024!$E:$E,"&gt;=" &amp;$C32,Journal_ab_2024!C:C,"="&amp;"Einnahmen",Journal_ab_2024!D:D,"Waren-/Leistungserlöse")</f>
        <v>16389.641666666666</v>
      </c>
      <c r="K32" s="16">
        <f>SUMIFS(Journal_ab_2024!$Q:$Q,Journal_ab_2024!$E:$E,"&lt;=" &amp; $D32,Journal_ab_2024!$E:$E,"&gt;=" &amp;$C32,Journal_ab_2024!$M:$M,"=20%",Journal_ab_2024!$C:$C,"="&amp;"Einnahmen")</f>
        <v>16389.641666666666</v>
      </c>
      <c r="L32" s="16">
        <f>SUMIFS(Journal_ab_2024!$O:$O,Journal_ab_2024!$E:$E,"&lt;=" &amp;$D32,Journal_ab_2024!$E:$E,"&gt;=" &amp;$C32,Journal_ab_2024!$S:$S,"&lt;&gt;ja",Journal_ab_2024!C:C,"="&amp;"Ausgaben")</f>
        <v>43.027233333333335</v>
      </c>
      <c r="M32" s="16">
        <f>SUMIFS(Journal_ab_2024!$U:$U,Journal_ab_2024!$E:$E,"&lt;=" &amp;$D32,Journal_ab_2024!$E:$E,"&gt;=" &amp;$C32,Journal_ab_2024!$S:$S,"&gt;0",Journal_ab_2024!C:C,"="&amp;"Ausgaben")</f>
        <v>18.132000000000001</v>
      </c>
      <c r="N32" s="16">
        <f>SUMIFS(Journal_ab_2024!$Q:$Q,Journal_ab_2024!$E:$E,"&lt;=" &amp;$D32,Journal_ab_2024!$E:$E,"&gt;=" &amp;$C32,Journal_ab_2024!$S:$S,"&gt;0",Journal_ab_2024!C:C,"="&amp;"Ausgaben")</f>
        <v>90.66</v>
      </c>
      <c r="O32" s="16">
        <f>SUMIFS(Journal_ab_2024!$Q:$Q,Journal_ab_2024!$E:$E,"&lt;=" &amp; $D32,Journal_ab_2024!$E:$E,"&gt;=" &amp;$C32,Journal_ab_2024!$S:$S,"=20",Journal_ab_2024!C:C,"="&amp;"Ausgaben")</f>
        <v>90.66</v>
      </c>
    </row>
    <row r="33" spans="1:15" x14ac:dyDescent="0.25">
      <c r="A33">
        <v>2025</v>
      </c>
      <c r="B33">
        <v>8</v>
      </c>
      <c r="C33" s="1">
        <f t="shared" ref="C33" si="35">DATE(A33,B33,1)</f>
        <v>45870</v>
      </c>
      <c r="D33" s="1">
        <f t="shared" ref="D33" si="36">EOMONTH(C33,0)</f>
        <v>45900</v>
      </c>
      <c r="E33" s="1">
        <f t="shared" ref="E33" si="37">DATE(YEAR(EOMONTH(C33,2)),MONTH(EOMONTH(C33,2)),15)</f>
        <v>45945</v>
      </c>
      <c r="F33" s="4">
        <f>SUMIFS(Journal_ab_2024!$O:$O,Journal_ab_2024!$E:$E,"&lt;=" &amp; $D33,Journal_ab_2024!$E:$E,"&gt;=" &amp;$C33,Journal_ab_2024!$C:$C,"="&amp;"Einnahmen")</f>
        <v>3829.3116666666674</v>
      </c>
      <c r="G33" s="4">
        <f>SUMIFS(Journal_ab_2024!$O:$O,Journal_ab_2024!$E:$E,"&lt;=" &amp; $D33,Journal_ab_2024!$E:$E,"&gt;=" &amp;$C33,Journal_ab_2024!$C:$C,"="&amp;"Ausgaben")</f>
        <v>95.340681631692789</v>
      </c>
      <c r="H33" s="4">
        <f t="shared" ref="H33" si="38">F33-G33</f>
        <v>3733.9709850349745</v>
      </c>
      <c r="I33" s="4">
        <f>SUMIFS(Journal_ab_2024!$Q:$Q,Journal_ab_2024!$E:$E,"&lt;=" &amp; $D33,Journal_ab_2024!$E:$E,"&gt;=" &amp;$C33,Journal_ab_2024!C:C,"="&amp;"Einnahmen",Journal_ab_2024!$D:$D,"Waren-/Leistungserlöse")</f>
        <v>19146.558333333334</v>
      </c>
      <c r="J33" s="16">
        <f>SUMIFS(Journal_ab_2024!$Q:$Q,Journal_ab_2024!$E:$E,"&lt;=" &amp; $D33,Journal_ab_2024!$E:$E,"&gt;=" &amp;$C33,Journal_ab_2024!C:C,"="&amp;"Einnahmen",Journal_ab_2024!D:D,"Waren-/Leistungserlöse")</f>
        <v>19146.558333333334</v>
      </c>
      <c r="K33" s="16">
        <f>SUMIFS(Journal_ab_2024!$Q:$Q,Journal_ab_2024!$E:$E,"&lt;=" &amp; $D33,Journal_ab_2024!$E:$E,"&gt;=" &amp;$C33,Journal_ab_2024!$M:$M,"=20%",Journal_ab_2024!$C:$C,"="&amp;"Einnahmen")</f>
        <v>19146.558333333334</v>
      </c>
      <c r="L33" s="16">
        <f>SUMIFS(Journal_ab_2024!$O:$O,Journal_ab_2024!$E:$E,"&lt;=" &amp;$D33,Journal_ab_2024!$E:$E,"&gt;=" &amp;$C33,Journal_ab_2024!$S:$S,"&lt;&gt;ja",Journal_ab_2024!C:C,"="&amp;"Ausgaben")</f>
        <v>95.340681631692789</v>
      </c>
      <c r="M33" s="16">
        <f>SUMIFS(Journal_ab_2024!$U:$U,Journal_ab_2024!$E:$E,"&lt;=" &amp;$D33,Journal_ab_2024!$E:$E,"&gt;=" &amp;$C33,Journal_ab_2024!$S:$S,"&gt;0",Journal_ab_2024!C:C,"="&amp;"Ausgaben")</f>
        <v>18.486000000000001</v>
      </c>
      <c r="N33" s="16">
        <f>SUMIFS(Journal_ab_2024!$Q:$Q,Journal_ab_2024!$E:$E,"&lt;=" &amp;$D33,Journal_ab_2024!$E:$E,"&gt;=" &amp;$C33,Journal_ab_2024!$S:$S,"&gt;0",Journal_ab_2024!C:C,"="&amp;"Ausgaben")</f>
        <v>92.429999999999993</v>
      </c>
      <c r="O33" s="16">
        <f>SUMIFS(Journal_ab_2024!$Q:$Q,Journal_ab_2024!$E:$E,"&lt;=" &amp; $D33,Journal_ab_2024!$E:$E,"&gt;=" &amp;$C33,Journal_ab_2024!$S:$S,"=20",Journal_ab_2024!C:C,"="&amp;"Ausgaben")</f>
        <v>92.429999999999993</v>
      </c>
    </row>
    <row r="34" spans="1:15" x14ac:dyDescent="0.25">
      <c r="A34">
        <v>2025</v>
      </c>
      <c r="B34">
        <v>9</v>
      </c>
      <c r="C34" s="1">
        <f t="shared" ref="C34" si="39">DATE(A34,B34,1)</f>
        <v>45901</v>
      </c>
      <c r="D34" s="1">
        <f t="shared" ref="D34" si="40">EOMONTH(C34,0)</f>
        <v>45930</v>
      </c>
      <c r="E34" s="1">
        <f t="shared" ref="E34" si="41">DATE(YEAR(EOMONTH(C34,2)),MONTH(EOMONTH(C34,2)),15)</f>
        <v>45976</v>
      </c>
      <c r="F34" s="4">
        <f>SUMIFS(Journal_ab_2024!$O:$O,Journal_ab_2024!$E:$E,"&lt;=" &amp; $D34,Journal_ab_2024!$E:$E,"&gt;=" &amp;$C34,Journal_ab_2024!$C:$C,"="&amp;"Einnahmen")</f>
        <v>1970.8966666666668</v>
      </c>
      <c r="G34" s="4">
        <f>SUMIFS(Journal_ab_2024!$O:$O,Journal_ab_2024!$E:$E,"&lt;=" &amp; $D34,Journal_ab_2024!$E:$E,"&gt;=" &amp;$C34,Journal_ab_2024!$C:$C,"="&amp;"Ausgaben")</f>
        <v>103.7328946807595</v>
      </c>
      <c r="H34" s="4">
        <f t="shared" ref="H34" si="42">F34-G34</f>
        <v>1867.1637719859073</v>
      </c>
      <c r="I34" s="4">
        <f>SUMIFS(Journal_ab_2024!$Q:$Q,Journal_ab_2024!$E:$E,"&lt;=" &amp; $D34,Journal_ab_2024!$E:$E,"&gt;=" &amp;$C34,Journal_ab_2024!C:C,"="&amp;"Einnahmen",Journal_ab_2024!$D:$D,"Waren-/Leistungserlöse")</f>
        <v>9854.4833333333336</v>
      </c>
      <c r="J34" s="16">
        <f>SUMIFS(Journal_ab_2024!$Q:$Q,Journal_ab_2024!$E:$E,"&lt;=" &amp; $D34,Journal_ab_2024!$E:$E,"&gt;=" &amp;$C34,Journal_ab_2024!C:C,"="&amp;"Einnahmen",Journal_ab_2024!D:D,"Waren-/Leistungserlöse")</f>
        <v>9854.4833333333336</v>
      </c>
      <c r="K34" s="16">
        <f>SUMIFS(Journal_ab_2024!$Q:$Q,Journal_ab_2024!$E:$E,"&lt;=" &amp; $D34,Journal_ab_2024!$E:$E,"&gt;=" &amp;$C34,Journal_ab_2024!$M:$M,"=20%",Journal_ab_2024!$C:$C,"="&amp;"Einnahmen")</f>
        <v>9854.4833333333336</v>
      </c>
      <c r="L34" s="16">
        <f>SUMIFS(Journal_ab_2024!$O:$O,Journal_ab_2024!$E:$E,"&lt;=" &amp;$D34,Journal_ab_2024!$E:$E,"&gt;=" &amp;$C34,Journal_ab_2024!$S:$S,"&lt;&gt;ja",Journal_ab_2024!C:C,"="&amp;"Ausgaben")</f>
        <v>103.7328946807595</v>
      </c>
      <c r="M34" s="16">
        <f>SUMIFS(Journal_ab_2024!$U:$U,Journal_ab_2024!$E:$E,"&lt;=" &amp;$D34,Journal_ab_2024!$E:$E,"&gt;=" &amp;$C34,Journal_ab_2024!$S:$S,"&gt;0",Journal_ab_2024!C:C,"="&amp;"Ausgaben")</f>
        <v>20.712</v>
      </c>
      <c r="N34" s="16">
        <f>SUMIFS(Journal_ab_2024!$Q:$Q,Journal_ab_2024!$E:$E,"&lt;=" &amp;$D34,Journal_ab_2024!$E:$E,"&gt;=" &amp;$C34,Journal_ab_2024!$S:$S,"&gt;0",Journal_ab_2024!C:C,"="&amp;"Ausgaben")</f>
        <v>103.56</v>
      </c>
      <c r="O34" s="16">
        <f>SUMIFS(Journal_ab_2024!$Q:$Q,Journal_ab_2024!$E:$E,"&lt;=" &amp; $D34,Journal_ab_2024!$E:$E,"&gt;=" &amp;$C34,Journal_ab_2024!$S:$S,"=20",Journal_ab_2024!C:C,"="&amp;"Ausgaben")</f>
        <v>103.56</v>
      </c>
    </row>
    <row r="35" spans="1:15" x14ac:dyDescent="0.25">
      <c r="A35">
        <v>2025</v>
      </c>
      <c r="B35">
        <v>10</v>
      </c>
      <c r="C35" s="1">
        <f t="shared" ref="C35" si="43">DATE(A35,B35,1)</f>
        <v>45931</v>
      </c>
      <c r="D35" s="1">
        <f t="shared" ref="D35" si="44">EOMONTH(C35,0)</f>
        <v>45961</v>
      </c>
      <c r="E35" s="1">
        <f t="shared" ref="E35" si="45">DATE(YEAR(EOMONTH(C35,2)),MONTH(EOMONTH(C35,2)),15)</f>
        <v>46006</v>
      </c>
      <c r="F35" s="4">
        <f>SUMIFS(Journal_ab_2024!$O:$O,Journal_ab_2024!$E:$E,"&lt;=" &amp; $D35,Journal_ab_2024!$E:$E,"&gt;=" &amp;$C35,Journal_ab_2024!$C:$C,"="&amp;"Einnahmen")</f>
        <v>2060</v>
      </c>
      <c r="G35" s="4">
        <f>SUMIFS(Journal_ab_2024!$O:$O,Journal_ab_2024!$E:$E,"&lt;=" &amp; $D35,Journal_ab_2024!$E:$E,"&gt;=" &amp;$C35,Journal_ab_2024!$C:$C,"="&amp;"Ausgaben")</f>
        <v>1024.0148846619959</v>
      </c>
      <c r="H35" s="4">
        <f t="shared" ref="H35" si="46">F35-G35</f>
        <v>1035.9851153380041</v>
      </c>
      <c r="I35" s="4">
        <f>SUMIFS(Journal_ab_2024!$Q:$Q,Journal_ab_2024!$E:$E,"&lt;=" &amp; $D35,Journal_ab_2024!$E:$E,"&gt;=" &amp;$C35,Journal_ab_2024!C:C,"="&amp;"Einnahmen",Journal_ab_2024!$D:$D,"Waren-/Leistungserlöse")</f>
        <v>10300</v>
      </c>
      <c r="J35" s="16">
        <f>SUMIFS(Journal_ab_2024!$Q:$Q,Journal_ab_2024!$E:$E,"&lt;=" &amp; $D35,Journal_ab_2024!$E:$E,"&gt;=" &amp;$C35,Journal_ab_2024!C:C,"="&amp;"Einnahmen",Journal_ab_2024!D:D,"Waren-/Leistungserlöse")</f>
        <v>10300</v>
      </c>
      <c r="K35" s="16">
        <f>SUMIFS(Journal_ab_2024!$Q:$Q,Journal_ab_2024!$E:$E,"&lt;=" &amp; $D35,Journal_ab_2024!$E:$E,"&gt;=" &amp;$C35,Journal_ab_2024!$M:$M,"=20%",Journal_ab_2024!$C:$C,"="&amp;"Einnahmen")</f>
        <v>10300</v>
      </c>
      <c r="L35" s="16">
        <f>SUMIFS(Journal_ab_2024!$O:$O,Journal_ab_2024!$E:$E,"&lt;=" &amp;$D35,Journal_ab_2024!$E:$E,"&gt;=" &amp;$C35,Journal_ab_2024!$S:$S,"&lt;&gt;ja",Journal_ab_2024!C:C,"="&amp;"Ausgaben")</f>
        <v>1024.0148846619959</v>
      </c>
      <c r="M35" s="16">
        <f>SUMIFS(Journal_ab_2024!$U:$U,Journal_ab_2024!$E:$E,"&lt;=" &amp;$D35,Journal_ab_2024!$E:$E,"&gt;=" &amp;$C35,Journal_ab_2024!$S:$S,"&gt;0",Journal_ab_2024!C:C,"="&amp;"Ausgaben")</f>
        <v>22.668000000000003</v>
      </c>
      <c r="N35" s="16">
        <f>SUMIFS(Journal_ab_2024!$Q:$Q,Journal_ab_2024!$E:$E,"&lt;=" &amp;$D35,Journal_ab_2024!$E:$E,"&gt;=" &amp;$C35,Journal_ab_2024!$S:$S,"&gt;0",Journal_ab_2024!C:C,"="&amp;"Ausgaben")</f>
        <v>113.34</v>
      </c>
      <c r="O35" s="16">
        <f>SUMIFS(Journal_ab_2024!$Q:$Q,Journal_ab_2024!$E:$E,"&lt;=" &amp; $D35,Journal_ab_2024!$E:$E,"&gt;=" &amp;$C35,Journal_ab_2024!$S:$S,"=20",Journal_ab_2024!C:C,"="&amp;"Ausgaben")</f>
        <v>113.34</v>
      </c>
    </row>
    <row r="36" spans="1:15" x14ac:dyDescent="0.25">
      <c r="A36">
        <v>2025</v>
      </c>
      <c r="B36">
        <v>11</v>
      </c>
      <c r="C36" s="1">
        <f t="shared" ref="C36" si="47">DATE(A36,B36,1)</f>
        <v>45962</v>
      </c>
      <c r="D36" s="1">
        <f t="shared" ref="D36" si="48">EOMONTH(C36,0)</f>
        <v>45991</v>
      </c>
      <c r="E36" s="1">
        <f t="shared" ref="E36" si="49">DATE(YEAR(EOMONTH(C36,2)),MONTH(EOMONTH(C36,2)),15)</f>
        <v>46037</v>
      </c>
      <c r="F36" s="4">
        <f>SUMIFS(Journal_ab_2024!$O:$O,Journal_ab_2024!$E:$E,"&lt;=" &amp; $D36,Journal_ab_2024!$E:$E,"&gt;=" &amp;$C36,Journal_ab_2024!$C:$C,"="&amp;"Einnahmen")</f>
        <v>4005.4716666666677</v>
      </c>
      <c r="G36" s="4">
        <f>SUMIFS(Journal_ab_2024!$O:$O,Journal_ab_2024!$E:$E,"&lt;=" &amp; $D36,Journal_ab_2024!$E:$E,"&gt;=" &amp;$C36,Journal_ab_2024!$C:$C,"="&amp;"Ausgaben")</f>
        <v>14.462233333333335</v>
      </c>
      <c r="H36" s="4">
        <f t="shared" ref="H36" si="50">F36-G36</f>
        <v>3991.0094333333345</v>
      </c>
      <c r="I36" s="4">
        <f>SUMIFS(Journal_ab_2024!$Q:$Q,Journal_ab_2024!$E:$E,"&lt;=" &amp; $D36,Journal_ab_2024!$E:$E,"&gt;=" &amp;$C36,Journal_ab_2024!C:C,"="&amp;"Einnahmen",Journal_ab_2024!$D:$D,"Waren-/Leistungserlöse")</f>
        <v>20027.358333333337</v>
      </c>
      <c r="J36" s="16">
        <f>SUMIFS(Journal_ab_2024!$Q:$Q,Journal_ab_2024!$E:$E,"&lt;=" &amp; $D36,Journal_ab_2024!$E:$E,"&gt;=" &amp;$C36,Journal_ab_2024!C:C,"="&amp;"Einnahmen",Journal_ab_2024!D:D,"Waren-/Leistungserlöse")</f>
        <v>20027.358333333337</v>
      </c>
      <c r="K36" s="16">
        <f>SUMIFS(Journal_ab_2024!$Q:$Q,Journal_ab_2024!$E:$E,"&lt;=" &amp; $D36,Journal_ab_2024!$E:$E,"&gt;=" &amp;$C36,Journal_ab_2024!$M:$M,"=20%",Journal_ab_2024!$C:$C,"="&amp;"Einnahmen")</f>
        <v>20027.358333333337</v>
      </c>
      <c r="L36" s="16">
        <f>SUMIFS(Journal_ab_2024!$O:$O,Journal_ab_2024!$E:$E,"&lt;=" &amp;$D36,Journal_ab_2024!$E:$E,"&gt;=" &amp;$C36,Journal_ab_2024!$S:$S,"&lt;&gt;ja",Journal_ab_2024!C:C,"="&amp;"Ausgaben")</f>
        <v>14.462233333333335</v>
      </c>
      <c r="M36" s="16">
        <f>SUMIFS(Journal_ab_2024!$U:$U,Journal_ab_2024!$E:$E,"&lt;=" &amp;$D36,Journal_ab_2024!$E:$E,"&gt;=" &amp;$C36,Journal_ab_2024!$S:$S,"&gt;0",Journal_ab_2024!C:C,"="&amp;"Ausgaben")</f>
        <v>43.212000000000003</v>
      </c>
      <c r="N36" s="16">
        <f>SUMIFS(Journal_ab_2024!$Q:$Q,Journal_ab_2024!$E:$E,"&lt;=" &amp;$D36,Journal_ab_2024!$E:$E,"&gt;=" &amp;$C36,Journal_ab_2024!$S:$S,"&gt;0",Journal_ab_2024!C:C,"="&amp;"Ausgaben")</f>
        <v>216.05999999999997</v>
      </c>
      <c r="O36" s="16">
        <f>SUMIFS(Journal_ab_2024!$Q:$Q,Journal_ab_2024!$E:$E,"&lt;=" &amp; $D36,Journal_ab_2024!$E:$E,"&gt;=" &amp;$C36,Journal_ab_2024!$S:$S,"=20",Journal_ab_2024!C:C,"="&amp;"Ausgaben")</f>
        <v>216.05999999999997</v>
      </c>
    </row>
    <row r="37" spans="1:15" x14ac:dyDescent="0.25">
      <c r="A37">
        <v>2025</v>
      </c>
      <c r="B37">
        <v>12</v>
      </c>
      <c r="C37" s="1">
        <f t="shared" ref="C37:C38" si="51">DATE(A37,B37,1)</f>
        <v>45992</v>
      </c>
      <c r="D37" s="1">
        <f t="shared" ref="D37:D38" si="52">EOMONTH(C37,0)</f>
        <v>46022</v>
      </c>
      <c r="E37" s="1">
        <f t="shared" ref="E37:E38" si="53">DATE(YEAR(EOMONTH(C37,2)),MONTH(EOMONTH(C37,2)),15)</f>
        <v>46068</v>
      </c>
      <c r="F37" s="4">
        <f>SUMIFS(Journal_ab_2024!$O:$O,Journal_ab_2024!$E:$E,"&lt;=" &amp; $D37,Journal_ab_2024!$E:$E,"&gt;=" &amp;$C37,Journal_ab_2024!$C:$C,"="&amp;"Einnahmen")</f>
        <v>3448.26</v>
      </c>
      <c r="G37" s="4">
        <f>SUMIFS(Journal_ab_2024!$O:$O,Journal_ab_2024!$E:$E,"&lt;=" &amp; $D37,Journal_ab_2024!$E:$E,"&gt;=" &amp;$C37,Journal_ab_2024!$C:$C,"="&amp;"Ausgaben")</f>
        <v>11.545566666666666</v>
      </c>
      <c r="H37" s="4">
        <f t="shared" ref="H37" si="54">F37-G37</f>
        <v>3436.7144333333335</v>
      </c>
      <c r="I37" s="4">
        <f>SUMIFS(Journal_ab_2024!$Q:$Q,Journal_ab_2024!$E:$E,"&lt;=" &amp; $D37,Journal_ab_2024!$E:$E,"&gt;=" &amp;$C37,Journal_ab_2024!C:C,"="&amp;"Einnahmen",Journal_ab_2024!$D:$D,"Waren-/Leistungserlöse")</f>
        <v>17241.3</v>
      </c>
      <c r="J37" s="16">
        <f>SUMIFS(Journal_ab_2024!$Q:$Q,Journal_ab_2024!$E:$E,"&lt;=" &amp; $D37,Journal_ab_2024!$E:$E,"&gt;=" &amp;$C37,Journal_ab_2024!C:C,"="&amp;"Einnahmen",Journal_ab_2024!D:D,"Waren-/Leistungserlöse")</f>
        <v>17241.3</v>
      </c>
      <c r="K37" s="16">
        <f>SUMIFS(Journal_ab_2024!$Q:$Q,Journal_ab_2024!$E:$E,"&lt;=" &amp; $D37,Journal_ab_2024!$E:$E,"&gt;=" &amp;$C37,Journal_ab_2024!$M:$M,"=20%",Journal_ab_2024!$C:$C,"="&amp;"Einnahmen")</f>
        <v>17241.3</v>
      </c>
      <c r="L37" s="16">
        <f>SUMIFS(Journal_ab_2024!$O:$O,Journal_ab_2024!$E:$E,"&lt;=" &amp;$D37,Journal_ab_2024!$E:$E,"&gt;=" &amp;$C37,Journal_ab_2024!$S:$S,"&lt;&gt;ja",Journal_ab_2024!C:C,"="&amp;"Ausgaben")</f>
        <v>11.545566666666666</v>
      </c>
      <c r="M37" s="16">
        <f>SUMIFS(Journal_ab_2024!$U:$U,Journal_ab_2024!$E:$E,"&lt;=" &amp;$D37,Journal_ab_2024!$E:$E,"&gt;=" &amp;$C37,Journal_ab_2024!$S:$S,"&gt;0",Journal_ab_2024!C:C,"="&amp;"Ausgaben")</f>
        <v>18.612000000000002</v>
      </c>
      <c r="N37" s="16">
        <f>SUMIFS(Journal_ab_2024!$Q:$Q,Journal_ab_2024!$E:$E,"&lt;=" &amp;$D37,Journal_ab_2024!$E:$E,"&gt;=" &amp;$C37,Journal_ab_2024!$S:$S,"&gt;0",Journal_ab_2024!C:C,"="&amp;"Ausgaben")</f>
        <v>93.06</v>
      </c>
      <c r="O37" s="16">
        <f>SUMIFS(Journal_ab_2024!$Q:$Q,Journal_ab_2024!$E:$E,"&lt;=" &amp; $D37,Journal_ab_2024!$E:$E,"&gt;=" &amp;$C37,Journal_ab_2024!$S:$S,"=20",Journal_ab_2024!C:C,"="&amp;"Ausgaben")</f>
        <v>93.06</v>
      </c>
    </row>
    <row r="38" spans="1:15" x14ac:dyDescent="0.25">
      <c r="A38">
        <v>2026</v>
      </c>
      <c r="B38">
        <v>1</v>
      </c>
      <c r="C38" s="1">
        <f t="shared" si="51"/>
        <v>46023</v>
      </c>
      <c r="D38" s="1">
        <f t="shared" si="52"/>
        <v>46053</v>
      </c>
      <c r="E38" s="1">
        <f t="shared" si="53"/>
        <v>46096</v>
      </c>
      <c r="F38" s="4">
        <f>SUMIFS(Journal_ab_2024!$O:$O,Journal_ab_2024!$E:$E,"&lt;=" &amp; $D38,Journal_ab_2024!$E:$E,"&gt;=" &amp;$C38,Journal_ab_2024!$C:$C,"="&amp;"Einnahmen")</f>
        <v>2755.751666666667</v>
      </c>
      <c r="G38" s="4">
        <f>SUMIFS(Journal_ab_2024!$O:$O,Journal_ab_2024!$E:$E,"&lt;=" &amp; $D38,Journal_ab_2024!$E:$E,"&gt;=" &amp;$C38,Journal_ab_2024!$C:$C,"="&amp;"Ausgaben")</f>
        <v>11.555566666666667</v>
      </c>
      <c r="H38" s="4">
        <f t="shared" ref="H38" si="55">F38-G38</f>
        <v>2744.1961000000001</v>
      </c>
      <c r="I38" s="4">
        <f>SUMIFS(Journal_ab_2024!$Q:$Q,Journal_ab_2024!$E:$E,"&lt;=" &amp; $D38,Journal_ab_2024!$E:$E,"&gt;=" &amp;$C38,Journal_ab_2024!C:C,"="&amp;"Einnahmen",Journal_ab_2024!$D:$D,"Waren-/Leistungserlöse")</f>
        <v>13778.758333333333</v>
      </c>
      <c r="J38" s="16">
        <f>SUMIFS(Journal_ab_2024!$Q:$Q,Journal_ab_2024!$E:$E,"&lt;=" &amp; $D38,Journal_ab_2024!$E:$E,"&gt;=" &amp;$C38,Journal_ab_2024!C:C,"="&amp;"Einnahmen",Journal_ab_2024!D:D,"Waren-/Leistungserlöse")</f>
        <v>13778.758333333333</v>
      </c>
      <c r="K38" s="16">
        <f>SUMIFS(Journal_ab_2024!$Q:$Q,Journal_ab_2024!$E:$E,"&lt;=" &amp; $D38,Journal_ab_2024!$E:$E,"&gt;=" &amp;$C38,Journal_ab_2024!$M:$M,"=20%",Journal_ab_2024!$C:$C,"="&amp;"Einnahmen")</f>
        <v>13778.758333333333</v>
      </c>
      <c r="L38" s="16">
        <f>SUMIFS(Journal_ab_2024!$O:$O,Journal_ab_2024!$E:$E,"&lt;=" &amp;$D38,Journal_ab_2024!$E:$E,"&gt;=" &amp;$C38,Journal_ab_2024!$S:$S,"&lt;&gt;ja",Journal_ab_2024!C:C,"="&amp;"Ausgaben")</f>
        <v>11.555566666666667</v>
      </c>
      <c r="M38" s="16">
        <f>SUMIFS(Journal_ab_2024!$U:$U,Journal_ab_2024!$E:$E,"&lt;=" &amp;$D38,Journal_ab_2024!$E:$E,"&gt;=" &amp;$C38,Journal_ab_2024!$S:$S,"&gt;0",Journal_ab_2024!C:C,"="&amp;"Ausgaben")</f>
        <v>20.812000000000001</v>
      </c>
      <c r="N38" s="16">
        <f>SUMIFS(Journal_ab_2024!$Q:$Q,Journal_ab_2024!$E:$E,"&lt;=" &amp;$D38,Journal_ab_2024!$E:$E,"&gt;=" &amp;$C38,Journal_ab_2024!$S:$S,"&gt;0",Journal_ab_2024!C:C,"="&amp;"Ausgaben")</f>
        <v>104.06</v>
      </c>
      <c r="O38" s="16">
        <f>SUMIFS(Journal_ab_2024!$Q:$Q,Journal_ab_2024!$E:$E,"&lt;=" &amp; $D38,Journal_ab_2024!$E:$E,"&gt;=" &amp;$C38,Journal_ab_2024!$S:$S,"=20",Journal_ab_2024!C:C,"="&amp;"Ausgaben")</f>
        <v>104.06</v>
      </c>
    </row>
    <row r="39" spans="1:15" x14ac:dyDescent="0.25">
      <c r="A39">
        <v>2026</v>
      </c>
      <c r="B39">
        <v>2</v>
      </c>
      <c r="C39" s="1">
        <f t="shared" ref="C39" si="56">DATE(A39,B39,1)</f>
        <v>46054</v>
      </c>
      <c r="D39" s="1">
        <f t="shared" ref="D39" si="57">EOMONTH(C39,0)</f>
        <v>46081</v>
      </c>
      <c r="E39" s="1">
        <f t="shared" ref="E39" si="58">DATE(YEAR(EOMONTH(C39,2)),MONTH(EOMONTH(C39,2)),15)</f>
        <v>46127</v>
      </c>
      <c r="F39" s="4">
        <f>SUMIFS(Journal_ab_2024!$O:$O,Journal_ab_2024!$E:$E,"&lt;=" &amp; $D39,Journal_ab_2024!$E:$E,"&gt;=" &amp;$C39,Journal_ab_2024!$C:$C,"="&amp;"Einnahmen")</f>
        <v>2467.6000000000004</v>
      </c>
      <c r="G39" s="4">
        <f>SUMIFS(Journal_ab_2024!$O:$O,Journal_ab_2024!$E:$E,"&lt;=" &amp; $D39,Journal_ab_2024!$E:$E,"&gt;=" &amp;$C39,Journal_ab_2024!$C:$C,"="&amp;"Ausgaben")</f>
        <v>25.725000000000001</v>
      </c>
      <c r="H39" s="4">
        <f t="shared" ref="H39" si="59">F39-G39</f>
        <v>2441.8750000000005</v>
      </c>
      <c r="I39" s="4">
        <f>SUMIFS(Journal_ab_2024!$Q:$Q,Journal_ab_2024!$E:$E,"&lt;=" &amp; $D39,Journal_ab_2024!$E:$E,"&gt;=" &amp;$C39,Journal_ab_2024!C:C,"="&amp;"Einnahmen",Journal_ab_2024!$D:$D,"Waren-/Leistungserlöse")</f>
        <v>12338</v>
      </c>
      <c r="J39" s="16">
        <f>SUMIFS(Journal_ab_2024!$Q:$Q,Journal_ab_2024!$E:$E,"&lt;=" &amp; $D39,Journal_ab_2024!$E:$E,"&gt;=" &amp;$C39,Journal_ab_2024!C:C,"="&amp;"Einnahmen",Journal_ab_2024!D:D,"Waren-/Leistungserlöse")</f>
        <v>12338</v>
      </c>
      <c r="K39" s="16">
        <f>SUMIFS(Journal_ab_2024!$Q:$Q,Journal_ab_2024!$E:$E,"&lt;=" &amp; $D39,Journal_ab_2024!$E:$E,"&gt;=" &amp;$C39,Journal_ab_2024!$M:$M,"=20%",Journal_ab_2024!$C:$C,"="&amp;"Einnahmen")</f>
        <v>12338</v>
      </c>
      <c r="L39" s="16">
        <f>SUMIFS(Journal_ab_2024!$O:$O,Journal_ab_2024!$E:$E,"&lt;=" &amp;$D39,Journal_ab_2024!$E:$E,"&gt;=" &amp;$C39,Journal_ab_2024!$S:$S,"&lt;&gt;ja",Journal_ab_2024!C:C,"="&amp;"Ausgaben")</f>
        <v>25.725000000000001</v>
      </c>
      <c r="M39" s="16">
        <f>SUMIFS(Journal_ab_2024!$U:$U,Journal_ab_2024!$E:$E,"&lt;=" &amp;$D39,Journal_ab_2024!$E:$E,"&gt;=" &amp;$C39,Journal_ab_2024!$S:$S,"&gt;0",Journal_ab_2024!C:C,"="&amp;"Ausgaben")</f>
        <v>18.612000000000002</v>
      </c>
      <c r="N39" s="16">
        <f>SUMIFS(Journal_ab_2024!$Q:$Q,Journal_ab_2024!$E:$E,"&lt;=" &amp;$D39,Journal_ab_2024!$E:$E,"&gt;=" &amp;$C39,Journal_ab_2024!$S:$S,"&gt;0",Journal_ab_2024!C:C,"="&amp;"Ausgaben")</f>
        <v>93.06</v>
      </c>
      <c r="O39" s="16">
        <f>SUMIFS(Journal_ab_2024!$Q:$Q,Journal_ab_2024!$E:$E,"&lt;=" &amp; $D39,Journal_ab_2024!$E:$E,"&gt;=" &amp;$C39,Journal_ab_2024!$S:$S,"=20",Journal_ab_2024!C:C,"="&amp;"Ausgaben")</f>
        <v>93.06</v>
      </c>
    </row>
    <row r="40" spans="1:15" x14ac:dyDescent="0.25">
      <c r="A40">
        <v>2026</v>
      </c>
      <c r="B40">
        <v>3</v>
      </c>
      <c r="C40" s="1">
        <f t="shared" ref="C40" si="60">DATE(A40,B40,1)</f>
        <v>46082</v>
      </c>
      <c r="D40" s="1">
        <f t="shared" ref="D40" si="61">EOMONTH(C40,0)</f>
        <v>46112</v>
      </c>
      <c r="E40" s="1">
        <f t="shared" ref="E40" si="62">DATE(YEAR(EOMONTH(C40,2)),MONTH(EOMONTH(C40,2)),15)</f>
        <v>46157</v>
      </c>
      <c r="F40" s="4">
        <f>SUMIFS(Journal_ab_2024!$O:$O,Journal_ab_2024!$E:$E,"&lt;=" &amp; $D40,Journal_ab_2024!$E:$E,"&gt;=" &amp;$C40,Journal_ab_2024!$C:$C,"="&amp;"Einnahmen")</f>
        <v>3502.400000000001</v>
      </c>
      <c r="G40" s="4">
        <f>SUMIFS(Journal_ab_2024!$O:$O,Journal_ab_2024!$E:$E,"&lt;=" &amp; $D40,Journal_ab_2024!$E:$E,"&gt;=" &amp;$C40,Journal_ab_2024!$C:$C,"="&amp;"Ausgaben")</f>
        <v>130.04666666666665</v>
      </c>
      <c r="H40" s="4">
        <f t="shared" ref="H40" si="63">F40-G40</f>
        <v>3372.3533333333344</v>
      </c>
      <c r="I40" s="4">
        <f>SUMIFS(Journal_ab_2024!$Q:$Q,Journal_ab_2024!$E:$E,"&lt;=" &amp; $D40,Journal_ab_2024!$E:$E,"&gt;=" &amp;$C40,Journal_ab_2024!C:C,"="&amp;"Einnahmen",Journal_ab_2024!$D:$D,"Waren-/Leistungserlöse")</f>
        <v>17512.000000000004</v>
      </c>
      <c r="J40" s="16">
        <f>SUMIFS(Journal_ab_2024!$Q:$Q,Journal_ab_2024!$E:$E,"&lt;=" &amp; $D40,Journal_ab_2024!$E:$E,"&gt;=" &amp;$C40,Journal_ab_2024!C:C,"="&amp;"Einnahmen",Journal_ab_2024!D:D,"Waren-/Leistungserlöse")</f>
        <v>17512.000000000004</v>
      </c>
      <c r="K40" s="16">
        <f>SUMIFS(Journal_ab_2024!$Q:$Q,Journal_ab_2024!$E:$E,"&lt;=" &amp; $D40,Journal_ab_2024!$E:$E,"&gt;=" &amp;$C40,Journal_ab_2024!$M:$M,"=20%",Journal_ab_2024!$C:$C,"="&amp;"Einnahmen")</f>
        <v>17512.000000000004</v>
      </c>
      <c r="L40" s="16">
        <f>SUMIFS(Journal_ab_2024!$O:$O,Journal_ab_2024!$E:$E,"&lt;=" &amp;$D40,Journal_ab_2024!$E:$E,"&gt;=" &amp;$C40,Journal_ab_2024!$S:$S,"&lt;&gt;ja",Journal_ab_2024!C:C,"="&amp;"Ausgaben")</f>
        <v>130.04666666666665</v>
      </c>
      <c r="M40" s="16">
        <f>SUMIFS(Journal_ab_2024!$U:$U,Journal_ab_2024!$E:$E,"&lt;=" &amp;$D40,Journal_ab_2024!$E:$E,"&gt;=" &amp;$C40,Journal_ab_2024!$S:$S,"&gt;0",Journal_ab_2024!C:C,"="&amp;"Ausgaben")</f>
        <v>18.612000000000002</v>
      </c>
      <c r="N40" s="16">
        <f>SUMIFS(Journal_ab_2024!$Q:$Q,Journal_ab_2024!$E:$E,"&lt;=" &amp;$D40,Journal_ab_2024!$E:$E,"&gt;=" &amp;$C40,Journal_ab_2024!$S:$S,"&gt;0",Journal_ab_2024!C:C,"="&amp;"Ausgaben")</f>
        <v>93.06</v>
      </c>
      <c r="O40" s="16">
        <f>SUMIFS(Journal_ab_2024!$Q:$Q,Journal_ab_2024!$E:$E,"&lt;=" &amp; $D40,Journal_ab_2024!$E:$E,"&gt;=" &amp;$C40,Journal_ab_2024!$S:$S,"=20",Journal_ab_2024!C:C,"="&amp;"Ausgaben")</f>
        <v>93.06</v>
      </c>
    </row>
    <row r="41" spans="1:15" x14ac:dyDescent="0.25">
      <c r="A41">
        <v>2026</v>
      </c>
      <c r="B41">
        <v>4</v>
      </c>
      <c r="C41" s="1">
        <f t="shared" ref="C41" si="64">DATE(A41,B41,1)</f>
        <v>46113</v>
      </c>
      <c r="D41" s="1">
        <f t="shared" ref="D41" si="65">EOMONTH(C41,0)</f>
        <v>46142</v>
      </c>
      <c r="E41" s="1">
        <f t="shared" ref="E41" si="66">DATE(YEAR(EOMONTH(C41,2)),MONTH(EOMONTH(C41,2)),15)</f>
        <v>46188</v>
      </c>
      <c r="F41" s="4">
        <f>SUMIFS(Journal_ab_2024!$O:$O,Journal_ab_2024!$E:$E,"&lt;=" &amp; $D41,Journal_ab_2024!$E:$E,"&gt;=" &amp;$C41,Journal_ab_2024!$C:$C,"="&amp;"Einnahmen")</f>
        <v>3152.1200000000003</v>
      </c>
      <c r="G41" s="4">
        <f>SUMIFS(Journal_ab_2024!$O:$O,Journal_ab_2024!$E:$E,"&lt;=" &amp; $D41,Journal_ab_2024!$E:$E,"&gt;=" &amp;$C41,Journal_ab_2024!$C:$C,"="&amp;"Ausgaben")</f>
        <v>31.226626585873888</v>
      </c>
      <c r="H41" s="4">
        <f t="shared" ref="H41" si="67">F41-G41</f>
        <v>3120.8933734141265</v>
      </c>
      <c r="I41" s="4">
        <f>SUMIFS(Journal_ab_2024!$Q:$Q,Journal_ab_2024!$E:$E,"&lt;=" &amp; $D41,Journal_ab_2024!$E:$E,"&gt;=" &amp;$C41,Journal_ab_2024!C:C,"="&amp;"Einnahmen",Journal_ab_2024!$D:$D,"Waren-/Leistungserlöse")</f>
        <v>15760.62</v>
      </c>
      <c r="J41" s="16">
        <f>SUMIFS(Journal_ab_2024!$Q:$Q,Journal_ab_2024!$E:$E,"&lt;=" &amp; $D41,Journal_ab_2024!$E:$E,"&gt;=" &amp;$C41,Journal_ab_2024!C:C,"="&amp;"Einnahmen",Journal_ab_2024!D:D,"Waren-/Leistungserlöse")</f>
        <v>15760.62</v>
      </c>
      <c r="K41" s="16">
        <f>SUMIFS(Journal_ab_2024!$Q:$Q,Journal_ab_2024!$E:$E,"&lt;=" &amp; $D41,Journal_ab_2024!$E:$E,"&gt;=" &amp;$C41,Journal_ab_2024!$M:$M,"=20%",Journal_ab_2024!$C:$C,"="&amp;"Einnahmen")</f>
        <v>15760.62</v>
      </c>
      <c r="L41" s="16">
        <f>SUMIFS(Journal_ab_2024!$O:$O,Journal_ab_2024!$E:$E,"&lt;=" &amp;$D41,Journal_ab_2024!$E:$E,"&gt;=" &amp;$C41,Journal_ab_2024!$S:$S,"&lt;&gt;ja",Journal_ab_2024!C:C,"="&amp;"Ausgaben")</f>
        <v>31.226626585873888</v>
      </c>
      <c r="M41" s="16">
        <f>SUMIFS(Journal_ab_2024!$U:$U,Journal_ab_2024!$E:$E,"&lt;=" &amp;$D41,Journal_ab_2024!$E:$E,"&gt;=" &amp;$C41,Journal_ab_2024!$S:$S,"&gt;0",Journal_ab_2024!C:C,"="&amp;"Ausgaben")</f>
        <v>16.78</v>
      </c>
      <c r="N41" s="16">
        <f>SUMIFS(Journal_ab_2024!$Q:$Q,Journal_ab_2024!$E:$E,"&lt;=" &amp;$D41,Journal_ab_2024!$E:$E,"&gt;=" &amp;$C41,Journal_ab_2024!$S:$S,"&gt;0",Journal_ab_2024!C:C,"="&amp;"Ausgaben")</f>
        <v>83.9</v>
      </c>
      <c r="O41" s="16">
        <f>SUMIFS(Journal_ab_2024!$Q:$Q,Journal_ab_2024!$E:$E,"&lt;=" &amp; $D41,Journal_ab_2024!$E:$E,"&gt;=" &amp;$C41,Journal_ab_2024!$S:$S,"=20",Journal_ab_2024!C:C,"="&amp;"Ausgaben")</f>
        <v>83.9</v>
      </c>
    </row>
  </sheetData>
  <conditionalFormatting sqref="H1">
    <cfRule type="dataBar" priority="4">
      <dataBar>
        <cfvo type="min"/>
        <cfvo type="max"/>
        <color rgb="FFFF555A"/>
      </dataBar>
      <extLst>
        <ext xmlns:x14="http://schemas.microsoft.com/office/spreadsheetml/2009/9/main" uri="{B025F937-C7B1-47D3-B67F-A62EFF666E3E}">
          <x14:id>{C849DA9A-4FA4-48EA-BFFD-8B8497AD174D}</x14:id>
        </ext>
      </extLst>
    </cfRule>
  </conditionalFormatting>
  <conditionalFormatting sqref="H2:H41">
    <cfRule type="dataBar" priority="3">
      <dataBar>
        <cfvo type="min"/>
        <cfvo type="max"/>
        <color rgb="FFFF555A"/>
      </dataBar>
      <extLst>
        <ext xmlns:x14="http://schemas.microsoft.com/office/spreadsheetml/2009/9/main" uri="{B025F937-C7B1-47D3-B67F-A62EFF666E3E}">
          <x14:id>{1399AA31-1AE9-4582-9D80-B52596310841}</x14:id>
        </ext>
      </extLst>
    </cfRule>
  </conditionalFormatting>
  <conditionalFormatting sqref="A1:O1048576">
    <cfRule type="expression" dxfId="10545" priority="2">
      <formula>CELL("zeile")=ROW()</formula>
    </cfRule>
  </conditionalFormatting>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C849DA9A-4FA4-48EA-BFFD-8B8497AD174D}">
            <x14:dataBar minLength="0" maxLength="100" border="1" negativeBarBorderColorSameAsPositive="0">
              <x14:cfvo type="autoMin"/>
              <x14:cfvo type="autoMax"/>
              <x14:borderColor rgb="FFFF555A"/>
              <x14:negativeFillColor rgb="FFFF0000"/>
              <x14:negativeBorderColor rgb="FFFF0000"/>
              <x14:axisColor rgb="FF000000"/>
            </x14:dataBar>
          </x14:cfRule>
          <xm:sqref>H1</xm:sqref>
        </x14:conditionalFormatting>
        <x14:conditionalFormatting xmlns:xm="http://schemas.microsoft.com/office/excel/2006/main">
          <x14:cfRule type="dataBar" id="{1399AA31-1AE9-4582-9D80-B52596310841}">
            <x14:dataBar minLength="0" maxLength="100" border="1" negativeBarBorderColorSameAsPositive="0">
              <x14:cfvo type="autoMin"/>
              <x14:cfvo type="autoMax"/>
              <x14:borderColor rgb="FFFF555A"/>
              <x14:negativeFillColor rgb="FFFF0000"/>
              <x14:negativeBorderColor rgb="FFFF0000"/>
              <x14:axisColor rgb="FF000000"/>
            </x14:dataBar>
          </x14:cfRule>
          <xm:sqref>H2:H41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8">
    <tabColor theme="1"/>
    <pageSetUpPr fitToPage="1"/>
  </sheetPr>
  <dimension ref="A1:AJ17"/>
  <sheetViews>
    <sheetView workbookViewId="0">
      <pane xSplit="1" ySplit="1" topLeftCell="B2" activePane="bottomRight" state="frozen"/>
      <selection pane="topRight" activeCell="B1" sqref="B1"/>
      <selection pane="bottomLeft" activeCell="A2" sqref="A2"/>
      <selection pane="bottomRight" activeCell="C12" sqref="C12"/>
    </sheetView>
  </sheetViews>
  <sheetFormatPr baseColWidth="10" defaultRowHeight="15" x14ac:dyDescent="0.25"/>
  <cols>
    <col min="1" max="1" width="14.140625" bestFit="1" customWidth="1"/>
    <col min="2" max="3" width="12.7109375" customWidth="1"/>
    <col min="4" max="4" width="21.28515625" customWidth="1"/>
    <col min="5" max="5" width="12" style="48" customWidth="1"/>
    <col min="6" max="6" width="13.85546875" customWidth="1"/>
    <col min="7" max="8" width="14.140625" bestFit="1" customWidth="1"/>
    <col min="9" max="10" width="15.140625" customWidth="1"/>
    <col min="11" max="11" width="26.85546875" hidden="1" customWidth="1"/>
    <col min="15" max="15" width="3.42578125" customWidth="1"/>
    <col min="16" max="16" width="11.85546875" bestFit="1" customWidth="1"/>
    <col min="17" max="21" width="11.85546875" customWidth="1"/>
  </cols>
  <sheetData>
    <row r="1" spans="1:36" x14ac:dyDescent="0.25">
      <c r="A1" s="2" t="s">
        <v>47</v>
      </c>
      <c r="B1" s="2" t="s">
        <v>1768</v>
      </c>
      <c r="C1" s="2" t="s">
        <v>1767</v>
      </c>
      <c r="D1" s="2" t="s">
        <v>1488</v>
      </c>
      <c r="E1" s="2" t="s">
        <v>177</v>
      </c>
      <c r="F1" s="2" t="s">
        <v>1324</v>
      </c>
      <c r="G1" s="2" t="s">
        <v>107</v>
      </c>
      <c r="H1" s="2" t="s">
        <v>106</v>
      </c>
      <c r="I1" s="2" t="s">
        <v>108</v>
      </c>
      <c r="J1" s="2" t="s">
        <v>1206</v>
      </c>
      <c r="K1" s="2" t="s">
        <v>430</v>
      </c>
      <c r="L1" s="2" t="s">
        <v>176</v>
      </c>
      <c r="M1" s="2" t="s">
        <v>606</v>
      </c>
      <c r="N1" s="2" t="s">
        <v>427</v>
      </c>
      <c r="O1" s="2" t="s">
        <v>607</v>
      </c>
      <c r="P1" s="2" t="s">
        <v>608</v>
      </c>
      <c r="Q1" s="2" t="s">
        <v>610</v>
      </c>
      <c r="R1" s="2" t="s">
        <v>609</v>
      </c>
      <c r="S1" s="2" t="s">
        <v>611</v>
      </c>
      <c r="T1" s="2" t="s">
        <v>612</v>
      </c>
      <c r="U1" s="2" t="s">
        <v>618</v>
      </c>
      <c r="V1" s="2" t="s">
        <v>428</v>
      </c>
      <c r="W1" s="2" t="s">
        <v>429</v>
      </c>
      <c r="X1" s="2" t="s">
        <v>434</v>
      </c>
      <c r="Y1" s="2" t="s">
        <v>435</v>
      </c>
      <c r="Z1" s="2" t="s">
        <v>432</v>
      </c>
      <c r="AA1" s="2" t="s">
        <v>433</v>
      </c>
      <c r="AB1" s="2" t="s">
        <v>437</v>
      </c>
      <c r="AC1" s="2" t="s">
        <v>436</v>
      </c>
    </row>
    <row r="2" spans="1:36" x14ac:dyDescent="0.25">
      <c r="A2" s="2">
        <v>2015</v>
      </c>
      <c r="B2" s="48">
        <f>SUMIFS(Rechnung_Ausgang!H:H,Rechnung_Ausgang!$D:$D,"&gt;=01.01."&amp;'Vorschau JA'!$A2,Rechnung_Ausgang!$D:$D,"&lt;=31.12."&amp;'Vorschau JA'!$A2)</f>
        <v>19152.68</v>
      </c>
      <c r="C2" s="48"/>
      <c r="D2" s="48">
        <f>SUMIFS(Ausgaben_bis_2018!Z:Z,Ausgaben_bis_2018!$F:$F,"&gt;=01.01."&amp;'Vorschau JA'!$A2,Ausgaben_bis_2018!$F:$F,"&lt;=31.12."&amp;'Vorschau JA'!$A2)</f>
        <v>6042.4799890053691</v>
      </c>
      <c r="F2" s="48">
        <f t="shared" ref="F2:F8" si="0">D2+E2</f>
        <v>6042.4799890053691</v>
      </c>
      <c r="G2" s="48">
        <f>B2-F2</f>
        <v>13110.200010994631</v>
      </c>
      <c r="H2" s="48">
        <f>IF(G2&lt;=11000,0,
  IF(G2&lt;=25000,((G2-11000)*5110)/14000,
  IF(G2&lt;=60000,((G2-25000)*15125)/35000+5110,
               (G2-60000)*0.5+20235)))</f>
        <v>770.22300401304039</v>
      </c>
      <c r="I2" s="48">
        <f t="shared" ref="I2:I7" si="1">G2-H2</f>
        <v>12339.977006981591</v>
      </c>
      <c r="J2" s="48">
        <f>I2/12</f>
        <v>1028.3314172484659</v>
      </c>
      <c r="K2">
        <f t="shared" ref="K2:K7" si="2">G2/2</f>
        <v>6555.1000054973156</v>
      </c>
      <c r="L2" s="37">
        <f t="shared" ref="L2:L7" si="3">H2/$B2</f>
        <v>4.0214894417545763E-2</v>
      </c>
      <c r="M2">
        <f>SUMIFS(Ausgaben_bis_2018!T:T,Ausgaben_bis_2018!$F:$F,"&gt;=01.01."&amp;'Vorschau JA'!$A2,Ausgaben_bis_2018!$F:$F,"&lt;=31.12."&amp;'Vorschau JA'!$A2, Ausgaben_bis_2018!$H:$H,"=Sozialversicherungsanstalt der gewerblichen Wirtschaft, Landesstelle Wien, Wiedner Hauptstraße 84-86, A-1051 Wien")</f>
        <v>1135.32</v>
      </c>
      <c r="N2" s="37">
        <f t="shared" ref="N2:N7" si="4">M2/$B2</f>
        <v>5.9277343953953177E-2</v>
      </c>
      <c r="O2" s="47">
        <v>6</v>
      </c>
      <c r="P2" s="48">
        <f t="shared" ref="P2:P7" si="5">(G2+M2)/O2</f>
        <v>2374.2533351657717</v>
      </c>
      <c r="Q2" s="48">
        <f t="shared" ref="Q2:Q7" si="6">18.5%*P2</f>
        <v>439.23686700566776</v>
      </c>
      <c r="R2" s="48">
        <f t="shared" ref="R2:R7" si="7">7.65%*P2</f>
        <v>181.63038014018153</v>
      </c>
      <c r="S2" s="48"/>
      <c r="T2" s="48">
        <f t="shared" ref="T2:T7" si="8">O2*(Q2+R2+S2)</f>
        <v>3725.2034828750957</v>
      </c>
      <c r="U2" s="48">
        <f t="shared" ref="U2:U7" si="9">T2-M2</f>
        <v>2589.883482875096</v>
      </c>
      <c r="V2" s="37">
        <f t="shared" ref="V2:V7" si="10">H2/G2</f>
        <v>5.8749904911222318E-2</v>
      </c>
      <c r="W2" s="37">
        <f t="shared" ref="W2:W7" si="11">M2/I2</f>
        <v>9.2003412920272837E-2</v>
      </c>
      <c r="X2">
        <v>372.29</v>
      </c>
      <c r="Y2">
        <v>41.14</v>
      </c>
      <c r="Z2">
        <f t="shared" ref="Z2:Z7" si="12">(X2*12+Y2*12)</f>
        <v>4961.1600000000008</v>
      </c>
      <c r="AA2">
        <f t="shared" ref="AA2:AA7" si="13">Z2-M2</f>
        <v>3825.8400000000011</v>
      </c>
      <c r="AB2" s="37">
        <f t="shared" ref="AB2:AB7" si="14">AA2/I2</f>
        <v>0.31003623408985725</v>
      </c>
      <c r="AC2" s="37">
        <f t="shared" ref="AC2:AC7" si="15">AB2+V2</f>
        <v>0.36878613900107959</v>
      </c>
    </row>
    <row r="3" spans="1:36" x14ac:dyDescent="0.25">
      <c r="A3" s="2">
        <v>2016</v>
      </c>
      <c r="B3" s="48">
        <f>SUMIFS(Rechnung_Ausgang!H:H,Rechnung_Ausgang!$D:$D,"&gt;=01.01."&amp;'Vorschau JA'!$A3,Rechnung_Ausgang!$D:$D,"&lt;=31.12."&amp;'Vorschau JA'!$A3)</f>
        <v>80096.039999999979</v>
      </c>
      <c r="C3" s="48"/>
      <c r="D3" s="48">
        <f>SUMIFS(Ausgaben_bis_2018!Z:Z,Ausgaben_bis_2018!$F:$F,"&gt;=01.01."&amp;'Vorschau JA'!$A3,Ausgaben_bis_2018!$F:$F,"&lt;=31.12."&amp;'Vorschau JA'!$A3)</f>
        <v>24361.063932694105</v>
      </c>
      <c r="F3" s="48">
        <f t="shared" si="0"/>
        <v>24361.063932694105</v>
      </c>
      <c r="G3" s="48">
        <f t="shared" ref="G3:G8" si="16">B3-F3</f>
        <v>55734.976067305877</v>
      </c>
      <c r="H3" s="48">
        <f t="shared" ref="H3:H10" si="17">IF(G3&lt;=11000,0,
  IF(G3&lt;=18000,((G3-11000)*1750)/7000,
  IF(G3&lt;=25000,((G3-18000)*2450)/7000+1750,
  IF(G3&lt;=31000,((G3-25000)*2100)/6000+1750+2450,
  IF(G3&lt;=60000,((G3-31000)*12180)/29000+1750+2450+2100,
  IF(G3&lt;=90000,((G3-60000)*14400)/30000+1750+2450+2100+12180,
  IF(G3&lt;=1000000,((G3-90000)*455000)/910000+1750+2450+2100+12180+14400,
               (G3-1000000)*0.55+1750+2450+2100+12180+14400+455000)))))))</f>
        <v>16688.689948268468</v>
      </c>
      <c r="I3" s="48">
        <f t="shared" si="1"/>
        <v>39046.28611903741</v>
      </c>
      <c r="J3" s="48">
        <f t="shared" ref="J3:J8" si="18">I3/12</f>
        <v>3253.8571765864508</v>
      </c>
      <c r="K3">
        <f t="shared" si="2"/>
        <v>27867.488033652939</v>
      </c>
      <c r="L3" s="37">
        <f t="shared" si="3"/>
        <v>0.20835848998612755</v>
      </c>
      <c r="M3">
        <f>SUMIFS(Ausgaben_bis_2018!T:T,Ausgaben_bis_2018!$F:$F,"&gt;=01.01."&amp;'Vorschau JA'!$A3,Ausgaben_bis_2018!$F:$F,"&lt;=31.12."&amp;'Vorschau JA'!$A3, Ausgaben_bis_2018!$H:$H,"=Sozialversicherungsanstalt der gewerblichen Wirtschaft, Landesstelle Wien, Wiedner Hauptstraße 84-86, A-1051 Wien")</f>
        <v>13336.9</v>
      </c>
      <c r="N3" s="37">
        <f t="shared" si="4"/>
        <v>0.1665113531205788</v>
      </c>
      <c r="O3" s="47">
        <v>12</v>
      </c>
      <c r="P3" s="48">
        <f t="shared" si="5"/>
        <v>5755.9896722754893</v>
      </c>
      <c r="Q3" s="48">
        <f t="shared" si="6"/>
        <v>1064.8580893709654</v>
      </c>
      <c r="R3" s="48">
        <f t="shared" si="7"/>
        <v>440.33320992907494</v>
      </c>
      <c r="S3" s="48"/>
      <c r="T3" s="48">
        <f t="shared" si="8"/>
        <v>18062.295591600483</v>
      </c>
      <c r="U3" s="48">
        <f t="shared" si="9"/>
        <v>4725.3955916004834</v>
      </c>
      <c r="V3" s="37">
        <f t="shared" si="10"/>
        <v>0.29942939112623124</v>
      </c>
      <c r="W3" s="37">
        <f t="shared" si="11"/>
        <v>0.34156641580048913</v>
      </c>
      <c r="X3">
        <v>715.83</v>
      </c>
      <c r="Y3">
        <v>31.8</v>
      </c>
      <c r="Z3">
        <f t="shared" si="12"/>
        <v>8971.5600000000013</v>
      </c>
      <c r="AA3">
        <f t="shared" si="13"/>
        <v>-4365.3399999999983</v>
      </c>
      <c r="AB3" s="37">
        <f t="shared" si="14"/>
        <v>-0.1117991090546159</v>
      </c>
      <c r="AC3" s="37">
        <f t="shared" si="15"/>
        <v>0.18763028207161533</v>
      </c>
      <c r="AG3" t="s">
        <v>453</v>
      </c>
      <c r="AH3">
        <v>18948.828399999999</v>
      </c>
      <c r="AI3">
        <f>AH3-H3</f>
        <v>2260.1384517315309</v>
      </c>
      <c r="AJ3" s="39" t="s">
        <v>454</v>
      </c>
    </row>
    <row r="4" spans="1:36" x14ac:dyDescent="0.25">
      <c r="A4" s="2">
        <v>2017</v>
      </c>
      <c r="B4" s="48">
        <f>SUMIFS(Rechnung_Ausgang!H:H,Rechnung_Ausgang!$D:$D,"&gt;=01.01."&amp;'Vorschau JA'!$A4,Rechnung_Ausgang!$D:$D,"&lt;=31.12."&amp;'Vorschau JA'!$A4)</f>
        <v>25514.71</v>
      </c>
      <c r="C4" s="48"/>
      <c r="D4" s="48">
        <f>SUMIFS(Ausgaben_bis_2018!Z:Z,Ausgaben_bis_2018!$F:$F,"&gt;=01.01."&amp;'Vorschau JA'!$A4,Ausgaben_bis_2018!$F:$F,"&lt;=31.12."&amp;'Vorschau JA'!$A4)</f>
        <v>11075.310225176841</v>
      </c>
      <c r="F4" s="48">
        <f t="shared" si="0"/>
        <v>11075.310225176841</v>
      </c>
      <c r="G4" s="48">
        <f t="shared" si="16"/>
        <v>14439.399774823158</v>
      </c>
      <c r="H4" s="48">
        <f t="shared" si="17"/>
        <v>859.84994370578943</v>
      </c>
      <c r="I4" s="48">
        <f t="shared" si="1"/>
        <v>13579.549831117369</v>
      </c>
      <c r="J4" s="48">
        <f t="shared" si="18"/>
        <v>1131.629152593114</v>
      </c>
      <c r="K4">
        <f t="shared" si="2"/>
        <v>7219.6998874115789</v>
      </c>
      <c r="L4" s="37">
        <f t="shared" si="3"/>
        <v>3.3700165265675742E-2</v>
      </c>
      <c r="M4">
        <f>SUMIFS(Ausgaben_bis_2018!T:T,Ausgaben_bis_2018!$F:$F,"&gt;=01.01."&amp;'Vorschau JA'!$A4,Ausgaben_bis_2018!$F:$F,"&lt;=31.12."&amp;'Vorschau JA'!$A4, Ausgaben_bis_2018!$H:$H,"=Sozialversicherungsanstalt der gewerblichen Wirtschaft, Landesstelle Wien, Wiedner Hauptstraße 84-86, A-1051 Wien")</f>
        <v>0</v>
      </c>
      <c r="N4" s="37">
        <f t="shared" si="4"/>
        <v>0</v>
      </c>
      <c r="O4" s="47">
        <v>12</v>
      </c>
      <c r="P4" s="48">
        <f t="shared" si="5"/>
        <v>1203.2833145685966</v>
      </c>
      <c r="Q4" s="48">
        <f t="shared" si="6"/>
        <v>222.60741319519036</v>
      </c>
      <c r="R4" s="48">
        <f t="shared" si="7"/>
        <v>92.051173564497631</v>
      </c>
      <c r="S4" s="48">
        <v>9.33</v>
      </c>
      <c r="T4" s="48">
        <f t="shared" si="8"/>
        <v>3887.8630411162558</v>
      </c>
      <c r="U4" s="48">
        <f t="shared" si="9"/>
        <v>3887.8630411162558</v>
      </c>
      <c r="V4" s="37">
        <f t="shared" si="10"/>
        <v>5.9548870251867531E-2</v>
      </c>
      <c r="W4" s="37">
        <f t="shared" si="11"/>
        <v>0</v>
      </c>
      <c r="X4">
        <v>225.28</v>
      </c>
      <c r="Y4">
        <v>93.16</v>
      </c>
      <c r="Z4">
        <f t="shared" si="12"/>
        <v>3821.28</v>
      </c>
      <c r="AA4">
        <f t="shared" si="13"/>
        <v>3821.28</v>
      </c>
      <c r="AB4" s="37">
        <f t="shared" si="14"/>
        <v>0.28139960805207143</v>
      </c>
      <c r="AC4" s="37">
        <f t="shared" si="15"/>
        <v>0.34094847830393893</v>
      </c>
      <c r="AJ4" s="39"/>
    </row>
    <row r="5" spans="1:36" s="125" customFormat="1" x14ac:dyDescent="0.25">
      <c r="A5" s="128">
        <v>2018</v>
      </c>
      <c r="B5" s="78">
        <f>SUMIFS(Rechnung_Ausgang!H:H,Rechnung_Ausgang!$D:$D,"&gt;=01.01."&amp;'Vorschau JA'!$A5,Rechnung_Ausgang!$D:$D,"&lt;=31.12."&amp;'Vorschau JA'!$A5)</f>
        <v>26703.739999999998</v>
      </c>
      <c r="C5" s="78"/>
      <c r="D5" s="78">
        <f>SUMIFS(Ausgaben_bis_2018!Z:Z,Ausgaben_bis_2018!$F:$F,"&gt;=01.01."&amp;'Vorschau JA'!$A5,Ausgaben_bis_2018!$F:$F,"&lt;=31.12."&amp;'Vorschau JA'!$A5)</f>
        <v>10841.359574021986</v>
      </c>
      <c r="E5" s="78"/>
      <c r="F5" s="78">
        <f t="shared" si="0"/>
        <v>10841.359574021986</v>
      </c>
      <c r="G5" s="78">
        <f t="shared" si="16"/>
        <v>15862.380425978012</v>
      </c>
      <c r="H5" s="78">
        <f t="shared" si="17"/>
        <v>1215.5951064945029</v>
      </c>
      <c r="I5" s="78">
        <f t="shared" si="1"/>
        <v>14646.785319483508</v>
      </c>
      <c r="J5" s="78">
        <f t="shared" si="18"/>
        <v>1220.5654432902923</v>
      </c>
      <c r="K5" s="125">
        <f t="shared" si="2"/>
        <v>7931.1902129890059</v>
      </c>
      <c r="L5" s="129">
        <f t="shared" si="3"/>
        <v>4.5521530186202495E-2</v>
      </c>
      <c r="M5" s="125">
        <f>SUMIFS(Ausgaben_bis_2018!T:T,Ausgaben_bis_2018!$F:$F,"&gt;=01.01."&amp;'Vorschau JA'!$A5,Ausgaben_bis_2018!$F:$F,"&lt;=31.12."&amp;'Vorschau JA'!$A5, Ausgaben_bis_2018!$H:$H,"=Sozialversicherungsanstalt der gewerblichen Wirtschaft, Landesstelle Wien, Wiedner Hauptstraße 84-86, A-1051 Wien")</f>
        <v>0</v>
      </c>
      <c r="N5" s="129">
        <f t="shared" si="4"/>
        <v>0</v>
      </c>
      <c r="O5" s="130">
        <v>12</v>
      </c>
      <c r="P5" s="78">
        <f t="shared" si="5"/>
        <v>1321.8650354981676</v>
      </c>
      <c r="Q5" s="78">
        <f t="shared" si="6"/>
        <v>244.545031567161</v>
      </c>
      <c r="R5" s="78">
        <f t="shared" si="7"/>
        <v>101.12267521560982</v>
      </c>
      <c r="S5" s="78">
        <v>9.33</v>
      </c>
      <c r="T5" s="78">
        <f t="shared" si="8"/>
        <v>4259.9724813932498</v>
      </c>
      <c r="U5" s="78">
        <f t="shared" si="9"/>
        <v>4259.9724813932498</v>
      </c>
      <c r="V5" s="129">
        <f t="shared" si="10"/>
        <v>7.6633838922669395E-2</v>
      </c>
      <c r="W5" s="129">
        <f t="shared" si="11"/>
        <v>0</v>
      </c>
      <c r="X5" s="125">
        <v>225.28</v>
      </c>
      <c r="Y5" s="125">
        <v>93.16</v>
      </c>
      <c r="Z5" s="125">
        <f t="shared" si="12"/>
        <v>3821.28</v>
      </c>
      <c r="AA5" s="125">
        <f t="shared" si="13"/>
        <v>3821.28</v>
      </c>
      <c r="AB5" s="129">
        <f t="shared" si="14"/>
        <v>0.26089547410221414</v>
      </c>
      <c r="AC5" s="129">
        <f t="shared" si="15"/>
        <v>0.33752931302488354</v>
      </c>
    </row>
    <row r="6" spans="1:36" x14ac:dyDescent="0.25">
      <c r="A6" s="2">
        <v>2018</v>
      </c>
      <c r="B6" s="70">
        <f>11681+B5</f>
        <v>38384.74</v>
      </c>
      <c r="C6" s="70"/>
      <c r="D6" s="48">
        <f>SUMIFS(Ausgaben_bis_2018!Z:Z,Ausgaben_bis_2018!$F:$F,"&gt;=01.01."&amp;'Vorschau JA'!$A6,Ausgaben_bis_2018!$F:$F,"&lt;=31.12."&amp;'Vorschau JA'!$A6)</f>
        <v>10841.359574021986</v>
      </c>
      <c r="F6" s="48">
        <f t="shared" si="0"/>
        <v>10841.359574021986</v>
      </c>
      <c r="G6" s="48">
        <f t="shared" si="16"/>
        <v>27543.380425978012</v>
      </c>
      <c r="H6" s="48">
        <f t="shared" si="17"/>
        <v>5090.1831490923041</v>
      </c>
      <c r="I6" s="48">
        <f t="shared" si="1"/>
        <v>22453.197276885709</v>
      </c>
      <c r="J6" s="112">
        <f t="shared" si="18"/>
        <v>1871.099773073809</v>
      </c>
      <c r="K6">
        <f t="shared" si="2"/>
        <v>13771.690212989006</v>
      </c>
      <c r="L6" s="37">
        <f t="shared" si="3"/>
        <v>0.13260955132410182</v>
      </c>
      <c r="M6">
        <f>SUMIFS(Ausgaben_bis_2018!T:T,Ausgaben_bis_2018!$F:$F,"&gt;=01.01."&amp;'Vorschau JA'!$A6,Ausgaben_bis_2018!$F:$F,"&lt;=31.12."&amp;'Vorschau JA'!$A6, Ausgaben_bis_2018!$H:$H,"=Sozialversicherungsanstalt der gewerblichen Wirtschaft, Landesstelle Wien, Wiedner Hauptstraße 84-86, A-1051 Wien")</f>
        <v>0</v>
      </c>
      <c r="N6" s="37">
        <f t="shared" si="4"/>
        <v>0</v>
      </c>
      <c r="O6" s="47">
        <v>12</v>
      </c>
      <c r="P6" s="48">
        <f t="shared" si="5"/>
        <v>2295.2817021648343</v>
      </c>
      <c r="Q6" s="48">
        <f t="shared" si="6"/>
        <v>424.62711490049435</v>
      </c>
      <c r="R6" s="48">
        <f t="shared" si="7"/>
        <v>175.58905021560983</v>
      </c>
      <c r="S6" s="48">
        <v>9.33</v>
      </c>
      <c r="T6" s="48">
        <f t="shared" si="8"/>
        <v>7314.553981393251</v>
      </c>
      <c r="U6" s="48">
        <f t="shared" si="9"/>
        <v>7314.553981393251</v>
      </c>
      <c r="V6" s="37">
        <f t="shared" si="10"/>
        <v>0.18480604306257958</v>
      </c>
      <c r="W6" s="37">
        <f t="shared" si="11"/>
        <v>0</v>
      </c>
      <c r="X6">
        <v>225.28</v>
      </c>
      <c r="Y6">
        <v>93.16</v>
      </c>
      <c r="Z6">
        <f t="shared" si="12"/>
        <v>3821.28</v>
      </c>
      <c r="AA6">
        <f t="shared" si="13"/>
        <v>3821.28</v>
      </c>
      <c r="AB6" s="37">
        <f t="shared" si="14"/>
        <v>0.17018867971795673</v>
      </c>
      <c r="AC6" s="37">
        <f t="shared" si="15"/>
        <v>0.35499472278053634</v>
      </c>
    </row>
    <row r="7" spans="1:36" x14ac:dyDescent="0.25">
      <c r="A7" s="2">
        <v>2019</v>
      </c>
      <c r="B7" s="48">
        <f>SUMIFS(Rechnung_Ausgang!H:H,Rechnung_Ausgang!$D:$D,"&gt;=01.01."&amp;'Vorschau JA'!$A7,Rechnung_Ausgang!$D:$D,"&lt;=31.12."&amp;'Vorschau JA'!$A7)</f>
        <v>54795.39</v>
      </c>
      <c r="C7" s="48"/>
      <c r="D7" s="48">
        <f>SUMIFS(Journal_ab_2019!Q:Q,Journal_ab_2019!$G:$G,"&gt;=01.01."&amp;'Vorschau JA'!$A7,Journal_ab_2019!$G:$G,"&lt;=31.12."&amp;'Vorschau JA'!$A7,Journal_ab_2019!C:C,"Ausgaben",Journal_ab_2019!K:K,FALSE)</f>
        <v>33137.579004710875</v>
      </c>
      <c r="E7" s="48">
        <f>SUM(AV!H2:H5)</f>
        <v>1149.7806666666668</v>
      </c>
      <c r="F7" s="48">
        <f t="shared" si="0"/>
        <v>34287.359671377541</v>
      </c>
      <c r="G7" s="48">
        <f t="shared" si="16"/>
        <v>20508.030328622459</v>
      </c>
      <c r="H7" s="48">
        <f t="shared" si="17"/>
        <v>2627.8106150178605</v>
      </c>
      <c r="I7" s="48">
        <f t="shared" si="1"/>
        <v>17880.219713604598</v>
      </c>
      <c r="J7" s="112">
        <f t="shared" si="18"/>
        <v>1490.0183094670499</v>
      </c>
      <c r="K7">
        <f t="shared" si="2"/>
        <v>10254.015164311229</v>
      </c>
      <c r="L7" s="37">
        <f t="shared" si="3"/>
        <v>4.7956782769825353E-2</v>
      </c>
      <c r="M7">
        <f>4*4296.6</f>
        <v>17186.400000000001</v>
      </c>
      <c r="N7" s="37">
        <f t="shared" si="4"/>
        <v>0.31364682320903275</v>
      </c>
      <c r="O7" s="47">
        <v>12</v>
      </c>
      <c r="P7" s="48">
        <f t="shared" si="5"/>
        <v>3141.202527385205</v>
      </c>
      <c r="Q7" s="48">
        <f t="shared" si="6"/>
        <v>581.12246756626291</v>
      </c>
      <c r="R7" s="48">
        <f t="shared" si="7"/>
        <v>240.30199334496817</v>
      </c>
      <c r="S7" s="48">
        <v>9.33</v>
      </c>
      <c r="T7" s="48">
        <f t="shared" si="8"/>
        <v>9969.0535309347742</v>
      </c>
      <c r="U7" s="48">
        <f t="shared" si="9"/>
        <v>-7217.3464690652272</v>
      </c>
      <c r="V7" s="37">
        <f t="shared" si="10"/>
        <v>0.12813568991802698</v>
      </c>
      <c r="W7" s="37">
        <f t="shared" si="11"/>
        <v>0.96119624228796885</v>
      </c>
      <c r="X7">
        <v>225.28</v>
      </c>
      <c r="Y7">
        <v>93.16</v>
      </c>
      <c r="Z7">
        <f t="shared" si="12"/>
        <v>3821.28</v>
      </c>
      <c r="AA7">
        <f t="shared" si="13"/>
        <v>-13365.12</v>
      </c>
      <c r="AB7" s="37">
        <f t="shared" si="14"/>
        <v>-0.74748074766837602</v>
      </c>
      <c r="AC7" s="37">
        <f t="shared" si="15"/>
        <v>-0.61934505775034898</v>
      </c>
    </row>
    <row r="8" spans="1:36" x14ac:dyDescent="0.25">
      <c r="A8" s="2">
        <v>2020</v>
      </c>
      <c r="B8" s="48">
        <f>SUMIFS(Rechnung_Ausgang!H:H,Rechnung_Ausgang!$D:$D,"&gt;=01.01."&amp;'Vorschau JA'!$A8,Rechnung_Ausgang!$D:$D,"&lt;=31.12."&amp;'Vorschau JA'!$A8)</f>
        <v>94788.2</v>
      </c>
      <c r="C8" s="48"/>
      <c r="D8" s="48">
        <f>SUMIFS(Journal_ab_2019!Q:Q,Journal_ab_2019!$G:$G,"&gt;=01.01."&amp;'Vorschau JA'!$A8,Journal_ab_2019!$G:$G,"&lt;=31.12."&amp;'Vorschau JA'!$A8,Journal_ab_2019!C:C,"Ausgaben",Journal_ab_2019!K:K,FALSE)</f>
        <v>33411.296904761904</v>
      </c>
      <c r="E8" s="48">
        <v>1559.0566666666668</v>
      </c>
      <c r="F8" s="48">
        <f t="shared" si="0"/>
        <v>34970.353571428568</v>
      </c>
      <c r="G8" s="48">
        <f t="shared" si="16"/>
        <v>59817.846428571429</v>
      </c>
      <c r="H8" s="48">
        <f t="shared" si="17"/>
        <v>18403.495500000001</v>
      </c>
      <c r="I8" s="48">
        <f>G8-H8</f>
        <v>41414.350928571424</v>
      </c>
      <c r="J8" s="112">
        <f t="shared" si="18"/>
        <v>3451.1959107142852</v>
      </c>
      <c r="K8">
        <f>G8/2</f>
        <v>29908.923214285714</v>
      </c>
      <c r="L8" s="37">
        <f>H8/$B8</f>
        <v>0.19415386619853528</v>
      </c>
      <c r="M8">
        <f>925.23*4</f>
        <v>3700.92</v>
      </c>
      <c r="N8" s="37">
        <f>M8/$B8</f>
        <v>3.9044100426002391E-2</v>
      </c>
      <c r="O8" s="47">
        <v>12</v>
      </c>
      <c r="P8" s="48">
        <f>(G8+M8)/O8</f>
        <v>5293.2305357142859</v>
      </c>
      <c r="Q8" s="48">
        <f>18.5%*P8</f>
        <v>979.24764910714293</v>
      </c>
      <c r="R8" s="48">
        <f>7.65%*P8</f>
        <v>404.93213598214288</v>
      </c>
      <c r="S8" s="48">
        <v>9.33</v>
      </c>
      <c r="T8" s="48">
        <f>O8*(Q8+R8+S8)</f>
        <v>16722.117421071431</v>
      </c>
      <c r="U8" s="48">
        <f>T8-M8</f>
        <v>13021.197421071431</v>
      </c>
      <c r="V8" s="37">
        <f>H8/G8</f>
        <v>0.30765894459232396</v>
      </c>
      <c r="W8" s="37">
        <f>M8/I8</f>
        <v>8.9363225959597628E-2</v>
      </c>
      <c r="X8">
        <v>225.28</v>
      </c>
      <c r="Y8">
        <v>93.16</v>
      </c>
      <c r="Z8">
        <f>(X8*12+Y8*12)</f>
        <v>3821.28</v>
      </c>
      <c r="AA8">
        <f>Z8-M8</f>
        <v>120.36000000000013</v>
      </c>
      <c r="AB8" s="37">
        <f>AA8/I8</f>
        <v>2.9062389558534587E-3</v>
      </c>
      <c r="AC8" s="37">
        <f>AB8+V8</f>
        <v>0.31056518354817741</v>
      </c>
    </row>
    <row r="9" spans="1:36" x14ac:dyDescent="0.25">
      <c r="A9" s="2">
        <v>2021</v>
      </c>
      <c r="B9" s="48">
        <f>SUMIFS(Rechnung_Ausgang!H:H,Rechnung_Ausgang!$D:$D,"&gt;=01.01."&amp;'Vorschau JA'!$A9,Rechnung_Ausgang!$D:$D,"&lt;=31.12."&amp;'Vorschau JA'!$A9)</f>
        <v>79758.649999999994</v>
      </c>
      <c r="C9" s="48">
        <f>SUMIFS(Journal_ab_2019!$Q:$Q,Journal_ab_2019!$G:$G,"&gt;=01.01."&amp;'Vorschau JA'!$A9,Journal_ab_2019!$G:$G,"&lt;=31.12."&amp;'Vorschau JA'!$A9,Journal_ab_2019!$D:$D,"Waren-/Leistungserlöse")</f>
        <v>79758.649999999994</v>
      </c>
      <c r="D9" s="48">
        <f>SUMIFS(Journal_ab_2019!Q:Q,Journal_ab_2019!$G:$G,"&gt;=01.01."&amp;'Vorschau JA'!$A9,Journal_ab_2019!$G:$G,"&lt;=31.12."&amp;'Vorschau JA'!$A9,Journal_ab_2019!C:C,"Ausgaben",Journal_ab_2019!K:K,FALSE)</f>
        <v>14823.252678787883</v>
      </c>
      <c r="E9" s="148">
        <v>1848.3326666666667</v>
      </c>
      <c r="F9" s="48">
        <f>D9+E9</f>
        <v>16671.58534545455</v>
      </c>
      <c r="G9" s="48">
        <f>B9-F9</f>
        <v>63087.064654545444</v>
      </c>
      <c r="H9" s="48">
        <f t="shared" si="17"/>
        <v>19961.791034181813</v>
      </c>
      <c r="I9" s="48">
        <f>G9-H9</f>
        <v>43125.27362036363</v>
      </c>
      <c r="J9" s="48">
        <f>I9/12</f>
        <v>3593.7728016969691</v>
      </c>
      <c r="K9">
        <f>G9/2</f>
        <v>31543.532327272722</v>
      </c>
      <c r="L9" s="37">
        <f>H9/$B9</f>
        <v>0.25027744369020555</v>
      </c>
      <c r="M9" s="3">
        <f>925.23*4</f>
        <v>3700.92</v>
      </c>
      <c r="N9" s="37">
        <f>M9/$B9</f>
        <v>4.640148748756405E-2</v>
      </c>
      <c r="O9" s="47">
        <v>12</v>
      </c>
      <c r="P9" s="48">
        <f>(G9+M9)/O9</f>
        <v>5565.6653878787874</v>
      </c>
      <c r="Q9" s="48">
        <f>18.5%*P9</f>
        <v>1029.6480967575756</v>
      </c>
      <c r="R9" s="48">
        <f>7.65%*P9</f>
        <v>425.77340217272723</v>
      </c>
      <c r="S9" s="48">
        <v>9.33</v>
      </c>
      <c r="T9" s="48">
        <f>O9*(Q9+R9+S9)</f>
        <v>17577.017987163632</v>
      </c>
      <c r="U9" s="48">
        <f>T9-M9</f>
        <v>13876.097987163632</v>
      </c>
      <c r="V9" s="37">
        <f>H9/G9</f>
        <v>0.3164165450316852</v>
      </c>
      <c r="W9" s="37">
        <f>M9/I9</f>
        <v>8.5817890283539824E-2</v>
      </c>
      <c r="X9">
        <v>225.28</v>
      </c>
      <c r="Y9">
        <v>93.16</v>
      </c>
      <c r="Z9">
        <f>(X9*12+Y9*12)</f>
        <v>3821.28</v>
      </c>
      <c r="AA9">
        <f>Z9-M9</f>
        <v>120.36000000000013</v>
      </c>
      <c r="AB9" s="37">
        <f>AA9/I9</f>
        <v>2.7909388137346562E-3</v>
      </c>
      <c r="AC9" s="37">
        <f>AB9+V9</f>
        <v>0.31920748384541986</v>
      </c>
    </row>
    <row r="10" spans="1:36" x14ac:dyDescent="0.25">
      <c r="A10" s="2">
        <v>2022</v>
      </c>
      <c r="B10" s="179">
        <f>SUMIFS(Rechnung_Ausgang!H:H,Rechnung_Ausgang!$D:$D,"&gt;=01.01."&amp;'Vorschau JA'!$A10,Rechnung_Ausgang!$D:$D,"&lt;=31.12."&amp;'Vorschau JA'!$A10)</f>
        <v>173672.54</v>
      </c>
      <c r="C10" s="179">
        <f>SUMIFS(Journal_ab_2019!$Q:$Q,Journal_ab_2019!$G:$G,"&gt;=01.01."&amp;'Vorschau JA'!$A10,Journal_ab_2019!$G:$G,"&lt;=31.12."&amp;'Vorschau JA'!$A10,Journal_ab_2019!$D:$D,"Waren-/Leistungserlöse")</f>
        <v>173292.53999999998</v>
      </c>
      <c r="D10" s="48">
        <f>SUMIFS(Journal_ab_2019!Q:Q,Journal_ab_2019!$G:$G,"&gt;=01.01."&amp;'Vorschau JA'!$A10,Journal_ab_2019!$G:$G,"&lt;=31.12."&amp;'Vorschau JA'!$A10,Journal_ab_2019!C:C,"Ausgaben",Journal_ab_2019!K:K,FALSE)</f>
        <v>48727.637999999984</v>
      </c>
      <c r="E10" s="90"/>
      <c r="F10" s="48">
        <f>D10+E10</f>
        <v>48727.637999999984</v>
      </c>
      <c r="G10" s="48">
        <f>B10-F10</f>
        <v>124944.90200000003</v>
      </c>
      <c r="H10" s="48">
        <f t="shared" si="17"/>
        <v>50352.451000000015</v>
      </c>
      <c r="I10" s="48">
        <f>G10-H10</f>
        <v>74592.451000000015</v>
      </c>
      <c r="J10" s="48">
        <f>I10/12</f>
        <v>6216.0375833333346</v>
      </c>
      <c r="K10">
        <f>G10/2</f>
        <v>62472.451000000015</v>
      </c>
      <c r="L10" s="37">
        <f>H10/$B10</f>
        <v>0.28992753258517445</v>
      </c>
      <c r="M10" s="3">
        <f>925.23*4</f>
        <v>3700.92</v>
      </c>
      <c r="N10" s="37">
        <f>M10/$B10</f>
        <v>2.1309759159392729E-2</v>
      </c>
      <c r="O10" s="47">
        <v>12</v>
      </c>
      <c r="P10" s="48">
        <f>(G10+M10)/O10</f>
        <v>10720.485166666669</v>
      </c>
      <c r="Q10" s="48">
        <f>18.5%*P10</f>
        <v>1983.2897558333339</v>
      </c>
      <c r="R10" s="48">
        <f>7.65%*P10</f>
        <v>820.11711525000021</v>
      </c>
      <c r="S10" s="48">
        <v>9.33</v>
      </c>
      <c r="T10" s="48">
        <f>O10*(Q10+R10+S10)</f>
        <v>33752.842453000005</v>
      </c>
      <c r="U10" s="48">
        <f>T10-M10</f>
        <v>30051.922453000006</v>
      </c>
      <c r="V10" s="37">
        <f>H10/G10</f>
        <v>0.40299724273664245</v>
      </c>
      <c r="W10" s="37">
        <f>M10/I10</f>
        <v>4.9615208380805173E-2</v>
      </c>
      <c r="X10">
        <v>225.28</v>
      </c>
      <c r="Y10">
        <v>93.16</v>
      </c>
      <c r="Z10">
        <f>(X10*12+Y10*12)</f>
        <v>3821.28</v>
      </c>
      <c r="AA10">
        <f>Z10-M10</f>
        <v>120.36000000000013</v>
      </c>
      <c r="AB10" s="37">
        <f>AA10/I10</f>
        <v>1.6135681075823624E-3</v>
      </c>
      <c r="AC10" s="37">
        <f>AB10+V10</f>
        <v>0.40461081084422479</v>
      </c>
    </row>
    <row r="11" spans="1:36" s="150" customFormat="1" x14ac:dyDescent="0.25">
      <c r="A11" s="2">
        <v>2023</v>
      </c>
      <c r="B11" s="179">
        <f>SUMIFS(Rechnung_Ausgang!H:H,Rechnung_Ausgang!$D:$D,"&gt;=01.01."&amp;'Vorschau JA'!$A11,Rechnung_Ausgang!$D:$D,"&lt;=31.12."&amp;'Vorschau JA'!$A11)</f>
        <v>176065.13000000003</v>
      </c>
      <c r="C11" s="179">
        <f>SUMIFS(Journal_ab_2019!$Q:$Q,Journal_ab_2019!$G:$G,"&gt;=01.01."&amp;'Vorschau JA'!$A11,Journal_ab_2019!$G:$G,"&lt;=31.12."&amp;'Vorschau JA'!$A11,Journal_ab_2019!$D:$D,"Waren-/Leistungserlöse")</f>
        <v>176348.77833333335</v>
      </c>
      <c r="D11" s="48">
        <f>SUMIFS(Journal_ab_2019!Q:Q,Journal_ab_2019!$G:$G,"&gt;=01.01."&amp;'Vorschau JA'!$A11,Journal_ab_2019!$G:$G,"&lt;=31.12."&amp;'Vorschau JA'!$A11,Journal_ab_2019!C:C,"Ausgaben",Journal_ab_2019!K:K,FALSE)</f>
        <v>28428.767521212128</v>
      </c>
      <c r="E11" s="90"/>
      <c r="F11" s="48">
        <f>D11+E11</f>
        <v>28428.767521212128</v>
      </c>
      <c r="G11" s="48">
        <f>B11-F11</f>
        <v>147636.36247878789</v>
      </c>
      <c r="H11" s="48">
        <f>IF(G11&lt;=11000,0,
  IF(G11&lt;=18000,((G11-11000)*1750)/7000,
  IF(G11&lt;=25000,((G11-18000)*2450)/7000+1750,
  IF(G11&lt;=31000,((G11-25000)*2100)/6000+1750+2450,
  IF(G11&lt;=60000,((G11-31000)*12180)/29000+1750+2450+2100,
  IF(G11&lt;=90000,((G11-60000)*14400)/30000+1750+2450+2100+12180,
  IF(G11&lt;=1000000,((G11-90000)*455000)/910000+1750+2450+2100+12180+14400,
               (G11-1000000)*0.55+1750+2450+2100+12180+14400+455000)))))))</f>
        <v>61698.181239393947</v>
      </c>
      <c r="I11" s="48">
        <f>G11-H11</f>
        <v>85938.181239393947</v>
      </c>
      <c r="J11" s="48">
        <f>I11/12</f>
        <v>7161.5151032828289</v>
      </c>
      <c r="K11">
        <f>G11/2</f>
        <v>73818.181239393947</v>
      </c>
      <c r="L11" s="37">
        <f>H11/$B11</f>
        <v>0.35042816961765194</v>
      </c>
      <c r="M11" s="3">
        <f>925.23*4</f>
        <v>3700.92</v>
      </c>
      <c r="N11" s="37">
        <f>M11/$B11</f>
        <v>2.1020175886048528E-2</v>
      </c>
      <c r="O11" s="47">
        <v>12</v>
      </c>
      <c r="P11" s="48">
        <f>(G11+M11)/O11</f>
        <v>12611.44020656566</v>
      </c>
      <c r="Q11" s="48">
        <f>18.5%*P11</f>
        <v>2333.1164382146471</v>
      </c>
      <c r="R11" s="48">
        <f>7.65%*P11</f>
        <v>964.77517580227288</v>
      </c>
      <c r="S11" s="48">
        <v>9.33</v>
      </c>
      <c r="T11" s="48">
        <f>O11*(Q11+R11+S11)</f>
        <v>39686.659368203036</v>
      </c>
      <c r="U11" s="48">
        <f>T11-M11</f>
        <v>35985.739368203038</v>
      </c>
      <c r="V11" s="37">
        <f>H11/G11</f>
        <v>0.41790640329721362</v>
      </c>
      <c r="W11" s="37">
        <f>M11/I11</f>
        <v>4.306490952712301E-2</v>
      </c>
      <c r="X11">
        <v>225.28</v>
      </c>
      <c r="AB11" s="151"/>
      <c r="AC11" s="151"/>
    </row>
    <row r="12" spans="1:36" s="125" customFormat="1" x14ac:dyDescent="0.25">
      <c r="A12" s="199">
        <v>2024</v>
      </c>
      <c r="B12" s="149"/>
      <c r="C12" s="179">
        <f>SUMIFS(Journal_ab_2024!$Q:$Q,Journal_ab_2024!$E:$E,"&gt;=01.01."&amp;'Vorschau JA'!$A12,Journal_ab_2024!$E:$E,"&lt;=31.12."&amp;'Vorschau JA'!$A12,Journal_ab_2024!$D:$D,"Waren-/Leistungserlöse")+SUMIFS(Journal_ab_2024!$Q:$Q,Journal_ab_2024!$E:$E,"&gt;=01.01."&amp;'Vorschau JA'!$A12,Journal_ab_2024!$E:$E,"&lt;=31.12."&amp;'Vorschau JA'!$A12,Journal_ab_2024!$D:$D,"übrige Erträge")</f>
        <v>193736.32666666666</v>
      </c>
      <c r="D12" s="48">
        <f>SUMIFS(Journal_ab_2024!$Q:$Q,Journal_ab_2024!$E:$E,"&gt;=01.01."&amp;'Vorschau JA'!$A12,Journal_ab_2024!$E:$E,"&lt;=31.12."&amp;'Vorschau JA'!$A12,Journal_ab_2024!$C:$C,"Ausgaben",Journal_ab_2024!$I:$I,FALSE)</f>
        <v>72461.543739928718</v>
      </c>
      <c r="E12" s="90">
        <v>1300</v>
      </c>
      <c r="F12" s="48">
        <f>D12+E12</f>
        <v>73761.543739928718</v>
      </c>
      <c r="G12" s="48">
        <f>C12-F12</f>
        <v>119974.78292673794</v>
      </c>
      <c r="H12" s="48">
        <f>IF(G12&lt;=12816,0,IF(G12&lt;=20818,(G12-12816)*0.2,IF(G12&lt;=34513,(G12-20818)*0.3+1600.4,IF(G12&lt;=66612,(G12-34513)*0.4+5708.9,IF(G12&lt;=99266,(G12-66612)*0.48+18548.5,IF(G12&lt;=1000000,(G12-99266)*0.5+34222.42,(G12-1000000)*0.55+484589.42))))))</f>
        <v>44576.811463368969</v>
      </c>
      <c r="I12" s="48">
        <f>G12-H12</f>
        <v>75397.971463368973</v>
      </c>
      <c r="J12" s="48">
        <f>I12/12</f>
        <v>6283.1642886140808</v>
      </c>
      <c r="K12">
        <f>G12/2</f>
        <v>59987.391463368971</v>
      </c>
      <c r="L12" s="37" t="e">
        <f>H12/$B12</f>
        <v>#DIV/0!</v>
      </c>
      <c r="M12" s="3">
        <v>20000</v>
      </c>
      <c r="N12" s="37" t="e">
        <f>M12/$B12</f>
        <v>#DIV/0!</v>
      </c>
      <c r="O12" s="47">
        <v>12</v>
      </c>
      <c r="P12" s="48">
        <f>(G12+M12)/O12</f>
        <v>11664.565243894829</v>
      </c>
      <c r="Q12" s="48">
        <f>18.5%*P12</f>
        <v>2157.9445701205432</v>
      </c>
      <c r="R12" s="48">
        <f>7.65%*P12</f>
        <v>892.33924115795446</v>
      </c>
      <c r="S12" s="48">
        <v>9.33</v>
      </c>
      <c r="T12" s="48">
        <f>O12*(Q12+R12+S12)</f>
        <v>36715.365735341969</v>
      </c>
      <c r="U12" s="48">
        <f>T12-M12</f>
        <v>16715.365735341969</v>
      </c>
      <c r="V12" s="37">
        <f>H12/G12</f>
        <v>0.3715515075412939</v>
      </c>
      <c r="W12" s="37">
        <f>M12/I12</f>
        <v>0.26525912583360034</v>
      </c>
      <c r="X12">
        <v>225.28</v>
      </c>
      <c r="Y12" s="150"/>
      <c r="Z12" s="150"/>
      <c r="AA12" s="150"/>
      <c r="AB12" s="151"/>
      <c r="AC12" s="151"/>
    </row>
    <row r="13" spans="1:36" x14ac:dyDescent="0.25">
      <c r="A13" s="2">
        <v>2025</v>
      </c>
      <c r="C13" s="179">
        <f>SUMIFS(Journal_ab_2024!$Q:$Q,Journal_ab_2024!$E:$E,"&gt;=01.01."&amp;'Vorschau JA'!$A13,Journal_ab_2024!$E:$E,"&lt;=31.12."&amp;'Vorschau JA'!$A13,Journal_ab_2024!$D:$D,"Waren-/Leistungserlöse")+SUMIFS(Journal_ab_2024!$Q:$Q,Journal_ab_2024!$E:$E,"&gt;=01.01."&amp;'Vorschau JA'!$A13,Journal_ab_2024!$E:$E,"&lt;=31.12."&amp;'Vorschau JA'!$A13,Journal_ab_2024!$D:$D,"übrige Erträge")</f>
        <v>192853.97499999998</v>
      </c>
      <c r="D13" s="48">
        <f>SUMIFS(Journal_ab_2024!$Q:$Q,Journal_ab_2024!$E:$E,"&gt;=01.01."&amp;'Vorschau JA'!$A13,Journal_ab_2024!$E:$E,"&lt;=31.12."&amp;'Vorschau JA'!$A13,Journal_ab_2024!$C:$C,"Ausgaben",Journal_ab_2024!$I:$I,FALSE)</f>
        <v>46504.198375508538</v>
      </c>
      <c r="F13" s="48">
        <f>D13+E13</f>
        <v>46504.198375508538</v>
      </c>
      <c r="H13" t="s">
        <v>455</v>
      </c>
    </row>
    <row r="14" spans="1:36" x14ac:dyDescent="0.25">
      <c r="B14" s="89"/>
      <c r="C14" s="89"/>
      <c r="D14">
        <v>500000</v>
      </c>
      <c r="H14" t="s">
        <v>1325</v>
      </c>
    </row>
    <row r="15" spans="1:36" x14ac:dyDescent="0.25">
      <c r="H15" t="s">
        <v>1489</v>
      </c>
    </row>
    <row r="16" spans="1:36" x14ac:dyDescent="0.25">
      <c r="H16" s="3" t="s">
        <v>1473</v>
      </c>
      <c r="I16" s="70"/>
      <c r="J16" s="70"/>
    </row>
    <row r="17" spans="2:8" x14ac:dyDescent="0.25">
      <c r="B17" s="70">
        <f>B9-D9</f>
        <v>64935.397321212113</v>
      </c>
      <c r="C17" s="70"/>
      <c r="D17" s="70"/>
      <c r="H17" t="s">
        <v>1490</v>
      </c>
    </row>
  </sheetData>
  <pageMargins left="0.25" right="0.25" top="0.75" bottom="0.75" header="0.3" footer="0.3"/>
  <pageSetup paperSize="9" scale="31" orientation="landscape" verticalDpi="12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92015-D7BF-483F-A7A0-2D76EFBF9864}">
  <sheetPr codeName="Tabelle32"/>
  <dimension ref="A1:F12"/>
  <sheetViews>
    <sheetView topLeftCell="A7" workbookViewId="0">
      <selection activeCell="F18" sqref="F18"/>
    </sheetView>
  </sheetViews>
  <sheetFormatPr baseColWidth="10" defaultRowHeight="15" x14ac:dyDescent="0.25"/>
  <cols>
    <col min="2" max="2" width="12.85546875" style="48" bestFit="1" customWidth="1"/>
    <col min="3" max="4" width="11.85546875" style="48" bestFit="1" customWidth="1"/>
    <col min="5" max="5" width="15.5703125" customWidth="1"/>
  </cols>
  <sheetData>
    <row r="1" spans="1:6" x14ac:dyDescent="0.25">
      <c r="B1" s="48" t="s">
        <v>1834</v>
      </c>
      <c r="C1" s="48" t="s">
        <v>1835</v>
      </c>
      <c r="D1" s="48" t="s">
        <v>989</v>
      </c>
      <c r="E1" s="48" t="s">
        <v>1836</v>
      </c>
      <c r="F1" s="48" t="s">
        <v>1837</v>
      </c>
    </row>
    <row r="2" spans="1:6" x14ac:dyDescent="0.25">
      <c r="A2">
        <v>2015</v>
      </c>
      <c r="B2" s="48">
        <v>11017.72</v>
      </c>
      <c r="C2" s="48">
        <v>1828</v>
      </c>
      <c r="D2" s="48">
        <v>3136.22</v>
      </c>
      <c r="E2" s="70">
        <f>B2-C2</f>
        <v>9189.7199999999993</v>
      </c>
    </row>
    <row r="3" spans="1:6" x14ac:dyDescent="0.25">
      <c r="A3">
        <v>2016</v>
      </c>
      <c r="B3" s="48">
        <v>46252.91</v>
      </c>
      <c r="C3" s="48">
        <v>12748</v>
      </c>
      <c r="D3" s="48">
        <v>14183.14</v>
      </c>
      <c r="E3" s="70">
        <f t="shared" ref="E3:E11" si="0">B3-C3</f>
        <v>33504.910000000003</v>
      </c>
    </row>
    <row r="4" spans="1:6" x14ac:dyDescent="0.25">
      <c r="A4">
        <v>2017</v>
      </c>
      <c r="B4" s="48">
        <v>10274.34</v>
      </c>
      <c r="C4" s="48">
        <v>0</v>
      </c>
      <c r="D4" s="48">
        <v>3254.85</v>
      </c>
      <c r="E4" s="70">
        <f t="shared" si="0"/>
        <v>10274.34</v>
      </c>
    </row>
    <row r="5" spans="1:6" x14ac:dyDescent="0.25">
      <c r="A5">
        <v>2018</v>
      </c>
      <c r="B5" s="48">
        <v>21614</v>
      </c>
      <c r="C5" s="48">
        <v>3131</v>
      </c>
      <c r="D5" s="48">
        <v>3581.92</v>
      </c>
      <c r="E5" s="70">
        <f t="shared" si="0"/>
        <v>18483</v>
      </c>
    </row>
    <row r="6" spans="1:6" x14ac:dyDescent="0.25">
      <c r="A6">
        <v>2019</v>
      </c>
      <c r="B6" s="48">
        <v>18986.14</v>
      </c>
      <c r="C6" s="48">
        <v>1618</v>
      </c>
      <c r="D6" s="48">
        <v>8526.07</v>
      </c>
      <c r="E6" s="70">
        <f t="shared" si="0"/>
        <v>17368.14</v>
      </c>
    </row>
    <row r="7" spans="1:6" x14ac:dyDescent="0.25">
      <c r="A7">
        <v>2020</v>
      </c>
      <c r="B7" s="48">
        <v>54755.94</v>
      </c>
      <c r="C7" s="48">
        <v>14427</v>
      </c>
      <c r="D7" s="48">
        <v>16476.919999999998</v>
      </c>
      <c r="E7" s="70">
        <f t="shared" si="0"/>
        <v>40328.94</v>
      </c>
    </row>
    <row r="8" spans="1:6" x14ac:dyDescent="0.25">
      <c r="A8">
        <v>2021</v>
      </c>
      <c r="B8" s="48">
        <v>59743.02</v>
      </c>
      <c r="C8" s="48">
        <v>16522</v>
      </c>
      <c r="D8" s="48">
        <v>13320.54</v>
      </c>
      <c r="E8" s="70">
        <f t="shared" si="0"/>
        <v>43221.02</v>
      </c>
    </row>
    <row r="9" spans="1:6" x14ac:dyDescent="0.25">
      <c r="A9">
        <v>2022</v>
      </c>
      <c r="B9" s="48">
        <v>113125.92</v>
      </c>
      <c r="C9" s="48">
        <v>40559</v>
      </c>
      <c r="D9" s="48">
        <v>32426.959999999999</v>
      </c>
      <c r="E9" s="70">
        <f t="shared" si="0"/>
        <v>72566.92</v>
      </c>
    </row>
    <row r="10" spans="1:6" x14ac:dyDescent="0.25">
      <c r="A10">
        <v>2023</v>
      </c>
      <c r="B10" s="48">
        <v>126915.61</v>
      </c>
      <c r="C10" s="48">
        <v>44765</v>
      </c>
      <c r="D10" s="48">
        <v>24792.98</v>
      </c>
      <c r="E10" s="70">
        <f t="shared" si="0"/>
        <v>82150.61</v>
      </c>
    </row>
    <row r="11" spans="1:6" x14ac:dyDescent="0.25">
      <c r="A11">
        <v>2024</v>
      </c>
      <c r="B11" s="48">
        <v>111725.18</v>
      </c>
      <c r="C11" s="48">
        <v>36574</v>
      </c>
      <c r="D11" s="48">
        <v>35667.51</v>
      </c>
      <c r="E11" s="70">
        <f t="shared" si="0"/>
        <v>75151.179999999993</v>
      </c>
    </row>
    <row r="12" spans="1:6" x14ac:dyDescent="0.25">
      <c r="A12">
        <v>2025</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32DF4-1FAC-4244-B5D7-90C48BD9D1F1}">
  <sheetPr codeName="Tabelle33">
    <tabColor rgb="FF00B0F0"/>
  </sheetPr>
  <dimension ref="A1:K6"/>
  <sheetViews>
    <sheetView workbookViewId="0">
      <selection activeCell="J3" sqref="J3"/>
    </sheetView>
  </sheetViews>
  <sheetFormatPr baseColWidth="10" defaultRowHeight="15" x14ac:dyDescent="0.25"/>
  <cols>
    <col min="4" max="4" width="11.85546875" bestFit="1" customWidth="1"/>
    <col min="6" max="6" width="11.85546875" bestFit="1" customWidth="1"/>
    <col min="8" max="8" width="11.42578125" style="98"/>
    <col min="9" max="9" width="13" bestFit="1" customWidth="1"/>
    <col min="10" max="10" width="11.85546875" style="48" bestFit="1" customWidth="1"/>
  </cols>
  <sheetData>
    <row r="1" spans="1:11" x14ac:dyDescent="0.25">
      <c r="A1" t="s">
        <v>47</v>
      </c>
      <c r="B1" t="s">
        <v>1843</v>
      </c>
      <c r="C1" t="s">
        <v>1</v>
      </c>
      <c r="D1" s="48" t="s">
        <v>5</v>
      </c>
      <c r="E1" s="48" t="s">
        <v>1821</v>
      </c>
      <c r="F1" s="48" t="s">
        <v>2</v>
      </c>
      <c r="G1" s="1" t="s">
        <v>1822</v>
      </c>
      <c r="H1" s="98" t="s">
        <v>938</v>
      </c>
      <c r="I1" s="48" t="s">
        <v>1827</v>
      </c>
      <c r="J1" s="48" t="s">
        <v>1829</v>
      </c>
      <c r="K1" s="48" t="s">
        <v>1830</v>
      </c>
    </row>
    <row r="2" spans="1:11" x14ac:dyDescent="0.25">
      <c r="A2">
        <f>YEAR(G2)</f>
        <v>2024</v>
      </c>
      <c r="B2">
        <v>23</v>
      </c>
      <c r="C2" t="s">
        <v>1823</v>
      </c>
      <c r="D2" s="48">
        <v>24028.080000000002</v>
      </c>
      <c r="E2" s="48">
        <v>4004.6800000000003</v>
      </c>
      <c r="F2" s="48">
        <v>20023.400000000001</v>
      </c>
      <c r="G2" s="1">
        <v>45293</v>
      </c>
      <c r="H2" s="98">
        <f>14.6/158.43</f>
        <v>9.2154263712680679E-2</v>
      </c>
      <c r="I2" s="70">
        <f>H2*F2</f>
        <v>1845.2416840244905</v>
      </c>
      <c r="J2" s="48">
        <f>SUMIFS(I:I,A:A,A2)</f>
        <v>15998.473395190305</v>
      </c>
    </row>
    <row r="3" spans="1:11" x14ac:dyDescent="0.25">
      <c r="A3">
        <f t="shared" ref="A3:A5" si="0">YEAR(G3)</f>
        <v>2024</v>
      </c>
      <c r="B3">
        <v>24</v>
      </c>
      <c r="C3" t="s">
        <v>1824</v>
      </c>
      <c r="D3" s="48">
        <v>3000</v>
      </c>
      <c r="E3" s="48">
        <v>500</v>
      </c>
      <c r="F3" s="48">
        <v>2500</v>
      </c>
      <c r="G3" s="1">
        <v>45302</v>
      </c>
      <c r="H3" s="98">
        <f t="shared" ref="H3:H5" si="1">14.6/158.43</f>
        <v>9.2154263712680679E-2</v>
      </c>
      <c r="I3" s="70">
        <f t="shared" ref="I3:I6" si="2">H3*F3</f>
        <v>230.38565928170169</v>
      </c>
      <c r="J3" s="48">
        <f>SUMIFS(I:I,A:A,A3)</f>
        <v>15998.473395190305</v>
      </c>
    </row>
    <row r="4" spans="1:11" x14ac:dyDescent="0.25">
      <c r="A4">
        <f t="shared" si="0"/>
        <v>2024</v>
      </c>
      <c r="B4">
        <v>48</v>
      </c>
      <c r="C4" t="s">
        <v>1825</v>
      </c>
      <c r="D4" s="48">
        <v>12000</v>
      </c>
      <c r="E4" s="48">
        <v>2000</v>
      </c>
      <c r="F4" s="48">
        <v>10000</v>
      </c>
      <c r="G4" s="1">
        <v>45381</v>
      </c>
      <c r="H4" s="98">
        <f t="shared" si="1"/>
        <v>9.2154263712680679E-2</v>
      </c>
      <c r="I4" s="70">
        <f t="shared" si="2"/>
        <v>921.54263712680677</v>
      </c>
      <c r="J4" s="48">
        <f>SUMIFS(I:I,A:A,A4)</f>
        <v>15998.473395190305</v>
      </c>
    </row>
    <row r="5" spans="1:11" x14ac:dyDescent="0.25">
      <c r="A5">
        <f t="shared" si="0"/>
        <v>2024</v>
      </c>
      <c r="B5">
        <v>47</v>
      </c>
      <c r="C5" t="s">
        <v>1826</v>
      </c>
      <c r="D5" s="48">
        <v>31920</v>
      </c>
      <c r="E5" s="48">
        <v>5320</v>
      </c>
      <c r="F5" s="48">
        <v>26600</v>
      </c>
      <c r="G5" s="1">
        <v>45381</v>
      </c>
      <c r="H5" s="98">
        <f t="shared" si="1"/>
        <v>9.2154263712680679E-2</v>
      </c>
      <c r="I5" s="70">
        <f t="shared" si="2"/>
        <v>2451.3034147573062</v>
      </c>
      <c r="J5" s="48">
        <f>SUMIFS(I:I,A:A,A5)</f>
        <v>15998.473395190305</v>
      </c>
    </row>
    <row r="6" spans="1:11" x14ac:dyDescent="0.25">
      <c r="A6">
        <v>2024</v>
      </c>
      <c r="B6">
        <v>174</v>
      </c>
      <c r="C6" t="s">
        <v>1828</v>
      </c>
      <c r="F6" s="48">
        <v>10550</v>
      </c>
      <c r="G6" s="1">
        <v>45643</v>
      </c>
      <c r="H6" s="98">
        <v>1</v>
      </c>
      <c r="I6" s="70">
        <f t="shared" si="2"/>
        <v>10550</v>
      </c>
      <c r="J6" s="48">
        <f>SUMIFS(I:I,A:A,A6)</f>
        <v>15998.473395190305</v>
      </c>
      <c r="K6" s="1">
        <f>G6+366*4</f>
        <v>47107</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D3F86-28E7-48E3-911A-2210BCD9A64C}">
  <sheetPr codeName="Tabelle34"/>
  <dimension ref="A1:XEJ224"/>
  <sheetViews>
    <sheetView zoomScaleNormal="100" workbookViewId="0">
      <selection activeCell="G178" sqref="A2:G178"/>
    </sheetView>
  </sheetViews>
  <sheetFormatPr baseColWidth="10" defaultColWidth="11.42578125" defaultRowHeight="15" x14ac:dyDescent="0.25"/>
  <cols>
    <col min="2" max="2" width="11.42578125" style="1"/>
    <col min="3" max="3" width="35.7109375" customWidth="1"/>
    <col min="6" max="6" width="11.42578125" style="48"/>
    <col min="13" max="13" width="13.85546875" customWidth="1"/>
    <col min="18" max="18" width="11.85546875" bestFit="1" customWidth="1"/>
    <col min="25" max="25" width="17.140625" bestFit="1" customWidth="1"/>
  </cols>
  <sheetData>
    <row r="1" spans="1:16364" x14ac:dyDescent="0.25">
      <c r="A1" s="63" t="s">
        <v>845</v>
      </c>
      <c r="B1" s="96" t="s">
        <v>846</v>
      </c>
      <c r="C1" s="63" t="s">
        <v>847</v>
      </c>
      <c r="D1" s="63" t="s">
        <v>706</v>
      </c>
      <c r="E1" s="63" t="s">
        <v>682</v>
      </c>
      <c r="F1" s="95" t="s">
        <v>848</v>
      </c>
      <c r="G1" s="63" t="s">
        <v>844</v>
      </c>
      <c r="H1" s="87"/>
      <c r="I1" s="190" t="s">
        <v>47</v>
      </c>
      <c r="J1" s="188" t="s">
        <v>681</v>
      </c>
      <c r="K1" s="79" t="s">
        <v>706</v>
      </c>
      <c r="L1" s="80" t="s">
        <v>682</v>
      </c>
      <c r="M1" s="2" t="s">
        <v>7</v>
      </c>
      <c r="N1" s="79" t="s">
        <v>1</v>
      </c>
      <c r="P1" s="82" t="s">
        <v>540</v>
      </c>
      <c r="Q1" s="79" t="s">
        <v>177</v>
      </c>
      <c r="R1" s="86" t="s">
        <v>5</v>
      </c>
      <c r="S1" s="184" t="s">
        <v>1778</v>
      </c>
      <c r="U1" s="83" t="s">
        <v>9</v>
      </c>
      <c r="V1" s="184" t="s">
        <v>3</v>
      </c>
      <c r="W1" s="184" t="s">
        <v>1780</v>
      </c>
      <c r="X1" s="184" t="s">
        <v>2</v>
      </c>
      <c r="Y1" s="184" t="s">
        <v>1779</v>
      </c>
      <c r="Z1" s="186" t="s">
        <v>46</v>
      </c>
      <c r="AA1" s="79" t="s">
        <v>211</v>
      </c>
      <c r="AB1" s="184" t="s">
        <v>215</v>
      </c>
      <c r="AC1" s="194"/>
      <c r="AD1" s="87" t="s">
        <v>1764</v>
      </c>
      <c r="AE1" s="87" t="s">
        <v>1765</v>
      </c>
      <c r="AF1" s="87" t="s">
        <v>1766</v>
      </c>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87"/>
      <c r="BLW1" s="87"/>
      <c r="BLX1" s="87"/>
      <c r="BLY1" s="87"/>
      <c r="BLZ1" s="87"/>
      <c r="BMA1" s="87"/>
      <c r="BMB1" s="87"/>
      <c r="BMC1" s="87"/>
      <c r="BMD1" s="87"/>
      <c r="BME1" s="87"/>
      <c r="BMF1" s="87"/>
      <c r="BMG1" s="87"/>
      <c r="BMH1" s="87"/>
      <c r="BMI1" s="87"/>
      <c r="BMJ1" s="87"/>
      <c r="BMK1" s="87"/>
      <c r="BML1" s="87"/>
      <c r="BMM1" s="87"/>
      <c r="BMN1" s="87"/>
      <c r="BMO1" s="87"/>
      <c r="BMP1" s="87"/>
      <c r="BMQ1" s="87"/>
      <c r="BMR1" s="87"/>
      <c r="BMS1" s="87"/>
      <c r="BMT1" s="87"/>
      <c r="BMU1" s="87"/>
      <c r="BMV1" s="87"/>
      <c r="BMW1" s="87"/>
      <c r="BMX1" s="87"/>
      <c r="BMY1" s="87"/>
      <c r="BMZ1" s="87"/>
      <c r="BNA1" s="87"/>
      <c r="BNB1" s="87"/>
      <c r="BNC1" s="87"/>
      <c r="BND1" s="87"/>
      <c r="BNE1" s="87"/>
      <c r="BNF1" s="87"/>
      <c r="BNG1" s="87"/>
      <c r="BNH1" s="87"/>
      <c r="BNI1" s="87"/>
      <c r="BNJ1" s="87"/>
      <c r="BNK1" s="87"/>
      <c r="BNL1" s="87"/>
      <c r="BNM1" s="87"/>
      <c r="BNN1" s="87"/>
      <c r="BNO1" s="87"/>
      <c r="BNP1" s="87"/>
      <c r="BNQ1" s="87"/>
      <c r="BNR1" s="87"/>
      <c r="BNS1" s="87"/>
      <c r="BNT1" s="87"/>
      <c r="BNU1" s="87"/>
      <c r="BNV1" s="87"/>
      <c r="BNW1" s="87"/>
      <c r="BNX1" s="87"/>
      <c r="BNY1" s="87"/>
      <c r="BNZ1" s="87"/>
      <c r="BOA1" s="87"/>
      <c r="BOB1" s="87"/>
      <c r="BOC1" s="87"/>
      <c r="BOD1" s="87"/>
      <c r="BOE1" s="87"/>
      <c r="BOF1" s="87"/>
      <c r="BOG1" s="87"/>
      <c r="BOH1" s="87"/>
      <c r="BOI1" s="87"/>
      <c r="BOJ1" s="87"/>
      <c r="BOK1" s="87"/>
      <c r="BOL1" s="87"/>
      <c r="BOM1" s="87"/>
      <c r="BON1" s="87"/>
      <c r="BOO1" s="87"/>
      <c r="BOP1" s="87"/>
      <c r="BOQ1" s="87"/>
      <c r="BOR1" s="87"/>
      <c r="BOS1" s="87"/>
      <c r="BOT1" s="87"/>
      <c r="BOU1" s="87"/>
      <c r="BOV1" s="87"/>
      <c r="BOW1" s="87"/>
      <c r="BOX1" s="87"/>
      <c r="BOY1" s="87"/>
      <c r="BOZ1" s="87"/>
      <c r="BPA1" s="87"/>
      <c r="BPB1" s="87"/>
      <c r="BPC1" s="87"/>
      <c r="BPD1" s="87"/>
      <c r="BPE1" s="87"/>
      <c r="BPF1" s="87"/>
      <c r="BPG1" s="87"/>
      <c r="BPH1" s="87"/>
      <c r="BPI1" s="87"/>
      <c r="BPJ1" s="87"/>
      <c r="BPK1" s="87"/>
      <c r="BPL1" s="87"/>
      <c r="BPM1" s="87"/>
      <c r="BPN1" s="87"/>
      <c r="BPO1" s="87"/>
      <c r="BPP1" s="87"/>
      <c r="BPQ1" s="87"/>
      <c r="BPR1" s="87"/>
      <c r="BPS1" s="87"/>
      <c r="BPT1" s="87"/>
      <c r="BPU1" s="87"/>
      <c r="BPV1" s="87"/>
      <c r="BPW1" s="87"/>
      <c r="BPX1" s="87"/>
      <c r="BPY1" s="87"/>
      <c r="BPZ1" s="87"/>
      <c r="BQA1" s="87"/>
      <c r="BQB1" s="87"/>
      <c r="BQC1" s="87"/>
      <c r="BQD1" s="87"/>
      <c r="BQE1" s="87"/>
      <c r="BQF1" s="87"/>
      <c r="BQG1" s="87"/>
      <c r="BQH1" s="87"/>
      <c r="BQI1" s="87"/>
      <c r="BQJ1" s="87"/>
      <c r="BQK1" s="87"/>
      <c r="BQL1" s="87"/>
      <c r="BQM1" s="87"/>
      <c r="BQN1" s="87"/>
      <c r="BQO1" s="87"/>
      <c r="BQP1" s="87"/>
      <c r="BQQ1" s="87"/>
      <c r="BQR1" s="87"/>
      <c r="BQS1" s="87"/>
      <c r="BQT1" s="87"/>
      <c r="BQU1" s="87"/>
      <c r="BQV1" s="87"/>
      <c r="BQW1" s="87"/>
      <c r="BQX1" s="87"/>
      <c r="BQY1" s="87"/>
      <c r="BQZ1" s="87"/>
      <c r="BRA1" s="87"/>
      <c r="BRB1" s="87"/>
      <c r="BRC1" s="87"/>
      <c r="BRD1" s="87"/>
      <c r="BRE1" s="87"/>
      <c r="BRF1" s="87"/>
      <c r="BRG1" s="87"/>
      <c r="BRH1" s="87"/>
      <c r="BRI1" s="87"/>
      <c r="BRJ1" s="87"/>
      <c r="BRK1" s="87"/>
      <c r="BRL1" s="87"/>
      <c r="BRM1" s="87"/>
      <c r="BRN1" s="87"/>
      <c r="BRO1" s="87"/>
      <c r="BRP1" s="87"/>
      <c r="BRQ1" s="87"/>
      <c r="BRR1" s="87"/>
      <c r="BRS1" s="87"/>
      <c r="BRT1" s="87"/>
      <c r="BRU1" s="87"/>
      <c r="BRV1" s="87"/>
      <c r="BRW1" s="87"/>
      <c r="BRX1" s="87"/>
      <c r="BRY1" s="87"/>
      <c r="BRZ1" s="87"/>
      <c r="BSA1" s="87"/>
      <c r="BSB1" s="87"/>
      <c r="BSC1" s="87"/>
      <c r="BSD1" s="87"/>
      <c r="BSE1" s="87"/>
      <c r="BSF1" s="87"/>
      <c r="BSG1" s="87"/>
      <c r="BSH1" s="87"/>
      <c r="BSI1" s="87"/>
      <c r="BSJ1" s="87"/>
      <c r="BSK1" s="87"/>
      <c r="BSL1" s="87"/>
      <c r="BSM1" s="87"/>
      <c r="BSN1" s="87"/>
      <c r="BSO1" s="87"/>
      <c r="BSP1" s="87"/>
      <c r="BSQ1" s="87"/>
      <c r="BSR1" s="87"/>
      <c r="BSS1" s="87"/>
      <c r="BST1" s="87"/>
      <c r="BSU1" s="87"/>
      <c r="BSV1" s="87"/>
      <c r="BSW1" s="87"/>
      <c r="BSX1" s="87"/>
      <c r="BSY1" s="87"/>
      <c r="BSZ1" s="87"/>
      <c r="BTA1" s="87"/>
      <c r="BTB1" s="87"/>
      <c r="BTC1" s="87"/>
      <c r="BTD1" s="87"/>
      <c r="BTE1" s="87"/>
      <c r="BTF1" s="87"/>
      <c r="BTG1" s="87"/>
      <c r="BTH1" s="87"/>
      <c r="BTI1" s="87"/>
      <c r="BTJ1" s="87"/>
      <c r="BTK1" s="87"/>
      <c r="BTL1" s="87"/>
      <c r="BTM1" s="87"/>
      <c r="BTN1" s="87"/>
      <c r="BTO1" s="87"/>
      <c r="BTP1" s="87"/>
      <c r="BTQ1" s="87"/>
      <c r="BTR1" s="87"/>
      <c r="BTS1" s="87"/>
      <c r="BTT1" s="87"/>
      <c r="BTU1" s="87"/>
      <c r="BTV1" s="87"/>
      <c r="BTW1" s="87"/>
      <c r="BTX1" s="87"/>
      <c r="BTY1" s="87"/>
      <c r="BTZ1" s="87"/>
      <c r="BUA1" s="87"/>
      <c r="BUB1" s="87"/>
      <c r="BUC1" s="87"/>
      <c r="BUD1" s="87"/>
      <c r="BUE1" s="87"/>
      <c r="BUF1" s="87"/>
      <c r="BUG1" s="87"/>
      <c r="BUH1" s="87"/>
      <c r="BUI1" s="87"/>
      <c r="BUJ1" s="87"/>
      <c r="BUK1" s="87"/>
      <c r="BUL1" s="87"/>
      <c r="BUM1" s="87"/>
      <c r="BUN1" s="87"/>
      <c r="BUO1" s="87"/>
      <c r="BUP1" s="87"/>
      <c r="BUQ1" s="87"/>
      <c r="BUR1" s="87"/>
      <c r="BUS1" s="87"/>
      <c r="BUT1" s="87"/>
      <c r="BUU1" s="87"/>
      <c r="BUV1" s="87"/>
      <c r="BUW1" s="87"/>
      <c r="BUX1" s="87"/>
      <c r="BUY1" s="87"/>
      <c r="BUZ1" s="87"/>
      <c r="BVA1" s="87"/>
      <c r="BVB1" s="87"/>
      <c r="BVC1" s="87"/>
      <c r="BVD1" s="87"/>
      <c r="BVE1" s="87"/>
      <c r="BVF1" s="87"/>
      <c r="BVG1" s="87"/>
      <c r="BVH1" s="87"/>
      <c r="BVI1" s="87"/>
      <c r="BVJ1" s="87"/>
      <c r="BVK1" s="87"/>
      <c r="BVL1" s="87"/>
      <c r="BVM1" s="87"/>
      <c r="BVN1" s="87"/>
      <c r="BVO1" s="87"/>
      <c r="BVP1" s="87"/>
      <c r="BVQ1" s="87"/>
      <c r="BVR1" s="87"/>
      <c r="BVS1" s="87"/>
      <c r="BVT1" s="87"/>
      <c r="BVU1" s="87"/>
      <c r="BVV1" s="87"/>
      <c r="BVW1" s="87"/>
      <c r="BVX1" s="87"/>
      <c r="BVY1" s="87"/>
      <c r="BVZ1" s="87"/>
      <c r="BWA1" s="87"/>
      <c r="BWB1" s="87"/>
      <c r="BWC1" s="87"/>
      <c r="BWD1" s="87"/>
      <c r="BWE1" s="87"/>
      <c r="BWF1" s="87"/>
      <c r="BWG1" s="87"/>
      <c r="BWH1" s="87"/>
      <c r="BWI1" s="87"/>
      <c r="BWJ1" s="87"/>
      <c r="BWK1" s="87"/>
      <c r="BWL1" s="87"/>
      <c r="BWM1" s="87"/>
      <c r="BWN1" s="87"/>
      <c r="BWO1" s="87"/>
      <c r="BWP1" s="87"/>
      <c r="BWQ1" s="87"/>
      <c r="BWR1" s="87"/>
      <c r="BWS1" s="87"/>
      <c r="BWT1" s="87"/>
      <c r="BWU1" s="87"/>
      <c r="BWV1" s="87"/>
      <c r="BWW1" s="87"/>
      <c r="BWX1" s="87"/>
      <c r="BWY1" s="87"/>
      <c r="BWZ1" s="87"/>
      <c r="BXA1" s="87"/>
      <c r="BXB1" s="87"/>
      <c r="BXC1" s="87"/>
      <c r="BXD1" s="87"/>
      <c r="BXE1" s="87"/>
      <c r="BXF1" s="87"/>
      <c r="BXG1" s="87"/>
      <c r="BXH1" s="87"/>
      <c r="BXI1" s="87"/>
      <c r="BXJ1" s="87"/>
      <c r="BXK1" s="87"/>
      <c r="BXL1" s="87"/>
      <c r="BXM1" s="87"/>
      <c r="BXN1" s="87"/>
      <c r="BXO1" s="87"/>
      <c r="BXP1" s="87"/>
      <c r="BXQ1" s="87"/>
      <c r="BXR1" s="87"/>
      <c r="BXS1" s="87"/>
      <c r="BXT1" s="87"/>
      <c r="BXU1" s="87"/>
      <c r="BXV1" s="87"/>
      <c r="BXW1" s="87"/>
      <c r="BXX1" s="87"/>
      <c r="BXY1" s="87"/>
      <c r="BXZ1" s="87"/>
      <c r="BYA1" s="87"/>
      <c r="BYB1" s="87"/>
      <c r="BYC1" s="87"/>
      <c r="BYD1" s="87"/>
      <c r="BYE1" s="87"/>
      <c r="BYF1" s="87"/>
      <c r="BYG1" s="87"/>
      <c r="BYH1" s="87"/>
      <c r="BYI1" s="87"/>
      <c r="BYJ1" s="87"/>
      <c r="BYK1" s="87"/>
      <c r="BYL1" s="87"/>
      <c r="BYM1" s="87"/>
      <c r="BYN1" s="87"/>
      <c r="BYO1" s="87"/>
      <c r="BYP1" s="87"/>
      <c r="BYQ1" s="87"/>
      <c r="BYR1" s="87"/>
      <c r="BYS1" s="87"/>
      <c r="BYT1" s="87"/>
      <c r="BYU1" s="87"/>
      <c r="BYV1" s="87"/>
      <c r="BYW1" s="87"/>
      <c r="BYX1" s="87"/>
      <c r="BYY1" s="87"/>
      <c r="BYZ1" s="87"/>
      <c r="BZA1" s="87"/>
      <c r="BZB1" s="87"/>
      <c r="BZC1" s="87"/>
      <c r="BZD1" s="87"/>
      <c r="BZE1" s="87"/>
      <c r="BZF1" s="87"/>
      <c r="BZG1" s="87"/>
      <c r="BZH1" s="87"/>
      <c r="BZI1" s="87"/>
      <c r="BZJ1" s="87"/>
      <c r="BZK1" s="87"/>
      <c r="BZL1" s="87"/>
      <c r="BZM1" s="87"/>
      <c r="BZN1" s="87"/>
      <c r="BZO1" s="87"/>
      <c r="BZP1" s="87"/>
      <c r="BZQ1" s="87"/>
      <c r="BZR1" s="87"/>
      <c r="BZS1" s="87"/>
      <c r="BZT1" s="87"/>
      <c r="BZU1" s="87"/>
      <c r="BZV1" s="87"/>
      <c r="BZW1" s="87"/>
      <c r="BZX1" s="87"/>
      <c r="BZY1" s="87"/>
      <c r="BZZ1" s="87"/>
      <c r="CAA1" s="87"/>
      <c r="CAB1" s="87"/>
      <c r="CAC1" s="87"/>
      <c r="CAD1" s="87"/>
      <c r="CAE1" s="87"/>
      <c r="CAF1" s="87"/>
      <c r="CAG1" s="87"/>
      <c r="CAH1" s="87"/>
      <c r="CAI1" s="87"/>
      <c r="CAJ1" s="87"/>
      <c r="CAK1" s="87"/>
      <c r="CAL1" s="87"/>
      <c r="CAM1" s="87"/>
      <c r="CAN1" s="87"/>
      <c r="CAO1" s="87"/>
      <c r="CAP1" s="87"/>
      <c r="CAQ1" s="87"/>
      <c r="CAR1" s="87"/>
      <c r="CAS1" s="87"/>
      <c r="CAT1" s="87"/>
      <c r="CAU1" s="87"/>
      <c r="CAV1" s="87"/>
      <c r="CAW1" s="87"/>
      <c r="CAX1" s="87"/>
      <c r="CAY1" s="87"/>
      <c r="CAZ1" s="87"/>
      <c r="CBA1" s="87"/>
      <c r="CBB1" s="87"/>
      <c r="CBC1" s="87"/>
      <c r="CBD1" s="87"/>
      <c r="CBE1" s="87"/>
      <c r="CBF1" s="87"/>
      <c r="CBG1" s="87"/>
      <c r="CBH1" s="87"/>
      <c r="CBI1" s="87"/>
      <c r="CBJ1" s="87"/>
      <c r="CBK1" s="87"/>
      <c r="CBL1" s="87"/>
      <c r="CBM1" s="87"/>
      <c r="CBN1" s="87"/>
      <c r="CBO1" s="87"/>
      <c r="CBP1" s="87"/>
      <c r="CBQ1" s="87"/>
      <c r="CBR1" s="87"/>
      <c r="CBS1" s="87"/>
      <c r="CBT1" s="87"/>
      <c r="CBU1" s="87"/>
      <c r="CBV1" s="87"/>
      <c r="CBW1" s="87"/>
      <c r="CBX1" s="87"/>
      <c r="CBY1" s="87"/>
      <c r="CBZ1" s="87"/>
      <c r="CCA1" s="87"/>
      <c r="CCB1" s="87"/>
      <c r="CCC1" s="87"/>
      <c r="CCD1" s="87"/>
      <c r="CCE1" s="87"/>
      <c r="CCF1" s="87"/>
      <c r="CCG1" s="87"/>
      <c r="CCH1" s="87"/>
      <c r="CCI1" s="87"/>
      <c r="CCJ1" s="87"/>
      <c r="CCK1" s="87"/>
      <c r="CCL1" s="87"/>
      <c r="CCM1" s="87"/>
      <c r="CCN1" s="87"/>
      <c r="CCO1" s="87"/>
      <c r="CCP1" s="87"/>
      <c r="CCQ1" s="87"/>
      <c r="CCR1" s="87"/>
      <c r="CCS1" s="87"/>
      <c r="CCT1" s="87"/>
      <c r="CCU1" s="87"/>
      <c r="CCV1" s="87"/>
      <c r="CCW1" s="87"/>
      <c r="CCX1" s="87"/>
      <c r="CCY1" s="87"/>
      <c r="CCZ1" s="87"/>
      <c r="CDA1" s="87"/>
      <c r="CDB1" s="87"/>
      <c r="CDC1" s="87"/>
      <c r="CDD1" s="87"/>
      <c r="CDE1" s="87"/>
      <c r="CDF1" s="87"/>
      <c r="CDG1" s="87"/>
      <c r="CDH1" s="87"/>
      <c r="CDI1" s="87"/>
      <c r="CDJ1" s="87"/>
      <c r="CDK1" s="87"/>
      <c r="CDL1" s="87"/>
      <c r="CDM1" s="87"/>
      <c r="CDN1" s="87"/>
      <c r="CDO1" s="87"/>
      <c r="CDP1" s="87"/>
      <c r="CDQ1" s="87"/>
      <c r="CDR1" s="87"/>
      <c r="CDS1" s="87"/>
      <c r="CDT1" s="87"/>
      <c r="CDU1" s="87"/>
      <c r="CDV1" s="87"/>
      <c r="CDW1" s="87"/>
      <c r="CDX1" s="87"/>
      <c r="CDY1" s="87"/>
      <c r="CDZ1" s="87"/>
      <c r="CEA1" s="87"/>
      <c r="CEB1" s="87"/>
      <c r="CEC1" s="87"/>
      <c r="CED1" s="87"/>
      <c r="CEE1" s="87"/>
      <c r="CEF1" s="87"/>
      <c r="CEG1" s="87"/>
      <c r="CEH1" s="87"/>
      <c r="CEI1" s="87"/>
      <c r="CEJ1" s="87"/>
      <c r="CEK1" s="87"/>
      <c r="CEL1" s="87"/>
      <c r="CEM1" s="87"/>
      <c r="CEN1" s="87"/>
      <c r="CEO1" s="87"/>
      <c r="CEP1" s="87"/>
      <c r="CEQ1" s="87"/>
      <c r="CER1" s="87"/>
      <c r="CES1" s="87"/>
      <c r="CET1" s="87"/>
      <c r="CEU1" s="87"/>
      <c r="CEV1" s="87"/>
      <c r="CEW1" s="87"/>
      <c r="CEX1" s="87"/>
      <c r="CEY1" s="87"/>
      <c r="CEZ1" s="87"/>
      <c r="CFA1" s="87"/>
      <c r="CFB1" s="87"/>
      <c r="CFC1" s="87"/>
      <c r="CFD1" s="87"/>
      <c r="CFE1" s="87"/>
      <c r="CFF1" s="87"/>
      <c r="CFG1" s="87"/>
      <c r="CFH1" s="87"/>
      <c r="CFI1" s="87"/>
      <c r="CFJ1" s="87"/>
      <c r="CFK1" s="87"/>
      <c r="CFL1" s="87"/>
      <c r="CFM1" s="87"/>
      <c r="CFN1" s="87"/>
      <c r="CFO1" s="87"/>
      <c r="CFP1" s="87"/>
      <c r="CFQ1" s="87"/>
      <c r="CFR1" s="87"/>
      <c r="CFS1" s="87"/>
      <c r="CFT1" s="87"/>
      <c r="CFU1" s="87"/>
      <c r="CFV1" s="87"/>
      <c r="CFW1" s="87"/>
      <c r="CFX1" s="87"/>
      <c r="CFY1" s="87"/>
      <c r="CFZ1" s="87"/>
      <c r="CGA1" s="87"/>
      <c r="CGB1" s="87"/>
      <c r="CGC1" s="87"/>
      <c r="CGD1" s="87"/>
      <c r="CGE1" s="87"/>
      <c r="CGF1" s="87"/>
      <c r="CGG1" s="87"/>
      <c r="CGH1" s="87"/>
      <c r="CGI1" s="87"/>
      <c r="CGJ1" s="87"/>
      <c r="CGK1" s="87"/>
      <c r="CGL1" s="87"/>
      <c r="CGM1" s="87"/>
      <c r="CGN1" s="87"/>
      <c r="CGO1" s="87"/>
      <c r="CGP1" s="87"/>
      <c r="CGQ1" s="87"/>
      <c r="CGR1" s="87"/>
      <c r="CGS1" s="87"/>
      <c r="CGT1" s="87"/>
      <c r="CGU1" s="87"/>
      <c r="CGV1" s="87"/>
      <c r="CGW1" s="87"/>
      <c r="CGX1" s="87"/>
      <c r="CGY1" s="87"/>
      <c r="CGZ1" s="87"/>
      <c r="CHA1" s="87"/>
      <c r="CHB1" s="87"/>
      <c r="CHC1" s="87"/>
      <c r="CHD1" s="87"/>
      <c r="CHE1" s="87"/>
      <c r="CHF1" s="87"/>
      <c r="CHG1" s="87"/>
      <c r="CHH1" s="87"/>
      <c r="CHI1" s="87"/>
      <c r="CHJ1" s="87"/>
      <c r="CHK1" s="87"/>
      <c r="CHL1" s="87"/>
      <c r="CHM1" s="87"/>
      <c r="CHN1" s="87"/>
      <c r="CHO1" s="87"/>
      <c r="CHP1" s="87"/>
      <c r="CHQ1" s="87"/>
      <c r="CHR1" s="87"/>
      <c r="CHS1" s="87"/>
      <c r="CHT1" s="87"/>
      <c r="CHU1" s="87"/>
      <c r="CHV1" s="87"/>
      <c r="CHW1" s="87"/>
      <c r="CHX1" s="87"/>
      <c r="CHY1" s="87"/>
      <c r="CHZ1" s="87"/>
      <c r="CIA1" s="87"/>
      <c r="CIB1" s="87"/>
      <c r="CIC1" s="87"/>
      <c r="CID1" s="87"/>
      <c r="CIE1" s="87"/>
      <c r="CIF1" s="87"/>
      <c r="CIG1" s="87"/>
      <c r="CIH1" s="87"/>
      <c r="CII1" s="87"/>
      <c r="CIJ1" s="87"/>
      <c r="CIK1" s="87"/>
      <c r="CIL1" s="87"/>
      <c r="CIM1" s="87"/>
      <c r="CIN1" s="87"/>
      <c r="CIO1" s="87"/>
      <c r="CIP1" s="87"/>
      <c r="CIQ1" s="87"/>
      <c r="CIR1" s="87"/>
      <c r="CIS1" s="87"/>
      <c r="CIT1" s="87"/>
      <c r="CIU1" s="87"/>
      <c r="CIV1" s="87"/>
      <c r="CIW1" s="87"/>
      <c r="CIX1" s="87"/>
      <c r="CIY1" s="87"/>
      <c r="CIZ1" s="87"/>
      <c r="CJA1" s="87"/>
      <c r="CJB1" s="87"/>
      <c r="CJC1" s="87"/>
      <c r="CJD1" s="87"/>
      <c r="CJE1" s="87"/>
      <c r="CJF1" s="87"/>
      <c r="CJG1" s="87"/>
      <c r="CJH1" s="87"/>
      <c r="CJI1" s="87"/>
      <c r="CJJ1" s="87"/>
      <c r="CJK1" s="87"/>
      <c r="CJL1" s="87"/>
      <c r="CJM1" s="87"/>
      <c r="CJN1" s="87"/>
      <c r="CJO1" s="87"/>
      <c r="CJP1" s="87"/>
      <c r="CJQ1" s="87"/>
      <c r="CJR1" s="87"/>
      <c r="CJS1" s="87"/>
      <c r="CJT1" s="87"/>
      <c r="CJU1" s="87"/>
      <c r="CJV1" s="87"/>
      <c r="CJW1" s="87"/>
      <c r="CJX1" s="87"/>
      <c r="CJY1" s="87"/>
      <c r="CJZ1" s="87"/>
      <c r="CKA1" s="87"/>
      <c r="CKB1" s="87"/>
      <c r="CKC1" s="87"/>
      <c r="CKD1" s="87"/>
      <c r="CKE1" s="87"/>
      <c r="CKF1" s="87"/>
      <c r="CKG1" s="87"/>
      <c r="CKH1" s="87"/>
      <c r="CKI1" s="87"/>
      <c r="CKJ1" s="87"/>
      <c r="CKK1" s="87"/>
      <c r="CKL1" s="87"/>
      <c r="CKM1" s="87"/>
      <c r="CKN1" s="87"/>
      <c r="CKO1" s="87"/>
      <c r="CKP1" s="87"/>
      <c r="CKQ1" s="87"/>
      <c r="CKR1" s="87"/>
      <c r="CKS1" s="87"/>
      <c r="CKT1" s="87"/>
      <c r="CKU1" s="87"/>
      <c r="CKV1" s="87"/>
      <c r="CKW1" s="87"/>
      <c r="CKX1" s="87"/>
      <c r="CKY1" s="87"/>
      <c r="CKZ1" s="87"/>
      <c r="CLA1" s="87"/>
      <c r="CLB1" s="87"/>
      <c r="CLC1" s="87"/>
      <c r="CLD1" s="87"/>
      <c r="CLE1" s="87"/>
      <c r="CLF1" s="87"/>
      <c r="CLG1" s="87"/>
      <c r="CLH1" s="87"/>
      <c r="CLI1" s="87"/>
      <c r="CLJ1" s="87"/>
      <c r="CLK1" s="87"/>
      <c r="CLL1" s="87"/>
      <c r="CLM1" s="87"/>
      <c r="CLN1" s="87"/>
      <c r="CLO1" s="87"/>
      <c r="CLP1" s="87"/>
      <c r="CLQ1" s="87"/>
      <c r="CLR1" s="87"/>
      <c r="CLS1" s="87"/>
      <c r="CLT1" s="87"/>
      <c r="CLU1" s="87"/>
      <c r="CLV1" s="87"/>
      <c r="CLW1" s="87"/>
      <c r="CLX1" s="87"/>
      <c r="CLY1" s="87"/>
      <c r="CLZ1" s="87"/>
      <c r="CMA1" s="87"/>
      <c r="CMB1" s="87"/>
      <c r="CMC1" s="87"/>
      <c r="CMD1" s="87"/>
      <c r="CME1" s="87"/>
      <c r="CMF1" s="87"/>
      <c r="CMG1" s="87"/>
      <c r="CMH1" s="87"/>
      <c r="CMI1" s="87"/>
      <c r="CMJ1" s="87"/>
      <c r="CMK1" s="87"/>
      <c r="CML1" s="87"/>
      <c r="CMM1" s="87"/>
      <c r="CMN1" s="87"/>
      <c r="CMO1" s="87"/>
      <c r="CMP1" s="87"/>
      <c r="CMQ1" s="87"/>
      <c r="CMR1" s="87"/>
      <c r="CMS1" s="87"/>
      <c r="CMT1" s="87"/>
      <c r="CMU1" s="87"/>
      <c r="CMV1" s="87"/>
      <c r="CMW1" s="87"/>
      <c r="CMX1" s="87"/>
      <c r="CMY1" s="87"/>
      <c r="CMZ1" s="87"/>
      <c r="CNA1" s="87"/>
      <c r="CNB1" s="87"/>
      <c r="CNC1" s="87"/>
      <c r="CND1" s="87"/>
      <c r="CNE1" s="87"/>
      <c r="CNF1" s="87"/>
      <c r="CNG1" s="87"/>
      <c r="CNH1" s="87"/>
      <c r="CNI1" s="87"/>
      <c r="CNJ1" s="87"/>
      <c r="CNK1" s="87"/>
      <c r="CNL1" s="87"/>
      <c r="CNM1" s="87"/>
      <c r="CNN1" s="87"/>
      <c r="CNO1" s="87"/>
      <c r="CNP1" s="87"/>
      <c r="CNQ1" s="87"/>
      <c r="CNR1" s="87"/>
      <c r="CNS1" s="87"/>
      <c r="CNT1" s="87"/>
      <c r="CNU1" s="87"/>
      <c r="CNV1" s="87"/>
      <c r="CNW1" s="87"/>
      <c r="CNX1" s="87"/>
      <c r="CNY1" s="87"/>
      <c r="CNZ1" s="87"/>
      <c r="COA1" s="87"/>
      <c r="COB1" s="87"/>
      <c r="COC1" s="87"/>
      <c r="COD1" s="87"/>
      <c r="COE1" s="87"/>
      <c r="COF1" s="87"/>
      <c r="COG1" s="87"/>
      <c r="COH1" s="87"/>
      <c r="COI1" s="87"/>
      <c r="COJ1" s="87"/>
      <c r="COK1" s="87"/>
      <c r="COL1" s="87"/>
      <c r="COM1" s="87"/>
      <c r="CON1" s="87"/>
      <c r="COO1" s="87"/>
      <c r="COP1" s="87"/>
      <c r="COQ1" s="87"/>
      <c r="COR1" s="87"/>
      <c r="COS1" s="87"/>
      <c r="COT1" s="87"/>
      <c r="COU1" s="87"/>
      <c r="COV1" s="87"/>
      <c r="COW1" s="87"/>
      <c r="COX1" s="87"/>
      <c r="COY1" s="87"/>
      <c r="COZ1" s="87"/>
      <c r="CPA1" s="87"/>
      <c r="CPB1" s="87"/>
      <c r="CPC1" s="87"/>
      <c r="CPD1" s="87"/>
      <c r="CPE1" s="87"/>
      <c r="CPF1" s="87"/>
      <c r="CPG1" s="87"/>
      <c r="CPH1" s="87"/>
      <c r="CPI1" s="87"/>
      <c r="CPJ1" s="87"/>
      <c r="CPK1" s="87"/>
      <c r="CPL1" s="87"/>
      <c r="CPM1" s="87"/>
      <c r="CPN1" s="87"/>
      <c r="CPO1" s="87"/>
      <c r="CPP1" s="87"/>
      <c r="CPQ1" s="87"/>
      <c r="CPR1" s="87"/>
      <c r="CPS1" s="87"/>
      <c r="CPT1" s="87"/>
      <c r="CPU1" s="87"/>
      <c r="CPV1" s="87"/>
      <c r="CPW1" s="87"/>
      <c r="CPX1" s="87"/>
      <c r="CPY1" s="87"/>
      <c r="CPZ1" s="87"/>
      <c r="CQA1" s="87"/>
      <c r="CQB1" s="87"/>
      <c r="CQC1" s="87"/>
      <c r="CQD1" s="87"/>
      <c r="CQE1" s="87"/>
      <c r="CQF1" s="87"/>
      <c r="CQG1" s="87"/>
      <c r="CQH1" s="87"/>
      <c r="CQI1" s="87"/>
      <c r="CQJ1" s="87"/>
      <c r="CQK1" s="87"/>
      <c r="CQL1" s="87"/>
      <c r="CQM1" s="87"/>
      <c r="CQN1" s="87"/>
      <c r="CQO1" s="87"/>
      <c r="CQP1" s="87"/>
      <c r="CQQ1" s="87"/>
      <c r="CQR1" s="87"/>
      <c r="CQS1" s="87"/>
      <c r="CQT1" s="87"/>
      <c r="CQU1" s="87"/>
      <c r="CQV1" s="87"/>
      <c r="CQW1" s="87"/>
      <c r="CQX1" s="87"/>
      <c r="CQY1" s="87"/>
      <c r="CQZ1" s="87"/>
      <c r="CRA1" s="87"/>
      <c r="CRB1" s="87"/>
      <c r="CRC1" s="87"/>
      <c r="CRD1" s="87"/>
      <c r="CRE1" s="87"/>
      <c r="CRF1" s="87"/>
      <c r="CRG1" s="87"/>
      <c r="CRH1" s="87"/>
      <c r="CRI1" s="87"/>
      <c r="CRJ1" s="87"/>
      <c r="CRK1" s="87"/>
      <c r="CRL1" s="87"/>
      <c r="CRM1" s="87"/>
      <c r="CRN1" s="87"/>
      <c r="CRO1" s="87"/>
      <c r="CRP1" s="87"/>
      <c r="CRQ1" s="87"/>
      <c r="CRR1" s="87"/>
      <c r="CRS1" s="87"/>
      <c r="CRT1" s="87"/>
      <c r="CRU1" s="87"/>
      <c r="CRV1" s="87"/>
      <c r="CRW1" s="87"/>
      <c r="CRX1" s="87"/>
      <c r="CRY1" s="87"/>
      <c r="CRZ1" s="87"/>
      <c r="CSA1" s="87"/>
      <c r="CSB1" s="87"/>
      <c r="CSC1" s="87"/>
      <c r="CSD1" s="87"/>
      <c r="CSE1" s="87"/>
      <c r="CSF1" s="87"/>
      <c r="CSG1" s="87"/>
      <c r="CSH1" s="87"/>
      <c r="CSI1" s="87"/>
      <c r="CSJ1" s="87"/>
      <c r="CSK1" s="87"/>
      <c r="CSL1" s="87"/>
      <c r="CSM1" s="87"/>
      <c r="CSN1" s="87"/>
      <c r="CSO1" s="87"/>
      <c r="CSP1" s="87"/>
      <c r="CSQ1" s="87"/>
      <c r="CSR1" s="87"/>
      <c r="CSS1" s="87"/>
      <c r="CST1" s="87"/>
      <c r="CSU1" s="87"/>
      <c r="CSV1" s="87"/>
      <c r="CSW1" s="87"/>
      <c r="CSX1" s="87"/>
      <c r="CSY1" s="87"/>
      <c r="CSZ1" s="87"/>
      <c r="CTA1" s="87"/>
      <c r="CTB1" s="87"/>
      <c r="CTC1" s="87"/>
      <c r="CTD1" s="87"/>
      <c r="CTE1" s="87"/>
      <c r="CTF1" s="87"/>
      <c r="CTG1" s="87"/>
      <c r="CTH1" s="87"/>
      <c r="CTI1" s="87"/>
      <c r="CTJ1" s="87"/>
      <c r="CTK1" s="87"/>
      <c r="CTL1" s="87"/>
      <c r="CTM1" s="87"/>
      <c r="CTN1" s="87"/>
      <c r="CTO1" s="87"/>
      <c r="CTP1" s="87"/>
      <c r="CTQ1" s="87"/>
      <c r="CTR1" s="87"/>
      <c r="CTS1" s="87"/>
      <c r="CTT1" s="87"/>
      <c r="CTU1" s="87"/>
      <c r="CTV1" s="87"/>
      <c r="CTW1" s="87"/>
      <c r="CTX1" s="87"/>
      <c r="CTY1" s="87"/>
      <c r="CTZ1" s="87"/>
      <c r="CUA1" s="87"/>
      <c r="CUB1" s="87"/>
      <c r="CUC1" s="87"/>
      <c r="CUD1" s="87"/>
      <c r="CUE1" s="87"/>
      <c r="CUF1" s="87"/>
      <c r="CUG1" s="87"/>
      <c r="CUH1" s="87"/>
      <c r="CUI1" s="87"/>
      <c r="CUJ1" s="87"/>
      <c r="CUK1" s="87"/>
      <c r="CUL1" s="87"/>
      <c r="CUM1" s="87"/>
      <c r="CUN1" s="87"/>
      <c r="CUO1" s="87"/>
      <c r="CUP1" s="87"/>
      <c r="CUQ1" s="87"/>
      <c r="CUR1" s="87"/>
      <c r="CUS1" s="87"/>
      <c r="CUT1" s="87"/>
      <c r="CUU1" s="87"/>
      <c r="CUV1" s="87"/>
      <c r="CUW1" s="87"/>
      <c r="CUX1" s="87"/>
      <c r="CUY1" s="87"/>
      <c r="CUZ1" s="87"/>
      <c r="CVA1" s="87"/>
      <c r="CVB1" s="87"/>
      <c r="CVC1" s="87"/>
      <c r="CVD1" s="87"/>
      <c r="CVE1" s="87"/>
      <c r="CVF1" s="87"/>
      <c r="CVG1" s="87"/>
      <c r="CVH1" s="87"/>
      <c r="CVI1" s="87"/>
      <c r="CVJ1" s="87"/>
      <c r="CVK1" s="87"/>
      <c r="CVL1" s="87"/>
      <c r="CVM1" s="87"/>
      <c r="CVN1" s="87"/>
      <c r="CVO1" s="87"/>
      <c r="CVP1" s="87"/>
      <c r="CVQ1" s="87"/>
      <c r="CVR1" s="87"/>
      <c r="CVS1" s="87"/>
      <c r="CVT1" s="87"/>
      <c r="CVU1" s="87"/>
      <c r="CVV1" s="87"/>
      <c r="CVW1" s="87"/>
      <c r="CVX1" s="87"/>
      <c r="CVY1" s="87"/>
      <c r="CVZ1" s="87"/>
      <c r="CWA1" s="87"/>
      <c r="CWB1" s="87"/>
      <c r="CWC1" s="87"/>
      <c r="CWD1" s="87"/>
      <c r="CWE1" s="87"/>
      <c r="CWF1" s="87"/>
      <c r="CWG1" s="87"/>
      <c r="CWH1" s="87"/>
      <c r="CWI1" s="87"/>
      <c r="CWJ1" s="87"/>
      <c r="CWK1" s="87"/>
      <c r="CWL1" s="87"/>
      <c r="CWM1" s="87"/>
      <c r="CWN1" s="87"/>
      <c r="CWO1" s="87"/>
      <c r="CWP1" s="87"/>
      <c r="CWQ1" s="87"/>
      <c r="CWR1" s="87"/>
      <c r="CWS1" s="87"/>
      <c r="CWT1" s="87"/>
      <c r="CWU1" s="87"/>
      <c r="CWV1" s="87"/>
      <c r="CWW1" s="87"/>
      <c r="CWX1" s="87"/>
      <c r="CWY1" s="87"/>
      <c r="CWZ1" s="87"/>
      <c r="CXA1" s="87"/>
      <c r="CXB1" s="87"/>
      <c r="CXC1" s="87"/>
      <c r="CXD1" s="87"/>
      <c r="CXE1" s="87"/>
      <c r="CXF1" s="87"/>
      <c r="CXG1" s="87"/>
      <c r="CXH1" s="87"/>
      <c r="CXI1" s="87"/>
      <c r="CXJ1" s="87"/>
      <c r="CXK1" s="87"/>
      <c r="CXL1" s="87"/>
      <c r="CXM1" s="87"/>
      <c r="CXN1" s="87"/>
      <c r="CXO1" s="87"/>
      <c r="CXP1" s="87"/>
      <c r="CXQ1" s="87"/>
      <c r="CXR1" s="87"/>
      <c r="CXS1" s="87"/>
      <c r="CXT1" s="87"/>
      <c r="CXU1" s="87"/>
      <c r="CXV1" s="87"/>
      <c r="CXW1" s="87"/>
      <c r="CXX1" s="87"/>
      <c r="CXY1" s="87"/>
      <c r="CXZ1" s="87"/>
      <c r="CYA1" s="87"/>
      <c r="CYB1" s="87"/>
      <c r="CYC1" s="87"/>
      <c r="CYD1" s="87"/>
      <c r="CYE1" s="87"/>
      <c r="CYF1" s="87"/>
      <c r="CYG1" s="87"/>
      <c r="CYH1" s="87"/>
      <c r="CYI1" s="87"/>
      <c r="CYJ1" s="87"/>
      <c r="CYK1" s="87"/>
      <c r="CYL1" s="87"/>
      <c r="CYM1" s="87"/>
      <c r="CYN1" s="87"/>
      <c r="CYO1" s="87"/>
      <c r="CYP1" s="87"/>
      <c r="CYQ1" s="87"/>
      <c r="CYR1" s="87"/>
      <c r="CYS1" s="87"/>
      <c r="CYT1" s="87"/>
      <c r="CYU1" s="87"/>
      <c r="CYV1" s="87"/>
      <c r="CYW1" s="87"/>
      <c r="CYX1" s="87"/>
      <c r="CYY1" s="87"/>
      <c r="CYZ1" s="87"/>
      <c r="CZA1" s="87"/>
      <c r="CZB1" s="87"/>
      <c r="CZC1" s="87"/>
      <c r="CZD1" s="87"/>
      <c r="CZE1" s="87"/>
      <c r="CZF1" s="87"/>
      <c r="CZG1" s="87"/>
      <c r="CZH1" s="87"/>
      <c r="CZI1" s="87"/>
      <c r="CZJ1" s="87"/>
      <c r="CZK1" s="87"/>
      <c r="CZL1" s="87"/>
      <c r="CZM1" s="87"/>
      <c r="CZN1" s="87"/>
      <c r="CZO1" s="87"/>
      <c r="CZP1" s="87"/>
      <c r="CZQ1" s="87"/>
      <c r="CZR1" s="87"/>
      <c r="CZS1" s="87"/>
      <c r="CZT1" s="87"/>
      <c r="CZU1" s="87"/>
      <c r="CZV1" s="87"/>
      <c r="CZW1" s="87"/>
      <c r="CZX1" s="87"/>
      <c r="CZY1" s="87"/>
      <c r="CZZ1" s="87"/>
      <c r="DAA1" s="87"/>
      <c r="DAB1" s="87"/>
      <c r="DAC1" s="87"/>
      <c r="DAD1" s="87"/>
      <c r="DAE1" s="87"/>
      <c r="DAF1" s="87"/>
      <c r="DAG1" s="87"/>
      <c r="DAH1" s="87"/>
      <c r="DAI1" s="87"/>
      <c r="DAJ1" s="87"/>
      <c r="DAK1" s="87"/>
      <c r="DAL1" s="87"/>
      <c r="DAM1" s="87"/>
      <c r="DAN1" s="87"/>
      <c r="DAO1" s="87"/>
      <c r="DAP1" s="87"/>
      <c r="DAQ1" s="87"/>
      <c r="DAR1" s="87"/>
      <c r="DAS1" s="87"/>
      <c r="DAT1" s="87"/>
      <c r="DAU1" s="87"/>
      <c r="DAV1" s="87"/>
      <c r="DAW1" s="87"/>
      <c r="DAX1" s="87"/>
      <c r="DAY1" s="87"/>
      <c r="DAZ1" s="87"/>
      <c r="DBA1" s="87"/>
      <c r="DBB1" s="87"/>
      <c r="DBC1" s="87"/>
      <c r="DBD1" s="87"/>
      <c r="DBE1" s="87"/>
      <c r="DBF1" s="87"/>
      <c r="DBG1" s="87"/>
      <c r="DBH1" s="87"/>
      <c r="DBI1" s="87"/>
      <c r="DBJ1" s="87"/>
      <c r="DBK1" s="87"/>
      <c r="DBL1" s="87"/>
      <c r="DBM1" s="87"/>
      <c r="DBN1" s="87"/>
      <c r="DBO1" s="87"/>
      <c r="DBP1" s="87"/>
      <c r="DBQ1" s="87"/>
      <c r="DBR1" s="87"/>
      <c r="DBS1" s="87"/>
      <c r="DBT1" s="87"/>
      <c r="DBU1" s="87"/>
      <c r="DBV1" s="87"/>
      <c r="DBW1" s="87"/>
      <c r="DBX1" s="87"/>
      <c r="DBY1" s="87"/>
      <c r="DBZ1" s="87"/>
      <c r="DCA1" s="87"/>
      <c r="DCB1" s="87"/>
      <c r="DCC1" s="87"/>
      <c r="DCD1" s="87"/>
      <c r="DCE1" s="87"/>
      <c r="DCF1" s="87"/>
      <c r="DCG1" s="87"/>
      <c r="DCH1" s="87"/>
      <c r="DCI1" s="87"/>
      <c r="DCJ1" s="87"/>
      <c r="DCK1" s="87"/>
      <c r="DCL1" s="87"/>
      <c r="DCM1" s="87"/>
      <c r="DCN1" s="87"/>
      <c r="DCO1" s="87"/>
      <c r="DCP1" s="87"/>
      <c r="DCQ1" s="87"/>
      <c r="DCR1" s="87"/>
      <c r="DCS1" s="87"/>
      <c r="DCT1" s="87"/>
      <c r="DCU1" s="87"/>
      <c r="DCV1" s="87"/>
      <c r="DCW1" s="87"/>
      <c r="DCX1" s="87"/>
      <c r="DCY1" s="87"/>
      <c r="DCZ1" s="87"/>
      <c r="DDA1" s="87"/>
      <c r="DDB1" s="87"/>
      <c r="DDC1" s="87"/>
      <c r="DDD1" s="87"/>
      <c r="DDE1" s="87"/>
      <c r="DDF1" s="87"/>
      <c r="DDG1" s="87"/>
      <c r="DDH1" s="87"/>
      <c r="DDI1" s="87"/>
      <c r="DDJ1" s="87"/>
      <c r="DDK1" s="87"/>
      <c r="DDL1" s="87"/>
      <c r="DDM1" s="87"/>
      <c r="DDN1" s="87"/>
      <c r="DDO1" s="87"/>
      <c r="DDP1" s="87"/>
      <c r="DDQ1" s="87"/>
      <c r="DDR1" s="87"/>
      <c r="DDS1" s="87"/>
      <c r="DDT1" s="87"/>
      <c r="DDU1" s="87"/>
      <c r="DDV1" s="87"/>
      <c r="DDW1" s="87"/>
      <c r="DDX1" s="87"/>
      <c r="DDY1" s="87"/>
      <c r="DDZ1" s="87"/>
      <c r="DEA1" s="87"/>
      <c r="DEB1" s="87"/>
      <c r="DEC1" s="87"/>
      <c r="DED1" s="87"/>
      <c r="DEE1" s="87"/>
      <c r="DEF1" s="87"/>
      <c r="DEG1" s="87"/>
      <c r="DEH1" s="87"/>
      <c r="DEI1" s="87"/>
      <c r="DEJ1" s="87"/>
      <c r="DEK1" s="87"/>
      <c r="DEL1" s="87"/>
      <c r="DEM1" s="87"/>
      <c r="DEN1" s="87"/>
      <c r="DEO1" s="87"/>
      <c r="DEP1" s="87"/>
      <c r="DEQ1" s="87"/>
      <c r="DER1" s="87"/>
      <c r="DES1" s="87"/>
      <c r="DET1" s="87"/>
      <c r="DEU1" s="87"/>
      <c r="DEV1" s="87"/>
      <c r="DEW1" s="87"/>
      <c r="DEX1" s="87"/>
      <c r="DEY1" s="87"/>
      <c r="DEZ1" s="87"/>
      <c r="DFA1" s="87"/>
      <c r="DFB1" s="87"/>
      <c r="DFC1" s="87"/>
      <c r="DFD1" s="87"/>
      <c r="DFE1" s="87"/>
      <c r="DFF1" s="87"/>
      <c r="DFG1" s="87"/>
      <c r="DFH1" s="87"/>
      <c r="DFI1" s="87"/>
      <c r="DFJ1" s="87"/>
      <c r="DFK1" s="87"/>
      <c r="DFL1" s="87"/>
      <c r="DFM1" s="87"/>
      <c r="DFN1" s="87"/>
      <c r="DFO1" s="87"/>
      <c r="DFP1" s="87"/>
      <c r="DFQ1" s="87"/>
      <c r="DFR1" s="87"/>
      <c r="DFS1" s="87"/>
      <c r="DFT1" s="87"/>
      <c r="DFU1" s="87"/>
      <c r="DFV1" s="87"/>
      <c r="DFW1" s="87"/>
      <c r="DFX1" s="87"/>
      <c r="DFY1" s="87"/>
      <c r="DFZ1" s="87"/>
      <c r="DGA1" s="87"/>
      <c r="DGB1" s="87"/>
      <c r="DGC1" s="87"/>
      <c r="DGD1" s="87"/>
      <c r="DGE1" s="87"/>
      <c r="DGF1" s="87"/>
      <c r="DGG1" s="87"/>
      <c r="DGH1" s="87"/>
      <c r="DGI1" s="87"/>
      <c r="DGJ1" s="87"/>
      <c r="DGK1" s="87"/>
      <c r="DGL1" s="87"/>
      <c r="DGM1" s="87"/>
      <c r="DGN1" s="87"/>
      <c r="DGO1" s="87"/>
      <c r="DGP1" s="87"/>
      <c r="DGQ1" s="87"/>
      <c r="DGR1" s="87"/>
      <c r="DGS1" s="87"/>
      <c r="DGT1" s="87"/>
      <c r="DGU1" s="87"/>
      <c r="DGV1" s="87"/>
      <c r="DGW1" s="87"/>
      <c r="DGX1" s="87"/>
      <c r="DGY1" s="87"/>
      <c r="DGZ1" s="87"/>
      <c r="DHA1" s="87"/>
      <c r="DHB1" s="87"/>
      <c r="DHC1" s="87"/>
      <c r="DHD1" s="87"/>
      <c r="DHE1" s="87"/>
      <c r="DHF1" s="87"/>
      <c r="DHG1" s="87"/>
      <c r="DHH1" s="87"/>
      <c r="DHI1" s="87"/>
      <c r="DHJ1" s="87"/>
      <c r="DHK1" s="87"/>
      <c r="DHL1" s="87"/>
      <c r="DHM1" s="87"/>
      <c r="DHN1" s="87"/>
      <c r="DHO1" s="87"/>
      <c r="DHP1" s="87"/>
      <c r="DHQ1" s="87"/>
      <c r="DHR1" s="87"/>
      <c r="DHS1" s="87"/>
      <c r="DHT1" s="87"/>
      <c r="DHU1" s="87"/>
      <c r="DHV1" s="87"/>
      <c r="DHW1" s="87"/>
      <c r="DHX1" s="87"/>
      <c r="DHY1" s="87"/>
      <c r="DHZ1" s="87"/>
      <c r="DIA1" s="87"/>
      <c r="DIB1" s="87"/>
      <c r="DIC1" s="87"/>
      <c r="DID1" s="87"/>
      <c r="DIE1" s="87"/>
      <c r="DIF1" s="87"/>
      <c r="DIG1" s="87"/>
      <c r="DIH1" s="87"/>
      <c r="DII1" s="87"/>
      <c r="DIJ1" s="87"/>
      <c r="DIK1" s="87"/>
      <c r="DIL1" s="87"/>
      <c r="DIM1" s="87"/>
      <c r="DIN1" s="87"/>
      <c r="DIO1" s="87"/>
      <c r="DIP1" s="87"/>
      <c r="DIQ1" s="87"/>
      <c r="DIR1" s="87"/>
      <c r="DIS1" s="87"/>
      <c r="DIT1" s="87"/>
      <c r="DIU1" s="87"/>
      <c r="DIV1" s="87"/>
      <c r="DIW1" s="87"/>
      <c r="DIX1" s="87"/>
      <c r="DIY1" s="87"/>
      <c r="DIZ1" s="87"/>
      <c r="DJA1" s="87"/>
      <c r="DJB1" s="87"/>
      <c r="DJC1" s="87"/>
      <c r="DJD1" s="87"/>
      <c r="DJE1" s="87"/>
      <c r="DJF1" s="87"/>
      <c r="DJG1" s="87"/>
      <c r="DJH1" s="87"/>
      <c r="DJI1" s="87"/>
      <c r="DJJ1" s="87"/>
      <c r="DJK1" s="87"/>
      <c r="DJL1" s="87"/>
      <c r="DJM1" s="87"/>
      <c r="DJN1" s="87"/>
      <c r="DJO1" s="87"/>
      <c r="DJP1" s="87"/>
      <c r="DJQ1" s="87"/>
      <c r="DJR1" s="87"/>
      <c r="DJS1" s="87"/>
      <c r="DJT1" s="87"/>
      <c r="DJU1" s="87"/>
      <c r="DJV1" s="87"/>
      <c r="DJW1" s="87"/>
      <c r="DJX1" s="87"/>
      <c r="DJY1" s="87"/>
      <c r="DJZ1" s="87"/>
      <c r="DKA1" s="87"/>
      <c r="DKB1" s="87"/>
      <c r="DKC1" s="87"/>
      <c r="DKD1" s="87"/>
      <c r="DKE1" s="87"/>
      <c r="DKF1" s="87"/>
      <c r="DKG1" s="87"/>
      <c r="DKH1" s="87"/>
      <c r="DKI1" s="87"/>
      <c r="DKJ1" s="87"/>
      <c r="DKK1" s="87"/>
      <c r="DKL1" s="87"/>
      <c r="DKM1" s="87"/>
      <c r="DKN1" s="87"/>
      <c r="DKO1" s="87"/>
      <c r="DKP1" s="87"/>
      <c r="DKQ1" s="87"/>
      <c r="DKR1" s="87"/>
      <c r="DKS1" s="87"/>
      <c r="DKT1" s="87"/>
      <c r="DKU1" s="87"/>
      <c r="DKV1" s="87"/>
      <c r="DKW1" s="87"/>
      <c r="DKX1" s="87"/>
      <c r="DKY1" s="87"/>
      <c r="DKZ1" s="87"/>
      <c r="DLA1" s="87"/>
      <c r="DLB1" s="87"/>
      <c r="DLC1" s="87"/>
      <c r="DLD1" s="87"/>
      <c r="DLE1" s="87"/>
      <c r="DLF1" s="87"/>
      <c r="DLG1" s="87"/>
      <c r="DLH1" s="87"/>
      <c r="DLI1" s="87"/>
      <c r="DLJ1" s="87"/>
      <c r="DLK1" s="87"/>
      <c r="DLL1" s="87"/>
      <c r="DLM1" s="87"/>
      <c r="DLN1" s="87"/>
      <c r="DLO1" s="87"/>
      <c r="DLP1" s="87"/>
      <c r="DLQ1" s="87"/>
      <c r="DLR1" s="87"/>
      <c r="DLS1" s="87"/>
      <c r="DLT1" s="87"/>
      <c r="DLU1" s="87"/>
      <c r="DLV1" s="87"/>
      <c r="DLW1" s="87"/>
      <c r="DLX1" s="87"/>
      <c r="DLY1" s="87"/>
      <c r="DLZ1" s="87"/>
      <c r="DMA1" s="87"/>
      <c r="DMB1" s="87"/>
      <c r="DMC1" s="87"/>
      <c r="DMD1" s="87"/>
      <c r="DME1" s="87"/>
      <c r="DMF1" s="87"/>
      <c r="DMG1" s="87"/>
      <c r="DMH1" s="87"/>
      <c r="DMI1" s="87"/>
      <c r="DMJ1" s="87"/>
      <c r="DMK1" s="87"/>
      <c r="DML1" s="87"/>
      <c r="DMM1" s="87"/>
      <c r="DMN1" s="87"/>
      <c r="DMO1" s="87"/>
      <c r="DMP1" s="87"/>
      <c r="DMQ1" s="87"/>
      <c r="DMR1" s="87"/>
      <c r="DMS1" s="87"/>
      <c r="DMT1" s="87"/>
      <c r="DMU1" s="87"/>
      <c r="DMV1" s="87"/>
      <c r="DMW1" s="87"/>
      <c r="DMX1" s="87"/>
      <c r="DMY1" s="87"/>
      <c r="DMZ1" s="87"/>
      <c r="DNA1" s="87"/>
      <c r="DNB1" s="87"/>
      <c r="DNC1" s="87"/>
      <c r="DND1" s="87"/>
      <c r="DNE1" s="87"/>
      <c r="DNF1" s="87"/>
      <c r="DNG1" s="87"/>
      <c r="DNH1" s="87"/>
      <c r="DNI1" s="87"/>
      <c r="DNJ1" s="87"/>
      <c r="DNK1" s="87"/>
      <c r="DNL1" s="87"/>
      <c r="DNM1" s="87"/>
      <c r="DNN1" s="87"/>
      <c r="DNO1" s="87"/>
      <c r="DNP1" s="87"/>
      <c r="DNQ1" s="87"/>
      <c r="DNR1" s="87"/>
      <c r="DNS1" s="87"/>
      <c r="DNT1" s="87"/>
      <c r="DNU1" s="87"/>
      <c r="DNV1" s="87"/>
      <c r="DNW1" s="87"/>
      <c r="DNX1" s="87"/>
      <c r="DNY1" s="87"/>
      <c r="DNZ1" s="87"/>
      <c r="DOA1" s="87"/>
      <c r="DOB1" s="87"/>
      <c r="DOC1" s="87"/>
      <c r="DOD1" s="87"/>
      <c r="DOE1" s="87"/>
      <c r="DOF1" s="87"/>
      <c r="DOG1" s="87"/>
      <c r="DOH1" s="87"/>
      <c r="DOI1" s="87"/>
      <c r="DOJ1" s="87"/>
      <c r="DOK1" s="87"/>
      <c r="DOL1" s="87"/>
      <c r="DOM1" s="87"/>
      <c r="DON1" s="87"/>
      <c r="DOO1" s="87"/>
      <c r="DOP1" s="87"/>
      <c r="DOQ1" s="87"/>
      <c r="DOR1" s="87"/>
      <c r="DOS1" s="87"/>
      <c r="DOT1" s="87"/>
      <c r="DOU1" s="87"/>
      <c r="DOV1" s="87"/>
      <c r="DOW1" s="87"/>
      <c r="DOX1" s="87"/>
      <c r="DOY1" s="87"/>
      <c r="DOZ1" s="87"/>
      <c r="DPA1" s="87"/>
      <c r="DPB1" s="87"/>
      <c r="DPC1" s="87"/>
      <c r="DPD1" s="87"/>
      <c r="DPE1" s="87"/>
      <c r="DPF1" s="87"/>
      <c r="DPG1" s="87"/>
      <c r="DPH1" s="87"/>
      <c r="DPI1" s="87"/>
      <c r="DPJ1" s="87"/>
      <c r="DPK1" s="87"/>
      <c r="DPL1" s="87"/>
      <c r="DPM1" s="87"/>
      <c r="DPN1" s="87"/>
      <c r="DPO1" s="87"/>
      <c r="DPP1" s="87"/>
      <c r="DPQ1" s="87"/>
      <c r="DPR1" s="87"/>
      <c r="DPS1" s="87"/>
      <c r="DPT1" s="87"/>
      <c r="DPU1" s="87"/>
      <c r="DPV1" s="87"/>
      <c r="DPW1" s="87"/>
      <c r="DPX1" s="87"/>
      <c r="DPY1" s="87"/>
      <c r="DPZ1" s="87"/>
      <c r="DQA1" s="87"/>
      <c r="DQB1" s="87"/>
      <c r="DQC1" s="87"/>
      <c r="DQD1" s="87"/>
      <c r="DQE1" s="87"/>
      <c r="DQF1" s="87"/>
      <c r="DQG1" s="87"/>
      <c r="DQH1" s="87"/>
      <c r="DQI1" s="87"/>
      <c r="DQJ1" s="87"/>
      <c r="DQK1" s="87"/>
      <c r="DQL1" s="87"/>
      <c r="DQM1" s="87"/>
      <c r="DQN1" s="87"/>
      <c r="DQO1" s="87"/>
      <c r="DQP1" s="87"/>
      <c r="DQQ1" s="87"/>
      <c r="DQR1" s="87"/>
      <c r="DQS1" s="87"/>
      <c r="DQT1" s="87"/>
      <c r="DQU1" s="87"/>
      <c r="DQV1" s="87"/>
      <c r="DQW1" s="87"/>
      <c r="DQX1" s="87"/>
      <c r="DQY1" s="87"/>
      <c r="DQZ1" s="87"/>
      <c r="DRA1" s="87"/>
      <c r="DRB1" s="87"/>
      <c r="DRC1" s="87"/>
      <c r="DRD1" s="87"/>
      <c r="DRE1" s="87"/>
      <c r="DRF1" s="87"/>
      <c r="DRG1" s="87"/>
      <c r="DRH1" s="87"/>
      <c r="DRI1" s="87"/>
      <c r="DRJ1" s="87"/>
      <c r="DRK1" s="87"/>
      <c r="DRL1" s="87"/>
      <c r="DRM1" s="87"/>
      <c r="DRN1" s="87"/>
      <c r="DRO1" s="87"/>
      <c r="DRP1" s="87"/>
      <c r="DRQ1" s="87"/>
      <c r="DRR1" s="87"/>
      <c r="DRS1" s="87"/>
      <c r="DRT1" s="87"/>
      <c r="DRU1" s="87"/>
      <c r="DRV1" s="87"/>
      <c r="DRW1" s="87"/>
      <c r="DRX1" s="87"/>
      <c r="DRY1" s="87"/>
      <c r="DRZ1" s="87"/>
      <c r="DSA1" s="87"/>
      <c r="DSB1" s="87"/>
      <c r="DSC1" s="87"/>
      <c r="DSD1" s="87"/>
      <c r="DSE1" s="87"/>
      <c r="DSF1" s="87"/>
      <c r="DSG1" s="87"/>
      <c r="DSH1" s="87"/>
      <c r="DSI1" s="87"/>
      <c r="DSJ1" s="87"/>
      <c r="DSK1" s="87"/>
      <c r="DSL1" s="87"/>
      <c r="DSM1" s="87"/>
      <c r="DSN1" s="87"/>
      <c r="DSO1" s="87"/>
      <c r="DSP1" s="87"/>
      <c r="DSQ1" s="87"/>
      <c r="DSR1" s="87"/>
      <c r="DSS1" s="87"/>
      <c r="DST1" s="87"/>
      <c r="DSU1" s="87"/>
      <c r="DSV1" s="87"/>
      <c r="DSW1" s="87"/>
      <c r="DSX1" s="87"/>
      <c r="DSY1" s="87"/>
      <c r="DSZ1" s="87"/>
      <c r="DTA1" s="87"/>
      <c r="DTB1" s="87"/>
      <c r="DTC1" s="87"/>
      <c r="DTD1" s="87"/>
      <c r="DTE1" s="87"/>
      <c r="DTF1" s="87"/>
      <c r="DTG1" s="87"/>
      <c r="DTH1" s="87"/>
      <c r="DTI1" s="87"/>
      <c r="DTJ1" s="87"/>
      <c r="DTK1" s="87"/>
      <c r="DTL1" s="87"/>
      <c r="DTM1" s="87"/>
      <c r="DTN1" s="87"/>
      <c r="DTO1" s="87"/>
      <c r="DTP1" s="87"/>
      <c r="DTQ1" s="87"/>
      <c r="DTR1" s="87"/>
      <c r="DTS1" s="87"/>
      <c r="DTT1" s="87"/>
      <c r="DTU1" s="87"/>
      <c r="DTV1" s="87"/>
      <c r="DTW1" s="87"/>
      <c r="DTX1" s="87"/>
      <c r="DTY1" s="87"/>
      <c r="DTZ1" s="87"/>
      <c r="DUA1" s="87"/>
      <c r="DUB1" s="87"/>
      <c r="DUC1" s="87"/>
      <c r="DUD1" s="87"/>
      <c r="DUE1" s="87"/>
      <c r="DUF1" s="87"/>
      <c r="DUG1" s="87"/>
      <c r="DUH1" s="87"/>
      <c r="DUI1" s="87"/>
      <c r="DUJ1" s="87"/>
      <c r="DUK1" s="87"/>
      <c r="DUL1" s="87"/>
      <c r="DUM1" s="87"/>
      <c r="DUN1" s="87"/>
      <c r="DUO1" s="87"/>
      <c r="DUP1" s="87"/>
      <c r="DUQ1" s="87"/>
      <c r="DUR1" s="87"/>
      <c r="DUS1" s="87"/>
      <c r="DUT1" s="87"/>
      <c r="DUU1" s="87"/>
      <c r="DUV1" s="87"/>
      <c r="DUW1" s="87"/>
      <c r="DUX1" s="87"/>
      <c r="DUY1" s="87"/>
      <c r="DUZ1" s="87"/>
      <c r="DVA1" s="87"/>
      <c r="DVB1" s="87"/>
      <c r="DVC1" s="87"/>
      <c r="DVD1" s="87"/>
      <c r="DVE1" s="87"/>
      <c r="DVF1" s="87"/>
      <c r="DVG1" s="87"/>
      <c r="DVH1" s="87"/>
      <c r="DVI1" s="87"/>
      <c r="DVJ1" s="87"/>
      <c r="DVK1" s="87"/>
      <c r="DVL1" s="87"/>
      <c r="DVM1" s="87"/>
      <c r="DVN1" s="87"/>
      <c r="DVO1" s="87"/>
      <c r="DVP1" s="87"/>
      <c r="DVQ1" s="87"/>
      <c r="DVR1" s="87"/>
      <c r="DVS1" s="87"/>
      <c r="DVT1" s="87"/>
      <c r="DVU1" s="87"/>
      <c r="DVV1" s="87"/>
      <c r="DVW1" s="87"/>
      <c r="DVX1" s="87"/>
      <c r="DVY1" s="87"/>
      <c r="DVZ1" s="87"/>
      <c r="DWA1" s="87"/>
      <c r="DWB1" s="87"/>
      <c r="DWC1" s="87"/>
      <c r="DWD1" s="87"/>
      <c r="DWE1" s="87"/>
      <c r="DWF1" s="87"/>
      <c r="DWG1" s="87"/>
      <c r="DWH1" s="87"/>
      <c r="DWI1" s="87"/>
      <c r="DWJ1" s="87"/>
      <c r="DWK1" s="87"/>
      <c r="DWL1" s="87"/>
      <c r="DWM1" s="87"/>
      <c r="DWN1" s="87"/>
      <c r="DWO1" s="87"/>
      <c r="DWP1" s="87"/>
      <c r="DWQ1" s="87"/>
      <c r="DWR1" s="87"/>
      <c r="DWS1" s="87"/>
      <c r="DWT1" s="87"/>
      <c r="DWU1" s="87"/>
      <c r="DWV1" s="87"/>
      <c r="DWW1" s="87"/>
      <c r="DWX1" s="87"/>
      <c r="DWY1" s="87"/>
      <c r="DWZ1" s="87"/>
      <c r="DXA1" s="87"/>
      <c r="DXB1" s="87"/>
      <c r="DXC1" s="87"/>
      <c r="DXD1" s="87"/>
      <c r="DXE1" s="87"/>
      <c r="DXF1" s="87"/>
      <c r="DXG1" s="87"/>
      <c r="DXH1" s="87"/>
      <c r="DXI1" s="87"/>
      <c r="DXJ1" s="87"/>
      <c r="DXK1" s="87"/>
      <c r="DXL1" s="87"/>
      <c r="DXM1" s="87"/>
      <c r="DXN1" s="87"/>
      <c r="DXO1" s="87"/>
      <c r="DXP1" s="87"/>
      <c r="DXQ1" s="87"/>
      <c r="DXR1" s="87"/>
      <c r="DXS1" s="87"/>
      <c r="DXT1" s="87"/>
      <c r="DXU1" s="87"/>
      <c r="DXV1" s="87"/>
      <c r="DXW1" s="87"/>
      <c r="DXX1" s="87"/>
      <c r="DXY1" s="87"/>
      <c r="DXZ1" s="87"/>
      <c r="DYA1" s="87"/>
      <c r="DYB1" s="87"/>
      <c r="DYC1" s="87"/>
      <c r="DYD1" s="87"/>
      <c r="DYE1" s="87"/>
      <c r="DYF1" s="87"/>
      <c r="DYG1" s="87"/>
      <c r="DYH1" s="87"/>
      <c r="DYI1" s="87"/>
      <c r="DYJ1" s="87"/>
      <c r="DYK1" s="87"/>
      <c r="DYL1" s="87"/>
      <c r="DYM1" s="87"/>
      <c r="DYN1" s="87"/>
      <c r="DYO1" s="87"/>
      <c r="DYP1" s="87"/>
      <c r="DYQ1" s="87"/>
      <c r="DYR1" s="87"/>
      <c r="DYS1" s="87"/>
      <c r="DYT1" s="87"/>
      <c r="DYU1" s="87"/>
      <c r="DYV1" s="87"/>
      <c r="DYW1" s="87"/>
      <c r="DYX1" s="87"/>
      <c r="DYY1" s="87"/>
      <c r="DYZ1" s="87"/>
      <c r="DZA1" s="87"/>
      <c r="DZB1" s="87"/>
      <c r="DZC1" s="87"/>
      <c r="DZD1" s="87"/>
      <c r="DZE1" s="87"/>
      <c r="DZF1" s="87"/>
      <c r="DZG1" s="87"/>
      <c r="DZH1" s="87"/>
      <c r="DZI1" s="87"/>
      <c r="DZJ1" s="87"/>
      <c r="DZK1" s="87"/>
      <c r="DZL1" s="87"/>
      <c r="DZM1" s="87"/>
      <c r="DZN1" s="87"/>
      <c r="DZO1" s="87"/>
      <c r="DZP1" s="87"/>
      <c r="DZQ1" s="87"/>
      <c r="DZR1" s="87"/>
      <c r="DZS1" s="87"/>
      <c r="DZT1" s="87"/>
      <c r="DZU1" s="87"/>
      <c r="DZV1" s="87"/>
      <c r="DZW1" s="87"/>
      <c r="DZX1" s="87"/>
      <c r="DZY1" s="87"/>
      <c r="DZZ1" s="87"/>
      <c r="EAA1" s="87"/>
      <c r="EAB1" s="87"/>
      <c r="EAC1" s="87"/>
      <c r="EAD1" s="87"/>
      <c r="EAE1" s="87"/>
      <c r="EAF1" s="87"/>
      <c r="EAG1" s="87"/>
      <c r="EAH1" s="87"/>
      <c r="EAI1" s="87"/>
      <c r="EAJ1" s="87"/>
      <c r="EAK1" s="87"/>
      <c r="EAL1" s="87"/>
      <c r="EAM1" s="87"/>
      <c r="EAN1" s="87"/>
      <c r="EAO1" s="87"/>
      <c r="EAP1" s="87"/>
      <c r="EAQ1" s="87"/>
      <c r="EAR1" s="87"/>
      <c r="EAS1" s="87"/>
      <c r="EAT1" s="87"/>
      <c r="EAU1" s="87"/>
      <c r="EAV1" s="87"/>
      <c r="EAW1" s="87"/>
      <c r="EAX1" s="87"/>
      <c r="EAY1" s="87"/>
      <c r="EAZ1" s="87"/>
      <c r="EBA1" s="87"/>
      <c r="EBB1" s="87"/>
      <c r="EBC1" s="87"/>
      <c r="EBD1" s="87"/>
      <c r="EBE1" s="87"/>
      <c r="EBF1" s="87"/>
      <c r="EBG1" s="87"/>
      <c r="EBH1" s="87"/>
      <c r="EBI1" s="87"/>
      <c r="EBJ1" s="87"/>
      <c r="EBK1" s="87"/>
      <c r="EBL1" s="87"/>
      <c r="EBM1" s="87"/>
      <c r="EBN1" s="87"/>
      <c r="EBO1" s="87"/>
      <c r="EBP1" s="87"/>
      <c r="EBQ1" s="87"/>
      <c r="EBR1" s="87"/>
      <c r="EBS1" s="87"/>
      <c r="EBT1" s="87"/>
      <c r="EBU1" s="87"/>
      <c r="EBV1" s="87"/>
      <c r="EBW1" s="87"/>
      <c r="EBX1" s="87"/>
      <c r="EBY1" s="87"/>
      <c r="EBZ1" s="87"/>
      <c r="ECA1" s="87"/>
      <c r="ECB1" s="87"/>
      <c r="ECC1" s="87"/>
      <c r="ECD1" s="87"/>
      <c r="ECE1" s="87"/>
      <c r="ECF1" s="87"/>
      <c r="ECG1" s="87"/>
      <c r="ECH1" s="87"/>
      <c r="ECI1" s="87"/>
      <c r="ECJ1" s="87"/>
      <c r="ECK1" s="87"/>
      <c r="ECL1" s="87"/>
      <c r="ECM1" s="87"/>
      <c r="ECN1" s="87"/>
      <c r="ECO1" s="87"/>
      <c r="ECP1" s="87"/>
      <c r="ECQ1" s="87"/>
      <c r="ECR1" s="87"/>
      <c r="ECS1" s="87"/>
      <c r="ECT1" s="87"/>
      <c r="ECU1" s="87"/>
      <c r="ECV1" s="87"/>
      <c r="ECW1" s="87"/>
      <c r="ECX1" s="87"/>
      <c r="ECY1" s="87"/>
      <c r="ECZ1" s="87"/>
      <c r="EDA1" s="87"/>
      <c r="EDB1" s="87"/>
      <c r="EDC1" s="87"/>
      <c r="EDD1" s="87"/>
      <c r="EDE1" s="87"/>
      <c r="EDF1" s="87"/>
      <c r="EDG1" s="87"/>
      <c r="EDH1" s="87"/>
      <c r="EDI1" s="87"/>
      <c r="EDJ1" s="87"/>
      <c r="EDK1" s="87"/>
      <c r="EDL1" s="87"/>
      <c r="EDM1" s="87"/>
      <c r="EDN1" s="87"/>
      <c r="EDO1" s="87"/>
      <c r="EDP1" s="87"/>
      <c r="EDQ1" s="87"/>
      <c r="EDR1" s="87"/>
      <c r="EDS1" s="87"/>
      <c r="EDT1" s="87"/>
      <c r="EDU1" s="87"/>
      <c r="EDV1" s="87"/>
      <c r="EDW1" s="87"/>
      <c r="EDX1" s="87"/>
      <c r="EDY1" s="87"/>
      <c r="EDZ1" s="87"/>
      <c r="EEA1" s="87"/>
      <c r="EEB1" s="87"/>
      <c r="EEC1" s="87"/>
      <c r="EED1" s="87"/>
      <c r="EEE1" s="87"/>
      <c r="EEF1" s="87"/>
      <c r="EEG1" s="87"/>
      <c r="EEH1" s="87"/>
      <c r="EEI1" s="87"/>
      <c r="EEJ1" s="87"/>
      <c r="EEK1" s="87"/>
      <c r="EEL1" s="87"/>
      <c r="EEM1" s="87"/>
      <c r="EEN1" s="87"/>
      <c r="EEO1" s="87"/>
      <c r="EEP1" s="87"/>
      <c r="EEQ1" s="87"/>
      <c r="EER1" s="87"/>
      <c r="EES1" s="87"/>
      <c r="EET1" s="87"/>
      <c r="EEU1" s="87"/>
      <c r="EEV1" s="87"/>
      <c r="EEW1" s="87"/>
      <c r="EEX1" s="87"/>
      <c r="EEY1" s="87"/>
      <c r="EEZ1" s="87"/>
      <c r="EFA1" s="87"/>
      <c r="EFB1" s="87"/>
      <c r="EFC1" s="87"/>
      <c r="EFD1" s="87"/>
      <c r="EFE1" s="87"/>
      <c r="EFF1" s="87"/>
      <c r="EFG1" s="87"/>
      <c r="EFH1" s="87"/>
      <c r="EFI1" s="87"/>
      <c r="EFJ1" s="87"/>
      <c r="EFK1" s="87"/>
      <c r="EFL1" s="87"/>
      <c r="EFM1" s="87"/>
      <c r="EFN1" s="87"/>
      <c r="EFO1" s="87"/>
      <c r="EFP1" s="87"/>
      <c r="EFQ1" s="87"/>
      <c r="EFR1" s="87"/>
      <c r="EFS1" s="87"/>
      <c r="EFT1" s="87"/>
      <c r="EFU1" s="87"/>
      <c r="EFV1" s="87"/>
      <c r="EFW1" s="87"/>
      <c r="EFX1" s="87"/>
      <c r="EFY1" s="87"/>
      <c r="EFZ1" s="87"/>
      <c r="EGA1" s="87"/>
      <c r="EGB1" s="87"/>
      <c r="EGC1" s="87"/>
      <c r="EGD1" s="87"/>
      <c r="EGE1" s="87"/>
      <c r="EGF1" s="87"/>
      <c r="EGG1" s="87"/>
      <c r="EGH1" s="87"/>
      <c r="EGI1" s="87"/>
      <c r="EGJ1" s="87"/>
      <c r="EGK1" s="87"/>
      <c r="EGL1" s="87"/>
      <c r="EGM1" s="87"/>
      <c r="EGN1" s="87"/>
      <c r="EGO1" s="87"/>
      <c r="EGP1" s="87"/>
      <c r="EGQ1" s="87"/>
      <c r="EGR1" s="87"/>
      <c r="EGS1" s="87"/>
      <c r="EGT1" s="87"/>
      <c r="EGU1" s="87"/>
      <c r="EGV1" s="87"/>
      <c r="EGW1" s="87"/>
      <c r="EGX1" s="87"/>
      <c r="EGY1" s="87"/>
      <c r="EGZ1" s="87"/>
      <c r="EHA1" s="87"/>
      <c r="EHB1" s="87"/>
      <c r="EHC1" s="87"/>
      <c r="EHD1" s="87"/>
      <c r="EHE1" s="87"/>
      <c r="EHF1" s="87"/>
      <c r="EHG1" s="87"/>
      <c r="EHH1" s="87"/>
      <c r="EHI1" s="87"/>
      <c r="EHJ1" s="87"/>
      <c r="EHK1" s="87"/>
      <c r="EHL1" s="87"/>
      <c r="EHM1" s="87"/>
      <c r="EHN1" s="87"/>
      <c r="EHO1" s="87"/>
      <c r="EHP1" s="87"/>
      <c r="EHQ1" s="87"/>
      <c r="EHR1" s="87"/>
      <c r="EHS1" s="87"/>
      <c r="EHT1" s="87"/>
      <c r="EHU1" s="87"/>
      <c r="EHV1" s="87"/>
      <c r="EHW1" s="87"/>
      <c r="EHX1" s="87"/>
      <c r="EHY1" s="87"/>
      <c r="EHZ1" s="87"/>
      <c r="EIA1" s="87"/>
      <c r="EIB1" s="87"/>
      <c r="EIC1" s="87"/>
      <c r="EID1" s="87"/>
      <c r="EIE1" s="87"/>
      <c r="EIF1" s="87"/>
      <c r="EIG1" s="87"/>
      <c r="EIH1" s="87"/>
      <c r="EII1" s="87"/>
      <c r="EIJ1" s="87"/>
      <c r="EIK1" s="87"/>
      <c r="EIL1" s="87"/>
      <c r="EIM1" s="87"/>
      <c r="EIN1" s="87"/>
      <c r="EIO1" s="87"/>
      <c r="EIP1" s="87"/>
      <c r="EIQ1" s="87"/>
      <c r="EIR1" s="87"/>
      <c r="EIS1" s="87"/>
      <c r="EIT1" s="87"/>
      <c r="EIU1" s="87"/>
      <c r="EIV1" s="87"/>
      <c r="EIW1" s="87"/>
      <c r="EIX1" s="87"/>
      <c r="EIY1" s="87"/>
      <c r="EIZ1" s="87"/>
      <c r="EJA1" s="87"/>
      <c r="EJB1" s="87"/>
      <c r="EJC1" s="87"/>
      <c r="EJD1" s="87"/>
      <c r="EJE1" s="87"/>
      <c r="EJF1" s="87"/>
      <c r="EJG1" s="87"/>
      <c r="EJH1" s="87"/>
      <c r="EJI1" s="87"/>
      <c r="EJJ1" s="87"/>
      <c r="EJK1" s="87"/>
      <c r="EJL1" s="87"/>
      <c r="EJM1" s="87"/>
      <c r="EJN1" s="87"/>
      <c r="EJO1" s="87"/>
      <c r="EJP1" s="87"/>
      <c r="EJQ1" s="87"/>
      <c r="EJR1" s="87"/>
      <c r="EJS1" s="87"/>
      <c r="EJT1" s="87"/>
      <c r="EJU1" s="87"/>
      <c r="EJV1" s="87"/>
      <c r="EJW1" s="87"/>
      <c r="EJX1" s="87"/>
      <c r="EJY1" s="87"/>
      <c r="EJZ1" s="87"/>
      <c r="EKA1" s="87"/>
      <c r="EKB1" s="87"/>
      <c r="EKC1" s="87"/>
      <c r="EKD1" s="87"/>
      <c r="EKE1" s="87"/>
      <c r="EKF1" s="87"/>
      <c r="EKG1" s="87"/>
      <c r="EKH1" s="87"/>
      <c r="EKI1" s="87"/>
      <c r="EKJ1" s="87"/>
      <c r="EKK1" s="87"/>
      <c r="EKL1" s="87"/>
      <c r="EKM1" s="87"/>
      <c r="EKN1" s="87"/>
      <c r="EKO1" s="87"/>
      <c r="EKP1" s="87"/>
      <c r="EKQ1" s="87"/>
      <c r="EKR1" s="87"/>
      <c r="EKS1" s="87"/>
      <c r="EKT1" s="87"/>
      <c r="EKU1" s="87"/>
      <c r="EKV1" s="87"/>
      <c r="EKW1" s="87"/>
      <c r="EKX1" s="87"/>
      <c r="EKY1" s="87"/>
      <c r="EKZ1" s="87"/>
      <c r="ELA1" s="87"/>
      <c r="ELB1" s="87"/>
      <c r="ELC1" s="87"/>
      <c r="ELD1" s="87"/>
      <c r="ELE1" s="87"/>
      <c r="ELF1" s="87"/>
      <c r="ELG1" s="87"/>
      <c r="ELH1" s="87"/>
      <c r="ELI1" s="87"/>
      <c r="ELJ1" s="87"/>
      <c r="ELK1" s="87"/>
      <c r="ELL1" s="87"/>
      <c r="ELM1" s="87"/>
      <c r="ELN1" s="87"/>
      <c r="ELO1" s="87"/>
      <c r="ELP1" s="87"/>
      <c r="ELQ1" s="87"/>
      <c r="ELR1" s="87"/>
      <c r="ELS1" s="87"/>
      <c r="ELT1" s="87"/>
      <c r="ELU1" s="87"/>
      <c r="ELV1" s="87"/>
      <c r="ELW1" s="87"/>
      <c r="ELX1" s="87"/>
      <c r="ELY1" s="87"/>
      <c r="ELZ1" s="87"/>
      <c r="EMA1" s="87"/>
      <c r="EMB1" s="87"/>
      <c r="EMC1" s="87"/>
      <c r="EMD1" s="87"/>
      <c r="EME1" s="87"/>
      <c r="EMF1" s="87"/>
      <c r="EMG1" s="87"/>
      <c r="EMH1" s="87"/>
      <c r="EMI1" s="87"/>
      <c r="EMJ1" s="87"/>
      <c r="EMK1" s="87"/>
      <c r="EML1" s="87"/>
      <c r="EMM1" s="87"/>
      <c r="EMN1" s="87"/>
      <c r="EMO1" s="87"/>
      <c r="EMP1" s="87"/>
      <c r="EMQ1" s="87"/>
      <c r="EMR1" s="87"/>
      <c r="EMS1" s="87"/>
      <c r="EMT1" s="87"/>
      <c r="EMU1" s="87"/>
      <c r="EMV1" s="87"/>
      <c r="EMW1" s="87"/>
      <c r="EMX1" s="87"/>
      <c r="EMY1" s="87"/>
      <c r="EMZ1" s="87"/>
      <c r="ENA1" s="87"/>
      <c r="ENB1" s="87"/>
      <c r="ENC1" s="87"/>
      <c r="END1" s="87"/>
      <c r="ENE1" s="87"/>
      <c r="ENF1" s="87"/>
      <c r="ENG1" s="87"/>
      <c r="ENH1" s="87"/>
      <c r="ENI1" s="87"/>
      <c r="ENJ1" s="87"/>
      <c r="ENK1" s="87"/>
      <c r="ENL1" s="87"/>
      <c r="ENM1" s="87"/>
      <c r="ENN1" s="87"/>
      <c r="ENO1" s="87"/>
      <c r="ENP1" s="87"/>
      <c r="ENQ1" s="87"/>
      <c r="ENR1" s="87"/>
      <c r="ENS1" s="87"/>
      <c r="ENT1" s="87"/>
      <c r="ENU1" s="87"/>
      <c r="ENV1" s="87"/>
      <c r="ENW1" s="87"/>
      <c r="ENX1" s="87"/>
      <c r="ENY1" s="87"/>
      <c r="ENZ1" s="87"/>
      <c r="EOA1" s="87"/>
      <c r="EOB1" s="87"/>
      <c r="EOC1" s="87"/>
      <c r="EOD1" s="87"/>
      <c r="EOE1" s="87"/>
      <c r="EOF1" s="87"/>
      <c r="EOG1" s="87"/>
      <c r="EOH1" s="87"/>
      <c r="EOI1" s="87"/>
      <c r="EOJ1" s="87"/>
      <c r="EOK1" s="87"/>
      <c r="EOL1" s="87"/>
      <c r="EOM1" s="87"/>
      <c r="EON1" s="87"/>
      <c r="EOO1" s="87"/>
      <c r="EOP1" s="87"/>
      <c r="EOQ1" s="87"/>
      <c r="EOR1" s="87"/>
      <c r="EOS1" s="87"/>
      <c r="EOT1" s="87"/>
      <c r="EOU1" s="87"/>
      <c r="EOV1" s="87"/>
      <c r="EOW1" s="87"/>
      <c r="EOX1" s="87"/>
      <c r="EOY1" s="87"/>
      <c r="EOZ1" s="87"/>
      <c r="EPA1" s="87"/>
      <c r="EPB1" s="87"/>
      <c r="EPC1" s="87"/>
      <c r="EPD1" s="87"/>
      <c r="EPE1" s="87"/>
      <c r="EPF1" s="87"/>
      <c r="EPG1" s="87"/>
      <c r="EPH1" s="87"/>
      <c r="EPI1" s="87"/>
      <c r="EPJ1" s="87"/>
      <c r="EPK1" s="87"/>
      <c r="EPL1" s="87"/>
      <c r="EPM1" s="87"/>
      <c r="EPN1" s="87"/>
      <c r="EPO1" s="87"/>
      <c r="EPP1" s="87"/>
      <c r="EPQ1" s="87"/>
      <c r="EPR1" s="87"/>
      <c r="EPS1" s="87"/>
      <c r="EPT1" s="87"/>
      <c r="EPU1" s="87"/>
      <c r="EPV1" s="87"/>
      <c r="EPW1" s="87"/>
      <c r="EPX1" s="87"/>
      <c r="EPY1" s="87"/>
      <c r="EPZ1" s="87"/>
      <c r="EQA1" s="87"/>
      <c r="EQB1" s="87"/>
      <c r="EQC1" s="87"/>
      <c r="EQD1" s="87"/>
      <c r="EQE1" s="87"/>
      <c r="EQF1" s="87"/>
      <c r="EQG1" s="87"/>
      <c r="EQH1" s="87"/>
      <c r="EQI1" s="87"/>
      <c r="EQJ1" s="87"/>
      <c r="EQK1" s="87"/>
      <c r="EQL1" s="87"/>
      <c r="EQM1" s="87"/>
      <c r="EQN1" s="87"/>
      <c r="EQO1" s="87"/>
      <c r="EQP1" s="87"/>
      <c r="EQQ1" s="87"/>
      <c r="EQR1" s="87"/>
      <c r="EQS1" s="87"/>
      <c r="EQT1" s="87"/>
      <c r="EQU1" s="87"/>
      <c r="EQV1" s="87"/>
      <c r="EQW1" s="87"/>
      <c r="EQX1" s="87"/>
      <c r="EQY1" s="87"/>
      <c r="EQZ1" s="87"/>
      <c r="ERA1" s="87"/>
      <c r="ERB1" s="87"/>
      <c r="ERC1" s="87"/>
      <c r="ERD1" s="87"/>
      <c r="ERE1" s="87"/>
      <c r="ERF1" s="87"/>
      <c r="ERG1" s="87"/>
      <c r="ERH1" s="87"/>
      <c r="ERI1" s="87"/>
      <c r="ERJ1" s="87"/>
      <c r="ERK1" s="87"/>
      <c r="ERL1" s="87"/>
      <c r="ERM1" s="87"/>
      <c r="ERN1" s="87"/>
      <c r="ERO1" s="87"/>
      <c r="ERP1" s="87"/>
      <c r="ERQ1" s="87"/>
      <c r="ERR1" s="87"/>
      <c r="ERS1" s="87"/>
      <c r="ERT1" s="87"/>
      <c r="ERU1" s="87"/>
      <c r="ERV1" s="87"/>
      <c r="ERW1" s="87"/>
      <c r="ERX1" s="87"/>
      <c r="ERY1" s="87"/>
      <c r="ERZ1" s="87"/>
      <c r="ESA1" s="87"/>
      <c r="ESB1" s="87"/>
      <c r="ESC1" s="87"/>
      <c r="ESD1" s="87"/>
      <c r="ESE1" s="87"/>
      <c r="ESF1" s="87"/>
      <c r="ESG1" s="87"/>
      <c r="ESH1" s="87"/>
      <c r="ESI1" s="87"/>
      <c r="ESJ1" s="87"/>
      <c r="ESK1" s="87"/>
      <c r="ESL1" s="87"/>
      <c r="ESM1" s="87"/>
      <c r="ESN1" s="87"/>
      <c r="ESO1" s="87"/>
      <c r="ESP1" s="87"/>
      <c r="ESQ1" s="87"/>
      <c r="ESR1" s="87"/>
      <c r="ESS1" s="87"/>
      <c r="EST1" s="87"/>
      <c r="ESU1" s="87"/>
      <c r="ESV1" s="87"/>
      <c r="ESW1" s="87"/>
      <c r="ESX1" s="87"/>
      <c r="ESY1" s="87"/>
      <c r="ESZ1" s="87"/>
      <c r="ETA1" s="87"/>
      <c r="ETB1" s="87"/>
      <c r="ETC1" s="87"/>
      <c r="ETD1" s="87"/>
      <c r="ETE1" s="87"/>
      <c r="ETF1" s="87"/>
      <c r="ETG1" s="87"/>
      <c r="ETH1" s="87"/>
      <c r="ETI1" s="87"/>
      <c r="ETJ1" s="87"/>
      <c r="ETK1" s="87"/>
      <c r="ETL1" s="87"/>
      <c r="ETM1" s="87"/>
      <c r="ETN1" s="87"/>
      <c r="ETO1" s="87"/>
      <c r="ETP1" s="87"/>
      <c r="ETQ1" s="87"/>
      <c r="ETR1" s="87"/>
      <c r="ETS1" s="87"/>
      <c r="ETT1" s="87"/>
      <c r="ETU1" s="87"/>
      <c r="ETV1" s="87"/>
      <c r="ETW1" s="87"/>
      <c r="ETX1" s="87"/>
      <c r="ETY1" s="87"/>
      <c r="ETZ1" s="87"/>
      <c r="EUA1" s="87"/>
      <c r="EUB1" s="87"/>
      <c r="EUC1" s="87"/>
      <c r="EUD1" s="87"/>
      <c r="EUE1" s="87"/>
      <c r="EUF1" s="87"/>
      <c r="EUG1" s="87"/>
      <c r="EUH1" s="87"/>
      <c r="EUI1" s="87"/>
      <c r="EUJ1" s="87"/>
      <c r="EUK1" s="87"/>
      <c r="EUL1" s="87"/>
      <c r="EUM1" s="87"/>
      <c r="EUN1" s="87"/>
      <c r="EUO1" s="87"/>
      <c r="EUP1" s="87"/>
      <c r="EUQ1" s="87"/>
      <c r="EUR1" s="87"/>
      <c r="EUS1" s="87"/>
      <c r="EUT1" s="87"/>
      <c r="EUU1" s="87"/>
      <c r="EUV1" s="87"/>
      <c r="EUW1" s="87"/>
      <c r="EUX1" s="87"/>
      <c r="EUY1" s="87"/>
      <c r="EUZ1" s="87"/>
      <c r="EVA1" s="87"/>
      <c r="EVB1" s="87"/>
      <c r="EVC1" s="87"/>
      <c r="EVD1" s="87"/>
      <c r="EVE1" s="87"/>
      <c r="EVF1" s="87"/>
      <c r="EVG1" s="87"/>
      <c r="EVH1" s="87"/>
      <c r="EVI1" s="87"/>
      <c r="EVJ1" s="87"/>
      <c r="EVK1" s="87"/>
      <c r="EVL1" s="87"/>
      <c r="EVM1" s="87"/>
      <c r="EVN1" s="87"/>
      <c r="EVO1" s="87"/>
      <c r="EVP1" s="87"/>
      <c r="EVQ1" s="87"/>
      <c r="EVR1" s="87"/>
      <c r="EVS1" s="87"/>
      <c r="EVT1" s="87"/>
      <c r="EVU1" s="87"/>
      <c r="EVV1" s="87"/>
      <c r="EVW1" s="87"/>
      <c r="EVX1" s="87"/>
      <c r="EVY1" s="87"/>
      <c r="EVZ1" s="87"/>
      <c r="EWA1" s="87"/>
      <c r="EWB1" s="87"/>
      <c r="EWC1" s="87"/>
      <c r="EWD1" s="87"/>
      <c r="EWE1" s="87"/>
      <c r="EWF1" s="87"/>
      <c r="EWG1" s="87"/>
      <c r="EWH1" s="87"/>
      <c r="EWI1" s="87"/>
      <c r="EWJ1" s="87"/>
      <c r="EWK1" s="87"/>
      <c r="EWL1" s="87"/>
      <c r="EWM1" s="87"/>
      <c r="EWN1" s="87"/>
      <c r="EWO1" s="87"/>
      <c r="EWP1" s="87"/>
      <c r="EWQ1" s="87"/>
      <c r="EWR1" s="87"/>
      <c r="EWS1" s="87"/>
      <c r="EWT1" s="87"/>
      <c r="EWU1" s="87"/>
      <c r="EWV1" s="87"/>
      <c r="EWW1" s="87"/>
      <c r="EWX1" s="87"/>
      <c r="EWY1" s="87"/>
      <c r="EWZ1" s="87"/>
      <c r="EXA1" s="87"/>
      <c r="EXB1" s="87"/>
      <c r="EXC1" s="87"/>
      <c r="EXD1" s="87"/>
      <c r="EXE1" s="87"/>
      <c r="EXF1" s="87"/>
      <c r="EXG1" s="87"/>
      <c r="EXH1" s="87"/>
      <c r="EXI1" s="87"/>
      <c r="EXJ1" s="87"/>
      <c r="EXK1" s="87"/>
      <c r="EXL1" s="87"/>
      <c r="EXM1" s="87"/>
      <c r="EXN1" s="87"/>
      <c r="EXO1" s="87"/>
      <c r="EXP1" s="87"/>
      <c r="EXQ1" s="87"/>
      <c r="EXR1" s="87"/>
      <c r="EXS1" s="87"/>
      <c r="EXT1" s="87"/>
      <c r="EXU1" s="87"/>
      <c r="EXV1" s="87"/>
      <c r="EXW1" s="87"/>
      <c r="EXX1" s="87"/>
      <c r="EXY1" s="87"/>
      <c r="EXZ1" s="87"/>
      <c r="EYA1" s="87"/>
      <c r="EYB1" s="87"/>
      <c r="EYC1" s="87"/>
      <c r="EYD1" s="87"/>
      <c r="EYE1" s="87"/>
      <c r="EYF1" s="87"/>
      <c r="EYG1" s="87"/>
      <c r="EYH1" s="87"/>
      <c r="EYI1" s="87"/>
      <c r="EYJ1" s="87"/>
      <c r="EYK1" s="87"/>
      <c r="EYL1" s="87"/>
      <c r="EYM1" s="87"/>
      <c r="EYN1" s="87"/>
      <c r="EYO1" s="87"/>
      <c r="EYP1" s="87"/>
      <c r="EYQ1" s="87"/>
      <c r="EYR1" s="87"/>
      <c r="EYS1" s="87"/>
      <c r="EYT1" s="87"/>
      <c r="EYU1" s="87"/>
      <c r="EYV1" s="87"/>
      <c r="EYW1" s="87"/>
      <c r="EYX1" s="87"/>
      <c r="EYY1" s="87"/>
      <c r="EYZ1" s="87"/>
      <c r="EZA1" s="87"/>
      <c r="EZB1" s="87"/>
      <c r="EZC1" s="87"/>
      <c r="EZD1" s="87"/>
      <c r="EZE1" s="87"/>
      <c r="EZF1" s="87"/>
      <c r="EZG1" s="87"/>
      <c r="EZH1" s="87"/>
      <c r="EZI1" s="87"/>
      <c r="EZJ1" s="87"/>
      <c r="EZK1" s="87"/>
      <c r="EZL1" s="87"/>
      <c r="EZM1" s="87"/>
      <c r="EZN1" s="87"/>
      <c r="EZO1" s="87"/>
      <c r="EZP1" s="87"/>
      <c r="EZQ1" s="87"/>
      <c r="EZR1" s="87"/>
      <c r="EZS1" s="87"/>
      <c r="EZT1" s="87"/>
      <c r="EZU1" s="87"/>
      <c r="EZV1" s="87"/>
      <c r="EZW1" s="87"/>
      <c r="EZX1" s="87"/>
      <c r="EZY1" s="87"/>
      <c r="EZZ1" s="87"/>
      <c r="FAA1" s="87"/>
      <c r="FAB1" s="87"/>
      <c r="FAC1" s="87"/>
      <c r="FAD1" s="87"/>
      <c r="FAE1" s="87"/>
      <c r="FAF1" s="87"/>
      <c r="FAG1" s="87"/>
      <c r="FAH1" s="87"/>
      <c r="FAI1" s="87"/>
      <c r="FAJ1" s="87"/>
      <c r="FAK1" s="87"/>
      <c r="FAL1" s="87"/>
      <c r="FAM1" s="87"/>
      <c r="FAN1" s="87"/>
      <c r="FAO1" s="87"/>
      <c r="FAP1" s="87"/>
      <c r="FAQ1" s="87"/>
      <c r="FAR1" s="87"/>
      <c r="FAS1" s="87"/>
      <c r="FAT1" s="87"/>
      <c r="FAU1" s="87"/>
      <c r="FAV1" s="87"/>
      <c r="FAW1" s="87"/>
      <c r="FAX1" s="87"/>
      <c r="FAY1" s="87"/>
      <c r="FAZ1" s="87"/>
      <c r="FBA1" s="87"/>
      <c r="FBB1" s="87"/>
      <c r="FBC1" s="87"/>
      <c r="FBD1" s="87"/>
      <c r="FBE1" s="87"/>
      <c r="FBF1" s="87"/>
      <c r="FBG1" s="87"/>
      <c r="FBH1" s="87"/>
      <c r="FBI1" s="87"/>
      <c r="FBJ1" s="87"/>
      <c r="FBK1" s="87"/>
      <c r="FBL1" s="87"/>
      <c r="FBM1" s="87"/>
      <c r="FBN1" s="87"/>
      <c r="FBO1" s="87"/>
      <c r="FBP1" s="87"/>
      <c r="FBQ1" s="87"/>
      <c r="FBR1" s="87"/>
      <c r="FBS1" s="87"/>
      <c r="FBT1" s="87"/>
      <c r="FBU1" s="87"/>
      <c r="FBV1" s="87"/>
      <c r="FBW1" s="87"/>
      <c r="FBX1" s="87"/>
      <c r="FBY1" s="87"/>
      <c r="FBZ1" s="87"/>
      <c r="FCA1" s="87"/>
      <c r="FCB1" s="87"/>
      <c r="FCC1" s="87"/>
      <c r="FCD1" s="87"/>
      <c r="FCE1" s="87"/>
      <c r="FCF1" s="87"/>
      <c r="FCG1" s="87"/>
      <c r="FCH1" s="87"/>
      <c r="FCI1" s="87"/>
      <c r="FCJ1" s="87"/>
      <c r="FCK1" s="87"/>
      <c r="FCL1" s="87"/>
      <c r="FCM1" s="87"/>
      <c r="FCN1" s="87"/>
      <c r="FCO1" s="87"/>
      <c r="FCP1" s="87"/>
      <c r="FCQ1" s="87"/>
      <c r="FCR1" s="87"/>
      <c r="FCS1" s="87"/>
      <c r="FCT1" s="87"/>
      <c r="FCU1" s="87"/>
      <c r="FCV1" s="87"/>
      <c r="FCW1" s="87"/>
      <c r="FCX1" s="87"/>
      <c r="FCY1" s="87"/>
      <c r="FCZ1" s="87"/>
      <c r="FDA1" s="87"/>
      <c r="FDB1" s="87"/>
      <c r="FDC1" s="87"/>
      <c r="FDD1" s="87"/>
      <c r="FDE1" s="87"/>
      <c r="FDF1" s="87"/>
      <c r="FDG1" s="87"/>
      <c r="FDH1" s="87"/>
      <c r="FDI1" s="87"/>
      <c r="FDJ1" s="87"/>
      <c r="FDK1" s="87"/>
      <c r="FDL1" s="87"/>
      <c r="FDM1" s="87"/>
      <c r="FDN1" s="87"/>
      <c r="FDO1" s="87"/>
      <c r="FDP1" s="87"/>
      <c r="FDQ1" s="87"/>
      <c r="FDR1" s="87"/>
      <c r="FDS1" s="87"/>
      <c r="FDT1" s="87"/>
      <c r="FDU1" s="87"/>
      <c r="FDV1" s="87"/>
      <c r="FDW1" s="87"/>
      <c r="FDX1" s="87"/>
      <c r="FDY1" s="87"/>
      <c r="FDZ1" s="87"/>
      <c r="FEA1" s="87"/>
      <c r="FEB1" s="87"/>
      <c r="FEC1" s="87"/>
      <c r="FED1" s="87"/>
      <c r="FEE1" s="87"/>
      <c r="FEF1" s="87"/>
      <c r="FEG1" s="87"/>
      <c r="FEH1" s="87"/>
      <c r="FEI1" s="87"/>
      <c r="FEJ1" s="87"/>
      <c r="FEK1" s="87"/>
      <c r="FEL1" s="87"/>
      <c r="FEM1" s="87"/>
      <c r="FEN1" s="87"/>
      <c r="FEO1" s="87"/>
      <c r="FEP1" s="87"/>
      <c r="FEQ1" s="87"/>
      <c r="FER1" s="87"/>
      <c r="FES1" s="87"/>
      <c r="FET1" s="87"/>
      <c r="FEU1" s="87"/>
      <c r="FEV1" s="87"/>
      <c r="FEW1" s="87"/>
      <c r="FEX1" s="87"/>
      <c r="FEY1" s="87"/>
      <c r="FEZ1" s="87"/>
      <c r="FFA1" s="87"/>
      <c r="FFB1" s="87"/>
      <c r="FFC1" s="87"/>
      <c r="FFD1" s="87"/>
      <c r="FFE1" s="87"/>
      <c r="FFF1" s="87"/>
      <c r="FFG1" s="87"/>
      <c r="FFH1" s="87"/>
      <c r="FFI1" s="87"/>
      <c r="FFJ1" s="87"/>
      <c r="FFK1" s="87"/>
      <c r="FFL1" s="87"/>
      <c r="FFM1" s="87"/>
      <c r="FFN1" s="87"/>
      <c r="FFO1" s="87"/>
      <c r="FFP1" s="87"/>
      <c r="FFQ1" s="87"/>
      <c r="FFR1" s="87"/>
      <c r="FFS1" s="87"/>
      <c r="FFT1" s="87"/>
      <c r="FFU1" s="87"/>
      <c r="FFV1" s="87"/>
      <c r="FFW1" s="87"/>
      <c r="FFX1" s="87"/>
      <c r="FFY1" s="87"/>
      <c r="FFZ1" s="87"/>
      <c r="FGA1" s="87"/>
      <c r="FGB1" s="87"/>
      <c r="FGC1" s="87"/>
      <c r="FGD1" s="87"/>
      <c r="FGE1" s="87"/>
      <c r="FGF1" s="87"/>
      <c r="FGG1" s="87"/>
      <c r="FGH1" s="87"/>
      <c r="FGI1" s="87"/>
      <c r="FGJ1" s="87"/>
      <c r="FGK1" s="87"/>
      <c r="FGL1" s="87"/>
      <c r="FGM1" s="87"/>
      <c r="FGN1" s="87"/>
      <c r="FGO1" s="87"/>
      <c r="FGP1" s="87"/>
      <c r="FGQ1" s="87"/>
      <c r="FGR1" s="87"/>
      <c r="FGS1" s="87"/>
      <c r="FGT1" s="87"/>
      <c r="FGU1" s="87"/>
      <c r="FGV1" s="87"/>
      <c r="FGW1" s="87"/>
      <c r="FGX1" s="87"/>
      <c r="FGY1" s="87"/>
      <c r="FGZ1" s="87"/>
      <c r="FHA1" s="87"/>
      <c r="FHB1" s="87"/>
      <c r="FHC1" s="87"/>
      <c r="FHD1" s="87"/>
      <c r="FHE1" s="87"/>
      <c r="FHF1" s="87"/>
      <c r="FHG1" s="87"/>
      <c r="FHH1" s="87"/>
      <c r="FHI1" s="87"/>
      <c r="FHJ1" s="87"/>
      <c r="FHK1" s="87"/>
      <c r="FHL1" s="87"/>
      <c r="FHM1" s="87"/>
      <c r="FHN1" s="87"/>
      <c r="FHO1" s="87"/>
      <c r="FHP1" s="87"/>
      <c r="FHQ1" s="87"/>
      <c r="FHR1" s="87"/>
      <c r="FHS1" s="87"/>
      <c r="FHT1" s="87"/>
      <c r="FHU1" s="87"/>
      <c r="FHV1" s="87"/>
      <c r="FHW1" s="87"/>
      <c r="FHX1" s="87"/>
      <c r="FHY1" s="87"/>
      <c r="FHZ1" s="87"/>
      <c r="FIA1" s="87"/>
      <c r="FIB1" s="87"/>
      <c r="FIC1" s="87"/>
      <c r="FID1" s="87"/>
      <c r="FIE1" s="87"/>
      <c r="FIF1" s="87"/>
      <c r="FIG1" s="87"/>
      <c r="FIH1" s="87"/>
      <c r="FII1" s="87"/>
      <c r="FIJ1" s="87"/>
      <c r="FIK1" s="87"/>
      <c r="FIL1" s="87"/>
      <c r="FIM1" s="87"/>
      <c r="FIN1" s="87"/>
      <c r="FIO1" s="87"/>
      <c r="FIP1" s="87"/>
      <c r="FIQ1" s="87"/>
      <c r="FIR1" s="87"/>
      <c r="FIS1" s="87"/>
      <c r="FIT1" s="87"/>
      <c r="FIU1" s="87"/>
      <c r="FIV1" s="87"/>
      <c r="FIW1" s="87"/>
      <c r="FIX1" s="87"/>
      <c r="FIY1" s="87"/>
      <c r="FIZ1" s="87"/>
      <c r="FJA1" s="87"/>
      <c r="FJB1" s="87"/>
      <c r="FJC1" s="87"/>
      <c r="FJD1" s="87"/>
      <c r="FJE1" s="87"/>
      <c r="FJF1" s="87"/>
      <c r="FJG1" s="87"/>
      <c r="FJH1" s="87"/>
      <c r="FJI1" s="87"/>
      <c r="FJJ1" s="87"/>
      <c r="FJK1" s="87"/>
      <c r="FJL1" s="87"/>
      <c r="FJM1" s="87"/>
      <c r="FJN1" s="87"/>
      <c r="FJO1" s="87"/>
      <c r="FJP1" s="87"/>
      <c r="FJQ1" s="87"/>
      <c r="FJR1" s="87"/>
      <c r="FJS1" s="87"/>
      <c r="FJT1" s="87"/>
      <c r="FJU1" s="87"/>
      <c r="FJV1" s="87"/>
      <c r="FJW1" s="87"/>
      <c r="FJX1" s="87"/>
      <c r="FJY1" s="87"/>
      <c r="FJZ1" s="87"/>
      <c r="FKA1" s="87"/>
      <c r="FKB1" s="87"/>
      <c r="FKC1" s="87"/>
      <c r="FKD1" s="87"/>
      <c r="FKE1" s="87"/>
      <c r="FKF1" s="87"/>
      <c r="FKG1" s="87"/>
      <c r="FKH1" s="87"/>
      <c r="FKI1" s="87"/>
      <c r="FKJ1" s="87"/>
      <c r="FKK1" s="87"/>
      <c r="FKL1" s="87"/>
      <c r="FKM1" s="87"/>
      <c r="FKN1" s="87"/>
      <c r="FKO1" s="87"/>
      <c r="FKP1" s="87"/>
      <c r="FKQ1" s="87"/>
      <c r="FKR1" s="87"/>
      <c r="FKS1" s="87"/>
      <c r="FKT1" s="87"/>
      <c r="FKU1" s="87"/>
      <c r="FKV1" s="87"/>
      <c r="FKW1" s="87"/>
      <c r="FKX1" s="87"/>
      <c r="FKY1" s="87"/>
      <c r="FKZ1" s="87"/>
      <c r="FLA1" s="87"/>
      <c r="FLB1" s="87"/>
      <c r="FLC1" s="87"/>
      <c r="FLD1" s="87"/>
      <c r="FLE1" s="87"/>
      <c r="FLF1" s="87"/>
      <c r="FLG1" s="87"/>
      <c r="FLH1" s="87"/>
      <c r="FLI1" s="87"/>
      <c r="FLJ1" s="87"/>
      <c r="FLK1" s="87"/>
      <c r="FLL1" s="87"/>
      <c r="FLM1" s="87"/>
      <c r="FLN1" s="87"/>
      <c r="FLO1" s="87"/>
      <c r="FLP1" s="87"/>
      <c r="FLQ1" s="87"/>
      <c r="FLR1" s="87"/>
      <c r="FLS1" s="87"/>
      <c r="FLT1" s="87"/>
      <c r="FLU1" s="87"/>
      <c r="FLV1" s="87"/>
      <c r="FLW1" s="87"/>
      <c r="FLX1" s="87"/>
      <c r="FLY1" s="87"/>
      <c r="FLZ1" s="87"/>
      <c r="FMA1" s="87"/>
      <c r="FMB1" s="87"/>
      <c r="FMC1" s="87"/>
      <c r="FMD1" s="87"/>
      <c r="FME1" s="87"/>
      <c r="FMF1" s="87"/>
      <c r="FMG1" s="87"/>
      <c r="FMH1" s="87"/>
      <c r="FMI1" s="87"/>
      <c r="FMJ1" s="87"/>
      <c r="FMK1" s="87"/>
      <c r="FML1" s="87"/>
      <c r="FMM1" s="87"/>
      <c r="FMN1" s="87"/>
      <c r="FMO1" s="87"/>
      <c r="FMP1" s="87"/>
      <c r="FMQ1" s="87"/>
      <c r="FMR1" s="87"/>
      <c r="FMS1" s="87"/>
      <c r="FMT1" s="87"/>
      <c r="FMU1" s="87"/>
      <c r="FMV1" s="87"/>
      <c r="FMW1" s="87"/>
      <c r="FMX1" s="87"/>
      <c r="FMY1" s="87"/>
      <c r="FMZ1" s="87"/>
      <c r="FNA1" s="87"/>
      <c r="FNB1" s="87"/>
      <c r="FNC1" s="87"/>
      <c r="FND1" s="87"/>
      <c r="FNE1" s="87"/>
      <c r="FNF1" s="87"/>
      <c r="FNG1" s="87"/>
      <c r="FNH1" s="87"/>
      <c r="FNI1" s="87"/>
      <c r="FNJ1" s="87"/>
      <c r="FNK1" s="87"/>
      <c r="FNL1" s="87"/>
      <c r="FNM1" s="87"/>
      <c r="FNN1" s="87"/>
      <c r="FNO1" s="87"/>
      <c r="FNP1" s="87"/>
      <c r="FNQ1" s="87"/>
      <c r="FNR1" s="87"/>
      <c r="FNS1" s="87"/>
      <c r="FNT1" s="87"/>
      <c r="FNU1" s="87"/>
      <c r="FNV1" s="87"/>
      <c r="FNW1" s="87"/>
      <c r="FNX1" s="87"/>
      <c r="FNY1" s="87"/>
      <c r="FNZ1" s="87"/>
      <c r="FOA1" s="87"/>
      <c r="FOB1" s="87"/>
      <c r="FOC1" s="87"/>
      <c r="FOD1" s="87"/>
      <c r="FOE1" s="87"/>
      <c r="FOF1" s="87"/>
      <c r="FOG1" s="87"/>
      <c r="FOH1" s="87"/>
      <c r="FOI1" s="87"/>
      <c r="FOJ1" s="87"/>
      <c r="FOK1" s="87"/>
      <c r="FOL1" s="87"/>
      <c r="FOM1" s="87"/>
      <c r="FON1" s="87"/>
      <c r="FOO1" s="87"/>
      <c r="FOP1" s="87"/>
      <c r="FOQ1" s="87"/>
      <c r="FOR1" s="87"/>
      <c r="FOS1" s="87"/>
      <c r="FOT1" s="87"/>
      <c r="FOU1" s="87"/>
      <c r="FOV1" s="87"/>
      <c r="FOW1" s="87"/>
      <c r="FOX1" s="87"/>
      <c r="FOY1" s="87"/>
      <c r="FOZ1" s="87"/>
      <c r="FPA1" s="87"/>
      <c r="FPB1" s="87"/>
      <c r="FPC1" s="87"/>
      <c r="FPD1" s="87"/>
      <c r="FPE1" s="87"/>
      <c r="FPF1" s="87"/>
      <c r="FPG1" s="87"/>
      <c r="FPH1" s="87"/>
      <c r="FPI1" s="87"/>
      <c r="FPJ1" s="87"/>
      <c r="FPK1" s="87"/>
      <c r="FPL1" s="87"/>
      <c r="FPM1" s="87"/>
      <c r="FPN1" s="87"/>
      <c r="FPO1" s="87"/>
      <c r="FPP1" s="87"/>
      <c r="FPQ1" s="87"/>
      <c r="FPR1" s="87"/>
      <c r="FPS1" s="87"/>
      <c r="FPT1" s="87"/>
      <c r="FPU1" s="87"/>
      <c r="FPV1" s="87"/>
      <c r="FPW1" s="87"/>
      <c r="FPX1" s="87"/>
      <c r="FPY1" s="87"/>
      <c r="FPZ1" s="87"/>
      <c r="FQA1" s="87"/>
      <c r="FQB1" s="87"/>
      <c r="FQC1" s="87"/>
      <c r="FQD1" s="87"/>
      <c r="FQE1" s="87"/>
      <c r="FQF1" s="87"/>
      <c r="FQG1" s="87"/>
      <c r="FQH1" s="87"/>
      <c r="FQI1" s="87"/>
      <c r="FQJ1" s="87"/>
      <c r="FQK1" s="87"/>
      <c r="FQL1" s="87"/>
      <c r="FQM1" s="87"/>
      <c r="FQN1" s="87"/>
      <c r="FQO1" s="87"/>
      <c r="FQP1" s="87"/>
      <c r="FQQ1" s="87"/>
      <c r="FQR1" s="87"/>
      <c r="FQS1" s="87"/>
      <c r="FQT1" s="87"/>
      <c r="FQU1" s="87"/>
      <c r="FQV1" s="87"/>
      <c r="FQW1" s="87"/>
      <c r="FQX1" s="87"/>
      <c r="FQY1" s="87"/>
      <c r="FQZ1" s="87"/>
      <c r="FRA1" s="87"/>
      <c r="FRB1" s="87"/>
      <c r="FRC1" s="87"/>
      <c r="FRD1" s="87"/>
      <c r="FRE1" s="87"/>
      <c r="FRF1" s="87"/>
      <c r="FRG1" s="87"/>
      <c r="FRH1" s="87"/>
      <c r="FRI1" s="87"/>
      <c r="FRJ1" s="87"/>
      <c r="FRK1" s="87"/>
      <c r="FRL1" s="87"/>
      <c r="FRM1" s="87"/>
      <c r="FRN1" s="87"/>
      <c r="FRO1" s="87"/>
      <c r="FRP1" s="87"/>
      <c r="FRQ1" s="87"/>
      <c r="FRR1" s="87"/>
      <c r="FRS1" s="87"/>
      <c r="FRT1" s="87"/>
      <c r="FRU1" s="87"/>
      <c r="FRV1" s="87"/>
      <c r="FRW1" s="87"/>
      <c r="FRX1" s="87"/>
      <c r="FRY1" s="87"/>
      <c r="FRZ1" s="87"/>
      <c r="FSA1" s="87"/>
      <c r="FSB1" s="87"/>
      <c r="FSC1" s="87"/>
      <c r="FSD1" s="87"/>
      <c r="FSE1" s="87"/>
      <c r="FSF1" s="87"/>
      <c r="FSG1" s="87"/>
      <c r="FSH1" s="87"/>
      <c r="FSI1" s="87"/>
      <c r="FSJ1" s="87"/>
      <c r="FSK1" s="87"/>
      <c r="FSL1" s="87"/>
      <c r="FSM1" s="87"/>
      <c r="FSN1" s="87"/>
      <c r="FSO1" s="87"/>
      <c r="FSP1" s="87"/>
      <c r="FSQ1" s="87"/>
      <c r="FSR1" s="87"/>
      <c r="FSS1" s="87"/>
      <c r="FST1" s="87"/>
      <c r="FSU1" s="87"/>
      <c r="FSV1" s="87"/>
      <c r="FSW1" s="87"/>
      <c r="FSX1" s="87"/>
      <c r="FSY1" s="87"/>
      <c r="FSZ1" s="87"/>
      <c r="FTA1" s="87"/>
      <c r="FTB1" s="87"/>
      <c r="FTC1" s="87"/>
      <c r="FTD1" s="87"/>
      <c r="FTE1" s="87"/>
      <c r="FTF1" s="87"/>
      <c r="FTG1" s="87"/>
      <c r="FTH1" s="87"/>
      <c r="FTI1" s="87"/>
      <c r="FTJ1" s="87"/>
      <c r="FTK1" s="87"/>
      <c r="FTL1" s="87"/>
      <c r="FTM1" s="87"/>
      <c r="FTN1" s="87"/>
      <c r="FTO1" s="87"/>
      <c r="FTP1" s="87"/>
      <c r="FTQ1" s="87"/>
      <c r="FTR1" s="87"/>
      <c r="FTS1" s="87"/>
      <c r="FTT1" s="87"/>
      <c r="FTU1" s="87"/>
      <c r="FTV1" s="87"/>
      <c r="FTW1" s="87"/>
      <c r="FTX1" s="87"/>
      <c r="FTY1" s="87"/>
      <c r="FTZ1" s="87"/>
      <c r="FUA1" s="87"/>
      <c r="FUB1" s="87"/>
      <c r="FUC1" s="87"/>
      <c r="FUD1" s="87"/>
      <c r="FUE1" s="87"/>
      <c r="FUF1" s="87"/>
      <c r="FUG1" s="87"/>
      <c r="FUH1" s="87"/>
      <c r="FUI1" s="87"/>
      <c r="FUJ1" s="87"/>
      <c r="FUK1" s="87"/>
      <c r="FUL1" s="87"/>
      <c r="FUM1" s="87"/>
      <c r="FUN1" s="87"/>
      <c r="FUO1" s="87"/>
      <c r="FUP1" s="87"/>
      <c r="FUQ1" s="87"/>
      <c r="FUR1" s="87"/>
      <c r="FUS1" s="87"/>
      <c r="FUT1" s="87"/>
      <c r="FUU1" s="87"/>
      <c r="FUV1" s="87"/>
      <c r="FUW1" s="87"/>
      <c r="FUX1" s="87"/>
      <c r="FUY1" s="87"/>
      <c r="FUZ1" s="87"/>
      <c r="FVA1" s="87"/>
      <c r="FVB1" s="87"/>
      <c r="FVC1" s="87"/>
      <c r="FVD1" s="87"/>
      <c r="FVE1" s="87"/>
      <c r="FVF1" s="87"/>
      <c r="FVG1" s="87"/>
      <c r="FVH1" s="87"/>
      <c r="FVI1" s="87"/>
      <c r="FVJ1" s="87"/>
      <c r="FVK1" s="87"/>
      <c r="FVL1" s="87"/>
      <c r="FVM1" s="87"/>
      <c r="FVN1" s="87"/>
      <c r="FVO1" s="87"/>
      <c r="FVP1" s="87"/>
      <c r="FVQ1" s="87"/>
      <c r="FVR1" s="87"/>
      <c r="FVS1" s="87"/>
      <c r="FVT1" s="87"/>
      <c r="FVU1" s="87"/>
      <c r="FVV1" s="87"/>
      <c r="FVW1" s="87"/>
      <c r="FVX1" s="87"/>
      <c r="FVY1" s="87"/>
      <c r="FVZ1" s="87"/>
      <c r="FWA1" s="87"/>
      <c r="FWB1" s="87"/>
      <c r="FWC1" s="87"/>
      <c r="FWD1" s="87"/>
      <c r="FWE1" s="87"/>
      <c r="FWF1" s="87"/>
      <c r="FWG1" s="87"/>
      <c r="FWH1" s="87"/>
      <c r="FWI1" s="87"/>
      <c r="FWJ1" s="87"/>
      <c r="FWK1" s="87"/>
      <c r="FWL1" s="87"/>
      <c r="FWM1" s="87"/>
      <c r="FWN1" s="87"/>
      <c r="FWO1" s="87"/>
      <c r="FWP1" s="87"/>
      <c r="FWQ1" s="87"/>
      <c r="FWR1" s="87"/>
      <c r="FWS1" s="87"/>
      <c r="FWT1" s="87"/>
      <c r="FWU1" s="87"/>
      <c r="FWV1" s="87"/>
      <c r="FWW1" s="87"/>
      <c r="FWX1" s="87"/>
      <c r="FWY1" s="87"/>
      <c r="FWZ1" s="87"/>
      <c r="FXA1" s="87"/>
      <c r="FXB1" s="87"/>
      <c r="FXC1" s="87"/>
      <c r="FXD1" s="87"/>
      <c r="FXE1" s="87"/>
      <c r="FXF1" s="87"/>
      <c r="FXG1" s="87"/>
      <c r="FXH1" s="87"/>
      <c r="FXI1" s="87"/>
      <c r="FXJ1" s="87"/>
      <c r="FXK1" s="87"/>
      <c r="FXL1" s="87"/>
      <c r="FXM1" s="87"/>
      <c r="FXN1" s="87"/>
      <c r="FXO1" s="87"/>
      <c r="FXP1" s="87"/>
      <c r="FXQ1" s="87"/>
      <c r="FXR1" s="87"/>
      <c r="FXS1" s="87"/>
      <c r="FXT1" s="87"/>
      <c r="FXU1" s="87"/>
      <c r="FXV1" s="87"/>
      <c r="FXW1" s="87"/>
      <c r="FXX1" s="87"/>
      <c r="FXY1" s="87"/>
      <c r="FXZ1" s="87"/>
      <c r="FYA1" s="87"/>
      <c r="FYB1" s="87"/>
      <c r="FYC1" s="87"/>
      <c r="FYD1" s="87"/>
      <c r="FYE1" s="87"/>
      <c r="FYF1" s="87"/>
      <c r="FYG1" s="87"/>
      <c r="FYH1" s="87"/>
      <c r="FYI1" s="87"/>
      <c r="FYJ1" s="87"/>
      <c r="FYK1" s="87"/>
      <c r="FYL1" s="87"/>
      <c r="FYM1" s="87"/>
      <c r="FYN1" s="87"/>
      <c r="FYO1" s="87"/>
      <c r="FYP1" s="87"/>
      <c r="FYQ1" s="87"/>
      <c r="FYR1" s="87"/>
      <c r="FYS1" s="87"/>
      <c r="FYT1" s="87"/>
      <c r="FYU1" s="87"/>
      <c r="FYV1" s="87"/>
      <c r="FYW1" s="87"/>
      <c r="FYX1" s="87"/>
      <c r="FYY1" s="87"/>
      <c r="FYZ1" s="87"/>
      <c r="FZA1" s="87"/>
      <c r="FZB1" s="87"/>
      <c r="FZC1" s="87"/>
      <c r="FZD1" s="87"/>
      <c r="FZE1" s="87"/>
      <c r="FZF1" s="87"/>
      <c r="FZG1" s="87"/>
      <c r="FZH1" s="87"/>
      <c r="FZI1" s="87"/>
      <c r="FZJ1" s="87"/>
      <c r="FZK1" s="87"/>
      <c r="FZL1" s="87"/>
      <c r="FZM1" s="87"/>
      <c r="FZN1" s="87"/>
      <c r="FZO1" s="87"/>
      <c r="FZP1" s="87"/>
      <c r="FZQ1" s="87"/>
      <c r="FZR1" s="87"/>
      <c r="FZS1" s="87"/>
      <c r="FZT1" s="87"/>
      <c r="FZU1" s="87"/>
      <c r="FZV1" s="87"/>
      <c r="FZW1" s="87"/>
      <c r="FZX1" s="87"/>
      <c r="FZY1" s="87"/>
      <c r="FZZ1" s="87"/>
      <c r="GAA1" s="87"/>
      <c r="GAB1" s="87"/>
      <c r="GAC1" s="87"/>
      <c r="GAD1" s="87"/>
      <c r="GAE1" s="87"/>
      <c r="GAF1" s="87"/>
      <c r="GAG1" s="87"/>
      <c r="GAH1" s="87"/>
      <c r="GAI1" s="87"/>
      <c r="GAJ1" s="87"/>
      <c r="GAK1" s="87"/>
      <c r="GAL1" s="87"/>
      <c r="GAM1" s="87"/>
      <c r="GAN1" s="87"/>
      <c r="GAO1" s="87"/>
      <c r="GAP1" s="87"/>
      <c r="GAQ1" s="87"/>
      <c r="GAR1" s="87"/>
      <c r="GAS1" s="87"/>
      <c r="GAT1" s="87"/>
      <c r="GAU1" s="87"/>
      <c r="GAV1" s="87"/>
      <c r="GAW1" s="87"/>
      <c r="GAX1" s="87"/>
      <c r="GAY1" s="87"/>
      <c r="GAZ1" s="87"/>
      <c r="GBA1" s="87"/>
      <c r="GBB1" s="87"/>
      <c r="GBC1" s="87"/>
      <c r="GBD1" s="87"/>
      <c r="GBE1" s="87"/>
      <c r="GBF1" s="87"/>
      <c r="GBG1" s="87"/>
      <c r="GBH1" s="87"/>
      <c r="GBI1" s="87"/>
      <c r="GBJ1" s="87"/>
      <c r="GBK1" s="87"/>
      <c r="GBL1" s="87"/>
      <c r="GBM1" s="87"/>
      <c r="GBN1" s="87"/>
      <c r="GBO1" s="87"/>
      <c r="GBP1" s="87"/>
      <c r="GBQ1" s="87"/>
      <c r="GBR1" s="87"/>
      <c r="GBS1" s="87"/>
      <c r="GBT1" s="87"/>
      <c r="GBU1" s="87"/>
      <c r="GBV1" s="87"/>
      <c r="GBW1" s="87"/>
      <c r="GBX1" s="87"/>
      <c r="GBY1" s="87"/>
      <c r="GBZ1" s="87"/>
      <c r="GCA1" s="87"/>
      <c r="GCB1" s="87"/>
      <c r="GCC1" s="87"/>
      <c r="GCD1" s="87"/>
      <c r="GCE1" s="87"/>
      <c r="GCF1" s="87"/>
      <c r="GCG1" s="87"/>
      <c r="GCH1" s="87"/>
      <c r="GCI1" s="87"/>
      <c r="GCJ1" s="87"/>
      <c r="GCK1" s="87"/>
      <c r="GCL1" s="87"/>
      <c r="GCM1" s="87"/>
      <c r="GCN1" s="87"/>
      <c r="GCO1" s="87"/>
      <c r="GCP1" s="87"/>
      <c r="GCQ1" s="87"/>
      <c r="GCR1" s="87"/>
      <c r="GCS1" s="87"/>
      <c r="GCT1" s="87"/>
      <c r="GCU1" s="87"/>
      <c r="GCV1" s="87"/>
      <c r="GCW1" s="87"/>
      <c r="GCX1" s="87"/>
      <c r="GCY1" s="87"/>
      <c r="GCZ1" s="87"/>
      <c r="GDA1" s="87"/>
      <c r="GDB1" s="87"/>
      <c r="GDC1" s="87"/>
      <c r="GDD1" s="87"/>
      <c r="GDE1" s="87"/>
      <c r="GDF1" s="87"/>
      <c r="GDG1" s="87"/>
      <c r="GDH1" s="87"/>
      <c r="GDI1" s="87"/>
      <c r="GDJ1" s="87"/>
      <c r="GDK1" s="87"/>
      <c r="GDL1" s="87"/>
      <c r="GDM1" s="87"/>
      <c r="GDN1" s="87"/>
      <c r="GDO1" s="87"/>
      <c r="GDP1" s="87"/>
      <c r="GDQ1" s="87"/>
      <c r="GDR1" s="87"/>
      <c r="GDS1" s="87"/>
      <c r="GDT1" s="87"/>
      <c r="GDU1" s="87"/>
      <c r="GDV1" s="87"/>
      <c r="GDW1" s="87"/>
      <c r="GDX1" s="87"/>
      <c r="GDY1" s="87"/>
      <c r="GDZ1" s="87"/>
      <c r="GEA1" s="87"/>
      <c r="GEB1" s="87"/>
      <c r="GEC1" s="87"/>
      <c r="GED1" s="87"/>
      <c r="GEE1" s="87"/>
      <c r="GEF1" s="87"/>
      <c r="GEG1" s="87"/>
      <c r="GEH1" s="87"/>
      <c r="GEI1" s="87"/>
      <c r="GEJ1" s="87"/>
      <c r="GEK1" s="87"/>
      <c r="GEL1" s="87"/>
      <c r="GEM1" s="87"/>
      <c r="GEN1" s="87"/>
      <c r="GEO1" s="87"/>
      <c r="GEP1" s="87"/>
      <c r="GEQ1" s="87"/>
      <c r="GER1" s="87"/>
      <c r="GES1" s="87"/>
      <c r="GET1" s="87"/>
      <c r="GEU1" s="87"/>
      <c r="GEV1" s="87"/>
      <c r="GEW1" s="87"/>
      <c r="GEX1" s="87"/>
      <c r="GEY1" s="87"/>
      <c r="GEZ1" s="87"/>
      <c r="GFA1" s="87"/>
      <c r="GFB1" s="87"/>
      <c r="GFC1" s="87"/>
      <c r="GFD1" s="87"/>
      <c r="GFE1" s="87"/>
      <c r="GFF1" s="87"/>
      <c r="GFG1" s="87"/>
      <c r="GFH1" s="87"/>
      <c r="GFI1" s="87"/>
      <c r="GFJ1" s="87"/>
      <c r="GFK1" s="87"/>
      <c r="GFL1" s="87"/>
      <c r="GFM1" s="87"/>
      <c r="GFN1" s="87"/>
      <c r="GFO1" s="87"/>
      <c r="GFP1" s="87"/>
      <c r="GFQ1" s="87"/>
      <c r="GFR1" s="87"/>
      <c r="GFS1" s="87"/>
      <c r="GFT1" s="87"/>
      <c r="GFU1" s="87"/>
      <c r="GFV1" s="87"/>
      <c r="GFW1" s="87"/>
      <c r="GFX1" s="87"/>
      <c r="GFY1" s="87"/>
      <c r="GFZ1" s="87"/>
      <c r="GGA1" s="87"/>
      <c r="GGB1" s="87"/>
      <c r="GGC1" s="87"/>
      <c r="GGD1" s="87"/>
      <c r="GGE1" s="87"/>
      <c r="GGF1" s="87"/>
      <c r="GGG1" s="87"/>
      <c r="GGH1" s="87"/>
      <c r="GGI1" s="87"/>
      <c r="GGJ1" s="87"/>
      <c r="GGK1" s="87"/>
      <c r="GGL1" s="87"/>
      <c r="GGM1" s="87"/>
      <c r="GGN1" s="87"/>
      <c r="GGO1" s="87"/>
      <c r="GGP1" s="87"/>
      <c r="GGQ1" s="87"/>
      <c r="GGR1" s="87"/>
      <c r="GGS1" s="87"/>
      <c r="GGT1" s="87"/>
      <c r="GGU1" s="87"/>
      <c r="GGV1" s="87"/>
      <c r="GGW1" s="87"/>
      <c r="GGX1" s="87"/>
      <c r="GGY1" s="87"/>
      <c r="GGZ1" s="87"/>
      <c r="GHA1" s="87"/>
      <c r="GHB1" s="87"/>
      <c r="GHC1" s="87"/>
      <c r="GHD1" s="87"/>
      <c r="GHE1" s="87"/>
      <c r="GHF1" s="87"/>
      <c r="GHG1" s="87"/>
      <c r="GHH1" s="87"/>
      <c r="GHI1" s="87"/>
      <c r="GHJ1" s="87"/>
      <c r="GHK1" s="87"/>
      <c r="GHL1" s="87"/>
      <c r="GHM1" s="87"/>
      <c r="GHN1" s="87"/>
      <c r="GHO1" s="87"/>
      <c r="GHP1" s="87"/>
      <c r="GHQ1" s="87"/>
      <c r="GHR1" s="87"/>
      <c r="GHS1" s="87"/>
      <c r="GHT1" s="87"/>
      <c r="GHU1" s="87"/>
      <c r="GHV1" s="87"/>
      <c r="GHW1" s="87"/>
      <c r="GHX1" s="87"/>
      <c r="GHY1" s="87"/>
      <c r="GHZ1" s="87"/>
      <c r="GIA1" s="87"/>
      <c r="GIB1" s="87"/>
      <c r="GIC1" s="87"/>
      <c r="GID1" s="87"/>
      <c r="GIE1" s="87"/>
      <c r="GIF1" s="87"/>
      <c r="GIG1" s="87"/>
      <c r="GIH1" s="87"/>
      <c r="GII1" s="87"/>
      <c r="GIJ1" s="87"/>
      <c r="GIK1" s="87"/>
      <c r="GIL1" s="87"/>
      <c r="GIM1" s="87"/>
      <c r="GIN1" s="87"/>
      <c r="GIO1" s="87"/>
      <c r="GIP1" s="87"/>
      <c r="GIQ1" s="87"/>
      <c r="GIR1" s="87"/>
      <c r="GIS1" s="87"/>
      <c r="GIT1" s="87"/>
      <c r="GIU1" s="87"/>
      <c r="GIV1" s="87"/>
      <c r="GIW1" s="87"/>
      <c r="GIX1" s="87"/>
      <c r="GIY1" s="87"/>
      <c r="GIZ1" s="87"/>
      <c r="GJA1" s="87"/>
      <c r="GJB1" s="87"/>
      <c r="GJC1" s="87"/>
      <c r="GJD1" s="87"/>
      <c r="GJE1" s="87"/>
      <c r="GJF1" s="87"/>
      <c r="GJG1" s="87"/>
      <c r="GJH1" s="87"/>
      <c r="GJI1" s="87"/>
      <c r="GJJ1" s="87"/>
      <c r="GJK1" s="87"/>
      <c r="GJL1" s="87"/>
      <c r="GJM1" s="87"/>
      <c r="GJN1" s="87"/>
      <c r="GJO1" s="87"/>
      <c r="GJP1" s="87"/>
      <c r="GJQ1" s="87"/>
      <c r="GJR1" s="87"/>
      <c r="GJS1" s="87"/>
      <c r="GJT1" s="87"/>
      <c r="GJU1" s="87"/>
      <c r="GJV1" s="87"/>
      <c r="GJW1" s="87"/>
      <c r="GJX1" s="87"/>
      <c r="GJY1" s="87"/>
      <c r="GJZ1" s="87"/>
      <c r="GKA1" s="87"/>
      <c r="GKB1" s="87"/>
      <c r="GKC1" s="87"/>
      <c r="GKD1" s="87"/>
      <c r="GKE1" s="87"/>
      <c r="GKF1" s="87"/>
      <c r="GKG1" s="87"/>
      <c r="GKH1" s="87"/>
      <c r="GKI1" s="87"/>
      <c r="GKJ1" s="87"/>
      <c r="GKK1" s="87"/>
      <c r="GKL1" s="87"/>
      <c r="GKM1" s="87"/>
      <c r="GKN1" s="87"/>
      <c r="GKO1" s="87"/>
      <c r="GKP1" s="87"/>
      <c r="GKQ1" s="87"/>
      <c r="GKR1" s="87"/>
      <c r="GKS1" s="87"/>
      <c r="GKT1" s="87"/>
      <c r="GKU1" s="87"/>
      <c r="GKV1" s="87"/>
      <c r="GKW1" s="87"/>
      <c r="GKX1" s="87"/>
      <c r="GKY1" s="87"/>
      <c r="GKZ1" s="87"/>
      <c r="GLA1" s="87"/>
      <c r="GLB1" s="87"/>
      <c r="GLC1" s="87"/>
      <c r="GLD1" s="87"/>
      <c r="GLE1" s="87"/>
      <c r="GLF1" s="87"/>
      <c r="GLG1" s="87"/>
      <c r="GLH1" s="87"/>
      <c r="GLI1" s="87"/>
      <c r="GLJ1" s="87"/>
      <c r="GLK1" s="87"/>
      <c r="GLL1" s="87"/>
      <c r="GLM1" s="87"/>
      <c r="GLN1" s="87"/>
      <c r="GLO1" s="87"/>
      <c r="GLP1" s="87"/>
      <c r="GLQ1" s="87"/>
      <c r="GLR1" s="87"/>
      <c r="GLS1" s="87"/>
      <c r="GLT1" s="87"/>
      <c r="GLU1" s="87"/>
      <c r="GLV1" s="87"/>
      <c r="GLW1" s="87"/>
      <c r="GLX1" s="87"/>
      <c r="GLY1" s="87"/>
      <c r="GLZ1" s="87"/>
      <c r="GMA1" s="87"/>
      <c r="GMB1" s="87"/>
      <c r="GMC1" s="87"/>
      <c r="GMD1" s="87"/>
      <c r="GME1" s="87"/>
      <c r="GMF1" s="87"/>
      <c r="GMG1" s="87"/>
      <c r="GMH1" s="87"/>
      <c r="GMI1" s="87"/>
      <c r="GMJ1" s="87"/>
      <c r="GMK1" s="87"/>
      <c r="GML1" s="87"/>
      <c r="GMM1" s="87"/>
      <c r="GMN1" s="87"/>
      <c r="GMO1" s="87"/>
      <c r="GMP1" s="87"/>
      <c r="GMQ1" s="87"/>
      <c r="GMR1" s="87"/>
      <c r="GMS1" s="87"/>
      <c r="GMT1" s="87"/>
      <c r="GMU1" s="87"/>
      <c r="GMV1" s="87"/>
      <c r="GMW1" s="87"/>
      <c r="GMX1" s="87"/>
      <c r="GMY1" s="87"/>
      <c r="GMZ1" s="87"/>
      <c r="GNA1" s="87"/>
      <c r="GNB1" s="87"/>
      <c r="GNC1" s="87"/>
      <c r="GND1" s="87"/>
      <c r="GNE1" s="87"/>
      <c r="GNF1" s="87"/>
      <c r="GNG1" s="87"/>
      <c r="GNH1" s="87"/>
      <c r="GNI1" s="87"/>
      <c r="GNJ1" s="87"/>
      <c r="GNK1" s="87"/>
      <c r="GNL1" s="87"/>
      <c r="GNM1" s="87"/>
      <c r="GNN1" s="87"/>
      <c r="GNO1" s="87"/>
      <c r="GNP1" s="87"/>
      <c r="GNQ1" s="87"/>
      <c r="GNR1" s="87"/>
      <c r="GNS1" s="87"/>
      <c r="GNT1" s="87"/>
      <c r="GNU1" s="87"/>
      <c r="GNV1" s="87"/>
      <c r="GNW1" s="87"/>
      <c r="GNX1" s="87"/>
      <c r="GNY1" s="87"/>
      <c r="GNZ1" s="87"/>
      <c r="GOA1" s="87"/>
      <c r="GOB1" s="87"/>
      <c r="GOC1" s="87"/>
      <c r="GOD1" s="87"/>
      <c r="GOE1" s="87"/>
      <c r="GOF1" s="87"/>
      <c r="GOG1" s="87"/>
      <c r="GOH1" s="87"/>
      <c r="GOI1" s="87"/>
      <c r="GOJ1" s="87"/>
      <c r="GOK1" s="87"/>
      <c r="GOL1" s="87"/>
      <c r="GOM1" s="87"/>
      <c r="GON1" s="87"/>
      <c r="GOO1" s="87"/>
      <c r="GOP1" s="87"/>
      <c r="GOQ1" s="87"/>
      <c r="GOR1" s="87"/>
      <c r="GOS1" s="87"/>
      <c r="GOT1" s="87"/>
      <c r="GOU1" s="87"/>
      <c r="GOV1" s="87"/>
      <c r="GOW1" s="87"/>
      <c r="GOX1" s="87"/>
      <c r="GOY1" s="87"/>
      <c r="GOZ1" s="87"/>
      <c r="GPA1" s="87"/>
      <c r="GPB1" s="87"/>
      <c r="GPC1" s="87"/>
      <c r="GPD1" s="87"/>
      <c r="GPE1" s="87"/>
      <c r="GPF1" s="87"/>
      <c r="GPG1" s="87"/>
      <c r="GPH1" s="87"/>
      <c r="GPI1" s="87"/>
      <c r="GPJ1" s="87"/>
      <c r="GPK1" s="87"/>
      <c r="GPL1" s="87"/>
      <c r="GPM1" s="87"/>
      <c r="GPN1" s="87"/>
      <c r="GPO1" s="87"/>
      <c r="GPP1" s="87"/>
      <c r="GPQ1" s="87"/>
      <c r="GPR1" s="87"/>
      <c r="GPS1" s="87"/>
      <c r="GPT1" s="87"/>
      <c r="GPU1" s="87"/>
      <c r="GPV1" s="87"/>
      <c r="GPW1" s="87"/>
      <c r="GPX1" s="87"/>
      <c r="GPY1" s="87"/>
      <c r="GPZ1" s="87"/>
      <c r="GQA1" s="87"/>
      <c r="GQB1" s="87"/>
      <c r="GQC1" s="87"/>
      <c r="GQD1" s="87"/>
      <c r="GQE1" s="87"/>
      <c r="GQF1" s="87"/>
      <c r="GQG1" s="87"/>
      <c r="GQH1" s="87"/>
      <c r="GQI1" s="87"/>
      <c r="GQJ1" s="87"/>
      <c r="GQK1" s="87"/>
      <c r="GQL1" s="87"/>
      <c r="GQM1" s="87"/>
      <c r="GQN1" s="87"/>
      <c r="GQO1" s="87"/>
      <c r="GQP1" s="87"/>
      <c r="GQQ1" s="87"/>
      <c r="GQR1" s="87"/>
      <c r="GQS1" s="87"/>
      <c r="GQT1" s="87"/>
      <c r="GQU1" s="87"/>
      <c r="GQV1" s="87"/>
      <c r="GQW1" s="87"/>
      <c r="GQX1" s="87"/>
      <c r="GQY1" s="87"/>
      <c r="GQZ1" s="87"/>
      <c r="GRA1" s="87"/>
      <c r="GRB1" s="87"/>
      <c r="GRC1" s="87"/>
      <c r="GRD1" s="87"/>
      <c r="GRE1" s="87"/>
      <c r="GRF1" s="87"/>
      <c r="GRG1" s="87"/>
      <c r="GRH1" s="87"/>
      <c r="GRI1" s="87"/>
      <c r="GRJ1" s="87"/>
      <c r="GRK1" s="87"/>
      <c r="GRL1" s="87"/>
      <c r="GRM1" s="87"/>
      <c r="GRN1" s="87"/>
      <c r="GRO1" s="87"/>
      <c r="GRP1" s="87"/>
      <c r="GRQ1" s="87"/>
      <c r="GRR1" s="87"/>
      <c r="GRS1" s="87"/>
      <c r="GRT1" s="87"/>
      <c r="GRU1" s="87"/>
      <c r="GRV1" s="87"/>
      <c r="GRW1" s="87"/>
      <c r="GRX1" s="87"/>
      <c r="GRY1" s="87"/>
      <c r="GRZ1" s="87"/>
      <c r="GSA1" s="87"/>
      <c r="GSB1" s="87"/>
      <c r="GSC1" s="87"/>
      <c r="GSD1" s="87"/>
      <c r="GSE1" s="87"/>
      <c r="GSF1" s="87"/>
      <c r="GSG1" s="87"/>
      <c r="GSH1" s="87"/>
      <c r="GSI1" s="87"/>
      <c r="GSJ1" s="87"/>
      <c r="GSK1" s="87"/>
      <c r="GSL1" s="87"/>
      <c r="GSM1" s="87"/>
      <c r="GSN1" s="87"/>
      <c r="GSO1" s="87"/>
      <c r="GSP1" s="87"/>
      <c r="GSQ1" s="87"/>
      <c r="GSR1" s="87"/>
      <c r="GSS1" s="87"/>
      <c r="GST1" s="87"/>
      <c r="GSU1" s="87"/>
      <c r="GSV1" s="87"/>
      <c r="GSW1" s="87"/>
      <c r="GSX1" s="87"/>
      <c r="GSY1" s="87"/>
      <c r="GSZ1" s="87"/>
      <c r="GTA1" s="87"/>
      <c r="GTB1" s="87"/>
      <c r="GTC1" s="87"/>
      <c r="GTD1" s="87"/>
      <c r="GTE1" s="87"/>
      <c r="GTF1" s="87"/>
      <c r="GTG1" s="87"/>
      <c r="GTH1" s="87"/>
      <c r="GTI1" s="87"/>
      <c r="GTJ1" s="87"/>
      <c r="GTK1" s="87"/>
      <c r="GTL1" s="87"/>
      <c r="GTM1" s="87"/>
      <c r="GTN1" s="87"/>
      <c r="GTO1" s="87"/>
      <c r="GTP1" s="87"/>
      <c r="GTQ1" s="87"/>
      <c r="GTR1" s="87"/>
      <c r="GTS1" s="87"/>
      <c r="GTT1" s="87"/>
      <c r="GTU1" s="87"/>
      <c r="GTV1" s="87"/>
      <c r="GTW1" s="87"/>
      <c r="GTX1" s="87"/>
      <c r="GTY1" s="87"/>
      <c r="GTZ1" s="87"/>
      <c r="GUA1" s="87"/>
      <c r="GUB1" s="87"/>
      <c r="GUC1" s="87"/>
      <c r="GUD1" s="87"/>
      <c r="GUE1" s="87"/>
      <c r="GUF1" s="87"/>
      <c r="GUG1" s="87"/>
      <c r="GUH1" s="87"/>
      <c r="GUI1" s="87"/>
      <c r="GUJ1" s="87"/>
      <c r="GUK1" s="87"/>
      <c r="GUL1" s="87"/>
      <c r="GUM1" s="87"/>
      <c r="GUN1" s="87"/>
      <c r="GUO1" s="87"/>
      <c r="GUP1" s="87"/>
      <c r="GUQ1" s="87"/>
      <c r="GUR1" s="87"/>
      <c r="GUS1" s="87"/>
      <c r="GUT1" s="87"/>
      <c r="GUU1" s="87"/>
      <c r="GUV1" s="87"/>
      <c r="GUW1" s="87"/>
      <c r="GUX1" s="87"/>
      <c r="GUY1" s="87"/>
      <c r="GUZ1" s="87"/>
      <c r="GVA1" s="87"/>
      <c r="GVB1" s="87"/>
      <c r="GVC1" s="87"/>
      <c r="GVD1" s="87"/>
      <c r="GVE1" s="87"/>
      <c r="GVF1" s="87"/>
      <c r="GVG1" s="87"/>
      <c r="GVH1" s="87"/>
      <c r="GVI1" s="87"/>
      <c r="GVJ1" s="87"/>
      <c r="GVK1" s="87"/>
      <c r="GVL1" s="87"/>
      <c r="GVM1" s="87"/>
      <c r="GVN1" s="87"/>
      <c r="GVO1" s="87"/>
      <c r="GVP1" s="87"/>
      <c r="GVQ1" s="87"/>
      <c r="GVR1" s="87"/>
      <c r="GVS1" s="87"/>
      <c r="GVT1" s="87"/>
      <c r="GVU1" s="87"/>
      <c r="GVV1" s="87"/>
      <c r="GVW1" s="87"/>
      <c r="GVX1" s="87"/>
      <c r="GVY1" s="87"/>
      <c r="GVZ1" s="87"/>
      <c r="GWA1" s="87"/>
      <c r="GWB1" s="87"/>
      <c r="GWC1" s="87"/>
      <c r="GWD1" s="87"/>
      <c r="GWE1" s="87"/>
      <c r="GWF1" s="87"/>
      <c r="GWG1" s="87"/>
      <c r="GWH1" s="87"/>
      <c r="GWI1" s="87"/>
      <c r="GWJ1" s="87"/>
      <c r="GWK1" s="87"/>
      <c r="GWL1" s="87"/>
      <c r="GWM1" s="87"/>
      <c r="GWN1" s="87"/>
      <c r="GWO1" s="87"/>
      <c r="GWP1" s="87"/>
      <c r="GWQ1" s="87"/>
      <c r="GWR1" s="87"/>
      <c r="GWS1" s="87"/>
      <c r="GWT1" s="87"/>
      <c r="GWU1" s="87"/>
      <c r="GWV1" s="87"/>
      <c r="GWW1" s="87"/>
      <c r="GWX1" s="87"/>
      <c r="GWY1" s="87"/>
      <c r="GWZ1" s="87"/>
      <c r="GXA1" s="87"/>
      <c r="GXB1" s="87"/>
      <c r="GXC1" s="87"/>
      <c r="GXD1" s="87"/>
      <c r="GXE1" s="87"/>
      <c r="GXF1" s="87"/>
      <c r="GXG1" s="87"/>
      <c r="GXH1" s="87"/>
      <c r="GXI1" s="87"/>
      <c r="GXJ1" s="87"/>
      <c r="GXK1" s="87"/>
      <c r="GXL1" s="87"/>
      <c r="GXM1" s="87"/>
      <c r="GXN1" s="87"/>
      <c r="GXO1" s="87"/>
      <c r="GXP1" s="87"/>
      <c r="GXQ1" s="87"/>
      <c r="GXR1" s="87"/>
      <c r="GXS1" s="87"/>
      <c r="GXT1" s="87"/>
      <c r="GXU1" s="87"/>
      <c r="GXV1" s="87"/>
      <c r="GXW1" s="87"/>
      <c r="GXX1" s="87"/>
      <c r="GXY1" s="87"/>
      <c r="GXZ1" s="87"/>
      <c r="GYA1" s="87"/>
      <c r="GYB1" s="87"/>
      <c r="GYC1" s="87"/>
      <c r="GYD1" s="87"/>
      <c r="GYE1" s="87"/>
      <c r="GYF1" s="87"/>
      <c r="GYG1" s="87"/>
      <c r="GYH1" s="87"/>
      <c r="GYI1" s="87"/>
      <c r="GYJ1" s="87"/>
      <c r="GYK1" s="87"/>
      <c r="GYL1" s="87"/>
      <c r="GYM1" s="87"/>
      <c r="GYN1" s="87"/>
      <c r="GYO1" s="87"/>
      <c r="GYP1" s="87"/>
      <c r="GYQ1" s="87"/>
      <c r="GYR1" s="87"/>
      <c r="GYS1" s="87"/>
      <c r="GYT1" s="87"/>
      <c r="GYU1" s="87"/>
      <c r="GYV1" s="87"/>
      <c r="GYW1" s="87"/>
      <c r="GYX1" s="87"/>
      <c r="GYY1" s="87"/>
      <c r="GYZ1" s="87"/>
      <c r="GZA1" s="87"/>
      <c r="GZB1" s="87"/>
      <c r="GZC1" s="87"/>
      <c r="GZD1" s="87"/>
      <c r="GZE1" s="87"/>
      <c r="GZF1" s="87"/>
      <c r="GZG1" s="87"/>
      <c r="GZH1" s="87"/>
      <c r="GZI1" s="87"/>
      <c r="GZJ1" s="87"/>
      <c r="GZK1" s="87"/>
      <c r="GZL1" s="87"/>
      <c r="GZM1" s="87"/>
      <c r="GZN1" s="87"/>
      <c r="GZO1" s="87"/>
      <c r="GZP1" s="87"/>
      <c r="GZQ1" s="87"/>
      <c r="GZR1" s="87"/>
      <c r="GZS1" s="87"/>
      <c r="GZT1" s="87"/>
      <c r="GZU1" s="87"/>
      <c r="GZV1" s="87"/>
      <c r="GZW1" s="87"/>
      <c r="GZX1" s="87"/>
      <c r="GZY1" s="87"/>
      <c r="GZZ1" s="87"/>
      <c r="HAA1" s="87"/>
      <c r="HAB1" s="87"/>
      <c r="HAC1" s="87"/>
      <c r="HAD1" s="87"/>
      <c r="HAE1" s="87"/>
      <c r="HAF1" s="87"/>
      <c r="HAG1" s="87"/>
      <c r="HAH1" s="87"/>
      <c r="HAI1" s="87"/>
      <c r="HAJ1" s="87"/>
      <c r="HAK1" s="87"/>
      <c r="HAL1" s="87"/>
      <c r="HAM1" s="87"/>
      <c r="HAN1" s="87"/>
      <c r="HAO1" s="87"/>
      <c r="HAP1" s="87"/>
      <c r="HAQ1" s="87"/>
      <c r="HAR1" s="87"/>
      <c r="HAS1" s="87"/>
      <c r="HAT1" s="87"/>
      <c r="HAU1" s="87"/>
      <c r="HAV1" s="87"/>
      <c r="HAW1" s="87"/>
      <c r="HAX1" s="87"/>
      <c r="HAY1" s="87"/>
      <c r="HAZ1" s="87"/>
      <c r="HBA1" s="87"/>
      <c r="HBB1" s="87"/>
      <c r="HBC1" s="87"/>
      <c r="HBD1" s="87"/>
      <c r="HBE1" s="87"/>
      <c r="HBF1" s="87"/>
      <c r="HBG1" s="87"/>
      <c r="HBH1" s="87"/>
      <c r="HBI1" s="87"/>
      <c r="HBJ1" s="87"/>
      <c r="HBK1" s="87"/>
      <c r="HBL1" s="87"/>
      <c r="HBM1" s="87"/>
      <c r="HBN1" s="87"/>
      <c r="HBO1" s="87"/>
      <c r="HBP1" s="87"/>
      <c r="HBQ1" s="87"/>
      <c r="HBR1" s="87"/>
      <c r="HBS1" s="87"/>
      <c r="HBT1" s="87"/>
      <c r="HBU1" s="87"/>
      <c r="HBV1" s="87"/>
      <c r="HBW1" s="87"/>
      <c r="HBX1" s="87"/>
      <c r="HBY1" s="87"/>
      <c r="HBZ1" s="87"/>
      <c r="HCA1" s="87"/>
      <c r="HCB1" s="87"/>
      <c r="HCC1" s="87"/>
      <c r="HCD1" s="87"/>
      <c r="HCE1" s="87"/>
      <c r="HCF1" s="87"/>
      <c r="HCG1" s="87"/>
      <c r="HCH1" s="87"/>
      <c r="HCI1" s="87"/>
      <c r="HCJ1" s="87"/>
      <c r="HCK1" s="87"/>
      <c r="HCL1" s="87"/>
      <c r="HCM1" s="87"/>
      <c r="HCN1" s="87"/>
      <c r="HCO1" s="87"/>
      <c r="HCP1" s="87"/>
      <c r="HCQ1" s="87"/>
      <c r="HCR1" s="87"/>
      <c r="HCS1" s="87"/>
      <c r="HCT1" s="87"/>
      <c r="HCU1" s="87"/>
      <c r="HCV1" s="87"/>
      <c r="HCW1" s="87"/>
      <c r="HCX1" s="87"/>
      <c r="HCY1" s="87"/>
      <c r="HCZ1" s="87"/>
      <c r="HDA1" s="87"/>
      <c r="HDB1" s="87"/>
      <c r="HDC1" s="87"/>
      <c r="HDD1" s="87"/>
      <c r="HDE1" s="87"/>
      <c r="HDF1" s="87"/>
      <c r="HDG1" s="87"/>
      <c r="HDH1" s="87"/>
      <c r="HDI1" s="87"/>
      <c r="HDJ1" s="87"/>
      <c r="HDK1" s="87"/>
      <c r="HDL1" s="87"/>
      <c r="HDM1" s="87"/>
      <c r="HDN1" s="87"/>
      <c r="HDO1" s="87"/>
      <c r="HDP1" s="87"/>
      <c r="HDQ1" s="87"/>
      <c r="HDR1" s="87"/>
      <c r="HDS1" s="87"/>
      <c r="HDT1" s="87"/>
      <c r="HDU1" s="87"/>
      <c r="HDV1" s="87"/>
      <c r="HDW1" s="87"/>
      <c r="HDX1" s="87"/>
      <c r="HDY1" s="87"/>
      <c r="HDZ1" s="87"/>
      <c r="HEA1" s="87"/>
      <c r="HEB1" s="87"/>
      <c r="HEC1" s="87"/>
      <c r="HED1" s="87"/>
      <c r="HEE1" s="87"/>
      <c r="HEF1" s="87"/>
      <c r="HEG1" s="87"/>
      <c r="HEH1" s="87"/>
      <c r="HEI1" s="87"/>
      <c r="HEJ1" s="87"/>
      <c r="HEK1" s="87"/>
      <c r="HEL1" s="87"/>
      <c r="HEM1" s="87"/>
      <c r="HEN1" s="87"/>
      <c r="HEO1" s="87"/>
      <c r="HEP1" s="87"/>
      <c r="HEQ1" s="87"/>
      <c r="HER1" s="87"/>
      <c r="HES1" s="87"/>
      <c r="HET1" s="87"/>
      <c r="HEU1" s="87"/>
      <c r="HEV1" s="87"/>
      <c r="HEW1" s="87"/>
      <c r="HEX1" s="87"/>
      <c r="HEY1" s="87"/>
      <c r="HEZ1" s="87"/>
      <c r="HFA1" s="87"/>
      <c r="HFB1" s="87"/>
      <c r="HFC1" s="87"/>
      <c r="HFD1" s="87"/>
      <c r="HFE1" s="87"/>
      <c r="HFF1" s="87"/>
      <c r="HFG1" s="87"/>
      <c r="HFH1" s="87"/>
      <c r="HFI1" s="87"/>
      <c r="HFJ1" s="87"/>
      <c r="HFK1" s="87"/>
      <c r="HFL1" s="87"/>
      <c r="HFM1" s="87"/>
      <c r="HFN1" s="87"/>
      <c r="HFO1" s="87"/>
      <c r="HFP1" s="87"/>
      <c r="HFQ1" s="87"/>
      <c r="HFR1" s="87"/>
      <c r="HFS1" s="87"/>
      <c r="HFT1" s="87"/>
      <c r="HFU1" s="87"/>
      <c r="HFV1" s="87"/>
      <c r="HFW1" s="87"/>
      <c r="HFX1" s="87"/>
      <c r="HFY1" s="87"/>
      <c r="HFZ1" s="87"/>
      <c r="HGA1" s="87"/>
      <c r="HGB1" s="87"/>
      <c r="HGC1" s="87"/>
      <c r="HGD1" s="87"/>
      <c r="HGE1" s="87"/>
      <c r="HGF1" s="87"/>
      <c r="HGG1" s="87"/>
      <c r="HGH1" s="87"/>
      <c r="HGI1" s="87"/>
      <c r="HGJ1" s="87"/>
      <c r="HGK1" s="87"/>
      <c r="HGL1" s="87"/>
      <c r="HGM1" s="87"/>
      <c r="HGN1" s="87"/>
      <c r="HGO1" s="87"/>
      <c r="HGP1" s="87"/>
      <c r="HGQ1" s="87"/>
      <c r="HGR1" s="87"/>
      <c r="HGS1" s="87"/>
      <c r="HGT1" s="87"/>
      <c r="HGU1" s="87"/>
      <c r="HGV1" s="87"/>
      <c r="HGW1" s="87"/>
      <c r="HGX1" s="87"/>
      <c r="HGY1" s="87"/>
      <c r="HGZ1" s="87"/>
      <c r="HHA1" s="87"/>
      <c r="HHB1" s="87"/>
      <c r="HHC1" s="87"/>
      <c r="HHD1" s="87"/>
      <c r="HHE1" s="87"/>
      <c r="HHF1" s="87"/>
      <c r="HHG1" s="87"/>
      <c r="HHH1" s="87"/>
      <c r="HHI1" s="87"/>
      <c r="HHJ1" s="87"/>
      <c r="HHK1" s="87"/>
      <c r="HHL1" s="87"/>
      <c r="HHM1" s="87"/>
      <c r="HHN1" s="87"/>
      <c r="HHO1" s="87"/>
      <c r="HHP1" s="87"/>
      <c r="HHQ1" s="87"/>
      <c r="HHR1" s="87"/>
      <c r="HHS1" s="87"/>
      <c r="HHT1" s="87"/>
      <c r="HHU1" s="87"/>
      <c r="HHV1" s="87"/>
      <c r="HHW1" s="87"/>
      <c r="HHX1" s="87"/>
      <c r="HHY1" s="87"/>
      <c r="HHZ1" s="87"/>
      <c r="HIA1" s="87"/>
      <c r="HIB1" s="87"/>
      <c r="HIC1" s="87"/>
      <c r="HID1" s="87"/>
      <c r="HIE1" s="87"/>
      <c r="HIF1" s="87"/>
      <c r="HIG1" s="87"/>
      <c r="HIH1" s="87"/>
      <c r="HII1" s="87"/>
      <c r="HIJ1" s="87"/>
      <c r="HIK1" s="87"/>
      <c r="HIL1" s="87"/>
      <c r="HIM1" s="87"/>
      <c r="HIN1" s="87"/>
      <c r="HIO1" s="87"/>
      <c r="HIP1" s="87"/>
      <c r="HIQ1" s="87"/>
      <c r="HIR1" s="87"/>
      <c r="HIS1" s="87"/>
      <c r="HIT1" s="87"/>
      <c r="HIU1" s="87"/>
      <c r="HIV1" s="87"/>
      <c r="HIW1" s="87"/>
      <c r="HIX1" s="87"/>
      <c r="HIY1" s="87"/>
      <c r="HIZ1" s="87"/>
      <c r="HJA1" s="87"/>
      <c r="HJB1" s="87"/>
      <c r="HJC1" s="87"/>
      <c r="HJD1" s="87"/>
      <c r="HJE1" s="87"/>
      <c r="HJF1" s="87"/>
      <c r="HJG1" s="87"/>
      <c r="HJH1" s="87"/>
      <c r="HJI1" s="87"/>
      <c r="HJJ1" s="87"/>
      <c r="HJK1" s="87"/>
      <c r="HJL1" s="87"/>
      <c r="HJM1" s="87"/>
      <c r="HJN1" s="87"/>
      <c r="HJO1" s="87"/>
      <c r="HJP1" s="87"/>
      <c r="HJQ1" s="87"/>
      <c r="HJR1" s="87"/>
      <c r="HJS1" s="87"/>
      <c r="HJT1" s="87"/>
      <c r="HJU1" s="87"/>
      <c r="HJV1" s="87"/>
      <c r="HJW1" s="87"/>
      <c r="HJX1" s="87"/>
      <c r="HJY1" s="87"/>
      <c r="HJZ1" s="87"/>
      <c r="HKA1" s="87"/>
      <c r="HKB1" s="87"/>
      <c r="HKC1" s="87"/>
      <c r="HKD1" s="87"/>
      <c r="HKE1" s="87"/>
      <c r="HKF1" s="87"/>
      <c r="HKG1" s="87"/>
      <c r="HKH1" s="87"/>
      <c r="HKI1" s="87"/>
      <c r="HKJ1" s="87"/>
      <c r="HKK1" s="87"/>
      <c r="HKL1" s="87"/>
      <c r="HKM1" s="87"/>
      <c r="HKN1" s="87"/>
      <c r="HKO1" s="87"/>
      <c r="HKP1" s="87"/>
      <c r="HKQ1" s="87"/>
      <c r="HKR1" s="87"/>
      <c r="HKS1" s="87"/>
      <c r="HKT1" s="87"/>
      <c r="HKU1" s="87"/>
      <c r="HKV1" s="87"/>
      <c r="HKW1" s="87"/>
      <c r="HKX1" s="87"/>
      <c r="HKY1" s="87"/>
      <c r="HKZ1" s="87"/>
      <c r="HLA1" s="87"/>
      <c r="HLB1" s="87"/>
      <c r="HLC1" s="87"/>
      <c r="HLD1" s="87"/>
      <c r="HLE1" s="87"/>
      <c r="HLF1" s="87"/>
      <c r="HLG1" s="87"/>
      <c r="HLH1" s="87"/>
      <c r="HLI1" s="87"/>
      <c r="HLJ1" s="87"/>
      <c r="HLK1" s="87"/>
      <c r="HLL1" s="87"/>
      <c r="HLM1" s="87"/>
      <c r="HLN1" s="87"/>
      <c r="HLO1" s="87"/>
      <c r="HLP1" s="87"/>
      <c r="HLQ1" s="87"/>
      <c r="HLR1" s="87"/>
      <c r="HLS1" s="87"/>
      <c r="HLT1" s="87"/>
      <c r="HLU1" s="87"/>
      <c r="HLV1" s="87"/>
      <c r="HLW1" s="87"/>
      <c r="HLX1" s="87"/>
      <c r="HLY1" s="87"/>
      <c r="HLZ1" s="87"/>
      <c r="HMA1" s="87"/>
      <c r="HMB1" s="87"/>
      <c r="HMC1" s="87"/>
      <c r="HMD1" s="87"/>
      <c r="HME1" s="87"/>
      <c r="HMF1" s="87"/>
      <c r="HMG1" s="87"/>
      <c r="HMH1" s="87"/>
      <c r="HMI1" s="87"/>
      <c r="HMJ1" s="87"/>
      <c r="HMK1" s="87"/>
      <c r="HML1" s="87"/>
      <c r="HMM1" s="87"/>
      <c r="HMN1" s="87"/>
      <c r="HMO1" s="87"/>
      <c r="HMP1" s="87"/>
      <c r="HMQ1" s="87"/>
      <c r="HMR1" s="87"/>
      <c r="HMS1" s="87"/>
      <c r="HMT1" s="87"/>
      <c r="HMU1" s="87"/>
      <c r="HMV1" s="87"/>
      <c r="HMW1" s="87"/>
      <c r="HMX1" s="87"/>
      <c r="HMY1" s="87"/>
      <c r="HMZ1" s="87"/>
      <c r="HNA1" s="87"/>
      <c r="HNB1" s="87"/>
      <c r="HNC1" s="87"/>
      <c r="HND1" s="87"/>
      <c r="HNE1" s="87"/>
      <c r="HNF1" s="87"/>
      <c r="HNG1" s="87"/>
      <c r="HNH1" s="87"/>
      <c r="HNI1" s="87"/>
      <c r="HNJ1" s="87"/>
      <c r="HNK1" s="87"/>
      <c r="HNL1" s="87"/>
      <c r="HNM1" s="87"/>
      <c r="HNN1" s="87"/>
      <c r="HNO1" s="87"/>
      <c r="HNP1" s="87"/>
      <c r="HNQ1" s="87"/>
      <c r="HNR1" s="87"/>
      <c r="HNS1" s="87"/>
      <c r="HNT1" s="87"/>
      <c r="HNU1" s="87"/>
      <c r="HNV1" s="87"/>
      <c r="HNW1" s="87"/>
      <c r="HNX1" s="87"/>
      <c r="HNY1" s="87"/>
      <c r="HNZ1" s="87"/>
      <c r="HOA1" s="87"/>
      <c r="HOB1" s="87"/>
      <c r="HOC1" s="87"/>
      <c r="HOD1" s="87"/>
      <c r="HOE1" s="87"/>
      <c r="HOF1" s="87"/>
      <c r="HOG1" s="87"/>
      <c r="HOH1" s="87"/>
      <c r="HOI1" s="87"/>
      <c r="HOJ1" s="87"/>
      <c r="HOK1" s="87"/>
      <c r="HOL1" s="87"/>
      <c r="HOM1" s="87"/>
      <c r="HON1" s="87"/>
      <c r="HOO1" s="87"/>
      <c r="HOP1" s="87"/>
      <c r="HOQ1" s="87"/>
      <c r="HOR1" s="87"/>
      <c r="HOS1" s="87"/>
      <c r="HOT1" s="87"/>
      <c r="HOU1" s="87"/>
      <c r="HOV1" s="87"/>
      <c r="HOW1" s="87"/>
      <c r="HOX1" s="87"/>
      <c r="HOY1" s="87"/>
      <c r="HOZ1" s="87"/>
      <c r="HPA1" s="87"/>
      <c r="HPB1" s="87"/>
      <c r="HPC1" s="87"/>
      <c r="HPD1" s="87"/>
      <c r="HPE1" s="87"/>
      <c r="HPF1" s="87"/>
      <c r="HPG1" s="87"/>
      <c r="HPH1" s="87"/>
      <c r="HPI1" s="87"/>
      <c r="HPJ1" s="87"/>
      <c r="HPK1" s="87"/>
      <c r="HPL1" s="87"/>
      <c r="HPM1" s="87"/>
      <c r="HPN1" s="87"/>
      <c r="HPO1" s="87"/>
      <c r="HPP1" s="87"/>
      <c r="HPQ1" s="87"/>
      <c r="HPR1" s="87"/>
      <c r="HPS1" s="87"/>
      <c r="HPT1" s="87"/>
      <c r="HPU1" s="87"/>
      <c r="HPV1" s="87"/>
      <c r="HPW1" s="87"/>
      <c r="HPX1" s="87"/>
      <c r="HPY1" s="87"/>
      <c r="HPZ1" s="87"/>
      <c r="HQA1" s="87"/>
      <c r="HQB1" s="87"/>
      <c r="HQC1" s="87"/>
      <c r="HQD1" s="87"/>
      <c r="HQE1" s="87"/>
      <c r="HQF1" s="87"/>
      <c r="HQG1" s="87"/>
      <c r="HQH1" s="87"/>
      <c r="HQI1" s="87"/>
      <c r="HQJ1" s="87"/>
      <c r="HQK1" s="87"/>
      <c r="HQL1" s="87"/>
      <c r="HQM1" s="87"/>
      <c r="HQN1" s="87"/>
      <c r="HQO1" s="87"/>
      <c r="HQP1" s="87"/>
      <c r="HQQ1" s="87"/>
      <c r="HQR1" s="87"/>
      <c r="HQS1" s="87"/>
      <c r="HQT1" s="87"/>
      <c r="HQU1" s="87"/>
      <c r="HQV1" s="87"/>
      <c r="HQW1" s="87"/>
      <c r="HQX1" s="87"/>
      <c r="HQY1" s="87"/>
      <c r="HQZ1" s="87"/>
      <c r="HRA1" s="87"/>
      <c r="HRB1" s="87"/>
      <c r="HRC1" s="87"/>
      <c r="HRD1" s="87"/>
      <c r="HRE1" s="87"/>
      <c r="HRF1" s="87"/>
      <c r="HRG1" s="87"/>
      <c r="HRH1" s="87"/>
      <c r="HRI1" s="87"/>
      <c r="HRJ1" s="87"/>
      <c r="HRK1" s="87"/>
      <c r="HRL1" s="87"/>
      <c r="HRM1" s="87"/>
      <c r="HRN1" s="87"/>
      <c r="HRO1" s="87"/>
      <c r="HRP1" s="87"/>
      <c r="HRQ1" s="87"/>
      <c r="HRR1" s="87"/>
      <c r="HRS1" s="87"/>
      <c r="HRT1" s="87"/>
      <c r="HRU1" s="87"/>
      <c r="HRV1" s="87"/>
      <c r="HRW1" s="87"/>
      <c r="HRX1" s="87"/>
      <c r="HRY1" s="87"/>
      <c r="HRZ1" s="87"/>
      <c r="HSA1" s="87"/>
      <c r="HSB1" s="87"/>
      <c r="HSC1" s="87"/>
      <c r="HSD1" s="87"/>
      <c r="HSE1" s="87"/>
      <c r="HSF1" s="87"/>
      <c r="HSG1" s="87"/>
      <c r="HSH1" s="87"/>
      <c r="HSI1" s="87"/>
      <c r="HSJ1" s="87"/>
      <c r="HSK1" s="87"/>
      <c r="HSL1" s="87"/>
      <c r="HSM1" s="87"/>
      <c r="HSN1" s="87"/>
      <c r="HSO1" s="87"/>
      <c r="HSP1" s="87"/>
      <c r="HSQ1" s="87"/>
      <c r="HSR1" s="87"/>
      <c r="HSS1" s="87"/>
      <c r="HST1" s="87"/>
      <c r="HSU1" s="87"/>
      <c r="HSV1" s="87"/>
      <c r="HSW1" s="87"/>
      <c r="HSX1" s="87"/>
      <c r="HSY1" s="87"/>
      <c r="HSZ1" s="87"/>
      <c r="HTA1" s="87"/>
      <c r="HTB1" s="87"/>
      <c r="HTC1" s="87"/>
      <c r="HTD1" s="87"/>
      <c r="HTE1" s="87"/>
      <c r="HTF1" s="87"/>
      <c r="HTG1" s="87"/>
      <c r="HTH1" s="87"/>
      <c r="HTI1" s="87"/>
      <c r="HTJ1" s="87"/>
      <c r="HTK1" s="87"/>
      <c r="HTL1" s="87"/>
      <c r="HTM1" s="87"/>
      <c r="HTN1" s="87"/>
      <c r="HTO1" s="87"/>
      <c r="HTP1" s="87"/>
      <c r="HTQ1" s="87"/>
      <c r="HTR1" s="87"/>
      <c r="HTS1" s="87"/>
      <c r="HTT1" s="87"/>
      <c r="HTU1" s="87"/>
      <c r="HTV1" s="87"/>
      <c r="HTW1" s="87"/>
      <c r="HTX1" s="87"/>
      <c r="HTY1" s="87"/>
      <c r="HTZ1" s="87"/>
      <c r="HUA1" s="87"/>
      <c r="HUB1" s="87"/>
      <c r="HUC1" s="87"/>
      <c r="HUD1" s="87"/>
      <c r="HUE1" s="87"/>
      <c r="HUF1" s="87"/>
      <c r="HUG1" s="87"/>
      <c r="HUH1" s="87"/>
      <c r="HUI1" s="87"/>
      <c r="HUJ1" s="87"/>
      <c r="HUK1" s="87"/>
      <c r="HUL1" s="87"/>
      <c r="HUM1" s="87"/>
      <c r="HUN1" s="87"/>
      <c r="HUO1" s="87"/>
      <c r="HUP1" s="87"/>
      <c r="HUQ1" s="87"/>
      <c r="HUR1" s="87"/>
      <c r="HUS1" s="87"/>
      <c r="HUT1" s="87"/>
      <c r="HUU1" s="87"/>
      <c r="HUV1" s="87"/>
      <c r="HUW1" s="87"/>
      <c r="HUX1" s="87"/>
      <c r="HUY1" s="87"/>
      <c r="HUZ1" s="87"/>
      <c r="HVA1" s="87"/>
      <c r="HVB1" s="87"/>
      <c r="HVC1" s="87"/>
      <c r="HVD1" s="87"/>
      <c r="HVE1" s="87"/>
      <c r="HVF1" s="87"/>
      <c r="HVG1" s="87"/>
      <c r="HVH1" s="87"/>
      <c r="HVI1" s="87"/>
      <c r="HVJ1" s="87"/>
      <c r="HVK1" s="87"/>
      <c r="HVL1" s="87"/>
      <c r="HVM1" s="87"/>
      <c r="HVN1" s="87"/>
      <c r="HVO1" s="87"/>
      <c r="HVP1" s="87"/>
      <c r="HVQ1" s="87"/>
      <c r="HVR1" s="87"/>
      <c r="HVS1" s="87"/>
      <c r="HVT1" s="87"/>
      <c r="HVU1" s="87"/>
      <c r="HVV1" s="87"/>
      <c r="HVW1" s="87"/>
      <c r="HVX1" s="87"/>
      <c r="HVY1" s="87"/>
      <c r="HVZ1" s="87"/>
      <c r="HWA1" s="87"/>
      <c r="HWB1" s="87"/>
      <c r="HWC1" s="87"/>
      <c r="HWD1" s="87"/>
      <c r="HWE1" s="87"/>
      <c r="HWF1" s="87"/>
      <c r="HWG1" s="87"/>
      <c r="HWH1" s="87"/>
      <c r="HWI1" s="87"/>
      <c r="HWJ1" s="87"/>
      <c r="HWK1" s="87"/>
      <c r="HWL1" s="87"/>
      <c r="HWM1" s="87"/>
      <c r="HWN1" s="87"/>
      <c r="HWO1" s="87"/>
      <c r="HWP1" s="87"/>
      <c r="HWQ1" s="87"/>
      <c r="HWR1" s="87"/>
      <c r="HWS1" s="87"/>
      <c r="HWT1" s="87"/>
      <c r="HWU1" s="87"/>
      <c r="HWV1" s="87"/>
      <c r="HWW1" s="87"/>
      <c r="HWX1" s="87"/>
      <c r="HWY1" s="87"/>
      <c r="HWZ1" s="87"/>
      <c r="HXA1" s="87"/>
      <c r="HXB1" s="87"/>
      <c r="HXC1" s="87"/>
      <c r="HXD1" s="87"/>
      <c r="HXE1" s="87"/>
      <c r="HXF1" s="87"/>
      <c r="HXG1" s="87"/>
      <c r="HXH1" s="87"/>
      <c r="HXI1" s="87"/>
      <c r="HXJ1" s="87"/>
      <c r="HXK1" s="87"/>
      <c r="HXL1" s="87"/>
      <c r="HXM1" s="87"/>
      <c r="HXN1" s="87"/>
      <c r="HXO1" s="87"/>
      <c r="HXP1" s="87"/>
      <c r="HXQ1" s="87"/>
      <c r="HXR1" s="87"/>
      <c r="HXS1" s="87"/>
      <c r="HXT1" s="87"/>
      <c r="HXU1" s="87"/>
      <c r="HXV1" s="87"/>
      <c r="HXW1" s="87"/>
      <c r="HXX1" s="87"/>
      <c r="HXY1" s="87"/>
      <c r="HXZ1" s="87"/>
      <c r="HYA1" s="87"/>
      <c r="HYB1" s="87"/>
      <c r="HYC1" s="87"/>
      <c r="HYD1" s="87"/>
      <c r="HYE1" s="87"/>
      <c r="HYF1" s="87"/>
      <c r="HYG1" s="87"/>
      <c r="HYH1" s="87"/>
      <c r="HYI1" s="87"/>
      <c r="HYJ1" s="87"/>
      <c r="HYK1" s="87"/>
      <c r="HYL1" s="87"/>
      <c r="HYM1" s="87"/>
      <c r="HYN1" s="87"/>
      <c r="HYO1" s="87"/>
      <c r="HYP1" s="87"/>
      <c r="HYQ1" s="87"/>
      <c r="HYR1" s="87"/>
      <c r="HYS1" s="87"/>
      <c r="HYT1" s="87"/>
      <c r="HYU1" s="87"/>
      <c r="HYV1" s="87"/>
      <c r="HYW1" s="87"/>
      <c r="HYX1" s="87"/>
      <c r="HYY1" s="87"/>
      <c r="HYZ1" s="87"/>
      <c r="HZA1" s="87"/>
      <c r="HZB1" s="87"/>
      <c r="HZC1" s="87"/>
      <c r="HZD1" s="87"/>
      <c r="HZE1" s="87"/>
      <c r="HZF1" s="87"/>
      <c r="HZG1" s="87"/>
      <c r="HZH1" s="87"/>
      <c r="HZI1" s="87"/>
      <c r="HZJ1" s="87"/>
      <c r="HZK1" s="87"/>
      <c r="HZL1" s="87"/>
      <c r="HZM1" s="87"/>
      <c r="HZN1" s="87"/>
      <c r="HZO1" s="87"/>
      <c r="HZP1" s="87"/>
      <c r="HZQ1" s="87"/>
      <c r="HZR1" s="87"/>
      <c r="HZS1" s="87"/>
      <c r="HZT1" s="87"/>
      <c r="HZU1" s="87"/>
      <c r="HZV1" s="87"/>
      <c r="HZW1" s="87"/>
      <c r="HZX1" s="87"/>
      <c r="HZY1" s="87"/>
      <c r="HZZ1" s="87"/>
      <c r="IAA1" s="87"/>
      <c r="IAB1" s="87"/>
      <c r="IAC1" s="87"/>
      <c r="IAD1" s="87"/>
      <c r="IAE1" s="87"/>
      <c r="IAF1" s="87"/>
      <c r="IAG1" s="87"/>
      <c r="IAH1" s="87"/>
      <c r="IAI1" s="87"/>
      <c r="IAJ1" s="87"/>
      <c r="IAK1" s="87"/>
      <c r="IAL1" s="87"/>
      <c r="IAM1" s="87"/>
      <c r="IAN1" s="87"/>
      <c r="IAO1" s="87"/>
      <c r="IAP1" s="87"/>
      <c r="IAQ1" s="87"/>
      <c r="IAR1" s="87"/>
      <c r="IAS1" s="87"/>
      <c r="IAT1" s="87"/>
      <c r="IAU1" s="87"/>
      <c r="IAV1" s="87"/>
      <c r="IAW1" s="87"/>
      <c r="IAX1" s="87"/>
      <c r="IAY1" s="87"/>
      <c r="IAZ1" s="87"/>
      <c r="IBA1" s="87"/>
      <c r="IBB1" s="87"/>
      <c r="IBC1" s="87"/>
      <c r="IBD1" s="87"/>
      <c r="IBE1" s="87"/>
      <c r="IBF1" s="87"/>
      <c r="IBG1" s="87"/>
      <c r="IBH1" s="87"/>
      <c r="IBI1" s="87"/>
      <c r="IBJ1" s="87"/>
      <c r="IBK1" s="87"/>
      <c r="IBL1" s="87"/>
      <c r="IBM1" s="87"/>
      <c r="IBN1" s="87"/>
      <c r="IBO1" s="87"/>
      <c r="IBP1" s="87"/>
      <c r="IBQ1" s="87"/>
      <c r="IBR1" s="87"/>
      <c r="IBS1" s="87"/>
      <c r="IBT1" s="87"/>
      <c r="IBU1" s="87"/>
      <c r="IBV1" s="87"/>
      <c r="IBW1" s="87"/>
      <c r="IBX1" s="87"/>
      <c r="IBY1" s="87"/>
      <c r="IBZ1" s="87"/>
      <c r="ICA1" s="87"/>
      <c r="ICB1" s="87"/>
      <c r="ICC1" s="87"/>
      <c r="ICD1" s="87"/>
      <c r="ICE1" s="87"/>
      <c r="ICF1" s="87"/>
      <c r="ICG1" s="87"/>
      <c r="ICH1" s="87"/>
      <c r="ICI1" s="87"/>
      <c r="ICJ1" s="87"/>
      <c r="ICK1" s="87"/>
      <c r="ICL1" s="87"/>
      <c r="ICM1" s="87"/>
      <c r="ICN1" s="87"/>
      <c r="ICO1" s="87"/>
      <c r="ICP1" s="87"/>
      <c r="ICQ1" s="87"/>
      <c r="ICR1" s="87"/>
      <c r="ICS1" s="87"/>
      <c r="ICT1" s="87"/>
      <c r="ICU1" s="87"/>
      <c r="ICV1" s="87"/>
      <c r="ICW1" s="87"/>
      <c r="ICX1" s="87"/>
      <c r="ICY1" s="87"/>
      <c r="ICZ1" s="87"/>
      <c r="IDA1" s="87"/>
      <c r="IDB1" s="87"/>
      <c r="IDC1" s="87"/>
      <c r="IDD1" s="87"/>
      <c r="IDE1" s="87"/>
      <c r="IDF1" s="87"/>
      <c r="IDG1" s="87"/>
      <c r="IDH1" s="87"/>
      <c r="IDI1" s="87"/>
      <c r="IDJ1" s="87"/>
      <c r="IDK1" s="87"/>
      <c r="IDL1" s="87"/>
      <c r="IDM1" s="87"/>
      <c r="IDN1" s="87"/>
      <c r="IDO1" s="87"/>
      <c r="IDP1" s="87"/>
      <c r="IDQ1" s="87"/>
      <c r="IDR1" s="87"/>
      <c r="IDS1" s="87"/>
      <c r="IDT1" s="87"/>
      <c r="IDU1" s="87"/>
      <c r="IDV1" s="87"/>
      <c r="IDW1" s="87"/>
      <c r="IDX1" s="87"/>
      <c r="IDY1" s="87"/>
      <c r="IDZ1" s="87"/>
      <c r="IEA1" s="87"/>
      <c r="IEB1" s="87"/>
      <c r="IEC1" s="87"/>
      <c r="IED1" s="87"/>
      <c r="IEE1" s="87"/>
      <c r="IEF1" s="87"/>
      <c r="IEG1" s="87"/>
      <c r="IEH1" s="87"/>
      <c r="IEI1" s="87"/>
      <c r="IEJ1" s="87"/>
      <c r="IEK1" s="87"/>
      <c r="IEL1" s="87"/>
      <c r="IEM1" s="87"/>
      <c r="IEN1" s="87"/>
      <c r="IEO1" s="87"/>
      <c r="IEP1" s="87"/>
      <c r="IEQ1" s="87"/>
      <c r="IER1" s="87"/>
      <c r="IES1" s="87"/>
      <c r="IET1" s="87"/>
      <c r="IEU1" s="87"/>
      <c r="IEV1" s="87"/>
      <c r="IEW1" s="87"/>
      <c r="IEX1" s="87"/>
      <c r="IEY1" s="87"/>
      <c r="IEZ1" s="87"/>
      <c r="IFA1" s="87"/>
      <c r="IFB1" s="87"/>
      <c r="IFC1" s="87"/>
      <c r="IFD1" s="87"/>
      <c r="IFE1" s="87"/>
      <c r="IFF1" s="87"/>
      <c r="IFG1" s="87"/>
      <c r="IFH1" s="87"/>
      <c r="IFI1" s="87"/>
      <c r="IFJ1" s="87"/>
      <c r="IFK1" s="87"/>
      <c r="IFL1" s="87"/>
      <c r="IFM1" s="87"/>
      <c r="IFN1" s="87"/>
      <c r="IFO1" s="87"/>
      <c r="IFP1" s="87"/>
      <c r="IFQ1" s="87"/>
      <c r="IFR1" s="87"/>
      <c r="IFS1" s="87"/>
      <c r="IFT1" s="87"/>
      <c r="IFU1" s="87"/>
      <c r="IFV1" s="87"/>
      <c r="IFW1" s="87"/>
      <c r="IFX1" s="87"/>
      <c r="IFY1" s="87"/>
      <c r="IFZ1" s="87"/>
      <c r="IGA1" s="87"/>
      <c r="IGB1" s="87"/>
      <c r="IGC1" s="87"/>
      <c r="IGD1" s="87"/>
      <c r="IGE1" s="87"/>
      <c r="IGF1" s="87"/>
      <c r="IGG1" s="87"/>
      <c r="IGH1" s="87"/>
      <c r="IGI1" s="87"/>
      <c r="IGJ1" s="87"/>
      <c r="IGK1" s="87"/>
      <c r="IGL1" s="87"/>
      <c r="IGM1" s="87"/>
      <c r="IGN1" s="87"/>
      <c r="IGO1" s="87"/>
      <c r="IGP1" s="87"/>
      <c r="IGQ1" s="87"/>
      <c r="IGR1" s="87"/>
      <c r="IGS1" s="87"/>
      <c r="IGT1" s="87"/>
      <c r="IGU1" s="87"/>
      <c r="IGV1" s="87"/>
      <c r="IGW1" s="87"/>
      <c r="IGX1" s="87"/>
      <c r="IGY1" s="87"/>
      <c r="IGZ1" s="87"/>
      <c r="IHA1" s="87"/>
      <c r="IHB1" s="87"/>
      <c r="IHC1" s="87"/>
      <c r="IHD1" s="87"/>
      <c r="IHE1" s="87"/>
      <c r="IHF1" s="87"/>
      <c r="IHG1" s="87"/>
      <c r="IHH1" s="87"/>
      <c r="IHI1" s="87"/>
      <c r="IHJ1" s="87"/>
      <c r="IHK1" s="87"/>
      <c r="IHL1" s="87"/>
      <c r="IHM1" s="87"/>
      <c r="IHN1" s="87"/>
      <c r="IHO1" s="87"/>
      <c r="IHP1" s="87"/>
      <c r="IHQ1" s="87"/>
      <c r="IHR1" s="87"/>
      <c r="IHS1" s="87"/>
      <c r="IHT1" s="87"/>
      <c r="IHU1" s="87"/>
      <c r="IHV1" s="87"/>
      <c r="IHW1" s="87"/>
      <c r="IHX1" s="87"/>
      <c r="IHY1" s="87"/>
      <c r="IHZ1" s="87"/>
      <c r="IIA1" s="87"/>
      <c r="IIB1" s="87"/>
      <c r="IIC1" s="87"/>
      <c r="IID1" s="87"/>
      <c r="IIE1" s="87"/>
      <c r="IIF1" s="87"/>
      <c r="IIG1" s="87"/>
      <c r="IIH1" s="87"/>
      <c r="III1" s="87"/>
      <c r="IIJ1" s="87"/>
      <c r="IIK1" s="87"/>
      <c r="IIL1" s="87"/>
      <c r="IIM1" s="87"/>
      <c r="IIN1" s="87"/>
      <c r="IIO1" s="87"/>
      <c r="IIP1" s="87"/>
      <c r="IIQ1" s="87"/>
      <c r="IIR1" s="87"/>
      <c r="IIS1" s="87"/>
      <c r="IIT1" s="87"/>
      <c r="IIU1" s="87"/>
      <c r="IIV1" s="87"/>
      <c r="IIW1" s="87"/>
      <c r="IIX1" s="87"/>
      <c r="IIY1" s="87"/>
      <c r="IIZ1" s="87"/>
      <c r="IJA1" s="87"/>
      <c r="IJB1" s="87"/>
      <c r="IJC1" s="87"/>
      <c r="IJD1" s="87"/>
      <c r="IJE1" s="87"/>
      <c r="IJF1" s="87"/>
      <c r="IJG1" s="87"/>
      <c r="IJH1" s="87"/>
      <c r="IJI1" s="87"/>
      <c r="IJJ1" s="87"/>
      <c r="IJK1" s="87"/>
      <c r="IJL1" s="87"/>
      <c r="IJM1" s="87"/>
      <c r="IJN1" s="87"/>
      <c r="IJO1" s="87"/>
      <c r="IJP1" s="87"/>
      <c r="IJQ1" s="87"/>
      <c r="IJR1" s="87"/>
      <c r="IJS1" s="87"/>
      <c r="IJT1" s="87"/>
      <c r="IJU1" s="87"/>
      <c r="IJV1" s="87"/>
      <c r="IJW1" s="87"/>
      <c r="IJX1" s="87"/>
      <c r="IJY1" s="87"/>
      <c r="IJZ1" s="87"/>
      <c r="IKA1" s="87"/>
      <c r="IKB1" s="87"/>
      <c r="IKC1" s="87"/>
      <c r="IKD1" s="87"/>
      <c r="IKE1" s="87"/>
      <c r="IKF1" s="87"/>
      <c r="IKG1" s="87"/>
      <c r="IKH1" s="87"/>
      <c r="IKI1" s="87"/>
      <c r="IKJ1" s="87"/>
      <c r="IKK1" s="87"/>
      <c r="IKL1" s="87"/>
      <c r="IKM1" s="87"/>
      <c r="IKN1" s="87"/>
      <c r="IKO1" s="87"/>
      <c r="IKP1" s="87"/>
      <c r="IKQ1" s="87"/>
      <c r="IKR1" s="87"/>
      <c r="IKS1" s="87"/>
      <c r="IKT1" s="87"/>
      <c r="IKU1" s="87"/>
      <c r="IKV1" s="87"/>
      <c r="IKW1" s="87"/>
      <c r="IKX1" s="87"/>
      <c r="IKY1" s="87"/>
      <c r="IKZ1" s="87"/>
      <c r="ILA1" s="87"/>
      <c r="ILB1" s="87"/>
      <c r="ILC1" s="87"/>
      <c r="ILD1" s="87"/>
      <c r="ILE1" s="87"/>
      <c r="ILF1" s="87"/>
      <c r="ILG1" s="87"/>
      <c r="ILH1" s="87"/>
      <c r="ILI1" s="87"/>
      <c r="ILJ1" s="87"/>
      <c r="ILK1" s="87"/>
      <c r="ILL1" s="87"/>
      <c r="ILM1" s="87"/>
      <c r="ILN1" s="87"/>
      <c r="ILO1" s="87"/>
      <c r="ILP1" s="87"/>
      <c r="ILQ1" s="87"/>
      <c r="ILR1" s="87"/>
      <c r="ILS1" s="87"/>
      <c r="ILT1" s="87"/>
      <c r="ILU1" s="87"/>
      <c r="ILV1" s="87"/>
      <c r="ILW1" s="87"/>
      <c r="ILX1" s="87"/>
      <c r="ILY1" s="87"/>
      <c r="ILZ1" s="87"/>
      <c r="IMA1" s="87"/>
      <c r="IMB1" s="87"/>
      <c r="IMC1" s="87"/>
      <c r="IMD1" s="87"/>
      <c r="IME1" s="87"/>
      <c r="IMF1" s="87"/>
      <c r="IMG1" s="87"/>
      <c r="IMH1" s="87"/>
      <c r="IMI1" s="87"/>
      <c r="IMJ1" s="87"/>
      <c r="IMK1" s="87"/>
      <c r="IML1" s="87"/>
      <c r="IMM1" s="87"/>
      <c r="IMN1" s="87"/>
      <c r="IMO1" s="87"/>
      <c r="IMP1" s="87"/>
      <c r="IMQ1" s="87"/>
      <c r="IMR1" s="87"/>
      <c r="IMS1" s="87"/>
      <c r="IMT1" s="87"/>
      <c r="IMU1" s="87"/>
      <c r="IMV1" s="87"/>
      <c r="IMW1" s="87"/>
      <c r="IMX1" s="87"/>
      <c r="IMY1" s="87"/>
      <c r="IMZ1" s="87"/>
      <c r="INA1" s="87"/>
      <c r="INB1" s="87"/>
      <c r="INC1" s="87"/>
      <c r="IND1" s="87"/>
      <c r="INE1" s="87"/>
      <c r="INF1" s="87"/>
      <c r="ING1" s="87"/>
      <c r="INH1" s="87"/>
      <c r="INI1" s="87"/>
      <c r="INJ1" s="87"/>
      <c r="INK1" s="87"/>
      <c r="INL1" s="87"/>
      <c r="INM1" s="87"/>
      <c r="INN1" s="87"/>
      <c r="INO1" s="87"/>
      <c r="INP1" s="87"/>
      <c r="INQ1" s="87"/>
      <c r="INR1" s="87"/>
      <c r="INS1" s="87"/>
      <c r="INT1" s="87"/>
      <c r="INU1" s="87"/>
      <c r="INV1" s="87"/>
      <c r="INW1" s="87"/>
      <c r="INX1" s="87"/>
      <c r="INY1" s="87"/>
      <c r="INZ1" s="87"/>
      <c r="IOA1" s="87"/>
      <c r="IOB1" s="87"/>
      <c r="IOC1" s="87"/>
      <c r="IOD1" s="87"/>
      <c r="IOE1" s="87"/>
      <c r="IOF1" s="87"/>
      <c r="IOG1" s="87"/>
      <c r="IOH1" s="87"/>
      <c r="IOI1" s="87"/>
      <c r="IOJ1" s="87"/>
      <c r="IOK1" s="87"/>
      <c r="IOL1" s="87"/>
      <c r="IOM1" s="87"/>
      <c r="ION1" s="87"/>
      <c r="IOO1" s="87"/>
      <c r="IOP1" s="87"/>
      <c r="IOQ1" s="87"/>
      <c r="IOR1" s="87"/>
      <c r="IOS1" s="87"/>
      <c r="IOT1" s="87"/>
      <c r="IOU1" s="87"/>
      <c r="IOV1" s="87"/>
      <c r="IOW1" s="87"/>
      <c r="IOX1" s="87"/>
      <c r="IOY1" s="87"/>
      <c r="IOZ1" s="87"/>
      <c r="IPA1" s="87"/>
      <c r="IPB1" s="87"/>
      <c r="IPC1" s="87"/>
      <c r="IPD1" s="87"/>
      <c r="IPE1" s="87"/>
      <c r="IPF1" s="87"/>
      <c r="IPG1" s="87"/>
      <c r="IPH1" s="87"/>
      <c r="IPI1" s="87"/>
      <c r="IPJ1" s="87"/>
      <c r="IPK1" s="87"/>
      <c r="IPL1" s="87"/>
      <c r="IPM1" s="87"/>
      <c r="IPN1" s="87"/>
      <c r="IPO1" s="87"/>
      <c r="IPP1" s="87"/>
      <c r="IPQ1" s="87"/>
      <c r="IPR1" s="87"/>
      <c r="IPS1" s="87"/>
      <c r="IPT1" s="87"/>
      <c r="IPU1" s="87"/>
      <c r="IPV1" s="87"/>
      <c r="IPW1" s="87"/>
      <c r="IPX1" s="87"/>
      <c r="IPY1" s="87"/>
      <c r="IPZ1" s="87"/>
      <c r="IQA1" s="87"/>
      <c r="IQB1" s="87"/>
      <c r="IQC1" s="87"/>
      <c r="IQD1" s="87"/>
      <c r="IQE1" s="87"/>
      <c r="IQF1" s="87"/>
      <c r="IQG1" s="87"/>
      <c r="IQH1" s="87"/>
      <c r="IQI1" s="87"/>
      <c r="IQJ1" s="87"/>
      <c r="IQK1" s="87"/>
      <c r="IQL1" s="87"/>
      <c r="IQM1" s="87"/>
      <c r="IQN1" s="87"/>
      <c r="IQO1" s="87"/>
      <c r="IQP1" s="87"/>
      <c r="IQQ1" s="87"/>
      <c r="IQR1" s="87"/>
      <c r="IQS1" s="87"/>
      <c r="IQT1" s="87"/>
      <c r="IQU1" s="87"/>
      <c r="IQV1" s="87"/>
      <c r="IQW1" s="87"/>
      <c r="IQX1" s="87"/>
      <c r="IQY1" s="87"/>
      <c r="IQZ1" s="87"/>
      <c r="IRA1" s="87"/>
      <c r="IRB1" s="87"/>
      <c r="IRC1" s="87"/>
      <c r="IRD1" s="87"/>
      <c r="IRE1" s="87"/>
      <c r="IRF1" s="87"/>
      <c r="IRG1" s="87"/>
      <c r="IRH1" s="87"/>
      <c r="IRI1" s="87"/>
      <c r="IRJ1" s="87"/>
      <c r="IRK1" s="87"/>
      <c r="IRL1" s="87"/>
      <c r="IRM1" s="87"/>
      <c r="IRN1" s="87"/>
      <c r="IRO1" s="87"/>
      <c r="IRP1" s="87"/>
      <c r="IRQ1" s="87"/>
      <c r="IRR1" s="87"/>
      <c r="IRS1" s="87"/>
      <c r="IRT1" s="87"/>
      <c r="IRU1" s="87"/>
      <c r="IRV1" s="87"/>
      <c r="IRW1" s="87"/>
      <c r="IRX1" s="87"/>
      <c r="IRY1" s="87"/>
      <c r="IRZ1" s="87"/>
      <c r="ISA1" s="87"/>
      <c r="ISB1" s="87"/>
      <c r="ISC1" s="87"/>
      <c r="ISD1" s="87"/>
      <c r="ISE1" s="87"/>
      <c r="ISF1" s="87"/>
      <c r="ISG1" s="87"/>
      <c r="ISH1" s="87"/>
      <c r="ISI1" s="87"/>
      <c r="ISJ1" s="87"/>
      <c r="ISK1" s="87"/>
      <c r="ISL1" s="87"/>
      <c r="ISM1" s="87"/>
      <c r="ISN1" s="87"/>
      <c r="ISO1" s="87"/>
      <c r="ISP1" s="87"/>
      <c r="ISQ1" s="87"/>
      <c r="ISR1" s="87"/>
      <c r="ISS1" s="87"/>
      <c r="IST1" s="87"/>
      <c r="ISU1" s="87"/>
      <c r="ISV1" s="87"/>
      <c r="ISW1" s="87"/>
      <c r="ISX1" s="87"/>
      <c r="ISY1" s="87"/>
      <c r="ISZ1" s="87"/>
      <c r="ITA1" s="87"/>
      <c r="ITB1" s="87"/>
      <c r="ITC1" s="87"/>
      <c r="ITD1" s="87"/>
      <c r="ITE1" s="87"/>
      <c r="ITF1" s="87"/>
      <c r="ITG1" s="87"/>
      <c r="ITH1" s="87"/>
      <c r="ITI1" s="87"/>
      <c r="ITJ1" s="87"/>
      <c r="ITK1" s="87"/>
      <c r="ITL1" s="87"/>
      <c r="ITM1" s="87"/>
      <c r="ITN1" s="87"/>
      <c r="ITO1" s="87"/>
      <c r="ITP1" s="87"/>
      <c r="ITQ1" s="87"/>
      <c r="ITR1" s="87"/>
      <c r="ITS1" s="87"/>
      <c r="ITT1" s="87"/>
      <c r="ITU1" s="87"/>
      <c r="ITV1" s="87"/>
      <c r="ITW1" s="87"/>
      <c r="ITX1" s="87"/>
      <c r="ITY1" s="87"/>
      <c r="ITZ1" s="87"/>
      <c r="IUA1" s="87"/>
      <c r="IUB1" s="87"/>
      <c r="IUC1" s="87"/>
      <c r="IUD1" s="87"/>
      <c r="IUE1" s="87"/>
      <c r="IUF1" s="87"/>
      <c r="IUG1" s="87"/>
      <c r="IUH1" s="87"/>
      <c r="IUI1" s="87"/>
      <c r="IUJ1" s="87"/>
      <c r="IUK1" s="87"/>
      <c r="IUL1" s="87"/>
      <c r="IUM1" s="87"/>
      <c r="IUN1" s="87"/>
      <c r="IUO1" s="87"/>
      <c r="IUP1" s="87"/>
      <c r="IUQ1" s="87"/>
      <c r="IUR1" s="87"/>
      <c r="IUS1" s="87"/>
      <c r="IUT1" s="87"/>
      <c r="IUU1" s="87"/>
      <c r="IUV1" s="87"/>
      <c r="IUW1" s="87"/>
      <c r="IUX1" s="87"/>
      <c r="IUY1" s="87"/>
      <c r="IUZ1" s="87"/>
      <c r="IVA1" s="87"/>
      <c r="IVB1" s="87"/>
      <c r="IVC1" s="87"/>
      <c r="IVD1" s="87"/>
      <c r="IVE1" s="87"/>
      <c r="IVF1" s="87"/>
      <c r="IVG1" s="87"/>
      <c r="IVH1" s="87"/>
      <c r="IVI1" s="87"/>
      <c r="IVJ1" s="87"/>
      <c r="IVK1" s="87"/>
      <c r="IVL1" s="87"/>
      <c r="IVM1" s="87"/>
      <c r="IVN1" s="87"/>
      <c r="IVO1" s="87"/>
      <c r="IVP1" s="87"/>
      <c r="IVQ1" s="87"/>
      <c r="IVR1" s="87"/>
      <c r="IVS1" s="87"/>
      <c r="IVT1" s="87"/>
      <c r="IVU1" s="87"/>
      <c r="IVV1" s="87"/>
      <c r="IVW1" s="87"/>
      <c r="IVX1" s="87"/>
      <c r="IVY1" s="87"/>
      <c r="IVZ1" s="87"/>
      <c r="IWA1" s="87"/>
      <c r="IWB1" s="87"/>
      <c r="IWC1" s="87"/>
      <c r="IWD1" s="87"/>
      <c r="IWE1" s="87"/>
      <c r="IWF1" s="87"/>
      <c r="IWG1" s="87"/>
      <c r="IWH1" s="87"/>
      <c r="IWI1" s="87"/>
      <c r="IWJ1" s="87"/>
      <c r="IWK1" s="87"/>
      <c r="IWL1" s="87"/>
      <c r="IWM1" s="87"/>
      <c r="IWN1" s="87"/>
      <c r="IWO1" s="87"/>
      <c r="IWP1" s="87"/>
      <c r="IWQ1" s="87"/>
      <c r="IWR1" s="87"/>
      <c r="IWS1" s="87"/>
      <c r="IWT1" s="87"/>
      <c r="IWU1" s="87"/>
      <c r="IWV1" s="87"/>
      <c r="IWW1" s="87"/>
      <c r="IWX1" s="87"/>
      <c r="IWY1" s="87"/>
      <c r="IWZ1" s="87"/>
      <c r="IXA1" s="87"/>
      <c r="IXB1" s="87"/>
      <c r="IXC1" s="87"/>
      <c r="IXD1" s="87"/>
      <c r="IXE1" s="87"/>
      <c r="IXF1" s="87"/>
      <c r="IXG1" s="87"/>
      <c r="IXH1" s="87"/>
      <c r="IXI1" s="87"/>
      <c r="IXJ1" s="87"/>
      <c r="IXK1" s="87"/>
      <c r="IXL1" s="87"/>
      <c r="IXM1" s="87"/>
      <c r="IXN1" s="87"/>
      <c r="IXO1" s="87"/>
      <c r="IXP1" s="87"/>
      <c r="IXQ1" s="87"/>
      <c r="IXR1" s="87"/>
      <c r="IXS1" s="87"/>
      <c r="IXT1" s="87"/>
      <c r="IXU1" s="87"/>
      <c r="IXV1" s="87"/>
      <c r="IXW1" s="87"/>
      <c r="IXX1" s="87"/>
      <c r="IXY1" s="87"/>
      <c r="IXZ1" s="87"/>
      <c r="IYA1" s="87"/>
      <c r="IYB1" s="87"/>
      <c r="IYC1" s="87"/>
      <c r="IYD1" s="87"/>
      <c r="IYE1" s="87"/>
      <c r="IYF1" s="87"/>
      <c r="IYG1" s="87"/>
      <c r="IYH1" s="87"/>
      <c r="IYI1" s="87"/>
      <c r="IYJ1" s="87"/>
      <c r="IYK1" s="87"/>
      <c r="IYL1" s="87"/>
      <c r="IYM1" s="87"/>
      <c r="IYN1" s="87"/>
      <c r="IYO1" s="87"/>
      <c r="IYP1" s="87"/>
      <c r="IYQ1" s="87"/>
      <c r="IYR1" s="87"/>
      <c r="IYS1" s="87"/>
      <c r="IYT1" s="87"/>
      <c r="IYU1" s="87"/>
      <c r="IYV1" s="87"/>
      <c r="IYW1" s="87"/>
      <c r="IYX1" s="87"/>
      <c r="IYY1" s="87"/>
      <c r="IYZ1" s="87"/>
      <c r="IZA1" s="87"/>
      <c r="IZB1" s="87"/>
      <c r="IZC1" s="87"/>
      <c r="IZD1" s="87"/>
      <c r="IZE1" s="87"/>
      <c r="IZF1" s="87"/>
      <c r="IZG1" s="87"/>
      <c r="IZH1" s="87"/>
      <c r="IZI1" s="87"/>
      <c r="IZJ1" s="87"/>
      <c r="IZK1" s="87"/>
      <c r="IZL1" s="87"/>
      <c r="IZM1" s="87"/>
      <c r="IZN1" s="87"/>
      <c r="IZO1" s="87"/>
      <c r="IZP1" s="87"/>
      <c r="IZQ1" s="87"/>
      <c r="IZR1" s="87"/>
      <c r="IZS1" s="87"/>
      <c r="IZT1" s="87"/>
      <c r="IZU1" s="87"/>
      <c r="IZV1" s="87"/>
      <c r="IZW1" s="87"/>
      <c r="IZX1" s="87"/>
      <c r="IZY1" s="87"/>
      <c r="IZZ1" s="87"/>
      <c r="JAA1" s="87"/>
      <c r="JAB1" s="87"/>
      <c r="JAC1" s="87"/>
      <c r="JAD1" s="87"/>
      <c r="JAE1" s="87"/>
      <c r="JAF1" s="87"/>
      <c r="JAG1" s="87"/>
      <c r="JAH1" s="87"/>
      <c r="JAI1" s="87"/>
      <c r="JAJ1" s="87"/>
      <c r="JAK1" s="87"/>
      <c r="JAL1" s="87"/>
      <c r="JAM1" s="87"/>
      <c r="JAN1" s="87"/>
      <c r="JAO1" s="87"/>
      <c r="JAP1" s="87"/>
      <c r="JAQ1" s="87"/>
      <c r="JAR1" s="87"/>
      <c r="JAS1" s="87"/>
      <c r="JAT1" s="87"/>
      <c r="JAU1" s="87"/>
      <c r="JAV1" s="87"/>
      <c r="JAW1" s="87"/>
      <c r="JAX1" s="87"/>
      <c r="JAY1" s="87"/>
      <c r="JAZ1" s="87"/>
      <c r="JBA1" s="87"/>
      <c r="JBB1" s="87"/>
      <c r="JBC1" s="87"/>
      <c r="JBD1" s="87"/>
      <c r="JBE1" s="87"/>
      <c r="JBF1" s="87"/>
      <c r="JBG1" s="87"/>
      <c r="JBH1" s="87"/>
      <c r="JBI1" s="87"/>
      <c r="JBJ1" s="87"/>
      <c r="JBK1" s="87"/>
      <c r="JBL1" s="87"/>
      <c r="JBM1" s="87"/>
      <c r="JBN1" s="87"/>
      <c r="JBO1" s="87"/>
      <c r="JBP1" s="87"/>
      <c r="JBQ1" s="87"/>
      <c r="JBR1" s="87"/>
      <c r="JBS1" s="87"/>
      <c r="JBT1" s="87"/>
      <c r="JBU1" s="87"/>
      <c r="JBV1" s="87"/>
      <c r="JBW1" s="87"/>
      <c r="JBX1" s="87"/>
      <c r="JBY1" s="87"/>
      <c r="JBZ1" s="87"/>
      <c r="JCA1" s="87"/>
      <c r="JCB1" s="87"/>
      <c r="JCC1" s="87"/>
      <c r="JCD1" s="87"/>
      <c r="JCE1" s="87"/>
      <c r="JCF1" s="87"/>
      <c r="JCG1" s="87"/>
      <c r="JCH1" s="87"/>
      <c r="JCI1" s="87"/>
      <c r="JCJ1" s="87"/>
      <c r="JCK1" s="87"/>
      <c r="JCL1" s="87"/>
      <c r="JCM1" s="87"/>
      <c r="JCN1" s="87"/>
      <c r="JCO1" s="87"/>
      <c r="JCP1" s="87"/>
      <c r="JCQ1" s="87"/>
      <c r="JCR1" s="87"/>
      <c r="JCS1" s="87"/>
      <c r="JCT1" s="87"/>
      <c r="JCU1" s="87"/>
      <c r="JCV1" s="87"/>
      <c r="JCW1" s="87"/>
      <c r="JCX1" s="87"/>
      <c r="JCY1" s="87"/>
      <c r="JCZ1" s="87"/>
      <c r="JDA1" s="87"/>
      <c r="JDB1" s="87"/>
      <c r="JDC1" s="87"/>
      <c r="JDD1" s="87"/>
      <c r="JDE1" s="87"/>
      <c r="JDF1" s="87"/>
      <c r="JDG1" s="87"/>
      <c r="JDH1" s="87"/>
      <c r="JDI1" s="87"/>
      <c r="JDJ1" s="87"/>
      <c r="JDK1" s="87"/>
      <c r="JDL1" s="87"/>
      <c r="JDM1" s="87"/>
      <c r="JDN1" s="87"/>
      <c r="JDO1" s="87"/>
      <c r="JDP1" s="87"/>
      <c r="JDQ1" s="87"/>
      <c r="JDR1" s="87"/>
      <c r="JDS1" s="87"/>
      <c r="JDT1" s="87"/>
      <c r="JDU1" s="87"/>
      <c r="JDV1" s="87"/>
      <c r="JDW1" s="87"/>
      <c r="JDX1" s="87"/>
      <c r="JDY1" s="87"/>
      <c r="JDZ1" s="87"/>
      <c r="JEA1" s="87"/>
      <c r="JEB1" s="87"/>
      <c r="JEC1" s="87"/>
      <c r="JED1" s="87"/>
      <c r="JEE1" s="87"/>
      <c r="JEF1" s="87"/>
      <c r="JEG1" s="87"/>
      <c r="JEH1" s="87"/>
      <c r="JEI1" s="87"/>
      <c r="JEJ1" s="87"/>
      <c r="JEK1" s="87"/>
      <c r="JEL1" s="87"/>
      <c r="JEM1" s="87"/>
      <c r="JEN1" s="87"/>
      <c r="JEO1" s="87"/>
      <c r="JEP1" s="87"/>
      <c r="JEQ1" s="87"/>
      <c r="JER1" s="87"/>
      <c r="JES1" s="87"/>
      <c r="JET1" s="87"/>
      <c r="JEU1" s="87"/>
      <c r="JEV1" s="87"/>
      <c r="JEW1" s="87"/>
      <c r="JEX1" s="87"/>
      <c r="JEY1" s="87"/>
      <c r="JEZ1" s="87"/>
      <c r="JFA1" s="87"/>
      <c r="JFB1" s="87"/>
      <c r="JFC1" s="87"/>
      <c r="JFD1" s="87"/>
      <c r="JFE1" s="87"/>
      <c r="JFF1" s="87"/>
      <c r="JFG1" s="87"/>
      <c r="JFH1" s="87"/>
      <c r="JFI1" s="87"/>
      <c r="JFJ1" s="87"/>
      <c r="JFK1" s="87"/>
      <c r="JFL1" s="87"/>
      <c r="JFM1" s="87"/>
      <c r="JFN1" s="87"/>
      <c r="JFO1" s="87"/>
      <c r="JFP1" s="87"/>
      <c r="JFQ1" s="87"/>
      <c r="JFR1" s="87"/>
      <c r="JFS1" s="87"/>
      <c r="JFT1" s="87"/>
      <c r="JFU1" s="87"/>
      <c r="JFV1" s="87"/>
      <c r="JFW1" s="87"/>
      <c r="JFX1" s="87"/>
      <c r="JFY1" s="87"/>
      <c r="JFZ1" s="87"/>
      <c r="JGA1" s="87"/>
      <c r="JGB1" s="87"/>
      <c r="JGC1" s="87"/>
      <c r="JGD1" s="87"/>
      <c r="JGE1" s="87"/>
      <c r="JGF1" s="87"/>
      <c r="JGG1" s="87"/>
      <c r="JGH1" s="87"/>
      <c r="JGI1" s="87"/>
      <c r="JGJ1" s="87"/>
      <c r="JGK1" s="87"/>
      <c r="JGL1" s="87"/>
      <c r="JGM1" s="87"/>
      <c r="JGN1" s="87"/>
      <c r="JGO1" s="87"/>
      <c r="JGP1" s="87"/>
      <c r="JGQ1" s="87"/>
      <c r="JGR1" s="87"/>
      <c r="JGS1" s="87"/>
      <c r="JGT1" s="87"/>
      <c r="JGU1" s="87"/>
      <c r="JGV1" s="87"/>
      <c r="JGW1" s="87"/>
      <c r="JGX1" s="87"/>
      <c r="JGY1" s="87"/>
      <c r="JGZ1" s="87"/>
      <c r="JHA1" s="87"/>
      <c r="JHB1" s="87"/>
      <c r="JHC1" s="87"/>
      <c r="JHD1" s="87"/>
      <c r="JHE1" s="87"/>
      <c r="JHF1" s="87"/>
      <c r="JHG1" s="87"/>
      <c r="JHH1" s="87"/>
      <c r="JHI1" s="87"/>
      <c r="JHJ1" s="87"/>
      <c r="JHK1" s="87"/>
      <c r="JHL1" s="87"/>
      <c r="JHM1" s="87"/>
      <c r="JHN1" s="87"/>
      <c r="JHO1" s="87"/>
      <c r="JHP1" s="87"/>
      <c r="JHQ1" s="87"/>
      <c r="JHR1" s="87"/>
      <c r="JHS1" s="87"/>
      <c r="JHT1" s="87"/>
      <c r="JHU1" s="87"/>
      <c r="JHV1" s="87"/>
      <c r="JHW1" s="87"/>
      <c r="JHX1" s="87"/>
      <c r="JHY1" s="87"/>
      <c r="JHZ1" s="87"/>
      <c r="JIA1" s="87"/>
      <c r="JIB1" s="87"/>
      <c r="JIC1" s="87"/>
      <c r="JID1" s="87"/>
      <c r="JIE1" s="87"/>
      <c r="JIF1" s="87"/>
      <c r="JIG1" s="87"/>
      <c r="JIH1" s="87"/>
      <c r="JII1" s="87"/>
      <c r="JIJ1" s="87"/>
      <c r="JIK1" s="87"/>
      <c r="JIL1" s="87"/>
      <c r="JIM1" s="87"/>
      <c r="JIN1" s="87"/>
      <c r="JIO1" s="87"/>
      <c r="JIP1" s="87"/>
      <c r="JIQ1" s="87"/>
      <c r="JIR1" s="87"/>
      <c r="JIS1" s="87"/>
      <c r="JIT1" s="87"/>
      <c r="JIU1" s="87"/>
      <c r="JIV1" s="87"/>
      <c r="JIW1" s="87"/>
      <c r="JIX1" s="87"/>
      <c r="JIY1" s="87"/>
      <c r="JIZ1" s="87"/>
      <c r="JJA1" s="87"/>
      <c r="JJB1" s="87"/>
      <c r="JJC1" s="87"/>
      <c r="JJD1" s="87"/>
      <c r="JJE1" s="87"/>
      <c r="JJF1" s="87"/>
      <c r="JJG1" s="87"/>
      <c r="JJH1" s="87"/>
      <c r="JJI1" s="87"/>
      <c r="JJJ1" s="87"/>
      <c r="JJK1" s="87"/>
      <c r="JJL1" s="87"/>
      <c r="JJM1" s="87"/>
      <c r="JJN1" s="87"/>
      <c r="JJO1" s="87"/>
      <c r="JJP1" s="87"/>
      <c r="JJQ1" s="87"/>
      <c r="JJR1" s="87"/>
      <c r="JJS1" s="87"/>
      <c r="JJT1" s="87"/>
      <c r="JJU1" s="87"/>
      <c r="JJV1" s="87"/>
      <c r="JJW1" s="87"/>
      <c r="JJX1" s="87"/>
      <c r="JJY1" s="87"/>
      <c r="JJZ1" s="87"/>
      <c r="JKA1" s="87"/>
      <c r="JKB1" s="87"/>
      <c r="JKC1" s="87"/>
      <c r="JKD1" s="87"/>
      <c r="JKE1" s="87"/>
      <c r="JKF1" s="87"/>
      <c r="JKG1" s="87"/>
      <c r="JKH1" s="87"/>
      <c r="JKI1" s="87"/>
      <c r="JKJ1" s="87"/>
      <c r="JKK1" s="87"/>
      <c r="JKL1" s="87"/>
      <c r="JKM1" s="87"/>
      <c r="JKN1" s="87"/>
      <c r="JKO1" s="87"/>
      <c r="JKP1" s="87"/>
      <c r="JKQ1" s="87"/>
      <c r="JKR1" s="87"/>
      <c r="JKS1" s="87"/>
      <c r="JKT1" s="87"/>
      <c r="JKU1" s="87"/>
      <c r="JKV1" s="87"/>
      <c r="JKW1" s="87"/>
      <c r="JKX1" s="87"/>
      <c r="JKY1" s="87"/>
      <c r="JKZ1" s="87"/>
      <c r="JLA1" s="87"/>
      <c r="JLB1" s="87"/>
      <c r="JLC1" s="87"/>
      <c r="JLD1" s="87"/>
      <c r="JLE1" s="87"/>
      <c r="JLF1" s="87"/>
      <c r="JLG1" s="87"/>
      <c r="JLH1" s="87"/>
      <c r="JLI1" s="87"/>
      <c r="JLJ1" s="87"/>
      <c r="JLK1" s="87"/>
      <c r="JLL1" s="87"/>
      <c r="JLM1" s="87"/>
      <c r="JLN1" s="87"/>
      <c r="JLO1" s="87"/>
      <c r="JLP1" s="87"/>
      <c r="JLQ1" s="87"/>
      <c r="JLR1" s="87"/>
      <c r="JLS1" s="87"/>
      <c r="JLT1" s="87"/>
      <c r="JLU1" s="87"/>
      <c r="JLV1" s="87"/>
      <c r="JLW1" s="87"/>
      <c r="JLX1" s="87"/>
      <c r="JLY1" s="87"/>
      <c r="JLZ1" s="87"/>
      <c r="JMA1" s="87"/>
      <c r="JMB1" s="87"/>
      <c r="JMC1" s="87"/>
      <c r="JMD1" s="87"/>
      <c r="JME1" s="87"/>
      <c r="JMF1" s="87"/>
      <c r="JMG1" s="87"/>
      <c r="JMH1" s="87"/>
      <c r="JMI1" s="87"/>
      <c r="JMJ1" s="87"/>
      <c r="JMK1" s="87"/>
      <c r="JML1" s="87"/>
      <c r="JMM1" s="87"/>
      <c r="JMN1" s="87"/>
      <c r="JMO1" s="87"/>
      <c r="JMP1" s="87"/>
      <c r="JMQ1" s="87"/>
      <c r="JMR1" s="87"/>
      <c r="JMS1" s="87"/>
      <c r="JMT1" s="87"/>
      <c r="JMU1" s="87"/>
      <c r="JMV1" s="87"/>
      <c r="JMW1" s="87"/>
      <c r="JMX1" s="87"/>
      <c r="JMY1" s="87"/>
      <c r="JMZ1" s="87"/>
      <c r="JNA1" s="87"/>
      <c r="JNB1" s="87"/>
      <c r="JNC1" s="87"/>
      <c r="JND1" s="87"/>
      <c r="JNE1" s="87"/>
      <c r="JNF1" s="87"/>
      <c r="JNG1" s="87"/>
      <c r="JNH1" s="87"/>
      <c r="JNI1" s="87"/>
      <c r="JNJ1" s="87"/>
      <c r="JNK1" s="87"/>
      <c r="JNL1" s="87"/>
      <c r="JNM1" s="87"/>
      <c r="JNN1" s="87"/>
      <c r="JNO1" s="87"/>
      <c r="JNP1" s="87"/>
      <c r="JNQ1" s="87"/>
      <c r="JNR1" s="87"/>
      <c r="JNS1" s="87"/>
      <c r="JNT1" s="87"/>
      <c r="JNU1" s="87"/>
      <c r="JNV1" s="87"/>
      <c r="JNW1" s="87"/>
      <c r="JNX1" s="87"/>
      <c r="JNY1" s="87"/>
      <c r="JNZ1" s="87"/>
      <c r="JOA1" s="87"/>
      <c r="JOB1" s="87"/>
      <c r="JOC1" s="87"/>
      <c r="JOD1" s="87"/>
      <c r="JOE1" s="87"/>
      <c r="JOF1" s="87"/>
      <c r="JOG1" s="87"/>
      <c r="JOH1" s="87"/>
      <c r="JOI1" s="87"/>
      <c r="JOJ1" s="87"/>
      <c r="JOK1" s="87"/>
      <c r="JOL1" s="87"/>
      <c r="JOM1" s="87"/>
      <c r="JON1" s="87"/>
      <c r="JOO1" s="87"/>
      <c r="JOP1" s="87"/>
      <c r="JOQ1" s="87"/>
      <c r="JOR1" s="87"/>
      <c r="JOS1" s="87"/>
      <c r="JOT1" s="87"/>
      <c r="JOU1" s="87"/>
      <c r="JOV1" s="87"/>
      <c r="JOW1" s="87"/>
      <c r="JOX1" s="87"/>
      <c r="JOY1" s="87"/>
      <c r="JOZ1" s="87"/>
      <c r="JPA1" s="87"/>
      <c r="JPB1" s="87"/>
      <c r="JPC1" s="87"/>
      <c r="JPD1" s="87"/>
      <c r="JPE1" s="87"/>
      <c r="JPF1" s="87"/>
      <c r="JPG1" s="87"/>
      <c r="JPH1" s="87"/>
      <c r="JPI1" s="87"/>
      <c r="JPJ1" s="87"/>
      <c r="JPK1" s="87"/>
      <c r="JPL1" s="87"/>
      <c r="JPM1" s="87"/>
      <c r="JPN1" s="87"/>
      <c r="JPO1" s="87"/>
      <c r="JPP1" s="87"/>
      <c r="JPQ1" s="87"/>
      <c r="JPR1" s="87"/>
      <c r="JPS1" s="87"/>
      <c r="JPT1" s="87"/>
      <c r="JPU1" s="87"/>
      <c r="JPV1" s="87"/>
      <c r="JPW1" s="87"/>
      <c r="JPX1" s="87"/>
      <c r="JPY1" s="87"/>
      <c r="JPZ1" s="87"/>
      <c r="JQA1" s="87"/>
      <c r="JQB1" s="87"/>
      <c r="JQC1" s="87"/>
      <c r="JQD1" s="87"/>
      <c r="JQE1" s="87"/>
      <c r="JQF1" s="87"/>
      <c r="JQG1" s="87"/>
      <c r="JQH1" s="87"/>
      <c r="JQI1" s="87"/>
      <c r="JQJ1" s="87"/>
      <c r="JQK1" s="87"/>
      <c r="JQL1" s="87"/>
      <c r="JQM1" s="87"/>
      <c r="JQN1" s="87"/>
      <c r="JQO1" s="87"/>
      <c r="JQP1" s="87"/>
      <c r="JQQ1" s="87"/>
      <c r="JQR1" s="87"/>
      <c r="JQS1" s="87"/>
      <c r="JQT1" s="87"/>
      <c r="JQU1" s="87"/>
      <c r="JQV1" s="87"/>
      <c r="JQW1" s="87"/>
      <c r="JQX1" s="87"/>
      <c r="JQY1" s="87"/>
      <c r="JQZ1" s="87"/>
      <c r="JRA1" s="87"/>
      <c r="JRB1" s="87"/>
      <c r="JRC1" s="87"/>
      <c r="JRD1" s="87"/>
      <c r="JRE1" s="87"/>
      <c r="JRF1" s="87"/>
      <c r="JRG1" s="87"/>
      <c r="JRH1" s="87"/>
      <c r="JRI1" s="87"/>
      <c r="JRJ1" s="87"/>
      <c r="JRK1" s="87"/>
      <c r="JRL1" s="87"/>
      <c r="JRM1" s="87"/>
      <c r="JRN1" s="87"/>
      <c r="JRO1" s="87"/>
      <c r="JRP1" s="87"/>
      <c r="JRQ1" s="87"/>
      <c r="JRR1" s="87"/>
      <c r="JRS1" s="87"/>
      <c r="JRT1" s="87"/>
      <c r="JRU1" s="87"/>
      <c r="JRV1" s="87"/>
      <c r="JRW1" s="87"/>
      <c r="JRX1" s="87"/>
      <c r="JRY1" s="87"/>
      <c r="JRZ1" s="87"/>
      <c r="JSA1" s="87"/>
      <c r="JSB1" s="87"/>
      <c r="JSC1" s="87"/>
      <c r="JSD1" s="87"/>
      <c r="JSE1" s="87"/>
      <c r="JSF1" s="87"/>
      <c r="JSG1" s="87"/>
      <c r="JSH1" s="87"/>
      <c r="JSI1" s="87"/>
      <c r="JSJ1" s="87"/>
      <c r="JSK1" s="87"/>
      <c r="JSL1" s="87"/>
      <c r="JSM1" s="87"/>
      <c r="JSN1" s="87"/>
      <c r="JSO1" s="87"/>
      <c r="JSP1" s="87"/>
      <c r="JSQ1" s="87"/>
      <c r="JSR1" s="87"/>
      <c r="JSS1" s="87"/>
      <c r="JST1" s="87"/>
      <c r="JSU1" s="87"/>
      <c r="JSV1" s="87"/>
      <c r="JSW1" s="87"/>
      <c r="JSX1" s="87"/>
      <c r="JSY1" s="87"/>
      <c r="JSZ1" s="87"/>
      <c r="JTA1" s="87"/>
      <c r="JTB1" s="87"/>
      <c r="JTC1" s="87"/>
      <c r="JTD1" s="87"/>
      <c r="JTE1" s="87"/>
      <c r="JTF1" s="87"/>
      <c r="JTG1" s="87"/>
      <c r="JTH1" s="87"/>
      <c r="JTI1" s="87"/>
      <c r="JTJ1" s="87"/>
      <c r="JTK1" s="87"/>
      <c r="JTL1" s="87"/>
      <c r="JTM1" s="87"/>
      <c r="JTN1" s="87"/>
      <c r="JTO1" s="87"/>
      <c r="JTP1" s="87"/>
      <c r="JTQ1" s="87"/>
      <c r="JTR1" s="87"/>
      <c r="JTS1" s="87"/>
      <c r="JTT1" s="87"/>
      <c r="JTU1" s="87"/>
      <c r="JTV1" s="87"/>
      <c r="JTW1" s="87"/>
      <c r="JTX1" s="87"/>
      <c r="JTY1" s="87"/>
      <c r="JTZ1" s="87"/>
      <c r="JUA1" s="87"/>
      <c r="JUB1" s="87"/>
      <c r="JUC1" s="87"/>
      <c r="JUD1" s="87"/>
      <c r="JUE1" s="87"/>
      <c r="JUF1" s="87"/>
      <c r="JUG1" s="87"/>
      <c r="JUH1" s="87"/>
      <c r="JUI1" s="87"/>
      <c r="JUJ1" s="87"/>
      <c r="JUK1" s="87"/>
      <c r="JUL1" s="87"/>
      <c r="JUM1" s="87"/>
      <c r="JUN1" s="87"/>
      <c r="JUO1" s="87"/>
      <c r="JUP1" s="87"/>
      <c r="JUQ1" s="87"/>
      <c r="JUR1" s="87"/>
      <c r="JUS1" s="87"/>
      <c r="JUT1" s="87"/>
      <c r="JUU1" s="87"/>
      <c r="JUV1" s="87"/>
      <c r="JUW1" s="87"/>
      <c r="JUX1" s="87"/>
      <c r="JUY1" s="87"/>
      <c r="JUZ1" s="87"/>
      <c r="JVA1" s="87"/>
      <c r="JVB1" s="87"/>
      <c r="JVC1" s="87"/>
      <c r="JVD1" s="87"/>
      <c r="JVE1" s="87"/>
      <c r="JVF1" s="87"/>
      <c r="JVG1" s="87"/>
      <c r="JVH1" s="87"/>
      <c r="JVI1" s="87"/>
      <c r="JVJ1" s="87"/>
      <c r="JVK1" s="87"/>
      <c r="JVL1" s="87"/>
      <c r="JVM1" s="87"/>
      <c r="JVN1" s="87"/>
      <c r="JVO1" s="87"/>
      <c r="JVP1" s="87"/>
      <c r="JVQ1" s="87"/>
      <c r="JVR1" s="87"/>
      <c r="JVS1" s="87"/>
      <c r="JVT1" s="87"/>
      <c r="JVU1" s="87"/>
      <c r="JVV1" s="87"/>
      <c r="JVW1" s="87"/>
      <c r="JVX1" s="87"/>
      <c r="JVY1" s="87"/>
      <c r="JVZ1" s="87"/>
      <c r="JWA1" s="87"/>
      <c r="JWB1" s="87"/>
      <c r="JWC1" s="87"/>
      <c r="JWD1" s="87"/>
      <c r="JWE1" s="87"/>
      <c r="JWF1" s="87"/>
      <c r="JWG1" s="87"/>
      <c r="JWH1" s="87"/>
      <c r="JWI1" s="87"/>
      <c r="JWJ1" s="87"/>
      <c r="JWK1" s="87"/>
      <c r="JWL1" s="87"/>
      <c r="JWM1" s="87"/>
      <c r="JWN1" s="87"/>
      <c r="JWO1" s="87"/>
      <c r="JWP1" s="87"/>
      <c r="JWQ1" s="87"/>
      <c r="JWR1" s="87"/>
      <c r="JWS1" s="87"/>
      <c r="JWT1" s="87"/>
      <c r="JWU1" s="87"/>
      <c r="JWV1" s="87"/>
      <c r="JWW1" s="87"/>
      <c r="JWX1" s="87"/>
      <c r="JWY1" s="87"/>
      <c r="JWZ1" s="87"/>
      <c r="JXA1" s="87"/>
      <c r="JXB1" s="87"/>
      <c r="JXC1" s="87"/>
      <c r="JXD1" s="87"/>
      <c r="JXE1" s="87"/>
      <c r="JXF1" s="87"/>
      <c r="JXG1" s="87"/>
      <c r="JXH1" s="87"/>
      <c r="JXI1" s="87"/>
      <c r="JXJ1" s="87"/>
      <c r="JXK1" s="87"/>
      <c r="JXL1" s="87"/>
      <c r="JXM1" s="87"/>
      <c r="JXN1" s="87"/>
      <c r="JXO1" s="87"/>
      <c r="JXP1" s="87"/>
      <c r="JXQ1" s="87"/>
      <c r="JXR1" s="87"/>
      <c r="JXS1" s="87"/>
      <c r="JXT1" s="87"/>
      <c r="JXU1" s="87"/>
      <c r="JXV1" s="87"/>
      <c r="JXW1" s="87"/>
      <c r="JXX1" s="87"/>
      <c r="JXY1" s="87"/>
      <c r="JXZ1" s="87"/>
      <c r="JYA1" s="87"/>
      <c r="JYB1" s="87"/>
      <c r="JYC1" s="87"/>
      <c r="JYD1" s="87"/>
      <c r="JYE1" s="87"/>
      <c r="JYF1" s="87"/>
      <c r="JYG1" s="87"/>
      <c r="JYH1" s="87"/>
      <c r="JYI1" s="87"/>
      <c r="JYJ1" s="87"/>
      <c r="JYK1" s="87"/>
      <c r="JYL1" s="87"/>
      <c r="JYM1" s="87"/>
      <c r="JYN1" s="87"/>
      <c r="JYO1" s="87"/>
      <c r="JYP1" s="87"/>
      <c r="JYQ1" s="87"/>
      <c r="JYR1" s="87"/>
      <c r="JYS1" s="87"/>
      <c r="JYT1" s="87"/>
      <c r="JYU1" s="87"/>
      <c r="JYV1" s="87"/>
      <c r="JYW1" s="87"/>
      <c r="JYX1" s="87"/>
      <c r="JYY1" s="87"/>
      <c r="JYZ1" s="87"/>
      <c r="JZA1" s="87"/>
      <c r="JZB1" s="87"/>
      <c r="JZC1" s="87"/>
      <c r="JZD1" s="87"/>
      <c r="JZE1" s="87"/>
      <c r="JZF1" s="87"/>
      <c r="JZG1" s="87"/>
      <c r="JZH1" s="87"/>
      <c r="JZI1" s="87"/>
      <c r="JZJ1" s="87"/>
      <c r="JZK1" s="87"/>
      <c r="JZL1" s="87"/>
      <c r="JZM1" s="87"/>
      <c r="JZN1" s="87"/>
      <c r="JZO1" s="87"/>
      <c r="JZP1" s="87"/>
      <c r="JZQ1" s="87"/>
      <c r="JZR1" s="87"/>
      <c r="JZS1" s="87"/>
      <c r="JZT1" s="87"/>
      <c r="JZU1" s="87"/>
      <c r="JZV1" s="87"/>
      <c r="JZW1" s="87"/>
      <c r="JZX1" s="87"/>
      <c r="JZY1" s="87"/>
      <c r="JZZ1" s="87"/>
      <c r="KAA1" s="87"/>
      <c r="KAB1" s="87"/>
      <c r="KAC1" s="87"/>
      <c r="KAD1" s="87"/>
      <c r="KAE1" s="87"/>
      <c r="KAF1" s="87"/>
      <c r="KAG1" s="87"/>
      <c r="KAH1" s="87"/>
      <c r="KAI1" s="87"/>
      <c r="KAJ1" s="87"/>
      <c r="KAK1" s="87"/>
      <c r="KAL1" s="87"/>
      <c r="KAM1" s="87"/>
      <c r="KAN1" s="87"/>
      <c r="KAO1" s="87"/>
      <c r="KAP1" s="87"/>
      <c r="KAQ1" s="87"/>
      <c r="KAR1" s="87"/>
      <c r="KAS1" s="87"/>
      <c r="KAT1" s="87"/>
      <c r="KAU1" s="87"/>
      <c r="KAV1" s="87"/>
      <c r="KAW1" s="87"/>
      <c r="KAX1" s="87"/>
      <c r="KAY1" s="87"/>
      <c r="KAZ1" s="87"/>
      <c r="KBA1" s="87"/>
      <c r="KBB1" s="87"/>
      <c r="KBC1" s="87"/>
      <c r="KBD1" s="87"/>
      <c r="KBE1" s="87"/>
      <c r="KBF1" s="87"/>
      <c r="KBG1" s="87"/>
      <c r="KBH1" s="87"/>
      <c r="KBI1" s="87"/>
      <c r="KBJ1" s="87"/>
      <c r="KBK1" s="87"/>
      <c r="KBL1" s="87"/>
      <c r="KBM1" s="87"/>
      <c r="KBN1" s="87"/>
      <c r="KBO1" s="87"/>
      <c r="KBP1" s="87"/>
      <c r="KBQ1" s="87"/>
      <c r="KBR1" s="87"/>
      <c r="KBS1" s="87"/>
      <c r="KBT1" s="87"/>
      <c r="KBU1" s="87"/>
      <c r="KBV1" s="87"/>
      <c r="KBW1" s="87"/>
      <c r="KBX1" s="87"/>
      <c r="KBY1" s="87"/>
      <c r="KBZ1" s="87"/>
      <c r="KCA1" s="87"/>
      <c r="KCB1" s="87"/>
      <c r="KCC1" s="87"/>
      <c r="KCD1" s="87"/>
      <c r="KCE1" s="87"/>
      <c r="KCF1" s="87"/>
      <c r="KCG1" s="87"/>
      <c r="KCH1" s="87"/>
      <c r="KCI1" s="87"/>
      <c r="KCJ1" s="87"/>
      <c r="KCK1" s="87"/>
      <c r="KCL1" s="87"/>
      <c r="KCM1" s="87"/>
      <c r="KCN1" s="87"/>
      <c r="KCO1" s="87"/>
      <c r="KCP1" s="87"/>
      <c r="KCQ1" s="87"/>
      <c r="KCR1" s="87"/>
      <c r="KCS1" s="87"/>
      <c r="KCT1" s="87"/>
      <c r="KCU1" s="87"/>
      <c r="KCV1" s="87"/>
      <c r="KCW1" s="87"/>
      <c r="KCX1" s="87"/>
      <c r="KCY1" s="87"/>
      <c r="KCZ1" s="87"/>
      <c r="KDA1" s="87"/>
      <c r="KDB1" s="87"/>
      <c r="KDC1" s="87"/>
      <c r="KDD1" s="87"/>
      <c r="KDE1" s="87"/>
      <c r="KDF1" s="87"/>
      <c r="KDG1" s="87"/>
      <c r="KDH1" s="87"/>
      <c r="KDI1" s="87"/>
      <c r="KDJ1" s="87"/>
      <c r="KDK1" s="87"/>
      <c r="KDL1" s="87"/>
      <c r="KDM1" s="87"/>
      <c r="KDN1" s="87"/>
      <c r="KDO1" s="87"/>
      <c r="KDP1" s="87"/>
      <c r="KDQ1" s="87"/>
      <c r="KDR1" s="87"/>
      <c r="KDS1" s="87"/>
      <c r="KDT1" s="87"/>
      <c r="KDU1" s="87"/>
      <c r="KDV1" s="87"/>
      <c r="KDW1" s="87"/>
      <c r="KDX1" s="87"/>
      <c r="KDY1" s="87"/>
      <c r="KDZ1" s="87"/>
      <c r="KEA1" s="87"/>
      <c r="KEB1" s="87"/>
      <c r="KEC1" s="87"/>
      <c r="KED1" s="87"/>
      <c r="KEE1" s="87"/>
      <c r="KEF1" s="87"/>
      <c r="KEG1" s="87"/>
      <c r="KEH1" s="87"/>
      <c r="KEI1" s="87"/>
      <c r="KEJ1" s="87"/>
      <c r="KEK1" s="87"/>
      <c r="KEL1" s="87"/>
      <c r="KEM1" s="87"/>
      <c r="KEN1" s="87"/>
      <c r="KEO1" s="87"/>
      <c r="KEP1" s="87"/>
      <c r="KEQ1" s="87"/>
      <c r="KER1" s="87"/>
      <c r="KES1" s="87"/>
      <c r="KET1" s="87"/>
      <c r="KEU1" s="87"/>
      <c r="KEV1" s="87"/>
      <c r="KEW1" s="87"/>
      <c r="KEX1" s="87"/>
      <c r="KEY1" s="87"/>
      <c r="KEZ1" s="87"/>
      <c r="KFA1" s="87"/>
      <c r="KFB1" s="87"/>
      <c r="KFC1" s="87"/>
      <c r="KFD1" s="87"/>
      <c r="KFE1" s="87"/>
      <c r="KFF1" s="87"/>
      <c r="KFG1" s="87"/>
      <c r="KFH1" s="87"/>
      <c r="KFI1" s="87"/>
      <c r="KFJ1" s="87"/>
      <c r="KFK1" s="87"/>
      <c r="KFL1" s="87"/>
      <c r="KFM1" s="87"/>
      <c r="KFN1" s="87"/>
      <c r="KFO1" s="87"/>
      <c r="KFP1" s="87"/>
      <c r="KFQ1" s="87"/>
      <c r="KFR1" s="87"/>
      <c r="KFS1" s="87"/>
      <c r="KFT1" s="87"/>
      <c r="KFU1" s="87"/>
      <c r="KFV1" s="87"/>
      <c r="KFW1" s="87"/>
      <c r="KFX1" s="87"/>
      <c r="KFY1" s="87"/>
      <c r="KFZ1" s="87"/>
      <c r="KGA1" s="87"/>
      <c r="KGB1" s="87"/>
      <c r="KGC1" s="87"/>
      <c r="KGD1" s="87"/>
      <c r="KGE1" s="87"/>
      <c r="KGF1" s="87"/>
      <c r="KGG1" s="87"/>
      <c r="KGH1" s="87"/>
      <c r="KGI1" s="87"/>
      <c r="KGJ1" s="87"/>
      <c r="KGK1" s="87"/>
      <c r="KGL1" s="87"/>
      <c r="KGM1" s="87"/>
      <c r="KGN1" s="87"/>
      <c r="KGO1" s="87"/>
      <c r="KGP1" s="87"/>
      <c r="KGQ1" s="87"/>
      <c r="KGR1" s="87"/>
      <c r="KGS1" s="87"/>
      <c r="KGT1" s="87"/>
      <c r="KGU1" s="87"/>
      <c r="KGV1" s="87"/>
      <c r="KGW1" s="87"/>
      <c r="KGX1" s="87"/>
      <c r="KGY1" s="87"/>
      <c r="KGZ1" s="87"/>
      <c r="KHA1" s="87"/>
      <c r="KHB1" s="87"/>
      <c r="KHC1" s="87"/>
      <c r="KHD1" s="87"/>
      <c r="KHE1" s="87"/>
      <c r="KHF1" s="87"/>
      <c r="KHG1" s="87"/>
      <c r="KHH1" s="87"/>
      <c r="KHI1" s="87"/>
      <c r="KHJ1" s="87"/>
      <c r="KHK1" s="87"/>
      <c r="KHL1" s="87"/>
      <c r="KHM1" s="87"/>
      <c r="KHN1" s="87"/>
      <c r="KHO1" s="87"/>
      <c r="KHP1" s="87"/>
      <c r="KHQ1" s="87"/>
      <c r="KHR1" s="87"/>
      <c r="KHS1" s="87"/>
      <c r="KHT1" s="87"/>
      <c r="KHU1" s="87"/>
      <c r="KHV1" s="87"/>
      <c r="KHW1" s="87"/>
      <c r="KHX1" s="87"/>
      <c r="KHY1" s="87"/>
      <c r="KHZ1" s="87"/>
      <c r="KIA1" s="87"/>
      <c r="KIB1" s="87"/>
      <c r="KIC1" s="87"/>
      <c r="KID1" s="87"/>
      <c r="KIE1" s="87"/>
      <c r="KIF1" s="87"/>
      <c r="KIG1" s="87"/>
      <c r="KIH1" s="87"/>
      <c r="KII1" s="87"/>
      <c r="KIJ1" s="87"/>
      <c r="KIK1" s="87"/>
      <c r="KIL1" s="87"/>
      <c r="KIM1" s="87"/>
      <c r="KIN1" s="87"/>
      <c r="KIO1" s="87"/>
      <c r="KIP1" s="87"/>
      <c r="KIQ1" s="87"/>
      <c r="KIR1" s="87"/>
      <c r="KIS1" s="87"/>
      <c r="KIT1" s="87"/>
      <c r="KIU1" s="87"/>
      <c r="KIV1" s="87"/>
      <c r="KIW1" s="87"/>
      <c r="KIX1" s="87"/>
      <c r="KIY1" s="87"/>
      <c r="KIZ1" s="87"/>
      <c r="KJA1" s="87"/>
      <c r="KJB1" s="87"/>
      <c r="KJC1" s="87"/>
      <c r="KJD1" s="87"/>
      <c r="KJE1" s="87"/>
      <c r="KJF1" s="87"/>
      <c r="KJG1" s="87"/>
      <c r="KJH1" s="87"/>
      <c r="KJI1" s="87"/>
      <c r="KJJ1" s="87"/>
      <c r="KJK1" s="87"/>
      <c r="KJL1" s="87"/>
      <c r="KJM1" s="87"/>
      <c r="KJN1" s="87"/>
      <c r="KJO1" s="87"/>
      <c r="KJP1" s="87"/>
      <c r="KJQ1" s="87"/>
      <c r="KJR1" s="87"/>
      <c r="KJS1" s="87"/>
      <c r="KJT1" s="87"/>
      <c r="KJU1" s="87"/>
      <c r="KJV1" s="87"/>
      <c r="KJW1" s="87"/>
      <c r="KJX1" s="87"/>
      <c r="KJY1" s="87"/>
      <c r="KJZ1" s="87"/>
      <c r="KKA1" s="87"/>
      <c r="KKB1" s="87"/>
      <c r="KKC1" s="87"/>
      <c r="KKD1" s="87"/>
      <c r="KKE1" s="87"/>
      <c r="KKF1" s="87"/>
      <c r="KKG1" s="87"/>
      <c r="KKH1" s="87"/>
      <c r="KKI1" s="87"/>
      <c r="KKJ1" s="87"/>
      <c r="KKK1" s="87"/>
      <c r="KKL1" s="87"/>
      <c r="KKM1" s="87"/>
      <c r="KKN1" s="87"/>
      <c r="KKO1" s="87"/>
      <c r="KKP1" s="87"/>
      <c r="KKQ1" s="87"/>
      <c r="KKR1" s="87"/>
      <c r="KKS1" s="87"/>
      <c r="KKT1" s="87"/>
      <c r="KKU1" s="87"/>
      <c r="KKV1" s="87"/>
      <c r="KKW1" s="87"/>
      <c r="KKX1" s="87"/>
      <c r="KKY1" s="87"/>
      <c r="KKZ1" s="87"/>
      <c r="KLA1" s="87"/>
      <c r="KLB1" s="87"/>
      <c r="KLC1" s="87"/>
      <c r="KLD1" s="87"/>
      <c r="KLE1" s="87"/>
      <c r="KLF1" s="87"/>
      <c r="KLG1" s="87"/>
      <c r="KLH1" s="87"/>
      <c r="KLI1" s="87"/>
      <c r="KLJ1" s="87"/>
      <c r="KLK1" s="87"/>
      <c r="KLL1" s="87"/>
      <c r="KLM1" s="87"/>
      <c r="KLN1" s="87"/>
      <c r="KLO1" s="87"/>
      <c r="KLP1" s="87"/>
      <c r="KLQ1" s="87"/>
      <c r="KLR1" s="87"/>
      <c r="KLS1" s="87"/>
      <c r="KLT1" s="87"/>
      <c r="KLU1" s="87"/>
      <c r="KLV1" s="87"/>
      <c r="KLW1" s="87"/>
      <c r="KLX1" s="87"/>
      <c r="KLY1" s="87"/>
      <c r="KLZ1" s="87"/>
      <c r="KMA1" s="87"/>
      <c r="KMB1" s="87"/>
      <c r="KMC1" s="87"/>
      <c r="KMD1" s="87"/>
      <c r="KME1" s="87"/>
      <c r="KMF1" s="87"/>
      <c r="KMG1" s="87"/>
      <c r="KMH1" s="87"/>
      <c r="KMI1" s="87"/>
      <c r="KMJ1" s="87"/>
      <c r="KMK1" s="87"/>
      <c r="KML1" s="87"/>
      <c r="KMM1" s="87"/>
      <c r="KMN1" s="87"/>
      <c r="KMO1" s="87"/>
      <c r="KMP1" s="87"/>
      <c r="KMQ1" s="87"/>
      <c r="KMR1" s="87"/>
      <c r="KMS1" s="87"/>
      <c r="KMT1" s="87"/>
      <c r="KMU1" s="87"/>
      <c r="KMV1" s="87"/>
      <c r="KMW1" s="87"/>
      <c r="KMX1" s="87"/>
      <c r="KMY1" s="87"/>
      <c r="KMZ1" s="87"/>
      <c r="KNA1" s="87"/>
      <c r="KNB1" s="87"/>
      <c r="KNC1" s="87"/>
      <c r="KND1" s="87"/>
      <c r="KNE1" s="87"/>
      <c r="KNF1" s="87"/>
      <c r="KNG1" s="87"/>
      <c r="KNH1" s="87"/>
      <c r="KNI1" s="87"/>
      <c r="KNJ1" s="87"/>
      <c r="KNK1" s="87"/>
      <c r="KNL1" s="87"/>
      <c r="KNM1" s="87"/>
      <c r="KNN1" s="87"/>
      <c r="KNO1" s="87"/>
      <c r="KNP1" s="87"/>
      <c r="KNQ1" s="87"/>
      <c r="KNR1" s="87"/>
      <c r="KNS1" s="87"/>
      <c r="KNT1" s="87"/>
      <c r="KNU1" s="87"/>
      <c r="KNV1" s="87"/>
      <c r="KNW1" s="87"/>
      <c r="KNX1" s="87"/>
      <c r="KNY1" s="87"/>
      <c r="KNZ1" s="87"/>
      <c r="KOA1" s="87"/>
      <c r="KOB1" s="87"/>
      <c r="KOC1" s="87"/>
      <c r="KOD1" s="87"/>
      <c r="KOE1" s="87"/>
      <c r="KOF1" s="87"/>
      <c r="KOG1" s="87"/>
      <c r="KOH1" s="87"/>
      <c r="KOI1" s="87"/>
      <c r="KOJ1" s="87"/>
      <c r="KOK1" s="87"/>
      <c r="KOL1" s="87"/>
      <c r="KOM1" s="87"/>
      <c r="KON1" s="87"/>
      <c r="KOO1" s="87"/>
      <c r="KOP1" s="87"/>
      <c r="KOQ1" s="87"/>
      <c r="KOR1" s="87"/>
      <c r="KOS1" s="87"/>
      <c r="KOT1" s="87"/>
      <c r="KOU1" s="87"/>
      <c r="KOV1" s="87"/>
      <c r="KOW1" s="87"/>
      <c r="KOX1" s="87"/>
      <c r="KOY1" s="87"/>
      <c r="KOZ1" s="87"/>
      <c r="KPA1" s="87"/>
      <c r="KPB1" s="87"/>
      <c r="KPC1" s="87"/>
      <c r="KPD1" s="87"/>
      <c r="KPE1" s="87"/>
      <c r="KPF1" s="87"/>
      <c r="KPG1" s="87"/>
      <c r="KPH1" s="87"/>
      <c r="KPI1" s="87"/>
      <c r="KPJ1" s="87"/>
      <c r="KPK1" s="87"/>
      <c r="KPL1" s="87"/>
      <c r="KPM1" s="87"/>
      <c r="KPN1" s="87"/>
      <c r="KPO1" s="87"/>
      <c r="KPP1" s="87"/>
      <c r="KPQ1" s="87"/>
      <c r="KPR1" s="87"/>
      <c r="KPS1" s="87"/>
      <c r="KPT1" s="87"/>
      <c r="KPU1" s="87"/>
      <c r="KPV1" s="87"/>
      <c r="KPW1" s="87"/>
      <c r="KPX1" s="87"/>
      <c r="KPY1" s="87"/>
      <c r="KPZ1" s="87"/>
      <c r="KQA1" s="87"/>
      <c r="KQB1" s="87"/>
      <c r="KQC1" s="87"/>
      <c r="KQD1" s="87"/>
      <c r="KQE1" s="87"/>
      <c r="KQF1" s="87"/>
      <c r="KQG1" s="87"/>
      <c r="KQH1" s="87"/>
      <c r="KQI1" s="87"/>
      <c r="KQJ1" s="87"/>
      <c r="KQK1" s="87"/>
      <c r="KQL1" s="87"/>
      <c r="KQM1" s="87"/>
      <c r="KQN1" s="87"/>
      <c r="KQO1" s="87"/>
      <c r="KQP1" s="87"/>
      <c r="KQQ1" s="87"/>
      <c r="KQR1" s="87"/>
      <c r="KQS1" s="87"/>
      <c r="KQT1" s="87"/>
      <c r="KQU1" s="87"/>
      <c r="KQV1" s="87"/>
      <c r="KQW1" s="87"/>
      <c r="KQX1" s="87"/>
      <c r="KQY1" s="87"/>
      <c r="KQZ1" s="87"/>
      <c r="KRA1" s="87"/>
      <c r="KRB1" s="87"/>
      <c r="KRC1" s="87"/>
      <c r="KRD1" s="87"/>
      <c r="KRE1" s="87"/>
      <c r="KRF1" s="87"/>
      <c r="KRG1" s="87"/>
      <c r="KRH1" s="87"/>
      <c r="KRI1" s="87"/>
      <c r="KRJ1" s="87"/>
      <c r="KRK1" s="87"/>
      <c r="KRL1" s="87"/>
      <c r="KRM1" s="87"/>
      <c r="KRN1" s="87"/>
      <c r="KRO1" s="87"/>
      <c r="KRP1" s="87"/>
      <c r="KRQ1" s="87"/>
      <c r="KRR1" s="87"/>
      <c r="KRS1" s="87"/>
      <c r="KRT1" s="87"/>
      <c r="KRU1" s="87"/>
      <c r="KRV1" s="87"/>
      <c r="KRW1" s="87"/>
      <c r="KRX1" s="87"/>
      <c r="KRY1" s="87"/>
      <c r="KRZ1" s="87"/>
      <c r="KSA1" s="87"/>
      <c r="KSB1" s="87"/>
      <c r="KSC1" s="87"/>
      <c r="KSD1" s="87"/>
      <c r="KSE1" s="87"/>
      <c r="KSF1" s="87"/>
      <c r="KSG1" s="87"/>
      <c r="KSH1" s="87"/>
      <c r="KSI1" s="87"/>
      <c r="KSJ1" s="87"/>
      <c r="KSK1" s="87"/>
      <c r="KSL1" s="87"/>
      <c r="KSM1" s="87"/>
      <c r="KSN1" s="87"/>
      <c r="KSO1" s="87"/>
      <c r="KSP1" s="87"/>
      <c r="KSQ1" s="87"/>
      <c r="KSR1" s="87"/>
      <c r="KSS1" s="87"/>
      <c r="KST1" s="87"/>
      <c r="KSU1" s="87"/>
      <c r="KSV1" s="87"/>
      <c r="KSW1" s="87"/>
      <c r="KSX1" s="87"/>
      <c r="KSY1" s="87"/>
      <c r="KSZ1" s="87"/>
      <c r="KTA1" s="87"/>
      <c r="KTB1" s="87"/>
      <c r="KTC1" s="87"/>
      <c r="KTD1" s="87"/>
      <c r="KTE1" s="87"/>
      <c r="KTF1" s="87"/>
      <c r="KTG1" s="87"/>
      <c r="KTH1" s="87"/>
      <c r="KTI1" s="87"/>
      <c r="KTJ1" s="87"/>
      <c r="KTK1" s="87"/>
      <c r="KTL1" s="87"/>
      <c r="KTM1" s="87"/>
      <c r="KTN1" s="87"/>
      <c r="KTO1" s="87"/>
      <c r="KTP1" s="87"/>
      <c r="KTQ1" s="87"/>
      <c r="KTR1" s="87"/>
      <c r="KTS1" s="87"/>
      <c r="KTT1" s="87"/>
      <c r="KTU1" s="87"/>
      <c r="KTV1" s="87"/>
      <c r="KTW1" s="87"/>
      <c r="KTX1" s="87"/>
      <c r="KTY1" s="87"/>
      <c r="KTZ1" s="87"/>
      <c r="KUA1" s="87"/>
      <c r="KUB1" s="87"/>
      <c r="KUC1" s="87"/>
      <c r="KUD1" s="87"/>
      <c r="KUE1" s="87"/>
      <c r="KUF1" s="87"/>
      <c r="KUG1" s="87"/>
      <c r="KUH1" s="87"/>
      <c r="KUI1" s="87"/>
      <c r="KUJ1" s="87"/>
      <c r="KUK1" s="87"/>
      <c r="KUL1" s="87"/>
      <c r="KUM1" s="87"/>
      <c r="KUN1" s="87"/>
      <c r="KUO1" s="87"/>
      <c r="KUP1" s="87"/>
      <c r="KUQ1" s="87"/>
      <c r="KUR1" s="87"/>
      <c r="KUS1" s="87"/>
      <c r="KUT1" s="87"/>
      <c r="KUU1" s="87"/>
      <c r="KUV1" s="87"/>
      <c r="KUW1" s="87"/>
      <c r="KUX1" s="87"/>
      <c r="KUY1" s="87"/>
      <c r="KUZ1" s="87"/>
      <c r="KVA1" s="87"/>
      <c r="KVB1" s="87"/>
      <c r="KVC1" s="87"/>
      <c r="KVD1" s="87"/>
      <c r="KVE1" s="87"/>
      <c r="KVF1" s="87"/>
      <c r="KVG1" s="87"/>
      <c r="KVH1" s="87"/>
      <c r="KVI1" s="87"/>
      <c r="KVJ1" s="87"/>
      <c r="KVK1" s="87"/>
      <c r="KVL1" s="87"/>
      <c r="KVM1" s="87"/>
      <c r="KVN1" s="87"/>
      <c r="KVO1" s="87"/>
      <c r="KVP1" s="87"/>
      <c r="KVQ1" s="87"/>
      <c r="KVR1" s="87"/>
      <c r="KVS1" s="87"/>
      <c r="KVT1" s="87"/>
      <c r="KVU1" s="87"/>
      <c r="KVV1" s="87"/>
      <c r="KVW1" s="87"/>
      <c r="KVX1" s="87"/>
      <c r="KVY1" s="87"/>
      <c r="KVZ1" s="87"/>
      <c r="KWA1" s="87"/>
      <c r="KWB1" s="87"/>
      <c r="KWC1" s="87"/>
      <c r="KWD1" s="87"/>
      <c r="KWE1" s="87"/>
      <c r="KWF1" s="87"/>
      <c r="KWG1" s="87"/>
      <c r="KWH1" s="87"/>
      <c r="KWI1" s="87"/>
      <c r="KWJ1" s="87"/>
      <c r="KWK1" s="87"/>
      <c r="KWL1" s="87"/>
      <c r="KWM1" s="87"/>
      <c r="KWN1" s="87"/>
      <c r="KWO1" s="87"/>
      <c r="KWP1" s="87"/>
      <c r="KWQ1" s="87"/>
      <c r="KWR1" s="87"/>
      <c r="KWS1" s="87"/>
      <c r="KWT1" s="87"/>
      <c r="KWU1" s="87"/>
      <c r="KWV1" s="87"/>
      <c r="KWW1" s="87"/>
      <c r="KWX1" s="87"/>
      <c r="KWY1" s="87"/>
      <c r="KWZ1" s="87"/>
      <c r="KXA1" s="87"/>
      <c r="KXB1" s="87"/>
      <c r="KXC1" s="87"/>
      <c r="KXD1" s="87"/>
      <c r="KXE1" s="87"/>
      <c r="KXF1" s="87"/>
      <c r="KXG1" s="87"/>
      <c r="KXH1" s="87"/>
      <c r="KXI1" s="87"/>
      <c r="KXJ1" s="87"/>
      <c r="KXK1" s="87"/>
      <c r="KXL1" s="87"/>
      <c r="KXM1" s="87"/>
      <c r="KXN1" s="87"/>
      <c r="KXO1" s="87"/>
      <c r="KXP1" s="87"/>
      <c r="KXQ1" s="87"/>
      <c r="KXR1" s="87"/>
      <c r="KXS1" s="87"/>
      <c r="KXT1" s="87"/>
      <c r="KXU1" s="87"/>
      <c r="KXV1" s="87"/>
      <c r="KXW1" s="87"/>
      <c r="KXX1" s="87"/>
      <c r="KXY1" s="87"/>
      <c r="KXZ1" s="87"/>
      <c r="KYA1" s="87"/>
      <c r="KYB1" s="87"/>
      <c r="KYC1" s="87"/>
      <c r="KYD1" s="87"/>
      <c r="KYE1" s="87"/>
      <c r="KYF1" s="87"/>
      <c r="KYG1" s="87"/>
      <c r="KYH1" s="87"/>
      <c r="KYI1" s="87"/>
      <c r="KYJ1" s="87"/>
      <c r="KYK1" s="87"/>
      <c r="KYL1" s="87"/>
      <c r="KYM1" s="87"/>
      <c r="KYN1" s="87"/>
      <c r="KYO1" s="87"/>
      <c r="KYP1" s="87"/>
      <c r="KYQ1" s="87"/>
      <c r="KYR1" s="87"/>
      <c r="KYS1" s="87"/>
      <c r="KYT1" s="87"/>
      <c r="KYU1" s="87"/>
      <c r="KYV1" s="87"/>
      <c r="KYW1" s="87"/>
      <c r="KYX1" s="87"/>
      <c r="KYY1" s="87"/>
      <c r="KYZ1" s="87"/>
      <c r="KZA1" s="87"/>
      <c r="KZB1" s="87"/>
      <c r="KZC1" s="87"/>
      <c r="KZD1" s="87"/>
      <c r="KZE1" s="87"/>
      <c r="KZF1" s="87"/>
      <c r="KZG1" s="87"/>
      <c r="KZH1" s="87"/>
      <c r="KZI1" s="87"/>
      <c r="KZJ1" s="87"/>
      <c r="KZK1" s="87"/>
      <c r="KZL1" s="87"/>
      <c r="KZM1" s="87"/>
      <c r="KZN1" s="87"/>
      <c r="KZO1" s="87"/>
      <c r="KZP1" s="87"/>
      <c r="KZQ1" s="87"/>
      <c r="KZR1" s="87"/>
      <c r="KZS1" s="87"/>
      <c r="KZT1" s="87"/>
      <c r="KZU1" s="87"/>
      <c r="KZV1" s="87"/>
      <c r="KZW1" s="87"/>
      <c r="KZX1" s="87"/>
      <c r="KZY1" s="87"/>
      <c r="KZZ1" s="87"/>
      <c r="LAA1" s="87"/>
      <c r="LAB1" s="87"/>
      <c r="LAC1" s="87"/>
      <c r="LAD1" s="87"/>
      <c r="LAE1" s="87"/>
      <c r="LAF1" s="87"/>
      <c r="LAG1" s="87"/>
      <c r="LAH1" s="87"/>
      <c r="LAI1" s="87"/>
      <c r="LAJ1" s="87"/>
      <c r="LAK1" s="87"/>
      <c r="LAL1" s="87"/>
      <c r="LAM1" s="87"/>
      <c r="LAN1" s="87"/>
      <c r="LAO1" s="87"/>
      <c r="LAP1" s="87"/>
      <c r="LAQ1" s="87"/>
      <c r="LAR1" s="87"/>
      <c r="LAS1" s="87"/>
      <c r="LAT1" s="87"/>
      <c r="LAU1" s="87"/>
      <c r="LAV1" s="87"/>
      <c r="LAW1" s="87"/>
      <c r="LAX1" s="87"/>
      <c r="LAY1" s="87"/>
      <c r="LAZ1" s="87"/>
      <c r="LBA1" s="87"/>
      <c r="LBB1" s="87"/>
      <c r="LBC1" s="87"/>
      <c r="LBD1" s="87"/>
      <c r="LBE1" s="87"/>
      <c r="LBF1" s="87"/>
      <c r="LBG1" s="87"/>
      <c r="LBH1" s="87"/>
      <c r="LBI1" s="87"/>
      <c r="LBJ1" s="87"/>
      <c r="LBK1" s="87"/>
      <c r="LBL1" s="87"/>
      <c r="LBM1" s="87"/>
      <c r="LBN1" s="87"/>
      <c r="LBO1" s="87"/>
      <c r="LBP1" s="87"/>
      <c r="LBQ1" s="87"/>
      <c r="LBR1" s="87"/>
      <c r="LBS1" s="87"/>
      <c r="LBT1" s="87"/>
      <c r="LBU1" s="87"/>
      <c r="LBV1" s="87"/>
      <c r="LBW1" s="87"/>
      <c r="LBX1" s="87"/>
      <c r="LBY1" s="87"/>
      <c r="LBZ1" s="87"/>
      <c r="LCA1" s="87"/>
      <c r="LCB1" s="87"/>
      <c r="LCC1" s="87"/>
      <c r="LCD1" s="87"/>
      <c r="LCE1" s="87"/>
      <c r="LCF1" s="87"/>
      <c r="LCG1" s="87"/>
      <c r="LCH1" s="87"/>
      <c r="LCI1" s="87"/>
      <c r="LCJ1" s="87"/>
      <c r="LCK1" s="87"/>
      <c r="LCL1" s="87"/>
      <c r="LCM1" s="87"/>
      <c r="LCN1" s="87"/>
      <c r="LCO1" s="87"/>
      <c r="LCP1" s="87"/>
      <c r="LCQ1" s="87"/>
      <c r="LCR1" s="87"/>
      <c r="LCS1" s="87"/>
      <c r="LCT1" s="87"/>
      <c r="LCU1" s="87"/>
      <c r="LCV1" s="87"/>
      <c r="LCW1" s="87"/>
      <c r="LCX1" s="87"/>
      <c r="LCY1" s="87"/>
      <c r="LCZ1" s="87"/>
      <c r="LDA1" s="87"/>
      <c r="LDB1" s="87"/>
      <c r="LDC1" s="87"/>
      <c r="LDD1" s="87"/>
      <c r="LDE1" s="87"/>
      <c r="LDF1" s="87"/>
      <c r="LDG1" s="87"/>
      <c r="LDH1" s="87"/>
      <c r="LDI1" s="87"/>
      <c r="LDJ1" s="87"/>
      <c r="LDK1" s="87"/>
      <c r="LDL1" s="87"/>
      <c r="LDM1" s="87"/>
      <c r="LDN1" s="87"/>
      <c r="LDO1" s="87"/>
      <c r="LDP1" s="87"/>
      <c r="LDQ1" s="87"/>
      <c r="LDR1" s="87"/>
      <c r="LDS1" s="87"/>
      <c r="LDT1" s="87"/>
      <c r="LDU1" s="87"/>
      <c r="LDV1" s="87"/>
      <c r="LDW1" s="87"/>
      <c r="LDX1" s="87"/>
      <c r="LDY1" s="87"/>
      <c r="LDZ1" s="87"/>
      <c r="LEA1" s="87"/>
      <c r="LEB1" s="87"/>
      <c r="LEC1" s="87"/>
      <c r="LED1" s="87"/>
      <c r="LEE1" s="87"/>
      <c r="LEF1" s="87"/>
      <c r="LEG1" s="87"/>
      <c r="LEH1" s="87"/>
      <c r="LEI1" s="87"/>
      <c r="LEJ1" s="87"/>
      <c r="LEK1" s="87"/>
      <c r="LEL1" s="87"/>
      <c r="LEM1" s="87"/>
      <c r="LEN1" s="87"/>
      <c r="LEO1" s="87"/>
      <c r="LEP1" s="87"/>
      <c r="LEQ1" s="87"/>
      <c r="LER1" s="87"/>
      <c r="LES1" s="87"/>
      <c r="LET1" s="87"/>
      <c r="LEU1" s="87"/>
      <c r="LEV1" s="87"/>
      <c r="LEW1" s="87"/>
      <c r="LEX1" s="87"/>
      <c r="LEY1" s="87"/>
      <c r="LEZ1" s="87"/>
      <c r="LFA1" s="87"/>
      <c r="LFB1" s="87"/>
      <c r="LFC1" s="87"/>
      <c r="LFD1" s="87"/>
      <c r="LFE1" s="87"/>
      <c r="LFF1" s="87"/>
      <c r="LFG1" s="87"/>
      <c r="LFH1" s="87"/>
      <c r="LFI1" s="87"/>
      <c r="LFJ1" s="87"/>
      <c r="LFK1" s="87"/>
      <c r="LFL1" s="87"/>
      <c r="LFM1" s="87"/>
      <c r="LFN1" s="87"/>
      <c r="LFO1" s="87"/>
      <c r="LFP1" s="87"/>
      <c r="LFQ1" s="87"/>
      <c r="LFR1" s="87"/>
      <c r="LFS1" s="87"/>
      <c r="LFT1" s="87"/>
      <c r="LFU1" s="87"/>
      <c r="LFV1" s="87"/>
      <c r="LFW1" s="87"/>
      <c r="LFX1" s="87"/>
      <c r="LFY1" s="87"/>
      <c r="LFZ1" s="87"/>
      <c r="LGA1" s="87"/>
      <c r="LGB1" s="87"/>
      <c r="LGC1" s="87"/>
      <c r="LGD1" s="87"/>
      <c r="LGE1" s="87"/>
      <c r="LGF1" s="87"/>
      <c r="LGG1" s="87"/>
      <c r="LGH1" s="87"/>
      <c r="LGI1" s="87"/>
      <c r="LGJ1" s="87"/>
      <c r="LGK1" s="87"/>
      <c r="LGL1" s="87"/>
      <c r="LGM1" s="87"/>
      <c r="LGN1" s="87"/>
      <c r="LGO1" s="87"/>
      <c r="LGP1" s="87"/>
      <c r="LGQ1" s="87"/>
      <c r="LGR1" s="87"/>
      <c r="LGS1" s="87"/>
      <c r="LGT1" s="87"/>
      <c r="LGU1" s="87"/>
      <c r="LGV1" s="87"/>
      <c r="LGW1" s="87"/>
      <c r="LGX1" s="87"/>
      <c r="LGY1" s="87"/>
      <c r="LGZ1" s="87"/>
      <c r="LHA1" s="87"/>
      <c r="LHB1" s="87"/>
      <c r="LHC1" s="87"/>
      <c r="LHD1" s="87"/>
      <c r="LHE1" s="87"/>
      <c r="LHF1" s="87"/>
      <c r="LHG1" s="87"/>
      <c r="LHH1" s="87"/>
      <c r="LHI1" s="87"/>
      <c r="LHJ1" s="87"/>
      <c r="LHK1" s="87"/>
      <c r="LHL1" s="87"/>
      <c r="LHM1" s="87"/>
      <c r="LHN1" s="87"/>
      <c r="LHO1" s="87"/>
      <c r="LHP1" s="87"/>
      <c r="LHQ1" s="87"/>
      <c r="LHR1" s="87"/>
      <c r="LHS1" s="87"/>
      <c r="LHT1" s="87"/>
      <c r="LHU1" s="87"/>
      <c r="LHV1" s="87"/>
      <c r="LHW1" s="87"/>
      <c r="LHX1" s="87"/>
      <c r="LHY1" s="87"/>
      <c r="LHZ1" s="87"/>
      <c r="LIA1" s="87"/>
      <c r="LIB1" s="87"/>
      <c r="LIC1" s="87"/>
      <c r="LID1" s="87"/>
      <c r="LIE1" s="87"/>
      <c r="LIF1" s="87"/>
      <c r="LIG1" s="87"/>
      <c r="LIH1" s="87"/>
      <c r="LII1" s="87"/>
      <c r="LIJ1" s="87"/>
      <c r="LIK1" s="87"/>
      <c r="LIL1" s="87"/>
      <c r="LIM1" s="87"/>
      <c r="LIN1" s="87"/>
      <c r="LIO1" s="87"/>
      <c r="LIP1" s="87"/>
      <c r="LIQ1" s="87"/>
      <c r="LIR1" s="87"/>
      <c r="LIS1" s="87"/>
      <c r="LIT1" s="87"/>
      <c r="LIU1" s="87"/>
      <c r="LIV1" s="87"/>
      <c r="LIW1" s="87"/>
      <c r="LIX1" s="87"/>
      <c r="LIY1" s="87"/>
      <c r="LIZ1" s="87"/>
      <c r="LJA1" s="87"/>
      <c r="LJB1" s="87"/>
      <c r="LJC1" s="87"/>
      <c r="LJD1" s="87"/>
      <c r="LJE1" s="87"/>
      <c r="LJF1" s="87"/>
      <c r="LJG1" s="87"/>
      <c r="LJH1" s="87"/>
      <c r="LJI1" s="87"/>
      <c r="LJJ1" s="87"/>
      <c r="LJK1" s="87"/>
      <c r="LJL1" s="87"/>
      <c r="LJM1" s="87"/>
      <c r="LJN1" s="87"/>
      <c r="LJO1" s="87"/>
      <c r="LJP1" s="87"/>
      <c r="LJQ1" s="87"/>
      <c r="LJR1" s="87"/>
      <c r="LJS1" s="87"/>
      <c r="LJT1" s="87"/>
      <c r="LJU1" s="87"/>
      <c r="LJV1" s="87"/>
      <c r="LJW1" s="87"/>
      <c r="LJX1" s="87"/>
      <c r="LJY1" s="87"/>
      <c r="LJZ1" s="87"/>
      <c r="LKA1" s="87"/>
      <c r="LKB1" s="87"/>
      <c r="LKC1" s="87"/>
      <c r="LKD1" s="87"/>
      <c r="LKE1" s="87"/>
      <c r="LKF1" s="87"/>
      <c r="LKG1" s="87"/>
      <c r="LKH1" s="87"/>
      <c r="LKI1" s="87"/>
      <c r="LKJ1" s="87"/>
      <c r="LKK1" s="87"/>
      <c r="LKL1" s="87"/>
      <c r="LKM1" s="87"/>
      <c r="LKN1" s="87"/>
      <c r="LKO1" s="87"/>
      <c r="LKP1" s="87"/>
      <c r="LKQ1" s="87"/>
      <c r="LKR1" s="87"/>
      <c r="LKS1" s="87"/>
      <c r="LKT1" s="87"/>
      <c r="LKU1" s="87"/>
      <c r="LKV1" s="87"/>
      <c r="LKW1" s="87"/>
      <c r="LKX1" s="87"/>
      <c r="LKY1" s="87"/>
      <c r="LKZ1" s="87"/>
      <c r="LLA1" s="87"/>
      <c r="LLB1" s="87"/>
      <c r="LLC1" s="87"/>
      <c r="LLD1" s="87"/>
      <c r="LLE1" s="87"/>
      <c r="LLF1" s="87"/>
      <c r="LLG1" s="87"/>
      <c r="LLH1" s="87"/>
      <c r="LLI1" s="87"/>
      <c r="LLJ1" s="87"/>
      <c r="LLK1" s="87"/>
      <c r="LLL1" s="87"/>
      <c r="LLM1" s="87"/>
      <c r="LLN1" s="87"/>
      <c r="LLO1" s="87"/>
      <c r="LLP1" s="87"/>
      <c r="LLQ1" s="87"/>
      <c r="LLR1" s="87"/>
      <c r="LLS1" s="87"/>
      <c r="LLT1" s="87"/>
      <c r="LLU1" s="87"/>
      <c r="LLV1" s="87"/>
      <c r="LLW1" s="87"/>
      <c r="LLX1" s="87"/>
      <c r="LLY1" s="87"/>
      <c r="LLZ1" s="87"/>
      <c r="LMA1" s="87"/>
      <c r="LMB1" s="87"/>
      <c r="LMC1" s="87"/>
      <c r="LMD1" s="87"/>
      <c r="LME1" s="87"/>
      <c r="LMF1" s="87"/>
      <c r="LMG1" s="87"/>
      <c r="LMH1" s="87"/>
      <c r="LMI1" s="87"/>
      <c r="LMJ1" s="87"/>
      <c r="LMK1" s="87"/>
      <c r="LML1" s="87"/>
      <c r="LMM1" s="87"/>
      <c r="LMN1" s="87"/>
      <c r="LMO1" s="87"/>
      <c r="LMP1" s="87"/>
      <c r="LMQ1" s="87"/>
      <c r="LMR1" s="87"/>
      <c r="LMS1" s="87"/>
      <c r="LMT1" s="87"/>
      <c r="LMU1" s="87"/>
      <c r="LMV1" s="87"/>
      <c r="LMW1" s="87"/>
      <c r="LMX1" s="87"/>
      <c r="LMY1" s="87"/>
      <c r="LMZ1" s="87"/>
      <c r="LNA1" s="87"/>
      <c r="LNB1" s="87"/>
      <c r="LNC1" s="87"/>
      <c r="LND1" s="87"/>
      <c r="LNE1" s="87"/>
      <c r="LNF1" s="87"/>
      <c r="LNG1" s="87"/>
      <c r="LNH1" s="87"/>
      <c r="LNI1" s="87"/>
      <c r="LNJ1" s="87"/>
      <c r="LNK1" s="87"/>
      <c r="LNL1" s="87"/>
      <c r="LNM1" s="87"/>
      <c r="LNN1" s="87"/>
      <c r="LNO1" s="87"/>
      <c r="LNP1" s="87"/>
      <c r="LNQ1" s="87"/>
      <c r="LNR1" s="87"/>
      <c r="LNS1" s="87"/>
      <c r="LNT1" s="87"/>
      <c r="LNU1" s="87"/>
      <c r="LNV1" s="87"/>
      <c r="LNW1" s="87"/>
      <c r="LNX1" s="87"/>
      <c r="LNY1" s="87"/>
      <c r="LNZ1" s="87"/>
      <c r="LOA1" s="87"/>
      <c r="LOB1" s="87"/>
      <c r="LOC1" s="87"/>
      <c r="LOD1" s="87"/>
      <c r="LOE1" s="87"/>
      <c r="LOF1" s="87"/>
      <c r="LOG1" s="87"/>
      <c r="LOH1" s="87"/>
      <c r="LOI1" s="87"/>
      <c r="LOJ1" s="87"/>
      <c r="LOK1" s="87"/>
      <c r="LOL1" s="87"/>
      <c r="LOM1" s="87"/>
      <c r="LON1" s="87"/>
      <c r="LOO1" s="87"/>
      <c r="LOP1" s="87"/>
      <c r="LOQ1" s="87"/>
      <c r="LOR1" s="87"/>
      <c r="LOS1" s="87"/>
      <c r="LOT1" s="87"/>
      <c r="LOU1" s="87"/>
      <c r="LOV1" s="87"/>
      <c r="LOW1" s="87"/>
      <c r="LOX1" s="87"/>
      <c r="LOY1" s="87"/>
      <c r="LOZ1" s="87"/>
      <c r="LPA1" s="87"/>
      <c r="LPB1" s="87"/>
      <c r="LPC1" s="87"/>
      <c r="LPD1" s="87"/>
      <c r="LPE1" s="87"/>
      <c r="LPF1" s="87"/>
      <c r="LPG1" s="87"/>
      <c r="LPH1" s="87"/>
      <c r="LPI1" s="87"/>
      <c r="LPJ1" s="87"/>
      <c r="LPK1" s="87"/>
      <c r="LPL1" s="87"/>
      <c r="LPM1" s="87"/>
      <c r="LPN1" s="87"/>
      <c r="LPO1" s="87"/>
      <c r="LPP1" s="87"/>
      <c r="LPQ1" s="87"/>
      <c r="LPR1" s="87"/>
      <c r="LPS1" s="87"/>
      <c r="LPT1" s="87"/>
      <c r="LPU1" s="87"/>
      <c r="LPV1" s="87"/>
      <c r="LPW1" s="87"/>
      <c r="LPX1" s="87"/>
      <c r="LPY1" s="87"/>
      <c r="LPZ1" s="87"/>
      <c r="LQA1" s="87"/>
      <c r="LQB1" s="87"/>
      <c r="LQC1" s="87"/>
      <c r="LQD1" s="87"/>
      <c r="LQE1" s="87"/>
      <c r="LQF1" s="87"/>
      <c r="LQG1" s="87"/>
      <c r="LQH1" s="87"/>
      <c r="LQI1" s="87"/>
      <c r="LQJ1" s="87"/>
      <c r="LQK1" s="87"/>
      <c r="LQL1" s="87"/>
      <c r="LQM1" s="87"/>
      <c r="LQN1" s="87"/>
      <c r="LQO1" s="87"/>
      <c r="LQP1" s="87"/>
      <c r="LQQ1" s="87"/>
      <c r="LQR1" s="87"/>
      <c r="LQS1" s="87"/>
      <c r="LQT1" s="87"/>
      <c r="LQU1" s="87"/>
      <c r="LQV1" s="87"/>
      <c r="LQW1" s="87"/>
      <c r="LQX1" s="87"/>
      <c r="LQY1" s="87"/>
      <c r="LQZ1" s="87"/>
      <c r="LRA1" s="87"/>
      <c r="LRB1" s="87"/>
      <c r="LRC1" s="87"/>
      <c r="LRD1" s="87"/>
      <c r="LRE1" s="87"/>
      <c r="LRF1" s="87"/>
      <c r="LRG1" s="87"/>
      <c r="LRH1" s="87"/>
      <c r="LRI1" s="87"/>
      <c r="LRJ1" s="87"/>
      <c r="LRK1" s="87"/>
      <c r="LRL1" s="87"/>
      <c r="LRM1" s="87"/>
      <c r="LRN1" s="87"/>
      <c r="LRO1" s="87"/>
      <c r="LRP1" s="87"/>
      <c r="LRQ1" s="87"/>
      <c r="LRR1" s="87"/>
      <c r="LRS1" s="87"/>
      <c r="LRT1" s="87"/>
      <c r="LRU1" s="87"/>
      <c r="LRV1" s="87"/>
      <c r="LRW1" s="87"/>
      <c r="LRX1" s="87"/>
      <c r="LRY1" s="87"/>
      <c r="LRZ1" s="87"/>
      <c r="LSA1" s="87"/>
      <c r="LSB1" s="87"/>
      <c r="LSC1" s="87"/>
      <c r="LSD1" s="87"/>
      <c r="LSE1" s="87"/>
      <c r="LSF1" s="87"/>
      <c r="LSG1" s="87"/>
      <c r="LSH1" s="87"/>
      <c r="LSI1" s="87"/>
      <c r="LSJ1" s="87"/>
      <c r="LSK1" s="87"/>
      <c r="LSL1" s="87"/>
      <c r="LSM1" s="87"/>
      <c r="LSN1" s="87"/>
      <c r="LSO1" s="87"/>
      <c r="LSP1" s="87"/>
      <c r="LSQ1" s="87"/>
      <c r="LSR1" s="87"/>
      <c r="LSS1" s="87"/>
      <c r="LST1" s="87"/>
      <c r="LSU1" s="87"/>
      <c r="LSV1" s="87"/>
      <c r="LSW1" s="87"/>
      <c r="LSX1" s="87"/>
      <c r="LSY1" s="87"/>
      <c r="LSZ1" s="87"/>
      <c r="LTA1" s="87"/>
      <c r="LTB1" s="87"/>
      <c r="LTC1" s="87"/>
      <c r="LTD1" s="87"/>
      <c r="LTE1" s="87"/>
      <c r="LTF1" s="87"/>
      <c r="LTG1" s="87"/>
      <c r="LTH1" s="87"/>
      <c r="LTI1" s="87"/>
      <c r="LTJ1" s="87"/>
      <c r="LTK1" s="87"/>
      <c r="LTL1" s="87"/>
      <c r="LTM1" s="87"/>
      <c r="LTN1" s="87"/>
      <c r="LTO1" s="87"/>
      <c r="LTP1" s="87"/>
      <c r="LTQ1" s="87"/>
      <c r="LTR1" s="87"/>
      <c r="LTS1" s="87"/>
      <c r="LTT1" s="87"/>
      <c r="LTU1" s="87"/>
      <c r="LTV1" s="87"/>
      <c r="LTW1" s="87"/>
      <c r="LTX1" s="87"/>
      <c r="LTY1" s="87"/>
      <c r="LTZ1" s="87"/>
      <c r="LUA1" s="87"/>
      <c r="LUB1" s="87"/>
      <c r="LUC1" s="87"/>
      <c r="LUD1" s="87"/>
      <c r="LUE1" s="87"/>
      <c r="LUF1" s="87"/>
      <c r="LUG1" s="87"/>
      <c r="LUH1" s="87"/>
      <c r="LUI1" s="87"/>
      <c r="LUJ1" s="87"/>
      <c r="LUK1" s="87"/>
      <c r="LUL1" s="87"/>
      <c r="LUM1" s="87"/>
      <c r="LUN1" s="87"/>
      <c r="LUO1" s="87"/>
      <c r="LUP1" s="87"/>
      <c r="LUQ1" s="87"/>
      <c r="LUR1" s="87"/>
      <c r="LUS1" s="87"/>
      <c r="LUT1" s="87"/>
      <c r="LUU1" s="87"/>
      <c r="LUV1" s="87"/>
      <c r="LUW1" s="87"/>
      <c r="LUX1" s="87"/>
      <c r="LUY1" s="87"/>
      <c r="LUZ1" s="87"/>
      <c r="LVA1" s="87"/>
      <c r="LVB1" s="87"/>
      <c r="LVC1" s="87"/>
      <c r="LVD1" s="87"/>
      <c r="LVE1" s="87"/>
      <c r="LVF1" s="87"/>
      <c r="LVG1" s="87"/>
      <c r="LVH1" s="87"/>
      <c r="LVI1" s="87"/>
      <c r="LVJ1" s="87"/>
      <c r="LVK1" s="87"/>
      <c r="LVL1" s="87"/>
      <c r="LVM1" s="87"/>
      <c r="LVN1" s="87"/>
      <c r="LVO1" s="87"/>
      <c r="LVP1" s="87"/>
      <c r="LVQ1" s="87"/>
      <c r="LVR1" s="87"/>
      <c r="LVS1" s="87"/>
      <c r="LVT1" s="87"/>
      <c r="LVU1" s="87"/>
      <c r="LVV1" s="87"/>
      <c r="LVW1" s="87"/>
      <c r="LVX1" s="87"/>
      <c r="LVY1" s="87"/>
      <c r="LVZ1" s="87"/>
      <c r="LWA1" s="87"/>
      <c r="LWB1" s="87"/>
      <c r="LWC1" s="87"/>
      <c r="LWD1" s="87"/>
      <c r="LWE1" s="87"/>
      <c r="LWF1" s="87"/>
      <c r="LWG1" s="87"/>
      <c r="LWH1" s="87"/>
      <c r="LWI1" s="87"/>
      <c r="LWJ1" s="87"/>
      <c r="LWK1" s="87"/>
      <c r="LWL1" s="87"/>
      <c r="LWM1" s="87"/>
      <c r="LWN1" s="87"/>
      <c r="LWO1" s="87"/>
      <c r="LWP1" s="87"/>
      <c r="LWQ1" s="87"/>
      <c r="LWR1" s="87"/>
      <c r="LWS1" s="87"/>
      <c r="LWT1" s="87"/>
      <c r="LWU1" s="87"/>
      <c r="LWV1" s="87"/>
      <c r="LWW1" s="87"/>
      <c r="LWX1" s="87"/>
      <c r="LWY1" s="87"/>
      <c r="LWZ1" s="87"/>
      <c r="LXA1" s="87"/>
      <c r="LXB1" s="87"/>
      <c r="LXC1" s="87"/>
      <c r="LXD1" s="87"/>
      <c r="LXE1" s="87"/>
      <c r="LXF1" s="87"/>
      <c r="LXG1" s="87"/>
      <c r="LXH1" s="87"/>
      <c r="LXI1" s="87"/>
      <c r="LXJ1" s="87"/>
      <c r="LXK1" s="87"/>
      <c r="LXL1" s="87"/>
      <c r="LXM1" s="87"/>
      <c r="LXN1" s="87"/>
      <c r="LXO1" s="87"/>
      <c r="LXP1" s="87"/>
      <c r="LXQ1" s="87"/>
      <c r="LXR1" s="87"/>
      <c r="LXS1" s="87"/>
      <c r="LXT1" s="87"/>
      <c r="LXU1" s="87"/>
      <c r="LXV1" s="87"/>
      <c r="LXW1" s="87"/>
      <c r="LXX1" s="87"/>
      <c r="LXY1" s="87"/>
      <c r="LXZ1" s="87"/>
      <c r="LYA1" s="87"/>
      <c r="LYB1" s="87"/>
      <c r="LYC1" s="87"/>
      <c r="LYD1" s="87"/>
      <c r="LYE1" s="87"/>
      <c r="LYF1" s="87"/>
      <c r="LYG1" s="87"/>
      <c r="LYH1" s="87"/>
      <c r="LYI1" s="87"/>
      <c r="LYJ1" s="87"/>
      <c r="LYK1" s="87"/>
      <c r="LYL1" s="87"/>
      <c r="LYM1" s="87"/>
      <c r="LYN1" s="87"/>
      <c r="LYO1" s="87"/>
      <c r="LYP1" s="87"/>
      <c r="LYQ1" s="87"/>
      <c r="LYR1" s="87"/>
      <c r="LYS1" s="87"/>
      <c r="LYT1" s="87"/>
      <c r="LYU1" s="87"/>
      <c r="LYV1" s="87"/>
      <c r="LYW1" s="87"/>
      <c r="LYX1" s="87"/>
      <c r="LYY1" s="87"/>
      <c r="LYZ1" s="87"/>
      <c r="LZA1" s="87"/>
      <c r="LZB1" s="87"/>
      <c r="LZC1" s="87"/>
      <c r="LZD1" s="87"/>
      <c r="LZE1" s="87"/>
      <c r="LZF1" s="87"/>
      <c r="LZG1" s="87"/>
      <c r="LZH1" s="87"/>
      <c r="LZI1" s="87"/>
      <c r="LZJ1" s="87"/>
      <c r="LZK1" s="87"/>
      <c r="LZL1" s="87"/>
      <c r="LZM1" s="87"/>
      <c r="LZN1" s="87"/>
      <c r="LZO1" s="87"/>
      <c r="LZP1" s="87"/>
      <c r="LZQ1" s="87"/>
      <c r="LZR1" s="87"/>
      <c r="LZS1" s="87"/>
      <c r="LZT1" s="87"/>
      <c r="LZU1" s="87"/>
      <c r="LZV1" s="87"/>
      <c r="LZW1" s="87"/>
      <c r="LZX1" s="87"/>
      <c r="LZY1" s="87"/>
      <c r="LZZ1" s="87"/>
      <c r="MAA1" s="87"/>
      <c r="MAB1" s="87"/>
      <c r="MAC1" s="87"/>
      <c r="MAD1" s="87"/>
      <c r="MAE1" s="87"/>
      <c r="MAF1" s="87"/>
      <c r="MAG1" s="87"/>
      <c r="MAH1" s="87"/>
      <c r="MAI1" s="87"/>
      <c r="MAJ1" s="87"/>
      <c r="MAK1" s="87"/>
      <c r="MAL1" s="87"/>
      <c r="MAM1" s="87"/>
      <c r="MAN1" s="87"/>
      <c r="MAO1" s="87"/>
      <c r="MAP1" s="87"/>
      <c r="MAQ1" s="87"/>
      <c r="MAR1" s="87"/>
      <c r="MAS1" s="87"/>
      <c r="MAT1" s="87"/>
      <c r="MAU1" s="87"/>
      <c r="MAV1" s="87"/>
      <c r="MAW1" s="87"/>
      <c r="MAX1" s="87"/>
      <c r="MAY1" s="87"/>
      <c r="MAZ1" s="87"/>
      <c r="MBA1" s="87"/>
      <c r="MBB1" s="87"/>
      <c r="MBC1" s="87"/>
      <c r="MBD1" s="87"/>
      <c r="MBE1" s="87"/>
      <c r="MBF1" s="87"/>
      <c r="MBG1" s="87"/>
      <c r="MBH1" s="87"/>
      <c r="MBI1" s="87"/>
      <c r="MBJ1" s="87"/>
      <c r="MBK1" s="87"/>
      <c r="MBL1" s="87"/>
      <c r="MBM1" s="87"/>
      <c r="MBN1" s="87"/>
      <c r="MBO1" s="87"/>
      <c r="MBP1" s="87"/>
      <c r="MBQ1" s="87"/>
      <c r="MBR1" s="87"/>
      <c r="MBS1" s="87"/>
      <c r="MBT1" s="87"/>
      <c r="MBU1" s="87"/>
      <c r="MBV1" s="87"/>
      <c r="MBW1" s="87"/>
      <c r="MBX1" s="87"/>
      <c r="MBY1" s="87"/>
      <c r="MBZ1" s="87"/>
      <c r="MCA1" s="87"/>
      <c r="MCB1" s="87"/>
      <c r="MCC1" s="87"/>
      <c r="MCD1" s="87"/>
      <c r="MCE1" s="87"/>
      <c r="MCF1" s="87"/>
      <c r="MCG1" s="87"/>
      <c r="MCH1" s="87"/>
      <c r="MCI1" s="87"/>
      <c r="MCJ1" s="87"/>
      <c r="MCK1" s="87"/>
      <c r="MCL1" s="87"/>
      <c r="MCM1" s="87"/>
      <c r="MCN1" s="87"/>
      <c r="MCO1" s="87"/>
      <c r="MCP1" s="87"/>
      <c r="MCQ1" s="87"/>
      <c r="MCR1" s="87"/>
      <c r="MCS1" s="87"/>
      <c r="MCT1" s="87"/>
      <c r="MCU1" s="87"/>
      <c r="MCV1" s="87"/>
      <c r="MCW1" s="87"/>
      <c r="MCX1" s="87"/>
      <c r="MCY1" s="87"/>
      <c r="MCZ1" s="87"/>
      <c r="MDA1" s="87"/>
      <c r="MDB1" s="87"/>
      <c r="MDC1" s="87"/>
      <c r="MDD1" s="87"/>
      <c r="MDE1" s="87"/>
      <c r="MDF1" s="87"/>
      <c r="MDG1" s="87"/>
      <c r="MDH1" s="87"/>
      <c r="MDI1" s="87"/>
      <c r="MDJ1" s="87"/>
      <c r="MDK1" s="87"/>
      <c r="MDL1" s="87"/>
      <c r="MDM1" s="87"/>
      <c r="MDN1" s="87"/>
      <c r="MDO1" s="87"/>
      <c r="MDP1" s="87"/>
      <c r="MDQ1" s="87"/>
      <c r="MDR1" s="87"/>
      <c r="MDS1" s="87"/>
      <c r="MDT1" s="87"/>
      <c r="MDU1" s="87"/>
      <c r="MDV1" s="87"/>
      <c r="MDW1" s="87"/>
      <c r="MDX1" s="87"/>
      <c r="MDY1" s="87"/>
      <c r="MDZ1" s="87"/>
      <c r="MEA1" s="87"/>
      <c r="MEB1" s="87"/>
      <c r="MEC1" s="87"/>
      <c r="MED1" s="87"/>
      <c r="MEE1" s="87"/>
      <c r="MEF1" s="87"/>
      <c r="MEG1" s="87"/>
      <c r="MEH1" s="87"/>
      <c r="MEI1" s="87"/>
      <c r="MEJ1" s="87"/>
      <c r="MEK1" s="87"/>
      <c r="MEL1" s="87"/>
      <c r="MEM1" s="87"/>
      <c r="MEN1" s="87"/>
      <c r="MEO1" s="87"/>
      <c r="MEP1" s="87"/>
      <c r="MEQ1" s="87"/>
      <c r="MER1" s="87"/>
      <c r="MES1" s="87"/>
      <c r="MET1" s="87"/>
      <c r="MEU1" s="87"/>
      <c r="MEV1" s="87"/>
      <c r="MEW1" s="87"/>
      <c r="MEX1" s="87"/>
      <c r="MEY1" s="87"/>
      <c r="MEZ1" s="87"/>
      <c r="MFA1" s="87"/>
      <c r="MFB1" s="87"/>
      <c r="MFC1" s="87"/>
      <c r="MFD1" s="87"/>
      <c r="MFE1" s="87"/>
      <c r="MFF1" s="87"/>
      <c r="MFG1" s="87"/>
      <c r="MFH1" s="87"/>
      <c r="MFI1" s="87"/>
      <c r="MFJ1" s="87"/>
      <c r="MFK1" s="87"/>
      <c r="MFL1" s="87"/>
      <c r="MFM1" s="87"/>
      <c r="MFN1" s="87"/>
      <c r="MFO1" s="87"/>
      <c r="MFP1" s="87"/>
      <c r="MFQ1" s="87"/>
      <c r="MFR1" s="87"/>
      <c r="MFS1" s="87"/>
      <c r="MFT1" s="87"/>
      <c r="MFU1" s="87"/>
      <c r="MFV1" s="87"/>
      <c r="MFW1" s="87"/>
      <c r="MFX1" s="87"/>
      <c r="MFY1" s="87"/>
      <c r="MFZ1" s="87"/>
      <c r="MGA1" s="87"/>
      <c r="MGB1" s="87"/>
      <c r="MGC1" s="87"/>
      <c r="MGD1" s="87"/>
      <c r="MGE1" s="87"/>
      <c r="MGF1" s="87"/>
      <c r="MGG1" s="87"/>
      <c r="MGH1" s="87"/>
      <c r="MGI1" s="87"/>
      <c r="MGJ1" s="87"/>
      <c r="MGK1" s="87"/>
      <c r="MGL1" s="87"/>
      <c r="MGM1" s="87"/>
      <c r="MGN1" s="87"/>
      <c r="MGO1" s="87"/>
      <c r="MGP1" s="87"/>
      <c r="MGQ1" s="87"/>
      <c r="MGR1" s="87"/>
      <c r="MGS1" s="87"/>
      <c r="MGT1" s="87"/>
      <c r="MGU1" s="87"/>
      <c r="MGV1" s="87"/>
      <c r="MGW1" s="87"/>
      <c r="MGX1" s="87"/>
      <c r="MGY1" s="87"/>
      <c r="MGZ1" s="87"/>
      <c r="MHA1" s="87"/>
      <c r="MHB1" s="87"/>
      <c r="MHC1" s="87"/>
      <c r="MHD1" s="87"/>
      <c r="MHE1" s="87"/>
      <c r="MHF1" s="87"/>
      <c r="MHG1" s="87"/>
      <c r="MHH1" s="87"/>
      <c r="MHI1" s="87"/>
      <c r="MHJ1" s="87"/>
      <c r="MHK1" s="87"/>
      <c r="MHL1" s="87"/>
      <c r="MHM1" s="87"/>
      <c r="MHN1" s="87"/>
      <c r="MHO1" s="87"/>
      <c r="MHP1" s="87"/>
      <c r="MHQ1" s="87"/>
      <c r="MHR1" s="87"/>
      <c r="MHS1" s="87"/>
      <c r="MHT1" s="87"/>
      <c r="MHU1" s="87"/>
      <c r="MHV1" s="87"/>
      <c r="MHW1" s="87"/>
      <c r="MHX1" s="87"/>
      <c r="MHY1" s="87"/>
      <c r="MHZ1" s="87"/>
      <c r="MIA1" s="87"/>
      <c r="MIB1" s="87"/>
      <c r="MIC1" s="87"/>
      <c r="MID1" s="87"/>
      <c r="MIE1" s="87"/>
      <c r="MIF1" s="87"/>
      <c r="MIG1" s="87"/>
      <c r="MIH1" s="87"/>
      <c r="MII1" s="87"/>
      <c r="MIJ1" s="87"/>
      <c r="MIK1" s="87"/>
      <c r="MIL1" s="87"/>
      <c r="MIM1" s="87"/>
      <c r="MIN1" s="87"/>
      <c r="MIO1" s="87"/>
      <c r="MIP1" s="87"/>
      <c r="MIQ1" s="87"/>
      <c r="MIR1" s="87"/>
      <c r="MIS1" s="87"/>
      <c r="MIT1" s="87"/>
      <c r="MIU1" s="87"/>
      <c r="MIV1" s="87"/>
      <c r="MIW1" s="87"/>
      <c r="MIX1" s="87"/>
      <c r="MIY1" s="87"/>
      <c r="MIZ1" s="87"/>
      <c r="MJA1" s="87"/>
      <c r="MJB1" s="87"/>
      <c r="MJC1" s="87"/>
      <c r="MJD1" s="87"/>
      <c r="MJE1" s="87"/>
      <c r="MJF1" s="87"/>
      <c r="MJG1" s="87"/>
      <c r="MJH1" s="87"/>
      <c r="MJI1" s="87"/>
      <c r="MJJ1" s="87"/>
      <c r="MJK1" s="87"/>
      <c r="MJL1" s="87"/>
      <c r="MJM1" s="87"/>
      <c r="MJN1" s="87"/>
      <c r="MJO1" s="87"/>
      <c r="MJP1" s="87"/>
      <c r="MJQ1" s="87"/>
      <c r="MJR1" s="87"/>
      <c r="MJS1" s="87"/>
      <c r="MJT1" s="87"/>
      <c r="MJU1" s="87"/>
      <c r="MJV1" s="87"/>
      <c r="MJW1" s="87"/>
      <c r="MJX1" s="87"/>
      <c r="MJY1" s="87"/>
      <c r="MJZ1" s="87"/>
      <c r="MKA1" s="87"/>
      <c r="MKB1" s="87"/>
      <c r="MKC1" s="87"/>
      <c r="MKD1" s="87"/>
      <c r="MKE1" s="87"/>
      <c r="MKF1" s="87"/>
      <c r="MKG1" s="87"/>
      <c r="MKH1" s="87"/>
      <c r="MKI1" s="87"/>
      <c r="MKJ1" s="87"/>
      <c r="MKK1" s="87"/>
      <c r="MKL1" s="87"/>
      <c r="MKM1" s="87"/>
      <c r="MKN1" s="87"/>
      <c r="MKO1" s="87"/>
      <c r="MKP1" s="87"/>
      <c r="MKQ1" s="87"/>
      <c r="MKR1" s="87"/>
      <c r="MKS1" s="87"/>
      <c r="MKT1" s="87"/>
      <c r="MKU1" s="87"/>
      <c r="MKV1" s="87"/>
      <c r="MKW1" s="87"/>
      <c r="MKX1" s="87"/>
      <c r="MKY1" s="87"/>
      <c r="MKZ1" s="87"/>
      <c r="MLA1" s="87"/>
      <c r="MLB1" s="87"/>
      <c r="MLC1" s="87"/>
      <c r="MLD1" s="87"/>
      <c r="MLE1" s="87"/>
      <c r="MLF1" s="87"/>
      <c r="MLG1" s="87"/>
      <c r="MLH1" s="87"/>
      <c r="MLI1" s="87"/>
      <c r="MLJ1" s="87"/>
      <c r="MLK1" s="87"/>
      <c r="MLL1" s="87"/>
      <c r="MLM1" s="87"/>
      <c r="MLN1" s="87"/>
      <c r="MLO1" s="87"/>
      <c r="MLP1" s="87"/>
      <c r="MLQ1" s="87"/>
      <c r="MLR1" s="87"/>
      <c r="MLS1" s="87"/>
      <c r="MLT1" s="87"/>
      <c r="MLU1" s="87"/>
      <c r="MLV1" s="87"/>
      <c r="MLW1" s="87"/>
      <c r="MLX1" s="87"/>
      <c r="MLY1" s="87"/>
      <c r="MLZ1" s="87"/>
      <c r="MMA1" s="87"/>
      <c r="MMB1" s="87"/>
      <c r="MMC1" s="87"/>
      <c r="MMD1" s="87"/>
      <c r="MME1" s="87"/>
      <c r="MMF1" s="87"/>
      <c r="MMG1" s="87"/>
      <c r="MMH1" s="87"/>
      <c r="MMI1" s="87"/>
      <c r="MMJ1" s="87"/>
      <c r="MMK1" s="87"/>
      <c r="MML1" s="87"/>
      <c r="MMM1" s="87"/>
      <c r="MMN1" s="87"/>
      <c r="MMO1" s="87"/>
      <c r="MMP1" s="87"/>
      <c r="MMQ1" s="87"/>
      <c r="MMR1" s="87"/>
      <c r="MMS1" s="87"/>
      <c r="MMT1" s="87"/>
      <c r="MMU1" s="87"/>
      <c r="MMV1" s="87"/>
      <c r="MMW1" s="87"/>
      <c r="MMX1" s="87"/>
      <c r="MMY1" s="87"/>
      <c r="MMZ1" s="87"/>
      <c r="MNA1" s="87"/>
      <c r="MNB1" s="87"/>
      <c r="MNC1" s="87"/>
      <c r="MND1" s="87"/>
      <c r="MNE1" s="87"/>
      <c r="MNF1" s="87"/>
      <c r="MNG1" s="87"/>
      <c r="MNH1" s="87"/>
      <c r="MNI1" s="87"/>
      <c r="MNJ1" s="87"/>
      <c r="MNK1" s="87"/>
      <c r="MNL1" s="87"/>
      <c r="MNM1" s="87"/>
      <c r="MNN1" s="87"/>
      <c r="MNO1" s="87"/>
      <c r="MNP1" s="87"/>
      <c r="MNQ1" s="87"/>
      <c r="MNR1" s="87"/>
      <c r="MNS1" s="87"/>
      <c r="MNT1" s="87"/>
      <c r="MNU1" s="87"/>
      <c r="MNV1" s="87"/>
      <c r="MNW1" s="87"/>
      <c r="MNX1" s="87"/>
      <c r="MNY1" s="87"/>
      <c r="MNZ1" s="87"/>
      <c r="MOA1" s="87"/>
      <c r="MOB1" s="87"/>
      <c r="MOC1" s="87"/>
      <c r="MOD1" s="87"/>
      <c r="MOE1" s="87"/>
      <c r="MOF1" s="87"/>
      <c r="MOG1" s="87"/>
      <c r="MOH1" s="87"/>
      <c r="MOI1" s="87"/>
      <c r="MOJ1" s="87"/>
      <c r="MOK1" s="87"/>
      <c r="MOL1" s="87"/>
      <c r="MOM1" s="87"/>
      <c r="MON1" s="87"/>
      <c r="MOO1" s="87"/>
      <c r="MOP1" s="87"/>
      <c r="MOQ1" s="87"/>
      <c r="MOR1" s="87"/>
      <c r="MOS1" s="87"/>
      <c r="MOT1" s="87"/>
      <c r="MOU1" s="87"/>
      <c r="MOV1" s="87"/>
      <c r="MOW1" s="87"/>
      <c r="MOX1" s="87"/>
      <c r="MOY1" s="87"/>
      <c r="MOZ1" s="87"/>
      <c r="MPA1" s="87"/>
      <c r="MPB1" s="87"/>
      <c r="MPC1" s="87"/>
      <c r="MPD1" s="87"/>
      <c r="MPE1" s="87"/>
      <c r="MPF1" s="87"/>
      <c r="MPG1" s="87"/>
      <c r="MPH1" s="87"/>
      <c r="MPI1" s="87"/>
      <c r="MPJ1" s="87"/>
      <c r="MPK1" s="87"/>
      <c r="MPL1" s="87"/>
      <c r="MPM1" s="87"/>
      <c r="MPN1" s="87"/>
      <c r="MPO1" s="87"/>
      <c r="MPP1" s="87"/>
      <c r="MPQ1" s="87"/>
      <c r="MPR1" s="87"/>
      <c r="MPS1" s="87"/>
      <c r="MPT1" s="87"/>
      <c r="MPU1" s="87"/>
      <c r="MPV1" s="87"/>
      <c r="MPW1" s="87"/>
      <c r="MPX1" s="87"/>
      <c r="MPY1" s="87"/>
      <c r="MPZ1" s="87"/>
      <c r="MQA1" s="87"/>
      <c r="MQB1" s="87"/>
      <c r="MQC1" s="87"/>
      <c r="MQD1" s="87"/>
      <c r="MQE1" s="87"/>
      <c r="MQF1" s="87"/>
      <c r="MQG1" s="87"/>
      <c r="MQH1" s="87"/>
      <c r="MQI1" s="87"/>
      <c r="MQJ1" s="87"/>
      <c r="MQK1" s="87"/>
      <c r="MQL1" s="87"/>
      <c r="MQM1" s="87"/>
      <c r="MQN1" s="87"/>
      <c r="MQO1" s="87"/>
      <c r="MQP1" s="87"/>
      <c r="MQQ1" s="87"/>
      <c r="MQR1" s="87"/>
      <c r="MQS1" s="87"/>
      <c r="MQT1" s="87"/>
      <c r="MQU1" s="87"/>
      <c r="MQV1" s="87"/>
      <c r="MQW1" s="87"/>
      <c r="MQX1" s="87"/>
      <c r="MQY1" s="87"/>
      <c r="MQZ1" s="87"/>
      <c r="MRA1" s="87"/>
      <c r="MRB1" s="87"/>
      <c r="MRC1" s="87"/>
      <c r="MRD1" s="87"/>
      <c r="MRE1" s="87"/>
      <c r="MRF1" s="87"/>
      <c r="MRG1" s="87"/>
      <c r="MRH1" s="87"/>
      <c r="MRI1" s="87"/>
      <c r="MRJ1" s="87"/>
      <c r="MRK1" s="87"/>
      <c r="MRL1" s="87"/>
      <c r="MRM1" s="87"/>
      <c r="MRN1" s="87"/>
      <c r="MRO1" s="87"/>
      <c r="MRP1" s="87"/>
      <c r="MRQ1" s="87"/>
      <c r="MRR1" s="87"/>
      <c r="MRS1" s="87"/>
      <c r="MRT1" s="87"/>
      <c r="MRU1" s="87"/>
      <c r="MRV1" s="87"/>
      <c r="MRW1" s="87"/>
      <c r="MRX1" s="87"/>
      <c r="MRY1" s="87"/>
      <c r="MRZ1" s="87"/>
      <c r="MSA1" s="87"/>
      <c r="MSB1" s="87"/>
      <c r="MSC1" s="87"/>
      <c r="MSD1" s="87"/>
      <c r="MSE1" s="87"/>
      <c r="MSF1" s="87"/>
      <c r="MSG1" s="87"/>
      <c r="MSH1" s="87"/>
      <c r="MSI1" s="87"/>
      <c r="MSJ1" s="87"/>
      <c r="MSK1" s="87"/>
      <c r="MSL1" s="87"/>
      <c r="MSM1" s="87"/>
      <c r="MSN1" s="87"/>
      <c r="MSO1" s="87"/>
      <c r="MSP1" s="87"/>
      <c r="MSQ1" s="87"/>
      <c r="MSR1" s="87"/>
      <c r="MSS1" s="87"/>
      <c r="MST1" s="87"/>
      <c r="MSU1" s="87"/>
      <c r="MSV1" s="87"/>
      <c r="MSW1" s="87"/>
      <c r="MSX1" s="87"/>
      <c r="MSY1" s="87"/>
      <c r="MSZ1" s="87"/>
      <c r="MTA1" s="87"/>
      <c r="MTB1" s="87"/>
      <c r="MTC1" s="87"/>
      <c r="MTD1" s="87"/>
      <c r="MTE1" s="87"/>
      <c r="MTF1" s="87"/>
      <c r="MTG1" s="87"/>
      <c r="MTH1" s="87"/>
      <c r="MTI1" s="87"/>
      <c r="MTJ1" s="87"/>
      <c r="MTK1" s="87"/>
      <c r="MTL1" s="87"/>
      <c r="MTM1" s="87"/>
      <c r="MTN1" s="87"/>
      <c r="MTO1" s="87"/>
      <c r="MTP1" s="87"/>
      <c r="MTQ1" s="87"/>
      <c r="MTR1" s="87"/>
      <c r="MTS1" s="87"/>
      <c r="MTT1" s="87"/>
      <c r="MTU1" s="87"/>
      <c r="MTV1" s="87"/>
      <c r="MTW1" s="87"/>
      <c r="MTX1" s="87"/>
      <c r="MTY1" s="87"/>
      <c r="MTZ1" s="87"/>
      <c r="MUA1" s="87"/>
      <c r="MUB1" s="87"/>
      <c r="MUC1" s="87"/>
      <c r="MUD1" s="87"/>
      <c r="MUE1" s="87"/>
      <c r="MUF1" s="87"/>
      <c r="MUG1" s="87"/>
      <c r="MUH1" s="87"/>
      <c r="MUI1" s="87"/>
      <c r="MUJ1" s="87"/>
      <c r="MUK1" s="87"/>
      <c r="MUL1" s="87"/>
      <c r="MUM1" s="87"/>
      <c r="MUN1" s="87"/>
      <c r="MUO1" s="87"/>
      <c r="MUP1" s="87"/>
      <c r="MUQ1" s="87"/>
      <c r="MUR1" s="87"/>
      <c r="MUS1" s="87"/>
      <c r="MUT1" s="87"/>
      <c r="MUU1" s="87"/>
      <c r="MUV1" s="87"/>
      <c r="MUW1" s="87"/>
      <c r="MUX1" s="87"/>
      <c r="MUY1" s="87"/>
      <c r="MUZ1" s="87"/>
      <c r="MVA1" s="87"/>
      <c r="MVB1" s="87"/>
      <c r="MVC1" s="87"/>
      <c r="MVD1" s="87"/>
      <c r="MVE1" s="87"/>
      <c r="MVF1" s="87"/>
      <c r="MVG1" s="87"/>
      <c r="MVH1" s="87"/>
      <c r="MVI1" s="87"/>
      <c r="MVJ1" s="87"/>
      <c r="MVK1" s="87"/>
      <c r="MVL1" s="87"/>
      <c r="MVM1" s="87"/>
      <c r="MVN1" s="87"/>
      <c r="MVO1" s="87"/>
      <c r="MVP1" s="87"/>
      <c r="MVQ1" s="87"/>
      <c r="MVR1" s="87"/>
      <c r="MVS1" s="87"/>
      <c r="MVT1" s="87"/>
      <c r="MVU1" s="87"/>
      <c r="MVV1" s="87"/>
      <c r="MVW1" s="87"/>
      <c r="MVX1" s="87"/>
      <c r="MVY1" s="87"/>
      <c r="MVZ1" s="87"/>
      <c r="MWA1" s="87"/>
      <c r="MWB1" s="87"/>
      <c r="MWC1" s="87"/>
      <c r="MWD1" s="87"/>
      <c r="MWE1" s="87"/>
      <c r="MWF1" s="87"/>
      <c r="MWG1" s="87"/>
      <c r="MWH1" s="87"/>
      <c r="MWI1" s="87"/>
      <c r="MWJ1" s="87"/>
      <c r="MWK1" s="87"/>
      <c r="MWL1" s="87"/>
      <c r="MWM1" s="87"/>
      <c r="MWN1" s="87"/>
      <c r="MWO1" s="87"/>
      <c r="MWP1" s="87"/>
      <c r="MWQ1" s="87"/>
      <c r="MWR1" s="87"/>
      <c r="MWS1" s="87"/>
      <c r="MWT1" s="87"/>
      <c r="MWU1" s="87"/>
      <c r="MWV1" s="87"/>
      <c r="MWW1" s="87"/>
      <c r="MWX1" s="87"/>
      <c r="MWY1" s="87"/>
      <c r="MWZ1" s="87"/>
      <c r="MXA1" s="87"/>
      <c r="MXB1" s="87"/>
      <c r="MXC1" s="87"/>
      <c r="MXD1" s="87"/>
      <c r="MXE1" s="87"/>
      <c r="MXF1" s="87"/>
      <c r="MXG1" s="87"/>
      <c r="MXH1" s="87"/>
      <c r="MXI1" s="87"/>
      <c r="MXJ1" s="87"/>
      <c r="MXK1" s="87"/>
      <c r="MXL1" s="87"/>
      <c r="MXM1" s="87"/>
      <c r="MXN1" s="87"/>
      <c r="MXO1" s="87"/>
      <c r="MXP1" s="87"/>
      <c r="MXQ1" s="87"/>
      <c r="MXR1" s="87"/>
      <c r="MXS1" s="87"/>
      <c r="MXT1" s="87"/>
      <c r="MXU1" s="87"/>
      <c r="MXV1" s="87"/>
      <c r="MXW1" s="87"/>
      <c r="MXX1" s="87"/>
      <c r="MXY1" s="87"/>
      <c r="MXZ1" s="87"/>
      <c r="MYA1" s="87"/>
      <c r="MYB1" s="87"/>
      <c r="MYC1" s="87"/>
      <c r="MYD1" s="87"/>
      <c r="MYE1" s="87"/>
      <c r="MYF1" s="87"/>
      <c r="MYG1" s="87"/>
      <c r="MYH1" s="87"/>
      <c r="MYI1" s="87"/>
      <c r="MYJ1" s="87"/>
      <c r="MYK1" s="87"/>
      <c r="MYL1" s="87"/>
      <c r="MYM1" s="87"/>
      <c r="MYN1" s="87"/>
      <c r="MYO1" s="87"/>
      <c r="MYP1" s="87"/>
      <c r="MYQ1" s="87"/>
      <c r="MYR1" s="87"/>
      <c r="MYS1" s="87"/>
      <c r="MYT1" s="87"/>
      <c r="MYU1" s="87"/>
      <c r="MYV1" s="87"/>
      <c r="MYW1" s="87"/>
      <c r="MYX1" s="87"/>
      <c r="MYY1" s="87"/>
      <c r="MYZ1" s="87"/>
      <c r="MZA1" s="87"/>
      <c r="MZB1" s="87"/>
      <c r="MZC1" s="87"/>
      <c r="MZD1" s="87"/>
      <c r="MZE1" s="87"/>
      <c r="MZF1" s="87"/>
      <c r="MZG1" s="87"/>
      <c r="MZH1" s="87"/>
      <c r="MZI1" s="87"/>
      <c r="MZJ1" s="87"/>
      <c r="MZK1" s="87"/>
      <c r="MZL1" s="87"/>
      <c r="MZM1" s="87"/>
      <c r="MZN1" s="87"/>
      <c r="MZO1" s="87"/>
      <c r="MZP1" s="87"/>
      <c r="MZQ1" s="87"/>
      <c r="MZR1" s="87"/>
      <c r="MZS1" s="87"/>
      <c r="MZT1" s="87"/>
      <c r="MZU1" s="87"/>
      <c r="MZV1" s="87"/>
      <c r="MZW1" s="87"/>
      <c r="MZX1" s="87"/>
      <c r="MZY1" s="87"/>
      <c r="MZZ1" s="87"/>
      <c r="NAA1" s="87"/>
      <c r="NAB1" s="87"/>
      <c r="NAC1" s="87"/>
      <c r="NAD1" s="87"/>
      <c r="NAE1" s="87"/>
      <c r="NAF1" s="87"/>
      <c r="NAG1" s="87"/>
      <c r="NAH1" s="87"/>
      <c r="NAI1" s="87"/>
      <c r="NAJ1" s="87"/>
      <c r="NAK1" s="87"/>
      <c r="NAL1" s="87"/>
      <c r="NAM1" s="87"/>
      <c r="NAN1" s="87"/>
      <c r="NAO1" s="87"/>
      <c r="NAP1" s="87"/>
      <c r="NAQ1" s="87"/>
      <c r="NAR1" s="87"/>
      <c r="NAS1" s="87"/>
      <c r="NAT1" s="87"/>
      <c r="NAU1" s="87"/>
      <c r="NAV1" s="87"/>
      <c r="NAW1" s="87"/>
      <c r="NAX1" s="87"/>
      <c r="NAY1" s="87"/>
      <c r="NAZ1" s="87"/>
      <c r="NBA1" s="87"/>
      <c r="NBB1" s="87"/>
      <c r="NBC1" s="87"/>
      <c r="NBD1" s="87"/>
      <c r="NBE1" s="87"/>
      <c r="NBF1" s="87"/>
      <c r="NBG1" s="87"/>
      <c r="NBH1" s="87"/>
      <c r="NBI1" s="87"/>
      <c r="NBJ1" s="87"/>
      <c r="NBK1" s="87"/>
      <c r="NBL1" s="87"/>
      <c r="NBM1" s="87"/>
      <c r="NBN1" s="87"/>
      <c r="NBO1" s="87"/>
      <c r="NBP1" s="87"/>
      <c r="NBQ1" s="87"/>
      <c r="NBR1" s="87"/>
      <c r="NBS1" s="87"/>
      <c r="NBT1" s="87"/>
      <c r="NBU1" s="87"/>
      <c r="NBV1" s="87"/>
      <c r="NBW1" s="87"/>
      <c r="NBX1" s="87"/>
      <c r="NBY1" s="87"/>
      <c r="NBZ1" s="87"/>
      <c r="NCA1" s="87"/>
      <c r="NCB1" s="87"/>
      <c r="NCC1" s="87"/>
      <c r="NCD1" s="87"/>
      <c r="NCE1" s="87"/>
      <c r="NCF1" s="87"/>
      <c r="NCG1" s="87"/>
      <c r="NCH1" s="87"/>
      <c r="NCI1" s="87"/>
      <c r="NCJ1" s="87"/>
      <c r="NCK1" s="87"/>
      <c r="NCL1" s="87"/>
      <c r="NCM1" s="87"/>
      <c r="NCN1" s="87"/>
      <c r="NCO1" s="87"/>
      <c r="NCP1" s="87"/>
      <c r="NCQ1" s="87"/>
      <c r="NCR1" s="87"/>
      <c r="NCS1" s="87"/>
      <c r="NCT1" s="87"/>
      <c r="NCU1" s="87"/>
      <c r="NCV1" s="87"/>
      <c r="NCW1" s="87"/>
      <c r="NCX1" s="87"/>
      <c r="NCY1" s="87"/>
      <c r="NCZ1" s="87"/>
      <c r="NDA1" s="87"/>
      <c r="NDB1" s="87"/>
      <c r="NDC1" s="87"/>
      <c r="NDD1" s="87"/>
      <c r="NDE1" s="87"/>
      <c r="NDF1" s="87"/>
      <c r="NDG1" s="87"/>
      <c r="NDH1" s="87"/>
      <c r="NDI1" s="87"/>
      <c r="NDJ1" s="87"/>
      <c r="NDK1" s="87"/>
      <c r="NDL1" s="87"/>
      <c r="NDM1" s="87"/>
      <c r="NDN1" s="87"/>
      <c r="NDO1" s="87"/>
      <c r="NDP1" s="87"/>
      <c r="NDQ1" s="87"/>
      <c r="NDR1" s="87"/>
      <c r="NDS1" s="87"/>
      <c r="NDT1" s="87"/>
      <c r="NDU1" s="87"/>
      <c r="NDV1" s="87"/>
      <c r="NDW1" s="87"/>
      <c r="NDX1" s="87"/>
      <c r="NDY1" s="87"/>
      <c r="NDZ1" s="87"/>
      <c r="NEA1" s="87"/>
      <c r="NEB1" s="87"/>
      <c r="NEC1" s="87"/>
      <c r="NED1" s="87"/>
      <c r="NEE1" s="87"/>
      <c r="NEF1" s="87"/>
      <c r="NEG1" s="87"/>
      <c r="NEH1" s="87"/>
      <c r="NEI1" s="87"/>
      <c r="NEJ1" s="87"/>
      <c r="NEK1" s="87"/>
      <c r="NEL1" s="87"/>
      <c r="NEM1" s="87"/>
      <c r="NEN1" s="87"/>
      <c r="NEO1" s="87"/>
      <c r="NEP1" s="87"/>
      <c r="NEQ1" s="87"/>
      <c r="NER1" s="87"/>
      <c r="NES1" s="87"/>
      <c r="NET1" s="87"/>
      <c r="NEU1" s="87"/>
      <c r="NEV1" s="87"/>
      <c r="NEW1" s="87"/>
      <c r="NEX1" s="87"/>
      <c r="NEY1" s="87"/>
      <c r="NEZ1" s="87"/>
      <c r="NFA1" s="87"/>
      <c r="NFB1" s="87"/>
      <c r="NFC1" s="87"/>
      <c r="NFD1" s="87"/>
      <c r="NFE1" s="87"/>
      <c r="NFF1" s="87"/>
      <c r="NFG1" s="87"/>
      <c r="NFH1" s="87"/>
      <c r="NFI1" s="87"/>
      <c r="NFJ1" s="87"/>
      <c r="NFK1" s="87"/>
      <c r="NFL1" s="87"/>
      <c r="NFM1" s="87"/>
      <c r="NFN1" s="87"/>
      <c r="NFO1" s="87"/>
      <c r="NFP1" s="87"/>
      <c r="NFQ1" s="87"/>
      <c r="NFR1" s="87"/>
      <c r="NFS1" s="87"/>
      <c r="NFT1" s="87"/>
      <c r="NFU1" s="87"/>
      <c r="NFV1" s="87"/>
      <c r="NFW1" s="87"/>
      <c r="NFX1" s="87"/>
      <c r="NFY1" s="87"/>
      <c r="NFZ1" s="87"/>
      <c r="NGA1" s="87"/>
      <c r="NGB1" s="87"/>
      <c r="NGC1" s="87"/>
      <c r="NGD1" s="87"/>
      <c r="NGE1" s="87"/>
      <c r="NGF1" s="87"/>
      <c r="NGG1" s="87"/>
      <c r="NGH1" s="87"/>
      <c r="NGI1" s="87"/>
      <c r="NGJ1" s="87"/>
      <c r="NGK1" s="87"/>
      <c r="NGL1" s="87"/>
      <c r="NGM1" s="87"/>
      <c r="NGN1" s="87"/>
      <c r="NGO1" s="87"/>
      <c r="NGP1" s="87"/>
      <c r="NGQ1" s="87"/>
      <c r="NGR1" s="87"/>
      <c r="NGS1" s="87"/>
      <c r="NGT1" s="87"/>
      <c r="NGU1" s="87"/>
      <c r="NGV1" s="87"/>
      <c r="NGW1" s="87"/>
      <c r="NGX1" s="87"/>
      <c r="NGY1" s="87"/>
      <c r="NGZ1" s="87"/>
      <c r="NHA1" s="87"/>
      <c r="NHB1" s="87"/>
      <c r="NHC1" s="87"/>
      <c r="NHD1" s="87"/>
      <c r="NHE1" s="87"/>
      <c r="NHF1" s="87"/>
      <c r="NHG1" s="87"/>
      <c r="NHH1" s="87"/>
      <c r="NHI1" s="87"/>
      <c r="NHJ1" s="87"/>
      <c r="NHK1" s="87"/>
      <c r="NHL1" s="87"/>
      <c r="NHM1" s="87"/>
      <c r="NHN1" s="87"/>
      <c r="NHO1" s="87"/>
      <c r="NHP1" s="87"/>
      <c r="NHQ1" s="87"/>
      <c r="NHR1" s="87"/>
      <c r="NHS1" s="87"/>
      <c r="NHT1" s="87"/>
      <c r="NHU1" s="87"/>
      <c r="NHV1" s="87"/>
      <c r="NHW1" s="87"/>
      <c r="NHX1" s="87"/>
      <c r="NHY1" s="87"/>
      <c r="NHZ1" s="87"/>
      <c r="NIA1" s="87"/>
      <c r="NIB1" s="87"/>
      <c r="NIC1" s="87"/>
      <c r="NID1" s="87"/>
      <c r="NIE1" s="87"/>
      <c r="NIF1" s="87"/>
      <c r="NIG1" s="87"/>
      <c r="NIH1" s="87"/>
      <c r="NII1" s="87"/>
      <c r="NIJ1" s="87"/>
      <c r="NIK1" s="87"/>
      <c r="NIL1" s="87"/>
      <c r="NIM1" s="87"/>
      <c r="NIN1" s="87"/>
      <c r="NIO1" s="87"/>
      <c r="NIP1" s="87"/>
      <c r="NIQ1" s="87"/>
      <c r="NIR1" s="87"/>
      <c r="NIS1" s="87"/>
      <c r="NIT1" s="87"/>
      <c r="NIU1" s="87"/>
      <c r="NIV1" s="87"/>
      <c r="NIW1" s="87"/>
      <c r="NIX1" s="87"/>
      <c r="NIY1" s="87"/>
      <c r="NIZ1" s="87"/>
      <c r="NJA1" s="87"/>
      <c r="NJB1" s="87"/>
      <c r="NJC1" s="87"/>
      <c r="NJD1" s="87"/>
      <c r="NJE1" s="87"/>
      <c r="NJF1" s="87"/>
      <c r="NJG1" s="87"/>
      <c r="NJH1" s="87"/>
      <c r="NJI1" s="87"/>
      <c r="NJJ1" s="87"/>
      <c r="NJK1" s="87"/>
      <c r="NJL1" s="87"/>
      <c r="NJM1" s="87"/>
      <c r="NJN1" s="87"/>
      <c r="NJO1" s="87"/>
      <c r="NJP1" s="87"/>
      <c r="NJQ1" s="87"/>
      <c r="NJR1" s="87"/>
      <c r="NJS1" s="87"/>
      <c r="NJT1" s="87"/>
      <c r="NJU1" s="87"/>
      <c r="NJV1" s="87"/>
      <c r="NJW1" s="87"/>
      <c r="NJX1" s="87"/>
      <c r="NJY1" s="87"/>
      <c r="NJZ1" s="87"/>
      <c r="NKA1" s="87"/>
      <c r="NKB1" s="87"/>
      <c r="NKC1" s="87"/>
      <c r="NKD1" s="87"/>
      <c r="NKE1" s="87"/>
      <c r="NKF1" s="87"/>
      <c r="NKG1" s="87"/>
      <c r="NKH1" s="87"/>
      <c r="NKI1" s="87"/>
      <c r="NKJ1" s="87"/>
      <c r="NKK1" s="87"/>
      <c r="NKL1" s="87"/>
      <c r="NKM1" s="87"/>
      <c r="NKN1" s="87"/>
      <c r="NKO1" s="87"/>
      <c r="NKP1" s="87"/>
      <c r="NKQ1" s="87"/>
      <c r="NKR1" s="87"/>
      <c r="NKS1" s="87"/>
      <c r="NKT1" s="87"/>
      <c r="NKU1" s="87"/>
      <c r="NKV1" s="87"/>
      <c r="NKW1" s="87"/>
      <c r="NKX1" s="87"/>
      <c r="NKY1" s="87"/>
      <c r="NKZ1" s="87"/>
      <c r="NLA1" s="87"/>
      <c r="NLB1" s="87"/>
      <c r="NLC1" s="87"/>
      <c r="NLD1" s="87"/>
      <c r="NLE1" s="87"/>
      <c r="NLF1" s="87"/>
      <c r="NLG1" s="87"/>
      <c r="NLH1" s="87"/>
      <c r="NLI1" s="87"/>
      <c r="NLJ1" s="87"/>
      <c r="NLK1" s="87"/>
      <c r="NLL1" s="87"/>
      <c r="NLM1" s="87"/>
      <c r="NLN1" s="87"/>
      <c r="NLO1" s="87"/>
      <c r="NLP1" s="87"/>
      <c r="NLQ1" s="87"/>
      <c r="NLR1" s="87"/>
      <c r="NLS1" s="87"/>
      <c r="NLT1" s="87"/>
      <c r="NLU1" s="87"/>
      <c r="NLV1" s="87"/>
      <c r="NLW1" s="87"/>
      <c r="NLX1" s="87"/>
      <c r="NLY1" s="87"/>
      <c r="NLZ1" s="87"/>
      <c r="NMA1" s="87"/>
      <c r="NMB1" s="87"/>
      <c r="NMC1" s="87"/>
      <c r="NMD1" s="87"/>
      <c r="NME1" s="87"/>
      <c r="NMF1" s="87"/>
      <c r="NMG1" s="87"/>
      <c r="NMH1" s="87"/>
      <c r="NMI1" s="87"/>
      <c r="NMJ1" s="87"/>
      <c r="NMK1" s="87"/>
      <c r="NML1" s="87"/>
      <c r="NMM1" s="87"/>
      <c r="NMN1" s="87"/>
      <c r="NMO1" s="87"/>
      <c r="NMP1" s="87"/>
      <c r="NMQ1" s="87"/>
      <c r="NMR1" s="87"/>
      <c r="NMS1" s="87"/>
      <c r="NMT1" s="87"/>
      <c r="NMU1" s="87"/>
      <c r="NMV1" s="87"/>
      <c r="NMW1" s="87"/>
      <c r="NMX1" s="87"/>
      <c r="NMY1" s="87"/>
      <c r="NMZ1" s="87"/>
      <c r="NNA1" s="87"/>
      <c r="NNB1" s="87"/>
      <c r="NNC1" s="87"/>
      <c r="NND1" s="87"/>
      <c r="NNE1" s="87"/>
      <c r="NNF1" s="87"/>
      <c r="NNG1" s="87"/>
      <c r="NNH1" s="87"/>
      <c r="NNI1" s="87"/>
      <c r="NNJ1" s="87"/>
      <c r="NNK1" s="87"/>
      <c r="NNL1" s="87"/>
      <c r="NNM1" s="87"/>
      <c r="NNN1" s="87"/>
      <c r="NNO1" s="87"/>
      <c r="NNP1" s="87"/>
      <c r="NNQ1" s="87"/>
      <c r="NNR1" s="87"/>
      <c r="NNS1" s="87"/>
      <c r="NNT1" s="87"/>
      <c r="NNU1" s="87"/>
      <c r="NNV1" s="87"/>
      <c r="NNW1" s="87"/>
      <c r="NNX1" s="87"/>
      <c r="NNY1" s="87"/>
      <c r="NNZ1" s="87"/>
      <c r="NOA1" s="87"/>
      <c r="NOB1" s="87"/>
      <c r="NOC1" s="87"/>
      <c r="NOD1" s="87"/>
      <c r="NOE1" s="87"/>
      <c r="NOF1" s="87"/>
      <c r="NOG1" s="87"/>
      <c r="NOH1" s="87"/>
      <c r="NOI1" s="87"/>
      <c r="NOJ1" s="87"/>
      <c r="NOK1" s="87"/>
      <c r="NOL1" s="87"/>
      <c r="NOM1" s="87"/>
      <c r="NON1" s="87"/>
      <c r="NOO1" s="87"/>
      <c r="NOP1" s="87"/>
      <c r="NOQ1" s="87"/>
      <c r="NOR1" s="87"/>
      <c r="NOS1" s="87"/>
      <c r="NOT1" s="87"/>
      <c r="NOU1" s="87"/>
      <c r="NOV1" s="87"/>
      <c r="NOW1" s="87"/>
      <c r="NOX1" s="87"/>
      <c r="NOY1" s="87"/>
      <c r="NOZ1" s="87"/>
      <c r="NPA1" s="87"/>
      <c r="NPB1" s="87"/>
      <c r="NPC1" s="87"/>
      <c r="NPD1" s="87"/>
      <c r="NPE1" s="87"/>
      <c r="NPF1" s="87"/>
      <c r="NPG1" s="87"/>
      <c r="NPH1" s="87"/>
      <c r="NPI1" s="87"/>
      <c r="NPJ1" s="87"/>
      <c r="NPK1" s="87"/>
      <c r="NPL1" s="87"/>
      <c r="NPM1" s="87"/>
      <c r="NPN1" s="87"/>
      <c r="NPO1" s="87"/>
      <c r="NPP1" s="87"/>
      <c r="NPQ1" s="87"/>
      <c r="NPR1" s="87"/>
      <c r="NPS1" s="87"/>
      <c r="NPT1" s="87"/>
      <c r="NPU1" s="87"/>
      <c r="NPV1" s="87"/>
      <c r="NPW1" s="87"/>
      <c r="NPX1" s="87"/>
      <c r="NPY1" s="87"/>
      <c r="NPZ1" s="87"/>
      <c r="NQA1" s="87"/>
      <c r="NQB1" s="87"/>
      <c r="NQC1" s="87"/>
      <c r="NQD1" s="87"/>
      <c r="NQE1" s="87"/>
      <c r="NQF1" s="87"/>
      <c r="NQG1" s="87"/>
      <c r="NQH1" s="87"/>
      <c r="NQI1" s="87"/>
      <c r="NQJ1" s="87"/>
      <c r="NQK1" s="87"/>
      <c r="NQL1" s="87"/>
      <c r="NQM1" s="87"/>
      <c r="NQN1" s="87"/>
      <c r="NQO1" s="87"/>
      <c r="NQP1" s="87"/>
      <c r="NQQ1" s="87"/>
      <c r="NQR1" s="87"/>
      <c r="NQS1" s="87"/>
      <c r="NQT1" s="87"/>
      <c r="NQU1" s="87"/>
      <c r="NQV1" s="87"/>
      <c r="NQW1" s="87"/>
      <c r="NQX1" s="87"/>
      <c r="NQY1" s="87"/>
      <c r="NQZ1" s="87"/>
      <c r="NRA1" s="87"/>
      <c r="NRB1" s="87"/>
      <c r="NRC1" s="87"/>
      <c r="NRD1" s="87"/>
      <c r="NRE1" s="87"/>
      <c r="NRF1" s="87"/>
      <c r="NRG1" s="87"/>
      <c r="NRH1" s="87"/>
      <c r="NRI1" s="87"/>
      <c r="NRJ1" s="87"/>
      <c r="NRK1" s="87"/>
      <c r="NRL1" s="87"/>
      <c r="NRM1" s="87"/>
      <c r="NRN1" s="87"/>
      <c r="NRO1" s="87"/>
      <c r="NRP1" s="87"/>
      <c r="NRQ1" s="87"/>
      <c r="NRR1" s="87"/>
      <c r="NRS1" s="87"/>
      <c r="NRT1" s="87"/>
      <c r="NRU1" s="87"/>
      <c r="NRV1" s="87"/>
      <c r="NRW1" s="87"/>
      <c r="NRX1" s="87"/>
      <c r="NRY1" s="87"/>
      <c r="NRZ1" s="87"/>
      <c r="NSA1" s="87"/>
      <c r="NSB1" s="87"/>
      <c r="NSC1" s="87"/>
      <c r="NSD1" s="87"/>
      <c r="NSE1" s="87"/>
      <c r="NSF1" s="87"/>
      <c r="NSG1" s="87"/>
      <c r="NSH1" s="87"/>
      <c r="NSI1" s="87"/>
      <c r="NSJ1" s="87"/>
      <c r="NSK1" s="87"/>
      <c r="NSL1" s="87"/>
      <c r="NSM1" s="87"/>
      <c r="NSN1" s="87"/>
      <c r="NSO1" s="87"/>
      <c r="NSP1" s="87"/>
      <c r="NSQ1" s="87"/>
      <c r="NSR1" s="87"/>
      <c r="NSS1" s="87"/>
      <c r="NST1" s="87"/>
      <c r="NSU1" s="87"/>
      <c r="NSV1" s="87"/>
      <c r="NSW1" s="87"/>
      <c r="NSX1" s="87"/>
      <c r="NSY1" s="87"/>
      <c r="NSZ1" s="87"/>
      <c r="NTA1" s="87"/>
      <c r="NTB1" s="87"/>
      <c r="NTC1" s="87"/>
      <c r="NTD1" s="87"/>
      <c r="NTE1" s="87"/>
      <c r="NTF1" s="87"/>
      <c r="NTG1" s="87"/>
      <c r="NTH1" s="87"/>
      <c r="NTI1" s="87"/>
      <c r="NTJ1" s="87"/>
      <c r="NTK1" s="87"/>
      <c r="NTL1" s="87"/>
      <c r="NTM1" s="87"/>
      <c r="NTN1" s="87"/>
      <c r="NTO1" s="87"/>
      <c r="NTP1" s="87"/>
      <c r="NTQ1" s="87"/>
      <c r="NTR1" s="87"/>
      <c r="NTS1" s="87"/>
      <c r="NTT1" s="87"/>
      <c r="NTU1" s="87"/>
      <c r="NTV1" s="87"/>
      <c r="NTW1" s="87"/>
      <c r="NTX1" s="87"/>
      <c r="NTY1" s="87"/>
      <c r="NTZ1" s="87"/>
      <c r="NUA1" s="87"/>
      <c r="NUB1" s="87"/>
      <c r="NUC1" s="87"/>
      <c r="NUD1" s="87"/>
      <c r="NUE1" s="87"/>
      <c r="NUF1" s="87"/>
      <c r="NUG1" s="87"/>
      <c r="NUH1" s="87"/>
      <c r="NUI1" s="87"/>
      <c r="NUJ1" s="87"/>
      <c r="NUK1" s="87"/>
      <c r="NUL1" s="87"/>
      <c r="NUM1" s="87"/>
      <c r="NUN1" s="87"/>
      <c r="NUO1" s="87"/>
      <c r="NUP1" s="87"/>
      <c r="NUQ1" s="87"/>
      <c r="NUR1" s="87"/>
      <c r="NUS1" s="87"/>
      <c r="NUT1" s="87"/>
      <c r="NUU1" s="87"/>
      <c r="NUV1" s="87"/>
      <c r="NUW1" s="87"/>
      <c r="NUX1" s="87"/>
      <c r="NUY1" s="87"/>
      <c r="NUZ1" s="87"/>
      <c r="NVA1" s="87"/>
      <c r="NVB1" s="87"/>
      <c r="NVC1" s="87"/>
      <c r="NVD1" s="87"/>
      <c r="NVE1" s="87"/>
      <c r="NVF1" s="87"/>
      <c r="NVG1" s="87"/>
      <c r="NVH1" s="87"/>
      <c r="NVI1" s="87"/>
      <c r="NVJ1" s="87"/>
      <c r="NVK1" s="87"/>
      <c r="NVL1" s="87"/>
      <c r="NVM1" s="87"/>
      <c r="NVN1" s="87"/>
      <c r="NVO1" s="87"/>
      <c r="NVP1" s="87"/>
      <c r="NVQ1" s="87"/>
      <c r="NVR1" s="87"/>
      <c r="NVS1" s="87"/>
      <c r="NVT1" s="87"/>
      <c r="NVU1" s="87"/>
      <c r="NVV1" s="87"/>
      <c r="NVW1" s="87"/>
      <c r="NVX1" s="87"/>
      <c r="NVY1" s="87"/>
      <c r="NVZ1" s="87"/>
      <c r="NWA1" s="87"/>
      <c r="NWB1" s="87"/>
      <c r="NWC1" s="87"/>
      <c r="NWD1" s="87"/>
      <c r="NWE1" s="87"/>
      <c r="NWF1" s="87"/>
      <c r="NWG1" s="87"/>
      <c r="NWH1" s="87"/>
      <c r="NWI1" s="87"/>
      <c r="NWJ1" s="87"/>
      <c r="NWK1" s="87"/>
      <c r="NWL1" s="87"/>
      <c r="NWM1" s="87"/>
      <c r="NWN1" s="87"/>
      <c r="NWO1" s="87"/>
      <c r="NWP1" s="87"/>
      <c r="NWQ1" s="87"/>
      <c r="NWR1" s="87"/>
      <c r="NWS1" s="87"/>
      <c r="NWT1" s="87"/>
      <c r="NWU1" s="87"/>
      <c r="NWV1" s="87"/>
      <c r="NWW1" s="87"/>
      <c r="NWX1" s="87"/>
      <c r="NWY1" s="87"/>
      <c r="NWZ1" s="87"/>
      <c r="NXA1" s="87"/>
      <c r="NXB1" s="87"/>
      <c r="NXC1" s="87"/>
      <c r="NXD1" s="87"/>
      <c r="NXE1" s="87"/>
      <c r="NXF1" s="87"/>
      <c r="NXG1" s="87"/>
      <c r="NXH1" s="87"/>
      <c r="NXI1" s="87"/>
      <c r="NXJ1" s="87"/>
      <c r="NXK1" s="87"/>
      <c r="NXL1" s="87"/>
      <c r="NXM1" s="87"/>
      <c r="NXN1" s="87"/>
      <c r="NXO1" s="87"/>
      <c r="NXP1" s="87"/>
      <c r="NXQ1" s="87"/>
      <c r="NXR1" s="87"/>
      <c r="NXS1" s="87"/>
      <c r="NXT1" s="87"/>
      <c r="NXU1" s="87"/>
      <c r="NXV1" s="87"/>
      <c r="NXW1" s="87"/>
      <c r="NXX1" s="87"/>
      <c r="NXY1" s="87"/>
      <c r="NXZ1" s="87"/>
      <c r="NYA1" s="87"/>
      <c r="NYB1" s="87"/>
      <c r="NYC1" s="87"/>
      <c r="NYD1" s="87"/>
      <c r="NYE1" s="87"/>
      <c r="NYF1" s="87"/>
      <c r="NYG1" s="87"/>
      <c r="NYH1" s="87"/>
      <c r="NYI1" s="87"/>
      <c r="NYJ1" s="87"/>
      <c r="NYK1" s="87"/>
      <c r="NYL1" s="87"/>
      <c r="NYM1" s="87"/>
      <c r="NYN1" s="87"/>
      <c r="NYO1" s="87"/>
      <c r="NYP1" s="87"/>
      <c r="NYQ1" s="87"/>
      <c r="NYR1" s="87"/>
      <c r="NYS1" s="87"/>
      <c r="NYT1" s="87"/>
      <c r="NYU1" s="87"/>
      <c r="NYV1" s="87"/>
      <c r="NYW1" s="87"/>
      <c r="NYX1" s="87"/>
      <c r="NYY1" s="87"/>
      <c r="NYZ1" s="87"/>
      <c r="NZA1" s="87"/>
      <c r="NZB1" s="87"/>
      <c r="NZC1" s="87"/>
      <c r="NZD1" s="87"/>
      <c r="NZE1" s="87"/>
      <c r="NZF1" s="87"/>
      <c r="NZG1" s="87"/>
      <c r="NZH1" s="87"/>
      <c r="NZI1" s="87"/>
      <c r="NZJ1" s="87"/>
      <c r="NZK1" s="87"/>
      <c r="NZL1" s="87"/>
      <c r="NZM1" s="87"/>
      <c r="NZN1" s="87"/>
      <c r="NZO1" s="87"/>
      <c r="NZP1" s="87"/>
      <c r="NZQ1" s="87"/>
      <c r="NZR1" s="87"/>
      <c r="NZS1" s="87"/>
      <c r="NZT1" s="87"/>
      <c r="NZU1" s="87"/>
      <c r="NZV1" s="87"/>
      <c r="NZW1" s="87"/>
      <c r="NZX1" s="87"/>
      <c r="NZY1" s="87"/>
      <c r="NZZ1" s="87"/>
      <c r="OAA1" s="87"/>
      <c r="OAB1" s="87"/>
      <c r="OAC1" s="87"/>
      <c r="OAD1" s="87"/>
      <c r="OAE1" s="87"/>
      <c r="OAF1" s="87"/>
      <c r="OAG1" s="87"/>
      <c r="OAH1" s="87"/>
      <c r="OAI1" s="87"/>
      <c r="OAJ1" s="87"/>
      <c r="OAK1" s="87"/>
      <c r="OAL1" s="87"/>
      <c r="OAM1" s="87"/>
      <c r="OAN1" s="87"/>
      <c r="OAO1" s="87"/>
      <c r="OAP1" s="87"/>
      <c r="OAQ1" s="87"/>
      <c r="OAR1" s="87"/>
      <c r="OAS1" s="87"/>
      <c r="OAT1" s="87"/>
      <c r="OAU1" s="87"/>
      <c r="OAV1" s="87"/>
      <c r="OAW1" s="87"/>
      <c r="OAX1" s="87"/>
      <c r="OAY1" s="87"/>
      <c r="OAZ1" s="87"/>
      <c r="OBA1" s="87"/>
      <c r="OBB1" s="87"/>
      <c r="OBC1" s="87"/>
      <c r="OBD1" s="87"/>
      <c r="OBE1" s="87"/>
      <c r="OBF1" s="87"/>
      <c r="OBG1" s="87"/>
      <c r="OBH1" s="87"/>
      <c r="OBI1" s="87"/>
      <c r="OBJ1" s="87"/>
      <c r="OBK1" s="87"/>
      <c r="OBL1" s="87"/>
      <c r="OBM1" s="87"/>
      <c r="OBN1" s="87"/>
      <c r="OBO1" s="87"/>
      <c r="OBP1" s="87"/>
      <c r="OBQ1" s="87"/>
      <c r="OBR1" s="87"/>
      <c r="OBS1" s="87"/>
      <c r="OBT1" s="87"/>
      <c r="OBU1" s="87"/>
      <c r="OBV1" s="87"/>
      <c r="OBW1" s="87"/>
      <c r="OBX1" s="87"/>
      <c r="OBY1" s="87"/>
      <c r="OBZ1" s="87"/>
      <c r="OCA1" s="87"/>
      <c r="OCB1" s="87"/>
      <c r="OCC1" s="87"/>
      <c r="OCD1" s="87"/>
      <c r="OCE1" s="87"/>
      <c r="OCF1" s="87"/>
      <c r="OCG1" s="87"/>
      <c r="OCH1" s="87"/>
      <c r="OCI1" s="87"/>
      <c r="OCJ1" s="87"/>
      <c r="OCK1" s="87"/>
      <c r="OCL1" s="87"/>
      <c r="OCM1" s="87"/>
      <c r="OCN1" s="87"/>
      <c r="OCO1" s="87"/>
      <c r="OCP1" s="87"/>
      <c r="OCQ1" s="87"/>
      <c r="OCR1" s="87"/>
      <c r="OCS1" s="87"/>
      <c r="OCT1" s="87"/>
      <c r="OCU1" s="87"/>
      <c r="OCV1" s="87"/>
      <c r="OCW1" s="87"/>
      <c r="OCX1" s="87"/>
      <c r="OCY1" s="87"/>
      <c r="OCZ1" s="87"/>
      <c r="ODA1" s="87"/>
      <c r="ODB1" s="87"/>
      <c r="ODC1" s="87"/>
      <c r="ODD1" s="87"/>
      <c r="ODE1" s="87"/>
      <c r="ODF1" s="87"/>
      <c r="ODG1" s="87"/>
      <c r="ODH1" s="87"/>
      <c r="ODI1" s="87"/>
      <c r="ODJ1" s="87"/>
      <c r="ODK1" s="87"/>
      <c r="ODL1" s="87"/>
      <c r="ODM1" s="87"/>
      <c r="ODN1" s="87"/>
      <c r="ODO1" s="87"/>
      <c r="ODP1" s="87"/>
      <c r="ODQ1" s="87"/>
      <c r="ODR1" s="87"/>
      <c r="ODS1" s="87"/>
      <c r="ODT1" s="87"/>
      <c r="ODU1" s="87"/>
      <c r="ODV1" s="87"/>
      <c r="ODW1" s="87"/>
      <c r="ODX1" s="87"/>
      <c r="ODY1" s="87"/>
      <c r="ODZ1" s="87"/>
      <c r="OEA1" s="87"/>
      <c r="OEB1" s="87"/>
      <c r="OEC1" s="87"/>
      <c r="OED1" s="87"/>
      <c r="OEE1" s="87"/>
      <c r="OEF1" s="87"/>
      <c r="OEG1" s="87"/>
      <c r="OEH1" s="87"/>
      <c r="OEI1" s="87"/>
      <c r="OEJ1" s="87"/>
      <c r="OEK1" s="87"/>
      <c r="OEL1" s="87"/>
      <c r="OEM1" s="87"/>
      <c r="OEN1" s="87"/>
      <c r="OEO1" s="87"/>
      <c r="OEP1" s="87"/>
      <c r="OEQ1" s="87"/>
      <c r="OER1" s="87"/>
      <c r="OES1" s="87"/>
      <c r="OET1" s="87"/>
      <c r="OEU1" s="87"/>
      <c r="OEV1" s="87"/>
      <c r="OEW1" s="87"/>
      <c r="OEX1" s="87"/>
      <c r="OEY1" s="87"/>
      <c r="OEZ1" s="87"/>
      <c r="OFA1" s="87"/>
      <c r="OFB1" s="87"/>
      <c r="OFC1" s="87"/>
      <c r="OFD1" s="87"/>
      <c r="OFE1" s="87"/>
      <c r="OFF1" s="87"/>
      <c r="OFG1" s="87"/>
      <c r="OFH1" s="87"/>
      <c r="OFI1" s="87"/>
      <c r="OFJ1" s="87"/>
      <c r="OFK1" s="87"/>
      <c r="OFL1" s="87"/>
      <c r="OFM1" s="87"/>
      <c r="OFN1" s="87"/>
      <c r="OFO1" s="87"/>
      <c r="OFP1" s="87"/>
      <c r="OFQ1" s="87"/>
      <c r="OFR1" s="87"/>
      <c r="OFS1" s="87"/>
      <c r="OFT1" s="87"/>
      <c r="OFU1" s="87"/>
      <c r="OFV1" s="87"/>
      <c r="OFW1" s="87"/>
      <c r="OFX1" s="87"/>
      <c r="OFY1" s="87"/>
      <c r="OFZ1" s="87"/>
      <c r="OGA1" s="87"/>
      <c r="OGB1" s="87"/>
      <c r="OGC1" s="87"/>
      <c r="OGD1" s="87"/>
      <c r="OGE1" s="87"/>
      <c r="OGF1" s="87"/>
      <c r="OGG1" s="87"/>
      <c r="OGH1" s="87"/>
      <c r="OGI1" s="87"/>
      <c r="OGJ1" s="87"/>
      <c r="OGK1" s="87"/>
      <c r="OGL1" s="87"/>
      <c r="OGM1" s="87"/>
      <c r="OGN1" s="87"/>
      <c r="OGO1" s="87"/>
      <c r="OGP1" s="87"/>
      <c r="OGQ1" s="87"/>
      <c r="OGR1" s="87"/>
      <c r="OGS1" s="87"/>
      <c r="OGT1" s="87"/>
      <c r="OGU1" s="87"/>
      <c r="OGV1" s="87"/>
      <c r="OGW1" s="87"/>
      <c r="OGX1" s="87"/>
      <c r="OGY1" s="87"/>
      <c r="OGZ1" s="87"/>
      <c r="OHA1" s="87"/>
      <c r="OHB1" s="87"/>
      <c r="OHC1" s="87"/>
      <c r="OHD1" s="87"/>
      <c r="OHE1" s="87"/>
      <c r="OHF1" s="87"/>
      <c r="OHG1" s="87"/>
      <c r="OHH1" s="87"/>
      <c r="OHI1" s="87"/>
      <c r="OHJ1" s="87"/>
      <c r="OHK1" s="87"/>
      <c r="OHL1" s="87"/>
      <c r="OHM1" s="87"/>
      <c r="OHN1" s="87"/>
      <c r="OHO1" s="87"/>
      <c r="OHP1" s="87"/>
      <c r="OHQ1" s="87"/>
      <c r="OHR1" s="87"/>
      <c r="OHS1" s="87"/>
      <c r="OHT1" s="87"/>
      <c r="OHU1" s="87"/>
      <c r="OHV1" s="87"/>
      <c r="OHW1" s="87"/>
      <c r="OHX1" s="87"/>
      <c r="OHY1" s="87"/>
      <c r="OHZ1" s="87"/>
      <c r="OIA1" s="87"/>
      <c r="OIB1" s="87"/>
      <c r="OIC1" s="87"/>
      <c r="OID1" s="87"/>
      <c r="OIE1" s="87"/>
      <c r="OIF1" s="87"/>
      <c r="OIG1" s="87"/>
      <c r="OIH1" s="87"/>
      <c r="OII1" s="87"/>
      <c r="OIJ1" s="87"/>
      <c r="OIK1" s="87"/>
      <c r="OIL1" s="87"/>
      <c r="OIM1" s="87"/>
      <c r="OIN1" s="87"/>
      <c r="OIO1" s="87"/>
      <c r="OIP1" s="87"/>
      <c r="OIQ1" s="87"/>
      <c r="OIR1" s="87"/>
      <c r="OIS1" s="87"/>
      <c r="OIT1" s="87"/>
      <c r="OIU1" s="87"/>
      <c r="OIV1" s="87"/>
      <c r="OIW1" s="87"/>
      <c r="OIX1" s="87"/>
      <c r="OIY1" s="87"/>
      <c r="OIZ1" s="87"/>
      <c r="OJA1" s="87"/>
      <c r="OJB1" s="87"/>
      <c r="OJC1" s="87"/>
      <c r="OJD1" s="87"/>
      <c r="OJE1" s="87"/>
      <c r="OJF1" s="87"/>
      <c r="OJG1" s="87"/>
      <c r="OJH1" s="87"/>
      <c r="OJI1" s="87"/>
      <c r="OJJ1" s="87"/>
      <c r="OJK1" s="87"/>
      <c r="OJL1" s="87"/>
      <c r="OJM1" s="87"/>
      <c r="OJN1" s="87"/>
      <c r="OJO1" s="87"/>
      <c r="OJP1" s="87"/>
      <c r="OJQ1" s="87"/>
      <c r="OJR1" s="87"/>
      <c r="OJS1" s="87"/>
      <c r="OJT1" s="87"/>
      <c r="OJU1" s="87"/>
      <c r="OJV1" s="87"/>
      <c r="OJW1" s="87"/>
      <c r="OJX1" s="87"/>
      <c r="OJY1" s="87"/>
      <c r="OJZ1" s="87"/>
      <c r="OKA1" s="87"/>
      <c r="OKB1" s="87"/>
      <c r="OKC1" s="87"/>
      <c r="OKD1" s="87"/>
      <c r="OKE1" s="87"/>
      <c r="OKF1" s="87"/>
      <c r="OKG1" s="87"/>
      <c r="OKH1" s="87"/>
      <c r="OKI1" s="87"/>
      <c r="OKJ1" s="87"/>
      <c r="OKK1" s="87"/>
      <c r="OKL1" s="87"/>
      <c r="OKM1" s="87"/>
      <c r="OKN1" s="87"/>
      <c r="OKO1" s="87"/>
      <c r="OKP1" s="87"/>
      <c r="OKQ1" s="87"/>
      <c r="OKR1" s="87"/>
      <c r="OKS1" s="87"/>
      <c r="OKT1" s="87"/>
      <c r="OKU1" s="87"/>
      <c r="OKV1" s="87"/>
      <c r="OKW1" s="87"/>
      <c r="OKX1" s="87"/>
      <c r="OKY1" s="87"/>
      <c r="OKZ1" s="87"/>
      <c r="OLA1" s="87"/>
      <c r="OLB1" s="87"/>
      <c r="OLC1" s="87"/>
      <c r="OLD1" s="87"/>
      <c r="OLE1" s="87"/>
      <c r="OLF1" s="87"/>
      <c r="OLG1" s="87"/>
      <c r="OLH1" s="87"/>
      <c r="OLI1" s="87"/>
      <c r="OLJ1" s="87"/>
      <c r="OLK1" s="87"/>
      <c r="OLL1" s="87"/>
      <c r="OLM1" s="87"/>
      <c r="OLN1" s="87"/>
      <c r="OLO1" s="87"/>
      <c r="OLP1" s="87"/>
      <c r="OLQ1" s="87"/>
      <c r="OLR1" s="87"/>
      <c r="OLS1" s="87"/>
      <c r="OLT1" s="87"/>
      <c r="OLU1" s="87"/>
      <c r="OLV1" s="87"/>
      <c r="OLW1" s="87"/>
      <c r="OLX1" s="87"/>
      <c r="OLY1" s="87"/>
      <c r="OLZ1" s="87"/>
      <c r="OMA1" s="87"/>
      <c r="OMB1" s="87"/>
      <c r="OMC1" s="87"/>
      <c r="OMD1" s="87"/>
      <c r="OME1" s="87"/>
      <c r="OMF1" s="87"/>
      <c r="OMG1" s="87"/>
      <c r="OMH1" s="87"/>
      <c r="OMI1" s="87"/>
      <c r="OMJ1" s="87"/>
      <c r="OMK1" s="87"/>
      <c r="OML1" s="87"/>
      <c r="OMM1" s="87"/>
      <c r="OMN1" s="87"/>
      <c r="OMO1" s="87"/>
      <c r="OMP1" s="87"/>
      <c r="OMQ1" s="87"/>
      <c r="OMR1" s="87"/>
      <c r="OMS1" s="87"/>
      <c r="OMT1" s="87"/>
      <c r="OMU1" s="87"/>
      <c r="OMV1" s="87"/>
      <c r="OMW1" s="87"/>
      <c r="OMX1" s="87"/>
      <c r="OMY1" s="87"/>
      <c r="OMZ1" s="87"/>
      <c r="ONA1" s="87"/>
      <c r="ONB1" s="87"/>
      <c r="ONC1" s="87"/>
      <c r="OND1" s="87"/>
      <c r="ONE1" s="87"/>
      <c r="ONF1" s="87"/>
      <c r="ONG1" s="87"/>
      <c r="ONH1" s="87"/>
      <c r="ONI1" s="87"/>
      <c r="ONJ1" s="87"/>
      <c r="ONK1" s="87"/>
      <c r="ONL1" s="87"/>
      <c r="ONM1" s="87"/>
      <c r="ONN1" s="87"/>
      <c r="ONO1" s="87"/>
      <c r="ONP1" s="87"/>
      <c r="ONQ1" s="87"/>
      <c r="ONR1" s="87"/>
      <c r="ONS1" s="87"/>
      <c r="ONT1" s="87"/>
      <c r="ONU1" s="87"/>
      <c r="ONV1" s="87"/>
      <c r="ONW1" s="87"/>
      <c r="ONX1" s="87"/>
      <c r="ONY1" s="87"/>
      <c r="ONZ1" s="87"/>
      <c r="OOA1" s="87"/>
      <c r="OOB1" s="87"/>
      <c r="OOC1" s="87"/>
      <c r="OOD1" s="87"/>
      <c r="OOE1" s="87"/>
      <c r="OOF1" s="87"/>
      <c r="OOG1" s="87"/>
      <c r="OOH1" s="87"/>
      <c r="OOI1" s="87"/>
      <c r="OOJ1" s="87"/>
      <c r="OOK1" s="87"/>
      <c r="OOL1" s="87"/>
      <c r="OOM1" s="87"/>
      <c r="OON1" s="87"/>
      <c r="OOO1" s="87"/>
      <c r="OOP1" s="87"/>
      <c r="OOQ1" s="87"/>
      <c r="OOR1" s="87"/>
      <c r="OOS1" s="87"/>
      <c r="OOT1" s="87"/>
      <c r="OOU1" s="87"/>
      <c r="OOV1" s="87"/>
      <c r="OOW1" s="87"/>
      <c r="OOX1" s="87"/>
      <c r="OOY1" s="87"/>
      <c r="OOZ1" s="87"/>
      <c r="OPA1" s="87"/>
      <c r="OPB1" s="87"/>
      <c r="OPC1" s="87"/>
      <c r="OPD1" s="87"/>
      <c r="OPE1" s="87"/>
      <c r="OPF1" s="87"/>
      <c r="OPG1" s="87"/>
      <c r="OPH1" s="87"/>
      <c r="OPI1" s="87"/>
      <c r="OPJ1" s="87"/>
      <c r="OPK1" s="87"/>
      <c r="OPL1" s="87"/>
      <c r="OPM1" s="87"/>
      <c r="OPN1" s="87"/>
      <c r="OPO1" s="87"/>
      <c r="OPP1" s="87"/>
      <c r="OPQ1" s="87"/>
      <c r="OPR1" s="87"/>
      <c r="OPS1" s="87"/>
      <c r="OPT1" s="87"/>
      <c r="OPU1" s="87"/>
      <c r="OPV1" s="87"/>
      <c r="OPW1" s="87"/>
      <c r="OPX1" s="87"/>
      <c r="OPY1" s="87"/>
      <c r="OPZ1" s="87"/>
      <c r="OQA1" s="87"/>
      <c r="OQB1" s="87"/>
      <c r="OQC1" s="87"/>
      <c r="OQD1" s="87"/>
      <c r="OQE1" s="87"/>
      <c r="OQF1" s="87"/>
      <c r="OQG1" s="87"/>
      <c r="OQH1" s="87"/>
      <c r="OQI1" s="87"/>
      <c r="OQJ1" s="87"/>
      <c r="OQK1" s="87"/>
      <c r="OQL1" s="87"/>
      <c r="OQM1" s="87"/>
      <c r="OQN1" s="87"/>
      <c r="OQO1" s="87"/>
      <c r="OQP1" s="87"/>
      <c r="OQQ1" s="87"/>
      <c r="OQR1" s="87"/>
      <c r="OQS1" s="87"/>
      <c r="OQT1" s="87"/>
      <c r="OQU1" s="87"/>
      <c r="OQV1" s="87"/>
      <c r="OQW1" s="87"/>
      <c r="OQX1" s="87"/>
      <c r="OQY1" s="87"/>
      <c r="OQZ1" s="87"/>
      <c r="ORA1" s="87"/>
      <c r="ORB1" s="87"/>
      <c r="ORC1" s="87"/>
      <c r="ORD1" s="87"/>
      <c r="ORE1" s="87"/>
      <c r="ORF1" s="87"/>
      <c r="ORG1" s="87"/>
      <c r="ORH1" s="87"/>
      <c r="ORI1" s="87"/>
      <c r="ORJ1" s="87"/>
      <c r="ORK1" s="87"/>
      <c r="ORL1" s="87"/>
      <c r="ORM1" s="87"/>
      <c r="ORN1" s="87"/>
      <c r="ORO1" s="87"/>
      <c r="ORP1" s="87"/>
      <c r="ORQ1" s="87"/>
      <c r="ORR1" s="87"/>
      <c r="ORS1" s="87"/>
      <c r="ORT1" s="87"/>
      <c r="ORU1" s="87"/>
      <c r="ORV1" s="87"/>
      <c r="ORW1" s="87"/>
      <c r="ORX1" s="87"/>
      <c r="ORY1" s="87"/>
      <c r="ORZ1" s="87"/>
      <c r="OSA1" s="87"/>
      <c r="OSB1" s="87"/>
      <c r="OSC1" s="87"/>
      <c r="OSD1" s="87"/>
      <c r="OSE1" s="87"/>
      <c r="OSF1" s="87"/>
      <c r="OSG1" s="87"/>
      <c r="OSH1" s="87"/>
      <c r="OSI1" s="87"/>
      <c r="OSJ1" s="87"/>
      <c r="OSK1" s="87"/>
      <c r="OSL1" s="87"/>
      <c r="OSM1" s="87"/>
      <c r="OSN1" s="87"/>
      <c r="OSO1" s="87"/>
      <c r="OSP1" s="87"/>
      <c r="OSQ1" s="87"/>
      <c r="OSR1" s="87"/>
      <c r="OSS1" s="87"/>
      <c r="OST1" s="87"/>
      <c r="OSU1" s="87"/>
      <c r="OSV1" s="87"/>
      <c r="OSW1" s="87"/>
      <c r="OSX1" s="87"/>
      <c r="OSY1" s="87"/>
      <c r="OSZ1" s="87"/>
      <c r="OTA1" s="87"/>
      <c r="OTB1" s="87"/>
      <c r="OTC1" s="87"/>
      <c r="OTD1" s="87"/>
      <c r="OTE1" s="87"/>
      <c r="OTF1" s="87"/>
      <c r="OTG1" s="87"/>
      <c r="OTH1" s="87"/>
      <c r="OTI1" s="87"/>
      <c r="OTJ1" s="87"/>
      <c r="OTK1" s="87"/>
      <c r="OTL1" s="87"/>
      <c r="OTM1" s="87"/>
      <c r="OTN1" s="87"/>
      <c r="OTO1" s="87"/>
      <c r="OTP1" s="87"/>
      <c r="OTQ1" s="87"/>
      <c r="OTR1" s="87"/>
      <c r="OTS1" s="87"/>
      <c r="OTT1" s="87"/>
      <c r="OTU1" s="87"/>
      <c r="OTV1" s="87"/>
      <c r="OTW1" s="87"/>
      <c r="OTX1" s="87"/>
      <c r="OTY1" s="87"/>
      <c r="OTZ1" s="87"/>
      <c r="OUA1" s="87"/>
      <c r="OUB1" s="87"/>
      <c r="OUC1" s="87"/>
      <c r="OUD1" s="87"/>
      <c r="OUE1" s="87"/>
      <c r="OUF1" s="87"/>
      <c r="OUG1" s="87"/>
      <c r="OUH1" s="87"/>
      <c r="OUI1" s="87"/>
      <c r="OUJ1" s="87"/>
      <c r="OUK1" s="87"/>
      <c r="OUL1" s="87"/>
      <c r="OUM1" s="87"/>
      <c r="OUN1" s="87"/>
      <c r="OUO1" s="87"/>
      <c r="OUP1" s="87"/>
      <c r="OUQ1" s="87"/>
      <c r="OUR1" s="87"/>
      <c r="OUS1" s="87"/>
      <c r="OUT1" s="87"/>
      <c r="OUU1" s="87"/>
      <c r="OUV1" s="87"/>
      <c r="OUW1" s="87"/>
      <c r="OUX1" s="87"/>
      <c r="OUY1" s="87"/>
      <c r="OUZ1" s="87"/>
      <c r="OVA1" s="87"/>
      <c r="OVB1" s="87"/>
      <c r="OVC1" s="87"/>
      <c r="OVD1" s="87"/>
      <c r="OVE1" s="87"/>
      <c r="OVF1" s="87"/>
      <c r="OVG1" s="87"/>
      <c r="OVH1" s="87"/>
      <c r="OVI1" s="87"/>
      <c r="OVJ1" s="87"/>
      <c r="OVK1" s="87"/>
      <c r="OVL1" s="87"/>
      <c r="OVM1" s="87"/>
      <c r="OVN1" s="87"/>
      <c r="OVO1" s="87"/>
      <c r="OVP1" s="87"/>
      <c r="OVQ1" s="87"/>
      <c r="OVR1" s="87"/>
      <c r="OVS1" s="87"/>
      <c r="OVT1" s="87"/>
      <c r="OVU1" s="87"/>
      <c r="OVV1" s="87"/>
      <c r="OVW1" s="87"/>
      <c r="OVX1" s="87"/>
      <c r="OVY1" s="87"/>
      <c r="OVZ1" s="87"/>
      <c r="OWA1" s="87"/>
      <c r="OWB1" s="87"/>
      <c r="OWC1" s="87"/>
      <c r="OWD1" s="87"/>
      <c r="OWE1" s="87"/>
      <c r="OWF1" s="87"/>
      <c r="OWG1" s="87"/>
      <c r="OWH1" s="87"/>
      <c r="OWI1" s="87"/>
      <c r="OWJ1" s="87"/>
      <c r="OWK1" s="87"/>
      <c r="OWL1" s="87"/>
      <c r="OWM1" s="87"/>
      <c r="OWN1" s="87"/>
      <c r="OWO1" s="87"/>
      <c r="OWP1" s="87"/>
      <c r="OWQ1" s="87"/>
      <c r="OWR1" s="87"/>
      <c r="OWS1" s="87"/>
      <c r="OWT1" s="87"/>
      <c r="OWU1" s="87"/>
      <c r="OWV1" s="87"/>
      <c r="OWW1" s="87"/>
      <c r="OWX1" s="87"/>
      <c r="OWY1" s="87"/>
      <c r="OWZ1" s="87"/>
      <c r="OXA1" s="87"/>
      <c r="OXB1" s="87"/>
      <c r="OXC1" s="87"/>
      <c r="OXD1" s="87"/>
      <c r="OXE1" s="87"/>
      <c r="OXF1" s="87"/>
      <c r="OXG1" s="87"/>
      <c r="OXH1" s="87"/>
      <c r="OXI1" s="87"/>
      <c r="OXJ1" s="87"/>
      <c r="OXK1" s="87"/>
      <c r="OXL1" s="87"/>
      <c r="OXM1" s="87"/>
      <c r="OXN1" s="87"/>
      <c r="OXO1" s="87"/>
      <c r="OXP1" s="87"/>
      <c r="OXQ1" s="87"/>
      <c r="OXR1" s="87"/>
      <c r="OXS1" s="87"/>
      <c r="OXT1" s="87"/>
      <c r="OXU1" s="87"/>
      <c r="OXV1" s="87"/>
      <c r="OXW1" s="87"/>
      <c r="OXX1" s="87"/>
      <c r="OXY1" s="87"/>
      <c r="OXZ1" s="87"/>
      <c r="OYA1" s="87"/>
      <c r="OYB1" s="87"/>
      <c r="OYC1" s="87"/>
      <c r="OYD1" s="87"/>
      <c r="OYE1" s="87"/>
      <c r="OYF1" s="87"/>
      <c r="OYG1" s="87"/>
      <c r="OYH1" s="87"/>
      <c r="OYI1" s="87"/>
      <c r="OYJ1" s="87"/>
      <c r="OYK1" s="87"/>
      <c r="OYL1" s="87"/>
      <c r="OYM1" s="87"/>
      <c r="OYN1" s="87"/>
      <c r="OYO1" s="87"/>
      <c r="OYP1" s="87"/>
      <c r="OYQ1" s="87"/>
      <c r="OYR1" s="87"/>
      <c r="OYS1" s="87"/>
      <c r="OYT1" s="87"/>
      <c r="OYU1" s="87"/>
      <c r="OYV1" s="87"/>
      <c r="OYW1" s="87"/>
      <c r="OYX1" s="87"/>
      <c r="OYY1" s="87"/>
      <c r="OYZ1" s="87"/>
      <c r="OZA1" s="87"/>
      <c r="OZB1" s="87"/>
      <c r="OZC1" s="87"/>
      <c r="OZD1" s="87"/>
      <c r="OZE1" s="87"/>
      <c r="OZF1" s="87"/>
      <c r="OZG1" s="87"/>
      <c r="OZH1" s="87"/>
      <c r="OZI1" s="87"/>
      <c r="OZJ1" s="87"/>
      <c r="OZK1" s="87"/>
      <c r="OZL1" s="87"/>
      <c r="OZM1" s="87"/>
      <c r="OZN1" s="87"/>
      <c r="OZO1" s="87"/>
      <c r="OZP1" s="87"/>
      <c r="OZQ1" s="87"/>
      <c r="OZR1" s="87"/>
      <c r="OZS1" s="87"/>
      <c r="OZT1" s="87"/>
      <c r="OZU1" s="87"/>
      <c r="OZV1" s="87"/>
      <c r="OZW1" s="87"/>
      <c r="OZX1" s="87"/>
      <c r="OZY1" s="87"/>
      <c r="OZZ1" s="87"/>
      <c r="PAA1" s="87"/>
      <c r="PAB1" s="87"/>
      <c r="PAC1" s="87"/>
      <c r="PAD1" s="87"/>
      <c r="PAE1" s="87"/>
      <c r="PAF1" s="87"/>
      <c r="PAG1" s="87"/>
      <c r="PAH1" s="87"/>
      <c r="PAI1" s="87"/>
      <c r="PAJ1" s="87"/>
      <c r="PAK1" s="87"/>
      <c r="PAL1" s="87"/>
      <c r="PAM1" s="87"/>
      <c r="PAN1" s="87"/>
      <c r="PAO1" s="87"/>
      <c r="PAP1" s="87"/>
      <c r="PAQ1" s="87"/>
      <c r="PAR1" s="87"/>
      <c r="PAS1" s="87"/>
      <c r="PAT1" s="87"/>
      <c r="PAU1" s="87"/>
      <c r="PAV1" s="87"/>
      <c r="PAW1" s="87"/>
      <c r="PAX1" s="87"/>
      <c r="PAY1" s="87"/>
      <c r="PAZ1" s="87"/>
      <c r="PBA1" s="87"/>
      <c r="PBB1" s="87"/>
      <c r="PBC1" s="87"/>
      <c r="PBD1" s="87"/>
      <c r="PBE1" s="87"/>
      <c r="PBF1" s="87"/>
      <c r="PBG1" s="87"/>
      <c r="PBH1" s="87"/>
      <c r="PBI1" s="87"/>
      <c r="PBJ1" s="87"/>
      <c r="PBK1" s="87"/>
      <c r="PBL1" s="87"/>
      <c r="PBM1" s="87"/>
      <c r="PBN1" s="87"/>
      <c r="PBO1" s="87"/>
      <c r="PBP1" s="87"/>
      <c r="PBQ1" s="87"/>
      <c r="PBR1" s="87"/>
      <c r="PBS1" s="87"/>
      <c r="PBT1" s="87"/>
      <c r="PBU1" s="87"/>
      <c r="PBV1" s="87"/>
      <c r="PBW1" s="87"/>
      <c r="PBX1" s="87"/>
      <c r="PBY1" s="87"/>
      <c r="PBZ1" s="87"/>
      <c r="PCA1" s="87"/>
      <c r="PCB1" s="87"/>
      <c r="PCC1" s="87"/>
      <c r="PCD1" s="87"/>
      <c r="PCE1" s="87"/>
      <c r="PCF1" s="87"/>
      <c r="PCG1" s="87"/>
      <c r="PCH1" s="87"/>
      <c r="PCI1" s="87"/>
      <c r="PCJ1" s="87"/>
      <c r="PCK1" s="87"/>
      <c r="PCL1" s="87"/>
      <c r="PCM1" s="87"/>
      <c r="PCN1" s="87"/>
      <c r="PCO1" s="87"/>
      <c r="PCP1" s="87"/>
      <c r="PCQ1" s="87"/>
      <c r="PCR1" s="87"/>
      <c r="PCS1" s="87"/>
      <c r="PCT1" s="87"/>
      <c r="PCU1" s="87"/>
      <c r="PCV1" s="87"/>
      <c r="PCW1" s="87"/>
      <c r="PCX1" s="87"/>
      <c r="PCY1" s="87"/>
      <c r="PCZ1" s="87"/>
      <c r="PDA1" s="87"/>
      <c r="PDB1" s="87"/>
      <c r="PDC1" s="87"/>
      <c r="PDD1" s="87"/>
      <c r="PDE1" s="87"/>
      <c r="PDF1" s="87"/>
      <c r="PDG1" s="87"/>
      <c r="PDH1" s="87"/>
      <c r="PDI1" s="87"/>
      <c r="PDJ1" s="87"/>
      <c r="PDK1" s="87"/>
      <c r="PDL1" s="87"/>
      <c r="PDM1" s="87"/>
      <c r="PDN1" s="87"/>
      <c r="PDO1" s="87"/>
      <c r="PDP1" s="87"/>
      <c r="PDQ1" s="87"/>
      <c r="PDR1" s="87"/>
      <c r="PDS1" s="87"/>
      <c r="PDT1" s="87"/>
      <c r="PDU1" s="87"/>
      <c r="PDV1" s="87"/>
      <c r="PDW1" s="87"/>
      <c r="PDX1" s="87"/>
      <c r="PDY1" s="87"/>
      <c r="PDZ1" s="87"/>
      <c r="PEA1" s="87"/>
      <c r="PEB1" s="87"/>
      <c r="PEC1" s="87"/>
      <c r="PED1" s="87"/>
      <c r="PEE1" s="87"/>
      <c r="PEF1" s="87"/>
      <c r="PEG1" s="87"/>
      <c r="PEH1" s="87"/>
      <c r="PEI1" s="87"/>
      <c r="PEJ1" s="87"/>
      <c r="PEK1" s="87"/>
      <c r="PEL1" s="87"/>
      <c r="PEM1" s="87"/>
      <c r="PEN1" s="87"/>
      <c r="PEO1" s="87"/>
      <c r="PEP1" s="87"/>
      <c r="PEQ1" s="87"/>
      <c r="PER1" s="87"/>
      <c r="PES1" s="87"/>
      <c r="PET1" s="87"/>
      <c r="PEU1" s="87"/>
      <c r="PEV1" s="87"/>
      <c r="PEW1" s="87"/>
      <c r="PEX1" s="87"/>
      <c r="PEY1" s="87"/>
      <c r="PEZ1" s="87"/>
      <c r="PFA1" s="87"/>
      <c r="PFB1" s="87"/>
      <c r="PFC1" s="87"/>
      <c r="PFD1" s="87"/>
      <c r="PFE1" s="87"/>
      <c r="PFF1" s="87"/>
      <c r="PFG1" s="87"/>
      <c r="PFH1" s="87"/>
      <c r="PFI1" s="87"/>
      <c r="PFJ1" s="87"/>
      <c r="PFK1" s="87"/>
      <c r="PFL1" s="87"/>
      <c r="PFM1" s="87"/>
      <c r="PFN1" s="87"/>
      <c r="PFO1" s="87"/>
      <c r="PFP1" s="87"/>
      <c r="PFQ1" s="87"/>
      <c r="PFR1" s="87"/>
      <c r="PFS1" s="87"/>
      <c r="PFT1" s="87"/>
      <c r="PFU1" s="87"/>
      <c r="PFV1" s="87"/>
      <c r="PFW1" s="87"/>
      <c r="PFX1" s="87"/>
      <c r="PFY1" s="87"/>
      <c r="PFZ1" s="87"/>
      <c r="PGA1" s="87"/>
      <c r="PGB1" s="87"/>
      <c r="PGC1" s="87"/>
      <c r="PGD1" s="87"/>
      <c r="PGE1" s="87"/>
      <c r="PGF1" s="87"/>
      <c r="PGG1" s="87"/>
      <c r="PGH1" s="87"/>
      <c r="PGI1" s="87"/>
      <c r="PGJ1" s="87"/>
      <c r="PGK1" s="87"/>
      <c r="PGL1" s="87"/>
      <c r="PGM1" s="87"/>
      <c r="PGN1" s="87"/>
      <c r="PGO1" s="87"/>
      <c r="PGP1" s="87"/>
      <c r="PGQ1" s="87"/>
      <c r="PGR1" s="87"/>
      <c r="PGS1" s="87"/>
      <c r="PGT1" s="87"/>
      <c r="PGU1" s="87"/>
      <c r="PGV1" s="87"/>
      <c r="PGW1" s="87"/>
      <c r="PGX1" s="87"/>
      <c r="PGY1" s="87"/>
      <c r="PGZ1" s="87"/>
      <c r="PHA1" s="87"/>
      <c r="PHB1" s="87"/>
      <c r="PHC1" s="87"/>
      <c r="PHD1" s="87"/>
      <c r="PHE1" s="87"/>
      <c r="PHF1" s="87"/>
      <c r="PHG1" s="87"/>
      <c r="PHH1" s="87"/>
      <c r="PHI1" s="87"/>
      <c r="PHJ1" s="87"/>
      <c r="PHK1" s="87"/>
      <c r="PHL1" s="87"/>
      <c r="PHM1" s="87"/>
      <c r="PHN1" s="87"/>
      <c r="PHO1" s="87"/>
      <c r="PHP1" s="87"/>
      <c r="PHQ1" s="87"/>
      <c r="PHR1" s="87"/>
      <c r="PHS1" s="87"/>
      <c r="PHT1" s="87"/>
      <c r="PHU1" s="87"/>
      <c r="PHV1" s="87"/>
      <c r="PHW1" s="87"/>
      <c r="PHX1" s="87"/>
      <c r="PHY1" s="87"/>
      <c r="PHZ1" s="87"/>
      <c r="PIA1" s="87"/>
      <c r="PIB1" s="87"/>
      <c r="PIC1" s="87"/>
      <c r="PID1" s="87"/>
      <c r="PIE1" s="87"/>
      <c r="PIF1" s="87"/>
      <c r="PIG1" s="87"/>
      <c r="PIH1" s="87"/>
      <c r="PII1" s="87"/>
      <c r="PIJ1" s="87"/>
      <c r="PIK1" s="87"/>
      <c r="PIL1" s="87"/>
      <c r="PIM1" s="87"/>
      <c r="PIN1" s="87"/>
      <c r="PIO1" s="87"/>
      <c r="PIP1" s="87"/>
      <c r="PIQ1" s="87"/>
      <c r="PIR1" s="87"/>
      <c r="PIS1" s="87"/>
      <c r="PIT1" s="87"/>
      <c r="PIU1" s="87"/>
      <c r="PIV1" s="87"/>
      <c r="PIW1" s="87"/>
      <c r="PIX1" s="87"/>
      <c r="PIY1" s="87"/>
      <c r="PIZ1" s="87"/>
      <c r="PJA1" s="87"/>
      <c r="PJB1" s="87"/>
      <c r="PJC1" s="87"/>
      <c r="PJD1" s="87"/>
      <c r="PJE1" s="87"/>
      <c r="PJF1" s="87"/>
      <c r="PJG1" s="87"/>
      <c r="PJH1" s="87"/>
      <c r="PJI1" s="87"/>
      <c r="PJJ1" s="87"/>
      <c r="PJK1" s="87"/>
      <c r="PJL1" s="87"/>
      <c r="PJM1" s="87"/>
      <c r="PJN1" s="87"/>
      <c r="PJO1" s="87"/>
      <c r="PJP1" s="87"/>
      <c r="PJQ1" s="87"/>
      <c r="PJR1" s="87"/>
      <c r="PJS1" s="87"/>
      <c r="PJT1" s="87"/>
      <c r="PJU1" s="87"/>
      <c r="PJV1" s="87"/>
      <c r="PJW1" s="87"/>
      <c r="PJX1" s="87"/>
      <c r="PJY1" s="87"/>
      <c r="PJZ1" s="87"/>
      <c r="PKA1" s="87"/>
      <c r="PKB1" s="87"/>
      <c r="PKC1" s="87"/>
      <c r="PKD1" s="87"/>
      <c r="PKE1" s="87"/>
      <c r="PKF1" s="87"/>
      <c r="PKG1" s="87"/>
      <c r="PKH1" s="87"/>
      <c r="PKI1" s="87"/>
      <c r="PKJ1" s="87"/>
      <c r="PKK1" s="87"/>
      <c r="PKL1" s="87"/>
      <c r="PKM1" s="87"/>
      <c r="PKN1" s="87"/>
      <c r="PKO1" s="87"/>
      <c r="PKP1" s="87"/>
      <c r="PKQ1" s="87"/>
      <c r="PKR1" s="87"/>
      <c r="PKS1" s="87"/>
      <c r="PKT1" s="87"/>
      <c r="PKU1" s="87"/>
      <c r="PKV1" s="87"/>
      <c r="PKW1" s="87"/>
      <c r="PKX1" s="87"/>
      <c r="PKY1" s="87"/>
      <c r="PKZ1" s="87"/>
      <c r="PLA1" s="87"/>
      <c r="PLB1" s="87"/>
      <c r="PLC1" s="87"/>
      <c r="PLD1" s="87"/>
      <c r="PLE1" s="87"/>
      <c r="PLF1" s="87"/>
      <c r="PLG1" s="87"/>
      <c r="PLH1" s="87"/>
      <c r="PLI1" s="87"/>
      <c r="PLJ1" s="87"/>
      <c r="PLK1" s="87"/>
      <c r="PLL1" s="87"/>
      <c r="PLM1" s="87"/>
      <c r="PLN1" s="87"/>
      <c r="PLO1" s="87"/>
      <c r="PLP1" s="87"/>
      <c r="PLQ1" s="87"/>
      <c r="PLR1" s="87"/>
      <c r="PLS1" s="87"/>
      <c r="PLT1" s="87"/>
      <c r="PLU1" s="87"/>
      <c r="PLV1" s="87"/>
      <c r="PLW1" s="87"/>
      <c r="PLX1" s="87"/>
      <c r="PLY1" s="87"/>
      <c r="PLZ1" s="87"/>
      <c r="PMA1" s="87"/>
      <c r="PMB1" s="87"/>
      <c r="PMC1" s="87"/>
      <c r="PMD1" s="87"/>
      <c r="PME1" s="87"/>
      <c r="PMF1" s="87"/>
      <c r="PMG1" s="87"/>
      <c r="PMH1" s="87"/>
      <c r="PMI1" s="87"/>
      <c r="PMJ1" s="87"/>
      <c r="PMK1" s="87"/>
      <c r="PML1" s="87"/>
      <c r="PMM1" s="87"/>
      <c r="PMN1" s="87"/>
      <c r="PMO1" s="87"/>
      <c r="PMP1" s="87"/>
      <c r="PMQ1" s="87"/>
      <c r="PMR1" s="87"/>
      <c r="PMS1" s="87"/>
      <c r="PMT1" s="87"/>
      <c r="PMU1" s="87"/>
      <c r="PMV1" s="87"/>
      <c r="PMW1" s="87"/>
      <c r="PMX1" s="87"/>
      <c r="PMY1" s="87"/>
      <c r="PMZ1" s="87"/>
      <c r="PNA1" s="87"/>
      <c r="PNB1" s="87"/>
      <c r="PNC1" s="87"/>
      <c r="PND1" s="87"/>
      <c r="PNE1" s="87"/>
      <c r="PNF1" s="87"/>
      <c r="PNG1" s="87"/>
      <c r="PNH1" s="87"/>
      <c r="PNI1" s="87"/>
      <c r="PNJ1" s="87"/>
      <c r="PNK1" s="87"/>
      <c r="PNL1" s="87"/>
      <c r="PNM1" s="87"/>
      <c r="PNN1" s="87"/>
      <c r="PNO1" s="87"/>
      <c r="PNP1" s="87"/>
      <c r="PNQ1" s="87"/>
      <c r="PNR1" s="87"/>
      <c r="PNS1" s="87"/>
      <c r="PNT1" s="87"/>
      <c r="PNU1" s="87"/>
      <c r="PNV1" s="87"/>
      <c r="PNW1" s="87"/>
      <c r="PNX1" s="87"/>
      <c r="PNY1" s="87"/>
      <c r="PNZ1" s="87"/>
      <c r="POA1" s="87"/>
      <c r="POB1" s="87"/>
      <c r="POC1" s="87"/>
      <c r="POD1" s="87"/>
      <c r="POE1" s="87"/>
      <c r="POF1" s="87"/>
      <c r="POG1" s="87"/>
      <c r="POH1" s="87"/>
      <c r="POI1" s="87"/>
      <c r="POJ1" s="87"/>
      <c r="POK1" s="87"/>
      <c r="POL1" s="87"/>
      <c r="POM1" s="87"/>
      <c r="PON1" s="87"/>
      <c r="POO1" s="87"/>
      <c r="POP1" s="87"/>
      <c r="POQ1" s="87"/>
      <c r="POR1" s="87"/>
      <c r="POS1" s="87"/>
      <c r="POT1" s="87"/>
      <c r="POU1" s="87"/>
      <c r="POV1" s="87"/>
      <c r="POW1" s="87"/>
      <c r="POX1" s="87"/>
      <c r="POY1" s="87"/>
      <c r="POZ1" s="87"/>
      <c r="PPA1" s="87"/>
      <c r="PPB1" s="87"/>
      <c r="PPC1" s="87"/>
      <c r="PPD1" s="87"/>
      <c r="PPE1" s="87"/>
      <c r="PPF1" s="87"/>
      <c r="PPG1" s="87"/>
      <c r="PPH1" s="87"/>
      <c r="PPI1" s="87"/>
      <c r="PPJ1" s="87"/>
      <c r="PPK1" s="87"/>
      <c r="PPL1" s="87"/>
      <c r="PPM1" s="87"/>
      <c r="PPN1" s="87"/>
      <c r="PPO1" s="87"/>
      <c r="PPP1" s="87"/>
      <c r="PPQ1" s="87"/>
      <c r="PPR1" s="87"/>
      <c r="PPS1" s="87"/>
      <c r="PPT1" s="87"/>
      <c r="PPU1" s="87"/>
      <c r="PPV1" s="87"/>
      <c r="PPW1" s="87"/>
      <c r="PPX1" s="87"/>
      <c r="PPY1" s="87"/>
      <c r="PPZ1" s="87"/>
      <c r="PQA1" s="87"/>
      <c r="PQB1" s="87"/>
      <c r="PQC1" s="87"/>
      <c r="PQD1" s="87"/>
      <c r="PQE1" s="87"/>
      <c r="PQF1" s="87"/>
      <c r="PQG1" s="87"/>
      <c r="PQH1" s="87"/>
      <c r="PQI1" s="87"/>
      <c r="PQJ1" s="87"/>
      <c r="PQK1" s="87"/>
      <c r="PQL1" s="87"/>
      <c r="PQM1" s="87"/>
      <c r="PQN1" s="87"/>
      <c r="PQO1" s="87"/>
      <c r="PQP1" s="87"/>
      <c r="PQQ1" s="87"/>
      <c r="PQR1" s="87"/>
      <c r="PQS1" s="87"/>
      <c r="PQT1" s="87"/>
      <c r="PQU1" s="87"/>
      <c r="PQV1" s="87"/>
      <c r="PQW1" s="87"/>
      <c r="PQX1" s="87"/>
      <c r="PQY1" s="87"/>
      <c r="PQZ1" s="87"/>
      <c r="PRA1" s="87"/>
      <c r="PRB1" s="87"/>
      <c r="PRC1" s="87"/>
      <c r="PRD1" s="87"/>
      <c r="PRE1" s="87"/>
      <c r="PRF1" s="87"/>
      <c r="PRG1" s="87"/>
      <c r="PRH1" s="87"/>
      <c r="PRI1" s="87"/>
      <c r="PRJ1" s="87"/>
      <c r="PRK1" s="87"/>
      <c r="PRL1" s="87"/>
      <c r="PRM1" s="87"/>
      <c r="PRN1" s="87"/>
      <c r="PRO1" s="87"/>
      <c r="PRP1" s="87"/>
      <c r="PRQ1" s="87"/>
      <c r="PRR1" s="87"/>
      <c r="PRS1" s="87"/>
      <c r="PRT1" s="87"/>
      <c r="PRU1" s="87"/>
      <c r="PRV1" s="87"/>
      <c r="PRW1" s="87"/>
      <c r="PRX1" s="87"/>
      <c r="PRY1" s="87"/>
      <c r="PRZ1" s="87"/>
      <c r="PSA1" s="87"/>
      <c r="PSB1" s="87"/>
      <c r="PSC1" s="87"/>
      <c r="PSD1" s="87"/>
      <c r="PSE1" s="87"/>
      <c r="PSF1" s="87"/>
      <c r="PSG1" s="87"/>
      <c r="PSH1" s="87"/>
      <c r="PSI1" s="87"/>
      <c r="PSJ1" s="87"/>
      <c r="PSK1" s="87"/>
      <c r="PSL1" s="87"/>
      <c r="PSM1" s="87"/>
      <c r="PSN1" s="87"/>
      <c r="PSO1" s="87"/>
      <c r="PSP1" s="87"/>
      <c r="PSQ1" s="87"/>
      <c r="PSR1" s="87"/>
      <c r="PSS1" s="87"/>
      <c r="PST1" s="87"/>
      <c r="PSU1" s="87"/>
      <c r="PSV1" s="87"/>
      <c r="PSW1" s="87"/>
      <c r="PSX1" s="87"/>
      <c r="PSY1" s="87"/>
      <c r="PSZ1" s="87"/>
      <c r="PTA1" s="87"/>
      <c r="PTB1" s="87"/>
      <c r="PTC1" s="87"/>
      <c r="PTD1" s="87"/>
      <c r="PTE1" s="87"/>
      <c r="PTF1" s="87"/>
      <c r="PTG1" s="87"/>
      <c r="PTH1" s="87"/>
      <c r="PTI1" s="87"/>
      <c r="PTJ1" s="87"/>
      <c r="PTK1" s="87"/>
      <c r="PTL1" s="87"/>
      <c r="PTM1" s="87"/>
      <c r="PTN1" s="87"/>
      <c r="PTO1" s="87"/>
      <c r="PTP1" s="87"/>
      <c r="PTQ1" s="87"/>
      <c r="PTR1" s="87"/>
      <c r="PTS1" s="87"/>
      <c r="PTT1" s="87"/>
      <c r="PTU1" s="87"/>
      <c r="PTV1" s="87"/>
      <c r="PTW1" s="87"/>
      <c r="PTX1" s="87"/>
      <c r="PTY1" s="87"/>
      <c r="PTZ1" s="87"/>
      <c r="PUA1" s="87"/>
      <c r="PUB1" s="87"/>
      <c r="PUC1" s="87"/>
      <c r="PUD1" s="87"/>
      <c r="PUE1" s="87"/>
      <c r="PUF1" s="87"/>
      <c r="PUG1" s="87"/>
      <c r="PUH1" s="87"/>
      <c r="PUI1" s="87"/>
      <c r="PUJ1" s="87"/>
      <c r="PUK1" s="87"/>
      <c r="PUL1" s="87"/>
      <c r="PUM1" s="87"/>
      <c r="PUN1" s="87"/>
      <c r="PUO1" s="87"/>
      <c r="PUP1" s="87"/>
      <c r="PUQ1" s="87"/>
      <c r="PUR1" s="87"/>
      <c r="PUS1" s="87"/>
      <c r="PUT1" s="87"/>
      <c r="PUU1" s="87"/>
      <c r="PUV1" s="87"/>
      <c r="PUW1" s="87"/>
      <c r="PUX1" s="87"/>
      <c r="PUY1" s="87"/>
      <c r="PUZ1" s="87"/>
      <c r="PVA1" s="87"/>
      <c r="PVB1" s="87"/>
      <c r="PVC1" s="87"/>
      <c r="PVD1" s="87"/>
      <c r="PVE1" s="87"/>
      <c r="PVF1" s="87"/>
      <c r="PVG1" s="87"/>
      <c r="PVH1" s="87"/>
      <c r="PVI1" s="87"/>
      <c r="PVJ1" s="87"/>
      <c r="PVK1" s="87"/>
      <c r="PVL1" s="87"/>
      <c r="PVM1" s="87"/>
      <c r="PVN1" s="87"/>
      <c r="PVO1" s="87"/>
      <c r="PVP1" s="87"/>
      <c r="PVQ1" s="87"/>
      <c r="PVR1" s="87"/>
      <c r="PVS1" s="87"/>
      <c r="PVT1" s="87"/>
      <c r="PVU1" s="87"/>
      <c r="PVV1" s="87"/>
      <c r="PVW1" s="87"/>
      <c r="PVX1" s="87"/>
      <c r="PVY1" s="87"/>
      <c r="PVZ1" s="87"/>
      <c r="PWA1" s="87"/>
      <c r="PWB1" s="87"/>
      <c r="PWC1" s="87"/>
      <c r="PWD1" s="87"/>
      <c r="PWE1" s="87"/>
      <c r="PWF1" s="87"/>
      <c r="PWG1" s="87"/>
      <c r="PWH1" s="87"/>
      <c r="PWI1" s="87"/>
      <c r="PWJ1" s="87"/>
      <c r="PWK1" s="87"/>
      <c r="PWL1" s="87"/>
      <c r="PWM1" s="87"/>
      <c r="PWN1" s="87"/>
      <c r="PWO1" s="87"/>
      <c r="PWP1" s="87"/>
      <c r="PWQ1" s="87"/>
      <c r="PWR1" s="87"/>
      <c r="PWS1" s="87"/>
      <c r="PWT1" s="87"/>
      <c r="PWU1" s="87"/>
      <c r="PWV1" s="87"/>
      <c r="PWW1" s="87"/>
      <c r="PWX1" s="87"/>
      <c r="PWY1" s="87"/>
      <c r="PWZ1" s="87"/>
      <c r="PXA1" s="87"/>
      <c r="PXB1" s="87"/>
      <c r="PXC1" s="87"/>
      <c r="PXD1" s="87"/>
      <c r="PXE1" s="87"/>
      <c r="PXF1" s="87"/>
      <c r="PXG1" s="87"/>
      <c r="PXH1" s="87"/>
      <c r="PXI1" s="87"/>
      <c r="PXJ1" s="87"/>
      <c r="PXK1" s="87"/>
      <c r="PXL1" s="87"/>
      <c r="PXM1" s="87"/>
      <c r="PXN1" s="87"/>
      <c r="PXO1" s="87"/>
      <c r="PXP1" s="87"/>
      <c r="PXQ1" s="87"/>
      <c r="PXR1" s="87"/>
      <c r="PXS1" s="87"/>
      <c r="PXT1" s="87"/>
      <c r="PXU1" s="87"/>
      <c r="PXV1" s="87"/>
      <c r="PXW1" s="87"/>
      <c r="PXX1" s="87"/>
      <c r="PXY1" s="87"/>
      <c r="PXZ1" s="87"/>
      <c r="PYA1" s="87"/>
      <c r="PYB1" s="87"/>
      <c r="PYC1" s="87"/>
      <c r="PYD1" s="87"/>
      <c r="PYE1" s="87"/>
      <c r="PYF1" s="87"/>
      <c r="PYG1" s="87"/>
      <c r="PYH1" s="87"/>
      <c r="PYI1" s="87"/>
      <c r="PYJ1" s="87"/>
      <c r="PYK1" s="87"/>
      <c r="PYL1" s="87"/>
      <c r="PYM1" s="87"/>
      <c r="PYN1" s="87"/>
      <c r="PYO1" s="87"/>
      <c r="PYP1" s="87"/>
      <c r="PYQ1" s="87"/>
      <c r="PYR1" s="87"/>
      <c r="PYS1" s="87"/>
      <c r="PYT1" s="87"/>
      <c r="PYU1" s="87"/>
      <c r="PYV1" s="87"/>
      <c r="PYW1" s="87"/>
      <c r="PYX1" s="87"/>
      <c r="PYY1" s="87"/>
      <c r="PYZ1" s="87"/>
      <c r="PZA1" s="87"/>
      <c r="PZB1" s="87"/>
      <c r="PZC1" s="87"/>
      <c r="PZD1" s="87"/>
      <c r="PZE1" s="87"/>
      <c r="PZF1" s="87"/>
      <c r="PZG1" s="87"/>
      <c r="PZH1" s="87"/>
      <c r="PZI1" s="87"/>
      <c r="PZJ1" s="87"/>
      <c r="PZK1" s="87"/>
      <c r="PZL1" s="87"/>
      <c r="PZM1" s="87"/>
      <c r="PZN1" s="87"/>
      <c r="PZO1" s="87"/>
      <c r="PZP1" s="87"/>
      <c r="PZQ1" s="87"/>
      <c r="PZR1" s="87"/>
      <c r="PZS1" s="87"/>
      <c r="PZT1" s="87"/>
      <c r="PZU1" s="87"/>
      <c r="PZV1" s="87"/>
      <c r="PZW1" s="87"/>
      <c r="PZX1" s="87"/>
      <c r="PZY1" s="87"/>
      <c r="PZZ1" s="87"/>
      <c r="QAA1" s="87"/>
      <c r="QAB1" s="87"/>
      <c r="QAC1" s="87"/>
      <c r="QAD1" s="87"/>
      <c r="QAE1" s="87"/>
      <c r="QAF1" s="87"/>
      <c r="QAG1" s="87"/>
      <c r="QAH1" s="87"/>
      <c r="QAI1" s="87"/>
      <c r="QAJ1" s="87"/>
      <c r="QAK1" s="87"/>
      <c r="QAL1" s="87"/>
      <c r="QAM1" s="87"/>
      <c r="QAN1" s="87"/>
      <c r="QAO1" s="87"/>
      <c r="QAP1" s="87"/>
      <c r="QAQ1" s="87"/>
      <c r="QAR1" s="87"/>
      <c r="QAS1" s="87"/>
      <c r="QAT1" s="87"/>
      <c r="QAU1" s="87"/>
      <c r="QAV1" s="87"/>
      <c r="QAW1" s="87"/>
      <c r="QAX1" s="87"/>
      <c r="QAY1" s="87"/>
      <c r="QAZ1" s="87"/>
      <c r="QBA1" s="87"/>
      <c r="QBB1" s="87"/>
      <c r="QBC1" s="87"/>
      <c r="QBD1" s="87"/>
      <c r="QBE1" s="87"/>
      <c r="QBF1" s="87"/>
      <c r="QBG1" s="87"/>
      <c r="QBH1" s="87"/>
      <c r="QBI1" s="87"/>
      <c r="QBJ1" s="87"/>
      <c r="QBK1" s="87"/>
      <c r="QBL1" s="87"/>
      <c r="QBM1" s="87"/>
      <c r="QBN1" s="87"/>
      <c r="QBO1" s="87"/>
      <c r="QBP1" s="87"/>
      <c r="QBQ1" s="87"/>
      <c r="QBR1" s="87"/>
      <c r="QBS1" s="87"/>
      <c r="QBT1" s="87"/>
      <c r="QBU1" s="87"/>
      <c r="QBV1" s="87"/>
      <c r="QBW1" s="87"/>
      <c r="QBX1" s="87"/>
      <c r="QBY1" s="87"/>
      <c r="QBZ1" s="87"/>
      <c r="QCA1" s="87"/>
      <c r="QCB1" s="87"/>
      <c r="QCC1" s="87"/>
      <c r="QCD1" s="87"/>
      <c r="QCE1" s="87"/>
      <c r="QCF1" s="87"/>
      <c r="QCG1" s="87"/>
      <c r="QCH1" s="87"/>
      <c r="QCI1" s="87"/>
      <c r="QCJ1" s="87"/>
      <c r="QCK1" s="87"/>
      <c r="QCL1" s="87"/>
      <c r="QCM1" s="87"/>
      <c r="QCN1" s="87"/>
      <c r="QCO1" s="87"/>
      <c r="QCP1" s="87"/>
      <c r="QCQ1" s="87"/>
      <c r="QCR1" s="87"/>
      <c r="QCS1" s="87"/>
      <c r="QCT1" s="87"/>
      <c r="QCU1" s="87"/>
      <c r="QCV1" s="87"/>
      <c r="QCW1" s="87"/>
      <c r="QCX1" s="87"/>
      <c r="QCY1" s="87"/>
      <c r="QCZ1" s="87"/>
      <c r="QDA1" s="87"/>
      <c r="QDB1" s="87"/>
      <c r="QDC1" s="87"/>
      <c r="QDD1" s="87"/>
      <c r="QDE1" s="87"/>
      <c r="QDF1" s="87"/>
      <c r="QDG1" s="87"/>
      <c r="QDH1" s="87"/>
      <c r="QDI1" s="87"/>
      <c r="QDJ1" s="87"/>
      <c r="QDK1" s="87"/>
      <c r="QDL1" s="87"/>
      <c r="QDM1" s="87"/>
      <c r="QDN1" s="87"/>
      <c r="QDO1" s="87"/>
      <c r="QDP1" s="87"/>
      <c r="QDQ1" s="87"/>
      <c r="QDR1" s="87"/>
      <c r="QDS1" s="87"/>
      <c r="QDT1" s="87"/>
      <c r="QDU1" s="87"/>
      <c r="QDV1" s="87"/>
      <c r="QDW1" s="87"/>
      <c r="QDX1" s="87"/>
      <c r="QDY1" s="87"/>
      <c r="QDZ1" s="87"/>
      <c r="QEA1" s="87"/>
      <c r="QEB1" s="87"/>
      <c r="QEC1" s="87"/>
      <c r="QED1" s="87"/>
      <c r="QEE1" s="87"/>
      <c r="QEF1" s="87"/>
      <c r="QEG1" s="87"/>
      <c r="QEH1" s="87"/>
      <c r="QEI1" s="87"/>
      <c r="QEJ1" s="87"/>
      <c r="QEK1" s="87"/>
      <c r="QEL1" s="87"/>
      <c r="QEM1" s="87"/>
      <c r="QEN1" s="87"/>
      <c r="QEO1" s="87"/>
      <c r="QEP1" s="87"/>
      <c r="QEQ1" s="87"/>
      <c r="QER1" s="87"/>
      <c r="QES1" s="87"/>
      <c r="QET1" s="87"/>
      <c r="QEU1" s="87"/>
      <c r="QEV1" s="87"/>
      <c r="QEW1" s="87"/>
      <c r="QEX1" s="87"/>
      <c r="QEY1" s="87"/>
      <c r="QEZ1" s="87"/>
      <c r="QFA1" s="87"/>
      <c r="QFB1" s="87"/>
      <c r="QFC1" s="87"/>
      <c r="QFD1" s="87"/>
      <c r="QFE1" s="87"/>
      <c r="QFF1" s="87"/>
      <c r="QFG1" s="87"/>
      <c r="QFH1" s="87"/>
      <c r="QFI1" s="87"/>
      <c r="QFJ1" s="87"/>
      <c r="QFK1" s="87"/>
      <c r="QFL1" s="87"/>
      <c r="QFM1" s="87"/>
      <c r="QFN1" s="87"/>
      <c r="QFO1" s="87"/>
      <c r="QFP1" s="87"/>
      <c r="QFQ1" s="87"/>
      <c r="QFR1" s="87"/>
      <c r="QFS1" s="87"/>
      <c r="QFT1" s="87"/>
      <c r="QFU1" s="87"/>
      <c r="QFV1" s="87"/>
      <c r="QFW1" s="87"/>
      <c r="QFX1" s="87"/>
      <c r="QFY1" s="87"/>
      <c r="QFZ1" s="87"/>
      <c r="QGA1" s="87"/>
      <c r="QGB1" s="87"/>
      <c r="QGC1" s="87"/>
      <c r="QGD1" s="87"/>
      <c r="QGE1" s="87"/>
      <c r="QGF1" s="87"/>
      <c r="QGG1" s="87"/>
      <c r="QGH1" s="87"/>
      <c r="QGI1" s="87"/>
      <c r="QGJ1" s="87"/>
      <c r="QGK1" s="87"/>
      <c r="QGL1" s="87"/>
      <c r="QGM1" s="87"/>
      <c r="QGN1" s="87"/>
      <c r="QGO1" s="87"/>
      <c r="QGP1" s="87"/>
      <c r="QGQ1" s="87"/>
      <c r="QGR1" s="87"/>
      <c r="QGS1" s="87"/>
      <c r="QGT1" s="87"/>
      <c r="QGU1" s="87"/>
      <c r="QGV1" s="87"/>
      <c r="QGW1" s="87"/>
      <c r="QGX1" s="87"/>
      <c r="QGY1" s="87"/>
      <c r="QGZ1" s="87"/>
      <c r="QHA1" s="87"/>
      <c r="QHB1" s="87"/>
      <c r="QHC1" s="87"/>
      <c r="QHD1" s="87"/>
      <c r="QHE1" s="87"/>
      <c r="QHF1" s="87"/>
      <c r="QHG1" s="87"/>
      <c r="QHH1" s="87"/>
      <c r="QHI1" s="87"/>
      <c r="QHJ1" s="87"/>
      <c r="QHK1" s="87"/>
      <c r="QHL1" s="87"/>
      <c r="QHM1" s="87"/>
      <c r="QHN1" s="87"/>
      <c r="QHO1" s="87"/>
      <c r="QHP1" s="87"/>
      <c r="QHQ1" s="87"/>
      <c r="QHR1" s="87"/>
      <c r="QHS1" s="87"/>
      <c r="QHT1" s="87"/>
      <c r="QHU1" s="87"/>
      <c r="QHV1" s="87"/>
      <c r="QHW1" s="87"/>
      <c r="QHX1" s="87"/>
      <c r="QHY1" s="87"/>
      <c r="QHZ1" s="87"/>
      <c r="QIA1" s="87"/>
      <c r="QIB1" s="87"/>
      <c r="QIC1" s="87"/>
      <c r="QID1" s="87"/>
      <c r="QIE1" s="87"/>
      <c r="QIF1" s="87"/>
      <c r="QIG1" s="87"/>
      <c r="QIH1" s="87"/>
      <c r="QII1" s="87"/>
      <c r="QIJ1" s="87"/>
      <c r="QIK1" s="87"/>
      <c r="QIL1" s="87"/>
      <c r="QIM1" s="87"/>
      <c r="QIN1" s="87"/>
      <c r="QIO1" s="87"/>
      <c r="QIP1" s="87"/>
      <c r="QIQ1" s="87"/>
      <c r="QIR1" s="87"/>
      <c r="QIS1" s="87"/>
      <c r="QIT1" s="87"/>
      <c r="QIU1" s="87"/>
      <c r="QIV1" s="87"/>
      <c r="QIW1" s="87"/>
      <c r="QIX1" s="87"/>
      <c r="QIY1" s="87"/>
      <c r="QIZ1" s="87"/>
      <c r="QJA1" s="87"/>
      <c r="QJB1" s="87"/>
      <c r="QJC1" s="87"/>
      <c r="QJD1" s="87"/>
      <c r="QJE1" s="87"/>
      <c r="QJF1" s="87"/>
      <c r="QJG1" s="87"/>
      <c r="QJH1" s="87"/>
      <c r="QJI1" s="87"/>
      <c r="QJJ1" s="87"/>
      <c r="QJK1" s="87"/>
      <c r="QJL1" s="87"/>
      <c r="QJM1" s="87"/>
      <c r="QJN1" s="87"/>
      <c r="QJO1" s="87"/>
      <c r="QJP1" s="87"/>
      <c r="QJQ1" s="87"/>
      <c r="QJR1" s="87"/>
      <c r="QJS1" s="87"/>
      <c r="QJT1" s="87"/>
      <c r="QJU1" s="87"/>
      <c r="QJV1" s="87"/>
      <c r="QJW1" s="87"/>
      <c r="QJX1" s="87"/>
      <c r="QJY1" s="87"/>
      <c r="QJZ1" s="87"/>
      <c r="QKA1" s="87"/>
      <c r="QKB1" s="87"/>
      <c r="QKC1" s="87"/>
      <c r="QKD1" s="87"/>
      <c r="QKE1" s="87"/>
      <c r="QKF1" s="87"/>
      <c r="QKG1" s="87"/>
      <c r="QKH1" s="87"/>
      <c r="QKI1" s="87"/>
      <c r="QKJ1" s="87"/>
      <c r="QKK1" s="87"/>
      <c r="QKL1" s="87"/>
      <c r="QKM1" s="87"/>
      <c r="QKN1" s="87"/>
      <c r="QKO1" s="87"/>
      <c r="QKP1" s="87"/>
      <c r="QKQ1" s="87"/>
      <c r="QKR1" s="87"/>
      <c r="QKS1" s="87"/>
      <c r="QKT1" s="87"/>
      <c r="QKU1" s="87"/>
      <c r="QKV1" s="87"/>
      <c r="QKW1" s="87"/>
      <c r="QKX1" s="87"/>
      <c r="QKY1" s="87"/>
      <c r="QKZ1" s="87"/>
      <c r="QLA1" s="87"/>
      <c r="QLB1" s="87"/>
      <c r="QLC1" s="87"/>
      <c r="QLD1" s="87"/>
      <c r="QLE1" s="87"/>
      <c r="QLF1" s="87"/>
      <c r="QLG1" s="87"/>
      <c r="QLH1" s="87"/>
      <c r="QLI1" s="87"/>
      <c r="QLJ1" s="87"/>
      <c r="QLK1" s="87"/>
      <c r="QLL1" s="87"/>
      <c r="QLM1" s="87"/>
      <c r="QLN1" s="87"/>
      <c r="QLO1" s="87"/>
      <c r="QLP1" s="87"/>
      <c r="QLQ1" s="87"/>
      <c r="QLR1" s="87"/>
      <c r="QLS1" s="87"/>
      <c r="QLT1" s="87"/>
      <c r="QLU1" s="87"/>
      <c r="QLV1" s="87"/>
      <c r="QLW1" s="87"/>
      <c r="QLX1" s="87"/>
      <c r="QLY1" s="87"/>
      <c r="QLZ1" s="87"/>
      <c r="QMA1" s="87"/>
      <c r="QMB1" s="87"/>
      <c r="QMC1" s="87"/>
      <c r="QMD1" s="87"/>
      <c r="QME1" s="87"/>
      <c r="QMF1" s="87"/>
      <c r="QMG1" s="87"/>
      <c r="QMH1" s="87"/>
      <c r="QMI1" s="87"/>
      <c r="QMJ1" s="87"/>
      <c r="QMK1" s="87"/>
      <c r="QML1" s="87"/>
      <c r="QMM1" s="87"/>
      <c r="QMN1" s="87"/>
      <c r="QMO1" s="87"/>
      <c r="QMP1" s="87"/>
      <c r="QMQ1" s="87"/>
      <c r="QMR1" s="87"/>
      <c r="QMS1" s="87"/>
      <c r="QMT1" s="87"/>
      <c r="QMU1" s="87"/>
      <c r="QMV1" s="87"/>
      <c r="QMW1" s="87"/>
      <c r="QMX1" s="87"/>
      <c r="QMY1" s="87"/>
      <c r="QMZ1" s="87"/>
      <c r="QNA1" s="87"/>
      <c r="QNB1" s="87"/>
      <c r="QNC1" s="87"/>
      <c r="QND1" s="87"/>
      <c r="QNE1" s="87"/>
      <c r="QNF1" s="87"/>
      <c r="QNG1" s="87"/>
      <c r="QNH1" s="87"/>
      <c r="QNI1" s="87"/>
      <c r="QNJ1" s="87"/>
      <c r="QNK1" s="87"/>
      <c r="QNL1" s="87"/>
      <c r="QNM1" s="87"/>
      <c r="QNN1" s="87"/>
      <c r="QNO1" s="87"/>
      <c r="QNP1" s="87"/>
      <c r="QNQ1" s="87"/>
      <c r="QNR1" s="87"/>
      <c r="QNS1" s="87"/>
      <c r="QNT1" s="87"/>
      <c r="QNU1" s="87"/>
      <c r="QNV1" s="87"/>
      <c r="QNW1" s="87"/>
      <c r="QNX1" s="87"/>
      <c r="QNY1" s="87"/>
      <c r="QNZ1" s="87"/>
      <c r="QOA1" s="87"/>
      <c r="QOB1" s="87"/>
      <c r="QOC1" s="87"/>
      <c r="QOD1" s="87"/>
      <c r="QOE1" s="87"/>
      <c r="QOF1" s="87"/>
      <c r="QOG1" s="87"/>
      <c r="QOH1" s="87"/>
      <c r="QOI1" s="87"/>
      <c r="QOJ1" s="87"/>
      <c r="QOK1" s="87"/>
      <c r="QOL1" s="87"/>
      <c r="QOM1" s="87"/>
      <c r="QON1" s="87"/>
      <c r="QOO1" s="87"/>
      <c r="QOP1" s="87"/>
      <c r="QOQ1" s="87"/>
      <c r="QOR1" s="87"/>
      <c r="QOS1" s="87"/>
      <c r="QOT1" s="87"/>
      <c r="QOU1" s="87"/>
      <c r="QOV1" s="87"/>
      <c r="QOW1" s="87"/>
      <c r="QOX1" s="87"/>
      <c r="QOY1" s="87"/>
      <c r="QOZ1" s="87"/>
      <c r="QPA1" s="87"/>
      <c r="QPB1" s="87"/>
      <c r="QPC1" s="87"/>
      <c r="QPD1" s="87"/>
      <c r="QPE1" s="87"/>
      <c r="QPF1" s="87"/>
      <c r="QPG1" s="87"/>
      <c r="QPH1" s="87"/>
      <c r="QPI1" s="87"/>
      <c r="QPJ1" s="87"/>
      <c r="QPK1" s="87"/>
      <c r="QPL1" s="87"/>
      <c r="QPM1" s="87"/>
      <c r="QPN1" s="87"/>
      <c r="QPO1" s="87"/>
      <c r="QPP1" s="87"/>
      <c r="QPQ1" s="87"/>
      <c r="QPR1" s="87"/>
      <c r="QPS1" s="87"/>
      <c r="QPT1" s="87"/>
      <c r="QPU1" s="87"/>
      <c r="QPV1" s="87"/>
      <c r="QPW1" s="87"/>
      <c r="QPX1" s="87"/>
      <c r="QPY1" s="87"/>
      <c r="QPZ1" s="87"/>
      <c r="QQA1" s="87"/>
      <c r="QQB1" s="87"/>
      <c r="QQC1" s="87"/>
      <c r="QQD1" s="87"/>
      <c r="QQE1" s="87"/>
      <c r="QQF1" s="87"/>
      <c r="QQG1" s="87"/>
      <c r="QQH1" s="87"/>
      <c r="QQI1" s="87"/>
      <c r="QQJ1" s="87"/>
      <c r="QQK1" s="87"/>
      <c r="QQL1" s="87"/>
      <c r="QQM1" s="87"/>
      <c r="QQN1" s="87"/>
      <c r="QQO1" s="87"/>
      <c r="QQP1" s="87"/>
      <c r="QQQ1" s="87"/>
      <c r="QQR1" s="87"/>
      <c r="QQS1" s="87"/>
      <c r="QQT1" s="87"/>
      <c r="QQU1" s="87"/>
      <c r="QQV1" s="87"/>
      <c r="QQW1" s="87"/>
      <c r="QQX1" s="87"/>
      <c r="QQY1" s="87"/>
      <c r="QQZ1" s="87"/>
      <c r="QRA1" s="87"/>
      <c r="QRB1" s="87"/>
      <c r="QRC1" s="87"/>
      <c r="QRD1" s="87"/>
      <c r="QRE1" s="87"/>
      <c r="QRF1" s="87"/>
      <c r="QRG1" s="87"/>
      <c r="QRH1" s="87"/>
      <c r="QRI1" s="87"/>
      <c r="QRJ1" s="87"/>
      <c r="QRK1" s="87"/>
      <c r="QRL1" s="87"/>
      <c r="QRM1" s="87"/>
      <c r="QRN1" s="87"/>
      <c r="QRO1" s="87"/>
      <c r="QRP1" s="87"/>
      <c r="QRQ1" s="87"/>
      <c r="QRR1" s="87"/>
      <c r="QRS1" s="87"/>
      <c r="QRT1" s="87"/>
      <c r="QRU1" s="87"/>
      <c r="QRV1" s="87"/>
      <c r="QRW1" s="87"/>
      <c r="QRX1" s="87"/>
      <c r="QRY1" s="87"/>
      <c r="QRZ1" s="87"/>
      <c r="QSA1" s="87"/>
      <c r="QSB1" s="87"/>
      <c r="QSC1" s="87"/>
      <c r="QSD1" s="87"/>
      <c r="QSE1" s="87"/>
      <c r="QSF1" s="87"/>
      <c r="QSG1" s="87"/>
      <c r="QSH1" s="87"/>
      <c r="QSI1" s="87"/>
      <c r="QSJ1" s="87"/>
      <c r="QSK1" s="87"/>
      <c r="QSL1" s="87"/>
      <c r="QSM1" s="87"/>
      <c r="QSN1" s="87"/>
      <c r="QSO1" s="87"/>
      <c r="QSP1" s="87"/>
      <c r="QSQ1" s="87"/>
      <c r="QSR1" s="87"/>
      <c r="QSS1" s="87"/>
      <c r="QST1" s="87"/>
      <c r="QSU1" s="87"/>
      <c r="QSV1" s="87"/>
      <c r="QSW1" s="87"/>
      <c r="QSX1" s="87"/>
      <c r="QSY1" s="87"/>
      <c r="QSZ1" s="87"/>
      <c r="QTA1" s="87"/>
      <c r="QTB1" s="87"/>
      <c r="QTC1" s="87"/>
      <c r="QTD1" s="87"/>
      <c r="QTE1" s="87"/>
      <c r="QTF1" s="87"/>
      <c r="QTG1" s="87"/>
      <c r="QTH1" s="87"/>
      <c r="QTI1" s="87"/>
      <c r="QTJ1" s="87"/>
      <c r="QTK1" s="87"/>
      <c r="QTL1" s="87"/>
      <c r="QTM1" s="87"/>
      <c r="QTN1" s="87"/>
      <c r="QTO1" s="87"/>
      <c r="QTP1" s="87"/>
      <c r="QTQ1" s="87"/>
      <c r="QTR1" s="87"/>
      <c r="QTS1" s="87"/>
      <c r="QTT1" s="87"/>
      <c r="QTU1" s="87"/>
      <c r="QTV1" s="87"/>
      <c r="QTW1" s="87"/>
      <c r="QTX1" s="87"/>
      <c r="QTY1" s="87"/>
      <c r="QTZ1" s="87"/>
      <c r="QUA1" s="87"/>
      <c r="QUB1" s="87"/>
      <c r="QUC1" s="87"/>
      <c r="QUD1" s="87"/>
      <c r="QUE1" s="87"/>
      <c r="QUF1" s="87"/>
      <c r="QUG1" s="87"/>
      <c r="QUH1" s="87"/>
      <c r="QUI1" s="87"/>
      <c r="QUJ1" s="87"/>
      <c r="QUK1" s="87"/>
      <c r="QUL1" s="87"/>
      <c r="QUM1" s="87"/>
      <c r="QUN1" s="87"/>
      <c r="QUO1" s="87"/>
      <c r="QUP1" s="87"/>
      <c r="QUQ1" s="87"/>
      <c r="QUR1" s="87"/>
      <c r="QUS1" s="87"/>
      <c r="QUT1" s="87"/>
      <c r="QUU1" s="87"/>
      <c r="QUV1" s="87"/>
      <c r="QUW1" s="87"/>
      <c r="QUX1" s="87"/>
      <c r="QUY1" s="87"/>
      <c r="QUZ1" s="87"/>
      <c r="QVA1" s="87"/>
      <c r="QVB1" s="87"/>
      <c r="QVC1" s="87"/>
      <c r="QVD1" s="87"/>
      <c r="QVE1" s="87"/>
      <c r="QVF1" s="87"/>
      <c r="QVG1" s="87"/>
      <c r="QVH1" s="87"/>
      <c r="QVI1" s="87"/>
      <c r="QVJ1" s="87"/>
      <c r="QVK1" s="87"/>
      <c r="QVL1" s="87"/>
      <c r="QVM1" s="87"/>
      <c r="QVN1" s="87"/>
      <c r="QVO1" s="87"/>
      <c r="QVP1" s="87"/>
      <c r="QVQ1" s="87"/>
      <c r="QVR1" s="87"/>
      <c r="QVS1" s="87"/>
      <c r="QVT1" s="87"/>
      <c r="QVU1" s="87"/>
      <c r="QVV1" s="87"/>
      <c r="QVW1" s="87"/>
      <c r="QVX1" s="87"/>
      <c r="QVY1" s="87"/>
      <c r="QVZ1" s="87"/>
      <c r="QWA1" s="87"/>
      <c r="QWB1" s="87"/>
      <c r="QWC1" s="87"/>
      <c r="QWD1" s="87"/>
      <c r="QWE1" s="87"/>
      <c r="QWF1" s="87"/>
      <c r="QWG1" s="87"/>
      <c r="QWH1" s="87"/>
      <c r="QWI1" s="87"/>
      <c r="QWJ1" s="87"/>
      <c r="QWK1" s="87"/>
      <c r="QWL1" s="87"/>
      <c r="QWM1" s="87"/>
      <c r="QWN1" s="87"/>
      <c r="QWO1" s="87"/>
      <c r="QWP1" s="87"/>
      <c r="QWQ1" s="87"/>
      <c r="QWR1" s="87"/>
      <c r="QWS1" s="87"/>
      <c r="QWT1" s="87"/>
      <c r="QWU1" s="87"/>
      <c r="QWV1" s="87"/>
      <c r="QWW1" s="87"/>
      <c r="QWX1" s="87"/>
      <c r="QWY1" s="87"/>
      <c r="QWZ1" s="87"/>
      <c r="QXA1" s="87"/>
      <c r="QXB1" s="87"/>
      <c r="QXC1" s="87"/>
      <c r="QXD1" s="87"/>
      <c r="QXE1" s="87"/>
      <c r="QXF1" s="87"/>
      <c r="QXG1" s="87"/>
      <c r="QXH1" s="87"/>
      <c r="QXI1" s="87"/>
      <c r="QXJ1" s="87"/>
      <c r="QXK1" s="87"/>
      <c r="QXL1" s="87"/>
      <c r="QXM1" s="87"/>
      <c r="QXN1" s="87"/>
      <c r="QXO1" s="87"/>
      <c r="QXP1" s="87"/>
      <c r="QXQ1" s="87"/>
      <c r="QXR1" s="87"/>
      <c r="QXS1" s="87"/>
      <c r="QXT1" s="87"/>
      <c r="QXU1" s="87"/>
      <c r="QXV1" s="87"/>
      <c r="QXW1" s="87"/>
      <c r="QXX1" s="87"/>
      <c r="QXY1" s="87"/>
      <c r="QXZ1" s="87"/>
      <c r="QYA1" s="87"/>
      <c r="QYB1" s="87"/>
      <c r="QYC1" s="87"/>
      <c r="QYD1" s="87"/>
      <c r="QYE1" s="87"/>
      <c r="QYF1" s="87"/>
      <c r="QYG1" s="87"/>
      <c r="QYH1" s="87"/>
      <c r="QYI1" s="87"/>
      <c r="QYJ1" s="87"/>
      <c r="QYK1" s="87"/>
      <c r="QYL1" s="87"/>
      <c r="QYM1" s="87"/>
      <c r="QYN1" s="87"/>
      <c r="QYO1" s="87"/>
      <c r="QYP1" s="87"/>
      <c r="QYQ1" s="87"/>
      <c r="QYR1" s="87"/>
      <c r="QYS1" s="87"/>
      <c r="QYT1" s="87"/>
      <c r="QYU1" s="87"/>
      <c r="QYV1" s="87"/>
      <c r="QYW1" s="87"/>
      <c r="QYX1" s="87"/>
      <c r="QYY1" s="87"/>
      <c r="QYZ1" s="87"/>
      <c r="QZA1" s="87"/>
      <c r="QZB1" s="87"/>
      <c r="QZC1" s="87"/>
      <c r="QZD1" s="87"/>
      <c r="QZE1" s="87"/>
      <c r="QZF1" s="87"/>
      <c r="QZG1" s="87"/>
      <c r="QZH1" s="87"/>
      <c r="QZI1" s="87"/>
      <c r="QZJ1" s="87"/>
      <c r="QZK1" s="87"/>
      <c r="QZL1" s="87"/>
      <c r="QZM1" s="87"/>
      <c r="QZN1" s="87"/>
      <c r="QZO1" s="87"/>
      <c r="QZP1" s="87"/>
      <c r="QZQ1" s="87"/>
      <c r="QZR1" s="87"/>
      <c r="QZS1" s="87"/>
      <c r="QZT1" s="87"/>
      <c r="QZU1" s="87"/>
      <c r="QZV1" s="87"/>
      <c r="QZW1" s="87"/>
      <c r="QZX1" s="87"/>
      <c r="QZY1" s="87"/>
      <c r="QZZ1" s="87"/>
      <c r="RAA1" s="87"/>
      <c r="RAB1" s="87"/>
      <c r="RAC1" s="87"/>
      <c r="RAD1" s="87"/>
      <c r="RAE1" s="87"/>
      <c r="RAF1" s="87"/>
      <c r="RAG1" s="87"/>
      <c r="RAH1" s="87"/>
      <c r="RAI1" s="87"/>
      <c r="RAJ1" s="87"/>
      <c r="RAK1" s="87"/>
      <c r="RAL1" s="87"/>
      <c r="RAM1" s="87"/>
      <c r="RAN1" s="87"/>
      <c r="RAO1" s="87"/>
      <c r="RAP1" s="87"/>
      <c r="RAQ1" s="87"/>
      <c r="RAR1" s="87"/>
      <c r="RAS1" s="87"/>
      <c r="RAT1" s="87"/>
      <c r="RAU1" s="87"/>
      <c r="RAV1" s="87"/>
      <c r="RAW1" s="87"/>
      <c r="RAX1" s="87"/>
      <c r="RAY1" s="87"/>
      <c r="RAZ1" s="87"/>
      <c r="RBA1" s="87"/>
      <c r="RBB1" s="87"/>
      <c r="RBC1" s="87"/>
      <c r="RBD1" s="87"/>
      <c r="RBE1" s="87"/>
      <c r="RBF1" s="87"/>
      <c r="RBG1" s="87"/>
      <c r="RBH1" s="87"/>
      <c r="RBI1" s="87"/>
      <c r="RBJ1" s="87"/>
      <c r="RBK1" s="87"/>
      <c r="RBL1" s="87"/>
      <c r="RBM1" s="87"/>
      <c r="RBN1" s="87"/>
      <c r="RBO1" s="87"/>
      <c r="RBP1" s="87"/>
      <c r="RBQ1" s="87"/>
      <c r="RBR1" s="87"/>
      <c r="RBS1" s="87"/>
      <c r="RBT1" s="87"/>
      <c r="RBU1" s="87"/>
      <c r="RBV1" s="87"/>
      <c r="RBW1" s="87"/>
      <c r="RBX1" s="87"/>
      <c r="RBY1" s="87"/>
      <c r="RBZ1" s="87"/>
      <c r="RCA1" s="87"/>
      <c r="RCB1" s="87"/>
      <c r="RCC1" s="87"/>
      <c r="RCD1" s="87"/>
      <c r="RCE1" s="87"/>
      <c r="RCF1" s="87"/>
      <c r="RCG1" s="87"/>
      <c r="RCH1" s="87"/>
      <c r="RCI1" s="87"/>
      <c r="RCJ1" s="87"/>
      <c r="RCK1" s="87"/>
      <c r="RCL1" s="87"/>
      <c r="RCM1" s="87"/>
      <c r="RCN1" s="87"/>
      <c r="RCO1" s="87"/>
      <c r="RCP1" s="87"/>
      <c r="RCQ1" s="87"/>
      <c r="RCR1" s="87"/>
      <c r="RCS1" s="87"/>
      <c r="RCT1" s="87"/>
      <c r="RCU1" s="87"/>
      <c r="RCV1" s="87"/>
      <c r="RCW1" s="87"/>
      <c r="RCX1" s="87"/>
      <c r="RCY1" s="87"/>
      <c r="RCZ1" s="87"/>
      <c r="RDA1" s="87"/>
      <c r="RDB1" s="87"/>
      <c r="RDC1" s="87"/>
      <c r="RDD1" s="87"/>
      <c r="RDE1" s="87"/>
      <c r="RDF1" s="87"/>
      <c r="RDG1" s="87"/>
      <c r="RDH1" s="87"/>
      <c r="RDI1" s="87"/>
      <c r="RDJ1" s="87"/>
      <c r="RDK1" s="87"/>
      <c r="RDL1" s="87"/>
      <c r="RDM1" s="87"/>
      <c r="RDN1" s="87"/>
      <c r="RDO1" s="87"/>
      <c r="RDP1" s="87"/>
      <c r="RDQ1" s="87"/>
      <c r="RDR1" s="87"/>
      <c r="RDS1" s="87"/>
      <c r="RDT1" s="87"/>
      <c r="RDU1" s="87"/>
      <c r="RDV1" s="87"/>
      <c r="RDW1" s="87"/>
      <c r="RDX1" s="87"/>
      <c r="RDY1" s="87"/>
      <c r="RDZ1" s="87"/>
      <c r="REA1" s="87"/>
      <c r="REB1" s="87"/>
      <c r="REC1" s="87"/>
      <c r="RED1" s="87"/>
      <c r="REE1" s="87"/>
      <c r="REF1" s="87"/>
      <c r="REG1" s="87"/>
      <c r="REH1" s="87"/>
      <c r="REI1" s="87"/>
      <c r="REJ1" s="87"/>
      <c r="REK1" s="87"/>
      <c r="REL1" s="87"/>
      <c r="REM1" s="87"/>
      <c r="REN1" s="87"/>
      <c r="REO1" s="87"/>
      <c r="REP1" s="87"/>
      <c r="REQ1" s="87"/>
      <c r="RER1" s="87"/>
      <c r="RES1" s="87"/>
      <c r="RET1" s="87"/>
      <c r="REU1" s="87"/>
      <c r="REV1" s="87"/>
      <c r="REW1" s="87"/>
      <c r="REX1" s="87"/>
      <c r="REY1" s="87"/>
      <c r="REZ1" s="87"/>
      <c r="RFA1" s="87"/>
      <c r="RFB1" s="87"/>
      <c r="RFC1" s="87"/>
      <c r="RFD1" s="87"/>
      <c r="RFE1" s="87"/>
      <c r="RFF1" s="87"/>
      <c r="RFG1" s="87"/>
      <c r="RFH1" s="87"/>
      <c r="RFI1" s="87"/>
      <c r="RFJ1" s="87"/>
      <c r="RFK1" s="87"/>
      <c r="RFL1" s="87"/>
      <c r="RFM1" s="87"/>
      <c r="RFN1" s="87"/>
      <c r="RFO1" s="87"/>
      <c r="RFP1" s="87"/>
      <c r="RFQ1" s="87"/>
      <c r="RFR1" s="87"/>
      <c r="RFS1" s="87"/>
      <c r="RFT1" s="87"/>
      <c r="RFU1" s="87"/>
      <c r="RFV1" s="87"/>
      <c r="RFW1" s="87"/>
      <c r="RFX1" s="87"/>
      <c r="RFY1" s="87"/>
      <c r="RFZ1" s="87"/>
      <c r="RGA1" s="87"/>
      <c r="RGB1" s="87"/>
      <c r="RGC1" s="87"/>
      <c r="RGD1" s="87"/>
      <c r="RGE1" s="87"/>
      <c r="RGF1" s="87"/>
      <c r="RGG1" s="87"/>
      <c r="RGH1" s="87"/>
      <c r="RGI1" s="87"/>
      <c r="RGJ1" s="87"/>
      <c r="RGK1" s="87"/>
      <c r="RGL1" s="87"/>
      <c r="RGM1" s="87"/>
      <c r="RGN1" s="87"/>
      <c r="RGO1" s="87"/>
      <c r="RGP1" s="87"/>
      <c r="RGQ1" s="87"/>
      <c r="RGR1" s="87"/>
      <c r="RGS1" s="87"/>
      <c r="RGT1" s="87"/>
      <c r="RGU1" s="87"/>
      <c r="RGV1" s="87"/>
      <c r="RGW1" s="87"/>
      <c r="RGX1" s="87"/>
      <c r="RGY1" s="87"/>
      <c r="RGZ1" s="87"/>
      <c r="RHA1" s="87"/>
      <c r="RHB1" s="87"/>
      <c r="RHC1" s="87"/>
      <c r="RHD1" s="87"/>
      <c r="RHE1" s="87"/>
      <c r="RHF1" s="87"/>
      <c r="RHG1" s="87"/>
      <c r="RHH1" s="87"/>
      <c r="RHI1" s="87"/>
      <c r="RHJ1" s="87"/>
      <c r="RHK1" s="87"/>
      <c r="RHL1" s="87"/>
      <c r="RHM1" s="87"/>
      <c r="RHN1" s="87"/>
      <c r="RHO1" s="87"/>
      <c r="RHP1" s="87"/>
      <c r="RHQ1" s="87"/>
      <c r="RHR1" s="87"/>
      <c r="RHS1" s="87"/>
      <c r="RHT1" s="87"/>
      <c r="RHU1" s="87"/>
      <c r="RHV1" s="87"/>
      <c r="RHW1" s="87"/>
      <c r="RHX1" s="87"/>
      <c r="RHY1" s="87"/>
      <c r="RHZ1" s="87"/>
      <c r="RIA1" s="87"/>
      <c r="RIB1" s="87"/>
      <c r="RIC1" s="87"/>
      <c r="RID1" s="87"/>
      <c r="RIE1" s="87"/>
      <c r="RIF1" s="87"/>
      <c r="RIG1" s="87"/>
      <c r="RIH1" s="87"/>
      <c r="RII1" s="87"/>
      <c r="RIJ1" s="87"/>
      <c r="RIK1" s="87"/>
      <c r="RIL1" s="87"/>
      <c r="RIM1" s="87"/>
      <c r="RIN1" s="87"/>
      <c r="RIO1" s="87"/>
      <c r="RIP1" s="87"/>
      <c r="RIQ1" s="87"/>
      <c r="RIR1" s="87"/>
      <c r="RIS1" s="87"/>
      <c r="RIT1" s="87"/>
      <c r="RIU1" s="87"/>
      <c r="RIV1" s="87"/>
      <c r="RIW1" s="87"/>
      <c r="RIX1" s="87"/>
      <c r="RIY1" s="87"/>
      <c r="RIZ1" s="87"/>
      <c r="RJA1" s="87"/>
      <c r="RJB1" s="87"/>
      <c r="RJC1" s="87"/>
      <c r="RJD1" s="87"/>
      <c r="RJE1" s="87"/>
      <c r="RJF1" s="87"/>
      <c r="RJG1" s="87"/>
      <c r="RJH1" s="87"/>
      <c r="RJI1" s="87"/>
      <c r="RJJ1" s="87"/>
      <c r="RJK1" s="87"/>
      <c r="RJL1" s="87"/>
      <c r="RJM1" s="87"/>
      <c r="RJN1" s="87"/>
      <c r="RJO1" s="87"/>
      <c r="RJP1" s="87"/>
      <c r="RJQ1" s="87"/>
      <c r="RJR1" s="87"/>
      <c r="RJS1" s="87"/>
      <c r="RJT1" s="87"/>
      <c r="RJU1" s="87"/>
      <c r="RJV1" s="87"/>
      <c r="RJW1" s="87"/>
      <c r="RJX1" s="87"/>
      <c r="RJY1" s="87"/>
      <c r="RJZ1" s="87"/>
      <c r="RKA1" s="87"/>
      <c r="RKB1" s="87"/>
      <c r="RKC1" s="87"/>
      <c r="RKD1" s="87"/>
      <c r="RKE1" s="87"/>
      <c r="RKF1" s="87"/>
      <c r="RKG1" s="87"/>
      <c r="RKH1" s="87"/>
      <c r="RKI1" s="87"/>
      <c r="RKJ1" s="87"/>
      <c r="RKK1" s="87"/>
      <c r="RKL1" s="87"/>
      <c r="RKM1" s="87"/>
      <c r="RKN1" s="87"/>
      <c r="RKO1" s="87"/>
      <c r="RKP1" s="87"/>
      <c r="RKQ1" s="87"/>
      <c r="RKR1" s="87"/>
      <c r="RKS1" s="87"/>
      <c r="RKT1" s="87"/>
      <c r="RKU1" s="87"/>
      <c r="RKV1" s="87"/>
      <c r="RKW1" s="87"/>
      <c r="RKX1" s="87"/>
      <c r="RKY1" s="87"/>
      <c r="RKZ1" s="87"/>
      <c r="RLA1" s="87"/>
      <c r="RLB1" s="87"/>
      <c r="RLC1" s="87"/>
      <c r="RLD1" s="87"/>
      <c r="RLE1" s="87"/>
      <c r="RLF1" s="87"/>
      <c r="RLG1" s="87"/>
      <c r="RLH1" s="87"/>
      <c r="RLI1" s="87"/>
      <c r="RLJ1" s="87"/>
      <c r="RLK1" s="87"/>
      <c r="RLL1" s="87"/>
      <c r="RLM1" s="87"/>
      <c r="RLN1" s="87"/>
      <c r="RLO1" s="87"/>
      <c r="RLP1" s="87"/>
      <c r="RLQ1" s="87"/>
      <c r="RLR1" s="87"/>
      <c r="RLS1" s="87"/>
      <c r="RLT1" s="87"/>
      <c r="RLU1" s="87"/>
      <c r="RLV1" s="87"/>
      <c r="RLW1" s="87"/>
      <c r="RLX1" s="87"/>
      <c r="RLY1" s="87"/>
      <c r="RLZ1" s="87"/>
      <c r="RMA1" s="87"/>
      <c r="RMB1" s="87"/>
      <c r="RMC1" s="87"/>
      <c r="RMD1" s="87"/>
      <c r="RME1" s="87"/>
      <c r="RMF1" s="87"/>
      <c r="RMG1" s="87"/>
      <c r="RMH1" s="87"/>
      <c r="RMI1" s="87"/>
      <c r="RMJ1" s="87"/>
      <c r="RMK1" s="87"/>
      <c r="RML1" s="87"/>
      <c r="RMM1" s="87"/>
      <c r="RMN1" s="87"/>
      <c r="RMO1" s="87"/>
      <c r="RMP1" s="87"/>
      <c r="RMQ1" s="87"/>
      <c r="RMR1" s="87"/>
      <c r="RMS1" s="87"/>
      <c r="RMT1" s="87"/>
      <c r="RMU1" s="87"/>
      <c r="RMV1" s="87"/>
      <c r="RMW1" s="87"/>
      <c r="RMX1" s="87"/>
      <c r="RMY1" s="87"/>
      <c r="RMZ1" s="87"/>
      <c r="RNA1" s="87"/>
      <c r="RNB1" s="87"/>
      <c r="RNC1" s="87"/>
      <c r="RND1" s="87"/>
      <c r="RNE1" s="87"/>
      <c r="RNF1" s="87"/>
      <c r="RNG1" s="87"/>
      <c r="RNH1" s="87"/>
      <c r="RNI1" s="87"/>
      <c r="RNJ1" s="87"/>
      <c r="RNK1" s="87"/>
      <c r="RNL1" s="87"/>
      <c r="RNM1" s="87"/>
      <c r="RNN1" s="87"/>
      <c r="RNO1" s="87"/>
      <c r="RNP1" s="87"/>
      <c r="RNQ1" s="87"/>
      <c r="RNR1" s="87"/>
      <c r="RNS1" s="87"/>
      <c r="RNT1" s="87"/>
      <c r="RNU1" s="87"/>
      <c r="RNV1" s="87"/>
      <c r="RNW1" s="87"/>
      <c r="RNX1" s="87"/>
      <c r="RNY1" s="87"/>
      <c r="RNZ1" s="87"/>
      <c r="ROA1" s="87"/>
      <c r="ROB1" s="87"/>
      <c r="ROC1" s="87"/>
      <c r="ROD1" s="87"/>
      <c r="ROE1" s="87"/>
      <c r="ROF1" s="87"/>
      <c r="ROG1" s="87"/>
      <c r="ROH1" s="87"/>
      <c r="ROI1" s="87"/>
      <c r="ROJ1" s="87"/>
      <c r="ROK1" s="87"/>
      <c r="ROL1" s="87"/>
      <c r="ROM1" s="87"/>
      <c r="RON1" s="87"/>
      <c r="ROO1" s="87"/>
      <c r="ROP1" s="87"/>
      <c r="ROQ1" s="87"/>
      <c r="ROR1" s="87"/>
      <c r="ROS1" s="87"/>
      <c r="ROT1" s="87"/>
      <c r="ROU1" s="87"/>
      <c r="ROV1" s="87"/>
      <c r="ROW1" s="87"/>
      <c r="ROX1" s="87"/>
      <c r="ROY1" s="87"/>
      <c r="ROZ1" s="87"/>
      <c r="RPA1" s="87"/>
      <c r="RPB1" s="87"/>
      <c r="RPC1" s="87"/>
      <c r="RPD1" s="87"/>
      <c r="RPE1" s="87"/>
      <c r="RPF1" s="87"/>
      <c r="RPG1" s="87"/>
      <c r="RPH1" s="87"/>
      <c r="RPI1" s="87"/>
      <c r="RPJ1" s="87"/>
      <c r="RPK1" s="87"/>
      <c r="RPL1" s="87"/>
      <c r="RPM1" s="87"/>
      <c r="RPN1" s="87"/>
      <c r="RPO1" s="87"/>
      <c r="RPP1" s="87"/>
      <c r="RPQ1" s="87"/>
      <c r="RPR1" s="87"/>
      <c r="RPS1" s="87"/>
      <c r="RPT1" s="87"/>
      <c r="RPU1" s="87"/>
      <c r="RPV1" s="87"/>
      <c r="RPW1" s="87"/>
      <c r="RPX1" s="87"/>
      <c r="RPY1" s="87"/>
      <c r="RPZ1" s="87"/>
      <c r="RQA1" s="87"/>
      <c r="RQB1" s="87"/>
      <c r="RQC1" s="87"/>
      <c r="RQD1" s="87"/>
      <c r="RQE1" s="87"/>
      <c r="RQF1" s="87"/>
      <c r="RQG1" s="87"/>
      <c r="RQH1" s="87"/>
      <c r="RQI1" s="87"/>
      <c r="RQJ1" s="87"/>
      <c r="RQK1" s="87"/>
      <c r="RQL1" s="87"/>
      <c r="RQM1" s="87"/>
      <c r="RQN1" s="87"/>
      <c r="RQO1" s="87"/>
      <c r="RQP1" s="87"/>
      <c r="RQQ1" s="87"/>
      <c r="RQR1" s="87"/>
      <c r="RQS1" s="87"/>
      <c r="RQT1" s="87"/>
      <c r="RQU1" s="87"/>
      <c r="RQV1" s="87"/>
      <c r="RQW1" s="87"/>
      <c r="RQX1" s="87"/>
      <c r="RQY1" s="87"/>
      <c r="RQZ1" s="87"/>
      <c r="RRA1" s="87"/>
      <c r="RRB1" s="87"/>
      <c r="RRC1" s="87"/>
      <c r="RRD1" s="87"/>
      <c r="RRE1" s="87"/>
      <c r="RRF1" s="87"/>
      <c r="RRG1" s="87"/>
      <c r="RRH1" s="87"/>
      <c r="RRI1" s="87"/>
      <c r="RRJ1" s="87"/>
      <c r="RRK1" s="87"/>
      <c r="RRL1" s="87"/>
      <c r="RRM1" s="87"/>
      <c r="RRN1" s="87"/>
      <c r="RRO1" s="87"/>
      <c r="RRP1" s="87"/>
      <c r="RRQ1" s="87"/>
      <c r="RRR1" s="87"/>
      <c r="RRS1" s="87"/>
      <c r="RRT1" s="87"/>
      <c r="RRU1" s="87"/>
      <c r="RRV1" s="87"/>
      <c r="RRW1" s="87"/>
      <c r="RRX1" s="87"/>
      <c r="RRY1" s="87"/>
      <c r="RRZ1" s="87"/>
      <c r="RSA1" s="87"/>
      <c r="RSB1" s="87"/>
      <c r="RSC1" s="87"/>
      <c r="RSD1" s="87"/>
      <c r="RSE1" s="87"/>
      <c r="RSF1" s="87"/>
      <c r="RSG1" s="87"/>
      <c r="RSH1" s="87"/>
      <c r="RSI1" s="87"/>
      <c r="RSJ1" s="87"/>
      <c r="RSK1" s="87"/>
      <c r="RSL1" s="87"/>
      <c r="RSM1" s="87"/>
      <c r="RSN1" s="87"/>
      <c r="RSO1" s="87"/>
      <c r="RSP1" s="87"/>
      <c r="RSQ1" s="87"/>
      <c r="RSR1" s="87"/>
      <c r="RSS1" s="87"/>
      <c r="RST1" s="87"/>
      <c r="RSU1" s="87"/>
      <c r="RSV1" s="87"/>
      <c r="RSW1" s="87"/>
      <c r="RSX1" s="87"/>
      <c r="RSY1" s="87"/>
      <c r="RSZ1" s="87"/>
      <c r="RTA1" s="87"/>
      <c r="RTB1" s="87"/>
      <c r="RTC1" s="87"/>
      <c r="RTD1" s="87"/>
      <c r="RTE1" s="87"/>
      <c r="RTF1" s="87"/>
      <c r="RTG1" s="87"/>
      <c r="RTH1" s="87"/>
      <c r="RTI1" s="87"/>
      <c r="RTJ1" s="87"/>
      <c r="RTK1" s="87"/>
      <c r="RTL1" s="87"/>
      <c r="RTM1" s="87"/>
      <c r="RTN1" s="87"/>
      <c r="RTO1" s="87"/>
      <c r="RTP1" s="87"/>
      <c r="RTQ1" s="87"/>
      <c r="RTR1" s="87"/>
      <c r="RTS1" s="87"/>
      <c r="RTT1" s="87"/>
      <c r="RTU1" s="87"/>
      <c r="RTV1" s="87"/>
      <c r="RTW1" s="87"/>
      <c r="RTX1" s="87"/>
      <c r="RTY1" s="87"/>
      <c r="RTZ1" s="87"/>
      <c r="RUA1" s="87"/>
      <c r="RUB1" s="87"/>
      <c r="RUC1" s="87"/>
      <c r="RUD1" s="87"/>
      <c r="RUE1" s="87"/>
      <c r="RUF1" s="87"/>
      <c r="RUG1" s="87"/>
      <c r="RUH1" s="87"/>
      <c r="RUI1" s="87"/>
      <c r="RUJ1" s="87"/>
      <c r="RUK1" s="87"/>
      <c r="RUL1" s="87"/>
      <c r="RUM1" s="87"/>
      <c r="RUN1" s="87"/>
      <c r="RUO1" s="87"/>
      <c r="RUP1" s="87"/>
      <c r="RUQ1" s="87"/>
      <c r="RUR1" s="87"/>
      <c r="RUS1" s="87"/>
      <c r="RUT1" s="87"/>
      <c r="RUU1" s="87"/>
      <c r="RUV1" s="87"/>
      <c r="RUW1" s="87"/>
      <c r="RUX1" s="87"/>
      <c r="RUY1" s="87"/>
      <c r="RUZ1" s="87"/>
      <c r="RVA1" s="87"/>
      <c r="RVB1" s="87"/>
      <c r="RVC1" s="87"/>
      <c r="RVD1" s="87"/>
      <c r="RVE1" s="87"/>
      <c r="RVF1" s="87"/>
      <c r="RVG1" s="87"/>
      <c r="RVH1" s="87"/>
      <c r="RVI1" s="87"/>
      <c r="RVJ1" s="87"/>
      <c r="RVK1" s="87"/>
      <c r="RVL1" s="87"/>
      <c r="RVM1" s="87"/>
      <c r="RVN1" s="87"/>
      <c r="RVO1" s="87"/>
      <c r="RVP1" s="87"/>
      <c r="RVQ1" s="87"/>
      <c r="RVR1" s="87"/>
      <c r="RVS1" s="87"/>
      <c r="RVT1" s="87"/>
      <c r="RVU1" s="87"/>
      <c r="RVV1" s="87"/>
      <c r="RVW1" s="87"/>
      <c r="RVX1" s="87"/>
      <c r="RVY1" s="87"/>
      <c r="RVZ1" s="87"/>
      <c r="RWA1" s="87"/>
      <c r="RWB1" s="87"/>
      <c r="RWC1" s="87"/>
      <c r="RWD1" s="87"/>
      <c r="RWE1" s="87"/>
      <c r="RWF1" s="87"/>
      <c r="RWG1" s="87"/>
      <c r="RWH1" s="87"/>
      <c r="RWI1" s="87"/>
      <c r="RWJ1" s="87"/>
      <c r="RWK1" s="87"/>
      <c r="RWL1" s="87"/>
      <c r="RWM1" s="87"/>
      <c r="RWN1" s="87"/>
      <c r="RWO1" s="87"/>
      <c r="RWP1" s="87"/>
      <c r="RWQ1" s="87"/>
      <c r="RWR1" s="87"/>
      <c r="RWS1" s="87"/>
      <c r="RWT1" s="87"/>
      <c r="RWU1" s="87"/>
      <c r="RWV1" s="87"/>
      <c r="RWW1" s="87"/>
      <c r="RWX1" s="87"/>
      <c r="RWY1" s="87"/>
      <c r="RWZ1" s="87"/>
      <c r="RXA1" s="87"/>
      <c r="RXB1" s="87"/>
      <c r="RXC1" s="87"/>
      <c r="RXD1" s="87"/>
      <c r="RXE1" s="87"/>
      <c r="RXF1" s="87"/>
      <c r="RXG1" s="87"/>
      <c r="RXH1" s="87"/>
      <c r="RXI1" s="87"/>
      <c r="RXJ1" s="87"/>
      <c r="RXK1" s="87"/>
      <c r="RXL1" s="87"/>
      <c r="RXM1" s="87"/>
      <c r="RXN1" s="87"/>
      <c r="RXO1" s="87"/>
      <c r="RXP1" s="87"/>
      <c r="RXQ1" s="87"/>
      <c r="RXR1" s="87"/>
      <c r="RXS1" s="87"/>
      <c r="RXT1" s="87"/>
      <c r="RXU1" s="87"/>
      <c r="RXV1" s="87"/>
      <c r="RXW1" s="87"/>
      <c r="RXX1" s="87"/>
      <c r="RXY1" s="87"/>
      <c r="RXZ1" s="87"/>
      <c r="RYA1" s="87"/>
      <c r="RYB1" s="87"/>
      <c r="RYC1" s="87"/>
      <c r="RYD1" s="87"/>
      <c r="RYE1" s="87"/>
      <c r="RYF1" s="87"/>
      <c r="RYG1" s="87"/>
      <c r="RYH1" s="87"/>
      <c r="RYI1" s="87"/>
      <c r="RYJ1" s="87"/>
      <c r="RYK1" s="87"/>
      <c r="RYL1" s="87"/>
      <c r="RYM1" s="87"/>
      <c r="RYN1" s="87"/>
      <c r="RYO1" s="87"/>
      <c r="RYP1" s="87"/>
      <c r="RYQ1" s="87"/>
      <c r="RYR1" s="87"/>
      <c r="RYS1" s="87"/>
      <c r="RYT1" s="87"/>
      <c r="RYU1" s="87"/>
      <c r="RYV1" s="87"/>
      <c r="RYW1" s="87"/>
      <c r="RYX1" s="87"/>
      <c r="RYY1" s="87"/>
      <c r="RYZ1" s="87"/>
      <c r="RZA1" s="87"/>
      <c r="RZB1" s="87"/>
      <c r="RZC1" s="87"/>
      <c r="RZD1" s="87"/>
      <c r="RZE1" s="87"/>
      <c r="RZF1" s="87"/>
      <c r="RZG1" s="87"/>
      <c r="RZH1" s="87"/>
      <c r="RZI1" s="87"/>
      <c r="RZJ1" s="87"/>
      <c r="RZK1" s="87"/>
      <c r="RZL1" s="87"/>
      <c r="RZM1" s="87"/>
      <c r="RZN1" s="87"/>
      <c r="RZO1" s="87"/>
      <c r="RZP1" s="87"/>
      <c r="RZQ1" s="87"/>
      <c r="RZR1" s="87"/>
      <c r="RZS1" s="87"/>
      <c r="RZT1" s="87"/>
      <c r="RZU1" s="87"/>
      <c r="RZV1" s="87"/>
      <c r="RZW1" s="87"/>
      <c r="RZX1" s="87"/>
      <c r="RZY1" s="87"/>
      <c r="RZZ1" s="87"/>
      <c r="SAA1" s="87"/>
      <c r="SAB1" s="87"/>
      <c r="SAC1" s="87"/>
      <c r="SAD1" s="87"/>
      <c r="SAE1" s="87"/>
      <c r="SAF1" s="87"/>
      <c r="SAG1" s="87"/>
      <c r="SAH1" s="87"/>
      <c r="SAI1" s="87"/>
      <c r="SAJ1" s="87"/>
      <c r="SAK1" s="87"/>
      <c r="SAL1" s="87"/>
      <c r="SAM1" s="87"/>
      <c r="SAN1" s="87"/>
      <c r="SAO1" s="87"/>
      <c r="SAP1" s="87"/>
      <c r="SAQ1" s="87"/>
      <c r="SAR1" s="87"/>
      <c r="SAS1" s="87"/>
      <c r="SAT1" s="87"/>
      <c r="SAU1" s="87"/>
      <c r="SAV1" s="87"/>
      <c r="SAW1" s="87"/>
      <c r="SAX1" s="87"/>
      <c r="SAY1" s="87"/>
      <c r="SAZ1" s="87"/>
      <c r="SBA1" s="87"/>
      <c r="SBB1" s="87"/>
      <c r="SBC1" s="87"/>
      <c r="SBD1" s="87"/>
      <c r="SBE1" s="87"/>
      <c r="SBF1" s="87"/>
      <c r="SBG1" s="87"/>
      <c r="SBH1" s="87"/>
      <c r="SBI1" s="87"/>
      <c r="SBJ1" s="87"/>
      <c r="SBK1" s="87"/>
      <c r="SBL1" s="87"/>
      <c r="SBM1" s="87"/>
      <c r="SBN1" s="87"/>
      <c r="SBO1" s="87"/>
      <c r="SBP1" s="87"/>
      <c r="SBQ1" s="87"/>
      <c r="SBR1" s="87"/>
      <c r="SBS1" s="87"/>
      <c r="SBT1" s="87"/>
      <c r="SBU1" s="87"/>
      <c r="SBV1" s="87"/>
      <c r="SBW1" s="87"/>
      <c r="SBX1" s="87"/>
      <c r="SBY1" s="87"/>
      <c r="SBZ1" s="87"/>
      <c r="SCA1" s="87"/>
      <c r="SCB1" s="87"/>
      <c r="SCC1" s="87"/>
      <c r="SCD1" s="87"/>
      <c r="SCE1" s="87"/>
      <c r="SCF1" s="87"/>
      <c r="SCG1" s="87"/>
      <c r="SCH1" s="87"/>
      <c r="SCI1" s="87"/>
      <c r="SCJ1" s="87"/>
      <c r="SCK1" s="87"/>
      <c r="SCL1" s="87"/>
      <c r="SCM1" s="87"/>
      <c r="SCN1" s="87"/>
      <c r="SCO1" s="87"/>
      <c r="SCP1" s="87"/>
      <c r="SCQ1" s="87"/>
      <c r="SCR1" s="87"/>
      <c r="SCS1" s="87"/>
      <c r="SCT1" s="87"/>
      <c r="SCU1" s="87"/>
      <c r="SCV1" s="87"/>
      <c r="SCW1" s="87"/>
      <c r="SCX1" s="87"/>
      <c r="SCY1" s="87"/>
      <c r="SCZ1" s="87"/>
      <c r="SDA1" s="87"/>
      <c r="SDB1" s="87"/>
      <c r="SDC1" s="87"/>
      <c r="SDD1" s="87"/>
      <c r="SDE1" s="87"/>
      <c r="SDF1" s="87"/>
      <c r="SDG1" s="87"/>
      <c r="SDH1" s="87"/>
      <c r="SDI1" s="87"/>
      <c r="SDJ1" s="87"/>
      <c r="SDK1" s="87"/>
      <c r="SDL1" s="87"/>
      <c r="SDM1" s="87"/>
      <c r="SDN1" s="87"/>
      <c r="SDO1" s="87"/>
      <c r="SDP1" s="87"/>
      <c r="SDQ1" s="87"/>
      <c r="SDR1" s="87"/>
      <c r="SDS1" s="87"/>
      <c r="SDT1" s="87"/>
      <c r="SDU1" s="87"/>
      <c r="SDV1" s="87"/>
      <c r="SDW1" s="87"/>
      <c r="SDX1" s="87"/>
      <c r="SDY1" s="87"/>
      <c r="SDZ1" s="87"/>
      <c r="SEA1" s="87"/>
      <c r="SEB1" s="87"/>
      <c r="SEC1" s="87"/>
      <c r="SED1" s="87"/>
      <c r="SEE1" s="87"/>
      <c r="SEF1" s="87"/>
      <c r="SEG1" s="87"/>
      <c r="SEH1" s="87"/>
      <c r="SEI1" s="87"/>
      <c r="SEJ1" s="87"/>
      <c r="SEK1" s="87"/>
      <c r="SEL1" s="87"/>
      <c r="SEM1" s="87"/>
      <c r="SEN1" s="87"/>
      <c r="SEO1" s="87"/>
      <c r="SEP1" s="87"/>
      <c r="SEQ1" s="87"/>
      <c r="SER1" s="87"/>
      <c r="SES1" s="87"/>
      <c r="SET1" s="87"/>
      <c r="SEU1" s="87"/>
      <c r="SEV1" s="87"/>
      <c r="SEW1" s="87"/>
      <c r="SEX1" s="87"/>
      <c r="SEY1" s="87"/>
      <c r="SEZ1" s="87"/>
      <c r="SFA1" s="87"/>
      <c r="SFB1" s="87"/>
      <c r="SFC1" s="87"/>
      <c r="SFD1" s="87"/>
      <c r="SFE1" s="87"/>
      <c r="SFF1" s="87"/>
      <c r="SFG1" s="87"/>
      <c r="SFH1" s="87"/>
      <c r="SFI1" s="87"/>
      <c r="SFJ1" s="87"/>
      <c r="SFK1" s="87"/>
      <c r="SFL1" s="87"/>
      <c r="SFM1" s="87"/>
      <c r="SFN1" s="87"/>
      <c r="SFO1" s="87"/>
      <c r="SFP1" s="87"/>
      <c r="SFQ1" s="87"/>
      <c r="SFR1" s="87"/>
      <c r="SFS1" s="87"/>
      <c r="SFT1" s="87"/>
      <c r="SFU1" s="87"/>
      <c r="SFV1" s="87"/>
      <c r="SFW1" s="87"/>
      <c r="SFX1" s="87"/>
      <c r="SFY1" s="87"/>
      <c r="SFZ1" s="87"/>
      <c r="SGA1" s="87"/>
      <c r="SGB1" s="87"/>
      <c r="SGC1" s="87"/>
      <c r="SGD1" s="87"/>
      <c r="SGE1" s="87"/>
      <c r="SGF1" s="87"/>
      <c r="SGG1" s="87"/>
      <c r="SGH1" s="87"/>
      <c r="SGI1" s="87"/>
      <c r="SGJ1" s="87"/>
      <c r="SGK1" s="87"/>
      <c r="SGL1" s="87"/>
      <c r="SGM1" s="87"/>
      <c r="SGN1" s="87"/>
      <c r="SGO1" s="87"/>
      <c r="SGP1" s="87"/>
      <c r="SGQ1" s="87"/>
      <c r="SGR1" s="87"/>
      <c r="SGS1" s="87"/>
      <c r="SGT1" s="87"/>
      <c r="SGU1" s="87"/>
      <c r="SGV1" s="87"/>
      <c r="SGW1" s="87"/>
      <c r="SGX1" s="87"/>
      <c r="SGY1" s="87"/>
      <c r="SGZ1" s="87"/>
      <c r="SHA1" s="87"/>
      <c r="SHB1" s="87"/>
      <c r="SHC1" s="87"/>
      <c r="SHD1" s="87"/>
      <c r="SHE1" s="87"/>
      <c r="SHF1" s="87"/>
      <c r="SHG1" s="87"/>
      <c r="SHH1" s="87"/>
      <c r="SHI1" s="87"/>
      <c r="SHJ1" s="87"/>
      <c r="SHK1" s="87"/>
      <c r="SHL1" s="87"/>
      <c r="SHM1" s="87"/>
      <c r="SHN1" s="87"/>
      <c r="SHO1" s="87"/>
      <c r="SHP1" s="87"/>
      <c r="SHQ1" s="87"/>
      <c r="SHR1" s="87"/>
      <c r="SHS1" s="87"/>
      <c r="SHT1" s="87"/>
      <c r="SHU1" s="87"/>
      <c r="SHV1" s="87"/>
      <c r="SHW1" s="87"/>
      <c r="SHX1" s="87"/>
      <c r="SHY1" s="87"/>
      <c r="SHZ1" s="87"/>
      <c r="SIA1" s="87"/>
      <c r="SIB1" s="87"/>
      <c r="SIC1" s="87"/>
      <c r="SID1" s="87"/>
      <c r="SIE1" s="87"/>
      <c r="SIF1" s="87"/>
      <c r="SIG1" s="87"/>
      <c r="SIH1" s="87"/>
      <c r="SII1" s="87"/>
      <c r="SIJ1" s="87"/>
      <c r="SIK1" s="87"/>
      <c r="SIL1" s="87"/>
      <c r="SIM1" s="87"/>
      <c r="SIN1" s="87"/>
      <c r="SIO1" s="87"/>
      <c r="SIP1" s="87"/>
      <c r="SIQ1" s="87"/>
      <c r="SIR1" s="87"/>
      <c r="SIS1" s="87"/>
      <c r="SIT1" s="87"/>
      <c r="SIU1" s="87"/>
      <c r="SIV1" s="87"/>
      <c r="SIW1" s="87"/>
      <c r="SIX1" s="87"/>
      <c r="SIY1" s="87"/>
      <c r="SIZ1" s="87"/>
      <c r="SJA1" s="87"/>
      <c r="SJB1" s="87"/>
      <c r="SJC1" s="87"/>
      <c r="SJD1" s="87"/>
      <c r="SJE1" s="87"/>
      <c r="SJF1" s="87"/>
      <c r="SJG1" s="87"/>
      <c r="SJH1" s="87"/>
      <c r="SJI1" s="87"/>
      <c r="SJJ1" s="87"/>
      <c r="SJK1" s="87"/>
      <c r="SJL1" s="87"/>
      <c r="SJM1" s="87"/>
      <c r="SJN1" s="87"/>
      <c r="SJO1" s="87"/>
      <c r="SJP1" s="87"/>
      <c r="SJQ1" s="87"/>
      <c r="SJR1" s="87"/>
      <c r="SJS1" s="87"/>
      <c r="SJT1" s="87"/>
      <c r="SJU1" s="87"/>
      <c r="SJV1" s="87"/>
      <c r="SJW1" s="87"/>
      <c r="SJX1" s="87"/>
      <c r="SJY1" s="87"/>
      <c r="SJZ1" s="87"/>
      <c r="SKA1" s="87"/>
      <c r="SKB1" s="87"/>
      <c r="SKC1" s="87"/>
      <c r="SKD1" s="87"/>
      <c r="SKE1" s="87"/>
      <c r="SKF1" s="87"/>
      <c r="SKG1" s="87"/>
      <c r="SKH1" s="87"/>
      <c r="SKI1" s="87"/>
      <c r="SKJ1" s="87"/>
      <c r="SKK1" s="87"/>
      <c r="SKL1" s="87"/>
      <c r="SKM1" s="87"/>
      <c r="SKN1" s="87"/>
      <c r="SKO1" s="87"/>
      <c r="SKP1" s="87"/>
      <c r="SKQ1" s="87"/>
      <c r="SKR1" s="87"/>
      <c r="SKS1" s="87"/>
      <c r="SKT1" s="87"/>
      <c r="SKU1" s="87"/>
      <c r="SKV1" s="87"/>
      <c r="SKW1" s="87"/>
      <c r="SKX1" s="87"/>
      <c r="SKY1" s="87"/>
      <c r="SKZ1" s="87"/>
      <c r="SLA1" s="87"/>
      <c r="SLB1" s="87"/>
      <c r="SLC1" s="87"/>
      <c r="SLD1" s="87"/>
      <c r="SLE1" s="87"/>
      <c r="SLF1" s="87"/>
      <c r="SLG1" s="87"/>
      <c r="SLH1" s="87"/>
      <c r="SLI1" s="87"/>
      <c r="SLJ1" s="87"/>
      <c r="SLK1" s="87"/>
      <c r="SLL1" s="87"/>
      <c r="SLM1" s="87"/>
      <c r="SLN1" s="87"/>
      <c r="SLO1" s="87"/>
      <c r="SLP1" s="87"/>
      <c r="SLQ1" s="87"/>
      <c r="SLR1" s="87"/>
      <c r="SLS1" s="87"/>
      <c r="SLT1" s="87"/>
      <c r="SLU1" s="87"/>
      <c r="SLV1" s="87"/>
      <c r="SLW1" s="87"/>
      <c r="SLX1" s="87"/>
      <c r="SLY1" s="87"/>
      <c r="SLZ1" s="87"/>
      <c r="SMA1" s="87"/>
      <c r="SMB1" s="87"/>
      <c r="SMC1" s="87"/>
      <c r="SMD1" s="87"/>
      <c r="SME1" s="87"/>
      <c r="SMF1" s="87"/>
      <c r="SMG1" s="87"/>
      <c r="SMH1" s="87"/>
      <c r="SMI1" s="87"/>
      <c r="SMJ1" s="87"/>
      <c r="SMK1" s="87"/>
      <c r="SML1" s="87"/>
      <c r="SMM1" s="87"/>
      <c r="SMN1" s="87"/>
      <c r="SMO1" s="87"/>
      <c r="SMP1" s="87"/>
      <c r="SMQ1" s="87"/>
      <c r="SMR1" s="87"/>
      <c r="SMS1" s="87"/>
      <c r="SMT1" s="87"/>
      <c r="SMU1" s="87"/>
      <c r="SMV1" s="87"/>
      <c r="SMW1" s="87"/>
      <c r="SMX1" s="87"/>
      <c r="SMY1" s="87"/>
      <c r="SMZ1" s="87"/>
      <c r="SNA1" s="87"/>
      <c r="SNB1" s="87"/>
      <c r="SNC1" s="87"/>
      <c r="SND1" s="87"/>
      <c r="SNE1" s="87"/>
      <c r="SNF1" s="87"/>
      <c r="SNG1" s="87"/>
      <c r="SNH1" s="87"/>
      <c r="SNI1" s="87"/>
      <c r="SNJ1" s="87"/>
      <c r="SNK1" s="87"/>
      <c r="SNL1" s="87"/>
      <c r="SNM1" s="87"/>
      <c r="SNN1" s="87"/>
      <c r="SNO1" s="87"/>
      <c r="SNP1" s="87"/>
      <c r="SNQ1" s="87"/>
      <c r="SNR1" s="87"/>
      <c r="SNS1" s="87"/>
      <c r="SNT1" s="87"/>
      <c r="SNU1" s="87"/>
      <c r="SNV1" s="87"/>
      <c r="SNW1" s="87"/>
      <c r="SNX1" s="87"/>
      <c r="SNY1" s="87"/>
      <c r="SNZ1" s="87"/>
      <c r="SOA1" s="87"/>
      <c r="SOB1" s="87"/>
      <c r="SOC1" s="87"/>
      <c r="SOD1" s="87"/>
      <c r="SOE1" s="87"/>
      <c r="SOF1" s="87"/>
      <c r="SOG1" s="87"/>
      <c r="SOH1" s="87"/>
      <c r="SOI1" s="87"/>
      <c r="SOJ1" s="87"/>
      <c r="SOK1" s="87"/>
      <c r="SOL1" s="87"/>
      <c r="SOM1" s="87"/>
      <c r="SON1" s="87"/>
      <c r="SOO1" s="87"/>
      <c r="SOP1" s="87"/>
      <c r="SOQ1" s="87"/>
      <c r="SOR1" s="87"/>
      <c r="SOS1" s="87"/>
      <c r="SOT1" s="87"/>
      <c r="SOU1" s="87"/>
      <c r="SOV1" s="87"/>
      <c r="SOW1" s="87"/>
      <c r="SOX1" s="87"/>
      <c r="SOY1" s="87"/>
      <c r="SOZ1" s="87"/>
      <c r="SPA1" s="87"/>
      <c r="SPB1" s="87"/>
      <c r="SPC1" s="87"/>
      <c r="SPD1" s="87"/>
      <c r="SPE1" s="87"/>
      <c r="SPF1" s="87"/>
      <c r="SPG1" s="87"/>
      <c r="SPH1" s="87"/>
      <c r="SPI1" s="87"/>
      <c r="SPJ1" s="87"/>
      <c r="SPK1" s="87"/>
      <c r="SPL1" s="87"/>
      <c r="SPM1" s="87"/>
      <c r="SPN1" s="87"/>
      <c r="SPO1" s="87"/>
      <c r="SPP1" s="87"/>
      <c r="SPQ1" s="87"/>
      <c r="SPR1" s="87"/>
      <c r="SPS1" s="87"/>
      <c r="SPT1" s="87"/>
      <c r="SPU1" s="87"/>
      <c r="SPV1" s="87"/>
      <c r="SPW1" s="87"/>
      <c r="SPX1" s="87"/>
      <c r="SPY1" s="87"/>
      <c r="SPZ1" s="87"/>
      <c r="SQA1" s="87"/>
      <c r="SQB1" s="87"/>
      <c r="SQC1" s="87"/>
      <c r="SQD1" s="87"/>
      <c r="SQE1" s="87"/>
      <c r="SQF1" s="87"/>
      <c r="SQG1" s="87"/>
      <c r="SQH1" s="87"/>
      <c r="SQI1" s="87"/>
      <c r="SQJ1" s="87"/>
      <c r="SQK1" s="87"/>
      <c r="SQL1" s="87"/>
      <c r="SQM1" s="87"/>
      <c r="SQN1" s="87"/>
      <c r="SQO1" s="87"/>
      <c r="SQP1" s="87"/>
      <c r="SQQ1" s="87"/>
      <c r="SQR1" s="87"/>
      <c r="SQS1" s="87"/>
      <c r="SQT1" s="87"/>
      <c r="SQU1" s="87"/>
      <c r="SQV1" s="87"/>
      <c r="SQW1" s="87"/>
      <c r="SQX1" s="87"/>
      <c r="SQY1" s="87"/>
      <c r="SQZ1" s="87"/>
      <c r="SRA1" s="87"/>
      <c r="SRB1" s="87"/>
      <c r="SRC1" s="87"/>
      <c r="SRD1" s="87"/>
      <c r="SRE1" s="87"/>
      <c r="SRF1" s="87"/>
      <c r="SRG1" s="87"/>
      <c r="SRH1" s="87"/>
      <c r="SRI1" s="87"/>
      <c r="SRJ1" s="87"/>
      <c r="SRK1" s="87"/>
      <c r="SRL1" s="87"/>
      <c r="SRM1" s="87"/>
      <c r="SRN1" s="87"/>
      <c r="SRO1" s="87"/>
      <c r="SRP1" s="87"/>
      <c r="SRQ1" s="87"/>
      <c r="SRR1" s="87"/>
      <c r="SRS1" s="87"/>
      <c r="SRT1" s="87"/>
      <c r="SRU1" s="87"/>
      <c r="SRV1" s="87"/>
      <c r="SRW1" s="87"/>
      <c r="SRX1" s="87"/>
      <c r="SRY1" s="87"/>
      <c r="SRZ1" s="87"/>
      <c r="SSA1" s="87"/>
      <c r="SSB1" s="87"/>
      <c r="SSC1" s="87"/>
      <c r="SSD1" s="87"/>
      <c r="SSE1" s="87"/>
      <c r="SSF1" s="87"/>
      <c r="SSG1" s="87"/>
      <c r="SSH1" s="87"/>
      <c r="SSI1" s="87"/>
      <c r="SSJ1" s="87"/>
      <c r="SSK1" s="87"/>
      <c r="SSL1" s="87"/>
      <c r="SSM1" s="87"/>
      <c r="SSN1" s="87"/>
      <c r="SSO1" s="87"/>
      <c r="SSP1" s="87"/>
      <c r="SSQ1" s="87"/>
      <c r="SSR1" s="87"/>
      <c r="SSS1" s="87"/>
      <c r="SST1" s="87"/>
      <c r="SSU1" s="87"/>
      <c r="SSV1" s="87"/>
      <c r="SSW1" s="87"/>
      <c r="SSX1" s="87"/>
      <c r="SSY1" s="87"/>
      <c r="SSZ1" s="87"/>
      <c r="STA1" s="87"/>
      <c r="STB1" s="87"/>
      <c r="STC1" s="87"/>
      <c r="STD1" s="87"/>
      <c r="STE1" s="87"/>
      <c r="STF1" s="87"/>
      <c r="STG1" s="87"/>
      <c r="STH1" s="87"/>
      <c r="STI1" s="87"/>
      <c r="STJ1" s="87"/>
      <c r="STK1" s="87"/>
      <c r="STL1" s="87"/>
      <c r="STM1" s="87"/>
      <c r="STN1" s="87"/>
      <c r="STO1" s="87"/>
      <c r="STP1" s="87"/>
      <c r="STQ1" s="87"/>
      <c r="STR1" s="87"/>
      <c r="STS1" s="87"/>
      <c r="STT1" s="87"/>
      <c r="STU1" s="87"/>
      <c r="STV1" s="87"/>
      <c r="STW1" s="87"/>
      <c r="STX1" s="87"/>
      <c r="STY1" s="87"/>
      <c r="STZ1" s="87"/>
      <c r="SUA1" s="87"/>
      <c r="SUB1" s="87"/>
      <c r="SUC1" s="87"/>
      <c r="SUD1" s="87"/>
      <c r="SUE1" s="87"/>
      <c r="SUF1" s="87"/>
      <c r="SUG1" s="87"/>
      <c r="SUH1" s="87"/>
      <c r="SUI1" s="87"/>
      <c r="SUJ1" s="87"/>
      <c r="SUK1" s="87"/>
      <c r="SUL1" s="87"/>
      <c r="SUM1" s="87"/>
      <c r="SUN1" s="87"/>
      <c r="SUO1" s="87"/>
      <c r="SUP1" s="87"/>
      <c r="SUQ1" s="87"/>
      <c r="SUR1" s="87"/>
      <c r="SUS1" s="87"/>
      <c r="SUT1" s="87"/>
      <c r="SUU1" s="87"/>
      <c r="SUV1" s="87"/>
      <c r="SUW1" s="87"/>
      <c r="SUX1" s="87"/>
      <c r="SUY1" s="87"/>
      <c r="SUZ1" s="87"/>
      <c r="SVA1" s="87"/>
      <c r="SVB1" s="87"/>
      <c r="SVC1" s="87"/>
      <c r="SVD1" s="87"/>
      <c r="SVE1" s="87"/>
      <c r="SVF1" s="87"/>
      <c r="SVG1" s="87"/>
      <c r="SVH1" s="87"/>
      <c r="SVI1" s="87"/>
      <c r="SVJ1" s="87"/>
      <c r="SVK1" s="87"/>
      <c r="SVL1" s="87"/>
      <c r="SVM1" s="87"/>
      <c r="SVN1" s="87"/>
      <c r="SVO1" s="87"/>
      <c r="SVP1" s="87"/>
      <c r="SVQ1" s="87"/>
      <c r="SVR1" s="87"/>
      <c r="SVS1" s="87"/>
      <c r="SVT1" s="87"/>
      <c r="SVU1" s="87"/>
      <c r="SVV1" s="87"/>
      <c r="SVW1" s="87"/>
      <c r="SVX1" s="87"/>
      <c r="SVY1" s="87"/>
      <c r="SVZ1" s="87"/>
      <c r="SWA1" s="87"/>
      <c r="SWB1" s="87"/>
      <c r="SWC1" s="87"/>
      <c r="SWD1" s="87"/>
      <c r="SWE1" s="87"/>
      <c r="SWF1" s="87"/>
      <c r="SWG1" s="87"/>
      <c r="SWH1" s="87"/>
      <c r="SWI1" s="87"/>
      <c r="SWJ1" s="87"/>
      <c r="SWK1" s="87"/>
      <c r="SWL1" s="87"/>
      <c r="SWM1" s="87"/>
      <c r="SWN1" s="87"/>
      <c r="SWO1" s="87"/>
      <c r="SWP1" s="87"/>
      <c r="SWQ1" s="87"/>
      <c r="SWR1" s="87"/>
      <c r="SWS1" s="87"/>
      <c r="SWT1" s="87"/>
      <c r="SWU1" s="87"/>
      <c r="SWV1" s="87"/>
      <c r="SWW1" s="87"/>
      <c r="SWX1" s="87"/>
      <c r="SWY1" s="87"/>
      <c r="SWZ1" s="87"/>
      <c r="SXA1" s="87"/>
      <c r="SXB1" s="87"/>
      <c r="SXC1" s="87"/>
      <c r="SXD1" s="87"/>
      <c r="SXE1" s="87"/>
      <c r="SXF1" s="87"/>
      <c r="SXG1" s="87"/>
      <c r="SXH1" s="87"/>
      <c r="SXI1" s="87"/>
      <c r="SXJ1" s="87"/>
      <c r="SXK1" s="87"/>
      <c r="SXL1" s="87"/>
      <c r="SXM1" s="87"/>
      <c r="SXN1" s="87"/>
      <c r="SXO1" s="87"/>
      <c r="SXP1" s="87"/>
      <c r="SXQ1" s="87"/>
      <c r="SXR1" s="87"/>
      <c r="SXS1" s="87"/>
      <c r="SXT1" s="87"/>
      <c r="SXU1" s="87"/>
      <c r="SXV1" s="87"/>
      <c r="SXW1" s="87"/>
      <c r="SXX1" s="87"/>
      <c r="SXY1" s="87"/>
      <c r="SXZ1" s="87"/>
      <c r="SYA1" s="87"/>
      <c r="SYB1" s="87"/>
      <c r="SYC1" s="87"/>
      <c r="SYD1" s="87"/>
      <c r="SYE1" s="87"/>
      <c r="SYF1" s="87"/>
      <c r="SYG1" s="87"/>
      <c r="SYH1" s="87"/>
      <c r="SYI1" s="87"/>
      <c r="SYJ1" s="87"/>
      <c r="SYK1" s="87"/>
      <c r="SYL1" s="87"/>
      <c r="SYM1" s="87"/>
      <c r="SYN1" s="87"/>
      <c r="SYO1" s="87"/>
      <c r="SYP1" s="87"/>
      <c r="SYQ1" s="87"/>
      <c r="SYR1" s="87"/>
      <c r="SYS1" s="87"/>
      <c r="SYT1" s="87"/>
      <c r="SYU1" s="87"/>
      <c r="SYV1" s="87"/>
      <c r="SYW1" s="87"/>
      <c r="SYX1" s="87"/>
      <c r="SYY1" s="87"/>
      <c r="SYZ1" s="87"/>
      <c r="SZA1" s="87"/>
      <c r="SZB1" s="87"/>
      <c r="SZC1" s="87"/>
      <c r="SZD1" s="87"/>
      <c r="SZE1" s="87"/>
      <c r="SZF1" s="87"/>
      <c r="SZG1" s="87"/>
      <c r="SZH1" s="87"/>
      <c r="SZI1" s="87"/>
      <c r="SZJ1" s="87"/>
      <c r="SZK1" s="87"/>
      <c r="SZL1" s="87"/>
      <c r="SZM1" s="87"/>
      <c r="SZN1" s="87"/>
      <c r="SZO1" s="87"/>
      <c r="SZP1" s="87"/>
      <c r="SZQ1" s="87"/>
      <c r="SZR1" s="87"/>
      <c r="SZS1" s="87"/>
      <c r="SZT1" s="87"/>
      <c r="SZU1" s="87"/>
      <c r="SZV1" s="87"/>
      <c r="SZW1" s="87"/>
      <c r="SZX1" s="87"/>
      <c r="SZY1" s="87"/>
      <c r="SZZ1" s="87"/>
      <c r="TAA1" s="87"/>
      <c r="TAB1" s="87"/>
      <c r="TAC1" s="87"/>
      <c r="TAD1" s="87"/>
      <c r="TAE1" s="87"/>
      <c r="TAF1" s="87"/>
      <c r="TAG1" s="87"/>
      <c r="TAH1" s="87"/>
      <c r="TAI1" s="87"/>
      <c r="TAJ1" s="87"/>
      <c r="TAK1" s="87"/>
      <c r="TAL1" s="87"/>
      <c r="TAM1" s="87"/>
      <c r="TAN1" s="87"/>
      <c r="TAO1" s="87"/>
      <c r="TAP1" s="87"/>
      <c r="TAQ1" s="87"/>
      <c r="TAR1" s="87"/>
      <c r="TAS1" s="87"/>
      <c r="TAT1" s="87"/>
      <c r="TAU1" s="87"/>
      <c r="TAV1" s="87"/>
      <c r="TAW1" s="87"/>
      <c r="TAX1" s="87"/>
      <c r="TAY1" s="87"/>
      <c r="TAZ1" s="87"/>
      <c r="TBA1" s="87"/>
      <c r="TBB1" s="87"/>
      <c r="TBC1" s="87"/>
      <c r="TBD1" s="87"/>
      <c r="TBE1" s="87"/>
      <c r="TBF1" s="87"/>
      <c r="TBG1" s="87"/>
      <c r="TBH1" s="87"/>
      <c r="TBI1" s="87"/>
      <c r="TBJ1" s="87"/>
      <c r="TBK1" s="87"/>
      <c r="TBL1" s="87"/>
      <c r="TBM1" s="87"/>
      <c r="TBN1" s="87"/>
      <c r="TBO1" s="87"/>
      <c r="TBP1" s="87"/>
      <c r="TBQ1" s="87"/>
      <c r="TBR1" s="87"/>
      <c r="TBS1" s="87"/>
      <c r="TBT1" s="87"/>
      <c r="TBU1" s="87"/>
      <c r="TBV1" s="87"/>
      <c r="TBW1" s="87"/>
      <c r="TBX1" s="87"/>
      <c r="TBY1" s="87"/>
      <c r="TBZ1" s="87"/>
      <c r="TCA1" s="87"/>
      <c r="TCB1" s="87"/>
      <c r="TCC1" s="87"/>
      <c r="TCD1" s="87"/>
      <c r="TCE1" s="87"/>
      <c r="TCF1" s="87"/>
      <c r="TCG1" s="87"/>
      <c r="TCH1" s="87"/>
      <c r="TCI1" s="87"/>
      <c r="TCJ1" s="87"/>
      <c r="TCK1" s="87"/>
      <c r="TCL1" s="87"/>
      <c r="TCM1" s="87"/>
      <c r="TCN1" s="87"/>
      <c r="TCO1" s="87"/>
      <c r="TCP1" s="87"/>
      <c r="TCQ1" s="87"/>
      <c r="TCR1" s="87"/>
      <c r="TCS1" s="87"/>
      <c r="TCT1" s="87"/>
      <c r="TCU1" s="87"/>
      <c r="TCV1" s="87"/>
      <c r="TCW1" s="87"/>
      <c r="TCX1" s="87"/>
      <c r="TCY1" s="87"/>
      <c r="TCZ1" s="87"/>
      <c r="TDA1" s="87"/>
      <c r="TDB1" s="87"/>
      <c r="TDC1" s="87"/>
      <c r="TDD1" s="87"/>
      <c r="TDE1" s="87"/>
      <c r="TDF1" s="87"/>
      <c r="TDG1" s="87"/>
      <c r="TDH1" s="87"/>
      <c r="TDI1" s="87"/>
      <c r="TDJ1" s="87"/>
      <c r="TDK1" s="87"/>
      <c r="TDL1" s="87"/>
      <c r="TDM1" s="87"/>
      <c r="TDN1" s="87"/>
      <c r="TDO1" s="87"/>
      <c r="TDP1" s="87"/>
      <c r="TDQ1" s="87"/>
      <c r="TDR1" s="87"/>
      <c r="TDS1" s="87"/>
      <c r="TDT1" s="87"/>
      <c r="TDU1" s="87"/>
      <c r="TDV1" s="87"/>
      <c r="TDW1" s="87"/>
      <c r="TDX1" s="87"/>
      <c r="TDY1" s="87"/>
      <c r="TDZ1" s="87"/>
      <c r="TEA1" s="87"/>
      <c r="TEB1" s="87"/>
      <c r="TEC1" s="87"/>
      <c r="TED1" s="87"/>
      <c r="TEE1" s="87"/>
      <c r="TEF1" s="87"/>
      <c r="TEG1" s="87"/>
      <c r="TEH1" s="87"/>
      <c r="TEI1" s="87"/>
      <c r="TEJ1" s="87"/>
      <c r="TEK1" s="87"/>
      <c r="TEL1" s="87"/>
      <c r="TEM1" s="87"/>
      <c r="TEN1" s="87"/>
      <c r="TEO1" s="87"/>
      <c r="TEP1" s="87"/>
      <c r="TEQ1" s="87"/>
      <c r="TER1" s="87"/>
      <c r="TES1" s="87"/>
      <c r="TET1" s="87"/>
      <c r="TEU1" s="87"/>
      <c r="TEV1" s="87"/>
      <c r="TEW1" s="87"/>
      <c r="TEX1" s="87"/>
      <c r="TEY1" s="87"/>
      <c r="TEZ1" s="87"/>
      <c r="TFA1" s="87"/>
      <c r="TFB1" s="87"/>
      <c r="TFC1" s="87"/>
      <c r="TFD1" s="87"/>
      <c r="TFE1" s="87"/>
      <c r="TFF1" s="87"/>
      <c r="TFG1" s="87"/>
      <c r="TFH1" s="87"/>
      <c r="TFI1" s="87"/>
      <c r="TFJ1" s="87"/>
      <c r="TFK1" s="87"/>
      <c r="TFL1" s="87"/>
      <c r="TFM1" s="87"/>
      <c r="TFN1" s="87"/>
      <c r="TFO1" s="87"/>
      <c r="TFP1" s="87"/>
      <c r="TFQ1" s="87"/>
      <c r="TFR1" s="87"/>
      <c r="TFS1" s="87"/>
      <c r="TFT1" s="87"/>
      <c r="TFU1" s="87"/>
      <c r="TFV1" s="87"/>
      <c r="TFW1" s="87"/>
      <c r="TFX1" s="87"/>
      <c r="TFY1" s="87"/>
      <c r="TFZ1" s="87"/>
      <c r="TGA1" s="87"/>
      <c r="TGB1" s="87"/>
      <c r="TGC1" s="87"/>
      <c r="TGD1" s="87"/>
      <c r="TGE1" s="87"/>
      <c r="TGF1" s="87"/>
      <c r="TGG1" s="87"/>
      <c r="TGH1" s="87"/>
      <c r="TGI1" s="87"/>
      <c r="TGJ1" s="87"/>
      <c r="TGK1" s="87"/>
      <c r="TGL1" s="87"/>
      <c r="TGM1" s="87"/>
      <c r="TGN1" s="87"/>
      <c r="TGO1" s="87"/>
      <c r="TGP1" s="87"/>
      <c r="TGQ1" s="87"/>
      <c r="TGR1" s="87"/>
      <c r="TGS1" s="87"/>
      <c r="TGT1" s="87"/>
      <c r="TGU1" s="87"/>
      <c r="TGV1" s="87"/>
      <c r="TGW1" s="87"/>
      <c r="TGX1" s="87"/>
      <c r="TGY1" s="87"/>
      <c r="TGZ1" s="87"/>
      <c r="THA1" s="87"/>
      <c r="THB1" s="87"/>
      <c r="THC1" s="87"/>
      <c r="THD1" s="87"/>
      <c r="THE1" s="87"/>
      <c r="THF1" s="87"/>
      <c r="THG1" s="87"/>
      <c r="THH1" s="87"/>
      <c r="THI1" s="87"/>
      <c r="THJ1" s="87"/>
      <c r="THK1" s="87"/>
      <c r="THL1" s="87"/>
      <c r="THM1" s="87"/>
      <c r="THN1" s="87"/>
      <c r="THO1" s="87"/>
      <c r="THP1" s="87"/>
      <c r="THQ1" s="87"/>
      <c r="THR1" s="87"/>
      <c r="THS1" s="87"/>
      <c r="THT1" s="87"/>
      <c r="THU1" s="87"/>
      <c r="THV1" s="87"/>
      <c r="THW1" s="87"/>
      <c r="THX1" s="87"/>
      <c r="THY1" s="87"/>
      <c r="THZ1" s="87"/>
      <c r="TIA1" s="87"/>
      <c r="TIB1" s="87"/>
      <c r="TIC1" s="87"/>
      <c r="TID1" s="87"/>
      <c r="TIE1" s="87"/>
      <c r="TIF1" s="87"/>
      <c r="TIG1" s="87"/>
      <c r="TIH1" s="87"/>
      <c r="TII1" s="87"/>
      <c r="TIJ1" s="87"/>
      <c r="TIK1" s="87"/>
      <c r="TIL1" s="87"/>
      <c r="TIM1" s="87"/>
      <c r="TIN1" s="87"/>
      <c r="TIO1" s="87"/>
      <c r="TIP1" s="87"/>
      <c r="TIQ1" s="87"/>
      <c r="TIR1" s="87"/>
      <c r="TIS1" s="87"/>
      <c r="TIT1" s="87"/>
      <c r="TIU1" s="87"/>
      <c r="TIV1" s="87"/>
      <c r="TIW1" s="87"/>
      <c r="TIX1" s="87"/>
      <c r="TIY1" s="87"/>
      <c r="TIZ1" s="87"/>
      <c r="TJA1" s="87"/>
      <c r="TJB1" s="87"/>
      <c r="TJC1" s="87"/>
      <c r="TJD1" s="87"/>
      <c r="TJE1" s="87"/>
      <c r="TJF1" s="87"/>
      <c r="TJG1" s="87"/>
      <c r="TJH1" s="87"/>
      <c r="TJI1" s="87"/>
      <c r="TJJ1" s="87"/>
      <c r="TJK1" s="87"/>
      <c r="TJL1" s="87"/>
      <c r="TJM1" s="87"/>
      <c r="TJN1" s="87"/>
      <c r="TJO1" s="87"/>
      <c r="TJP1" s="87"/>
      <c r="TJQ1" s="87"/>
      <c r="TJR1" s="87"/>
      <c r="TJS1" s="87"/>
      <c r="TJT1" s="87"/>
      <c r="TJU1" s="87"/>
      <c r="TJV1" s="87"/>
      <c r="TJW1" s="87"/>
      <c r="TJX1" s="87"/>
      <c r="TJY1" s="87"/>
      <c r="TJZ1" s="87"/>
      <c r="TKA1" s="87"/>
      <c r="TKB1" s="87"/>
      <c r="TKC1" s="87"/>
      <c r="TKD1" s="87"/>
      <c r="TKE1" s="87"/>
      <c r="TKF1" s="87"/>
      <c r="TKG1" s="87"/>
      <c r="TKH1" s="87"/>
      <c r="TKI1" s="87"/>
      <c r="TKJ1" s="87"/>
      <c r="TKK1" s="87"/>
      <c r="TKL1" s="87"/>
      <c r="TKM1" s="87"/>
      <c r="TKN1" s="87"/>
      <c r="TKO1" s="87"/>
      <c r="TKP1" s="87"/>
      <c r="TKQ1" s="87"/>
      <c r="TKR1" s="87"/>
      <c r="TKS1" s="87"/>
      <c r="TKT1" s="87"/>
      <c r="TKU1" s="87"/>
      <c r="TKV1" s="87"/>
      <c r="TKW1" s="87"/>
      <c r="TKX1" s="87"/>
      <c r="TKY1" s="87"/>
      <c r="TKZ1" s="87"/>
      <c r="TLA1" s="87"/>
      <c r="TLB1" s="87"/>
      <c r="TLC1" s="87"/>
      <c r="TLD1" s="87"/>
      <c r="TLE1" s="87"/>
      <c r="TLF1" s="87"/>
      <c r="TLG1" s="87"/>
      <c r="TLH1" s="87"/>
      <c r="TLI1" s="87"/>
      <c r="TLJ1" s="87"/>
      <c r="TLK1" s="87"/>
      <c r="TLL1" s="87"/>
      <c r="TLM1" s="87"/>
      <c r="TLN1" s="87"/>
      <c r="TLO1" s="87"/>
      <c r="TLP1" s="87"/>
      <c r="TLQ1" s="87"/>
      <c r="TLR1" s="87"/>
      <c r="TLS1" s="87"/>
      <c r="TLT1" s="87"/>
      <c r="TLU1" s="87"/>
      <c r="TLV1" s="87"/>
      <c r="TLW1" s="87"/>
      <c r="TLX1" s="87"/>
      <c r="TLY1" s="87"/>
      <c r="TLZ1" s="87"/>
      <c r="TMA1" s="87"/>
      <c r="TMB1" s="87"/>
      <c r="TMC1" s="87"/>
      <c r="TMD1" s="87"/>
      <c r="TME1" s="87"/>
      <c r="TMF1" s="87"/>
      <c r="TMG1" s="87"/>
      <c r="TMH1" s="87"/>
      <c r="TMI1" s="87"/>
      <c r="TMJ1" s="87"/>
      <c r="TMK1" s="87"/>
      <c r="TML1" s="87"/>
      <c r="TMM1" s="87"/>
      <c r="TMN1" s="87"/>
      <c r="TMO1" s="87"/>
      <c r="TMP1" s="87"/>
      <c r="TMQ1" s="87"/>
      <c r="TMR1" s="87"/>
      <c r="TMS1" s="87"/>
      <c r="TMT1" s="87"/>
      <c r="TMU1" s="87"/>
      <c r="TMV1" s="87"/>
      <c r="TMW1" s="87"/>
      <c r="TMX1" s="87"/>
      <c r="TMY1" s="87"/>
      <c r="TMZ1" s="87"/>
      <c r="TNA1" s="87"/>
      <c r="TNB1" s="87"/>
      <c r="TNC1" s="87"/>
      <c r="TND1" s="87"/>
      <c r="TNE1" s="87"/>
      <c r="TNF1" s="87"/>
      <c r="TNG1" s="87"/>
      <c r="TNH1" s="87"/>
      <c r="TNI1" s="87"/>
      <c r="TNJ1" s="87"/>
      <c r="TNK1" s="87"/>
      <c r="TNL1" s="87"/>
      <c r="TNM1" s="87"/>
      <c r="TNN1" s="87"/>
      <c r="TNO1" s="87"/>
      <c r="TNP1" s="87"/>
      <c r="TNQ1" s="87"/>
      <c r="TNR1" s="87"/>
      <c r="TNS1" s="87"/>
      <c r="TNT1" s="87"/>
      <c r="TNU1" s="87"/>
      <c r="TNV1" s="87"/>
      <c r="TNW1" s="87"/>
      <c r="TNX1" s="87"/>
      <c r="TNY1" s="87"/>
      <c r="TNZ1" s="87"/>
      <c r="TOA1" s="87"/>
      <c r="TOB1" s="87"/>
      <c r="TOC1" s="87"/>
      <c r="TOD1" s="87"/>
      <c r="TOE1" s="87"/>
      <c r="TOF1" s="87"/>
      <c r="TOG1" s="87"/>
      <c r="TOH1" s="87"/>
      <c r="TOI1" s="87"/>
      <c r="TOJ1" s="87"/>
      <c r="TOK1" s="87"/>
      <c r="TOL1" s="87"/>
      <c r="TOM1" s="87"/>
      <c r="TON1" s="87"/>
      <c r="TOO1" s="87"/>
      <c r="TOP1" s="87"/>
      <c r="TOQ1" s="87"/>
      <c r="TOR1" s="87"/>
      <c r="TOS1" s="87"/>
      <c r="TOT1" s="87"/>
      <c r="TOU1" s="87"/>
      <c r="TOV1" s="87"/>
      <c r="TOW1" s="87"/>
      <c r="TOX1" s="87"/>
      <c r="TOY1" s="87"/>
      <c r="TOZ1" s="87"/>
      <c r="TPA1" s="87"/>
      <c r="TPB1" s="87"/>
      <c r="TPC1" s="87"/>
      <c r="TPD1" s="87"/>
      <c r="TPE1" s="87"/>
      <c r="TPF1" s="87"/>
      <c r="TPG1" s="87"/>
      <c r="TPH1" s="87"/>
      <c r="TPI1" s="87"/>
      <c r="TPJ1" s="87"/>
      <c r="TPK1" s="87"/>
      <c r="TPL1" s="87"/>
      <c r="TPM1" s="87"/>
      <c r="TPN1" s="87"/>
      <c r="TPO1" s="87"/>
      <c r="TPP1" s="87"/>
      <c r="TPQ1" s="87"/>
      <c r="TPR1" s="87"/>
      <c r="TPS1" s="87"/>
      <c r="TPT1" s="87"/>
      <c r="TPU1" s="87"/>
      <c r="TPV1" s="87"/>
      <c r="TPW1" s="87"/>
      <c r="TPX1" s="87"/>
      <c r="TPY1" s="87"/>
      <c r="TPZ1" s="87"/>
      <c r="TQA1" s="87"/>
      <c r="TQB1" s="87"/>
      <c r="TQC1" s="87"/>
      <c r="TQD1" s="87"/>
      <c r="TQE1" s="87"/>
      <c r="TQF1" s="87"/>
      <c r="TQG1" s="87"/>
      <c r="TQH1" s="87"/>
      <c r="TQI1" s="87"/>
      <c r="TQJ1" s="87"/>
      <c r="TQK1" s="87"/>
      <c r="TQL1" s="87"/>
      <c r="TQM1" s="87"/>
      <c r="TQN1" s="87"/>
      <c r="TQO1" s="87"/>
      <c r="TQP1" s="87"/>
      <c r="TQQ1" s="87"/>
      <c r="TQR1" s="87"/>
      <c r="TQS1" s="87"/>
      <c r="TQT1" s="87"/>
      <c r="TQU1" s="87"/>
      <c r="TQV1" s="87"/>
      <c r="TQW1" s="87"/>
      <c r="TQX1" s="87"/>
      <c r="TQY1" s="87"/>
      <c r="TQZ1" s="87"/>
      <c r="TRA1" s="87"/>
      <c r="TRB1" s="87"/>
      <c r="TRC1" s="87"/>
      <c r="TRD1" s="87"/>
      <c r="TRE1" s="87"/>
      <c r="TRF1" s="87"/>
      <c r="TRG1" s="87"/>
      <c r="TRH1" s="87"/>
      <c r="TRI1" s="87"/>
      <c r="TRJ1" s="87"/>
      <c r="TRK1" s="87"/>
      <c r="TRL1" s="87"/>
      <c r="TRM1" s="87"/>
      <c r="TRN1" s="87"/>
      <c r="TRO1" s="87"/>
      <c r="TRP1" s="87"/>
      <c r="TRQ1" s="87"/>
      <c r="TRR1" s="87"/>
      <c r="TRS1" s="87"/>
      <c r="TRT1" s="87"/>
      <c r="TRU1" s="87"/>
      <c r="TRV1" s="87"/>
      <c r="TRW1" s="87"/>
      <c r="TRX1" s="87"/>
      <c r="TRY1" s="87"/>
      <c r="TRZ1" s="87"/>
      <c r="TSA1" s="87"/>
      <c r="TSB1" s="87"/>
      <c r="TSC1" s="87"/>
      <c r="TSD1" s="87"/>
      <c r="TSE1" s="87"/>
      <c r="TSF1" s="87"/>
      <c r="TSG1" s="87"/>
      <c r="TSH1" s="87"/>
      <c r="TSI1" s="87"/>
      <c r="TSJ1" s="87"/>
      <c r="TSK1" s="87"/>
      <c r="TSL1" s="87"/>
      <c r="TSM1" s="87"/>
      <c r="TSN1" s="87"/>
      <c r="TSO1" s="87"/>
      <c r="TSP1" s="87"/>
      <c r="TSQ1" s="87"/>
      <c r="TSR1" s="87"/>
      <c r="TSS1" s="87"/>
      <c r="TST1" s="87"/>
      <c r="TSU1" s="87"/>
      <c r="TSV1" s="87"/>
      <c r="TSW1" s="87"/>
      <c r="TSX1" s="87"/>
      <c r="TSY1" s="87"/>
      <c r="TSZ1" s="87"/>
      <c r="TTA1" s="87"/>
      <c r="TTB1" s="87"/>
      <c r="TTC1" s="87"/>
      <c r="TTD1" s="87"/>
      <c r="TTE1" s="87"/>
      <c r="TTF1" s="87"/>
      <c r="TTG1" s="87"/>
      <c r="TTH1" s="87"/>
      <c r="TTI1" s="87"/>
      <c r="TTJ1" s="87"/>
      <c r="TTK1" s="87"/>
      <c r="TTL1" s="87"/>
      <c r="TTM1" s="87"/>
      <c r="TTN1" s="87"/>
      <c r="TTO1" s="87"/>
      <c r="TTP1" s="87"/>
      <c r="TTQ1" s="87"/>
      <c r="TTR1" s="87"/>
      <c r="TTS1" s="87"/>
      <c r="TTT1" s="87"/>
      <c r="TTU1" s="87"/>
      <c r="TTV1" s="87"/>
      <c r="TTW1" s="87"/>
      <c r="TTX1" s="87"/>
      <c r="TTY1" s="87"/>
      <c r="TTZ1" s="87"/>
      <c r="TUA1" s="87"/>
      <c r="TUB1" s="87"/>
      <c r="TUC1" s="87"/>
      <c r="TUD1" s="87"/>
      <c r="TUE1" s="87"/>
      <c r="TUF1" s="87"/>
      <c r="TUG1" s="87"/>
      <c r="TUH1" s="87"/>
      <c r="TUI1" s="87"/>
      <c r="TUJ1" s="87"/>
      <c r="TUK1" s="87"/>
      <c r="TUL1" s="87"/>
      <c r="TUM1" s="87"/>
      <c r="TUN1" s="87"/>
      <c r="TUO1" s="87"/>
      <c r="TUP1" s="87"/>
      <c r="TUQ1" s="87"/>
      <c r="TUR1" s="87"/>
      <c r="TUS1" s="87"/>
      <c r="TUT1" s="87"/>
      <c r="TUU1" s="87"/>
      <c r="TUV1" s="87"/>
      <c r="TUW1" s="87"/>
      <c r="TUX1" s="87"/>
      <c r="TUY1" s="87"/>
      <c r="TUZ1" s="87"/>
      <c r="TVA1" s="87"/>
      <c r="TVB1" s="87"/>
      <c r="TVC1" s="87"/>
      <c r="TVD1" s="87"/>
      <c r="TVE1" s="87"/>
      <c r="TVF1" s="87"/>
      <c r="TVG1" s="87"/>
      <c r="TVH1" s="87"/>
      <c r="TVI1" s="87"/>
      <c r="TVJ1" s="87"/>
      <c r="TVK1" s="87"/>
      <c r="TVL1" s="87"/>
      <c r="TVM1" s="87"/>
      <c r="TVN1" s="87"/>
      <c r="TVO1" s="87"/>
      <c r="TVP1" s="87"/>
      <c r="TVQ1" s="87"/>
      <c r="TVR1" s="87"/>
      <c r="TVS1" s="87"/>
      <c r="TVT1" s="87"/>
      <c r="TVU1" s="87"/>
      <c r="TVV1" s="87"/>
      <c r="TVW1" s="87"/>
      <c r="TVX1" s="87"/>
      <c r="TVY1" s="87"/>
      <c r="TVZ1" s="87"/>
      <c r="TWA1" s="87"/>
      <c r="TWB1" s="87"/>
      <c r="TWC1" s="87"/>
      <c r="TWD1" s="87"/>
      <c r="TWE1" s="87"/>
      <c r="TWF1" s="87"/>
      <c r="TWG1" s="87"/>
      <c r="TWH1" s="87"/>
      <c r="TWI1" s="87"/>
      <c r="TWJ1" s="87"/>
      <c r="TWK1" s="87"/>
      <c r="TWL1" s="87"/>
      <c r="TWM1" s="87"/>
      <c r="TWN1" s="87"/>
      <c r="TWO1" s="87"/>
      <c r="TWP1" s="87"/>
      <c r="TWQ1" s="87"/>
      <c r="TWR1" s="87"/>
      <c r="TWS1" s="87"/>
      <c r="TWT1" s="87"/>
      <c r="TWU1" s="87"/>
      <c r="TWV1" s="87"/>
      <c r="TWW1" s="87"/>
      <c r="TWX1" s="87"/>
      <c r="TWY1" s="87"/>
      <c r="TWZ1" s="87"/>
      <c r="TXA1" s="87"/>
      <c r="TXB1" s="87"/>
      <c r="TXC1" s="87"/>
      <c r="TXD1" s="87"/>
      <c r="TXE1" s="87"/>
      <c r="TXF1" s="87"/>
      <c r="TXG1" s="87"/>
      <c r="TXH1" s="87"/>
      <c r="TXI1" s="87"/>
      <c r="TXJ1" s="87"/>
      <c r="TXK1" s="87"/>
      <c r="TXL1" s="87"/>
      <c r="TXM1" s="87"/>
      <c r="TXN1" s="87"/>
      <c r="TXO1" s="87"/>
      <c r="TXP1" s="87"/>
      <c r="TXQ1" s="87"/>
      <c r="TXR1" s="87"/>
      <c r="TXS1" s="87"/>
      <c r="TXT1" s="87"/>
      <c r="TXU1" s="87"/>
      <c r="TXV1" s="87"/>
      <c r="TXW1" s="87"/>
      <c r="TXX1" s="87"/>
      <c r="TXY1" s="87"/>
      <c r="TXZ1" s="87"/>
      <c r="TYA1" s="87"/>
      <c r="TYB1" s="87"/>
      <c r="TYC1" s="87"/>
      <c r="TYD1" s="87"/>
      <c r="TYE1" s="87"/>
      <c r="TYF1" s="87"/>
      <c r="TYG1" s="87"/>
      <c r="TYH1" s="87"/>
      <c r="TYI1" s="87"/>
      <c r="TYJ1" s="87"/>
      <c r="TYK1" s="87"/>
      <c r="TYL1" s="87"/>
      <c r="TYM1" s="87"/>
      <c r="TYN1" s="87"/>
      <c r="TYO1" s="87"/>
      <c r="TYP1" s="87"/>
      <c r="TYQ1" s="87"/>
      <c r="TYR1" s="87"/>
      <c r="TYS1" s="87"/>
      <c r="TYT1" s="87"/>
      <c r="TYU1" s="87"/>
      <c r="TYV1" s="87"/>
      <c r="TYW1" s="87"/>
      <c r="TYX1" s="87"/>
      <c r="TYY1" s="87"/>
      <c r="TYZ1" s="87"/>
      <c r="TZA1" s="87"/>
      <c r="TZB1" s="87"/>
      <c r="TZC1" s="87"/>
      <c r="TZD1" s="87"/>
      <c r="TZE1" s="87"/>
      <c r="TZF1" s="87"/>
      <c r="TZG1" s="87"/>
      <c r="TZH1" s="87"/>
      <c r="TZI1" s="87"/>
      <c r="TZJ1" s="87"/>
      <c r="TZK1" s="87"/>
      <c r="TZL1" s="87"/>
      <c r="TZM1" s="87"/>
      <c r="TZN1" s="87"/>
      <c r="TZO1" s="87"/>
      <c r="TZP1" s="87"/>
      <c r="TZQ1" s="87"/>
      <c r="TZR1" s="87"/>
      <c r="TZS1" s="87"/>
      <c r="TZT1" s="87"/>
      <c r="TZU1" s="87"/>
      <c r="TZV1" s="87"/>
      <c r="TZW1" s="87"/>
      <c r="TZX1" s="87"/>
      <c r="TZY1" s="87"/>
      <c r="TZZ1" s="87"/>
      <c r="UAA1" s="87"/>
      <c r="UAB1" s="87"/>
      <c r="UAC1" s="87"/>
      <c r="UAD1" s="87"/>
      <c r="UAE1" s="87"/>
      <c r="UAF1" s="87"/>
      <c r="UAG1" s="87"/>
      <c r="UAH1" s="87"/>
      <c r="UAI1" s="87"/>
      <c r="UAJ1" s="87"/>
      <c r="UAK1" s="87"/>
      <c r="UAL1" s="87"/>
      <c r="UAM1" s="87"/>
      <c r="UAN1" s="87"/>
      <c r="UAO1" s="87"/>
      <c r="UAP1" s="87"/>
      <c r="UAQ1" s="87"/>
      <c r="UAR1" s="87"/>
      <c r="UAS1" s="87"/>
      <c r="UAT1" s="87"/>
      <c r="UAU1" s="87"/>
      <c r="UAV1" s="87"/>
      <c r="UAW1" s="87"/>
      <c r="UAX1" s="87"/>
      <c r="UAY1" s="87"/>
      <c r="UAZ1" s="87"/>
      <c r="UBA1" s="87"/>
      <c r="UBB1" s="87"/>
      <c r="UBC1" s="87"/>
      <c r="UBD1" s="87"/>
      <c r="UBE1" s="87"/>
      <c r="UBF1" s="87"/>
      <c r="UBG1" s="87"/>
      <c r="UBH1" s="87"/>
      <c r="UBI1" s="87"/>
      <c r="UBJ1" s="87"/>
      <c r="UBK1" s="87"/>
      <c r="UBL1" s="87"/>
      <c r="UBM1" s="87"/>
      <c r="UBN1" s="87"/>
      <c r="UBO1" s="87"/>
      <c r="UBP1" s="87"/>
      <c r="UBQ1" s="87"/>
      <c r="UBR1" s="87"/>
      <c r="UBS1" s="87"/>
      <c r="UBT1" s="87"/>
      <c r="UBU1" s="87"/>
      <c r="UBV1" s="87"/>
      <c r="UBW1" s="87"/>
      <c r="UBX1" s="87"/>
      <c r="UBY1" s="87"/>
      <c r="UBZ1" s="87"/>
      <c r="UCA1" s="87"/>
      <c r="UCB1" s="87"/>
      <c r="UCC1" s="87"/>
      <c r="UCD1" s="87"/>
      <c r="UCE1" s="87"/>
      <c r="UCF1" s="87"/>
      <c r="UCG1" s="87"/>
      <c r="UCH1" s="87"/>
      <c r="UCI1" s="87"/>
      <c r="UCJ1" s="87"/>
      <c r="UCK1" s="87"/>
      <c r="UCL1" s="87"/>
      <c r="UCM1" s="87"/>
      <c r="UCN1" s="87"/>
      <c r="UCO1" s="87"/>
      <c r="UCP1" s="87"/>
      <c r="UCQ1" s="87"/>
      <c r="UCR1" s="87"/>
      <c r="UCS1" s="87"/>
      <c r="UCT1" s="87"/>
      <c r="UCU1" s="87"/>
      <c r="UCV1" s="87"/>
      <c r="UCW1" s="87"/>
      <c r="UCX1" s="87"/>
      <c r="UCY1" s="87"/>
      <c r="UCZ1" s="87"/>
      <c r="UDA1" s="87"/>
      <c r="UDB1" s="87"/>
      <c r="UDC1" s="87"/>
      <c r="UDD1" s="87"/>
      <c r="UDE1" s="87"/>
      <c r="UDF1" s="87"/>
      <c r="UDG1" s="87"/>
      <c r="UDH1" s="87"/>
      <c r="UDI1" s="87"/>
      <c r="UDJ1" s="87"/>
      <c r="UDK1" s="87"/>
      <c r="UDL1" s="87"/>
      <c r="UDM1" s="87"/>
      <c r="UDN1" s="87"/>
      <c r="UDO1" s="87"/>
      <c r="UDP1" s="87"/>
      <c r="UDQ1" s="87"/>
      <c r="UDR1" s="87"/>
      <c r="UDS1" s="87"/>
      <c r="UDT1" s="87"/>
      <c r="UDU1" s="87"/>
      <c r="UDV1" s="87"/>
      <c r="UDW1" s="87"/>
      <c r="UDX1" s="87"/>
      <c r="UDY1" s="87"/>
      <c r="UDZ1" s="87"/>
      <c r="UEA1" s="87"/>
      <c r="UEB1" s="87"/>
      <c r="UEC1" s="87"/>
      <c r="UED1" s="87"/>
      <c r="UEE1" s="87"/>
      <c r="UEF1" s="87"/>
      <c r="UEG1" s="87"/>
      <c r="UEH1" s="87"/>
      <c r="UEI1" s="87"/>
      <c r="UEJ1" s="87"/>
      <c r="UEK1" s="87"/>
      <c r="UEL1" s="87"/>
      <c r="UEM1" s="87"/>
      <c r="UEN1" s="87"/>
      <c r="UEO1" s="87"/>
      <c r="UEP1" s="87"/>
      <c r="UEQ1" s="87"/>
      <c r="UER1" s="87"/>
      <c r="UES1" s="87"/>
      <c r="UET1" s="87"/>
      <c r="UEU1" s="87"/>
      <c r="UEV1" s="87"/>
      <c r="UEW1" s="87"/>
      <c r="UEX1" s="87"/>
      <c r="UEY1" s="87"/>
      <c r="UEZ1" s="87"/>
      <c r="UFA1" s="87"/>
      <c r="UFB1" s="87"/>
      <c r="UFC1" s="87"/>
      <c r="UFD1" s="87"/>
      <c r="UFE1" s="87"/>
      <c r="UFF1" s="87"/>
      <c r="UFG1" s="87"/>
      <c r="UFH1" s="87"/>
      <c r="UFI1" s="87"/>
      <c r="UFJ1" s="87"/>
      <c r="UFK1" s="87"/>
      <c r="UFL1" s="87"/>
      <c r="UFM1" s="87"/>
      <c r="UFN1" s="87"/>
      <c r="UFO1" s="87"/>
      <c r="UFP1" s="87"/>
      <c r="UFQ1" s="87"/>
      <c r="UFR1" s="87"/>
      <c r="UFS1" s="87"/>
      <c r="UFT1" s="87"/>
      <c r="UFU1" s="87"/>
      <c r="UFV1" s="87"/>
      <c r="UFW1" s="87"/>
      <c r="UFX1" s="87"/>
      <c r="UFY1" s="87"/>
      <c r="UFZ1" s="87"/>
      <c r="UGA1" s="87"/>
      <c r="UGB1" s="87"/>
      <c r="UGC1" s="87"/>
      <c r="UGD1" s="87"/>
      <c r="UGE1" s="87"/>
      <c r="UGF1" s="87"/>
      <c r="UGG1" s="87"/>
      <c r="UGH1" s="87"/>
      <c r="UGI1" s="87"/>
      <c r="UGJ1" s="87"/>
      <c r="UGK1" s="87"/>
      <c r="UGL1" s="87"/>
      <c r="UGM1" s="87"/>
      <c r="UGN1" s="87"/>
      <c r="UGO1" s="87"/>
      <c r="UGP1" s="87"/>
      <c r="UGQ1" s="87"/>
      <c r="UGR1" s="87"/>
      <c r="UGS1" s="87"/>
      <c r="UGT1" s="87"/>
      <c r="UGU1" s="87"/>
      <c r="UGV1" s="87"/>
      <c r="UGW1" s="87"/>
      <c r="UGX1" s="87"/>
      <c r="UGY1" s="87"/>
      <c r="UGZ1" s="87"/>
      <c r="UHA1" s="87"/>
      <c r="UHB1" s="87"/>
      <c r="UHC1" s="87"/>
      <c r="UHD1" s="87"/>
      <c r="UHE1" s="87"/>
      <c r="UHF1" s="87"/>
      <c r="UHG1" s="87"/>
      <c r="UHH1" s="87"/>
      <c r="UHI1" s="87"/>
      <c r="UHJ1" s="87"/>
      <c r="UHK1" s="87"/>
      <c r="UHL1" s="87"/>
      <c r="UHM1" s="87"/>
      <c r="UHN1" s="87"/>
      <c r="UHO1" s="87"/>
      <c r="UHP1" s="87"/>
      <c r="UHQ1" s="87"/>
      <c r="UHR1" s="87"/>
      <c r="UHS1" s="87"/>
      <c r="UHT1" s="87"/>
      <c r="UHU1" s="87"/>
      <c r="UHV1" s="87"/>
      <c r="UHW1" s="87"/>
      <c r="UHX1" s="87"/>
      <c r="UHY1" s="87"/>
      <c r="UHZ1" s="87"/>
      <c r="UIA1" s="87"/>
      <c r="UIB1" s="87"/>
      <c r="UIC1" s="87"/>
      <c r="UID1" s="87"/>
      <c r="UIE1" s="87"/>
      <c r="UIF1" s="87"/>
      <c r="UIG1" s="87"/>
      <c r="UIH1" s="87"/>
      <c r="UII1" s="87"/>
      <c r="UIJ1" s="87"/>
      <c r="UIK1" s="87"/>
      <c r="UIL1" s="87"/>
      <c r="UIM1" s="87"/>
      <c r="UIN1" s="87"/>
      <c r="UIO1" s="87"/>
      <c r="UIP1" s="87"/>
      <c r="UIQ1" s="87"/>
      <c r="UIR1" s="87"/>
      <c r="UIS1" s="87"/>
      <c r="UIT1" s="87"/>
      <c r="UIU1" s="87"/>
      <c r="UIV1" s="87"/>
      <c r="UIW1" s="87"/>
      <c r="UIX1" s="87"/>
      <c r="UIY1" s="87"/>
      <c r="UIZ1" s="87"/>
      <c r="UJA1" s="87"/>
      <c r="UJB1" s="87"/>
      <c r="UJC1" s="87"/>
      <c r="UJD1" s="87"/>
      <c r="UJE1" s="87"/>
      <c r="UJF1" s="87"/>
      <c r="UJG1" s="87"/>
      <c r="UJH1" s="87"/>
      <c r="UJI1" s="87"/>
      <c r="UJJ1" s="87"/>
      <c r="UJK1" s="87"/>
      <c r="UJL1" s="87"/>
      <c r="UJM1" s="87"/>
      <c r="UJN1" s="87"/>
      <c r="UJO1" s="87"/>
      <c r="UJP1" s="87"/>
      <c r="UJQ1" s="87"/>
      <c r="UJR1" s="87"/>
      <c r="UJS1" s="87"/>
      <c r="UJT1" s="87"/>
      <c r="UJU1" s="87"/>
      <c r="UJV1" s="87"/>
      <c r="UJW1" s="87"/>
      <c r="UJX1" s="87"/>
      <c r="UJY1" s="87"/>
      <c r="UJZ1" s="87"/>
      <c r="UKA1" s="87"/>
      <c r="UKB1" s="87"/>
      <c r="UKC1" s="87"/>
      <c r="UKD1" s="87"/>
      <c r="UKE1" s="87"/>
      <c r="UKF1" s="87"/>
      <c r="UKG1" s="87"/>
      <c r="UKH1" s="87"/>
      <c r="UKI1" s="87"/>
      <c r="UKJ1" s="87"/>
      <c r="UKK1" s="87"/>
      <c r="UKL1" s="87"/>
      <c r="UKM1" s="87"/>
      <c r="UKN1" s="87"/>
      <c r="UKO1" s="87"/>
      <c r="UKP1" s="87"/>
      <c r="UKQ1" s="87"/>
      <c r="UKR1" s="87"/>
      <c r="UKS1" s="87"/>
      <c r="UKT1" s="87"/>
      <c r="UKU1" s="87"/>
      <c r="UKV1" s="87"/>
      <c r="UKW1" s="87"/>
      <c r="UKX1" s="87"/>
      <c r="UKY1" s="87"/>
      <c r="UKZ1" s="87"/>
      <c r="ULA1" s="87"/>
      <c r="ULB1" s="87"/>
      <c r="ULC1" s="87"/>
      <c r="ULD1" s="87"/>
      <c r="ULE1" s="87"/>
      <c r="ULF1" s="87"/>
      <c r="ULG1" s="87"/>
      <c r="ULH1" s="87"/>
      <c r="ULI1" s="87"/>
      <c r="ULJ1" s="87"/>
      <c r="ULK1" s="87"/>
      <c r="ULL1" s="87"/>
      <c r="ULM1" s="87"/>
      <c r="ULN1" s="87"/>
      <c r="ULO1" s="87"/>
      <c r="ULP1" s="87"/>
      <c r="ULQ1" s="87"/>
      <c r="ULR1" s="87"/>
      <c r="ULS1" s="87"/>
      <c r="ULT1" s="87"/>
      <c r="ULU1" s="87"/>
      <c r="ULV1" s="87"/>
      <c r="ULW1" s="87"/>
      <c r="ULX1" s="87"/>
      <c r="ULY1" s="87"/>
      <c r="ULZ1" s="87"/>
      <c r="UMA1" s="87"/>
      <c r="UMB1" s="87"/>
      <c r="UMC1" s="87"/>
      <c r="UMD1" s="87"/>
      <c r="UME1" s="87"/>
      <c r="UMF1" s="87"/>
      <c r="UMG1" s="87"/>
      <c r="UMH1" s="87"/>
      <c r="UMI1" s="87"/>
      <c r="UMJ1" s="87"/>
      <c r="UMK1" s="87"/>
      <c r="UML1" s="87"/>
      <c r="UMM1" s="87"/>
      <c r="UMN1" s="87"/>
      <c r="UMO1" s="87"/>
      <c r="UMP1" s="87"/>
      <c r="UMQ1" s="87"/>
      <c r="UMR1" s="87"/>
      <c r="UMS1" s="87"/>
      <c r="UMT1" s="87"/>
      <c r="UMU1" s="87"/>
      <c r="UMV1" s="87"/>
      <c r="UMW1" s="87"/>
      <c r="UMX1" s="87"/>
      <c r="UMY1" s="87"/>
      <c r="UMZ1" s="87"/>
      <c r="UNA1" s="87"/>
      <c r="UNB1" s="87"/>
      <c r="UNC1" s="87"/>
      <c r="UND1" s="87"/>
      <c r="UNE1" s="87"/>
      <c r="UNF1" s="87"/>
      <c r="UNG1" s="87"/>
      <c r="UNH1" s="87"/>
      <c r="UNI1" s="87"/>
      <c r="UNJ1" s="87"/>
      <c r="UNK1" s="87"/>
      <c r="UNL1" s="87"/>
      <c r="UNM1" s="87"/>
      <c r="UNN1" s="87"/>
      <c r="UNO1" s="87"/>
      <c r="UNP1" s="87"/>
      <c r="UNQ1" s="87"/>
      <c r="UNR1" s="87"/>
      <c r="UNS1" s="87"/>
      <c r="UNT1" s="87"/>
      <c r="UNU1" s="87"/>
      <c r="UNV1" s="87"/>
      <c r="UNW1" s="87"/>
      <c r="UNX1" s="87"/>
      <c r="UNY1" s="87"/>
      <c r="UNZ1" s="87"/>
      <c r="UOA1" s="87"/>
      <c r="UOB1" s="87"/>
      <c r="UOC1" s="87"/>
      <c r="UOD1" s="87"/>
      <c r="UOE1" s="87"/>
      <c r="UOF1" s="87"/>
      <c r="UOG1" s="87"/>
      <c r="UOH1" s="87"/>
      <c r="UOI1" s="87"/>
      <c r="UOJ1" s="87"/>
      <c r="UOK1" s="87"/>
      <c r="UOL1" s="87"/>
      <c r="UOM1" s="87"/>
      <c r="UON1" s="87"/>
      <c r="UOO1" s="87"/>
      <c r="UOP1" s="87"/>
      <c r="UOQ1" s="87"/>
      <c r="UOR1" s="87"/>
      <c r="UOS1" s="87"/>
      <c r="UOT1" s="87"/>
      <c r="UOU1" s="87"/>
      <c r="UOV1" s="87"/>
      <c r="UOW1" s="87"/>
      <c r="UOX1" s="87"/>
      <c r="UOY1" s="87"/>
      <c r="UOZ1" s="87"/>
      <c r="UPA1" s="87"/>
      <c r="UPB1" s="87"/>
      <c r="UPC1" s="87"/>
      <c r="UPD1" s="87"/>
      <c r="UPE1" s="87"/>
      <c r="UPF1" s="87"/>
      <c r="UPG1" s="87"/>
      <c r="UPH1" s="87"/>
      <c r="UPI1" s="87"/>
      <c r="UPJ1" s="87"/>
      <c r="UPK1" s="87"/>
      <c r="UPL1" s="87"/>
      <c r="UPM1" s="87"/>
      <c r="UPN1" s="87"/>
      <c r="UPO1" s="87"/>
      <c r="UPP1" s="87"/>
      <c r="UPQ1" s="87"/>
      <c r="UPR1" s="87"/>
      <c r="UPS1" s="87"/>
      <c r="UPT1" s="87"/>
      <c r="UPU1" s="87"/>
      <c r="UPV1" s="87"/>
      <c r="UPW1" s="87"/>
      <c r="UPX1" s="87"/>
      <c r="UPY1" s="87"/>
      <c r="UPZ1" s="87"/>
      <c r="UQA1" s="87"/>
      <c r="UQB1" s="87"/>
      <c r="UQC1" s="87"/>
      <c r="UQD1" s="87"/>
      <c r="UQE1" s="87"/>
      <c r="UQF1" s="87"/>
      <c r="UQG1" s="87"/>
      <c r="UQH1" s="87"/>
      <c r="UQI1" s="87"/>
      <c r="UQJ1" s="87"/>
      <c r="UQK1" s="87"/>
      <c r="UQL1" s="87"/>
      <c r="UQM1" s="87"/>
      <c r="UQN1" s="87"/>
      <c r="UQO1" s="87"/>
      <c r="UQP1" s="87"/>
      <c r="UQQ1" s="87"/>
      <c r="UQR1" s="87"/>
      <c r="UQS1" s="87"/>
      <c r="UQT1" s="87"/>
      <c r="UQU1" s="87"/>
      <c r="UQV1" s="87"/>
      <c r="UQW1" s="87"/>
      <c r="UQX1" s="87"/>
      <c r="UQY1" s="87"/>
      <c r="UQZ1" s="87"/>
      <c r="URA1" s="87"/>
      <c r="URB1" s="87"/>
      <c r="URC1" s="87"/>
      <c r="URD1" s="87"/>
      <c r="URE1" s="87"/>
      <c r="URF1" s="87"/>
      <c r="URG1" s="87"/>
      <c r="URH1" s="87"/>
      <c r="URI1" s="87"/>
      <c r="URJ1" s="87"/>
      <c r="URK1" s="87"/>
      <c r="URL1" s="87"/>
      <c r="URM1" s="87"/>
      <c r="URN1" s="87"/>
      <c r="URO1" s="87"/>
      <c r="URP1" s="87"/>
      <c r="URQ1" s="87"/>
      <c r="URR1" s="87"/>
      <c r="URS1" s="87"/>
      <c r="URT1" s="87"/>
      <c r="URU1" s="87"/>
      <c r="URV1" s="87"/>
      <c r="URW1" s="87"/>
      <c r="URX1" s="87"/>
      <c r="URY1" s="87"/>
      <c r="URZ1" s="87"/>
      <c r="USA1" s="87"/>
      <c r="USB1" s="87"/>
      <c r="USC1" s="87"/>
      <c r="USD1" s="87"/>
      <c r="USE1" s="87"/>
      <c r="USF1" s="87"/>
      <c r="USG1" s="87"/>
      <c r="USH1" s="87"/>
      <c r="USI1" s="87"/>
      <c r="USJ1" s="87"/>
      <c r="USK1" s="87"/>
      <c r="USL1" s="87"/>
      <c r="USM1" s="87"/>
      <c r="USN1" s="87"/>
      <c r="USO1" s="87"/>
      <c r="USP1" s="87"/>
      <c r="USQ1" s="87"/>
      <c r="USR1" s="87"/>
      <c r="USS1" s="87"/>
      <c r="UST1" s="87"/>
      <c r="USU1" s="87"/>
      <c r="USV1" s="87"/>
      <c r="USW1" s="87"/>
      <c r="USX1" s="87"/>
      <c r="USY1" s="87"/>
      <c r="USZ1" s="87"/>
      <c r="UTA1" s="87"/>
      <c r="UTB1" s="87"/>
      <c r="UTC1" s="87"/>
      <c r="UTD1" s="87"/>
      <c r="UTE1" s="87"/>
      <c r="UTF1" s="87"/>
      <c r="UTG1" s="87"/>
      <c r="UTH1" s="87"/>
      <c r="UTI1" s="87"/>
      <c r="UTJ1" s="87"/>
      <c r="UTK1" s="87"/>
      <c r="UTL1" s="87"/>
      <c r="UTM1" s="87"/>
      <c r="UTN1" s="87"/>
      <c r="UTO1" s="87"/>
      <c r="UTP1" s="87"/>
      <c r="UTQ1" s="87"/>
      <c r="UTR1" s="87"/>
      <c r="UTS1" s="87"/>
      <c r="UTT1" s="87"/>
      <c r="UTU1" s="87"/>
      <c r="UTV1" s="87"/>
      <c r="UTW1" s="87"/>
      <c r="UTX1" s="87"/>
      <c r="UTY1" s="87"/>
      <c r="UTZ1" s="87"/>
      <c r="UUA1" s="87"/>
      <c r="UUB1" s="87"/>
      <c r="UUC1" s="87"/>
      <c r="UUD1" s="87"/>
      <c r="UUE1" s="87"/>
      <c r="UUF1" s="87"/>
      <c r="UUG1" s="87"/>
      <c r="UUH1" s="87"/>
      <c r="UUI1" s="87"/>
      <c r="UUJ1" s="87"/>
      <c r="UUK1" s="87"/>
      <c r="UUL1" s="87"/>
      <c r="UUM1" s="87"/>
      <c r="UUN1" s="87"/>
      <c r="UUO1" s="87"/>
      <c r="UUP1" s="87"/>
      <c r="UUQ1" s="87"/>
      <c r="UUR1" s="87"/>
      <c r="UUS1" s="87"/>
      <c r="UUT1" s="87"/>
      <c r="UUU1" s="87"/>
      <c r="UUV1" s="87"/>
      <c r="UUW1" s="87"/>
      <c r="UUX1" s="87"/>
      <c r="UUY1" s="87"/>
      <c r="UUZ1" s="87"/>
      <c r="UVA1" s="87"/>
      <c r="UVB1" s="87"/>
      <c r="UVC1" s="87"/>
      <c r="UVD1" s="87"/>
      <c r="UVE1" s="87"/>
      <c r="UVF1" s="87"/>
      <c r="UVG1" s="87"/>
      <c r="UVH1" s="87"/>
      <c r="UVI1" s="87"/>
      <c r="UVJ1" s="87"/>
      <c r="UVK1" s="87"/>
      <c r="UVL1" s="87"/>
      <c r="UVM1" s="87"/>
      <c r="UVN1" s="87"/>
      <c r="UVO1" s="87"/>
      <c r="UVP1" s="87"/>
      <c r="UVQ1" s="87"/>
      <c r="UVR1" s="87"/>
      <c r="UVS1" s="87"/>
      <c r="UVT1" s="87"/>
      <c r="UVU1" s="87"/>
      <c r="UVV1" s="87"/>
      <c r="UVW1" s="87"/>
      <c r="UVX1" s="87"/>
      <c r="UVY1" s="87"/>
      <c r="UVZ1" s="87"/>
      <c r="UWA1" s="87"/>
      <c r="UWB1" s="87"/>
      <c r="UWC1" s="87"/>
      <c r="UWD1" s="87"/>
      <c r="UWE1" s="87"/>
      <c r="UWF1" s="87"/>
      <c r="UWG1" s="87"/>
      <c r="UWH1" s="87"/>
      <c r="UWI1" s="87"/>
      <c r="UWJ1" s="87"/>
      <c r="UWK1" s="87"/>
      <c r="UWL1" s="87"/>
      <c r="UWM1" s="87"/>
      <c r="UWN1" s="87"/>
      <c r="UWO1" s="87"/>
      <c r="UWP1" s="87"/>
      <c r="UWQ1" s="87"/>
      <c r="UWR1" s="87"/>
      <c r="UWS1" s="87"/>
      <c r="UWT1" s="87"/>
      <c r="UWU1" s="87"/>
      <c r="UWV1" s="87"/>
      <c r="UWW1" s="87"/>
      <c r="UWX1" s="87"/>
      <c r="UWY1" s="87"/>
      <c r="UWZ1" s="87"/>
      <c r="UXA1" s="87"/>
      <c r="UXB1" s="87"/>
      <c r="UXC1" s="87"/>
      <c r="UXD1" s="87"/>
      <c r="UXE1" s="87"/>
      <c r="UXF1" s="87"/>
      <c r="UXG1" s="87"/>
      <c r="UXH1" s="87"/>
      <c r="UXI1" s="87"/>
      <c r="UXJ1" s="87"/>
      <c r="UXK1" s="87"/>
      <c r="UXL1" s="87"/>
      <c r="UXM1" s="87"/>
      <c r="UXN1" s="87"/>
      <c r="UXO1" s="87"/>
      <c r="UXP1" s="87"/>
      <c r="UXQ1" s="87"/>
      <c r="UXR1" s="87"/>
      <c r="UXS1" s="87"/>
      <c r="UXT1" s="87"/>
      <c r="UXU1" s="87"/>
      <c r="UXV1" s="87"/>
      <c r="UXW1" s="87"/>
      <c r="UXX1" s="87"/>
      <c r="UXY1" s="87"/>
      <c r="UXZ1" s="87"/>
      <c r="UYA1" s="87"/>
      <c r="UYB1" s="87"/>
      <c r="UYC1" s="87"/>
      <c r="UYD1" s="87"/>
      <c r="UYE1" s="87"/>
      <c r="UYF1" s="87"/>
      <c r="UYG1" s="87"/>
      <c r="UYH1" s="87"/>
      <c r="UYI1" s="87"/>
      <c r="UYJ1" s="87"/>
      <c r="UYK1" s="87"/>
      <c r="UYL1" s="87"/>
      <c r="UYM1" s="87"/>
      <c r="UYN1" s="87"/>
      <c r="UYO1" s="87"/>
      <c r="UYP1" s="87"/>
      <c r="UYQ1" s="87"/>
      <c r="UYR1" s="87"/>
      <c r="UYS1" s="87"/>
      <c r="UYT1" s="87"/>
      <c r="UYU1" s="87"/>
      <c r="UYV1" s="87"/>
      <c r="UYW1" s="87"/>
      <c r="UYX1" s="87"/>
      <c r="UYY1" s="87"/>
      <c r="UYZ1" s="87"/>
      <c r="UZA1" s="87"/>
      <c r="UZB1" s="87"/>
      <c r="UZC1" s="87"/>
      <c r="UZD1" s="87"/>
      <c r="UZE1" s="87"/>
      <c r="UZF1" s="87"/>
      <c r="UZG1" s="87"/>
      <c r="UZH1" s="87"/>
      <c r="UZI1" s="87"/>
      <c r="UZJ1" s="87"/>
      <c r="UZK1" s="87"/>
      <c r="UZL1" s="87"/>
      <c r="UZM1" s="87"/>
      <c r="UZN1" s="87"/>
      <c r="UZO1" s="87"/>
      <c r="UZP1" s="87"/>
      <c r="UZQ1" s="87"/>
      <c r="UZR1" s="87"/>
      <c r="UZS1" s="87"/>
      <c r="UZT1" s="87"/>
      <c r="UZU1" s="87"/>
      <c r="UZV1" s="87"/>
      <c r="UZW1" s="87"/>
      <c r="UZX1" s="87"/>
      <c r="UZY1" s="87"/>
      <c r="UZZ1" s="87"/>
      <c r="VAA1" s="87"/>
      <c r="VAB1" s="87"/>
      <c r="VAC1" s="87"/>
      <c r="VAD1" s="87"/>
      <c r="VAE1" s="87"/>
      <c r="VAF1" s="87"/>
      <c r="VAG1" s="87"/>
      <c r="VAH1" s="87"/>
      <c r="VAI1" s="87"/>
      <c r="VAJ1" s="87"/>
      <c r="VAK1" s="87"/>
      <c r="VAL1" s="87"/>
      <c r="VAM1" s="87"/>
      <c r="VAN1" s="87"/>
      <c r="VAO1" s="87"/>
      <c r="VAP1" s="87"/>
      <c r="VAQ1" s="87"/>
      <c r="VAR1" s="87"/>
      <c r="VAS1" s="87"/>
      <c r="VAT1" s="87"/>
      <c r="VAU1" s="87"/>
      <c r="VAV1" s="87"/>
      <c r="VAW1" s="87"/>
      <c r="VAX1" s="87"/>
      <c r="VAY1" s="87"/>
      <c r="VAZ1" s="87"/>
      <c r="VBA1" s="87"/>
      <c r="VBB1" s="87"/>
      <c r="VBC1" s="87"/>
      <c r="VBD1" s="87"/>
      <c r="VBE1" s="87"/>
      <c r="VBF1" s="87"/>
      <c r="VBG1" s="87"/>
      <c r="VBH1" s="87"/>
      <c r="VBI1" s="87"/>
      <c r="VBJ1" s="87"/>
      <c r="VBK1" s="87"/>
      <c r="VBL1" s="87"/>
      <c r="VBM1" s="87"/>
      <c r="VBN1" s="87"/>
      <c r="VBO1" s="87"/>
      <c r="VBP1" s="87"/>
      <c r="VBQ1" s="87"/>
      <c r="VBR1" s="87"/>
      <c r="VBS1" s="87"/>
      <c r="VBT1" s="87"/>
      <c r="VBU1" s="87"/>
      <c r="VBV1" s="87"/>
      <c r="VBW1" s="87"/>
      <c r="VBX1" s="87"/>
      <c r="VBY1" s="87"/>
      <c r="VBZ1" s="87"/>
      <c r="VCA1" s="87"/>
      <c r="VCB1" s="87"/>
      <c r="VCC1" s="87"/>
      <c r="VCD1" s="87"/>
      <c r="VCE1" s="87"/>
      <c r="VCF1" s="87"/>
      <c r="VCG1" s="87"/>
      <c r="VCH1" s="87"/>
      <c r="VCI1" s="87"/>
      <c r="VCJ1" s="87"/>
      <c r="VCK1" s="87"/>
      <c r="VCL1" s="87"/>
      <c r="VCM1" s="87"/>
      <c r="VCN1" s="87"/>
      <c r="VCO1" s="87"/>
      <c r="VCP1" s="87"/>
      <c r="VCQ1" s="87"/>
      <c r="VCR1" s="87"/>
      <c r="VCS1" s="87"/>
      <c r="VCT1" s="87"/>
      <c r="VCU1" s="87"/>
      <c r="VCV1" s="87"/>
      <c r="VCW1" s="87"/>
      <c r="VCX1" s="87"/>
      <c r="VCY1" s="87"/>
      <c r="VCZ1" s="87"/>
      <c r="VDA1" s="87"/>
      <c r="VDB1" s="87"/>
      <c r="VDC1" s="87"/>
      <c r="VDD1" s="87"/>
      <c r="VDE1" s="87"/>
      <c r="VDF1" s="87"/>
      <c r="VDG1" s="87"/>
      <c r="VDH1" s="87"/>
      <c r="VDI1" s="87"/>
      <c r="VDJ1" s="87"/>
      <c r="VDK1" s="87"/>
      <c r="VDL1" s="87"/>
      <c r="VDM1" s="87"/>
      <c r="VDN1" s="87"/>
      <c r="VDO1" s="87"/>
      <c r="VDP1" s="87"/>
      <c r="VDQ1" s="87"/>
      <c r="VDR1" s="87"/>
      <c r="VDS1" s="87"/>
      <c r="VDT1" s="87"/>
      <c r="VDU1" s="87"/>
      <c r="VDV1" s="87"/>
      <c r="VDW1" s="87"/>
      <c r="VDX1" s="87"/>
      <c r="VDY1" s="87"/>
      <c r="VDZ1" s="87"/>
      <c r="VEA1" s="87"/>
      <c r="VEB1" s="87"/>
      <c r="VEC1" s="87"/>
      <c r="VED1" s="87"/>
      <c r="VEE1" s="87"/>
      <c r="VEF1" s="87"/>
      <c r="VEG1" s="87"/>
      <c r="VEH1" s="87"/>
      <c r="VEI1" s="87"/>
      <c r="VEJ1" s="87"/>
      <c r="VEK1" s="87"/>
      <c r="VEL1" s="87"/>
      <c r="VEM1" s="87"/>
      <c r="VEN1" s="87"/>
      <c r="VEO1" s="87"/>
      <c r="VEP1" s="87"/>
      <c r="VEQ1" s="87"/>
      <c r="VER1" s="87"/>
      <c r="VES1" s="87"/>
      <c r="VET1" s="87"/>
      <c r="VEU1" s="87"/>
      <c r="VEV1" s="87"/>
      <c r="VEW1" s="87"/>
      <c r="VEX1" s="87"/>
      <c r="VEY1" s="87"/>
      <c r="VEZ1" s="87"/>
      <c r="VFA1" s="87"/>
      <c r="VFB1" s="87"/>
      <c r="VFC1" s="87"/>
      <c r="VFD1" s="87"/>
      <c r="VFE1" s="87"/>
      <c r="VFF1" s="87"/>
      <c r="VFG1" s="87"/>
      <c r="VFH1" s="87"/>
      <c r="VFI1" s="87"/>
      <c r="VFJ1" s="87"/>
      <c r="VFK1" s="87"/>
      <c r="VFL1" s="87"/>
      <c r="VFM1" s="87"/>
      <c r="VFN1" s="87"/>
      <c r="VFO1" s="87"/>
      <c r="VFP1" s="87"/>
      <c r="VFQ1" s="87"/>
      <c r="VFR1" s="87"/>
      <c r="VFS1" s="87"/>
      <c r="VFT1" s="87"/>
      <c r="VFU1" s="87"/>
      <c r="VFV1" s="87"/>
      <c r="VFW1" s="87"/>
      <c r="VFX1" s="87"/>
      <c r="VFY1" s="87"/>
      <c r="VFZ1" s="87"/>
      <c r="VGA1" s="87"/>
      <c r="VGB1" s="87"/>
      <c r="VGC1" s="87"/>
      <c r="VGD1" s="87"/>
      <c r="VGE1" s="87"/>
      <c r="VGF1" s="87"/>
      <c r="VGG1" s="87"/>
      <c r="VGH1" s="87"/>
      <c r="VGI1" s="87"/>
      <c r="VGJ1" s="87"/>
      <c r="VGK1" s="87"/>
      <c r="VGL1" s="87"/>
      <c r="VGM1" s="87"/>
      <c r="VGN1" s="87"/>
      <c r="VGO1" s="87"/>
      <c r="VGP1" s="87"/>
      <c r="VGQ1" s="87"/>
      <c r="VGR1" s="87"/>
      <c r="VGS1" s="87"/>
      <c r="VGT1" s="87"/>
      <c r="VGU1" s="87"/>
      <c r="VGV1" s="87"/>
      <c r="VGW1" s="87"/>
      <c r="VGX1" s="87"/>
      <c r="VGY1" s="87"/>
      <c r="VGZ1" s="87"/>
      <c r="VHA1" s="87"/>
      <c r="VHB1" s="87"/>
      <c r="VHC1" s="87"/>
      <c r="VHD1" s="87"/>
      <c r="VHE1" s="87"/>
      <c r="VHF1" s="87"/>
      <c r="VHG1" s="87"/>
      <c r="VHH1" s="87"/>
      <c r="VHI1" s="87"/>
      <c r="VHJ1" s="87"/>
      <c r="VHK1" s="87"/>
      <c r="VHL1" s="87"/>
      <c r="VHM1" s="87"/>
      <c r="VHN1" s="87"/>
      <c r="VHO1" s="87"/>
      <c r="VHP1" s="87"/>
      <c r="VHQ1" s="87"/>
      <c r="VHR1" s="87"/>
      <c r="VHS1" s="87"/>
      <c r="VHT1" s="87"/>
      <c r="VHU1" s="87"/>
      <c r="VHV1" s="87"/>
      <c r="VHW1" s="87"/>
      <c r="VHX1" s="87"/>
      <c r="VHY1" s="87"/>
      <c r="VHZ1" s="87"/>
      <c r="VIA1" s="87"/>
      <c r="VIB1" s="87"/>
      <c r="VIC1" s="87"/>
      <c r="VID1" s="87"/>
      <c r="VIE1" s="87"/>
      <c r="VIF1" s="87"/>
      <c r="VIG1" s="87"/>
      <c r="VIH1" s="87"/>
      <c r="VII1" s="87"/>
      <c r="VIJ1" s="87"/>
      <c r="VIK1" s="87"/>
      <c r="VIL1" s="87"/>
      <c r="VIM1" s="87"/>
      <c r="VIN1" s="87"/>
      <c r="VIO1" s="87"/>
      <c r="VIP1" s="87"/>
      <c r="VIQ1" s="87"/>
      <c r="VIR1" s="87"/>
      <c r="VIS1" s="87"/>
      <c r="VIT1" s="87"/>
      <c r="VIU1" s="87"/>
      <c r="VIV1" s="87"/>
      <c r="VIW1" s="87"/>
      <c r="VIX1" s="87"/>
      <c r="VIY1" s="87"/>
      <c r="VIZ1" s="87"/>
      <c r="VJA1" s="87"/>
      <c r="VJB1" s="87"/>
      <c r="VJC1" s="87"/>
      <c r="VJD1" s="87"/>
      <c r="VJE1" s="87"/>
      <c r="VJF1" s="87"/>
      <c r="VJG1" s="87"/>
      <c r="VJH1" s="87"/>
      <c r="VJI1" s="87"/>
      <c r="VJJ1" s="87"/>
      <c r="VJK1" s="87"/>
      <c r="VJL1" s="87"/>
      <c r="VJM1" s="87"/>
      <c r="VJN1" s="87"/>
      <c r="VJO1" s="87"/>
      <c r="VJP1" s="87"/>
      <c r="VJQ1" s="87"/>
      <c r="VJR1" s="87"/>
      <c r="VJS1" s="87"/>
      <c r="VJT1" s="87"/>
      <c r="VJU1" s="87"/>
      <c r="VJV1" s="87"/>
      <c r="VJW1" s="87"/>
      <c r="VJX1" s="87"/>
      <c r="VJY1" s="87"/>
      <c r="VJZ1" s="87"/>
      <c r="VKA1" s="87"/>
      <c r="VKB1" s="87"/>
      <c r="VKC1" s="87"/>
      <c r="VKD1" s="87"/>
      <c r="VKE1" s="87"/>
      <c r="VKF1" s="87"/>
      <c r="VKG1" s="87"/>
      <c r="VKH1" s="87"/>
      <c r="VKI1" s="87"/>
      <c r="VKJ1" s="87"/>
      <c r="VKK1" s="87"/>
      <c r="VKL1" s="87"/>
      <c r="VKM1" s="87"/>
      <c r="VKN1" s="87"/>
      <c r="VKO1" s="87"/>
      <c r="VKP1" s="87"/>
      <c r="VKQ1" s="87"/>
      <c r="VKR1" s="87"/>
      <c r="VKS1" s="87"/>
      <c r="VKT1" s="87"/>
      <c r="VKU1" s="87"/>
      <c r="VKV1" s="87"/>
      <c r="VKW1" s="87"/>
      <c r="VKX1" s="87"/>
      <c r="VKY1" s="87"/>
      <c r="VKZ1" s="87"/>
      <c r="VLA1" s="87"/>
      <c r="VLB1" s="87"/>
      <c r="VLC1" s="87"/>
      <c r="VLD1" s="87"/>
      <c r="VLE1" s="87"/>
      <c r="VLF1" s="87"/>
      <c r="VLG1" s="87"/>
      <c r="VLH1" s="87"/>
      <c r="VLI1" s="87"/>
      <c r="VLJ1" s="87"/>
      <c r="VLK1" s="87"/>
      <c r="VLL1" s="87"/>
      <c r="VLM1" s="87"/>
      <c r="VLN1" s="87"/>
      <c r="VLO1" s="87"/>
      <c r="VLP1" s="87"/>
      <c r="VLQ1" s="87"/>
      <c r="VLR1" s="87"/>
      <c r="VLS1" s="87"/>
      <c r="VLT1" s="87"/>
      <c r="VLU1" s="87"/>
      <c r="VLV1" s="87"/>
      <c r="VLW1" s="87"/>
      <c r="VLX1" s="87"/>
      <c r="VLY1" s="87"/>
      <c r="VLZ1" s="87"/>
      <c r="VMA1" s="87"/>
      <c r="VMB1" s="87"/>
      <c r="VMC1" s="87"/>
      <c r="VMD1" s="87"/>
      <c r="VME1" s="87"/>
      <c r="VMF1" s="87"/>
      <c r="VMG1" s="87"/>
      <c r="VMH1" s="87"/>
      <c r="VMI1" s="87"/>
      <c r="VMJ1" s="87"/>
      <c r="VMK1" s="87"/>
      <c r="VML1" s="87"/>
      <c r="VMM1" s="87"/>
      <c r="VMN1" s="87"/>
      <c r="VMO1" s="87"/>
      <c r="VMP1" s="87"/>
      <c r="VMQ1" s="87"/>
      <c r="VMR1" s="87"/>
      <c r="VMS1" s="87"/>
      <c r="VMT1" s="87"/>
      <c r="VMU1" s="87"/>
      <c r="VMV1" s="87"/>
      <c r="VMW1" s="87"/>
      <c r="VMX1" s="87"/>
      <c r="VMY1" s="87"/>
      <c r="VMZ1" s="87"/>
      <c r="VNA1" s="87"/>
      <c r="VNB1" s="87"/>
      <c r="VNC1" s="87"/>
      <c r="VND1" s="87"/>
      <c r="VNE1" s="87"/>
      <c r="VNF1" s="87"/>
      <c r="VNG1" s="87"/>
      <c r="VNH1" s="87"/>
      <c r="VNI1" s="87"/>
      <c r="VNJ1" s="87"/>
      <c r="VNK1" s="87"/>
      <c r="VNL1" s="87"/>
      <c r="VNM1" s="87"/>
      <c r="VNN1" s="87"/>
      <c r="VNO1" s="87"/>
      <c r="VNP1" s="87"/>
      <c r="VNQ1" s="87"/>
      <c r="VNR1" s="87"/>
      <c r="VNS1" s="87"/>
      <c r="VNT1" s="87"/>
      <c r="VNU1" s="87"/>
      <c r="VNV1" s="87"/>
      <c r="VNW1" s="87"/>
      <c r="VNX1" s="87"/>
      <c r="VNY1" s="87"/>
      <c r="VNZ1" s="87"/>
      <c r="VOA1" s="87"/>
      <c r="VOB1" s="87"/>
      <c r="VOC1" s="87"/>
      <c r="VOD1" s="87"/>
      <c r="VOE1" s="87"/>
      <c r="VOF1" s="87"/>
      <c r="VOG1" s="87"/>
      <c r="VOH1" s="87"/>
      <c r="VOI1" s="87"/>
      <c r="VOJ1" s="87"/>
      <c r="VOK1" s="87"/>
      <c r="VOL1" s="87"/>
      <c r="VOM1" s="87"/>
      <c r="VON1" s="87"/>
      <c r="VOO1" s="87"/>
      <c r="VOP1" s="87"/>
      <c r="VOQ1" s="87"/>
      <c r="VOR1" s="87"/>
      <c r="VOS1" s="87"/>
      <c r="VOT1" s="87"/>
      <c r="VOU1" s="87"/>
      <c r="VOV1" s="87"/>
      <c r="VOW1" s="87"/>
      <c r="VOX1" s="87"/>
      <c r="VOY1" s="87"/>
      <c r="VOZ1" s="87"/>
      <c r="VPA1" s="87"/>
      <c r="VPB1" s="87"/>
      <c r="VPC1" s="87"/>
      <c r="VPD1" s="87"/>
      <c r="VPE1" s="87"/>
      <c r="VPF1" s="87"/>
      <c r="VPG1" s="87"/>
      <c r="VPH1" s="87"/>
      <c r="VPI1" s="87"/>
      <c r="VPJ1" s="87"/>
      <c r="VPK1" s="87"/>
      <c r="VPL1" s="87"/>
      <c r="VPM1" s="87"/>
      <c r="VPN1" s="87"/>
      <c r="VPO1" s="87"/>
      <c r="VPP1" s="87"/>
      <c r="VPQ1" s="87"/>
      <c r="VPR1" s="87"/>
      <c r="VPS1" s="87"/>
      <c r="VPT1" s="87"/>
      <c r="VPU1" s="87"/>
      <c r="VPV1" s="87"/>
      <c r="VPW1" s="87"/>
      <c r="VPX1" s="87"/>
      <c r="VPY1" s="87"/>
      <c r="VPZ1" s="87"/>
      <c r="VQA1" s="87"/>
      <c r="VQB1" s="87"/>
      <c r="VQC1" s="87"/>
      <c r="VQD1" s="87"/>
      <c r="VQE1" s="87"/>
      <c r="VQF1" s="87"/>
      <c r="VQG1" s="87"/>
      <c r="VQH1" s="87"/>
      <c r="VQI1" s="87"/>
      <c r="VQJ1" s="87"/>
      <c r="VQK1" s="87"/>
      <c r="VQL1" s="87"/>
      <c r="VQM1" s="87"/>
      <c r="VQN1" s="87"/>
      <c r="VQO1" s="87"/>
      <c r="VQP1" s="87"/>
      <c r="VQQ1" s="87"/>
      <c r="VQR1" s="87"/>
      <c r="VQS1" s="87"/>
      <c r="VQT1" s="87"/>
      <c r="VQU1" s="87"/>
      <c r="VQV1" s="87"/>
      <c r="VQW1" s="87"/>
      <c r="VQX1" s="87"/>
      <c r="VQY1" s="87"/>
      <c r="VQZ1" s="87"/>
      <c r="VRA1" s="87"/>
      <c r="VRB1" s="87"/>
      <c r="VRC1" s="87"/>
      <c r="VRD1" s="87"/>
      <c r="VRE1" s="87"/>
      <c r="VRF1" s="87"/>
      <c r="VRG1" s="87"/>
      <c r="VRH1" s="87"/>
      <c r="VRI1" s="87"/>
      <c r="VRJ1" s="87"/>
      <c r="VRK1" s="87"/>
      <c r="VRL1" s="87"/>
      <c r="VRM1" s="87"/>
      <c r="VRN1" s="87"/>
      <c r="VRO1" s="87"/>
      <c r="VRP1" s="87"/>
      <c r="VRQ1" s="87"/>
      <c r="VRR1" s="87"/>
      <c r="VRS1" s="87"/>
      <c r="VRT1" s="87"/>
      <c r="VRU1" s="87"/>
      <c r="VRV1" s="87"/>
      <c r="VRW1" s="87"/>
      <c r="VRX1" s="87"/>
      <c r="VRY1" s="87"/>
      <c r="VRZ1" s="87"/>
      <c r="VSA1" s="87"/>
      <c r="VSB1" s="87"/>
      <c r="VSC1" s="87"/>
      <c r="VSD1" s="87"/>
      <c r="VSE1" s="87"/>
      <c r="VSF1" s="87"/>
      <c r="VSG1" s="87"/>
      <c r="VSH1" s="87"/>
      <c r="VSI1" s="87"/>
      <c r="VSJ1" s="87"/>
      <c r="VSK1" s="87"/>
      <c r="VSL1" s="87"/>
      <c r="VSM1" s="87"/>
      <c r="VSN1" s="87"/>
      <c r="VSO1" s="87"/>
      <c r="VSP1" s="87"/>
      <c r="VSQ1" s="87"/>
      <c r="VSR1" s="87"/>
      <c r="VSS1" s="87"/>
      <c r="VST1" s="87"/>
      <c r="VSU1" s="87"/>
      <c r="VSV1" s="87"/>
      <c r="VSW1" s="87"/>
      <c r="VSX1" s="87"/>
      <c r="VSY1" s="87"/>
      <c r="VSZ1" s="87"/>
      <c r="VTA1" s="87"/>
      <c r="VTB1" s="87"/>
      <c r="VTC1" s="87"/>
      <c r="VTD1" s="87"/>
      <c r="VTE1" s="87"/>
      <c r="VTF1" s="87"/>
      <c r="VTG1" s="87"/>
      <c r="VTH1" s="87"/>
      <c r="VTI1" s="87"/>
      <c r="VTJ1" s="87"/>
      <c r="VTK1" s="87"/>
      <c r="VTL1" s="87"/>
      <c r="VTM1" s="87"/>
      <c r="VTN1" s="87"/>
      <c r="VTO1" s="87"/>
      <c r="VTP1" s="87"/>
      <c r="VTQ1" s="87"/>
      <c r="VTR1" s="87"/>
      <c r="VTS1" s="87"/>
      <c r="VTT1" s="87"/>
      <c r="VTU1" s="87"/>
      <c r="VTV1" s="87"/>
      <c r="VTW1" s="87"/>
      <c r="VTX1" s="87"/>
      <c r="VTY1" s="87"/>
      <c r="VTZ1" s="87"/>
      <c r="VUA1" s="87"/>
      <c r="VUB1" s="87"/>
      <c r="VUC1" s="87"/>
      <c r="VUD1" s="87"/>
      <c r="VUE1" s="87"/>
      <c r="VUF1" s="87"/>
      <c r="VUG1" s="87"/>
      <c r="VUH1" s="87"/>
      <c r="VUI1" s="87"/>
      <c r="VUJ1" s="87"/>
      <c r="VUK1" s="87"/>
      <c r="VUL1" s="87"/>
      <c r="VUM1" s="87"/>
      <c r="VUN1" s="87"/>
      <c r="VUO1" s="87"/>
      <c r="VUP1" s="87"/>
      <c r="VUQ1" s="87"/>
      <c r="VUR1" s="87"/>
      <c r="VUS1" s="87"/>
      <c r="VUT1" s="87"/>
      <c r="VUU1" s="87"/>
      <c r="VUV1" s="87"/>
      <c r="VUW1" s="87"/>
      <c r="VUX1" s="87"/>
      <c r="VUY1" s="87"/>
      <c r="VUZ1" s="87"/>
      <c r="VVA1" s="87"/>
      <c r="VVB1" s="87"/>
      <c r="VVC1" s="87"/>
      <c r="VVD1" s="87"/>
      <c r="VVE1" s="87"/>
      <c r="VVF1" s="87"/>
      <c r="VVG1" s="87"/>
      <c r="VVH1" s="87"/>
      <c r="VVI1" s="87"/>
      <c r="VVJ1" s="87"/>
      <c r="VVK1" s="87"/>
      <c r="VVL1" s="87"/>
      <c r="VVM1" s="87"/>
      <c r="VVN1" s="87"/>
      <c r="VVO1" s="87"/>
      <c r="VVP1" s="87"/>
      <c r="VVQ1" s="87"/>
      <c r="VVR1" s="87"/>
      <c r="VVS1" s="87"/>
      <c r="VVT1" s="87"/>
      <c r="VVU1" s="87"/>
      <c r="VVV1" s="87"/>
      <c r="VVW1" s="87"/>
      <c r="VVX1" s="87"/>
      <c r="VVY1" s="87"/>
      <c r="VVZ1" s="87"/>
      <c r="VWA1" s="87"/>
      <c r="VWB1" s="87"/>
      <c r="VWC1" s="87"/>
      <c r="VWD1" s="87"/>
      <c r="VWE1" s="87"/>
      <c r="VWF1" s="87"/>
      <c r="VWG1" s="87"/>
      <c r="VWH1" s="87"/>
      <c r="VWI1" s="87"/>
      <c r="VWJ1" s="87"/>
      <c r="VWK1" s="87"/>
      <c r="VWL1" s="87"/>
      <c r="VWM1" s="87"/>
      <c r="VWN1" s="87"/>
      <c r="VWO1" s="87"/>
      <c r="VWP1" s="87"/>
      <c r="VWQ1" s="87"/>
      <c r="VWR1" s="87"/>
      <c r="VWS1" s="87"/>
      <c r="VWT1" s="87"/>
      <c r="VWU1" s="87"/>
      <c r="VWV1" s="87"/>
      <c r="VWW1" s="87"/>
      <c r="VWX1" s="87"/>
      <c r="VWY1" s="87"/>
      <c r="VWZ1" s="87"/>
      <c r="VXA1" s="87"/>
      <c r="VXB1" s="87"/>
      <c r="VXC1" s="87"/>
      <c r="VXD1" s="87"/>
      <c r="VXE1" s="87"/>
      <c r="VXF1" s="87"/>
      <c r="VXG1" s="87"/>
      <c r="VXH1" s="87"/>
      <c r="VXI1" s="87"/>
      <c r="VXJ1" s="87"/>
      <c r="VXK1" s="87"/>
      <c r="VXL1" s="87"/>
      <c r="VXM1" s="87"/>
      <c r="VXN1" s="87"/>
      <c r="VXO1" s="87"/>
      <c r="VXP1" s="87"/>
      <c r="VXQ1" s="87"/>
      <c r="VXR1" s="87"/>
      <c r="VXS1" s="87"/>
      <c r="VXT1" s="87"/>
      <c r="VXU1" s="87"/>
      <c r="VXV1" s="87"/>
      <c r="VXW1" s="87"/>
      <c r="VXX1" s="87"/>
      <c r="VXY1" s="87"/>
      <c r="VXZ1" s="87"/>
      <c r="VYA1" s="87"/>
      <c r="VYB1" s="87"/>
      <c r="VYC1" s="87"/>
      <c r="VYD1" s="87"/>
      <c r="VYE1" s="87"/>
      <c r="VYF1" s="87"/>
      <c r="VYG1" s="87"/>
      <c r="VYH1" s="87"/>
      <c r="VYI1" s="87"/>
      <c r="VYJ1" s="87"/>
      <c r="VYK1" s="87"/>
      <c r="VYL1" s="87"/>
      <c r="VYM1" s="87"/>
      <c r="VYN1" s="87"/>
      <c r="VYO1" s="87"/>
      <c r="VYP1" s="87"/>
      <c r="VYQ1" s="87"/>
      <c r="VYR1" s="87"/>
      <c r="VYS1" s="87"/>
      <c r="VYT1" s="87"/>
      <c r="VYU1" s="87"/>
      <c r="VYV1" s="87"/>
      <c r="VYW1" s="87"/>
      <c r="VYX1" s="87"/>
      <c r="VYY1" s="87"/>
      <c r="VYZ1" s="87"/>
      <c r="VZA1" s="87"/>
      <c r="VZB1" s="87"/>
      <c r="VZC1" s="87"/>
      <c r="VZD1" s="87"/>
      <c r="VZE1" s="87"/>
      <c r="VZF1" s="87"/>
      <c r="VZG1" s="87"/>
      <c r="VZH1" s="87"/>
      <c r="VZI1" s="87"/>
      <c r="VZJ1" s="87"/>
      <c r="VZK1" s="87"/>
      <c r="VZL1" s="87"/>
      <c r="VZM1" s="87"/>
      <c r="VZN1" s="87"/>
      <c r="VZO1" s="87"/>
      <c r="VZP1" s="87"/>
      <c r="VZQ1" s="87"/>
      <c r="VZR1" s="87"/>
      <c r="VZS1" s="87"/>
      <c r="VZT1" s="87"/>
      <c r="VZU1" s="87"/>
      <c r="VZV1" s="87"/>
      <c r="VZW1" s="87"/>
      <c r="VZX1" s="87"/>
      <c r="VZY1" s="87"/>
      <c r="VZZ1" s="87"/>
      <c r="WAA1" s="87"/>
      <c r="WAB1" s="87"/>
      <c r="WAC1" s="87"/>
      <c r="WAD1" s="87"/>
      <c r="WAE1" s="87"/>
      <c r="WAF1" s="87"/>
      <c r="WAG1" s="87"/>
      <c r="WAH1" s="87"/>
      <c r="WAI1" s="87"/>
      <c r="WAJ1" s="87"/>
      <c r="WAK1" s="87"/>
      <c r="WAL1" s="87"/>
      <c r="WAM1" s="87"/>
      <c r="WAN1" s="87"/>
      <c r="WAO1" s="87"/>
      <c r="WAP1" s="87"/>
      <c r="WAQ1" s="87"/>
      <c r="WAR1" s="87"/>
      <c r="WAS1" s="87"/>
      <c r="WAT1" s="87"/>
      <c r="WAU1" s="87"/>
      <c r="WAV1" s="87"/>
      <c r="WAW1" s="87"/>
      <c r="WAX1" s="87"/>
      <c r="WAY1" s="87"/>
      <c r="WAZ1" s="87"/>
      <c r="WBA1" s="87"/>
      <c r="WBB1" s="87"/>
      <c r="WBC1" s="87"/>
      <c r="WBD1" s="87"/>
      <c r="WBE1" s="87"/>
      <c r="WBF1" s="87"/>
      <c r="WBG1" s="87"/>
      <c r="WBH1" s="87"/>
      <c r="WBI1" s="87"/>
      <c r="WBJ1" s="87"/>
      <c r="WBK1" s="87"/>
      <c r="WBL1" s="87"/>
      <c r="WBM1" s="87"/>
      <c r="WBN1" s="87"/>
      <c r="WBO1" s="87"/>
      <c r="WBP1" s="87"/>
      <c r="WBQ1" s="87"/>
      <c r="WBR1" s="87"/>
      <c r="WBS1" s="87"/>
      <c r="WBT1" s="87"/>
      <c r="WBU1" s="87"/>
      <c r="WBV1" s="87"/>
      <c r="WBW1" s="87"/>
      <c r="WBX1" s="87"/>
      <c r="WBY1" s="87"/>
      <c r="WBZ1" s="87"/>
      <c r="WCA1" s="87"/>
      <c r="WCB1" s="87"/>
      <c r="WCC1" s="87"/>
      <c r="WCD1" s="87"/>
      <c r="WCE1" s="87"/>
      <c r="WCF1" s="87"/>
      <c r="WCG1" s="87"/>
      <c r="WCH1" s="87"/>
      <c r="WCI1" s="87"/>
      <c r="WCJ1" s="87"/>
      <c r="WCK1" s="87"/>
      <c r="WCL1" s="87"/>
      <c r="WCM1" s="87"/>
      <c r="WCN1" s="87"/>
      <c r="WCO1" s="87"/>
      <c r="WCP1" s="87"/>
      <c r="WCQ1" s="87"/>
      <c r="WCR1" s="87"/>
      <c r="WCS1" s="87"/>
      <c r="WCT1" s="87"/>
      <c r="WCU1" s="87"/>
      <c r="WCV1" s="87"/>
      <c r="WCW1" s="87"/>
      <c r="WCX1" s="87"/>
      <c r="WCY1" s="87"/>
      <c r="WCZ1" s="87"/>
      <c r="WDA1" s="87"/>
      <c r="WDB1" s="87"/>
      <c r="WDC1" s="87"/>
      <c r="WDD1" s="87"/>
      <c r="WDE1" s="87"/>
      <c r="WDF1" s="87"/>
      <c r="WDG1" s="87"/>
      <c r="WDH1" s="87"/>
      <c r="WDI1" s="87"/>
      <c r="WDJ1" s="87"/>
      <c r="WDK1" s="87"/>
      <c r="WDL1" s="87"/>
      <c r="WDM1" s="87"/>
      <c r="WDN1" s="87"/>
      <c r="WDO1" s="87"/>
      <c r="WDP1" s="87"/>
      <c r="WDQ1" s="87"/>
      <c r="WDR1" s="87"/>
      <c r="WDS1" s="87"/>
      <c r="WDT1" s="87"/>
      <c r="WDU1" s="87"/>
      <c r="WDV1" s="87"/>
      <c r="WDW1" s="87"/>
      <c r="WDX1" s="87"/>
      <c r="WDY1" s="87"/>
      <c r="WDZ1" s="87"/>
      <c r="WEA1" s="87"/>
      <c r="WEB1" s="87"/>
      <c r="WEC1" s="87"/>
      <c r="WED1" s="87"/>
      <c r="WEE1" s="87"/>
      <c r="WEF1" s="87"/>
      <c r="WEG1" s="87"/>
      <c r="WEH1" s="87"/>
      <c r="WEI1" s="87"/>
      <c r="WEJ1" s="87"/>
      <c r="WEK1" s="87"/>
      <c r="WEL1" s="87"/>
      <c r="WEM1" s="87"/>
      <c r="WEN1" s="87"/>
      <c r="WEO1" s="87"/>
      <c r="WEP1" s="87"/>
      <c r="WEQ1" s="87"/>
      <c r="WER1" s="87"/>
      <c r="WES1" s="87"/>
      <c r="WET1" s="87"/>
      <c r="WEU1" s="87"/>
      <c r="WEV1" s="87"/>
      <c r="WEW1" s="87"/>
      <c r="WEX1" s="87"/>
      <c r="WEY1" s="87"/>
      <c r="WEZ1" s="87"/>
      <c r="WFA1" s="87"/>
      <c r="WFB1" s="87"/>
      <c r="WFC1" s="87"/>
      <c r="WFD1" s="87"/>
      <c r="WFE1" s="87"/>
      <c r="WFF1" s="87"/>
      <c r="WFG1" s="87"/>
      <c r="WFH1" s="87"/>
      <c r="WFI1" s="87"/>
      <c r="WFJ1" s="87"/>
      <c r="WFK1" s="87"/>
      <c r="WFL1" s="87"/>
      <c r="WFM1" s="87"/>
      <c r="WFN1" s="87"/>
      <c r="WFO1" s="87"/>
      <c r="WFP1" s="87"/>
      <c r="WFQ1" s="87"/>
      <c r="WFR1" s="87"/>
      <c r="WFS1" s="87"/>
      <c r="WFT1" s="87"/>
      <c r="WFU1" s="87"/>
      <c r="WFV1" s="87"/>
      <c r="WFW1" s="87"/>
      <c r="WFX1" s="87"/>
      <c r="WFY1" s="87"/>
      <c r="WFZ1" s="87"/>
      <c r="WGA1" s="87"/>
      <c r="WGB1" s="87"/>
      <c r="WGC1" s="87"/>
      <c r="WGD1" s="87"/>
      <c r="WGE1" s="87"/>
      <c r="WGF1" s="87"/>
      <c r="WGG1" s="87"/>
      <c r="WGH1" s="87"/>
      <c r="WGI1" s="87"/>
      <c r="WGJ1" s="87"/>
      <c r="WGK1" s="87"/>
      <c r="WGL1" s="87"/>
      <c r="WGM1" s="87"/>
      <c r="WGN1" s="87"/>
      <c r="WGO1" s="87"/>
      <c r="WGP1" s="87"/>
      <c r="WGQ1" s="87"/>
      <c r="WGR1" s="87"/>
      <c r="WGS1" s="87"/>
      <c r="WGT1" s="87"/>
      <c r="WGU1" s="87"/>
      <c r="WGV1" s="87"/>
      <c r="WGW1" s="87"/>
      <c r="WGX1" s="87"/>
      <c r="WGY1" s="87"/>
      <c r="WGZ1" s="87"/>
      <c r="WHA1" s="87"/>
      <c r="WHB1" s="87"/>
      <c r="WHC1" s="87"/>
      <c r="WHD1" s="87"/>
      <c r="WHE1" s="87"/>
      <c r="WHF1" s="87"/>
      <c r="WHG1" s="87"/>
      <c r="WHH1" s="87"/>
      <c r="WHI1" s="87"/>
      <c r="WHJ1" s="87"/>
      <c r="WHK1" s="87"/>
      <c r="WHL1" s="87"/>
      <c r="WHM1" s="87"/>
      <c r="WHN1" s="87"/>
      <c r="WHO1" s="87"/>
      <c r="WHP1" s="87"/>
      <c r="WHQ1" s="87"/>
      <c r="WHR1" s="87"/>
      <c r="WHS1" s="87"/>
      <c r="WHT1" s="87"/>
      <c r="WHU1" s="87"/>
      <c r="WHV1" s="87"/>
      <c r="WHW1" s="87"/>
      <c r="WHX1" s="87"/>
      <c r="WHY1" s="87"/>
      <c r="WHZ1" s="87"/>
      <c r="WIA1" s="87"/>
      <c r="WIB1" s="87"/>
      <c r="WIC1" s="87"/>
      <c r="WID1" s="87"/>
      <c r="WIE1" s="87"/>
      <c r="WIF1" s="87"/>
      <c r="WIG1" s="87"/>
      <c r="WIH1" s="87"/>
      <c r="WII1" s="87"/>
      <c r="WIJ1" s="87"/>
      <c r="WIK1" s="87"/>
      <c r="WIL1" s="87"/>
      <c r="WIM1" s="87"/>
      <c r="WIN1" s="87"/>
      <c r="WIO1" s="87"/>
      <c r="WIP1" s="87"/>
      <c r="WIQ1" s="87"/>
      <c r="WIR1" s="87"/>
      <c r="WIS1" s="87"/>
      <c r="WIT1" s="87"/>
      <c r="WIU1" s="87"/>
      <c r="WIV1" s="87"/>
      <c r="WIW1" s="87"/>
      <c r="WIX1" s="87"/>
      <c r="WIY1" s="87"/>
      <c r="WIZ1" s="87"/>
      <c r="WJA1" s="87"/>
      <c r="WJB1" s="87"/>
      <c r="WJC1" s="87"/>
      <c r="WJD1" s="87"/>
      <c r="WJE1" s="87"/>
      <c r="WJF1" s="87"/>
      <c r="WJG1" s="87"/>
      <c r="WJH1" s="87"/>
      <c r="WJI1" s="87"/>
      <c r="WJJ1" s="87"/>
      <c r="WJK1" s="87"/>
      <c r="WJL1" s="87"/>
      <c r="WJM1" s="87"/>
      <c r="WJN1" s="87"/>
      <c r="WJO1" s="87"/>
      <c r="WJP1" s="87"/>
      <c r="WJQ1" s="87"/>
      <c r="WJR1" s="87"/>
      <c r="WJS1" s="87"/>
      <c r="WJT1" s="87"/>
      <c r="WJU1" s="87"/>
      <c r="WJV1" s="87"/>
      <c r="WJW1" s="87"/>
      <c r="WJX1" s="87"/>
      <c r="WJY1" s="87"/>
      <c r="WJZ1" s="87"/>
      <c r="WKA1" s="87"/>
      <c r="WKB1" s="87"/>
      <c r="WKC1" s="87"/>
      <c r="WKD1" s="87"/>
      <c r="WKE1" s="87"/>
      <c r="WKF1" s="87"/>
      <c r="WKG1" s="87"/>
      <c r="WKH1" s="87"/>
      <c r="WKI1" s="87"/>
      <c r="WKJ1" s="87"/>
      <c r="WKK1" s="87"/>
      <c r="WKL1" s="87"/>
      <c r="WKM1" s="87"/>
      <c r="WKN1" s="87"/>
      <c r="WKO1" s="87"/>
      <c r="WKP1" s="87"/>
      <c r="WKQ1" s="87"/>
      <c r="WKR1" s="87"/>
      <c r="WKS1" s="87"/>
      <c r="WKT1" s="87"/>
      <c r="WKU1" s="87"/>
      <c r="WKV1" s="87"/>
      <c r="WKW1" s="87"/>
      <c r="WKX1" s="87"/>
      <c r="WKY1" s="87"/>
      <c r="WKZ1" s="87"/>
      <c r="WLA1" s="87"/>
      <c r="WLB1" s="87"/>
      <c r="WLC1" s="87"/>
      <c r="WLD1" s="87"/>
      <c r="WLE1" s="87"/>
      <c r="WLF1" s="87"/>
      <c r="WLG1" s="87"/>
      <c r="WLH1" s="87"/>
      <c r="WLI1" s="87"/>
      <c r="WLJ1" s="87"/>
      <c r="WLK1" s="87"/>
      <c r="WLL1" s="87"/>
      <c r="WLM1" s="87"/>
      <c r="WLN1" s="87"/>
      <c r="WLO1" s="87"/>
      <c r="WLP1" s="87"/>
      <c r="WLQ1" s="87"/>
      <c r="WLR1" s="87"/>
      <c r="WLS1" s="87"/>
      <c r="WLT1" s="87"/>
      <c r="WLU1" s="87"/>
      <c r="WLV1" s="87"/>
      <c r="WLW1" s="87"/>
      <c r="WLX1" s="87"/>
      <c r="WLY1" s="87"/>
      <c r="WLZ1" s="87"/>
      <c r="WMA1" s="87"/>
      <c r="WMB1" s="87"/>
      <c r="WMC1" s="87"/>
      <c r="WMD1" s="87"/>
      <c r="WME1" s="87"/>
      <c r="WMF1" s="87"/>
      <c r="WMG1" s="87"/>
      <c r="WMH1" s="87"/>
      <c r="WMI1" s="87"/>
      <c r="WMJ1" s="87"/>
      <c r="WMK1" s="87"/>
      <c r="WML1" s="87"/>
      <c r="WMM1" s="87"/>
      <c r="WMN1" s="87"/>
      <c r="WMO1" s="87"/>
      <c r="WMP1" s="87"/>
      <c r="WMQ1" s="87"/>
      <c r="WMR1" s="87"/>
      <c r="WMS1" s="87"/>
      <c r="WMT1" s="87"/>
      <c r="WMU1" s="87"/>
      <c r="WMV1" s="87"/>
      <c r="WMW1" s="87"/>
      <c r="WMX1" s="87"/>
      <c r="WMY1" s="87"/>
      <c r="WMZ1" s="87"/>
      <c r="WNA1" s="87"/>
      <c r="WNB1" s="87"/>
      <c r="WNC1" s="87"/>
      <c r="WND1" s="87"/>
      <c r="WNE1" s="87"/>
      <c r="WNF1" s="87"/>
      <c r="WNG1" s="87"/>
      <c r="WNH1" s="87"/>
      <c r="WNI1" s="87"/>
      <c r="WNJ1" s="87"/>
      <c r="WNK1" s="87"/>
      <c r="WNL1" s="87"/>
      <c r="WNM1" s="87"/>
      <c r="WNN1" s="87"/>
      <c r="WNO1" s="87"/>
      <c r="WNP1" s="87"/>
      <c r="WNQ1" s="87"/>
      <c r="WNR1" s="87"/>
      <c r="WNS1" s="87"/>
      <c r="WNT1" s="87"/>
      <c r="WNU1" s="87"/>
      <c r="WNV1" s="87"/>
      <c r="WNW1" s="87"/>
      <c r="WNX1" s="87"/>
      <c r="WNY1" s="87"/>
      <c r="WNZ1" s="87"/>
      <c r="WOA1" s="87"/>
      <c r="WOB1" s="87"/>
      <c r="WOC1" s="87"/>
      <c r="WOD1" s="87"/>
      <c r="WOE1" s="87"/>
      <c r="WOF1" s="87"/>
      <c r="WOG1" s="87"/>
      <c r="WOH1" s="87"/>
      <c r="WOI1" s="87"/>
      <c r="WOJ1" s="87"/>
      <c r="WOK1" s="87"/>
      <c r="WOL1" s="87"/>
      <c r="WOM1" s="87"/>
      <c r="WON1" s="87"/>
      <c r="WOO1" s="87"/>
      <c r="WOP1" s="87"/>
      <c r="WOQ1" s="87"/>
      <c r="WOR1" s="87"/>
      <c r="WOS1" s="87"/>
      <c r="WOT1" s="87"/>
      <c r="WOU1" s="87"/>
      <c r="WOV1" s="87"/>
      <c r="WOW1" s="87"/>
      <c r="WOX1" s="87"/>
      <c r="WOY1" s="87"/>
      <c r="WOZ1" s="87"/>
      <c r="WPA1" s="87"/>
      <c r="WPB1" s="87"/>
      <c r="WPC1" s="87"/>
      <c r="WPD1" s="87"/>
      <c r="WPE1" s="87"/>
      <c r="WPF1" s="87"/>
      <c r="WPG1" s="87"/>
      <c r="WPH1" s="87"/>
      <c r="WPI1" s="87"/>
      <c r="WPJ1" s="87"/>
      <c r="WPK1" s="87"/>
      <c r="WPL1" s="87"/>
      <c r="WPM1" s="87"/>
      <c r="WPN1" s="87"/>
      <c r="WPO1" s="87"/>
      <c r="WPP1" s="87"/>
      <c r="WPQ1" s="87"/>
      <c r="WPR1" s="87"/>
      <c r="WPS1" s="87"/>
      <c r="WPT1" s="87"/>
      <c r="WPU1" s="87"/>
      <c r="WPV1" s="87"/>
      <c r="WPW1" s="87"/>
      <c r="WPX1" s="87"/>
      <c r="WPY1" s="87"/>
      <c r="WPZ1" s="87"/>
      <c r="WQA1" s="87"/>
      <c r="WQB1" s="87"/>
      <c r="WQC1" s="87"/>
      <c r="WQD1" s="87"/>
      <c r="WQE1" s="87"/>
      <c r="WQF1" s="87"/>
      <c r="WQG1" s="87"/>
      <c r="WQH1" s="87"/>
      <c r="WQI1" s="87"/>
      <c r="WQJ1" s="87"/>
      <c r="WQK1" s="87"/>
      <c r="WQL1" s="87"/>
      <c r="WQM1" s="87"/>
      <c r="WQN1" s="87"/>
      <c r="WQO1" s="87"/>
      <c r="WQP1" s="87"/>
      <c r="WQQ1" s="87"/>
      <c r="WQR1" s="87"/>
      <c r="WQS1" s="87"/>
      <c r="WQT1" s="87"/>
      <c r="WQU1" s="87"/>
      <c r="WQV1" s="87"/>
      <c r="WQW1" s="87"/>
      <c r="WQX1" s="87"/>
      <c r="WQY1" s="87"/>
      <c r="WQZ1" s="87"/>
      <c r="WRA1" s="87"/>
      <c r="WRB1" s="87"/>
      <c r="WRC1" s="87"/>
      <c r="WRD1" s="87"/>
      <c r="WRE1" s="87"/>
      <c r="WRF1" s="87"/>
      <c r="WRG1" s="87"/>
      <c r="WRH1" s="87"/>
      <c r="WRI1" s="87"/>
      <c r="WRJ1" s="87"/>
      <c r="WRK1" s="87"/>
      <c r="WRL1" s="87"/>
      <c r="WRM1" s="87"/>
      <c r="WRN1" s="87"/>
      <c r="WRO1" s="87"/>
      <c r="WRP1" s="87"/>
      <c r="WRQ1" s="87"/>
      <c r="WRR1" s="87"/>
      <c r="WRS1" s="87"/>
      <c r="WRT1" s="87"/>
      <c r="WRU1" s="87"/>
      <c r="WRV1" s="87"/>
      <c r="WRW1" s="87"/>
      <c r="WRX1" s="87"/>
      <c r="WRY1" s="87"/>
      <c r="WRZ1" s="87"/>
      <c r="WSA1" s="87"/>
      <c r="WSB1" s="87"/>
      <c r="WSC1" s="87"/>
      <c r="WSD1" s="87"/>
      <c r="WSE1" s="87"/>
      <c r="WSF1" s="87"/>
      <c r="WSG1" s="87"/>
      <c r="WSH1" s="87"/>
      <c r="WSI1" s="87"/>
      <c r="WSJ1" s="87"/>
      <c r="WSK1" s="87"/>
      <c r="WSL1" s="87"/>
      <c r="WSM1" s="87"/>
      <c r="WSN1" s="87"/>
      <c r="WSO1" s="87"/>
      <c r="WSP1" s="87"/>
      <c r="WSQ1" s="87"/>
      <c r="WSR1" s="87"/>
      <c r="WSS1" s="87"/>
      <c r="WST1" s="87"/>
      <c r="WSU1" s="87"/>
      <c r="WSV1" s="87"/>
      <c r="WSW1" s="87"/>
      <c r="WSX1" s="87"/>
      <c r="WSY1" s="87"/>
      <c r="WSZ1" s="87"/>
      <c r="WTA1" s="87"/>
      <c r="WTB1" s="87"/>
      <c r="WTC1" s="87"/>
      <c r="WTD1" s="87"/>
      <c r="WTE1" s="87"/>
      <c r="WTF1" s="87"/>
      <c r="WTG1" s="87"/>
      <c r="WTH1" s="87"/>
      <c r="WTI1" s="87"/>
      <c r="WTJ1" s="87"/>
      <c r="WTK1" s="87"/>
      <c r="WTL1" s="87"/>
      <c r="WTM1" s="87"/>
      <c r="WTN1" s="87"/>
      <c r="WTO1" s="87"/>
      <c r="WTP1" s="87"/>
      <c r="WTQ1" s="87"/>
      <c r="WTR1" s="87"/>
      <c r="WTS1" s="87"/>
      <c r="WTT1" s="87"/>
      <c r="WTU1" s="87"/>
      <c r="WTV1" s="87"/>
      <c r="WTW1" s="87"/>
      <c r="WTX1" s="87"/>
      <c r="WTY1" s="87"/>
      <c r="WTZ1" s="87"/>
      <c r="WUA1" s="87"/>
      <c r="WUB1" s="87"/>
      <c r="WUC1" s="87"/>
      <c r="WUD1" s="87"/>
      <c r="WUE1" s="87"/>
      <c r="WUF1" s="87"/>
      <c r="WUG1" s="87"/>
      <c r="WUH1" s="87"/>
      <c r="WUI1" s="87"/>
      <c r="WUJ1" s="87"/>
      <c r="WUK1" s="87"/>
      <c r="WUL1" s="87"/>
      <c r="WUM1" s="87"/>
      <c r="WUN1" s="87"/>
      <c r="WUO1" s="87"/>
      <c r="WUP1" s="87"/>
      <c r="WUQ1" s="87"/>
      <c r="WUR1" s="87"/>
      <c r="WUS1" s="87"/>
      <c r="WUT1" s="87"/>
      <c r="WUU1" s="87"/>
      <c r="WUV1" s="87"/>
      <c r="WUW1" s="87"/>
      <c r="WUX1" s="87"/>
      <c r="WUY1" s="87"/>
      <c r="WUZ1" s="87"/>
      <c r="WVA1" s="87"/>
      <c r="WVB1" s="87"/>
      <c r="WVC1" s="87"/>
      <c r="WVD1" s="87"/>
      <c r="WVE1" s="87"/>
      <c r="WVF1" s="87"/>
      <c r="WVG1" s="87"/>
      <c r="WVH1" s="87"/>
      <c r="WVI1" s="87"/>
      <c r="WVJ1" s="87"/>
      <c r="WVK1" s="87"/>
      <c r="WVL1" s="87"/>
      <c r="WVM1" s="87"/>
      <c r="WVN1" s="87"/>
      <c r="WVO1" s="87"/>
      <c r="WVP1" s="87"/>
      <c r="WVQ1" s="87"/>
      <c r="WVR1" s="87"/>
      <c r="WVS1" s="87"/>
      <c r="WVT1" s="87"/>
      <c r="WVU1" s="87"/>
      <c r="WVV1" s="87"/>
      <c r="WVW1" s="87"/>
      <c r="WVX1" s="87"/>
      <c r="WVY1" s="87"/>
      <c r="WVZ1" s="87"/>
      <c r="WWA1" s="87"/>
      <c r="WWB1" s="87"/>
      <c r="WWC1" s="87"/>
      <c r="WWD1" s="87"/>
      <c r="WWE1" s="87"/>
      <c r="WWF1" s="87"/>
      <c r="WWG1" s="87"/>
      <c r="WWH1" s="87"/>
      <c r="WWI1" s="87"/>
      <c r="WWJ1" s="87"/>
      <c r="WWK1" s="87"/>
      <c r="WWL1" s="87"/>
      <c r="WWM1" s="87"/>
      <c r="WWN1" s="87"/>
      <c r="WWO1" s="87"/>
      <c r="WWP1" s="87"/>
      <c r="WWQ1" s="87"/>
      <c r="WWR1" s="87"/>
      <c r="WWS1" s="87"/>
      <c r="WWT1" s="87"/>
      <c r="WWU1" s="87"/>
      <c r="WWV1" s="87"/>
      <c r="WWW1" s="87"/>
      <c r="WWX1" s="87"/>
      <c r="WWY1" s="87"/>
      <c r="WWZ1" s="87"/>
      <c r="WXA1" s="87"/>
      <c r="WXB1" s="87"/>
      <c r="WXC1" s="87"/>
      <c r="WXD1" s="87"/>
      <c r="WXE1" s="87"/>
      <c r="WXF1" s="87"/>
      <c r="WXG1" s="87"/>
      <c r="WXH1" s="87"/>
      <c r="WXI1" s="87"/>
      <c r="WXJ1" s="87"/>
      <c r="WXK1" s="87"/>
      <c r="WXL1" s="87"/>
      <c r="WXM1" s="87"/>
      <c r="WXN1" s="87"/>
      <c r="WXO1" s="87"/>
      <c r="WXP1" s="87"/>
      <c r="WXQ1" s="87"/>
      <c r="WXR1" s="87"/>
      <c r="WXS1" s="87"/>
      <c r="WXT1" s="87"/>
      <c r="WXU1" s="87"/>
      <c r="WXV1" s="87"/>
      <c r="WXW1" s="87"/>
      <c r="WXX1" s="87"/>
      <c r="WXY1" s="87"/>
      <c r="WXZ1" s="87"/>
      <c r="WYA1" s="87"/>
      <c r="WYB1" s="87"/>
      <c r="WYC1" s="87"/>
      <c r="WYD1" s="87"/>
      <c r="WYE1" s="87"/>
      <c r="WYF1" s="87"/>
      <c r="WYG1" s="87"/>
      <c r="WYH1" s="87"/>
      <c r="WYI1" s="87"/>
      <c r="WYJ1" s="87"/>
      <c r="WYK1" s="87"/>
      <c r="WYL1" s="87"/>
      <c r="WYM1" s="87"/>
      <c r="WYN1" s="87"/>
      <c r="WYO1" s="87"/>
      <c r="WYP1" s="87"/>
      <c r="WYQ1" s="87"/>
      <c r="WYR1" s="87"/>
      <c r="WYS1" s="87"/>
      <c r="WYT1" s="87"/>
      <c r="WYU1" s="87"/>
      <c r="WYV1" s="87"/>
      <c r="WYW1" s="87"/>
      <c r="WYX1" s="87"/>
      <c r="WYY1" s="87"/>
      <c r="WYZ1" s="87"/>
      <c r="WZA1" s="87"/>
      <c r="WZB1" s="87"/>
      <c r="WZC1" s="87"/>
      <c r="WZD1" s="87"/>
      <c r="WZE1" s="87"/>
      <c r="WZF1" s="87"/>
      <c r="WZG1" s="87"/>
      <c r="WZH1" s="87"/>
      <c r="WZI1" s="87"/>
      <c r="WZJ1" s="87"/>
      <c r="WZK1" s="87"/>
      <c r="WZL1" s="87"/>
      <c r="WZM1" s="87"/>
      <c r="WZN1" s="87"/>
      <c r="WZO1" s="87"/>
      <c r="WZP1" s="87"/>
      <c r="WZQ1" s="87"/>
      <c r="WZR1" s="87"/>
      <c r="WZS1" s="87"/>
      <c r="WZT1" s="87"/>
      <c r="WZU1" s="87"/>
      <c r="WZV1" s="87"/>
      <c r="WZW1" s="87"/>
      <c r="WZX1" s="87"/>
      <c r="WZY1" s="87"/>
      <c r="WZZ1" s="87"/>
      <c r="XAA1" s="87"/>
      <c r="XAB1" s="87"/>
      <c r="XAC1" s="87"/>
      <c r="XAD1" s="87"/>
      <c r="XAE1" s="87"/>
      <c r="XAF1" s="87"/>
      <c r="XAG1" s="87"/>
      <c r="XAH1" s="87"/>
      <c r="XAI1" s="87"/>
      <c r="XAJ1" s="87"/>
      <c r="XAK1" s="87"/>
      <c r="XAL1" s="87"/>
      <c r="XAM1" s="87"/>
      <c r="XAN1" s="87"/>
      <c r="XAO1" s="87"/>
      <c r="XAP1" s="87"/>
      <c r="XAQ1" s="87"/>
      <c r="XAR1" s="87"/>
      <c r="XAS1" s="87"/>
      <c r="XAT1" s="87"/>
      <c r="XAU1" s="87"/>
      <c r="XAV1" s="87"/>
      <c r="XAW1" s="87"/>
      <c r="XAX1" s="87"/>
      <c r="XAY1" s="87"/>
      <c r="XAZ1" s="87"/>
      <c r="XBA1" s="87"/>
      <c r="XBB1" s="87"/>
      <c r="XBC1" s="87"/>
      <c r="XBD1" s="87"/>
      <c r="XBE1" s="87"/>
      <c r="XBF1" s="87"/>
      <c r="XBG1" s="87"/>
      <c r="XBH1" s="87"/>
      <c r="XBI1" s="87"/>
      <c r="XBJ1" s="87"/>
      <c r="XBK1" s="87"/>
      <c r="XBL1" s="87"/>
      <c r="XBM1" s="87"/>
      <c r="XBN1" s="87"/>
      <c r="XBO1" s="87"/>
      <c r="XBP1" s="87"/>
      <c r="XBQ1" s="87"/>
      <c r="XBR1" s="87"/>
      <c r="XBS1" s="87"/>
      <c r="XBT1" s="87"/>
      <c r="XBU1" s="87"/>
      <c r="XBV1" s="87"/>
      <c r="XBW1" s="87"/>
      <c r="XBX1" s="87"/>
      <c r="XBY1" s="87"/>
      <c r="XBZ1" s="87"/>
      <c r="XCA1" s="87"/>
      <c r="XCB1" s="87"/>
      <c r="XCC1" s="87"/>
      <c r="XCD1" s="87"/>
      <c r="XCE1" s="87"/>
      <c r="XCF1" s="87"/>
      <c r="XCG1" s="87"/>
      <c r="XCH1" s="87"/>
      <c r="XCI1" s="87"/>
      <c r="XCJ1" s="87"/>
      <c r="XCK1" s="87"/>
      <c r="XCL1" s="87"/>
      <c r="XCM1" s="87"/>
      <c r="XCN1" s="87"/>
      <c r="XCO1" s="87"/>
      <c r="XCP1" s="87"/>
      <c r="XCQ1" s="87"/>
      <c r="XCR1" s="87"/>
      <c r="XCS1" s="87"/>
      <c r="XCT1" s="87"/>
      <c r="XCU1" s="87"/>
      <c r="XCV1" s="87"/>
      <c r="XCW1" s="87"/>
      <c r="XCX1" s="87"/>
      <c r="XCY1" s="87"/>
      <c r="XCZ1" s="87"/>
      <c r="XDA1" s="87"/>
      <c r="XDB1" s="87"/>
      <c r="XDC1" s="87"/>
      <c r="XDD1" s="87"/>
      <c r="XDE1" s="87"/>
      <c r="XDF1" s="87"/>
      <c r="XDG1" s="87"/>
      <c r="XDH1" s="87"/>
      <c r="XDI1" s="87"/>
      <c r="XDJ1" s="87"/>
      <c r="XDK1" s="87"/>
      <c r="XDL1" s="87"/>
      <c r="XDM1" s="87"/>
      <c r="XDN1" s="87"/>
      <c r="XDO1" s="87"/>
      <c r="XDP1" s="87"/>
      <c r="XDQ1" s="87"/>
      <c r="XDR1" s="87"/>
      <c r="XDS1" s="87"/>
      <c r="XDT1" s="87"/>
      <c r="XDU1" s="87"/>
      <c r="XDV1" s="87"/>
      <c r="XDW1" s="87"/>
      <c r="XDX1" s="87"/>
      <c r="XDY1" s="87"/>
      <c r="XDZ1" s="87"/>
      <c r="XEA1" s="87"/>
      <c r="XEB1" s="87"/>
      <c r="XEC1" s="87"/>
      <c r="XED1" s="87"/>
      <c r="XEE1" s="87"/>
      <c r="XEF1" s="87"/>
      <c r="XEG1" s="87"/>
      <c r="XEH1" s="87"/>
      <c r="XEI1" s="87"/>
      <c r="XEJ1" s="87"/>
    </row>
    <row r="2" spans="1:16364" x14ac:dyDescent="0.25">
      <c r="A2" t="str">
        <f t="shared" ref="A2:A65" si="0">I2&amp;"-"&amp;J2</f>
        <v>2024-1</v>
      </c>
      <c r="B2" s="1">
        <f t="shared" ref="B2:B65" si="1">M2</f>
        <v>45293</v>
      </c>
      <c r="C2" t="str">
        <f>N2</f>
        <v>HoT Telekom und Service GmbH, Postfach 28, 1121 Wien</v>
      </c>
      <c r="D2" t="str">
        <f t="shared" ref="D2:E33" si="2">K2</f>
        <v>Ausgaben</v>
      </c>
      <c r="E2" t="str">
        <f t="shared" si="2"/>
        <v>sonstige Betriebsausgaben</v>
      </c>
      <c r="F2" s="117">
        <f>S2</f>
        <v>19.899999999999999</v>
      </c>
      <c r="G2" t="str">
        <f>U2*100&amp;"%"</f>
        <v>20%</v>
      </c>
      <c r="I2" s="191">
        <v>2024</v>
      </c>
      <c r="J2" s="189">
        <v>1</v>
      </c>
      <c r="K2" s="71" t="s">
        <v>105</v>
      </c>
      <c r="L2" t="s">
        <v>705</v>
      </c>
      <c r="M2" s="1">
        <v>45293</v>
      </c>
      <c r="N2" t="s">
        <v>1775</v>
      </c>
      <c r="Q2" t="b">
        <v>0</v>
      </c>
      <c r="R2" s="48">
        <v>19.899999999999999</v>
      </c>
      <c r="S2" s="185">
        <v>19.899999999999999</v>
      </c>
      <c r="T2" s="72">
        <v>1</v>
      </c>
      <c r="U2" s="72">
        <v>0.2</v>
      </c>
      <c r="V2" s="185">
        <v>3.3166666666666664</v>
      </c>
      <c r="W2" s="185">
        <v>3.3166666666666664</v>
      </c>
      <c r="X2" s="185">
        <v>16.583333333333332</v>
      </c>
      <c r="Y2" s="185">
        <v>16.583333333333332</v>
      </c>
      <c r="Z2" s="192">
        <v>45427</v>
      </c>
      <c r="AA2">
        <v>20</v>
      </c>
      <c r="AB2" s="183">
        <v>16.583333333333332</v>
      </c>
      <c r="AC2" s="195">
        <v>3.98</v>
      </c>
      <c r="AD2" s="31">
        <v>0</v>
      </c>
      <c r="AE2" t="b">
        <v>0</v>
      </c>
      <c r="AF2" s="78">
        <v>529.29999999999995</v>
      </c>
    </row>
    <row r="3" spans="1:16364" x14ac:dyDescent="0.25">
      <c r="A3" t="str">
        <f t="shared" si="0"/>
        <v>2024-2</v>
      </c>
      <c r="B3" s="1">
        <f t="shared" si="1"/>
        <v>45294</v>
      </c>
      <c r="C3" t="str">
        <f t="shared" ref="C3:C66" si="3">N3</f>
        <v>ZT DI Dr. Arno Kolbitsch, Gütleweg 1, 6822 Satteins</v>
      </c>
      <c r="D3" t="str">
        <f t="shared" si="2"/>
        <v>Einnahmen</v>
      </c>
      <c r="E3" t="str">
        <f t="shared" si="2"/>
        <v>Waren-/Leistungserlöse</v>
      </c>
      <c r="F3" s="117">
        <f t="shared" ref="F3:F66" si="4">S3</f>
        <v>696.34</v>
      </c>
      <c r="G3" t="str">
        <f t="shared" ref="G3:G66" si="5">U3*100&amp;"%"</f>
        <v>20%</v>
      </c>
      <c r="I3" s="191">
        <v>2024</v>
      </c>
      <c r="J3" s="189">
        <v>2</v>
      </c>
      <c r="K3" s="71" t="s">
        <v>708</v>
      </c>
      <c r="L3" t="s">
        <v>709</v>
      </c>
      <c r="M3" s="1">
        <v>45294</v>
      </c>
      <c r="N3" t="s">
        <v>1038</v>
      </c>
      <c r="R3" s="48">
        <v>696.34</v>
      </c>
      <c r="S3" s="185">
        <v>696.34</v>
      </c>
      <c r="T3" s="72">
        <v>1</v>
      </c>
      <c r="U3" s="72">
        <v>0.2</v>
      </c>
      <c r="V3" s="185">
        <v>116.05666666666669</v>
      </c>
      <c r="W3" s="185">
        <v>116.05666666666669</v>
      </c>
      <c r="X3" s="185">
        <v>580.28333333333342</v>
      </c>
      <c r="Y3" s="185">
        <v>580.28333333333342</v>
      </c>
      <c r="Z3" s="192">
        <v>45427</v>
      </c>
      <c r="AB3" s="183">
        <v>580.28333333333342</v>
      </c>
      <c r="AC3" s="195">
        <v>0</v>
      </c>
      <c r="AD3" s="31">
        <v>1.8719999999999999</v>
      </c>
      <c r="AE3" t="b">
        <v>0</v>
      </c>
      <c r="AF3" s="78">
        <v>-9.36</v>
      </c>
    </row>
    <row r="4" spans="1:16364" x14ac:dyDescent="0.25">
      <c r="A4" t="str">
        <f t="shared" si="0"/>
        <v>2024-3</v>
      </c>
      <c r="B4" s="1">
        <f t="shared" si="1"/>
        <v>45294</v>
      </c>
      <c r="C4" t="str">
        <f t="shared" si="3"/>
        <v>Google Ireland Ltd, Gordon House, Barrow Street, Dublin 4, Ireland; VAT number: IE 6388047V</v>
      </c>
      <c r="D4" t="str">
        <f t="shared" si="2"/>
        <v>Ausgaben</v>
      </c>
      <c r="E4" t="str">
        <f t="shared" si="2"/>
        <v>sonstige Betriebsausgaben</v>
      </c>
      <c r="F4" s="117">
        <f t="shared" si="4"/>
        <v>10.4</v>
      </c>
      <c r="G4" t="str">
        <f t="shared" si="5"/>
        <v>0%</v>
      </c>
      <c r="I4" s="191">
        <v>2024</v>
      </c>
      <c r="J4" s="189">
        <v>3</v>
      </c>
      <c r="K4" s="71" t="s">
        <v>105</v>
      </c>
      <c r="L4" t="s">
        <v>705</v>
      </c>
      <c r="M4" s="1">
        <v>45294</v>
      </c>
      <c r="N4" t="s">
        <v>1404</v>
      </c>
      <c r="Q4" t="b">
        <v>0</v>
      </c>
      <c r="R4" s="48">
        <v>10.4</v>
      </c>
      <c r="S4" s="185">
        <v>10.4</v>
      </c>
      <c r="T4" s="72">
        <v>1</v>
      </c>
      <c r="U4" s="72">
        <v>0</v>
      </c>
      <c r="V4" s="185">
        <v>0</v>
      </c>
      <c r="W4" s="185">
        <v>0</v>
      </c>
      <c r="X4" s="185">
        <v>10.4</v>
      </c>
      <c r="Y4" s="185">
        <v>10.4</v>
      </c>
      <c r="Z4" s="192">
        <v>45427</v>
      </c>
      <c r="AA4">
        <v>20</v>
      </c>
      <c r="AB4" s="183">
        <v>10.4</v>
      </c>
      <c r="AC4" s="195">
        <v>2.08</v>
      </c>
      <c r="AD4" s="31">
        <v>0</v>
      </c>
      <c r="AE4" t="b">
        <v>0</v>
      </c>
      <c r="AF4" s="78">
        <v>-44.62</v>
      </c>
    </row>
    <row r="5" spans="1:16364" x14ac:dyDescent="0.25">
      <c r="A5" t="str">
        <f t="shared" si="0"/>
        <v>2024-4</v>
      </c>
      <c r="B5" s="1">
        <f t="shared" si="1"/>
        <v>45299</v>
      </c>
      <c r="C5" t="str">
        <f t="shared" si="3"/>
        <v>Hutchison Drei Austria GmbH, Brünner Straße 52, 1210 Wien, Österreich</v>
      </c>
      <c r="D5" t="str">
        <f t="shared" si="2"/>
        <v>Ausgaben</v>
      </c>
      <c r="E5" t="str">
        <f t="shared" si="2"/>
        <v>Telefon/Internet</v>
      </c>
      <c r="F5" s="117">
        <f t="shared" si="4"/>
        <v>12.9</v>
      </c>
      <c r="G5" t="str">
        <f t="shared" si="5"/>
        <v>20%</v>
      </c>
      <c r="I5" s="191">
        <v>2024</v>
      </c>
      <c r="J5" s="189">
        <v>4</v>
      </c>
      <c r="K5" s="71" t="s">
        <v>105</v>
      </c>
      <c r="L5" t="s">
        <v>703</v>
      </c>
      <c r="M5" s="1">
        <v>45299</v>
      </c>
      <c r="N5" t="s">
        <v>34</v>
      </c>
      <c r="Q5" t="b">
        <v>0</v>
      </c>
      <c r="R5" s="48">
        <v>12.9</v>
      </c>
      <c r="S5" s="185">
        <v>12.9</v>
      </c>
      <c r="T5" s="72">
        <v>1</v>
      </c>
      <c r="U5" s="72">
        <v>0.2</v>
      </c>
      <c r="V5" s="185">
        <v>2.15</v>
      </c>
      <c r="W5" s="185">
        <v>2.15</v>
      </c>
      <c r="X5" s="185">
        <v>10.75</v>
      </c>
      <c r="Y5" s="185">
        <v>10.75</v>
      </c>
      <c r="Z5" s="192">
        <v>45427</v>
      </c>
      <c r="AB5" s="183">
        <v>10.75</v>
      </c>
      <c r="AC5" s="195">
        <v>0</v>
      </c>
      <c r="AD5" s="31">
        <v>0</v>
      </c>
      <c r="AE5" t="b">
        <v>0</v>
      </c>
      <c r="AF5" s="78">
        <v>-515.85</v>
      </c>
    </row>
    <row r="6" spans="1:16364" x14ac:dyDescent="0.25">
      <c r="A6" t="str">
        <f t="shared" si="0"/>
        <v>2024-5</v>
      </c>
      <c r="B6" s="1">
        <f t="shared" si="1"/>
        <v>45300</v>
      </c>
      <c r="C6" t="str">
        <f t="shared" si="3"/>
        <v>Aon Austria GmbH</v>
      </c>
      <c r="D6" t="str">
        <f t="shared" si="2"/>
        <v>Ausgaben</v>
      </c>
      <c r="E6" t="str">
        <f t="shared" si="2"/>
        <v>sonstige Betriebsausgaben</v>
      </c>
      <c r="F6" s="117">
        <f t="shared" si="4"/>
        <v>264.62</v>
      </c>
      <c r="G6" t="str">
        <f t="shared" si="5"/>
        <v>0%</v>
      </c>
      <c r="I6" s="191">
        <v>2024</v>
      </c>
      <c r="J6" s="189">
        <v>5</v>
      </c>
      <c r="K6" s="71" t="s">
        <v>105</v>
      </c>
      <c r="L6" t="s">
        <v>705</v>
      </c>
      <c r="M6" s="1">
        <v>45300</v>
      </c>
      <c r="N6" t="s">
        <v>934</v>
      </c>
      <c r="Q6" t="b">
        <v>0</v>
      </c>
      <c r="R6" s="48">
        <v>264.62</v>
      </c>
      <c r="S6" s="185">
        <v>264.62</v>
      </c>
      <c r="T6" s="72">
        <v>1</v>
      </c>
      <c r="U6" s="72">
        <v>0</v>
      </c>
      <c r="V6" s="185">
        <v>0</v>
      </c>
      <c r="W6" s="185">
        <v>0</v>
      </c>
      <c r="X6" s="185">
        <v>264.62</v>
      </c>
      <c r="Y6" s="185">
        <v>264.62</v>
      </c>
      <c r="Z6" s="192">
        <v>45427</v>
      </c>
      <c r="AB6" s="183">
        <v>264.62</v>
      </c>
      <c r="AC6" s="195">
        <v>0</v>
      </c>
      <c r="AD6" s="31">
        <v>0</v>
      </c>
      <c r="AE6" t="b">
        <v>0</v>
      </c>
      <c r="AF6" s="78">
        <v>-15</v>
      </c>
    </row>
    <row r="7" spans="1:16364" x14ac:dyDescent="0.25">
      <c r="A7" t="str">
        <f t="shared" si="0"/>
        <v>2024-6</v>
      </c>
      <c r="B7" s="1">
        <f t="shared" si="1"/>
        <v>45301</v>
      </c>
      <c r="C7" t="str">
        <f t="shared" si="3"/>
        <v>Wien Energie</v>
      </c>
      <c r="D7" t="str">
        <f t="shared" si="2"/>
        <v>Ausgaben</v>
      </c>
      <c r="E7" t="str">
        <f t="shared" si="2"/>
        <v>sonstige Betriebsausgaben</v>
      </c>
      <c r="F7" s="117">
        <f t="shared" si="4"/>
        <v>24.441153821877172</v>
      </c>
      <c r="G7" t="str">
        <f t="shared" si="5"/>
        <v>20%</v>
      </c>
      <c r="I7" s="191">
        <v>2024</v>
      </c>
      <c r="J7" s="189">
        <v>6</v>
      </c>
      <c r="K7" s="71" t="s">
        <v>105</v>
      </c>
      <c r="L7" t="s">
        <v>705</v>
      </c>
      <c r="M7" s="1">
        <v>45301</v>
      </c>
      <c r="N7" t="s">
        <v>1777</v>
      </c>
      <c r="Q7" t="b">
        <v>0</v>
      </c>
      <c r="R7" s="48">
        <v>265.22000000000003</v>
      </c>
      <c r="S7" s="185">
        <v>24.441153821877172</v>
      </c>
      <c r="T7" s="72">
        <v>9.2154263712680679E-2</v>
      </c>
      <c r="U7" s="72">
        <v>0.2</v>
      </c>
      <c r="V7" s="185">
        <v>44.203333333333347</v>
      </c>
      <c r="W7" s="185">
        <v>4.0735256369795296</v>
      </c>
      <c r="X7" s="185">
        <v>221.01666666666671</v>
      </c>
      <c r="Y7" s="185">
        <v>20.367628184897644</v>
      </c>
      <c r="Z7" s="192">
        <v>45427</v>
      </c>
      <c r="AB7" s="183">
        <v>20.367628184897644</v>
      </c>
      <c r="AC7" s="195">
        <v>0</v>
      </c>
      <c r="AD7" s="31">
        <v>0</v>
      </c>
      <c r="AE7" t="b">
        <v>0</v>
      </c>
      <c r="AF7" s="78">
        <v>-5</v>
      </c>
    </row>
    <row r="8" spans="1:16364" x14ac:dyDescent="0.25">
      <c r="A8" t="str">
        <f t="shared" si="0"/>
        <v>2024-7</v>
      </c>
      <c r="B8" s="1">
        <f t="shared" si="1"/>
        <v>45302</v>
      </c>
      <c r="C8" t="str">
        <f t="shared" si="3"/>
        <v>Hetzner Online GmbH, Industriestraße 25, 91710 Gunzenhausen</v>
      </c>
      <c r="D8" t="str">
        <f t="shared" si="2"/>
        <v>Ausgaben</v>
      </c>
      <c r="E8" t="str">
        <f t="shared" si="2"/>
        <v>sonstige Betriebsausgaben</v>
      </c>
      <c r="F8" s="117">
        <f t="shared" si="4"/>
        <v>52.21</v>
      </c>
      <c r="G8" t="str">
        <f t="shared" si="5"/>
        <v>0%</v>
      </c>
      <c r="I8" s="191">
        <v>2024</v>
      </c>
      <c r="J8" s="189">
        <v>7</v>
      </c>
      <c r="K8" s="71" t="s">
        <v>105</v>
      </c>
      <c r="L8" t="s">
        <v>705</v>
      </c>
      <c r="M8" s="1">
        <v>45302</v>
      </c>
      <c r="N8" t="s">
        <v>1783</v>
      </c>
      <c r="Q8" t="b">
        <v>0</v>
      </c>
      <c r="R8" s="48">
        <v>52.21</v>
      </c>
      <c r="S8" s="185">
        <v>52.21</v>
      </c>
      <c r="T8" s="72">
        <v>1</v>
      </c>
      <c r="U8" s="72">
        <v>0</v>
      </c>
      <c r="V8" s="185">
        <v>0</v>
      </c>
      <c r="W8" s="185">
        <v>0</v>
      </c>
      <c r="X8" s="185">
        <v>52.21</v>
      </c>
      <c r="Y8" s="185">
        <v>52.21</v>
      </c>
      <c r="Z8" s="192">
        <v>45427</v>
      </c>
      <c r="AA8">
        <v>20</v>
      </c>
      <c r="AB8" s="183">
        <v>52.21</v>
      </c>
      <c r="AC8" s="195">
        <v>10.442</v>
      </c>
      <c r="AD8" s="31">
        <v>0</v>
      </c>
      <c r="AE8" t="b">
        <v>0</v>
      </c>
      <c r="AF8" s="78">
        <v>-122.6</v>
      </c>
    </row>
    <row r="9" spans="1:16364" x14ac:dyDescent="0.25">
      <c r="A9" t="str">
        <f t="shared" si="0"/>
        <v>2024-8</v>
      </c>
      <c r="B9" s="1">
        <f t="shared" si="1"/>
        <v>45303</v>
      </c>
      <c r="C9" t="str">
        <f t="shared" si="3"/>
        <v>Hays Österreich GmbH, Bahnhof City Wien West - Europaplatz 3/5, 1150 Wien</v>
      </c>
      <c r="D9" t="str">
        <f t="shared" si="2"/>
        <v>Einnahmen</v>
      </c>
      <c r="E9" t="str">
        <f t="shared" si="2"/>
        <v>Waren-/Leistungserlöse</v>
      </c>
      <c r="F9" s="117">
        <f t="shared" si="4"/>
        <v>16806.16</v>
      </c>
      <c r="G9" t="str">
        <f t="shared" si="5"/>
        <v>20%</v>
      </c>
      <c r="I9" s="191">
        <v>2024</v>
      </c>
      <c r="J9" s="189">
        <v>8</v>
      </c>
      <c r="K9" s="71" t="s">
        <v>708</v>
      </c>
      <c r="L9" t="s">
        <v>709</v>
      </c>
      <c r="M9" s="1">
        <v>45303</v>
      </c>
      <c r="N9" t="s">
        <v>1788</v>
      </c>
      <c r="R9" s="48">
        <v>16806.16</v>
      </c>
      <c r="S9" s="185">
        <v>16806.16</v>
      </c>
      <c r="T9" s="72">
        <v>1</v>
      </c>
      <c r="U9" s="72">
        <v>0.2</v>
      </c>
      <c r="V9" s="185">
        <v>2801.0266666666666</v>
      </c>
      <c r="W9" s="185">
        <v>2801.0266666666666</v>
      </c>
      <c r="X9" s="185">
        <v>14005.133333333333</v>
      </c>
      <c r="Y9" s="185">
        <v>14005.133333333333</v>
      </c>
      <c r="Z9" s="192">
        <v>45427</v>
      </c>
      <c r="AB9" s="183">
        <v>14005.133333333333</v>
      </c>
      <c r="AC9" s="195">
        <v>0</v>
      </c>
      <c r="AD9" s="31">
        <v>0</v>
      </c>
      <c r="AE9" t="b">
        <v>0</v>
      </c>
      <c r="AF9" s="78">
        <v>-0.8</v>
      </c>
    </row>
    <row r="10" spans="1:16364" x14ac:dyDescent="0.25">
      <c r="A10" t="str">
        <f t="shared" si="0"/>
        <v>2024-9</v>
      </c>
      <c r="B10" s="1">
        <f t="shared" si="1"/>
        <v>45305</v>
      </c>
      <c r="C10" t="str">
        <f t="shared" si="3"/>
        <v>kabelplus GmbH, Südstadtzentrum 4, 2344 Maria Enzersdorf</v>
      </c>
      <c r="D10" t="str">
        <f t="shared" si="2"/>
        <v>Ausgaben</v>
      </c>
      <c r="E10" t="str">
        <f t="shared" si="2"/>
        <v>Telefon/Internet</v>
      </c>
      <c r="F10" s="117">
        <f t="shared" si="4"/>
        <v>1.2729999999999999</v>
      </c>
      <c r="G10" t="str">
        <f t="shared" si="5"/>
        <v>20%</v>
      </c>
      <c r="I10" s="191">
        <v>2024</v>
      </c>
      <c r="J10" s="189">
        <v>9</v>
      </c>
      <c r="K10" s="71" t="s">
        <v>105</v>
      </c>
      <c r="L10" t="s">
        <v>703</v>
      </c>
      <c r="M10" s="1">
        <v>45305</v>
      </c>
      <c r="N10" t="s">
        <v>1781</v>
      </c>
      <c r="Q10" t="b">
        <v>0</v>
      </c>
      <c r="R10" s="48">
        <v>1.9</v>
      </c>
      <c r="S10" s="185">
        <v>1.2729999999999999</v>
      </c>
      <c r="T10" s="72">
        <v>0.67</v>
      </c>
      <c r="U10" s="72">
        <v>0.2</v>
      </c>
      <c r="V10" s="185">
        <v>0.31666666666666665</v>
      </c>
      <c r="W10" s="185">
        <v>0.21216666666666667</v>
      </c>
      <c r="X10" s="185">
        <v>1.5833333333333333</v>
      </c>
      <c r="Y10" s="185">
        <v>1.0608333333333333</v>
      </c>
      <c r="Z10" s="192">
        <v>45427</v>
      </c>
      <c r="AB10" s="183">
        <v>1.0608333333333333</v>
      </c>
      <c r="AC10" s="195">
        <v>0</v>
      </c>
      <c r="AD10" s="31">
        <v>0</v>
      </c>
      <c r="AE10" t="b">
        <v>0</v>
      </c>
      <c r="AF10" s="78">
        <v>-58.22</v>
      </c>
    </row>
    <row r="11" spans="1:16364" x14ac:dyDescent="0.25">
      <c r="A11" t="str">
        <f t="shared" si="0"/>
        <v>2024-10</v>
      </c>
      <c r="B11" s="1">
        <f t="shared" si="1"/>
        <v>45306</v>
      </c>
      <c r="C11" t="str">
        <f t="shared" si="3"/>
        <v>Eva Jaros-Kolbitsch</v>
      </c>
      <c r="D11" t="str">
        <f t="shared" si="2"/>
        <v>Ausgaben</v>
      </c>
      <c r="E11" t="str">
        <f t="shared" si="2"/>
        <v>Personalaufwand</v>
      </c>
      <c r="F11" s="117">
        <f t="shared" si="4"/>
        <v>365</v>
      </c>
      <c r="G11" t="str">
        <f t="shared" si="5"/>
        <v>0%</v>
      </c>
      <c r="I11" s="191">
        <v>2024</v>
      </c>
      <c r="J11" s="189">
        <v>10</v>
      </c>
      <c r="K11" s="71" t="s">
        <v>105</v>
      </c>
      <c r="L11" t="s">
        <v>685</v>
      </c>
      <c r="M11" s="1">
        <v>45306</v>
      </c>
      <c r="N11" t="s">
        <v>1782</v>
      </c>
      <c r="Q11" t="b">
        <v>0</v>
      </c>
      <c r="R11" s="48">
        <v>365</v>
      </c>
      <c r="S11" s="185">
        <v>365</v>
      </c>
      <c r="T11" s="72">
        <v>1</v>
      </c>
      <c r="U11" s="72">
        <v>0</v>
      </c>
      <c r="V11" s="185">
        <v>0</v>
      </c>
      <c r="W11" s="185">
        <v>0</v>
      </c>
      <c r="X11" s="185">
        <v>365</v>
      </c>
      <c r="Y11" s="185">
        <v>365</v>
      </c>
      <c r="Z11" s="192">
        <v>45427</v>
      </c>
      <c r="AB11" s="183">
        <v>365</v>
      </c>
      <c r="AC11" s="195">
        <v>0</v>
      </c>
      <c r="AD11" s="31">
        <v>10.26806</v>
      </c>
      <c r="AE11" t="b">
        <v>0</v>
      </c>
      <c r="AF11" s="78">
        <v>-51.340299999999999</v>
      </c>
    </row>
    <row r="12" spans="1:16364" x14ac:dyDescent="0.25">
      <c r="A12" t="str">
        <f t="shared" si="0"/>
        <v>2024-11</v>
      </c>
      <c r="B12" s="1">
        <f t="shared" si="1"/>
        <v>45307</v>
      </c>
      <c r="C12" t="str">
        <f t="shared" si="3"/>
        <v>Amazon EU S. à r.l., 38 avenue John F. Kennedy, L-1855 Luxembourg</v>
      </c>
      <c r="D12" t="str">
        <f t="shared" si="2"/>
        <v>Ausgaben</v>
      </c>
      <c r="E12" t="str">
        <f t="shared" si="2"/>
        <v>Büromaterial</v>
      </c>
      <c r="F12" s="117">
        <f t="shared" si="4"/>
        <v>276.39</v>
      </c>
      <c r="G12" t="str">
        <f t="shared" si="5"/>
        <v>20%</v>
      </c>
      <c r="I12" s="191">
        <v>2024</v>
      </c>
      <c r="J12" s="189">
        <v>11</v>
      </c>
      <c r="K12" s="71" t="s">
        <v>105</v>
      </c>
      <c r="L12" t="s">
        <v>339</v>
      </c>
      <c r="M12" s="1">
        <v>45307</v>
      </c>
      <c r="N12" t="s">
        <v>979</v>
      </c>
      <c r="Q12" t="b">
        <v>0</v>
      </c>
      <c r="R12" s="48">
        <v>276.39</v>
      </c>
      <c r="S12" s="185">
        <v>276.39</v>
      </c>
      <c r="T12" s="72">
        <v>1</v>
      </c>
      <c r="U12" s="72">
        <v>0.2</v>
      </c>
      <c r="V12" s="185">
        <v>46.064999999999998</v>
      </c>
      <c r="W12" s="185">
        <v>46.064999999999998</v>
      </c>
      <c r="X12" s="185">
        <v>230.32499999999999</v>
      </c>
      <c r="Y12" s="185">
        <v>230.32499999999999</v>
      </c>
      <c r="Z12" s="192">
        <v>45427</v>
      </c>
      <c r="AB12" s="183">
        <v>230.32499999999999</v>
      </c>
      <c r="AC12" s="195">
        <v>0</v>
      </c>
      <c r="AD12" s="31">
        <v>0</v>
      </c>
      <c r="AE12" t="b">
        <v>0</v>
      </c>
      <c r="AF12" s="78">
        <v>15708</v>
      </c>
    </row>
    <row r="13" spans="1:16364" x14ac:dyDescent="0.25">
      <c r="A13" t="str">
        <f t="shared" si="0"/>
        <v>2024-12</v>
      </c>
      <c r="B13" s="1">
        <f t="shared" si="1"/>
        <v>45307</v>
      </c>
      <c r="C13" t="str">
        <f t="shared" si="3"/>
        <v>Lemon Technologies GmbH, Unterweißenbach 181, 8330 Feldbach: Dell Precision 3580 Laptop</v>
      </c>
      <c r="D13" t="str">
        <f t="shared" si="2"/>
        <v>Ausgaben</v>
      </c>
      <c r="E13" t="str">
        <f t="shared" si="2"/>
        <v>Büromaterial</v>
      </c>
      <c r="F13" s="117">
        <f t="shared" si="4"/>
        <v>138.08000000000001</v>
      </c>
      <c r="G13" t="str">
        <f t="shared" si="5"/>
        <v>20%</v>
      </c>
      <c r="I13" s="191">
        <v>2024</v>
      </c>
      <c r="J13" s="189">
        <v>12</v>
      </c>
      <c r="K13" s="71" t="s">
        <v>105</v>
      </c>
      <c r="L13" t="s">
        <v>339</v>
      </c>
      <c r="M13" s="1">
        <v>45307</v>
      </c>
      <c r="N13" t="s">
        <v>1746</v>
      </c>
      <c r="Q13" t="b">
        <v>0</v>
      </c>
      <c r="R13" s="48">
        <v>138.08000000000001</v>
      </c>
      <c r="S13" s="185">
        <v>138.08000000000001</v>
      </c>
      <c r="T13" s="72">
        <v>1</v>
      </c>
      <c r="U13" s="72">
        <v>0.2</v>
      </c>
      <c r="V13" s="185">
        <v>23.013333333333335</v>
      </c>
      <c r="W13" s="185">
        <v>23.013333333333335</v>
      </c>
      <c r="X13" s="185">
        <v>115.06666666666668</v>
      </c>
      <c r="Y13" s="185">
        <v>115.06666666666668</v>
      </c>
      <c r="Z13" s="192">
        <v>45427</v>
      </c>
      <c r="AB13" s="183">
        <v>115.06666666666668</v>
      </c>
      <c r="AC13" s="195">
        <v>0</v>
      </c>
      <c r="AD13" s="31">
        <v>0</v>
      </c>
      <c r="AE13" t="b">
        <v>0</v>
      </c>
      <c r="AF13" s="78">
        <v>-365</v>
      </c>
    </row>
    <row r="14" spans="1:16364" x14ac:dyDescent="0.25">
      <c r="A14" t="str">
        <f t="shared" si="0"/>
        <v>2024-13</v>
      </c>
      <c r="B14" s="1">
        <f t="shared" si="1"/>
        <v>45310</v>
      </c>
      <c r="C14" t="str">
        <f t="shared" si="3"/>
        <v>Microsoft Ireland Operations Ltd. One Microsoft Place, South County, Business Park, Leopardstown, Dublin 18, D18 P521, Ireland</v>
      </c>
      <c r="D14" t="str">
        <f t="shared" si="2"/>
        <v>Ausgaben</v>
      </c>
      <c r="E14" t="str">
        <f t="shared" si="2"/>
        <v>sonstige Betriebsausgaben</v>
      </c>
      <c r="F14" s="117">
        <f t="shared" si="4"/>
        <v>11.7</v>
      </c>
      <c r="G14" t="str">
        <f t="shared" si="5"/>
        <v>0%</v>
      </c>
      <c r="I14" s="191">
        <v>2024</v>
      </c>
      <c r="J14" s="189">
        <v>13</v>
      </c>
      <c r="K14" s="71" t="s">
        <v>105</v>
      </c>
      <c r="L14" t="s">
        <v>705</v>
      </c>
      <c r="M14" s="1">
        <v>45310</v>
      </c>
      <c r="N14" t="s">
        <v>1032</v>
      </c>
      <c r="Q14" t="b">
        <v>0</v>
      </c>
      <c r="R14" s="48">
        <v>11.7</v>
      </c>
      <c r="S14" s="185">
        <v>11.7</v>
      </c>
      <c r="T14" s="72">
        <v>1</v>
      </c>
      <c r="U14" s="72">
        <v>0</v>
      </c>
      <c r="V14" s="185">
        <v>0</v>
      </c>
      <c r="W14" s="185">
        <v>0</v>
      </c>
      <c r="X14" s="185">
        <v>11.7</v>
      </c>
      <c r="Y14" s="185">
        <v>11.7</v>
      </c>
      <c r="Z14" s="192">
        <v>45427</v>
      </c>
      <c r="AA14">
        <v>20</v>
      </c>
      <c r="AB14" s="183">
        <v>11.7</v>
      </c>
      <c r="AC14" s="195">
        <v>2.34</v>
      </c>
      <c r="AD14" s="31">
        <v>0</v>
      </c>
      <c r="AE14" t="b">
        <v>0</v>
      </c>
      <c r="AF14" s="78">
        <v>178</v>
      </c>
    </row>
    <row r="15" spans="1:16364" x14ac:dyDescent="0.25">
      <c r="A15" t="str">
        <f t="shared" si="0"/>
        <v>2024-14</v>
      </c>
      <c r="B15" s="1">
        <f t="shared" si="1"/>
        <v>45316</v>
      </c>
      <c r="C15" t="str">
        <f t="shared" si="3"/>
        <v>Hetzner Online GmbH, Industriestraße 25, 91710 Gunzenhausen</v>
      </c>
      <c r="D15" t="str">
        <f t="shared" si="2"/>
        <v>Ausgaben</v>
      </c>
      <c r="E15" t="str">
        <f t="shared" si="2"/>
        <v>sonstige Betriebsausgaben</v>
      </c>
      <c r="F15" s="117">
        <f t="shared" si="4"/>
        <v>10.08</v>
      </c>
      <c r="G15" t="str">
        <f t="shared" si="5"/>
        <v>0%</v>
      </c>
      <c r="I15" s="191">
        <v>2024</v>
      </c>
      <c r="J15" s="189">
        <v>14</v>
      </c>
      <c r="K15" s="71" t="s">
        <v>105</v>
      </c>
      <c r="L15" t="s">
        <v>705</v>
      </c>
      <c r="M15" s="1">
        <v>45316</v>
      </c>
      <c r="N15" t="s">
        <v>1783</v>
      </c>
      <c r="Q15" t="b">
        <v>0</v>
      </c>
      <c r="R15" s="48">
        <v>10.08</v>
      </c>
      <c r="S15" s="185">
        <v>10.08</v>
      </c>
      <c r="T15" s="72">
        <v>1</v>
      </c>
      <c r="U15" s="72">
        <v>0</v>
      </c>
      <c r="V15" s="185">
        <v>0</v>
      </c>
      <c r="W15" s="185">
        <v>0</v>
      </c>
      <c r="X15" s="185">
        <v>10.08</v>
      </c>
      <c r="Y15" s="185">
        <v>10.08</v>
      </c>
      <c r="Z15" s="192">
        <v>45427</v>
      </c>
      <c r="AA15">
        <v>20</v>
      </c>
      <c r="AB15" s="183">
        <v>10.08</v>
      </c>
      <c r="AC15" s="195">
        <v>2.016</v>
      </c>
      <c r="AD15" s="31">
        <v>2.1</v>
      </c>
      <c r="AE15" t="b">
        <v>0</v>
      </c>
      <c r="AF15" s="78">
        <v>-10.5</v>
      </c>
    </row>
    <row r="16" spans="1:16364" x14ac:dyDescent="0.25">
      <c r="A16" t="str">
        <f t="shared" si="0"/>
        <v>2024-15</v>
      </c>
      <c r="B16" s="1">
        <f t="shared" si="1"/>
        <v>45317</v>
      </c>
      <c r="C16" t="str">
        <f t="shared" si="3"/>
        <v>ISTmobil GmbH, Conrad-von-Hötzendorf-Straße 110, 8010 Graz</v>
      </c>
      <c r="D16" t="str">
        <f t="shared" si="2"/>
        <v>Ausgaben</v>
      </c>
      <c r="E16" t="str">
        <f t="shared" si="2"/>
        <v>Reise- und Fahrtspesen inkl. Kilometergeld und Diäten</v>
      </c>
      <c r="F16" s="117">
        <f t="shared" si="4"/>
        <v>6.5</v>
      </c>
      <c r="G16" t="str">
        <f t="shared" si="5"/>
        <v>10%</v>
      </c>
      <c r="I16" s="191">
        <v>2024</v>
      </c>
      <c r="J16" s="189">
        <v>15</v>
      </c>
      <c r="K16" s="71" t="s">
        <v>105</v>
      </c>
      <c r="L16" t="s">
        <v>689</v>
      </c>
      <c r="M16" s="1">
        <v>45317</v>
      </c>
      <c r="N16" t="s">
        <v>1784</v>
      </c>
      <c r="Q16" t="b">
        <v>0</v>
      </c>
      <c r="R16" s="48">
        <v>6.5</v>
      </c>
      <c r="S16" s="185">
        <v>6.5</v>
      </c>
      <c r="T16" s="72">
        <v>1</v>
      </c>
      <c r="U16" s="72">
        <v>0.1</v>
      </c>
      <c r="V16" s="185">
        <v>0.59090909090909083</v>
      </c>
      <c r="W16" s="185">
        <v>0.59090909090909083</v>
      </c>
      <c r="X16" s="185">
        <v>5.9090909090909083</v>
      </c>
      <c r="Y16" s="185">
        <v>5.9090909090909083</v>
      </c>
      <c r="Z16" s="192">
        <v>45427</v>
      </c>
      <c r="AB16" s="183">
        <v>5.9090909090909083</v>
      </c>
      <c r="AC16" s="195">
        <v>0</v>
      </c>
      <c r="AD16" s="31">
        <v>0</v>
      </c>
      <c r="AE16" t="b">
        <v>0</v>
      </c>
      <c r="AF16" s="78">
        <v>-31.92</v>
      </c>
    </row>
    <row r="17" spans="1:32" x14ac:dyDescent="0.25">
      <c r="A17" t="str">
        <f t="shared" si="0"/>
        <v>2024-16</v>
      </c>
      <c r="B17" s="1">
        <f t="shared" si="1"/>
        <v>45320</v>
      </c>
      <c r="C17" t="str">
        <f t="shared" si="3"/>
        <v>Uber B.V. Burgenweeshuispad 301, 1076 HR Amsterdam</v>
      </c>
      <c r="D17" t="str">
        <f t="shared" si="2"/>
        <v>Ausgaben</v>
      </c>
      <c r="E17" t="str">
        <f t="shared" si="2"/>
        <v>Reise- und Fahrtspesen inkl. Kilometergeld und Diäten</v>
      </c>
      <c r="F17" s="117">
        <f t="shared" si="4"/>
        <v>11.14</v>
      </c>
      <c r="G17" t="str">
        <f t="shared" si="5"/>
        <v>0%</v>
      </c>
      <c r="I17" s="191">
        <v>2024</v>
      </c>
      <c r="J17" s="189">
        <v>16</v>
      </c>
      <c r="K17" s="71" t="s">
        <v>105</v>
      </c>
      <c r="L17" t="s">
        <v>689</v>
      </c>
      <c r="M17" s="1">
        <v>45320</v>
      </c>
      <c r="N17" t="s">
        <v>1785</v>
      </c>
      <c r="Q17" t="b">
        <v>0</v>
      </c>
      <c r="R17" s="48">
        <v>11.14</v>
      </c>
      <c r="S17" s="185">
        <v>11.14</v>
      </c>
      <c r="T17" s="72">
        <v>1</v>
      </c>
      <c r="U17" s="72">
        <v>0</v>
      </c>
      <c r="V17" s="185">
        <v>0</v>
      </c>
      <c r="W17" s="185">
        <v>0</v>
      </c>
      <c r="X17" s="185">
        <v>11.14</v>
      </c>
      <c r="Y17" s="185">
        <v>11.14</v>
      </c>
      <c r="Z17" s="192">
        <v>45427</v>
      </c>
      <c r="AB17" s="183">
        <v>11.14</v>
      </c>
      <c r="AC17" s="195">
        <v>0</v>
      </c>
      <c r="AD17" s="31">
        <v>0</v>
      </c>
      <c r="AE17" t="b">
        <v>0</v>
      </c>
      <c r="AF17" s="78">
        <v>-265.08</v>
      </c>
    </row>
    <row r="18" spans="1:32" x14ac:dyDescent="0.25">
      <c r="A18" t="str">
        <f t="shared" si="0"/>
        <v>2024-17</v>
      </c>
      <c r="B18" s="1">
        <f t="shared" si="1"/>
        <v>45322</v>
      </c>
      <c r="C18" t="str">
        <f t="shared" si="3"/>
        <v>Marktgemeinde Bisamberg, Hauptstraße 2, 2102 Bisamberg</v>
      </c>
      <c r="D18" t="str">
        <f t="shared" si="2"/>
        <v>Ausgaben</v>
      </c>
      <c r="E18" t="str">
        <f t="shared" si="2"/>
        <v>sonstige Betriebsausgaben</v>
      </c>
      <c r="F18" s="117">
        <f t="shared" si="4"/>
        <v>85.197538345010415</v>
      </c>
      <c r="G18" t="str">
        <f t="shared" si="5"/>
        <v>20%</v>
      </c>
      <c r="I18" s="191">
        <v>2024</v>
      </c>
      <c r="J18" s="189">
        <v>17</v>
      </c>
      <c r="K18" s="71" t="s">
        <v>105</v>
      </c>
      <c r="L18" t="s">
        <v>705</v>
      </c>
      <c r="M18" s="1">
        <v>45322</v>
      </c>
      <c r="N18" t="s">
        <v>1786</v>
      </c>
      <c r="Q18" t="b">
        <v>0</v>
      </c>
      <c r="R18" s="48">
        <v>924.51</v>
      </c>
      <c r="S18" s="185">
        <v>85.197538345010415</v>
      </c>
      <c r="T18" s="72">
        <v>9.2154263712680679E-2</v>
      </c>
      <c r="U18" s="72">
        <v>0.2</v>
      </c>
      <c r="V18" s="185">
        <v>154.08500000000004</v>
      </c>
      <c r="W18" s="185">
        <v>14.199589724168405</v>
      </c>
      <c r="X18" s="185">
        <v>770.42500000000007</v>
      </c>
      <c r="Y18" s="185">
        <v>70.997948620842024</v>
      </c>
      <c r="Z18" s="192">
        <v>45427</v>
      </c>
      <c r="AB18" s="183">
        <v>70.997948620842024</v>
      </c>
      <c r="AC18" s="195">
        <v>0</v>
      </c>
      <c r="AD18" s="31">
        <v>0</v>
      </c>
      <c r="AE18" t="b">
        <v>0</v>
      </c>
      <c r="AF18" s="78">
        <v>-20.75</v>
      </c>
    </row>
    <row r="19" spans="1:32" x14ac:dyDescent="0.25">
      <c r="A19" t="str">
        <f t="shared" si="0"/>
        <v>2024-18</v>
      </c>
      <c r="B19" s="1">
        <f t="shared" si="1"/>
        <v>45323</v>
      </c>
      <c r="C19" t="str">
        <f t="shared" si="3"/>
        <v>Hutchison Drei Austria GmbH, Brünner Straße 52, 1210 Wien, Österreich</v>
      </c>
      <c r="D19" t="str">
        <f t="shared" si="2"/>
        <v>Ausgaben</v>
      </c>
      <c r="E19" t="str">
        <f t="shared" si="2"/>
        <v>Telefon/Internet</v>
      </c>
      <c r="F19" s="117">
        <f t="shared" si="4"/>
        <v>12.9</v>
      </c>
      <c r="G19" t="str">
        <f t="shared" si="5"/>
        <v>20%</v>
      </c>
      <c r="I19" s="191">
        <v>2024</v>
      </c>
      <c r="J19" s="189">
        <v>18</v>
      </c>
      <c r="K19" s="71" t="s">
        <v>105</v>
      </c>
      <c r="L19" t="s">
        <v>703</v>
      </c>
      <c r="M19" s="1">
        <v>45323</v>
      </c>
      <c r="N19" t="s">
        <v>34</v>
      </c>
      <c r="Q19" t="b">
        <v>0</v>
      </c>
      <c r="R19" s="48">
        <v>12.9</v>
      </c>
      <c r="S19" s="185">
        <v>12.9</v>
      </c>
      <c r="T19" s="72">
        <v>1</v>
      </c>
      <c r="U19" s="72">
        <v>0.2</v>
      </c>
      <c r="V19" s="185">
        <v>2.15</v>
      </c>
      <c r="W19" s="185">
        <v>2.15</v>
      </c>
      <c r="X19" s="185">
        <v>10.75</v>
      </c>
      <c r="Y19" s="185">
        <v>10.75</v>
      </c>
      <c r="Z19" s="192">
        <v>45427</v>
      </c>
      <c r="AB19" s="183">
        <v>10.75</v>
      </c>
      <c r="AC19" s="195">
        <v>0</v>
      </c>
      <c r="AD19" s="31">
        <v>0</v>
      </c>
      <c r="AE19" t="b">
        <v>0</v>
      </c>
      <c r="AF19" s="78">
        <v>-55.44</v>
      </c>
    </row>
    <row r="20" spans="1:32" x14ac:dyDescent="0.25">
      <c r="A20" t="str">
        <f t="shared" si="0"/>
        <v>2024-19</v>
      </c>
      <c r="B20" s="1">
        <f t="shared" si="1"/>
        <v>45323</v>
      </c>
      <c r="C20" t="str">
        <f t="shared" si="3"/>
        <v>Wirtschaftskammer Niederösterreich Grundumlage</v>
      </c>
      <c r="D20" t="str">
        <f t="shared" si="2"/>
        <v>Ausgaben</v>
      </c>
      <c r="E20" t="str">
        <f t="shared" si="2"/>
        <v>sonstige Betriebsausgaben</v>
      </c>
      <c r="F20" s="117">
        <f t="shared" si="4"/>
        <v>61</v>
      </c>
      <c r="G20" t="str">
        <f t="shared" si="5"/>
        <v>0%</v>
      </c>
      <c r="I20" s="191">
        <v>2024</v>
      </c>
      <c r="J20" s="189">
        <v>19</v>
      </c>
      <c r="K20" s="71" t="s">
        <v>105</v>
      </c>
      <c r="L20" t="s">
        <v>705</v>
      </c>
      <c r="M20" s="1">
        <v>45323</v>
      </c>
      <c r="N20" t="s">
        <v>1787</v>
      </c>
      <c r="Q20" t="b">
        <v>0</v>
      </c>
      <c r="R20" s="48">
        <v>61</v>
      </c>
      <c r="S20" s="185">
        <v>61</v>
      </c>
      <c r="T20" s="72">
        <v>1</v>
      </c>
      <c r="U20" s="72">
        <v>0</v>
      </c>
      <c r="V20" s="185">
        <v>0</v>
      </c>
      <c r="W20" s="185">
        <v>0</v>
      </c>
      <c r="X20" s="185">
        <v>61</v>
      </c>
      <c r="Y20" s="185">
        <v>61</v>
      </c>
      <c r="Z20" s="192">
        <v>45427</v>
      </c>
      <c r="AB20" s="183">
        <v>61</v>
      </c>
      <c r="AC20" s="195">
        <v>0</v>
      </c>
      <c r="AD20" s="31">
        <v>0</v>
      </c>
      <c r="AE20" t="b">
        <v>0</v>
      </c>
      <c r="AF20" s="78">
        <v>-515.85</v>
      </c>
    </row>
    <row r="21" spans="1:32" x14ac:dyDescent="0.25">
      <c r="A21" t="str">
        <f t="shared" si="0"/>
        <v>2024-20</v>
      </c>
      <c r="B21" s="1">
        <f t="shared" si="1"/>
        <v>45324</v>
      </c>
      <c r="C21" t="str">
        <f t="shared" si="3"/>
        <v>Hays Österreich GmbH, Bahnhof City Wien West - Europaplatz 3/5, 1150 Wien</v>
      </c>
      <c r="D21" t="str">
        <f t="shared" si="2"/>
        <v>Einnahmen</v>
      </c>
      <c r="E21" t="str">
        <f t="shared" si="2"/>
        <v>Waren-/Leistungserlöse</v>
      </c>
      <c r="F21" s="117">
        <f t="shared" si="4"/>
        <v>13540.5</v>
      </c>
      <c r="G21" t="str">
        <f t="shared" si="5"/>
        <v>20%</v>
      </c>
      <c r="I21" s="191">
        <v>2024</v>
      </c>
      <c r="J21" s="189">
        <v>20</v>
      </c>
      <c r="K21" s="71" t="s">
        <v>708</v>
      </c>
      <c r="L21" t="s">
        <v>709</v>
      </c>
      <c r="M21" s="1">
        <v>45324</v>
      </c>
      <c r="N21" t="s">
        <v>1788</v>
      </c>
      <c r="R21" s="48">
        <v>13540.5</v>
      </c>
      <c r="S21" s="185">
        <v>13540.5</v>
      </c>
      <c r="T21" s="72">
        <v>1</v>
      </c>
      <c r="U21" s="72">
        <v>0.2</v>
      </c>
      <c r="V21" s="185">
        <v>2256.75</v>
      </c>
      <c r="W21" s="185">
        <v>2256.75</v>
      </c>
      <c r="X21" s="185">
        <v>11283.75</v>
      </c>
      <c r="Y21" s="185">
        <v>11283.75</v>
      </c>
      <c r="Z21" s="192">
        <v>45427</v>
      </c>
      <c r="AB21" s="183">
        <v>11283.75</v>
      </c>
      <c r="AC21" s="195">
        <v>0</v>
      </c>
      <c r="AD21" s="31">
        <v>0</v>
      </c>
      <c r="AE21" t="b">
        <v>0</v>
      </c>
      <c r="AF21" s="78">
        <v>-21.8</v>
      </c>
    </row>
    <row r="22" spans="1:32" x14ac:dyDescent="0.25">
      <c r="A22" t="str">
        <f t="shared" si="0"/>
        <v>2024-21</v>
      </c>
      <c r="B22" s="1">
        <f t="shared" si="1"/>
        <v>45327</v>
      </c>
      <c r="C22" t="str">
        <f t="shared" si="3"/>
        <v>Google Ireland Ltd, Gordon House, Barrow Street, Dublin 4, Ireland; VAT number: IE 6388047V</v>
      </c>
      <c r="D22" t="str">
        <f t="shared" si="2"/>
        <v>Ausgaben</v>
      </c>
      <c r="E22" t="str">
        <f t="shared" si="2"/>
        <v>sonstige Betriebsausgaben</v>
      </c>
      <c r="F22" s="117">
        <f t="shared" si="4"/>
        <v>10.4</v>
      </c>
      <c r="G22" t="str">
        <f t="shared" si="5"/>
        <v>0%</v>
      </c>
      <c r="I22" s="191">
        <v>2024</v>
      </c>
      <c r="J22" s="189">
        <v>21</v>
      </c>
      <c r="K22" s="71" t="s">
        <v>105</v>
      </c>
      <c r="L22" t="s">
        <v>705</v>
      </c>
      <c r="M22" s="1">
        <v>45327</v>
      </c>
      <c r="N22" t="s">
        <v>1404</v>
      </c>
      <c r="Q22" t="b">
        <v>0</v>
      </c>
      <c r="R22" s="48">
        <v>10.4</v>
      </c>
      <c r="S22" s="185">
        <v>10.4</v>
      </c>
      <c r="T22" s="72">
        <v>1</v>
      </c>
      <c r="U22" s="72">
        <v>0</v>
      </c>
      <c r="V22" s="185">
        <v>0</v>
      </c>
      <c r="W22" s="185">
        <v>0</v>
      </c>
      <c r="X22" s="185">
        <v>10.4</v>
      </c>
      <c r="Y22" s="185">
        <v>10.4</v>
      </c>
      <c r="Z22" s="192">
        <v>45427</v>
      </c>
      <c r="AA22">
        <v>20</v>
      </c>
      <c r="AB22" s="183">
        <v>10.4</v>
      </c>
      <c r="AC22" s="195">
        <v>2.08</v>
      </c>
      <c r="AD22" s="31">
        <v>1.8719999999999999</v>
      </c>
      <c r="AE22" t="b">
        <v>0</v>
      </c>
      <c r="AF22" s="78">
        <v>-9.36</v>
      </c>
    </row>
    <row r="23" spans="1:32" x14ac:dyDescent="0.25">
      <c r="A23" t="str">
        <f t="shared" si="0"/>
        <v>2024-22</v>
      </c>
      <c r="B23" s="1">
        <f t="shared" si="1"/>
        <v>45293</v>
      </c>
      <c r="C23" t="str">
        <f t="shared" si="3"/>
        <v>Erste Bank der österreichischen Sparkassen AG, Am Belvedere 1, 1100 Wien</v>
      </c>
      <c r="D23" t="str">
        <f t="shared" si="2"/>
        <v>Ausgaben</v>
      </c>
      <c r="E23" t="str">
        <f t="shared" si="2"/>
        <v>Zinsen und ähnliche Aufwendungen</v>
      </c>
      <c r="F23" s="117">
        <f t="shared" si="4"/>
        <v>156.8327336994256</v>
      </c>
      <c r="G23" t="str">
        <f t="shared" si="5"/>
        <v>0%</v>
      </c>
      <c r="I23" s="191">
        <v>2024</v>
      </c>
      <c r="J23" s="189">
        <v>22</v>
      </c>
      <c r="K23" s="71" t="s">
        <v>105</v>
      </c>
      <c r="L23" t="s">
        <v>694</v>
      </c>
      <c r="M23" s="1">
        <v>45293</v>
      </c>
      <c r="N23" t="s">
        <v>1790</v>
      </c>
      <c r="Q23" t="b">
        <v>0</v>
      </c>
      <c r="R23" s="48">
        <v>1701.85</v>
      </c>
      <c r="S23" s="185">
        <v>156.8327336994256</v>
      </c>
      <c r="T23" s="72">
        <v>9.2154263712680679E-2</v>
      </c>
      <c r="U23" s="72">
        <v>0</v>
      </c>
      <c r="V23" s="185">
        <v>0</v>
      </c>
      <c r="W23" s="185">
        <v>0</v>
      </c>
      <c r="X23" s="185">
        <v>1701.85</v>
      </c>
      <c r="Y23" s="185">
        <v>156.8327336994256</v>
      </c>
      <c r="Z23" s="192">
        <v>45427</v>
      </c>
      <c r="AB23" s="183">
        <v>156.8327336994256</v>
      </c>
      <c r="AC23" s="195">
        <v>0</v>
      </c>
      <c r="AD23" s="31">
        <v>0</v>
      </c>
      <c r="AE23" t="b">
        <v>0</v>
      </c>
      <c r="AF23" s="78">
        <v>-15</v>
      </c>
    </row>
    <row r="24" spans="1:32" x14ac:dyDescent="0.25">
      <c r="A24" t="str">
        <f t="shared" si="0"/>
        <v>2024-23</v>
      </c>
      <c r="B24" s="1">
        <f t="shared" si="1"/>
        <v>45293</v>
      </c>
      <c r="C24" t="str">
        <f t="shared" si="3"/>
        <v>Elektrotechnik Winkler GmbH</v>
      </c>
      <c r="D24" t="str">
        <f t="shared" si="2"/>
        <v>Ausgaben</v>
      </c>
      <c r="E24" t="str">
        <f t="shared" si="2"/>
        <v>sonstige Betriebsausgaben</v>
      </c>
      <c r="F24" s="117">
        <f t="shared" si="4"/>
        <v>2214.2900208293886</v>
      </c>
      <c r="G24" t="str">
        <f t="shared" si="5"/>
        <v>20%</v>
      </c>
      <c r="I24" s="191">
        <v>2024</v>
      </c>
      <c r="J24" s="189">
        <v>23</v>
      </c>
      <c r="K24" s="71" t="s">
        <v>105</v>
      </c>
      <c r="L24" t="s">
        <v>705</v>
      </c>
      <c r="M24" s="1">
        <v>45293</v>
      </c>
      <c r="N24" t="s">
        <v>1791</v>
      </c>
      <c r="Q24" t="b">
        <v>1</v>
      </c>
      <c r="R24" s="48">
        <v>24028.080000000002</v>
      </c>
      <c r="S24" s="185">
        <v>2214.2900208293886</v>
      </c>
      <c r="T24" s="72">
        <v>9.2154263712680679E-2</v>
      </c>
      <c r="U24" s="72">
        <v>0.2</v>
      </c>
      <c r="V24" s="185">
        <v>4004.6800000000003</v>
      </c>
      <c r="W24" s="185">
        <v>369.0483368048981</v>
      </c>
      <c r="X24" s="185">
        <v>20023.400000000001</v>
      </c>
      <c r="Y24" s="185">
        <v>1845.2416840244905</v>
      </c>
      <c r="Z24" s="192">
        <v>45427</v>
      </c>
      <c r="AB24" s="183">
        <v>1845.2416840244905</v>
      </c>
      <c r="AC24" s="195">
        <v>0</v>
      </c>
      <c r="AD24" s="31">
        <v>0</v>
      </c>
      <c r="AE24" t="b">
        <v>0</v>
      </c>
      <c r="AF24" s="78">
        <v>-5</v>
      </c>
    </row>
    <row r="25" spans="1:32" x14ac:dyDescent="0.25">
      <c r="A25" t="str">
        <f t="shared" si="0"/>
        <v>2024-24</v>
      </c>
      <c r="B25" s="1">
        <f t="shared" si="1"/>
        <v>45302</v>
      </c>
      <c r="C25" t="str">
        <f t="shared" si="3"/>
        <v>Elektrotechnik Winkler GmbH</v>
      </c>
      <c r="D25" t="str">
        <f t="shared" si="2"/>
        <v>Ausgaben</v>
      </c>
      <c r="E25" t="str">
        <f t="shared" si="2"/>
        <v>sonstige Betriebsausgaben</v>
      </c>
      <c r="F25" s="117">
        <f t="shared" si="4"/>
        <v>276.46279113804201</v>
      </c>
      <c r="G25" t="str">
        <f t="shared" si="5"/>
        <v>20%</v>
      </c>
      <c r="I25" s="191">
        <v>2024</v>
      </c>
      <c r="J25" s="189">
        <v>24</v>
      </c>
      <c r="K25" s="71" t="s">
        <v>105</v>
      </c>
      <c r="L25" t="s">
        <v>705</v>
      </c>
      <c r="M25" s="1">
        <v>45302</v>
      </c>
      <c r="N25" t="s">
        <v>1791</v>
      </c>
      <c r="Q25" t="b">
        <v>1</v>
      </c>
      <c r="R25" s="48">
        <v>3000</v>
      </c>
      <c r="S25" s="185">
        <v>276.46279113804201</v>
      </c>
      <c r="T25" s="72">
        <v>9.2154263712680679E-2</v>
      </c>
      <c r="U25" s="72">
        <v>0.2</v>
      </c>
      <c r="V25" s="185">
        <v>500</v>
      </c>
      <c r="W25" s="185">
        <v>46.077131856340337</v>
      </c>
      <c r="X25" s="185">
        <v>2500</v>
      </c>
      <c r="Y25" s="185">
        <v>230.38565928170169</v>
      </c>
      <c r="Z25" s="192">
        <v>45427</v>
      </c>
      <c r="AB25" s="183">
        <v>230.38565928170169</v>
      </c>
      <c r="AC25" s="195">
        <v>0</v>
      </c>
      <c r="AD25" s="31">
        <v>0</v>
      </c>
      <c r="AE25" t="b">
        <v>0</v>
      </c>
      <c r="AF25" s="78">
        <v>-11.533333333333333</v>
      </c>
    </row>
    <row r="26" spans="1:32" x14ac:dyDescent="0.25">
      <c r="A26" t="str">
        <f t="shared" si="0"/>
        <v>2024-25</v>
      </c>
      <c r="B26" s="1">
        <f t="shared" si="1"/>
        <v>45327</v>
      </c>
      <c r="C26" t="str">
        <f t="shared" si="3"/>
        <v>Google Ireland Ltd, Gordon House, Barrow Street, Dublin 4, Ireland; VAT number: IE 6388047V</v>
      </c>
      <c r="D26" t="str">
        <f t="shared" si="2"/>
        <v>Ausgaben</v>
      </c>
      <c r="E26" t="str">
        <f t="shared" si="2"/>
        <v>sonstige Betriebsausgaben</v>
      </c>
      <c r="F26" s="117">
        <f t="shared" si="4"/>
        <v>10.4</v>
      </c>
      <c r="G26" t="str">
        <f t="shared" si="5"/>
        <v>0%</v>
      </c>
      <c r="I26" s="191">
        <v>2024</v>
      </c>
      <c r="J26" s="189">
        <v>25</v>
      </c>
      <c r="K26" s="71" t="s">
        <v>105</v>
      </c>
      <c r="L26" t="s">
        <v>705</v>
      </c>
      <c r="M26" s="1">
        <v>45327</v>
      </c>
      <c r="N26" t="s">
        <v>1404</v>
      </c>
      <c r="Q26" t="b">
        <v>0</v>
      </c>
      <c r="R26" s="48">
        <v>10.4</v>
      </c>
      <c r="S26" s="185">
        <v>10.4</v>
      </c>
      <c r="T26" s="72">
        <v>1</v>
      </c>
      <c r="U26" s="72">
        <v>0</v>
      </c>
      <c r="V26" s="185">
        <v>0</v>
      </c>
      <c r="W26" s="185">
        <v>0</v>
      </c>
      <c r="X26" s="185">
        <v>10.4</v>
      </c>
      <c r="Y26" s="185">
        <v>10.4</v>
      </c>
      <c r="Z26" s="192">
        <v>45427</v>
      </c>
      <c r="AA26">
        <v>20</v>
      </c>
      <c r="AB26" s="183">
        <v>10.4</v>
      </c>
      <c r="AC26" s="195">
        <v>2.08</v>
      </c>
      <c r="AD26" s="31">
        <v>0</v>
      </c>
      <c r="AE26" t="b">
        <v>0</v>
      </c>
      <c r="AF26" s="78">
        <v>-7.2333333333333334</v>
      </c>
    </row>
    <row r="27" spans="1:32" x14ac:dyDescent="0.25">
      <c r="A27" t="str">
        <f t="shared" si="0"/>
        <v>2024-26</v>
      </c>
      <c r="B27" s="1">
        <f t="shared" si="1"/>
        <v>45334</v>
      </c>
      <c r="C27" t="str">
        <f t="shared" si="3"/>
        <v>Wien Energie Vertrieb GmbH &amp; Co KG, 1030 Wien, Pf 520</v>
      </c>
      <c r="D27" t="str">
        <f t="shared" si="2"/>
        <v>Ausgaben</v>
      </c>
      <c r="E27" t="str">
        <f t="shared" si="2"/>
        <v>sonstige Betriebsausgaben</v>
      </c>
      <c r="F27" s="117">
        <f t="shared" si="4"/>
        <v>26.171810894401311</v>
      </c>
      <c r="G27" t="str">
        <f t="shared" si="5"/>
        <v>20%</v>
      </c>
      <c r="I27" s="191">
        <v>2024</v>
      </c>
      <c r="J27" s="189">
        <v>26</v>
      </c>
      <c r="K27" s="71" t="s">
        <v>105</v>
      </c>
      <c r="L27" t="s">
        <v>705</v>
      </c>
      <c r="M27" s="1">
        <v>45334</v>
      </c>
      <c r="N27" t="s">
        <v>1110</v>
      </c>
      <c r="Q27" t="b">
        <v>0</v>
      </c>
      <c r="R27" s="48">
        <v>284</v>
      </c>
      <c r="S27" s="185">
        <v>26.171810894401311</v>
      </c>
      <c r="T27" s="72">
        <v>9.2154263712680679E-2</v>
      </c>
      <c r="U27" s="72">
        <v>0.2</v>
      </c>
      <c r="V27" s="185">
        <v>47.333333333333343</v>
      </c>
      <c r="W27" s="185">
        <v>4.3619684824002194</v>
      </c>
      <c r="X27" s="185">
        <v>236.66666666666669</v>
      </c>
      <c r="Y27" s="185">
        <v>21.809842412001096</v>
      </c>
      <c r="Z27" s="192">
        <v>45427</v>
      </c>
      <c r="AB27" s="183">
        <v>21.809842412001096</v>
      </c>
      <c r="AC27" s="195">
        <v>0</v>
      </c>
      <c r="AD27" s="31">
        <v>0</v>
      </c>
      <c r="AE27" t="b">
        <v>0</v>
      </c>
      <c r="AF27" s="78">
        <v>16.8</v>
      </c>
    </row>
    <row r="28" spans="1:32" x14ac:dyDescent="0.25">
      <c r="A28" t="str">
        <f t="shared" si="0"/>
        <v>2024-27</v>
      </c>
      <c r="B28" s="1">
        <f t="shared" si="1"/>
        <v>45334</v>
      </c>
      <c r="C28" t="str">
        <f t="shared" si="3"/>
        <v>Österreichische Gesundheitskasse</v>
      </c>
      <c r="D28" t="str">
        <f t="shared" si="2"/>
        <v>Ausgaben</v>
      </c>
      <c r="E28" t="str">
        <f t="shared" si="2"/>
        <v>Pflichversicherungsbeiträge</v>
      </c>
      <c r="F28" s="117">
        <f t="shared" si="4"/>
        <v>119.52</v>
      </c>
      <c r="G28" t="str">
        <f t="shared" si="5"/>
        <v>0%</v>
      </c>
      <c r="I28" s="191">
        <v>2024</v>
      </c>
      <c r="J28" s="189">
        <v>27</v>
      </c>
      <c r="K28" s="71" t="s">
        <v>105</v>
      </c>
      <c r="L28" t="s">
        <v>695</v>
      </c>
      <c r="M28" s="1">
        <v>45334</v>
      </c>
      <c r="N28" t="s">
        <v>1792</v>
      </c>
      <c r="Q28" t="b">
        <v>0</v>
      </c>
      <c r="R28" s="48">
        <v>119.52</v>
      </c>
      <c r="S28" s="185">
        <v>119.52</v>
      </c>
      <c r="T28" s="72">
        <v>1</v>
      </c>
      <c r="U28" s="72">
        <v>0</v>
      </c>
      <c r="V28" s="185">
        <v>0</v>
      </c>
      <c r="W28" s="185">
        <v>0</v>
      </c>
      <c r="X28" s="185">
        <v>119.52</v>
      </c>
      <c r="Y28" s="185">
        <v>119.52</v>
      </c>
      <c r="Z28" s="192">
        <v>45427</v>
      </c>
      <c r="AB28" s="183">
        <v>119.52</v>
      </c>
      <c r="AC28" s="195">
        <v>0</v>
      </c>
      <c r="AD28" s="31">
        <v>0</v>
      </c>
      <c r="AE28" t="b">
        <v>0</v>
      </c>
      <c r="AF28" s="78">
        <v>-119.52</v>
      </c>
    </row>
    <row r="29" spans="1:32" x14ac:dyDescent="0.25">
      <c r="A29" t="str">
        <f t="shared" si="0"/>
        <v>2024-28</v>
      </c>
      <c r="B29" s="1">
        <f t="shared" si="1"/>
        <v>45335</v>
      </c>
      <c r="C29" t="str">
        <f t="shared" si="3"/>
        <v>Hetzner Online GmbH, Industriestraße 25, 91710 Gunzenhausen</v>
      </c>
      <c r="D29" t="str">
        <f t="shared" si="2"/>
        <v>Ausgaben</v>
      </c>
      <c r="E29" t="str">
        <f t="shared" si="2"/>
        <v>sonstige Betriebsausgaben</v>
      </c>
      <c r="F29" s="117">
        <f t="shared" si="4"/>
        <v>52.21</v>
      </c>
      <c r="G29" t="str">
        <f t="shared" si="5"/>
        <v>0%</v>
      </c>
      <c r="I29" s="191">
        <v>2024</v>
      </c>
      <c r="J29" s="189">
        <v>28</v>
      </c>
      <c r="K29" s="71" t="s">
        <v>105</v>
      </c>
      <c r="L29" t="s">
        <v>705</v>
      </c>
      <c r="M29" s="1">
        <v>45335</v>
      </c>
      <c r="N29" t="s">
        <v>1783</v>
      </c>
      <c r="Q29" t="b">
        <v>0</v>
      </c>
      <c r="R29" s="48">
        <v>52.21</v>
      </c>
      <c r="S29" s="185">
        <v>52.21</v>
      </c>
      <c r="T29" s="72">
        <v>1</v>
      </c>
      <c r="U29" s="72">
        <v>0</v>
      </c>
      <c r="V29" s="185">
        <v>0</v>
      </c>
      <c r="W29" s="185">
        <v>0</v>
      </c>
      <c r="X29" s="185">
        <v>52.21</v>
      </c>
      <c r="Y29" s="185">
        <v>52.21</v>
      </c>
      <c r="Z29" s="192">
        <v>45427</v>
      </c>
      <c r="AA29">
        <v>20</v>
      </c>
      <c r="AB29" s="183">
        <v>52.21</v>
      </c>
      <c r="AC29" s="195">
        <v>10.442</v>
      </c>
      <c r="AD29" s="31">
        <v>0</v>
      </c>
      <c r="AE29" t="b">
        <v>0</v>
      </c>
      <c r="AF29" s="78">
        <v>-122.6</v>
      </c>
    </row>
    <row r="30" spans="1:32" x14ac:dyDescent="0.25">
      <c r="A30" t="str">
        <f t="shared" si="0"/>
        <v>2024-29</v>
      </c>
      <c r="B30" s="1">
        <f t="shared" si="1"/>
        <v>45337</v>
      </c>
      <c r="C30" t="str">
        <f t="shared" si="3"/>
        <v>Eva Jaros-Kolbitsch</v>
      </c>
      <c r="D30" t="str">
        <f t="shared" si="2"/>
        <v>Ausgaben</v>
      </c>
      <c r="E30" t="str">
        <f t="shared" si="2"/>
        <v>Personalaufwand</v>
      </c>
      <c r="F30" s="117">
        <f t="shared" si="4"/>
        <v>365</v>
      </c>
      <c r="G30" t="str">
        <f t="shared" si="5"/>
        <v>0%</v>
      </c>
      <c r="I30" s="191">
        <v>2024</v>
      </c>
      <c r="J30" s="189">
        <v>29</v>
      </c>
      <c r="K30" s="71" t="s">
        <v>105</v>
      </c>
      <c r="L30" t="s">
        <v>685</v>
      </c>
      <c r="M30" s="1">
        <v>45337</v>
      </c>
      <c r="N30" t="s">
        <v>1782</v>
      </c>
      <c r="Q30" t="b">
        <v>0</v>
      </c>
      <c r="R30" s="48">
        <v>365</v>
      </c>
      <c r="S30" s="185">
        <v>365</v>
      </c>
      <c r="T30" s="72">
        <v>1</v>
      </c>
      <c r="U30" s="72">
        <v>0</v>
      </c>
      <c r="V30" s="185">
        <v>0</v>
      </c>
      <c r="W30" s="185">
        <v>0</v>
      </c>
      <c r="X30" s="185">
        <v>365</v>
      </c>
      <c r="Y30" s="185">
        <v>365</v>
      </c>
      <c r="Z30" s="192">
        <v>45427</v>
      </c>
      <c r="AB30" s="183">
        <v>365</v>
      </c>
      <c r="AC30" s="195">
        <v>0</v>
      </c>
      <c r="AD30" s="31">
        <v>0</v>
      </c>
      <c r="AE30" t="b">
        <v>0</v>
      </c>
      <c r="AF30" s="78">
        <v>540</v>
      </c>
    </row>
    <row r="31" spans="1:32" x14ac:dyDescent="0.25">
      <c r="A31" t="str">
        <f t="shared" si="0"/>
        <v>2024-30</v>
      </c>
      <c r="B31" s="1">
        <f t="shared" si="1"/>
        <v>45342</v>
      </c>
      <c r="C31" t="str">
        <f t="shared" si="3"/>
        <v>Microsoft Ireland Operations Ltd. One Microsoft Place, South County, Business Park, Leopardstown, Dublin 18, D18 P521, Ireland</v>
      </c>
      <c r="D31" t="str">
        <f t="shared" si="2"/>
        <v>Ausgaben</v>
      </c>
      <c r="E31" t="str">
        <f t="shared" si="2"/>
        <v>sonstige Betriebsausgaben</v>
      </c>
      <c r="F31" s="117">
        <f t="shared" si="4"/>
        <v>11.7</v>
      </c>
      <c r="G31" t="str">
        <f t="shared" si="5"/>
        <v>0%</v>
      </c>
      <c r="I31" s="191">
        <v>2024</v>
      </c>
      <c r="J31" s="189">
        <v>30</v>
      </c>
      <c r="K31" s="71" t="s">
        <v>105</v>
      </c>
      <c r="L31" t="s">
        <v>705</v>
      </c>
      <c r="M31" s="1">
        <v>45342</v>
      </c>
      <c r="N31" t="s">
        <v>1032</v>
      </c>
      <c r="Q31" t="b">
        <v>0</v>
      </c>
      <c r="R31" s="48">
        <v>11.7</v>
      </c>
      <c r="S31" s="185">
        <v>11.7</v>
      </c>
      <c r="T31" s="72">
        <v>1</v>
      </c>
      <c r="U31" s="72">
        <v>0</v>
      </c>
      <c r="V31" s="185">
        <v>0</v>
      </c>
      <c r="W31" s="185">
        <v>0</v>
      </c>
      <c r="X31" s="185">
        <v>11.7</v>
      </c>
      <c r="Y31" s="185">
        <v>11.7</v>
      </c>
      <c r="Z31" s="192">
        <v>45427</v>
      </c>
      <c r="AA31">
        <v>20</v>
      </c>
      <c r="AB31" s="183">
        <v>11.7</v>
      </c>
      <c r="AC31" s="195">
        <v>2.34</v>
      </c>
      <c r="AD31" s="31">
        <v>0</v>
      </c>
      <c r="AE31" t="b">
        <v>0</v>
      </c>
      <c r="AF31" s="78">
        <v>12537</v>
      </c>
    </row>
    <row r="32" spans="1:32" x14ac:dyDescent="0.25">
      <c r="A32" t="str">
        <f t="shared" si="0"/>
        <v>2024-31</v>
      </c>
      <c r="B32" s="1">
        <f t="shared" si="1"/>
        <v>45345</v>
      </c>
      <c r="C32" t="str">
        <f t="shared" si="3"/>
        <v>Hetzner Online GmbH, Industriestraße 25, 91710 Gunzenhausen</v>
      </c>
      <c r="D32" t="str">
        <f t="shared" si="2"/>
        <v>Ausgaben</v>
      </c>
      <c r="E32" t="str">
        <f t="shared" si="2"/>
        <v>sonstige Betriebsausgaben</v>
      </c>
      <c r="F32" s="117">
        <f t="shared" si="4"/>
        <v>1.76</v>
      </c>
      <c r="G32" t="str">
        <f t="shared" si="5"/>
        <v>0%</v>
      </c>
      <c r="I32" s="191">
        <v>2024</v>
      </c>
      <c r="J32" s="189">
        <v>31</v>
      </c>
      <c r="K32" s="71" t="s">
        <v>105</v>
      </c>
      <c r="L32" t="s">
        <v>705</v>
      </c>
      <c r="M32" s="1">
        <v>45345</v>
      </c>
      <c r="N32" t="s">
        <v>1783</v>
      </c>
      <c r="Q32" t="b">
        <v>0</v>
      </c>
      <c r="R32" s="48">
        <v>1.76</v>
      </c>
      <c r="S32" s="185">
        <v>1.76</v>
      </c>
      <c r="T32" s="72">
        <v>1</v>
      </c>
      <c r="U32" s="72">
        <v>0</v>
      </c>
      <c r="V32" s="185">
        <v>0</v>
      </c>
      <c r="W32" s="185">
        <v>0</v>
      </c>
      <c r="X32" s="185">
        <v>1.76</v>
      </c>
      <c r="Y32" s="185">
        <v>1.76</v>
      </c>
      <c r="Z32" s="192">
        <v>45427</v>
      </c>
      <c r="AA32">
        <v>20</v>
      </c>
      <c r="AB32" s="183">
        <v>1.76</v>
      </c>
      <c r="AC32" s="195">
        <v>0.35200000000000004</v>
      </c>
      <c r="AD32" s="31">
        <v>10.442820000000001</v>
      </c>
      <c r="AE32" t="b">
        <v>0</v>
      </c>
      <c r="AF32" s="78">
        <v>-52.214100000000002</v>
      </c>
    </row>
    <row r="33" spans="1:32" x14ac:dyDescent="0.25">
      <c r="A33" t="str">
        <f t="shared" si="0"/>
        <v>2024-32</v>
      </c>
      <c r="B33" s="1">
        <f t="shared" si="1"/>
        <v>45348</v>
      </c>
      <c r="C33" t="str">
        <f t="shared" si="3"/>
        <v>EVN Wasser GmbH</v>
      </c>
      <c r="D33" t="str">
        <f t="shared" si="2"/>
        <v>Ausgaben</v>
      </c>
      <c r="E33" t="str">
        <f t="shared" si="2"/>
        <v>sonstige Betriebsausgaben</v>
      </c>
      <c r="F33" s="117">
        <f t="shared" si="4"/>
        <v>5.0684845041974373</v>
      </c>
      <c r="G33" t="str">
        <f t="shared" si="5"/>
        <v>10%</v>
      </c>
      <c r="I33" s="191">
        <v>2024</v>
      </c>
      <c r="J33" s="189">
        <v>32</v>
      </c>
      <c r="K33" s="71" t="s">
        <v>105</v>
      </c>
      <c r="L33" t="s">
        <v>705</v>
      </c>
      <c r="M33" s="1">
        <v>45348</v>
      </c>
      <c r="N33" t="s">
        <v>1793</v>
      </c>
      <c r="Q33" t="b">
        <v>0</v>
      </c>
      <c r="R33" s="48">
        <v>55</v>
      </c>
      <c r="S33" s="185">
        <v>5.0684845041974373</v>
      </c>
      <c r="T33" s="72">
        <v>9.2154263712680679E-2</v>
      </c>
      <c r="U33" s="72">
        <v>0.1</v>
      </c>
      <c r="V33" s="185">
        <v>5</v>
      </c>
      <c r="W33" s="185">
        <v>0.46077131856340336</v>
      </c>
      <c r="X33" s="185">
        <v>49.999999999999993</v>
      </c>
      <c r="Y33" s="185">
        <v>4.607713185634033</v>
      </c>
      <c r="Z33" s="192">
        <v>45427</v>
      </c>
      <c r="AB33" s="183">
        <v>4.607713185634033</v>
      </c>
      <c r="AC33" s="195">
        <v>0</v>
      </c>
      <c r="AD33" s="31">
        <v>0</v>
      </c>
      <c r="AE33" t="b">
        <v>0</v>
      </c>
      <c r="AF33" s="78">
        <v>-12</v>
      </c>
    </row>
    <row r="34" spans="1:32" x14ac:dyDescent="0.25">
      <c r="A34" t="str">
        <f t="shared" si="0"/>
        <v>2024-33</v>
      </c>
      <c r="B34" s="1">
        <f t="shared" si="1"/>
        <v>45348</v>
      </c>
      <c r="C34" t="str">
        <f t="shared" si="3"/>
        <v>OpenAI, LLC, 548 Market Street, PMB 97273, San Francisco, California 94104-5401, United States</v>
      </c>
      <c r="D34" t="str">
        <f t="shared" ref="D34:E65" si="6">K34</f>
        <v>Ausgaben</v>
      </c>
      <c r="E34" t="str">
        <f t="shared" si="6"/>
        <v>sonstige Betriebsausgaben</v>
      </c>
      <c r="F34" s="117">
        <f t="shared" si="4"/>
        <v>22.55</v>
      </c>
      <c r="G34" t="str">
        <f t="shared" si="5"/>
        <v>20%</v>
      </c>
      <c r="I34" s="191">
        <v>2024</v>
      </c>
      <c r="J34" s="189">
        <v>33</v>
      </c>
      <c r="K34" s="71" t="s">
        <v>105</v>
      </c>
      <c r="L34" t="s">
        <v>705</v>
      </c>
      <c r="M34" s="1">
        <v>45348</v>
      </c>
      <c r="N34" t="s">
        <v>1794</v>
      </c>
      <c r="Q34" t="b">
        <v>0</v>
      </c>
      <c r="R34" s="48">
        <v>22.55</v>
      </c>
      <c r="S34" s="185">
        <v>22.55</v>
      </c>
      <c r="T34" s="72">
        <v>1</v>
      </c>
      <c r="U34" s="72">
        <v>0.2</v>
      </c>
      <c r="V34" s="185">
        <v>3.7050000000000005</v>
      </c>
      <c r="W34" s="185">
        <v>3.7050000000000005</v>
      </c>
      <c r="X34" s="185">
        <v>18.525000000000002</v>
      </c>
      <c r="Y34" s="185">
        <v>18.525000000000002</v>
      </c>
      <c r="Z34" s="192">
        <v>45427</v>
      </c>
      <c r="AB34" s="183">
        <v>18.525000000000002</v>
      </c>
      <c r="AC34" s="195">
        <v>0</v>
      </c>
      <c r="AD34" s="31">
        <v>0</v>
      </c>
      <c r="AE34" t="b">
        <v>0</v>
      </c>
      <c r="AF34" s="78">
        <v>-8.0500000000000007</v>
      </c>
    </row>
    <row r="35" spans="1:32" x14ac:dyDescent="0.25">
      <c r="A35" t="str">
        <f t="shared" si="0"/>
        <v>2024-34</v>
      </c>
      <c r="B35" s="1">
        <f t="shared" si="1"/>
        <v>45351</v>
      </c>
      <c r="C35" t="str">
        <f t="shared" si="3"/>
        <v>SVS</v>
      </c>
      <c r="D35" t="str">
        <f t="shared" si="6"/>
        <v>Ausgaben</v>
      </c>
      <c r="E35" t="str">
        <f t="shared" si="6"/>
        <v>Pflichversicherungsbeiträge</v>
      </c>
      <c r="F35" s="117">
        <f t="shared" si="4"/>
        <v>5053.16</v>
      </c>
      <c r="G35" t="str">
        <f t="shared" si="5"/>
        <v>0%</v>
      </c>
      <c r="I35" s="191">
        <v>2024</v>
      </c>
      <c r="J35" s="189">
        <v>34</v>
      </c>
      <c r="K35" s="71" t="s">
        <v>105</v>
      </c>
      <c r="L35" t="s">
        <v>695</v>
      </c>
      <c r="M35" s="1">
        <v>45351</v>
      </c>
      <c r="N35" t="s">
        <v>1795</v>
      </c>
      <c r="Q35" t="b">
        <v>0</v>
      </c>
      <c r="R35" s="48">
        <v>5053.16</v>
      </c>
      <c r="S35" s="185">
        <v>5053.16</v>
      </c>
      <c r="T35" s="72">
        <v>1</v>
      </c>
      <c r="U35" s="72">
        <v>0</v>
      </c>
      <c r="V35" s="185">
        <v>0</v>
      </c>
      <c r="W35" s="185">
        <v>0</v>
      </c>
      <c r="X35" s="185">
        <v>5053.16</v>
      </c>
      <c r="Y35" s="185">
        <v>5053.16</v>
      </c>
      <c r="Z35" s="192">
        <v>45427</v>
      </c>
      <c r="AB35" s="183">
        <v>5053.16</v>
      </c>
      <c r="AC35" s="195">
        <v>0</v>
      </c>
      <c r="AD35" s="31">
        <v>0</v>
      </c>
      <c r="AE35" t="b">
        <v>0</v>
      </c>
      <c r="AF35" s="78">
        <v>-365</v>
      </c>
    </row>
    <row r="36" spans="1:32" x14ac:dyDescent="0.25">
      <c r="A36" t="str">
        <f t="shared" si="0"/>
        <v>2024-35</v>
      </c>
      <c r="B36" s="1">
        <f t="shared" si="1"/>
        <v>45355</v>
      </c>
      <c r="C36" t="str">
        <f t="shared" si="3"/>
        <v>Marktgemeinde Bisamberg, Hauptstraße 2, 2102 Bisamberg</v>
      </c>
      <c r="D36" t="str">
        <f t="shared" si="6"/>
        <v>Ausgaben</v>
      </c>
      <c r="E36" t="str">
        <f t="shared" si="6"/>
        <v>sonstige Betriebsausgaben</v>
      </c>
      <c r="F36" s="117">
        <f t="shared" si="4"/>
        <v>472.67304172189608</v>
      </c>
      <c r="G36" t="str">
        <f t="shared" si="5"/>
        <v>0%</v>
      </c>
      <c r="I36" s="191">
        <v>2024</v>
      </c>
      <c r="J36" s="189">
        <v>35</v>
      </c>
      <c r="K36" s="71" t="s">
        <v>105</v>
      </c>
      <c r="L36" t="s">
        <v>705</v>
      </c>
      <c r="M36" s="1">
        <v>45355</v>
      </c>
      <c r="N36" t="s">
        <v>1786</v>
      </c>
      <c r="Q36" t="b">
        <v>0</v>
      </c>
      <c r="R36" s="48">
        <v>5129.1499999999996</v>
      </c>
      <c r="S36" s="185">
        <v>472.67304172189608</v>
      </c>
      <c r="T36" s="72">
        <v>9.2154263712680679E-2</v>
      </c>
      <c r="U36" s="72">
        <v>0</v>
      </c>
      <c r="V36" s="185">
        <v>0</v>
      </c>
      <c r="W36" s="185">
        <v>0</v>
      </c>
      <c r="X36" s="185">
        <v>5129.1499999999996</v>
      </c>
      <c r="Y36" s="185">
        <v>472.67304172189608</v>
      </c>
      <c r="Z36" s="192">
        <v>45427</v>
      </c>
      <c r="AB36" s="183">
        <v>472.67304172189608</v>
      </c>
      <c r="AC36" s="195">
        <v>0</v>
      </c>
      <c r="AD36" s="31">
        <v>0</v>
      </c>
      <c r="AE36" t="b">
        <v>0</v>
      </c>
      <c r="AF36" s="78">
        <v>-16.670000000000002</v>
      </c>
    </row>
    <row r="37" spans="1:32" x14ac:dyDescent="0.25">
      <c r="A37" t="str">
        <f t="shared" si="0"/>
        <v>2024-36</v>
      </c>
      <c r="B37" s="1">
        <f t="shared" si="1"/>
        <v>45355</v>
      </c>
      <c r="C37" t="str">
        <f t="shared" si="3"/>
        <v>Google Ireland Ltd, Gordon House, Barrow Street, Dublin 4, Ireland; VAT number: IE 6388047V</v>
      </c>
      <c r="D37" t="str">
        <f t="shared" si="6"/>
        <v>Ausgaben</v>
      </c>
      <c r="E37" t="str">
        <f t="shared" si="6"/>
        <v>sonstige Betriebsausgaben</v>
      </c>
      <c r="F37" s="117">
        <f t="shared" si="4"/>
        <v>10.4</v>
      </c>
      <c r="G37" t="str">
        <f t="shared" si="5"/>
        <v>0%</v>
      </c>
      <c r="I37" s="191">
        <v>2024</v>
      </c>
      <c r="J37" s="189">
        <v>36</v>
      </c>
      <c r="K37" s="71" t="s">
        <v>105</v>
      </c>
      <c r="L37" t="s">
        <v>705</v>
      </c>
      <c r="M37" s="1">
        <v>45355</v>
      </c>
      <c r="N37" t="s">
        <v>1404</v>
      </c>
      <c r="Q37" t="b">
        <v>0</v>
      </c>
      <c r="R37" s="48">
        <v>10.4</v>
      </c>
      <c r="S37" s="185">
        <v>10.4</v>
      </c>
      <c r="T37" s="72">
        <v>1</v>
      </c>
      <c r="U37" s="72">
        <v>0</v>
      </c>
      <c r="V37" s="185">
        <v>0</v>
      </c>
      <c r="W37" s="185">
        <v>0</v>
      </c>
      <c r="X37" s="185">
        <v>10.4</v>
      </c>
      <c r="Y37" s="185">
        <v>10.4</v>
      </c>
      <c r="Z37" s="192">
        <v>45427</v>
      </c>
      <c r="AA37">
        <v>20</v>
      </c>
      <c r="AB37" s="183">
        <v>10.4</v>
      </c>
      <c r="AC37" s="195">
        <v>2.08</v>
      </c>
      <c r="AD37" s="31">
        <v>2.1</v>
      </c>
      <c r="AE37" t="b">
        <v>0</v>
      </c>
      <c r="AF37" s="78">
        <v>-10.5</v>
      </c>
    </row>
    <row r="38" spans="1:32" x14ac:dyDescent="0.25">
      <c r="A38" t="str">
        <f t="shared" si="0"/>
        <v>2024-37</v>
      </c>
      <c r="B38" s="1">
        <f t="shared" si="1"/>
        <v>45356</v>
      </c>
      <c r="C38" t="str">
        <f t="shared" si="3"/>
        <v>Hutchison Drei Austria GmbH, Brünner Straße 52, 1210 Wien, Österreich</v>
      </c>
      <c r="D38" t="str">
        <f t="shared" si="6"/>
        <v>Ausgaben</v>
      </c>
      <c r="E38" t="str">
        <f t="shared" si="6"/>
        <v>Telefon/Internet</v>
      </c>
      <c r="F38" s="117">
        <f t="shared" si="4"/>
        <v>12.9</v>
      </c>
      <c r="G38" t="str">
        <f t="shared" si="5"/>
        <v>20%</v>
      </c>
      <c r="I38" s="191">
        <v>2024</v>
      </c>
      <c r="J38" s="189">
        <v>37</v>
      </c>
      <c r="K38" s="71" t="s">
        <v>105</v>
      </c>
      <c r="L38" t="s">
        <v>703</v>
      </c>
      <c r="M38" s="1">
        <v>45356</v>
      </c>
      <c r="N38" t="s">
        <v>34</v>
      </c>
      <c r="Q38" t="b">
        <v>0</v>
      </c>
      <c r="R38" s="48">
        <v>12.9</v>
      </c>
      <c r="S38" s="185">
        <v>12.9</v>
      </c>
      <c r="T38" s="72">
        <v>1</v>
      </c>
      <c r="U38" s="72">
        <v>0.2</v>
      </c>
      <c r="V38" s="185">
        <v>2.15</v>
      </c>
      <c r="W38" s="185">
        <v>2.15</v>
      </c>
      <c r="X38" s="185">
        <v>10.75</v>
      </c>
      <c r="Y38" s="185">
        <v>10.75</v>
      </c>
      <c r="Z38" s="192">
        <v>45427</v>
      </c>
      <c r="AB38" s="183">
        <v>10.75</v>
      </c>
      <c r="AC38" s="195">
        <v>0</v>
      </c>
      <c r="AD38" s="31">
        <v>0</v>
      </c>
      <c r="AE38" t="b">
        <v>0</v>
      </c>
      <c r="AF38" s="78">
        <v>-77.44</v>
      </c>
    </row>
    <row r="39" spans="1:32" x14ac:dyDescent="0.25">
      <c r="A39" t="str">
        <f t="shared" si="0"/>
        <v>2024-38</v>
      </c>
      <c r="B39" s="1">
        <f t="shared" si="1"/>
        <v>45357</v>
      </c>
      <c r="C39" t="str">
        <f t="shared" si="3"/>
        <v>Wien Energie Vertrieb GmbH &amp; Co KG, 1030 Wien, Pf 520</v>
      </c>
      <c r="D39" t="str">
        <f t="shared" si="6"/>
        <v>Ausgaben</v>
      </c>
      <c r="E39" t="str">
        <f t="shared" si="6"/>
        <v>sonstige Betriebsausgaben</v>
      </c>
      <c r="F39" s="117">
        <f t="shared" si="4"/>
        <v>2.2117023291043365</v>
      </c>
      <c r="G39" t="str">
        <f t="shared" si="5"/>
        <v>20%</v>
      </c>
      <c r="I39" s="191">
        <v>2024</v>
      </c>
      <c r="J39" s="189">
        <v>38</v>
      </c>
      <c r="K39" s="71" t="s">
        <v>105</v>
      </c>
      <c r="L39" t="s">
        <v>705</v>
      </c>
      <c r="M39" s="1">
        <v>45357</v>
      </c>
      <c r="N39" t="s">
        <v>1110</v>
      </c>
      <c r="Q39" t="b">
        <v>0</v>
      </c>
      <c r="R39" s="48">
        <v>24</v>
      </c>
      <c r="S39" s="185">
        <v>2.2117023291043365</v>
      </c>
      <c r="T39" s="72">
        <v>9.2154263712680679E-2</v>
      </c>
      <c r="U39" s="72">
        <v>0.2</v>
      </c>
      <c r="V39" s="185">
        <v>4</v>
      </c>
      <c r="W39" s="185">
        <v>0.36861705485072271</v>
      </c>
      <c r="X39" s="185">
        <v>20</v>
      </c>
      <c r="Y39" s="185">
        <v>1.8430852742536135</v>
      </c>
      <c r="Z39" s="192">
        <v>45427</v>
      </c>
      <c r="AB39" s="183">
        <v>1.8430852742536135</v>
      </c>
      <c r="AC39" s="195">
        <v>0</v>
      </c>
      <c r="AD39" s="31">
        <v>0</v>
      </c>
      <c r="AE39" t="b">
        <v>0</v>
      </c>
      <c r="AF39" s="78">
        <v>-6.71</v>
      </c>
    </row>
    <row r="40" spans="1:32" x14ac:dyDescent="0.25">
      <c r="A40" t="str">
        <f t="shared" si="0"/>
        <v>2024-39</v>
      </c>
      <c r="B40" s="1">
        <f t="shared" si="1"/>
        <v>45357</v>
      </c>
      <c r="C40" t="str">
        <f t="shared" si="3"/>
        <v>ISTmobil GmbH, Conrad-von-Hötzendorf-Straße 110, 8010 Graz</v>
      </c>
      <c r="D40" t="str">
        <f t="shared" si="6"/>
        <v>Ausgaben</v>
      </c>
      <c r="E40" t="str">
        <f t="shared" si="6"/>
        <v>Reise- und Fahrtspesen inkl. Kilometergeld und Diäten</v>
      </c>
      <c r="F40" s="117">
        <f t="shared" si="4"/>
        <v>6.6</v>
      </c>
      <c r="G40" t="str">
        <f t="shared" si="5"/>
        <v>10%</v>
      </c>
      <c r="I40" s="191">
        <v>2024</v>
      </c>
      <c r="J40" s="189">
        <v>39</v>
      </c>
      <c r="K40" s="71" t="s">
        <v>105</v>
      </c>
      <c r="L40" t="s">
        <v>689</v>
      </c>
      <c r="M40" s="1">
        <v>45357</v>
      </c>
      <c r="N40" t="s">
        <v>1784</v>
      </c>
      <c r="Q40" t="b">
        <v>0</v>
      </c>
      <c r="R40" s="48">
        <v>6.6</v>
      </c>
      <c r="S40" s="185">
        <v>6.6</v>
      </c>
      <c r="T40" s="72">
        <v>1</v>
      </c>
      <c r="U40" s="72">
        <v>0.1</v>
      </c>
      <c r="V40" s="185">
        <v>0.6</v>
      </c>
      <c r="W40" s="185">
        <v>0.6</v>
      </c>
      <c r="X40" s="185">
        <v>5.9999999999999991</v>
      </c>
      <c r="Y40" s="185">
        <v>5.9999999999999991</v>
      </c>
      <c r="Z40" s="192">
        <v>45427</v>
      </c>
      <c r="AB40" s="183">
        <v>5.9999999999999991</v>
      </c>
      <c r="AC40" s="195">
        <v>0</v>
      </c>
      <c r="AD40" s="31">
        <v>0</v>
      </c>
      <c r="AE40" t="b">
        <v>0</v>
      </c>
      <c r="AF40" s="78">
        <v>-31.92</v>
      </c>
    </row>
    <row r="41" spans="1:32" x14ac:dyDescent="0.25">
      <c r="A41" t="str">
        <f t="shared" si="0"/>
        <v>2024-40</v>
      </c>
      <c r="B41" s="1">
        <f t="shared" si="1"/>
        <v>45357</v>
      </c>
      <c r="C41" t="str">
        <f t="shared" si="3"/>
        <v>Wien Energie Vertrieb GmbH &amp; Co KG, 1030 Wien, Pf 520</v>
      </c>
      <c r="D41" t="str">
        <f t="shared" si="6"/>
        <v>Ausgaben</v>
      </c>
      <c r="E41" t="str">
        <f t="shared" si="6"/>
        <v>sonstige Betriebsausgaben</v>
      </c>
      <c r="F41" s="117">
        <f t="shared" si="4"/>
        <v>23.751839929306318</v>
      </c>
      <c r="G41" t="str">
        <f t="shared" si="5"/>
        <v>20%</v>
      </c>
      <c r="I41" s="191">
        <v>2024</v>
      </c>
      <c r="J41" s="189">
        <v>40</v>
      </c>
      <c r="K41" s="71" t="s">
        <v>105</v>
      </c>
      <c r="L41" t="s">
        <v>705</v>
      </c>
      <c r="M41" s="1">
        <v>45357</v>
      </c>
      <c r="N41" t="s">
        <v>1110</v>
      </c>
      <c r="Q41" t="b">
        <v>0</v>
      </c>
      <c r="R41" s="48">
        <v>257.74</v>
      </c>
      <c r="S41" s="185">
        <v>23.751839929306318</v>
      </c>
      <c r="T41" s="72">
        <v>9.2154263712680679E-2</v>
      </c>
      <c r="U41" s="72">
        <v>0.2</v>
      </c>
      <c r="V41" s="185">
        <v>42.956666666666678</v>
      </c>
      <c r="W41" s="185">
        <v>3.9586399882177208</v>
      </c>
      <c r="X41" s="185">
        <v>214.78333333333336</v>
      </c>
      <c r="Y41" s="185">
        <v>19.793199941088602</v>
      </c>
      <c r="Z41" s="192">
        <v>45427</v>
      </c>
      <c r="AB41" s="183">
        <v>19.793199941088602</v>
      </c>
      <c r="AC41" s="195">
        <v>0</v>
      </c>
      <c r="AD41" s="31">
        <v>0</v>
      </c>
      <c r="AE41" t="b">
        <v>0</v>
      </c>
      <c r="AF41" s="78">
        <v>-515.85</v>
      </c>
    </row>
    <row r="42" spans="1:32" x14ac:dyDescent="0.25">
      <c r="A42" t="str">
        <f t="shared" si="0"/>
        <v>2024-41</v>
      </c>
      <c r="B42" s="1">
        <f t="shared" si="1"/>
        <v>45364</v>
      </c>
      <c r="C42" t="str">
        <f t="shared" si="3"/>
        <v>Hetzner Online GmbH, Industriestraße 25, 91710 Gunzenhausen</v>
      </c>
      <c r="D42" t="str">
        <f t="shared" si="6"/>
        <v>Ausgaben</v>
      </c>
      <c r="E42" t="str">
        <f t="shared" si="6"/>
        <v>sonstige Betriebsausgaben</v>
      </c>
      <c r="F42" s="117">
        <f t="shared" si="4"/>
        <v>1.76</v>
      </c>
      <c r="G42" t="str">
        <f t="shared" si="5"/>
        <v>0%</v>
      </c>
      <c r="I42" s="191">
        <v>2024</v>
      </c>
      <c r="J42" s="189">
        <v>41</v>
      </c>
      <c r="K42" s="71" t="s">
        <v>105</v>
      </c>
      <c r="L42" t="s">
        <v>705</v>
      </c>
      <c r="M42" s="1">
        <v>45364</v>
      </c>
      <c r="N42" t="s">
        <v>1783</v>
      </c>
      <c r="Q42" t="b">
        <v>0</v>
      </c>
      <c r="R42" s="48">
        <v>1.76</v>
      </c>
      <c r="S42" s="185">
        <v>1.76</v>
      </c>
      <c r="T42" s="72">
        <v>1</v>
      </c>
      <c r="U42" s="72">
        <v>0</v>
      </c>
      <c r="V42" s="185">
        <v>0</v>
      </c>
      <c r="W42" s="185">
        <v>0</v>
      </c>
      <c r="X42" s="185">
        <v>1.76</v>
      </c>
      <c r="Y42" s="185">
        <v>1.76</v>
      </c>
      <c r="Z42" s="192">
        <v>45427</v>
      </c>
      <c r="AA42">
        <v>20</v>
      </c>
      <c r="AB42" s="183">
        <v>1.76</v>
      </c>
      <c r="AC42" s="195">
        <v>0.35200000000000004</v>
      </c>
      <c r="AD42" s="31">
        <v>0</v>
      </c>
      <c r="AE42" t="b">
        <v>0</v>
      </c>
      <c r="AF42" s="78">
        <v>-16.670000000000002</v>
      </c>
    </row>
    <row r="43" spans="1:32" x14ac:dyDescent="0.25">
      <c r="A43" t="str">
        <f t="shared" si="0"/>
        <v>2024-42</v>
      </c>
      <c r="B43" s="1">
        <f t="shared" si="1"/>
        <v>45366</v>
      </c>
      <c r="C43" t="str">
        <f t="shared" si="3"/>
        <v>Eva Jaros-Kolbitsch</v>
      </c>
      <c r="D43" t="str">
        <f t="shared" si="6"/>
        <v>Ausgaben</v>
      </c>
      <c r="E43" t="str">
        <f t="shared" si="6"/>
        <v>Personalaufwand</v>
      </c>
      <c r="F43" s="117">
        <f t="shared" si="4"/>
        <v>365</v>
      </c>
      <c r="G43" t="str">
        <f t="shared" si="5"/>
        <v>0%</v>
      </c>
      <c r="I43" s="191">
        <v>2024</v>
      </c>
      <c r="J43" s="189">
        <v>42</v>
      </c>
      <c r="K43" s="71" t="s">
        <v>105</v>
      </c>
      <c r="L43" t="s">
        <v>685</v>
      </c>
      <c r="M43" s="1">
        <v>45366</v>
      </c>
      <c r="N43" t="s">
        <v>1782</v>
      </c>
      <c r="Q43" t="b">
        <v>0</v>
      </c>
      <c r="R43" s="48">
        <v>365</v>
      </c>
      <c r="S43" s="185">
        <v>365</v>
      </c>
      <c r="T43" s="72">
        <v>1</v>
      </c>
      <c r="U43" s="72">
        <v>0</v>
      </c>
      <c r="V43" s="185">
        <v>0</v>
      </c>
      <c r="W43" s="185">
        <v>0</v>
      </c>
      <c r="X43" s="185">
        <v>365</v>
      </c>
      <c r="Y43" s="185">
        <v>365</v>
      </c>
      <c r="Z43" s="192">
        <v>45427</v>
      </c>
      <c r="AB43" s="183">
        <v>365</v>
      </c>
      <c r="AC43" s="195">
        <v>0</v>
      </c>
      <c r="AD43" s="31">
        <v>1.8719999999999999</v>
      </c>
      <c r="AE43" t="b">
        <v>0</v>
      </c>
      <c r="AF43" s="78">
        <v>-9.36</v>
      </c>
    </row>
    <row r="44" spans="1:32" x14ac:dyDescent="0.25">
      <c r="A44" t="str">
        <f t="shared" si="0"/>
        <v>2024-43</v>
      </c>
      <c r="B44" s="1">
        <f t="shared" si="1"/>
        <v>45366</v>
      </c>
      <c r="C44" t="str">
        <f t="shared" si="3"/>
        <v>Hays Österreich GmbH, Bahnhof City Wien West - Europaplatz 3/5, 1150 Wien</v>
      </c>
      <c r="D44" t="str">
        <f t="shared" si="6"/>
        <v>Einnahmen</v>
      </c>
      <c r="E44" t="str">
        <f t="shared" si="6"/>
        <v>Waren-/Leistungserlöse</v>
      </c>
      <c r="F44" s="117">
        <f t="shared" si="4"/>
        <v>22081.73</v>
      </c>
      <c r="G44" t="str">
        <f t="shared" si="5"/>
        <v>20%</v>
      </c>
      <c r="I44" s="191">
        <v>2024</v>
      </c>
      <c r="J44" s="189">
        <v>43</v>
      </c>
      <c r="K44" s="71" t="s">
        <v>708</v>
      </c>
      <c r="L44" t="s">
        <v>709</v>
      </c>
      <c r="M44" s="1">
        <v>45366</v>
      </c>
      <c r="N44" t="s">
        <v>1788</v>
      </c>
      <c r="R44" s="48">
        <v>22081.73</v>
      </c>
      <c r="S44" s="185">
        <v>22081.73</v>
      </c>
      <c r="T44" s="72">
        <v>1</v>
      </c>
      <c r="U44" s="72">
        <v>0.2</v>
      </c>
      <c r="V44" s="185">
        <v>3680.2883333333334</v>
      </c>
      <c r="W44" s="185">
        <v>3680.2883333333334</v>
      </c>
      <c r="X44" s="185">
        <v>18401.441666666666</v>
      </c>
      <c r="Y44" s="185">
        <v>18401.441666666666</v>
      </c>
      <c r="Z44" s="192">
        <v>45427</v>
      </c>
      <c r="AB44" s="183">
        <v>18401.441666666666</v>
      </c>
      <c r="AC44" s="195">
        <v>0</v>
      </c>
      <c r="AD44" s="31">
        <v>0</v>
      </c>
      <c r="AE44" t="b">
        <v>0</v>
      </c>
      <c r="AF44" s="78">
        <v>-122.6</v>
      </c>
    </row>
    <row r="45" spans="1:32" x14ac:dyDescent="0.25">
      <c r="A45" t="str">
        <f t="shared" si="0"/>
        <v>2024-44</v>
      </c>
      <c r="B45" s="1">
        <f t="shared" si="1"/>
        <v>45371</v>
      </c>
      <c r="C45" t="str">
        <f t="shared" si="3"/>
        <v>easyname</v>
      </c>
      <c r="D45" t="str">
        <f t="shared" si="6"/>
        <v>Ausgaben</v>
      </c>
      <c r="E45" t="str">
        <f t="shared" si="6"/>
        <v>sonstige Betriebsausgaben</v>
      </c>
      <c r="F45" s="117">
        <f t="shared" si="4"/>
        <v>23.9</v>
      </c>
      <c r="G45" t="str">
        <f t="shared" si="5"/>
        <v>20%</v>
      </c>
      <c r="I45" s="191">
        <v>2024</v>
      </c>
      <c r="J45" s="189">
        <v>44</v>
      </c>
      <c r="K45" s="71" t="s">
        <v>105</v>
      </c>
      <c r="L45" t="s">
        <v>705</v>
      </c>
      <c r="M45" s="1">
        <v>45371</v>
      </c>
      <c r="N45" t="s">
        <v>1796</v>
      </c>
      <c r="Q45" t="b">
        <v>0</v>
      </c>
      <c r="R45" s="48">
        <v>23.9</v>
      </c>
      <c r="S45" s="185">
        <v>23.9</v>
      </c>
      <c r="T45" s="72">
        <v>1</v>
      </c>
      <c r="U45" s="72">
        <v>0.2</v>
      </c>
      <c r="V45" s="185">
        <v>3.9833333333333338</v>
      </c>
      <c r="W45" s="185">
        <v>3.9833333333333338</v>
      </c>
      <c r="X45" s="185">
        <v>19.916666666666668</v>
      </c>
      <c r="Y45" s="185">
        <v>19.916666666666668</v>
      </c>
      <c r="Z45" s="192">
        <v>45427</v>
      </c>
      <c r="AB45" s="183">
        <v>19.916666666666668</v>
      </c>
      <c r="AC45" s="195">
        <v>0</v>
      </c>
      <c r="AD45" s="31">
        <v>0</v>
      </c>
      <c r="AE45" t="b">
        <v>0</v>
      </c>
      <c r="AF45" s="78">
        <v>-5</v>
      </c>
    </row>
    <row r="46" spans="1:32" x14ac:dyDescent="0.25">
      <c r="A46" t="str">
        <f t="shared" si="0"/>
        <v>2024-45</v>
      </c>
      <c r="B46" s="1">
        <f t="shared" si="1"/>
        <v>45371</v>
      </c>
      <c r="C46" t="str">
        <f t="shared" si="3"/>
        <v>Microsoft Ireland Operations Ltd. One Microsoft Place, South County, Business Park, Leopardstown, Dublin 18, D18 P521, Ireland</v>
      </c>
      <c r="D46" t="str">
        <f t="shared" si="6"/>
        <v>Ausgaben</v>
      </c>
      <c r="E46" t="str">
        <f t="shared" si="6"/>
        <v>sonstige Betriebsausgaben</v>
      </c>
      <c r="F46" s="117">
        <f t="shared" si="4"/>
        <v>11.7</v>
      </c>
      <c r="G46" t="str">
        <f t="shared" si="5"/>
        <v>0%</v>
      </c>
      <c r="I46" s="191">
        <v>2024</v>
      </c>
      <c r="J46" s="189">
        <v>45</v>
      </c>
      <c r="K46" s="71" t="s">
        <v>105</v>
      </c>
      <c r="L46" t="s">
        <v>705</v>
      </c>
      <c r="M46" s="1">
        <v>45371</v>
      </c>
      <c r="N46" t="s">
        <v>1032</v>
      </c>
      <c r="Q46" t="b">
        <v>0</v>
      </c>
      <c r="R46" s="48">
        <v>11.7</v>
      </c>
      <c r="S46" s="185">
        <v>11.7</v>
      </c>
      <c r="T46" s="72">
        <v>1</v>
      </c>
      <c r="U46" s="72">
        <v>0</v>
      </c>
      <c r="V46" s="185">
        <v>0</v>
      </c>
      <c r="W46" s="185">
        <v>0</v>
      </c>
      <c r="X46" s="185">
        <v>11.7</v>
      </c>
      <c r="Y46" s="185">
        <v>11.7</v>
      </c>
      <c r="Z46" s="192">
        <v>45427</v>
      </c>
      <c r="AA46">
        <v>20</v>
      </c>
      <c r="AB46" s="183">
        <v>11.7</v>
      </c>
      <c r="AC46" s="195">
        <v>2.34</v>
      </c>
      <c r="AD46" s="31">
        <v>0</v>
      </c>
      <c r="AE46" t="b">
        <v>0</v>
      </c>
      <c r="AF46" s="78">
        <v>-15</v>
      </c>
    </row>
    <row r="47" spans="1:32" x14ac:dyDescent="0.25">
      <c r="A47" t="str">
        <f t="shared" si="0"/>
        <v>2024-46</v>
      </c>
      <c r="B47" s="1">
        <f t="shared" si="1"/>
        <v>45376</v>
      </c>
      <c r="C47" t="str">
        <f t="shared" si="3"/>
        <v>OpenAI, LLC, 548 Market Street, PMB 97273, San Francisco, California 94104-5401, United States</v>
      </c>
      <c r="D47" t="str">
        <f t="shared" si="6"/>
        <v>Ausgaben</v>
      </c>
      <c r="E47" t="str">
        <f t="shared" si="6"/>
        <v>sonstige Betriebsausgaben</v>
      </c>
      <c r="F47" s="117">
        <f t="shared" si="4"/>
        <v>22.55</v>
      </c>
      <c r="G47" t="str">
        <f t="shared" si="5"/>
        <v>20%</v>
      </c>
      <c r="I47" s="191">
        <v>2024</v>
      </c>
      <c r="J47" s="189">
        <v>46</v>
      </c>
      <c r="K47" s="71" t="s">
        <v>105</v>
      </c>
      <c r="L47" t="s">
        <v>705</v>
      </c>
      <c r="M47" s="1">
        <v>45376</v>
      </c>
      <c r="N47" t="s">
        <v>1794</v>
      </c>
      <c r="Q47" t="b">
        <v>0</v>
      </c>
      <c r="R47" s="48">
        <v>22.55</v>
      </c>
      <c r="S47" s="185">
        <v>22.55</v>
      </c>
      <c r="T47" s="72">
        <v>1</v>
      </c>
      <c r="U47" s="72">
        <v>0.2</v>
      </c>
      <c r="V47" s="185">
        <v>3.7050000000000005</v>
      </c>
      <c r="W47" s="185">
        <v>3.7050000000000005</v>
      </c>
      <c r="X47" s="185">
        <v>18.525000000000002</v>
      </c>
      <c r="Y47" s="185">
        <v>18.525000000000002</v>
      </c>
      <c r="Z47" s="192">
        <v>45427</v>
      </c>
      <c r="AB47" s="183">
        <v>18.525000000000002</v>
      </c>
      <c r="AC47" s="195">
        <v>0</v>
      </c>
      <c r="AD47" s="31">
        <v>10.442820000000001</v>
      </c>
      <c r="AE47" t="b">
        <v>0</v>
      </c>
      <c r="AF47" s="78">
        <v>-52.214100000000002</v>
      </c>
    </row>
    <row r="48" spans="1:32" x14ac:dyDescent="0.25">
      <c r="A48" t="str">
        <f t="shared" si="0"/>
        <v>2024-47</v>
      </c>
      <c r="B48" s="1">
        <f t="shared" si="1"/>
        <v>45380</v>
      </c>
      <c r="C48" t="str">
        <f t="shared" si="3"/>
        <v>aap.architekten ZT-GmbH, Albertplatz 1/6, 1080 Wien</v>
      </c>
      <c r="D48" t="str">
        <f t="shared" si="6"/>
        <v>Ausgaben</v>
      </c>
      <c r="E48" t="str">
        <f t="shared" si="6"/>
        <v>sonstige Betriebsausgaben</v>
      </c>
      <c r="F48" s="117">
        <f t="shared" si="4"/>
        <v>2941.5640977087673</v>
      </c>
      <c r="G48" t="str">
        <f t="shared" si="5"/>
        <v>20%</v>
      </c>
      <c r="I48" s="191">
        <v>2024</v>
      </c>
      <c r="J48" s="189">
        <v>47</v>
      </c>
      <c r="K48" s="71" t="s">
        <v>105</v>
      </c>
      <c r="L48" t="s">
        <v>705</v>
      </c>
      <c r="M48" s="1">
        <v>45380</v>
      </c>
      <c r="N48" t="s">
        <v>1797</v>
      </c>
      <c r="Q48" t="b">
        <v>1</v>
      </c>
      <c r="R48" s="48">
        <v>31920</v>
      </c>
      <c r="S48" s="185">
        <v>2941.5640977087673</v>
      </c>
      <c r="T48" s="72">
        <v>9.2154263712680679E-2</v>
      </c>
      <c r="U48" s="72">
        <v>0.2</v>
      </c>
      <c r="V48" s="185">
        <v>5320</v>
      </c>
      <c r="W48" s="185">
        <v>490.26068295146121</v>
      </c>
      <c r="X48" s="185">
        <v>26600</v>
      </c>
      <c r="Y48" s="185">
        <v>2451.3034147573062</v>
      </c>
      <c r="Z48" s="192">
        <v>45427</v>
      </c>
      <c r="AB48" s="183">
        <v>2451.3034147573062</v>
      </c>
      <c r="AC48" s="195">
        <v>0</v>
      </c>
      <c r="AD48" s="31">
        <v>0</v>
      </c>
      <c r="AE48" t="b">
        <v>0</v>
      </c>
      <c r="AF48" s="78">
        <v>-12</v>
      </c>
    </row>
    <row r="49" spans="1:32" x14ac:dyDescent="0.25">
      <c r="A49" t="str">
        <f t="shared" si="0"/>
        <v>2024-48</v>
      </c>
      <c r="B49" s="1">
        <f t="shared" si="1"/>
        <v>45380</v>
      </c>
      <c r="C49" t="str">
        <f t="shared" si="3"/>
        <v>aap.architekten ZT-GmbH, Albertplatz 1/6, 1080 Wien</v>
      </c>
      <c r="D49" t="str">
        <f t="shared" si="6"/>
        <v>Ausgaben</v>
      </c>
      <c r="E49" t="str">
        <f t="shared" si="6"/>
        <v>sonstige Betriebsausgaben</v>
      </c>
      <c r="F49" s="117">
        <f t="shared" si="4"/>
        <v>1105.851164552168</v>
      </c>
      <c r="G49" t="str">
        <f t="shared" si="5"/>
        <v>20%</v>
      </c>
      <c r="I49" s="191">
        <v>2024</v>
      </c>
      <c r="J49" s="189">
        <v>48</v>
      </c>
      <c r="K49" s="71" t="s">
        <v>105</v>
      </c>
      <c r="L49" t="s">
        <v>705</v>
      </c>
      <c r="M49" s="1">
        <v>45380</v>
      </c>
      <c r="N49" t="s">
        <v>1797</v>
      </c>
      <c r="Q49" t="b">
        <v>1</v>
      </c>
      <c r="R49" s="48">
        <v>12000</v>
      </c>
      <c r="S49" s="185">
        <v>1105.851164552168</v>
      </c>
      <c r="T49" s="72">
        <v>9.2154263712680679E-2</v>
      </c>
      <c r="U49" s="72">
        <v>0.2</v>
      </c>
      <c r="V49" s="185">
        <v>2000</v>
      </c>
      <c r="W49" s="185">
        <v>184.30852742536135</v>
      </c>
      <c r="X49" s="185">
        <v>10000</v>
      </c>
      <c r="Y49" s="185">
        <v>921.54263712680677</v>
      </c>
      <c r="Z49" s="192">
        <v>45427</v>
      </c>
      <c r="AB49" s="183">
        <v>921.54263712680677</v>
      </c>
      <c r="AC49" s="195">
        <v>0</v>
      </c>
      <c r="AD49" s="31">
        <v>0</v>
      </c>
      <c r="AE49" t="b">
        <v>0</v>
      </c>
      <c r="AF49" s="78">
        <v>-365</v>
      </c>
    </row>
    <row r="50" spans="1:32" x14ac:dyDescent="0.25">
      <c r="A50" t="str">
        <f t="shared" si="0"/>
        <v>2024-49</v>
      </c>
      <c r="B50" s="1">
        <f t="shared" si="1"/>
        <v>45384</v>
      </c>
      <c r="C50" t="str">
        <f t="shared" si="3"/>
        <v>TeamViewer Germany Gmbh, Bahnhofsplatz 2, 73033 Göppingen</v>
      </c>
      <c r="D50" t="str">
        <f t="shared" si="6"/>
        <v>Ausgaben</v>
      </c>
      <c r="E50" t="str">
        <f t="shared" si="6"/>
        <v>sonstige Betriebsausgaben</v>
      </c>
      <c r="F50" s="117">
        <f t="shared" si="4"/>
        <v>394.8</v>
      </c>
      <c r="G50" t="str">
        <f t="shared" si="5"/>
        <v>0%</v>
      </c>
      <c r="I50" s="191">
        <v>2024</v>
      </c>
      <c r="J50" s="189">
        <v>49</v>
      </c>
      <c r="K50" s="71" t="s">
        <v>105</v>
      </c>
      <c r="L50" t="s">
        <v>705</v>
      </c>
      <c r="M50" s="1">
        <v>45384</v>
      </c>
      <c r="N50" t="s">
        <v>1798</v>
      </c>
      <c r="P50" t="s">
        <v>958</v>
      </c>
      <c r="Q50" t="b">
        <v>0</v>
      </c>
      <c r="R50" s="48">
        <v>394.8</v>
      </c>
      <c r="S50" s="185">
        <v>394.8</v>
      </c>
      <c r="T50" s="72">
        <v>1</v>
      </c>
      <c r="U50" s="72">
        <v>0</v>
      </c>
      <c r="V50" s="185">
        <v>0</v>
      </c>
      <c r="W50" s="185">
        <v>0</v>
      </c>
      <c r="X50" s="185">
        <v>394.8</v>
      </c>
      <c r="Y50" s="185">
        <v>394.8</v>
      </c>
      <c r="Z50" s="192">
        <v>45519</v>
      </c>
      <c r="AA50">
        <v>20</v>
      </c>
      <c r="AB50" s="183">
        <v>394.8</v>
      </c>
      <c r="AC50" s="195">
        <v>78.960000000000008</v>
      </c>
      <c r="AD50" s="31">
        <v>0</v>
      </c>
      <c r="AE50" t="b">
        <v>0</v>
      </c>
      <c r="AF50" s="78">
        <v>103.42</v>
      </c>
    </row>
    <row r="51" spans="1:32" x14ac:dyDescent="0.25">
      <c r="A51" t="str">
        <f t="shared" si="0"/>
        <v>2024-50</v>
      </c>
      <c r="B51" s="1">
        <f t="shared" si="1"/>
        <v>45385</v>
      </c>
      <c r="C51" t="str">
        <f t="shared" si="3"/>
        <v>muki POL 3000081716, ReNr 9001577939</v>
      </c>
      <c r="D51" t="str">
        <f t="shared" si="6"/>
        <v>Ausgaben</v>
      </c>
      <c r="E51" t="str">
        <f t="shared" si="6"/>
        <v>sonstige Betriebsausgaben</v>
      </c>
      <c r="F51" s="117">
        <f t="shared" si="4"/>
        <v>3.5460960676639521</v>
      </c>
      <c r="G51" t="str">
        <f t="shared" si="5"/>
        <v>0%</v>
      </c>
      <c r="I51" s="191">
        <v>2024</v>
      </c>
      <c r="J51" s="189">
        <v>50</v>
      </c>
      <c r="K51" s="71" t="s">
        <v>105</v>
      </c>
      <c r="L51" t="s">
        <v>705</v>
      </c>
      <c r="M51" s="1">
        <v>45385</v>
      </c>
      <c r="N51" t="s">
        <v>1799</v>
      </c>
      <c r="Q51" t="b">
        <v>0</v>
      </c>
      <c r="R51" s="48">
        <v>38.479999999999997</v>
      </c>
      <c r="S51" s="185">
        <v>3.5460960676639521</v>
      </c>
      <c r="T51" s="72">
        <v>9.2154263712680679E-2</v>
      </c>
      <c r="U51" s="72">
        <v>0</v>
      </c>
      <c r="V51" s="185">
        <v>0</v>
      </c>
      <c r="W51" s="185">
        <v>0</v>
      </c>
      <c r="X51" s="185">
        <v>38.479999999999997</v>
      </c>
      <c r="Y51" s="185">
        <v>3.5460960676639521</v>
      </c>
      <c r="Z51" s="192">
        <v>45519</v>
      </c>
      <c r="AB51" s="183">
        <v>3.5460960676639521</v>
      </c>
      <c r="AC51" s="195">
        <v>0</v>
      </c>
      <c r="AD51" s="31">
        <v>0</v>
      </c>
      <c r="AE51" t="b">
        <v>0</v>
      </c>
      <c r="AF51" s="78">
        <v>13075.88</v>
      </c>
    </row>
    <row r="52" spans="1:32" x14ac:dyDescent="0.25">
      <c r="A52" t="str">
        <f t="shared" si="0"/>
        <v>2024-51</v>
      </c>
      <c r="B52" s="1">
        <f t="shared" si="1"/>
        <v>45385</v>
      </c>
      <c r="C52" t="str">
        <f t="shared" si="3"/>
        <v>Google Ireland Ltd, Gordon House, Barrow Street, Dublin 4, Ireland; VAT number: IE 6388047V</v>
      </c>
      <c r="D52" t="str">
        <f t="shared" si="6"/>
        <v>Ausgaben</v>
      </c>
      <c r="E52" t="str">
        <f t="shared" si="6"/>
        <v>sonstige Betriebsausgaben</v>
      </c>
      <c r="F52" s="117">
        <f t="shared" si="4"/>
        <v>12.56</v>
      </c>
      <c r="G52" t="str">
        <f t="shared" si="5"/>
        <v>0%</v>
      </c>
      <c r="I52" s="191">
        <v>2024</v>
      </c>
      <c r="J52" s="189">
        <v>51</v>
      </c>
      <c r="K52" s="71" t="s">
        <v>105</v>
      </c>
      <c r="L52" t="s">
        <v>705</v>
      </c>
      <c r="M52" s="1">
        <v>45385</v>
      </c>
      <c r="N52" t="s">
        <v>1404</v>
      </c>
      <c r="Q52" t="b">
        <v>0</v>
      </c>
      <c r="R52" s="48">
        <v>12.56</v>
      </c>
      <c r="S52" s="185">
        <v>12.56</v>
      </c>
      <c r="T52" s="72">
        <v>1</v>
      </c>
      <c r="U52" s="72">
        <v>0</v>
      </c>
      <c r="V52" s="185">
        <v>0</v>
      </c>
      <c r="W52" s="185">
        <v>0</v>
      </c>
      <c r="X52" s="185">
        <v>12.56</v>
      </c>
      <c r="Y52" s="185">
        <v>12.56</v>
      </c>
      <c r="Z52" s="192">
        <v>45519</v>
      </c>
      <c r="AA52">
        <v>20</v>
      </c>
      <c r="AB52" s="183">
        <v>12.56</v>
      </c>
      <c r="AC52" s="195">
        <v>2.5120000000000005</v>
      </c>
      <c r="AD52" s="31">
        <v>0</v>
      </c>
      <c r="AE52" t="b">
        <v>0</v>
      </c>
      <c r="AF52" s="78">
        <v>31.28</v>
      </c>
    </row>
    <row r="53" spans="1:32" x14ac:dyDescent="0.25">
      <c r="A53" t="str">
        <f t="shared" si="0"/>
        <v>2024-52</v>
      </c>
      <c r="B53" s="1">
        <f t="shared" si="1"/>
        <v>45385</v>
      </c>
      <c r="C53" t="str">
        <f t="shared" si="3"/>
        <v>Google Ireland Ltd, Gordon House, Barrow Street, Dublin 4, Ireland; VAT number: IE 6388047V</v>
      </c>
      <c r="D53" t="str">
        <f t="shared" si="6"/>
        <v>Ausgaben</v>
      </c>
      <c r="E53" t="str">
        <f t="shared" si="6"/>
        <v>sonstige Betriebsausgaben</v>
      </c>
      <c r="F53" s="117">
        <f t="shared" si="4"/>
        <v>11.59</v>
      </c>
      <c r="G53" t="str">
        <f t="shared" si="5"/>
        <v>0%</v>
      </c>
      <c r="I53" s="191">
        <v>2024</v>
      </c>
      <c r="J53" s="189">
        <v>52</v>
      </c>
      <c r="K53" s="71" t="s">
        <v>105</v>
      </c>
      <c r="L53" t="s">
        <v>705</v>
      </c>
      <c r="M53" s="1">
        <v>45385</v>
      </c>
      <c r="N53" t="s">
        <v>1404</v>
      </c>
      <c r="Q53" t="b">
        <v>0</v>
      </c>
      <c r="R53" s="48">
        <v>11.59</v>
      </c>
      <c r="S53" s="185">
        <v>11.59</v>
      </c>
      <c r="T53" s="72">
        <v>1</v>
      </c>
      <c r="U53" s="72">
        <v>0</v>
      </c>
      <c r="V53" s="185">
        <v>0</v>
      </c>
      <c r="W53" s="185">
        <v>0</v>
      </c>
      <c r="X53" s="185">
        <v>11.59</v>
      </c>
      <c r="Y53" s="185">
        <v>11.59</v>
      </c>
      <c r="Z53" s="192">
        <v>45519</v>
      </c>
      <c r="AA53">
        <v>20</v>
      </c>
      <c r="AB53" s="183">
        <v>11.59</v>
      </c>
      <c r="AC53" s="195">
        <v>2.3180000000000001</v>
      </c>
      <c r="AD53" s="31">
        <v>0</v>
      </c>
      <c r="AE53" t="b">
        <v>0</v>
      </c>
      <c r="AF53" s="78">
        <v>6.71</v>
      </c>
    </row>
    <row r="54" spans="1:32" x14ac:dyDescent="0.25">
      <c r="A54" t="str">
        <f t="shared" si="0"/>
        <v>2024-53</v>
      </c>
      <c r="B54" s="1">
        <f t="shared" si="1"/>
        <v>45386</v>
      </c>
      <c r="C54" t="str">
        <f t="shared" si="3"/>
        <v>Hutchison Drei Austria GmbH, Brünner Straße 52, 1210 Wien, Österreich</v>
      </c>
      <c r="D54" t="str">
        <f t="shared" si="6"/>
        <v>Ausgaben</v>
      </c>
      <c r="E54" t="str">
        <f t="shared" si="6"/>
        <v>Telefon/Internet</v>
      </c>
      <c r="F54" s="117">
        <f t="shared" si="4"/>
        <v>12.9</v>
      </c>
      <c r="G54" t="str">
        <f t="shared" si="5"/>
        <v>20%</v>
      </c>
      <c r="I54" s="191">
        <v>2024</v>
      </c>
      <c r="J54" s="189">
        <v>53</v>
      </c>
      <c r="K54" s="71" t="s">
        <v>105</v>
      </c>
      <c r="L54" t="s">
        <v>703</v>
      </c>
      <c r="M54" s="1">
        <v>45386</v>
      </c>
      <c r="N54" t="s">
        <v>34</v>
      </c>
      <c r="Q54" t="b">
        <v>0</v>
      </c>
      <c r="R54" s="48">
        <v>12.9</v>
      </c>
      <c r="S54" s="185">
        <v>12.9</v>
      </c>
      <c r="T54" s="72">
        <v>1</v>
      </c>
      <c r="U54" s="72">
        <v>0.2</v>
      </c>
      <c r="V54" s="185">
        <v>2.15</v>
      </c>
      <c r="W54" s="185">
        <v>2.15</v>
      </c>
      <c r="X54" s="185">
        <v>10.75</v>
      </c>
      <c r="Y54" s="185">
        <v>10.75</v>
      </c>
      <c r="Z54" s="192"/>
      <c r="AB54" s="183">
        <v>10.75</v>
      </c>
      <c r="AC54" s="195">
        <v>0</v>
      </c>
      <c r="AD54" s="31">
        <v>0</v>
      </c>
      <c r="AE54" t="b">
        <v>0</v>
      </c>
      <c r="AF54" s="78">
        <v>40.71</v>
      </c>
    </row>
    <row r="55" spans="1:32" x14ac:dyDescent="0.25">
      <c r="A55" t="str">
        <f t="shared" si="0"/>
        <v>2024-54</v>
      </c>
      <c r="B55" s="1">
        <f t="shared" si="1"/>
        <v>45390</v>
      </c>
      <c r="C55" t="str">
        <f t="shared" si="3"/>
        <v>Wiener Netze GmbH</v>
      </c>
      <c r="D55" t="str">
        <f t="shared" si="6"/>
        <v>Ausgaben</v>
      </c>
      <c r="E55" t="str">
        <f t="shared" si="6"/>
        <v>sonstige Betriebsausgaben</v>
      </c>
      <c r="F55" s="117">
        <f t="shared" si="4"/>
        <v>24</v>
      </c>
      <c r="G55" t="str">
        <f t="shared" si="5"/>
        <v>20%</v>
      </c>
      <c r="I55" s="191">
        <v>2024</v>
      </c>
      <c r="J55" s="189">
        <v>54</v>
      </c>
      <c r="K55" s="71" t="s">
        <v>105</v>
      </c>
      <c r="L55" t="s">
        <v>705</v>
      </c>
      <c r="M55" s="1">
        <v>45390</v>
      </c>
      <c r="N55" t="s">
        <v>1800</v>
      </c>
      <c r="Q55" t="b">
        <v>0</v>
      </c>
      <c r="R55" s="48">
        <v>24</v>
      </c>
      <c r="S55" s="185">
        <v>24</v>
      </c>
      <c r="T55" s="72">
        <v>1</v>
      </c>
      <c r="U55" s="72">
        <v>0.2</v>
      </c>
      <c r="V55" s="185">
        <v>4</v>
      </c>
      <c r="W55" s="185">
        <v>4</v>
      </c>
      <c r="X55" s="185">
        <v>20</v>
      </c>
      <c r="Y55" s="185">
        <v>20</v>
      </c>
      <c r="Z55" s="192"/>
      <c r="AB55" s="183">
        <v>20</v>
      </c>
      <c r="AC55" s="195">
        <v>0</v>
      </c>
      <c r="AD55" s="31">
        <v>0</v>
      </c>
      <c r="AE55" t="b">
        <v>0</v>
      </c>
      <c r="AF55" s="78">
        <v>-331.82</v>
      </c>
    </row>
    <row r="56" spans="1:32" x14ac:dyDescent="0.25">
      <c r="A56" t="str">
        <f t="shared" si="0"/>
        <v>2024-55</v>
      </c>
      <c r="B56" s="1">
        <f t="shared" si="1"/>
        <v>45397</v>
      </c>
      <c r="C56" t="str">
        <f t="shared" si="3"/>
        <v>kabelplus GmbH, Südstadtzentrum 4, 2344 Maria Enzersdorf</v>
      </c>
      <c r="D56" t="str">
        <f t="shared" si="6"/>
        <v>Ausgaben</v>
      </c>
      <c r="E56" t="str">
        <f t="shared" si="6"/>
        <v>Telefon/Internet</v>
      </c>
      <c r="F56" s="117">
        <f t="shared" si="4"/>
        <v>1.2729999999999999</v>
      </c>
      <c r="G56" t="str">
        <f t="shared" si="5"/>
        <v>20%</v>
      </c>
      <c r="I56" s="191">
        <v>2024</v>
      </c>
      <c r="J56" s="189">
        <v>55</v>
      </c>
      <c r="K56" s="71" t="s">
        <v>105</v>
      </c>
      <c r="L56" t="s">
        <v>703</v>
      </c>
      <c r="M56" s="1">
        <v>45397</v>
      </c>
      <c r="N56" t="s">
        <v>1781</v>
      </c>
      <c r="Q56" t="b">
        <v>0</v>
      </c>
      <c r="R56" s="48">
        <v>1.9</v>
      </c>
      <c r="S56" s="185">
        <v>1.2729999999999999</v>
      </c>
      <c r="T56" s="72">
        <v>0.67</v>
      </c>
      <c r="U56" s="72">
        <v>0.2</v>
      </c>
      <c r="V56" s="185">
        <v>0.31666666666666665</v>
      </c>
      <c r="W56" s="185">
        <v>0.21216666666666667</v>
      </c>
      <c r="X56" s="185">
        <v>1.5833333333333333</v>
      </c>
      <c r="Y56" s="185">
        <v>1.0608333333333333</v>
      </c>
      <c r="Z56" s="192">
        <v>45519</v>
      </c>
      <c r="AB56" s="183">
        <v>1.0608333333333333</v>
      </c>
      <c r="AC56" s="195">
        <v>0</v>
      </c>
      <c r="AD56" s="31">
        <v>2.1</v>
      </c>
      <c r="AE56" t="b">
        <v>0</v>
      </c>
      <c r="AF56" s="78">
        <v>-10.5</v>
      </c>
    </row>
    <row r="57" spans="1:32" x14ac:dyDescent="0.25">
      <c r="A57" t="str">
        <f t="shared" si="0"/>
        <v>2024-56</v>
      </c>
      <c r="B57" s="1">
        <f t="shared" si="1"/>
        <v>45393</v>
      </c>
      <c r="C57" t="str">
        <f t="shared" si="3"/>
        <v>Hetzner Online GmbH, Industriestraße 25, 91710 Gunzenhausen</v>
      </c>
      <c r="D57" t="str">
        <f t="shared" si="6"/>
        <v>Ausgaben</v>
      </c>
      <c r="E57" t="str">
        <f t="shared" si="6"/>
        <v>sonstige Betriebsausgaben</v>
      </c>
      <c r="F57" s="117">
        <f t="shared" si="4"/>
        <v>8.39</v>
      </c>
      <c r="G57" t="str">
        <f t="shared" si="5"/>
        <v>0%</v>
      </c>
      <c r="I57" s="191">
        <v>2024</v>
      </c>
      <c r="J57" s="189">
        <v>56</v>
      </c>
      <c r="K57" s="71" t="s">
        <v>105</v>
      </c>
      <c r="L57" t="s">
        <v>705</v>
      </c>
      <c r="M57" s="1">
        <v>45393</v>
      </c>
      <c r="N57" t="s">
        <v>1783</v>
      </c>
      <c r="Q57" t="b">
        <v>0</v>
      </c>
      <c r="R57" s="48">
        <v>8.39</v>
      </c>
      <c r="S57" s="185">
        <v>8.39</v>
      </c>
      <c r="T57" s="72">
        <v>1</v>
      </c>
      <c r="U57" s="72">
        <v>0</v>
      </c>
      <c r="V57" s="185">
        <v>0</v>
      </c>
      <c r="W57" s="185">
        <v>0</v>
      </c>
      <c r="X57" s="185">
        <v>8.39</v>
      </c>
      <c r="Y57" s="185">
        <v>8.39</v>
      </c>
      <c r="Z57" s="192">
        <v>45519</v>
      </c>
      <c r="AA57">
        <v>20</v>
      </c>
      <c r="AB57" s="183">
        <v>8.39</v>
      </c>
      <c r="AC57" s="195">
        <v>1.6780000000000002</v>
      </c>
      <c r="AD57" s="31">
        <v>0</v>
      </c>
      <c r="AE57" t="b">
        <v>0</v>
      </c>
      <c r="AF57" s="78">
        <v>-31.92</v>
      </c>
    </row>
    <row r="58" spans="1:32" x14ac:dyDescent="0.25">
      <c r="A58" t="str">
        <f t="shared" si="0"/>
        <v>2024-57</v>
      </c>
      <c r="B58" s="1">
        <f t="shared" si="1"/>
        <v>45393</v>
      </c>
      <c r="C58" t="str">
        <f t="shared" si="3"/>
        <v>Hays Österreich GmbH, Bahnhof City Wien West - Europaplatz 3/5, 1150 Wien</v>
      </c>
      <c r="D58" t="str">
        <f t="shared" si="6"/>
        <v>Einnahmen</v>
      </c>
      <c r="E58" t="str">
        <f t="shared" si="6"/>
        <v>Waren-/Leistungserlöse</v>
      </c>
      <c r="F58" s="117">
        <f t="shared" si="4"/>
        <v>24409.919999999998</v>
      </c>
      <c r="G58" t="str">
        <f t="shared" si="5"/>
        <v>20%</v>
      </c>
      <c r="I58" s="191">
        <v>2024</v>
      </c>
      <c r="J58" s="189">
        <v>57</v>
      </c>
      <c r="K58" s="71" t="s">
        <v>708</v>
      </c>
      <c r="L58" t="s">
        <v>709</v>
      </c>
      <c r="M58" s="1">
        <v>45393</v>
      </c>
      <c r="N58" t="s">
        <v>1788</v>
      </c>
      <c r="R58" s="48">
        <v>24409.919999999998</v>
      </c>
      <c r="S58" s="185">
        <v>24409.919999999998</v>
      </c>
      <c r="T58" s="72">
        <v>1</v>
      </c>
      <c r="U58" s="72">
        <v>0.2</v>
      </c>
      <c r="V58" s="185">
        <v>4068.3199999999997</v>
      </c>
      <c r="W58" s="185">
        <v>4068.3199999999997</v>
      </c>
      <c r="X58" s="185">
        <v>20341.599999999999</v>
      </c>
      <c r="Y58" s="185">
        <v>20341.599999999999</v>
      </c>
      <c r="Z58" s="192">
        <v>45519</v>
      </c>
      <c r="AB58" s="183">
        <v>20341.599999999999</v>
      </c>
      <c r="AC58" s="195">
        <v>0</v>
      </c>
      <c r="AD58" s="31">
        <v>0</v>
      </c>
      <c r="AE58" t="b">
        <v>0</v>
      </c>
      <c r="AF58" s="78">
        <v>-15.75</v>
      </c>
    </row>
    <row r="59" spans="1:32" x14ac:dyDescent="0.25">
      <c r="A59" t="str">
        <f t="shared" si="0"/>
        <v>2024-58</v>
      </c>
      <c r="B59" s="1">
        <f t="shared" si="1"/>
        <v>45394</v>
      </c>
      <c r="C59" t="str">
        <f t="shared" si="3"/>
        <v>OnTheGoSystems Limited, 22/F 3 Lockhart Road, Wanchai, Hong Kong</v>
      </c>
      <c r="D59" t="str">
        <f t="shared" si="6"/>
        <v>Ausgaben</v>
      </c>
      <c r="E59" t="str">
        <f t="shared" si="6"/>
        <v>Lizenzgebühren</v>
      </c>
      <c r="F59" s="117">
        <f t="shared" si="4"/>
        <v>46.8</v>
      </c>
      <c r="G59" t="str">
        <f t="shared" si="5"/>
        <v>20%</v>
      </c>
      <c r="I59" s="191">
        <v>2024</v>
      </c>
      <c r="J59" s="189">
        <v>58</v>
      </c>
      <c r="K59" s="71" t="s">
        <v>105</v>
      </c>
      <c r="L59" t="s">
        <v>692</v>
      </c>
      <c r="M59" s="1">
        <v>45394</v>
      </c>
      <c r="N59" t="s">
        <v>1801</v>
      </c>
      <c r="P59" t="s">
        <v>958</v>
      </c>
      <c r="Q59" t="b">
        <v>0</v>
      </c>
      <c r="R59" s="48">
        <v>46.8</v>
      </c>
      <c r="S59" s="185">
        <v>46.8</v>
      </c>
      <c r="T59" s="72">
        <v>1</v>
      </c>
      <c r="U59" s="72">
        <v>0.2</v>
      </c>
      <c r="V59" s="185">
        <v>7.8000000000000007</v>
      </c>
      <c r="W59" s="185">
        <v>7.8000000000000007</v>
      </c>
      <c r="X59" s="185">
        <v>39</v>
      </c>
      <c r="Y59" s="185">
        <v>39</v>
      </c>
      <c r="Z59" s="192"/>
      <c r="AB59" s="183">
        <v>39</v>
      </c>
      <c r="AC59" s="195">
        <v>0</v>
      </c>
      <c r="AD59" s="31">
        <v>0</v>
      </c>
      <c r="AE59" t="b">
        <v>0</v>
      </c>
      <c r="AF59" s="78">
        <v>-65</v>
      </c>
    </row>
    <row r="60" spans="1:32" x14ac:dyDescent="0.25">
      <c r="A60" t="str">
        <f t="shared" si="0"/>
        <v>2024-59</v>
      </c>
      <c r="B60" s="1">
        <f t="shared" si="1"/>
        <v>45397</v>
      </c>
      <c r="C60" t="str">
        <f t="shared" si="3"/>
        <v>Eva Jaros-Kolbitsch</v>
      </c>
      <c r="D60" t="str">
        <f t="shared" si="6"/>
        <v>Ausgaben</v>
      </c>
      <c r="E60" t="str">
        <f t="shared" si="6"/>
        <v>Personalaufwand</v>
      </c>
      <c r="F60" s="117">
        <f t="shared" si="4"/>
        <v>365</v>
      </c>
      <c r="G60" t="str">
        <f t="shared" si="5"/>
        <v>0%</v>
      </c>
      <c r="I60" s="191">
        <v>2024</v>
      </c>
      <c r="J60" s="189">
        <v>59</v>
      </c>
      <c r="K60" s="71" t="s">
        <v>105</v>
      </c>
      <c r="L60" t="s">
        <v>685</v>
      </c>
      <c r="M60" s="1">
        <v>45397</v>
      </c>
      <c r="N60" t="s">
        <v>1782</v>
      </c>
      <c r="Q60" t="b">
        <v>0</v>
      </c>
      <c r="R60" s="48">
        <v>365</v>
      </c>
      <c r="S60" s="185">
        <v>365</v>
      </c>
      <c r="T60" s="72">
        <v>1</v>
      </c>
      <c r="U60" s="72">
        <v>0</v>
      </c>
      <c r="V60" s="185">
        <v>0</v>
      </c>
      <c r="W60" s="185">
        <v>0</v>
      </c>
      <c r="X60" s="185">
        <v>365</v>
      </c>
      <c r="Y60" s="185">
        <v>365</v>
      </c>
      <c r="Z60" s="192">
        <v>45519</v>
      </c>
      <c r="AB60" s="183">
        <v>365</v>
      </c>
      <c r="AC60" s="195">
        <v>0</v>
      </c>
      <c r="AD60" s="31">
        <v>1.8719999999999999</v>
      </c>
      <c r="AE60" t="b">
        <v>0</v>
      </c>
      <c r="AF60" s="78">
        <v>-9.36</v>
      </c>
    </row>
    <row r="61" spans="1:32" x14ac:dyDescent="0.25">
      <c r="A61" t="str">
        <f t="shared" si="0"/>
        <v>2024-60</v>
      </c>
      <c r="B61" s="1">
        <f t="shared" si="1"/>
        <v>45428</v>
      </c>
      <c r="C61" t="str">
        <f t="shared" si="3"/>
        <v>Hetzner Online GmbH, Industriestraße 25, 91710 Gunzenhausen</v>
      </c>
      <c r="D61" t="str">
        <f t="shared" si="6"/>
        <v>Ausgaben</v>
      </c>
      <c r="E61" t="str">
        <f t="shared" si="6"/>
        <v>sonstige Betriebsausgaben</v>
      </c>
      <c r="F61" s="117">
        <f t="shared" si="4"/>
        <v>1.6</v>
      </c>
      <c r="G61" t="str">
        <f t="shared" si="5"/>
        <v>0%</v>
      </c>
      <c r="I61" s="191">
        <v>2024</v>
      </c>
      <c r="J61" s="189">
        <v>60</v>
      </c>
      <c r="K61" s="71" t="s">
        <v>105</v>
      </c>
      <c r="L61" t="s">
        <v>705</v>
      </c>
      <c r="M61" s="1">
        <v>45428</v>
      </c>
      <c r="N61" t="s">
        <v>1783</v>
      </c>
      <c r="Q61" t="b">
        <v>0</v>
      </c>
      <c r="R61" s="48">
        <v>1.6</v>
      </c>
      <c r="S61" s="185">
        <v>1.6</v>
      </c>
      <c r="T61" s="72">
        <v>1</v>
      </c>
      <c r="U61" s="72">
        <v>0</v>
      </c>
      <c r="V61" s="185">
        <v>0</v>
      </c>
      <c r="W61" s="185">
        <v>0</v>
      </c>
      <c r="X61" s="185">
        <v>1.6</v>
      </c>
      <c r="Y61" s="185">
        <v>1.6</v>
      </c>
      <c r="Z61" s="192">
        <v>45519</v>
      </c>
      <c r="AA61">
        <v>20</v>
      </c>
      <c r="AB61" s="183">
        <v>1.6</v>
      </c>
      <c r="AC61" s="195">
        <v>0.32000000000000006</v>
      </c>
      <c r="AD61" s="31">
        <v>0</v>
      </c>
      <c r="AE61" t="b">
        <v>0</v>
      </c>
      <c r="AF61" s="78">
        <v>89</v>
      </c>
    </row>
    <row r="62" spans="1:32" x14ac:dyDescent="0.25">
      <c r="A62" t="str">
        <f t="shared" si="0"/>
        <v>2024-61</v>
      </c>
      <c r="B62" s="1">
        <f t="shared" si="1"/>
        <v>45404</v>
      </c>
      <c r="C62" t="str">
        <f t="shared" si="3"/>
        <v>Microsoft Ireland Operations Ltd. One Microsoft Place, South County, Business Park, Leopardstown, Dublin 18, D18 P521, Ireland</v>
      </c>
      <c r="D62" t="str">
        <f t="shared" si="6"/>
        <v>Ausgaben</v>
      </c>
      <c r="E62" t="str">
        <f t="shared" si="6"/>
        <v>sonstige Betriebsausgaben</v>
      </c>
      <c r="F62" s="117">
        <f t="shared" si="4"/>
        <v>11.7</v>
      </c>
      <c r="G62" t="str">
        <f t="shared" si="5"/>
        <v>0%</v>
      </c>
      <c r="I62" s="191">
        <v>2024</v>
      </c>
      <c r="J62" s="189">
        <v>61</v>
      </c>
      <c r="K62" s="71" t="s">
        <v>105</v>
      </c>
      <c r="L62" t="s">
        <v>705</v>
      </c>
      <c r="M62" s="1">
        <v>45404</v>
      </c>
      <c r="N62" t="s">
        <v>1032</v>
      </c>
      <c r="Q62" t="b">
        <v>0</v>
      </c>
      <c r="R62" s="48">
        <v>11.7</v>
      </c>
      <c r="S62" s="185">
        <v>11.7</v>
      </c>
      <c r="T62" s="72">
        <v>1</v>
      </c>
      <c r="U62" s="72">
        <v>0</v>
      </c>
      <c r="V62" s="185">
        <v>0</v>
      </c>
      <c r="W62" s="185">
        <v>0</v>
      </c>
      <c r="X62" s="185">
        <v>11.7</v>
      </c>
      <c r="Y62" s="185">
        <v>11.7</v>
      </c>
      <c r="Z62" s="192">
        <v>45519</v>
      </c>
      <c r="AA62">
        <v>20</v>
      </c>
      <c r="AB62" s="183">
        <v>11.7</v>
      </c>
      <c r="AC62" s="195">
        <v>2.34</v>
      </c>
      <c r="AD62" s="31">
        <v>0</v>
      </c>
      <c r="AE62" t="b">
        <v>0</v>
      </c>
      <c r="AF62" s="78">
        <v>2300</v>
      </c>
    </row>
    <row r="63" spans="1:32" x14ac:dyDescent="0.25">
      <c r="A63" t="str">
        <f t="shared" si="0"/>
        <v>2024-62</v>
      </c>
      <c r="B63" s="1">
        <f t="shared" si="1"/>
        <v>45407</v>
      </c>
      <c r="C63" t="str">
        <f t="shared" si="3"/>
        <v>OpenAI, LLC, 548 Market Street, PMB 97273, San Francisco, California 94104-5401, United States</v>
      </c>
      <c r="D63" t="str">
        <f t="shared" si="6"/>
        <v>Ausgaben</v>
      </c>
      <c r="E63" t="str">
        <f t="shared" si="6"/>
        <v>sonstige Betriebsausgaben</v>
      </c>
      <c r="F63" s="117">
        <f t="shared" si="4"/>
        <v>22.93</v>
      </c>
      <c r="G63" t="str">
        <f t="shared" si="5"/>
        <v>20%</v>
      </c>
      <c r="I63" s="191">
        <v>2024</v>
      </c>
      <c r="J63" s="189">
        <v>62</v>
      </c>
      <c r="K63" s="71" t="s">
        <v>105</v>
      </c>
      <c r="L63" t="s">
        <v>705</v>
      </c>
      <c r="M63" s="1">
        <v>45407</v>
      </c>
      <c r="N63" t="s">
        <v>1794</v>
      </c>
      <c r="Q63" t="b">
        <v>0</v>
      </c>
      <c r="R63" s="48">
        <v>22.93</v>
      </c>
      <c r="S63" s="185">
        <v>22.93</v>
      </c>
      <c r="T63" s="72">
        <v>1</v>
      </c>
      <c r="U63" s="72">
        <v>0.2</v>
      </c>
      <c r="V63" s="185">
        <v>3.768333333333334</v>
      </c>
      <c r="W63" s="185">
        <v>3.768333333333334</v>
      </c>
      <c r="X63" s="185">
        <v>18.841666666666669</v>
      </c>
      <c r="Y63" s="185">
        <v>18.841666666666669</v>
      </c>
      <c r="Z63" s="192">
        <v>45519</v>
      </c>
      <c r="AB63" s="183">
        <v>18.841666666666669</v>
      </c>
      <c r="AC63" s="195">
        <v>0</v>
      </c>
      <c r="AD63" s="31">
        <v>0</v>
      </c>
      <c r="AE63" t="b">
        <v>0</v>
      </c>
      <c r="AF63" s="78">
        <v>485</v>
      </c>
    </row>
    <row r="64" spans="1:32" x14ac:dyDescent="0.25">
      <c r="A64" t="str">
        <f t="shared" si="0"/>
        <v>2024-63</v>
      </c>
      <c r="B64" s="1">
        <f t="shared" si="1"/>
        <v>45415</v>
      </c>
      <c r="C64" t="str">
        <f t="shared" si="3"/>
        <v>Hutchison Drei Austria GmbH, Brünner Straße 52, 1210 Wien, Österreich</v>
      </c>
      <c r="D64" t="str">
        <f t="shared" si="6"/>
        <v>Ausgaben</v>
      </c>
      <c r="E64" t="str">
        <f t="shared" si="6"/>
        <v>Telefon/Internet</v>
      </c>
      <c r="F64" s="117">
        <f t="shared" si="4"/>
        <v>13.91</v>
      </c>
      <c r="G64" t="str">
        <f t="shared" si="5"/>
        <v>20%</v>
      </c>
      <c r="I64" s="191">
        <v>2024</v>
      </c>
      <c r="J64" s="189">
        <v>63</v>
      </c>
      <c r="K64" s="71" t="s">
        <v>105</v>
      </c>
      <c r="L64" t="s">
        <v>703</v>
      </c>
      <c r="M64" s="1">
        <v>45415</v>
      </c>
      <c r="N64" t="s">
        <v>34</v>
      </c>
      <c r="Q64" t="b">
        <v>0</v>
      </c>
      <c r="R64" s="48">
        <v>13.91</v>
      </c>
      <c r="S64" s="185">
        <v>13.91</v>
      </c>
      <c r="T64" s="72">
        <v>1</v>
      </c>
      <c r="U64" s="72">
        <v>0.2</v>
      </c>
      <c r="V64" s="185">
        <v>2.3183333333333334</v>
      </c>
      <c r="W64" s="185">
        <v>2.3183333333333334</v>
      </c>
      <c r="X64" s="185">
        <v>11.591666666666667</v>
      </c>
      <c r="Y64" s="185">
        <v>11.591666666666667</v>
      </c>
      <c r="Z64" s="192"/>
      <c r="AB64" s="183">
        <v>11.591666666666667</v>
      </c>
      <c r="AC64" s="195">
        <v>0</v>
      </c>
      <c r="AD64" s="31">
        <v>0</v>
      </c>
      <c r="AE64" t="b">
        <v>0</v>
      </c>
      <c r="AF64" s="78">
        <v>-515.85</v>
      </c>
    </row>
    <row r="65" spans="1:32" x14ac:dyDescent="0.25">
      <c r="A65" t="str">
        <f t="shared" si="0"/>
        <v>2024-64</v>
      </c>
      <c r="B65" s="1">
        <f t="shared" si="1"/>
        <v>45415</v>
      </c>
      <c r="C65" t="str">
        <f t="shared" si="3"/>
        <v>Google Ireland Ltd, Gordon House, Barrow Street, Dublin 4, Ireland; VAT number: IE 6388047V</v>
      </c>
      <c r="D65" t="str">
        <f t="shared" si="6"/>
        <v>Ausgaben</v>
      </c>
      <c r="E65" t="str">
        <f t="shared" si="6"/>
        <v>sonstige Betriebsausgaben</v>
      </c>
      <c r="F65" s="117">
        <f t="shared" si="4"/>
        <v>32.82</v>
      </c>
      <c r="G65" t="str">
        <f t="shared" si="5"/>
        <v>0%</v>
      </c>
      <c r="I65" s="191">
        <v>2024</v>
      </c>
      <c r="J65" s="189">
        <v>64</v>
      </c>
      <c r="K65" s="71" t="s">
        <v>105</v>
      </c>
      <c r="L65" t="s">
        <v>705</v>
      </c>
      <c r="M65" s="1">
        <v>45415</v>
      </c>
      <c r="N65" t="s">
        <v>1404</v>
      </c>
      <c r="Q65" t="b">
        <v>0</v>
      </c>
      <c r="R65" s="48">
        <v>32.82</v>
      </c>
      <c r="S65" s="185">
        <v>32.82</v>
      </c>
      <c r="T65" s="72">
        <v>1</v>
      </c>
      <c r="U65" s="72">
        <v>0</v>
      </c>
      <c r="V65" s="185">
        <v>0</v>
      </c>
      <c r="W65" s="185">
        <v>0</v>
      </c>
      <c r="X65" s="185">
        <v>32.82</v>
      </c>
      <c r="Y65" s="185">
        <v>32.82</v>
      </c>
      <c r="Z65" s="192">
        <v>45519</v>
      </c>
      <c r="AA65">
        <v>20</v>
      </c>
      <c r="AB65" s="183">
        <v>32.82</v>
      </c>
      <c r="AC65" s="195">
        <v>6.5640000000000001</v>
      </c>
      <c r="AD65" s="31">
        <v>0</v>
      </c>
      <c r="AE65" t="b">
        <v>0</v>
      </c>
      <c r="AF65" s="78">
        <v>-63.87</v>
      </c>
    </row>
    <row r="66" spans="1:32" x14ac:dyDescent="0.25">
      <c r="A66" t="str">
        <f t="shared" ref="A66:A129" si="7">I66&amp;"-"&amp;J66</f>
        <v>2024-65</v>
      </c>
      <c r="B66" s="1">
        <f t="shared" ref="B66:B129" si="8">M66</f>
        <v>45426</v>
      </c>
      <c r="C66" t="str">
        <f t="shared" si="3"/>
        <v>Hetzner Online GmbH, Industriestraße 25, 91710 Gunzenhausen</v>
      </c>
      <c r="D66" t="str">
        <f t="shared" ref="D66:E97" si="9">K66</f>
        <v>Ausgaben</v>
      </c>
      <c r="E66" t="str">
        <f t="shared" si="9"/>
        <v>sonstige Betriebsausgaben</v>
      </c>
      <c r="F66" s="117">
        <f t="shared" si="4"/>
        <v>52.21</v>
      </c>
      <c r="G66" t="str">
        <f t="shared" si="5"/>
        <v>0%</v>
      </c>
      <c r="I66" s="191">
        <v>2024</v>
      </c>
      <c r="J66" s="189">
        <v>65</v>
      </c>
      <c r="K66" s="71" t="s">
        <v>105</v>
      </c>
      <c r="L66" t="s">
        <v>705</v>
      </c>
      <c r="M66" s="1">
        <v>45426</v>
      </c>
      <c r="N66" t="s">
        <v>1783</v>
      </c>
      <c r="Q66" t="b">
        <v>0</v>
      </c>
      <c r="R66" s="48">
        <v>52.21</v>
      </c>
      <c r="S66" s="185">
        <v>52.21</v>
      </c>
      <c r="T66" s="72">
        <v>1</v>
      </c>
      <c r="U66" s="72">
        <v>0</v>
      </c>
      <c r="V66" s="185">
        <v>0</v>
      </c>
      <c r="W66" s="185">
        <v>0</v>
      </c>
      <c r="X66" s="185">
        <v>52.21</v>
      </c>
      <c r="Y66" s="185">
        <v>52.21</v>
      </c>
      <c r="Z66" s="192">
        <v>45519</v>
      </c>
      <c r="AA66">
        <v>20</v>
      </c>
      <c r="AB66" s="183">
        <v>52.21</v>
      </c>
      <c r="AC66" s="195">
        <v>10.442</v>
      </c>
      <c r="AD66" s="31">
        <v>0</v>
      </c>
      <c r="AE66" t="b">
        <v>0</v>
      </c>
      <c r="AF66" s="78">
        <v>-50.82</v>
      </c>
    </row>
    <row r="67" spans="1:32" x14ac:dyDescent="0.25">
      <c r="A67" t="str">
        <f t="shared" si="7"/>
        <v>2024-66</v>
      </c>
      <c r="B67" s="1">
        <f t="shared" si="8"/>
        <v>45427</v>
      </c>
      <c r="C67" t="str">
        <f t="shared" ref="C67:C130" si="10">N67</f>
        <v>Marktgemeinde Bisamberg, Hauptstraße 2, 2102 Bisamberg</v>
      </c>
      <c r="D67" t="str">
        <f t="shared" si="9"/>
        <v>Ausgaben</v>
      </c>
      <c r="E67" t="str">
        <f t="shared" si="9"/>
        <v>sonstige Betriebsausgaben</v>
      </c>
      <c r="F67" s="117">
        <f t="shared" ref="F67:F130" si="11">S67</f>
        <v>30.235813924130532</v>
      </c>
      <c r="G67" t="str">
        <f t="shared" ref="G67:G130" si="12">U67*100&amp;"%"</f>
        <v>7,22084367245658%</v>
      </c>
      <c r="I67" s="191">
        <v>2024</v>
      </c>
      <c r="J67" s="189">
        <v>66</v>
      </c>
      <c r="K67" s="71" t="s">
        <v>105</v>
      </c>
      <c r="L67" t="s">
        <v>705</v>
      </c>
      <c r="M67" s="1">
        <v>45427</v>
      </c>
      <c r="N67" t="s">
        <v>1786</v>
      </c>
      <c r="Q67" t="b">
        <v>0</v>
      </c>
      <c r="R67" s="48">
        <v>328.1</v>
      </c>
      <c r="S67" s="185">
        <v>30.235813924130532</v>
      </c>
      <c r="T67" s="72">
        <v>9.2154263712680679E-2</v>
      </c>
      <c r="U67" s="196">
        <v>7.2208436724565755E-2</v>
      </c>
      <c r="V67" s="185">
        <v>21.824999999999999</v>
      </c>
      <c r="W67" s="185">
        <v>2.0112668055292557</v>
      </c>
      <c r="X67" s="185">
        <v>302.25</v>
      </c>
      <c r="Y67" s="185">
        <v>27.853626207157735</v>
      </c>
      <c r="Z67" s="192">
        <v>45519</v>
      </c>
      <c r="AB67" s="183">
        <v>27.853626207157735</v>
      </c>
      <c r="AC67" s="195">
        <v>0</v>
      </c>
      <c r="AD67" s="31">
        <v>0</v>
      </c>
      <c r="AE67" t="b">
        <v>0</v>
      </c>
      <c r="AF67" s="78">
        <v>-5</v>
      </c>
    </row>
    <row r="68" spans="1:32" x14ac:dyDescent="0.25">
      <c r="A68" t="str">
        <f t="shared" si="7"/>
        <v>2024-67</v>
      </c>
      <c r="B68" s="1">
        <f t="shared" si="8"/>
        <v>45427</v>
      </c>
      <c r="C68" t="str">
        <f t="shared" si="10"/>
        <v>Eva Jaros-Kolbitsch</v>
      </c>
      <c r="D68" t="str">
        <f t="shared" si="9"/>
        <v>Ausgaben</v>
      </c>
      <c r="E68" t="str">
        <f t="shared" si="9"/>
        <v>Personalaufwand</v>
      </c>
      <c r="F68" s="117">
        <f t="shared" si="11"/>
        <v>365</v>
      </c>
      <c r="G68" t="str">
        <f t="shared" si="12"/>
        <v>0%</v>
      </c>
      <c r="I68" s="191">
        <v>2024</v>
      </c>
      <c r="J68" s="189">
        <v>67</v>
      </c>
      <c r="K68" s="71" t="s">
        <v>105</v>
      </c>
      <c r="L68" t="s">
        <v>685</v>
      </c>
      <c r="M68" s="1">
        <v>45427</v>
      </c>
      <c r="N68" t="s">
        <v>1782</v>
      </c>
      <c r="Q68" t="b">
        <v>0</v>
      </c>
      <c r="R68" s="48">
        <v>365</v>
      </c>
      <c r="S68" s="185">
        <v>365</v>
      </c>
      <c r="T68" s="72">
        <v>1</v>
      </c>
      <c r="U68" s="72">
        <v>0</v>
      </c>
      <c r="V68" s="185">
        <v>0</v>
      </c>
      <c r="W68" s="185">
        <v>0</v>
      </c>
      <c r="X68" s="185">
        <v>365</v>
      </c>
      <c r="Y68" s="185">
        <v>365</v>
      </c>
      <c r="Z68" s="192">
        <v>45519</v>
      </c>
      <c r="AB68" s="183">
        <v>365</v>
      </c>
      <c r="AC68" s="195">
        <v>0</v>
      </c>
      <c r="AD68" s="31">
        <v>0</v>
      </c>
      <c r="AE68" t="b">
        <v>0</v>
      </c>
      <c r="AF68" s="78">
        <v>1064</v>
      </c>
    </row>
    <row r="69" spans="1:32" x14ac:dyDescent="0.25">
      <c r="A69" t="str">
        <f t="shared" si="7"/>
        <v>2024-68</v>
      </c>
      <c r="B69" s="1">
        <f t="shared" si="8"/>
        <v>45428</v>
      </c>
      <c r="C69" t="str">
        <f t="shared" si="10"/>
        <v>kabelplus GmbH, Südstadtzentrum 4, 2344 Maria Enzersdorf</v>
      </c>
      <c r="D69" t="str">
        <f t="shared" si="9"/>
        <v>Ausgaben</v>
      </c>
      <c r="E69" t="str">
        <f t="shared" si="9"/>
        <v>Telefon/Internet</v>
      </c>
      <c r="F69" s="117">
        <f t="shared" si="11"/>
        <v>1.2729999999999999</v>
      </c>
      <c r="G69" t="str">
        <f t="shared" si="12"/>
        <v>20%</v>
      </c>
      <c r="I69" s="191">
        <v>2024</v>
      </c>
      <c r="J69" s="189">
        <v>68</v>
      </c>
      <c r="K69" s="71" t="s">
        <v>105</v>
      </c>
      <c r="L69" t="s">
        <v>703</v>
      </c>
      <c r="M69" s="1">
        <v>45428</v>
      </c>
      <c r="N69" t="s">
        <v>1781</v>
      </c>
      <c r="Q69" t="b">
        <v>0</v>
      </c>
      <c r="R69" s="48">
        <v>1.9</v>
      </c>
      <c r="S69" s="185">
        <v>1.2729999999999999</v>
      </c>
      <c r="T69" s="72">
        <v>0.67</v>
      </c>
      <c r="U69" s="72">
        <v>0.2</v>
      </c>
      <c r="V69" s="185">
        <v>0.31666666666666665</v>
      </c>
      <c r="W69" s="185">
        <v>0.21216666666666667</v>
      </c>
      <c r="X69" s="185">
        <v>1.5833333333333333</v>
      </c>
      <c r="Y69" s="185">
        <v>1.0608333333333333</v>
      </c>
      <c r="Z69" s="192">
        <v>45519</v>
      </c>
      <c r="AB69" s="183">
        <v>1.0608333333333333</v>
      </c>
      <c r="AC69" s="195">
        <v>0</v>
      </c>
      <c r="AD69" s="31">
        <v>0</v>
      </c>
      <c r="AE69" t="b">
        <v>0</v>
      </c>
      <c r="AF69" s="78">
        <v>-15</v>
      </c>
    </row>
    <row r="70" spans="1:32" x14ac:dyDescent="0.25">
      <c r="A70" t="str">
        <f t="shared" si="7"/>
        <v>2024-69</v>
      </c>
      <c r="B70" s="1">
        <f t="shared" si="8"/>
        <v>45428</v>
      </c>
      <c r="C70" t="str">
        <f t="shared" si="10"/>
        <v>Hetzner Online GmbH, Industriestraße 25, 91710 Gunzenhausen</v>
      </c>
      <c r="D70" t="str">
        <f t="shared" si="9"/>
        <v>Ausgaben</v>
      </c>
      <c r="E70" t="str">
        <f t="shared" si="9"/>
        <v>sonstige Betriebsausgaben</v>
      </c>
      <c r="F70" s="117">
        <f t="shared" si="11"/>
        <v>52.21</v>
      </c>
      <c r="G70" t="str">
        <f t="shared" si="12"/>
        <v>0%</v>
      </c>
      <c r="I70" s="191">
        <v>2024</v>
      </c>
      <c r="J70" s="189">
        <v>69</v>
      </c>
      <c r="K70" s="71" t="s">
        <v>105</v>
      </c>
      <c r="L70" t="s">
        <v>705</v>
      </c>
      <c r="M70" s="1">
        <v>45428</v>
      </c>
      <c r="N70" t="s">
        <v>1783</v>
      </c>
      <c r="Q70" t="b">
        <v>0</v>
      </c>
      <c r="R70" s="48">
        <v>52.21</v>
      </c>
      <c r="S70" s="185">
        <v>52.21</v>
      </c>
      <c r="T70" s="72">
        <v>1</v>
      </c>
      <c r="U70" s="72">
        <v>0</v>
      </c>
      <c r="V70" s="185">
        <v>0</v>
      </c>
      <c r="W70" s="185">
        <v>0</v>
      </c>
      <c r="X70" s="185">
        <v>52.21</v>
      </c>
      <c r="Y70" s="185">
        <v>52.21</v>
      </c>
      <c r="Z70" s="192">
        <v>45519</v>
      </c>
      <c r="AA70">
        <v>20</v>
      </c>
      <c r="AB70" s="183">
        <v>52.21</v>
      </c>
      <c r="AC70" s="195">
        <v>10.442</v>
      </c>
      <c r="AD70" s="31">
        <v>0</v>
      </c>
      <c r="AE70" t="b">
        <v>0</v>
      </c>
      <c r="AF70" s="78">
        <v>-122.6</v>
      </c>
    </row>
    <row r="71" spans="1:32" x14ac:dyDescent="0.25">
      <c r="A71" t="str">
        <f t="shared" si="7"/>
        <v>2024-70</v>
      </c>
      <c r="B71" s="1">
        <f t="shared" si="8"/>
        <v>45428</v>
      </c>
      <c r="C71" t="str">
        <f t="shared" si="10"/>
        <v>Hays Österreich GmbH, Bahnhof City Wien West - Europaplatz 3/5, 1150 Wien</v>
      </c>
      <c r="D71" t="str">
        <f t="shared" si="9"/>
        <v>Einnahmen</v>
      </c>
      <c r="E71" t="str">
        <f t="shared" si="9"/>
        <v>Waren-/Leistungserlöse</v>
      </c>
      <c r="F71" s="117">
        <f t="shared" si="11"/>
        <v>17289.98</v>
      </c>
      <c r="G71" t="str">
        <f t="shared" si="12"/>
        <v>20%</v>
      </c>
      <c r="I71" s="191">
        <v>2024</v>
      </c>
      <c r="J71" s="189">
        <v>70</v>
      </c>
      <c r="K71" s="71" t="s">
        <v>708</v>
      </c>
      <c r="L71" t="s">
        <v>709</v>
      </c>
      <c r="M71" s="1">
        <v>45428</v>
      </c>
      <c r="N71" t="s">
        <v>1788</v>
      </c>
      <c r="R71" s="48">
        <v>17289.98</v>
      </c>
      <c r="S71" s="185">
        <v>17289.98</v>
      </c>
      <c r="T71" s="72">
        <v>1</v>
      </c>
      <c r="U71" s="72">
        <v>0.2</v>
      </c>
      <c r="V71" s="185">
        <v>2881.6633333333339</v>
      </c>
      <c r="W71" s="185">
        <v>2881.6633333333339</v>
      </c>
      <c r="X71" s="185">
        <v>14408.316666666668</v>
      </c>
      <c r="Y71" s="185">
        <v>14408.316666666668</v>
      </c>
      <c r="Z71" s="192">
        <v>45519</v>
      </c>
      <c r="AB71" s="183">
        <v>14408.316666666668</v>
      </c>
      <c r="AC71" s="195">
        <v>0</v>
      </c>
      <c r="AD71" s="31">
        <v>0</v>
      </c>
      <c r="AE71" t="b">
        <v>0</v>
      </c>
      <c r="AF71" s="78">
        <v>-12</v>
      </c>
    </row>
    <row r="72" spans="1:32" x14ac:dyDescent="0.25">
      <c r="A72" t="str">
        <f t="shared" si="7"/>
        <v>2024-71</v>
      </c>
      <c r="B72" s="1">
        <f t="shared" si="8"/>
        <v>45433</v>
      </c>
      <c r="C72" t="str">
        <f t="shared" si="10"/>
        <v>Microsoft Ireland Operations Ltd. One Microsoft Place, South County, Business Park, Leopardstown, Dublin 18, D18 P521, Ireland</v>
      </c>
      <c r="D72" t="str">
        <f t="shared" si="9"/>
        <v>Ausgaben</v>
      </c>
      <c r="E72" t="str">
        <f t="shared" si="9"/>
        <v>sonstige Betriebsausgaben</v>
      </c>
      <c r="F72" s="117">
        <f t="shared" si="11"/>
        <v>11.7</v>
      </c>
      <c r="G72" t="str">
        <f t="shared" si="12"/>
        <v>0%</v>
      </c>
      <c r="I72" s="191">
        <v>2024</v>
      </c>
      <c r="J72" s="189">
        <v>71</v>
      </c>
      <c r="K72" s="71" t="s">
        <v>105</v>
      </c>
      <c r="L72" t="s">
        <v>705</v>
      </c>
      <c r="M72" s="1">
        <v>45433</v>
      </c>
      <c r="N72" t="s">
        <v>1032</v>
      </c>
      <c r="Q72" t="b">
        <v>0</v>
      </c>
      <c r="R72" s="48">
        <v>11.7</v>
      </c>
      <c r="S72" s="185">
        <v>11.7</v>
      </c>
      <c r="T72" s="72">
        <v>1</v>
      </c>
      <c r="U72" s="72">
        <v>0</v>
      </c>
      <c r="V72" s="185">
        <v>0</v>
      </c>
      <c r="W72" s="185">
        <v>0</v>
      </c>
      <c r="X72" s="185">
        <v>11.7</v>
      </c>
      <c r="Y72" s="185">
        <v>11.7</v>
      </c>
      <c r="Z72" s="192">
        <v>45519</v>
      </c>
      <c r="AA72">
        <v>20</v>
      </c>
      <c r="AB72" s="183">
        <v>11.7</v>
      </c>
      <c r="AC72" s="195">
        <v>2.34</v>
      </c>
      <c r="AD72" s="31">
        <v>0</v>
      </c>
      <c r="AE72" t="b">
        <v>0</v>
      </c>
      <c r="AF72" s="78">
        <v>16638</v>
      </c>
    </row>
    <row r="73" spans="1:32" x14ac:dyDescent="0.25">
      <c r="A73" t="str">
        <f t="shared" si="7"/>
        <v>2024-72</v>
      </c>
      <c r="B73" s="1">
        <f t="shared" si="8"/>
        <v>45434</v>
      </c>
      <c r="C73" t="str">
        <f t="shared" si="10"/>
        <v>Wiener Linien GmbH &amp; Co KG</v>
      </c>
      <c r="D73" t="str">
        <f t="shared" si="9"/>
        <v>Ausgaben</v>
      </c>
      <c r="E73" t="str">
        <f t="shared" si="9"/>
        <v>Reise- und Fahrtspesen inkl. Kilometergeld und Diäten</v>
      </c>
      <c r="F73" s="117">
        <f t="shared" si="11"/>
        <v>365</v>
      </c>
      <c r="G73" t="str">
        <f t="shared" si="12"/>
        <v>10%</v>
      </c>
      <c r="I73" s="191">
        <v>2024</v>
      </c>
      <c r="J73" s="189">
        <v>72</v>
      </c>
      <c r="K73" s="71" t="s">
        <v>105</v>
      </c>
      <c r="L73" t="s">
        <v>689</v>
      </c>
      <c r="M73" s="1">
        <v>45434</v>
      </c>
      <c r="N73" t="s">
        <v>962</v>
      </c>
      <c r="Q73" t="b">
        <v>0</v>
      </c>
      <c r="R73" s="48">
        <v>365</v>
      </c>
      <c r="S73" s="185">
        <v>365</v>
      </c>
      <c r="T73" s="72">
        <v>1</v>
      </c>
      <c r="U73" s="72">
        <v>0.1</v>
      </c>
      <c r="V73" s="185">
        <v>33.18181818181818</v>
      </c>
      <c r="W73" s="185">
        <v>33.18181818181818</v>
      </c>
      <c r="X73" s="185">
        <v>331.81818181818181</v>
      </c>
      <c r="Y73" s="185">
        <v>331.81818181818181</v>
      </c>
      <c r="Z73" s="192">
        <v>45519</v>
      </c>
      <c r="AB73" s="183">
        <v>331.81818181818181</v>
      </c>
      <c r="AC73" s="195">
        <v>0</v>
      </c>
      <c r="AD73" s="31">
        <v>78.960000000000008</v>
      </c>
      <c r="AE73" t="b">
        <v>0</v>
      </c>
      <c r="AF73" s="78">
        <v>-394.8</v>
      </c>
    </row>
    <row r="74" spans="1:32" x14ac:dyDescent="0.25">
      <c r="A74" t="str">
        <f t="shared" si="7"/>
        <v>2024-73</v>
      </c>
      <c r="B74" s="1">
        <f t="shared" si="8"/>
        <v>45439</v>
      </c>
      <c r="C74" t="str">
        <f t="shared" si="10"/>
        <v>OpenAI, LLC, 548 Market Street, PMB 97273, San Francisco, California 94104-5401, United States</v>
      </c>
      <c r="D74" t="str">
        <f t="shared" si="9"/>
        <v>Ausgaben</v>
      </c>
      <c r="E74" t="str">
        <f t="shared" si="9"/>
        <v>sonstige Betriebsausgaben</v>
      </c>
      <c r="F74" s="117">
        <f t="shared" si="11"/>
        <v>22.52</v>
      </c>
      <c r="G74" t="str">
        <f t="shared" si="12"/>
        <v>20%</v>
      </c>
      <c r="I74" s="191">
        <v>2024</v>
      </c>
      <c r="J74" s="189">
        <v>73</v>
      </c>
      <c r="K74" s="71" t="s">
        <v>105</v>
      </c>
      <c r="L74" t="s">
        <v>705</v>
      </c>
      <c r="M74" s="1">
        <v>45439</v>
      </c>
      <c r="N74" t="s">
        <v>1794</v>
      </c>
      <c r="Q74" t="b">
        <v>0</v>
      </c>
      <c r="R74" s="48">
        <v>22.52</v>
      </c>
      <c r="S74" s="185">
        <v>22.52</v>
      </c>
      <c r="T74" s="72">
        <v>1</v>
      </c>
      <c r="U74" s="72">
        <v>0.2</v>
      </c>
      <c r="V74" s="185">
        <v>3.7</v>
      </c>
      <c r="W74" s="185">
        <v>3.7</v>
      </c>
      <c r="X74" s="185">
        <v>18.5</v>
      </c>
      <c r="Y74" s="185">
        <v>18.5</v>
      </c>
      <c r="Z74" s="192">
        <v>45519</v>
      </c>
      <c r="AB74" s="183">
        <v>18.5</v>
      </c>
      <c r="AC74" s="195">
        <v>0</v>
      </c>
      <c r="AD74" s="31">
        <v>10.442820000000001</v>
      </c>
      <c r="AE74" t="b">
        <v>0</v>
      </c>
      <c r="AF74" s="78">
        <v>-52.214100000000002</v>
      </c>
    </row>
    <row r="75" spans="1:32" x14ac:dyDescent="0.25">
      <c r="A75" t="str">
        <f t="shared" si="7"/>
        <v>2024-74</v>
      </c>
      <c r="B75" s="1">
        <f t="shared" si="8"/>
        <v>45443</v>
      </c>
      <c r="C75" t="str">
        <f t="shared" si="10"/>
        <v>SVS</v>
      </c>
      <c r="D75" t="str">
        <f t="shared" si="9"/>
        <v>Ausgaben</v>
      </c>
      <c r="E75" t="str">
        <f t="shared" si="9"/>
        <v>Pflichversicherungsbeiträge</v>
      </c>
      <c r="F75" s="117">
        <f t="shared" si="11"/>
        <v>4986.2</v>
      </c>
      <c r="G75" t="str">
        <f t="shared" si="12"/>
        <v>0%</v>
      </c>
      <c r="I75" s="191">
        <v>2024</v>
      </c>
      <c r="J75" s="189">
        <v>74</v>
      </c>
      <c r="K75" s="71" t="s">
        <v>105</v>
      </c>
      <c r="L75" t="s">
        <v>695</v>
      </c>
      <c r="M75" s="1">
        <v>45443</v>
      </c>
      <c r="N75" t="s">
        <v>1795</v>
      </c>
      <c r="Q75" t="b">
        <v>0</v>
      </c>
      <c r="R75" s="48">
        <v>4986.2</v>
      </c>
      <c r="S75" s="185">
        <v>4986.2</v>
      </c>
      <c r="T75" s="72">
        <v>1</v>
      </c>
      <c r="U75" s="72">
        <v>0</v>
      </c>
      <c r="V75" s="185">
        <v>0</v>
      </c>
      <c r="W75" s="185">
        <v>0</v>
      </c>
      <c r="X75" s="185">
        <v>4986.2</v>
      </c>
      <c r="Y75" s="185">
        <v>4986.2</v>
      </c>
      <c r="Z75" s="192">
        <v>45519</v>
      </c>
      <c r="AB75" s="183">
        <v>4986.2</v>
      </c>
      <c r="AC75" s="195">
        <v>0</v>
      </c>
      <c r="AD75" s="31">
        <v>0</v>
      </c>
      <c r="AE75" t="b">
        <v>0</v>
      </c>
      <c r="AF75" s="78">
        <v>-365</v>
      </c>
    </row>
    <row r="76" spans="1:32" x14ac:dyDescent="0.25">
      <c r="A76" t="str">
        <f t="shared" si="7"/>
        <v>2024-75</v>
      </c>
      <c r="B76" s="1">
        <f t="shared" si="8"/>
        <v>45446</v>
      </c>
      <c r="C76" t="str">
        <f t="shared" si="10"/>
        <v>Hutchison Drei Austria GmbH, Brünner Straße 52, 1210 Wien, Österreich</v>
      </c>
      <c r="D76" t="str">
        <f t="shared" si="9"/>
        <v>Ausgaben</v>
      </c>
      <c r="E76" t="str">
        <f t="shared" si="9"/>
        <v>Telefon/Internet</v>
      </c>
      <c r="F76" s="117">
        <f t="shared" si="11"/>
        <v>40.909999999999997</v>
      </c>
      <c r="G76" t="str">
        <f t="shared" si="12"/>
        <v>20%</v>
      </c>
      <c r="I76" s="191">
        <v>2024</v>
      </c>
      <c r="J76" s="189">
        <v>75</v>
      </c>
      <c r="K76" s="71" t="s">
        <v>105</v>
      </c>
      <c r="L76" t="s">
        <v>703</v>
      </c>
      <c r="M76" s="1">
        <v>45446</v>
      </c>
      <c r="N76" t="s">
        <v>34</v>
      </c>
      <c r="Q76" t="b">
        <v>0</v>
      </c>
      <c r="R76" s="48">
        <v>40.909999999999997</v>
      </c>
      <c r="S76" s="185">
        <v>40.909999999999997</v>
      </c>
      <c r="T76" s="72">
        <v>1</v>
      </c>
      <c r="U76" s="72">
        <v>0.2</v>
      </c>
      <c r="V76" s="185">
        <v>6.8183333333333342</v>
      </c>
      <c r="W76" s="185">
        <v>6.8183333333333342</v>
      </c>
      <c r="X76" s="185">
        <v>34.091666666666669</v>
      </c>
      <c r="Y76" s="185">
        <v>34.091666666666669</v>
      </c>
      <c r="Z76" s="192"/>
      <c r="AB76" s="183">
        <v>34.091666666666669</v>
      </c>
      <c r="AC76" s="195">
        <v>0</v>
      </c>
      <c r="AD76" s="31">
        <v>2.1</v>
      </c>
      <c r="AE76" t="b">
        <v>0</v>
      </c>
      <c r="AF76" s="78">
        <v>-10.5</v>
      </c>
    </row>
    <row r="77" spans="1:32" x14ac:dyDescent="0.25">
      <c r="A77" t="str">
        <f t="shared" si="7"/>
        <v>2024-76</v>
      </c>
      <c r="B77" s="1">
        <f t="shared" si="8"/>
        <v>45446</v>
      </c>
      <c r="C77" t="str">
        <f t="shared" si="10"/>
        <v>Google Ireland Ltd, Gordon House, Barrow Street, Dublin 4, Ireland; VAT number: IE 6388047V</v>
      </c>
      <c r="D77" t="str">
        <f t="shared" si="9"/>
        <v>Ausgaben</v>
      </c>
      <c r="E77" t="str">
        <f t="shared" si="9"/>
        <v>sonstige Betriebsausgaben</v>
      </c>
      <c r="F77" s="117">
        <f t="shared" si="11"/>
        <v>31.67</v>
      </c>
      <c r="G77" t="str">
        <f t="shared" si="12"/>
        <v>0%</v>
      </c>
      <c r="I77" s="191">
        <v>2024</v>
      </c>
      <c r="J77" s="189">
        <v>76</v>
      </c>
      <c r="K77" s="71" t="s">
        <v>105</v>
      </c>
      <c r="L77" t="s">
        <v>705</v>
      </c>
      <c r="M77" s="1">
        <v>45446</v>
      </c>
      <c r="N77" t="s">
        <v>1404</v>
      </c>
      <c r="Q77" t="b">
        <v>0</v>
      </c>
      <c r="R77" s="48">
        <v>31.67</v>
      </c>
      <c r="S77" s="185">
        <v>31.67</v>
      </c>
      <c r="T77" s="72">
        <v>1</v>
      </c>
      <c r="U77" s="72">
        <v>0</v>
      </c>
      <c r="V77" s="185">
        <v>0</v>
      </c>
      <c r="W77" s="185">
        <v>0</v>
      </c>
      <c r="X77" s="185">
        <v>31.67</v>
      </c>
      <c r="Y77" s="185">
        <v>31.67</v>
      </c>
      <c r="Z77" s="192">
        <v>45519</v>
      </c>
      <c r="AA77">
        <v>20</v>
      </c>
      <c r="AB77" s="183">
        <v>31.67</v>
      </c>
      <c r="AC77" s="195">
        <v>6.3340000000000005</v>
      </c>
      <c r="AD77" s="31">
        <v>0</v>
      </c>
      <c r="AE77" t="b">
        <v>0</v>
      </c>
      <c r="AF77" s="78">
        <v>-31.92</v>
      </c>
    </row>
    <row r="78" spans="1:32" x14ac:dyDescent="0.25">
      <c r="A78" t="str">
        <f t="shared" si="7"/>
        <v>2024-77</v>
      </c>
      <c r="B78" s="1">
        <f t="shared" si="8"/>
        <v>45446</v>
      </c>
      <c r="C78" t="str">
        <f t="shared" si="10"/>
        <v>Google Ireland Ltd, Gordon House, Barrow Street, Dublin 4, Ireland; VAT number: IE 6388047V</v>
      </c>
      <c r="D78" t="str">
        <f t="shared" si="9"/>
        <v>Ausgaben</v>
      </c>
      <c r="E78" t="str">
        <f t="shared" si="9"/>
        <v>sonstige Betriebsausgaben</v>
      </c>
      <c r="F78" s="117">
        <f t="shared" si="11"/>
        <v>13.8</v>
      </c>
      <c r="G78" t="str">
        <f t="shared" si="12"/>
        <v>0%</v>
      </c>
      <c r="I78" s="191">
        <v>2024</v>
      </c>
      <c r="J78" s="189">
        <v>77</v>
      </c>
      <c r="K78" s="71" t="s">
        <v>105</v>
      </c>
      <c r="L78" t="s">
        <v>705</v>
      </c>
      <c r="M78" s="1">
        <v>45446</v>
      </c>
      <c r="N78" t="s">
        <v>1404</v>
      </c>
      <c r="Q78" t="b">
        <v>0</v>
      </c>
      <c r="R78" s="48">
        <v>13.8</v>
      </c>
      <c r="S78" s="185">
        <v>13.8</v>
      </c>
      <c r="T78" s="72">
        <v>1</v>
      </c>
      <c r="U78" s="72">
        <v>0</v>
      </c>
      <c r="V78" s="185">
        <v>0</v>
      </c>
      <c r="W78" s="185">
        <v>0</v>
      </c>
      <c r="X78" s="185">
        <v>13.8</v>
      </c>
      <c r="Y78" s="185">
        <v>13.8</v>
      </c>
      <c r="Z78" s="192">
        <v>45519</v>
      </c>
      <c r="AA78">
        <v>20</v>
      </c>
      <c r="AB78" s="183">
        <v>13.8</v>
      </c>
      <c r="AC78" s="195">
        <v>2.7600000000000002</v>
      </c>
      <c r="AD78" s="31">
        <v>0</v>
      </c>
      <c r="AE78" t="b">
        <v>0</v>
      </c>
      <c r="AF78" s="78">
        <v>192</v>
      </c>
    </row>
    <row r="79" spans="1:32" x14ac:dyDescent="0.25">
      <c r="A79" t="str">
        <f t="shared" si="7"/>
        <v>2024-78</v>
      </c>
      <c r="B79" s="1">
        <f t="shared" si="8"/>
        <v>45453</v>
      </c>
      <c r="C79" t="str">
        <f t="shared" si="10"/>
        <v>Woocommerce, kein Beleg</v>
      </c>
      <c r="D79" t="str">
        <f t="shared" si="9"/>
        <v>Ausgaben</v>
      </c>
      <c r="E79" t="str">
        <f t="shared" si="9"/>
        <v>Lizenzgebühren</v>
      </c>
      <c r="F79" s="117">
        <f t="shared" si="11"/>
        <v>46.06</v>
      </c>
      <c r="G79" t="str">
        <f t="shared" si="12"/>
        <v>0%</v>
      </c>
      <c r="I79" s="191">
        <v>2024</v>
      </c>
      <c r="J79" s="189">
        <v>78</v>
      </c>
      <c r="K79" s="71" t="s">
        <v>105</v>
      </c>
      <c r="L79" t="s">
        <v>692</v>
      </c>
      <c r="M79" s="1">
        <v>45453</v>
      </c>
      <c r="N79" t="s">
        <v>1805</v>
      </c>
      <c r="P79" t="s">
        <v>958</v>
      </c>
      <c r="Q79" t="b">
        <v>0</v>
      </c>
      <c r="R79" s="157">
        <v>46.06</v>
      </c>
      <c r="S79" s="185">
        <v>46.06</v>
      </c>
      <c r="T79" s="72">
        <v>1</v>
      </c>
      <c r="U79" s="72">
        <v>0</v>
      </c>
      <c r="V79" s="185">
        <v>0</v>
      </c>
      <c r="W79" s="185">
        <v>0</v>
      </c>
      <c r="X79" s="185">
        <v>46.06</v>
      </c>
      <c r="Y79" s="185">
        <v>46.06</v>
      </c>
      <c r="Z79" s="192">
        <v>45519</v>
      </c>
      <c r="AB79" s="183">
        <v>46.06</v>
      </c>
      <c r="AC79" s="195">
        <v>0</v>
      </c>
      <c r="AD79" s="31">
        <v>0</v>
      </c>
      <c r="AE79" t="b">
        <v>0</v>
      </c>
      <c r="AF79" s="78">
        <v>-29.62</v>
      </c>
    </row>
    <row r="80" spans="1:32" x14ac:dyDescent="0.25">
      <c r="A80" t="str">
        <f t="shared" si="7"/>
        <v>2024-79</v>
      </c>
      <c r="B80" s="1">
        <f t="shared" si="8"/>
        <v>45455</v>
      </c>
      <c r="C80" t="str">
        <f t="shared" si="10"/>
        <v>Uber B.V. Burgenweeshuispad 301, 1076 HR Amsterdam</v>
      </c>
      <c r="D80" t="str">
        <f t="shared" si="9"/>
        <v>Ausgaben</v>
      </c>
      <c r="E80" t="str">
        <f t="shared" si="9"/>
        <v>Reise- und Fahrtspesen inkl. Kilometergeld und Diäten</v>
      </c>
      <c r="F80" s="117">
        <f t="shared" si="11"/>
        <v>36.21</v>
      </c>
      <c r="G80" t="str">
        <f t="shared" si="12"/>
        <v>10%</v>
      </c>
      <c r="I80" s="191">
        <v>2024</v>
      </c>
      <c r="J80" s="189">
        <v>79</v>
      </c>
      <c r="K80" s="71" t="s">
        <v>105</v>
      </c>
      <c r="L80" t="s">
        <v>689</v>
      </c>
      <c r="M80" s="1">
        <v>45455</v>
      </c>
      <c r="N80" t="s">
        <v>1785</v>
      </c>
      <c r="Q80" t="b">
        <v>0</v>
      </c>
      <c r="R80" s="48">
        <v>36.21</v>
      </c>
      <c r="S80" s="185">
        <v>36.21</v>
      </c>
      <c r="T80" s="72">
        <v>1</v>
      </c>
      <c r="U80" s="72">
        <v>0.1</v>
      </c>
      <c r="V80" s="185">
        <v>3.2918181818181815</v>
      </c>
      <c r="W80" s="185">
        <v>3.2918181818181815</v>
      </c>
      <c r="X80" s="185">
        <v>32.918181818181814</v>
      </c>
      <c r="Y80" s="185">
        <v>32.918181818181814</v>
      </c>
      <c r="Z80" s="192">
        <v>45519</v>
      </c>
      <c r="AB80" s="183">
        <v>32.918181818181814</v>
      </c>
      <c r="AC80" s="195">
        <v>0</v>
      </c>
      <c r="AD80" s="31">
        <v>0</v>
      </c>
      <c r="AE80" t="b">
        <v>0</v>
      </c>
      <c r="AF80" s="78">
        <v>-524.76666666666677</v>
      </c>
    </row>
    <row r="81" spans="1:32" x14ac:dyDescent="0.25">
      <c r="A81" t="str">
        <f t="shared" si="7"/>
        <v>2024-80</v>
      </c>
      <c r="B81" s="1">
        <f t="shared" si="8"/>
        <v>45456</v>
      </c>
      <c r="C81" t="str">
        <f t="shared" si="10"/>
        <v>Hetzner Online GmbH, Industriestraße 25, 91710 Gunzenhausen</v>
      </c>
      <c r="D81" t="str">
        <f t="shared" si="9"/>
        <v>Ausgaben</v>
      </c>
      <c r="E81" t="str">
        <f t="shared" si="9"/>
        <v>sonstige Betriebsausgaben</v>
      </c>
      <c r="F81" s="117">
        <f t="shared" si="11"/>
        <v>52.21</v>
      </c>
      <c r="G81" t="str">
        <f t="shared" si="12"/>
        <v>0%</v>
      </c>
      <c r="I81" s="191">
        <v>2024</v>
      </c>
      <c r="J81" s="189">
        <v>80</v>
      </c>
      <c r="K81" s="71" t="s">
        <v>105</v>
      </c>
      <c r="L81" t="s">
        <v>705</v>
      </c>
      <c r="M81" s="1">
        <v>45456</v>
      </c>
      <c r="N81" t="s">
        <v>1783</v>
      </c>
      <c r="Q81" t="b">
        <v>0</v>
      </c>
      <c r="R81" s="48">
        <v>52.21</v>
      </c>
      <c r="S81" s="185">
        <v>52.21</v>
      </c>
      <c r="T81" s="72">
        <v>1</v>
      </c>
      <c r="U81" s="72">
        <v>0</v>
      </c>
      <c r="V81" s="185">
        <v>0</v>
      </c>
      <c r="W81" s="185">
        <v>0</v>
      </c>
      <c r="X81" s="185">
        <v>52.21</v>
      </c>
      <c r="Y81" s="185">
        <v>52.21</v>
      </c>
      <c r="Z81" s="192">
        <v>45519</v>
      </c>
      <c r="AA81">
        <v>20</v>
      </c>
      <c r="AB81" s="183">
        <v>52.21</v>
      </c>
      <c r="AC81" s="195">
        <v>10.442</v>
      </c>
      <c r="AD81" s="31">
        <v>0</v>
      </c>
      <c r="AE81" t="b">
        <v>0</v>
      </c>
      <c r="AF81" s="78">
        <v>-16.8</v>
      </c>
    </row>
    <row r="82" spans="1:32" x14ac:dyDescent="0.25">
      <c r="A82" t="str">
        <f t="shared" si="7"/>
        <v>2024-81</v>
      </c>
      <c r="B82" s="1">
        <f t="shared" si="8"/>
        <v>45457</v>
      </c>
      <c r="C82" t="str">
        <f t="shared" si="10"/>
        <v>kabelplus GmbH, Südstadtzentrum 4, 2344 Maria Enzersdorf</v>
      </c>
      <c r="D82" t="str">
        <f t="shared" si="9"/>
        <v>Ausgaben</v>
      </c>
      <c r="E82" t="str">
        <f t="shared" si="9"/>
        <v>Telefon/Internet</v>
      </c>
      <c r="F82" s="117">
        <f t="shared" si="11"/>
        <v>38.4848</v>
      </c>
      <c r="G82" t="str">
        <f t="shared" si="12"/>
        <v>17,2005713119771%</v>
      </c>
      <c r="I82" s="191">
        <v>2024</v>
      </c>
      <c r="J82" s="189">
        <v>81</v>
      </c>
      <c r="K82" s="71" t="s">
        <v>105</v>
      </c>
      <c r="L82" t="s">
        <v>703</v>
      </c>
      <c r="M82" s="1">
        <v>45457</v>
      </c>
      <c r="N82" t="s">
        <v>1781</v>
      </c>
      <c r="Q82" t="b">
        <v>0</v>
      </c>
      <c r="R82" s="48">
        <v>57.44</v>
      </c>
      <c r="S82" s="185">
        <v>38.4848</v>
      </c>
      <c r="T82" s="72">
        <v>0.67</v>
      </c>
      <c r="U82" s="72">
        <v>0.17200571311977148</v>
      </c>
      <c r="V82" s="185">
        <v>8.43</v>
      </c>
      <c r="W82" s="185">
        <v>5.6481000000000003</v>
      </c>
      <c r="X82" s="185">
        <v>49.01</v>
      </c>
      <c r="Y82" s="185">
        <v>32.8367</v>
      </c>
      <c r="Z82" s="192">
        <v>45519</v>
      </c>
      <c r="AB82" s="183">
        <v>32.8367</v>
      </c>
      <c r="AC82" s="195">
        <v>0</v>
      </c>
      <c r="AD82" s="31">
        <v>1.8860000000000001</v>
      </c>
      <c r="AE82" t="b">
        <v>0</v>
      </c>
      <c r="AF82" s="78">
        <v>-9.43</v>
      </c>
    </row>
    <row r="83" spans="1:32" x14ac:dyDescent="0.25">
      <c r="A83" t="str">
        <f t="shared" si="7"/>
        <v>2024-82</v>
      </c>
      <c r="B83" s="1">
        <f t="shared" si="8"/>
        <v>45457</v>
      </c>
      <c r="C83" t="str">
        <f t="shared" si="10"/>
        <v>Hetzner Online GmbH, Industriestraße 25, 91710 Gunzenhausen</v>
      </c>
      <c r="D83" t="str">
        <f t="shared" si="9"/>
        <v>Ausgaben</v>
      </c>
      <c r="E83" t="str">
        <f t="shared" si="9"/>
        <v>sonstige Betriebsausgaben</v>
      </c>
      <c r="F83" s="117">
        <f t="shared" si="11"/>
        <v>1.76</v>
      </c>
      <c r="G83" t="str">
        <f t="shared" si="12"/>
        <v>0%</v>
      </c>
      <c r="I83" s="191">
        <v>2024</v>
      </c>
      <c r="J83" s="189">
        <v>82</v>
      </c>
      <c r="K83" s="71" t="s">
        <v>105</v>
      </c>
      <c r="L83" t="s">
        <v>705</v>
      </c>
      <c r="M83" s="1">
        <v>45457</v>
      </c>
      <c r="N83" t="s">
        <v>1783</v>
      </c>
      <c r="Q83" t="b">
        <v>0</v>
      </c>
      <c r="R83" s="48">
        <v>1.76</v>
      </c>
      <c r="S83" s="185">
        <v>1.76</v>
      </c>
      <c r="T83" s="72">
        <v>1</v>
      </c>
      <c r="U83" s="72">
        <v>0</v>
      </c>
      <c r="V83" s="185">
        <v>0</v>
      </c>
      <c r="W83" s="185">
        <v>0</v>
      </c>
      <c r="X83" s="185">
        <v>1.76</v>
      </c>
      <c r="Y83" s="185">
        <v>1.76</v>
      </c>
      <c r="Z83" s="192">
        <v>45519</v>
      </c>
      <c r="AA83">
        <v>20</v>
      </c>
      <c r="AB83" s="183">
        <v>1.76</v>
      </c>
      <c r="AC83" s="195">
        <v>0.35200000000000004</v>
      </c>
      <c r="AD83" s="31">
        <v>0</v>
      </c>
      <c r="AE83" t="b">
        <v>0</v>
      </c>
      <c r="AF83" s="78">
        <v>-5</v>
      </c>
    </row>
    <row r="84" spans="1:32" x14ac:dyDescent="0.25">
      <c r="A84" t="str">
        <f t="shared" si="7"/>
        <v>2024-83</v>
      </c>
      <c r="B84" s="1">
        <f t="shared" si="8"/>
        <v>45459</v>
      </c>
      <c r="C84" t="str">
        <f t="shared" si="10"/>
        <v>Amazon EU S. à r.l., 38 avenue John F. Kennedy, L-1855 Luxembourg</v>
      </c>
      <c r="D84" t="str">
        <f t="shared" si="9"/>
        <v>Ausgaben</v>
      </c>
      <c r="E84" t="str">
        <f t="shared" si="9"/>
        <v>Büromaterial</v>
      </c>
      <c r="F84" s="117">
        <f t="shared" si="11"/>
        <v>50.58</v>
      </c>
      <c r="G84" t="str">
        <f t="shared" si="12"/>
        <v>20%</v>
      </c>
      <c r="I84" s="191">
        <v>2024</v>
      </c>
      <c r="J84" s="189">
        <v>83</v>
      </c>
      <c r="K84" s="71" t="s">
        <v>105</v>
      </c>
      <c r="L84" t="s">
        <v>339</v>
      </c>
      <c r="M84" s="1">
        <v>45459</v>
      </c>
      <c r="N84" t="s">
        <v>979</v>
      </c>
      <c r="Q84" t="b">
        <v>0</v>
      </c>
      <c r="R84" s="48">
        <v>50.58</v>
      </c>
      <c r="S84" s="185">
        <v>50.58</v>
      </c>
      <c r="T84" s="72">
        <v>1</v>
      </c>
      <c r="U84" s="72">
        <v>0.2</v>
      </c>
      <c r="V84" s="185">
        <v>8.43</v>
      </c>
      <c r="W84" s="185">
        <v>8.43</v>
      </c>
      <c r="X84" s="185">
        <v>42.15</v>
      </c>
      <c r="Y84" s="185">
        <v>42.15</v>
      </c>
      <c r="Z84" s="192">
        <v>45519</v>
      </c>
      <c r="AB84" s="183">
        <v>42.15</v>
      </c>
      <c r="AC84" s="195">
        <v>0</v>
      </c>
      <c r="AD84" s="31">
        <v>0</v>
      </c>
      <c r="AE84" t="b">
        <v>0</v>
      </c>
      <c r="AF84" s="78">
        <v>-15</v>
      </c>
    </row>
    <row r="85" spans="1:32" x14ac:dyDescent="0.25">
      <c r="A85" t="str">
        <f t="shared" si="7"/>
        <v>2024-84</v>
      </c>
      <c r="B85" s="1">
        <f t="shared" si="8"/>
        <v>45460</v>
      </c>
      <c r="C85" t="str">
        <f t="shared" si="10"/>
        <v>Eva Jaros-Kolbitsch</v>
      </c>
      <c r="D85" t="str">
        <f t="shared" si="9"/>
        <v>Ausgaben</v>
      </c>
      <c r="E85" t="str">
        <f t="shared" si="9"/>
        <v>Personalaufwand</v>
      </c>
      <c r="F85" s="117">
        <f t="shared" si="11"/>
        <v>365</v>
      </c>
      <c r="G85" t="str">
        <f t="shared" si="12"/>
        <v>0%</v>
      </c>
      <c r="I85" s="191">
        <v>2024</v>
      </c>
      <c r="J85" s="189">
        <v>84</v>
      </c>
      <c r="K85" s="71" t="s">
        <v>105</v>
      </c>
      <c r="L85" t="s">
        <v>685</v>
      </c>
      <c r="M85" s="1">
        <v>45460</v>
      </c>
      <c r="N85" t="s">
        <v>1782</v>
      </c>
      <c r="Q85" t="b">
        <v>0</v>
      </c>
      <c r="R85" s="48">
        <v>365</v>
      </c>
      <c r="S85" s="185">
        <v>365</v>
      </c>
      <c r="T85" s="72">
        <v>1</v>
      </c>
      <c r="U85" s="72">
        <v>0</v>
      </c>
      <c r="V85" s="185">
        <v>0</v>
      </c>
      <c r="W85" s="185">
        <v>0</v>
      </c>
      <c r="X85" s="185">
        <v>365</v>
      </c>
      <c r="Y85" s="185">
        <v>365</v>
      </c>
      <c r="Z85" s="192">
        <v>45519</v>
      </c>
      <c r="AB85" s="183">
        <v>365</v>
      </c>
      <c r="AC85" s="195">
        <v>0</v>
      </c>
      <c r="AD85" s="31">
        <v>0</v>
      </c>
      <c r="AE85" t="b">
        <v>0</v>
      </c>
      <c r="AF85" s="78">
        <v>-108.36</v>
      </c>
    </row>
    <row r="86" spans="1:32" x14ac:dyDescent="0.25">
      <c r="A86" t="str">
        <f t="shared" si="7"/>
        <v>2024-85</v>
      </c>
      <c r="B86" s="1">
        <f t="shared" si="8"/>
        <v>45461</v>
      </c>
      <c r="C86" t="str">
        <f t="shared" si="10"/>
        <v>Amazon EU S. à r.l., 38 avenue John F. Kennedy, L-1855 Luxembourg</v>
      </c>
      <c r="D86" t="str">
        <f t="shared" si="9"/>
        <v>Ausgaben</v>
      </c>
      <c r="E86" t="str">
        <f t="shared" si="9"/>
        <v>Büromaterial</v>
      </c>
      <c r="F86" s="117">
        <f t="shared" si="11"/>
        <v>31.38</v>
      </c>
      <c r="G86" t="str">
        <f t="shared" si="12"/>
        <v>20%</v>
      </c>
      <c r="I86" s="191">
        <v>2024</v>
      </c>
      <c r="J86" s="189">
        <v>85</v>
      </c>
      <c r="K86" s="71" t="s">
        <v>105</v>
      </c>
      <c r="L86" t="s">
        <v>339</v>
      </c>
      <c r="M86" s="1">
        <v>45461</v>
      </c>
      <c r="N86" t="s">
        <v>979</v>
      </c>
      <c r="Q86" t="b">
        <v>0</v>
      </c>
      <c r="R86" s="48">
        <v>31.38</v>
      </c>
      <c r="S86" s="185">
        <v>31.38</v>
      </c>
      <c r="T86" s="72">
        <v>1</v>
      </c>
      <c r="U86" s="72">
        <v>0.2</v>
      </c>
      <c r="V86" s="185">
        <v>5.23</v>
      </c>
      <c r="W86" s="185">
        <v>5.23</v>
      </c>
      <c r="X86" s="185">
        <v>26.15</v>
      </c>
      <c r="Y86" s="185">
        <v>26.15</v>
      </c>
      <c r="Z86" s="192">
        <v>45519</v>
      </c>
      <c r="AB86" s="183">
        <v>26.15</v>
      </c>
      <c r="AC86" s="195">
        <v>0</v>
      </c>
      <c r="AD86" s="31">
        <v>0</v>
      </c>
      <c r="AE86" t="b">
        <v>0</v>
      </c>
      <c r="AF86" s="78">
        <v>-12</v>
      </c>
    </row>
    <row r="87" spans="1:32" x14ac:dyDescent="0.25">
      <c r="A87" t="str">
        <f t="shared" si="7"/>
        <v>2024-86</v>
      </c>
      <c r="B87" s="1">
        <f t="shared" si="8"/>
        <v>45462</v>
      </c>
      <c r="C87" t="str">
        <f t="shared" si="10"/>
        <v>Microsoft Ireland Operations Ltd. One Microsoft Place, South County, Business Park, Leopardstown, Dublin 18, D18 P521, Ireland</v>
      </c>
      <c r="D87" t="str">
        <f t="shared" si="9"/>
        <v>Ausgaben</v>
      </c>
      <c r="E87" t="str">
        <f t="shared" si="9"/>
        <v>sonstige Betriebsausgaben</v>
      </c>
      <c r="F87" s="117">
        <f t="shared" si="11"/>
        <v>11.7</v>
      </c>
      <c r="G87" t="str">
        <f t="shared" si="12"/>
        <v>0%</v>
      </c>
      <c r="I87" s="191">
        <v>2024</v>
      </c>
      <c r="J87" s="189">
        <v>86</v>
      </c>
      <c r="K87" s="71" t="s">
        <v>105</v>
      </c>
      <c r="L87" t="s">
        <v>705</v>
      </c>
      <c r="M87" s="1">
        <v>45462</v>
      </c>
      <c r="N87" t="s">
        <v>1032</v>
      </c>
      <c r="Q87" t="b">
        <v>0</v>
      </c>
      <c r="R87" s="48">
        <v>11.7</v>
      </c>
      <c r="S87" s="185">
        <v>11.7</v>
      </c>
      <c r="T87" s="72">
        <v>1</v>
      </c>
      <c r="U87" s="72">
        <v>0</v>
      </c>
      <c r="V87" s="185">
        <v>0</v>
      </c>
      <c r="W87" s="185">
        <v>0</v>
      </c>
      <c r="X87" s="185">
        <v>11.7</v>
      </c>
      <c r="Y87" s="185">
        <v>11.7</v>
      </c>
      <c r="Z87" s="192">
        <v>45519</v>
      </c>
      <c r="AA87">
        <v>20</v>
      </c>
      <c r="AB87" s="183">
        <v>11.7</v>
      </c>
      <c r="AC87" s="195">
        <v>2.34</v>
      </c>
      <c r="AD87" s="31">
        <v>10.442820000000001</v>
      </c>
      <c r="AE87" t="b">
        <v>0</v>
      </c>
      <c r="AF87" s="78">
        <v>-52.214100000000002</v>
      </c>
    </row>
    <row r="88" spans="1:32" x14ac:dyDescent="0.25">
      <c r="A88" t="str">
        <f t="shared" si="7"/>
        <v>2024-87</v>
      </c>
      <c r="B88" s="1">
        <f t="shared" si="8"/>
        <v>45463</v>
      </c>
      <c r="C88" t="str">
        <f t="shared" si="10"/>
        <v>Hays Österreich GmbH, Bahnhof City Wien West - Europaplatz 3/5, 1150 Wien</v>
      </c>
      <c r="D88" t="str">
        <f t="shared" si="9"/>
        <v>Einnahmen</v>
      </c>
      <c r="E88" t="str">
        <f t="shared" si="9"/>
        <v>Waren-/Leistungserlöse</v>
      </c>
      <c r="F88" s="117">
        <f t="shared" si="11"/>
        <v>23155.58</v>
      </c>
      <c r="G88" t="str">
        <f t="shared" si="12"/>
        <v>20%</v>
      </c>
      <c r="I88" s="191">
        <v>2024</v>
      </c>
      <c r="J88" s="189">
        <v>87</v>
      </c>
      <c r="K88" s="71" t="s">
        <v>708</v>
      </c>
      <c r="L88" t="s">
        <v>709</v>
      </c>
      <c r="M88" s="1">
        <v>45463</v>
      </c>
      <c r="N88" t="s">
        <v>1788</v>
      </c>
      <c r="R88" s="48">
        <v>23155.58</v>
      </c>
      <c r="S88" s="185">
        <v>23155.58</v>
      </c>
      <c r="T88" s="72">
        <v>1</v>
      </c>
      <c r="U88" s="72">
        <v>0.2</v>
      </c>
      <c r="V88" s="185">
        <v>3859.2633333333342</v>
      </c>
      <c r="W88" s="185">
        <v>3859.2633333333342</v>
      </c>
      <c r="X88" s="185">
        <v>19296.316666666669</v>
      </c>
      <c r="Y88" s="185">
        <v>19296.316666666669</v>
      </c>
      <c r="Z88" s="192">
        <v>45519</v>
      </c>
      <c r="AB88" s="183">
        <v>19296.316666666669</v>
      </c>
      <c r="AC88" s="195">
        <v>0</v>
      </c>
      <c r="AD88" s="31">
        <v>0</v>
      </c>
      <c r="AE88" t="b">
        <v>0</v>
      </c>
      <c r="AF88" s="78">
        <v>-365</v>
      </c>
    </row>
    <row r="89" spans="1:32" x14ac:dyDescent="0.25">
      <c r="A89" t="str">
        <f t="shared" si="7"/>
        <v>2024-88</v>
      </c>
      <c r="B89" s="1">
        <f t="shared" si="8"/>
        <v>45462</v>
      </c>
      <c r="C89" t="str">
        <f t="shared" si="10"/>
        <v>Microsoft Ireland Operations Ltd. One Microsoft Place, South County, Business Park, Leopardstown, Dublin 18, D18 P521, Ireland</v>
      </c>
      <c r="D89" t="str">
        <f t="shared" si="9"/>
        <v>Ausgaben</v>
      </c>
      <c r="E89" t="str">
        <f t="shared" si="9"/>
        <v>sonstige Betriebsausgaben</v>
      </c>
      <c r="F89" s="117">
        <f t="shared" si="11"/>
        <v>69</v>
      </c>
      <c r="G89" t="str">
        <f t="shared" si="12"/>
        <v>20%</v>
      </c>
      <c r="I89" s="191">
        <v>2024</v>
      </c>
      <c r="J89" s="189">
        <v>88</v>
      </c>
      <c r="K89" s="71" t="s">
        <v>105</v>
      </c>
      <c r="L89" t="s">
        <v>705</v>
      </c>
      <c r="M89" s="1">
        <v>45462</v>
      </c>
      <c r="N89" t="s">
        <v>1032</v>
      </c>
      <c r="Q89" t="b">
        <v>0</v>
      </c>
      <c r="R89" s="48">
        <v>69</v>
      </c>
      <c r="S89" s="185">
        <v>69</v>
      </c>
      <c r="T89" s="72">
        <v>1</v>
      </c>
      <c r="U89" s="72">
        <v>0.2</v>
      </c>
      <c r="V89" s="185">
        <v>11.5</v>
      </c>
      <c r="W89" s="185">
        <v>11.5</v>
      </c>
      <c r="X89" s="185">
        <v>57.5</v>
      </c>
      <c r="Y89" s="185">
        <v>57.5</v>
      </c>
      <c r="Z89" s="192">
        <v>45519</v>
      </c>
      <c r="AB89" s="183">
        <v>57.5</v>
      </c>
      <c r="AC89" s="195">
        <v>0</v>
      </c>
      <c r="AD89" s="31">
        <v>0</v>
      </c>
      <c r="AE89" t="b">
        <v>0</v>
      </c>
      <c r="AF89" s="78">
        <v>-122.6</v>
      </c>
    </row>
    <row r="90" spans="1:32" x14ac:dyDescent="0.25">
      <c r="A90" t="str">
        <f t="shared" si="7"/>
        <v>2024-89</v>
      </c>
      <c r="B90" s="1">
        <f t="shared" si="8"/>
        <v>45468</v>
      </c>
      <c r="C90" t="str">
        <f t="shared" si="10"/>
        <v>EVN Wasser GmbH</v>
      </c>
      <c r="D90" t="str">
        <f t="shared" si="9"/>
        <v>Ausgaben</v>
      </c>
      <c r="E90" t="str">
        <f t="shared" si="9"/>
        <v>sonstige Betriebsausgaben</v>
      </c>
      <c r="F90" s="117">
        <f t="shared" si="11"/>
        <v>5.0684845041974373</v>
      </c>
      <c r="G90" t="str">
        <f t="shared" si="12"/>
        <v>10%</v>
      </c>
      <c r="I90" s="191">
        <v>2024</v>
      </c>
      <c r="J90" s="189">
        <v>89</v>
      </c>
      <c r="K90" s="71" t="s">
        <v>105</v>
      </c>
      <c r="L90" t="s">
        <v>705</v>
      </c>
      <c r="M90" s="1">
        <v>45468</v>
      </c>
      <c r="N90" t="s">
        <v>1793</v>
      </c>
      <c r="Q90" t="b">
        <v>0</v>
      </c>
      <c r="R90" s="109">
        <v>55</v>
      </c>
      <c r="S90" s="185">
        <v>5.0684845041974373</v>
      </c>
      <c r="T90" s="72">
        <v>9.2154263712680679E-2</v>
      </c>
      <c r="U90" s="72">
        <v>0.1</v>
      </c>
      <c r="V90" s="185">
        <v>5</v>
      </c>
      <c r="W90" s="185">
        <v>0.46077131856340336</v>
      </c>
      <c r="X90" s="185">
        <v>49.999999999999993</v>
      </c>
      <c r="Y90" s="185">
        <v>4.607713185634033</v>
      </c>
      <c r="Z90" s="192">
        <v>45519</v>
      </c>
      <c r="AB90" s="183">
        <v>4.607713185634033</v>
      </c>
      <c r="AC90" s="195">
        <v>0</v>
      </c>
      <c r="AD90" s="31">
        <v>0</v>
      </c>
      <c r="AE90" t="b">
        <v>0</v>
      </c>
      <c r="AF90" s="78">
        <v>17523</v>
      </c>
    </row>
    <row r="91" spans="1:32" x14ac:dyDescent="0.25">
      <c r="A91" t="str">
        <f t="shared" si="7"/>
        <v>2024-90</v>
      </c>
      <c r="B91" s="1">
        <f t="shared" si="8"/>
        <v>45468</v>
      </c>
      <c r="C91" t="str">
        <f t="shared" si="10"/>
        <v>OpenAI, LLC, 548 Market Street, PMB 97273, San Francisco, California 94104-5401, United States</v>
      </c>
      <c r="D91" t="str">
        <f t="shared" si="9"/>
        <v>Ausgaben</v>
      </c>
      <c r="E91" t="str">
        <f t="shared" si="9"/>
        <v>sonstige Betriebsausgaben</v>
      </c>
      <c r="F91" s="117">
        <f t="shared" si="11"/>
        <v>55</v>
      </c>
      <c r="G91" t="str">
        <f t="shared" si="12"/>
        <v>20%</v>
      </c>
      <c r="I91" s="191">
        <v>2024</v>
      </c>
      <c r="J91" s="189">
        <v>90</v>
      </c>
      <c r="K91" s="71" t="s">
        <v>105</v>
      </c>
      <c r="L91" t="s">
        <v>705</v>
      </c>
      <c r="M91" s="1">
        <v>45468</v>
      </c>
      <c r="N91" t="s">
        <v>1794</v>
      </c>
      <c r="Q91" t="b">
        <v>0</v>
      </c>
      <c r="R91" s="157">
        <v>55</v>
      </c>
      <c r="S91" s="185">
        <v>55</v>
      </c>
      <c r="T91" s="72">
        <v>1</v>
      </c>
      <c r="U91" s="72">
        <v>0.2</v>
      </c>
      <c r="V91" s="185">
        <v>9.1133333333333351</v>
      </c>
      <c r="W91" s="185">
        <v>9.1133333333333351</v>
      </c>
      <c r="X91" s="185">
        <v>45.56666666666667</v>
      </c>
      <c r="Y91" s="185">
        <v>45.56666666666667</v>
      </c>
      <c r="Z91" s="192">
        <v>45519</v>
      </c>
      <c r="AB91" s="183">
        <v>45.56666666666667</v>
      </c>
      <c r="AC91" s="195">
        <v>0</v>
      </c>
      <c r="AD91" s="31">
        <v>0</v>
      </c>
      <c r="AE91" t="b">
        <v>0</v>
      </c>
      <c r="AF91" s="78">
        <v>-31.92</v>
      </c>
    </row>
    <row r="92" spans="1:32" x14ac:dyDescent="0.25">
      <c r="A92" t="str">
        <f t="shared" si="7"/>
        <v>2024-91</v>
      </c>
      <c r="B92" s="1">
        <f t="shared" si="8"/>
        <v>45470</v>
      </c>
      <c r="C92" t="str">
        <f t="shared" si="10"/>
        <v>Amazon EU S. à r.l., 38 avenue John F. Kennedy, L-1855 Luxembourg</v>
      </c>
      <c r="D92" t="str">
        <f t="shared" si="9"/>
        <v>Ausgaben</v>
      </c>
      <c r="E92" t="str">
        <f t="shared" si="9"/>
        <v>Büromaterial</v>
      </c>
      <c r="F92" s="117">
        <f t="shared" si="11"/>
        <v>557.88</v>
      </c>
      <c r="G92" t="str">
        <f t="shared" si="12"/>
        <v>20%</v>
      </c>
      <c r="I92" s="191">
        <v>2024</v>
      </c>
      <c r="J92" s="189">
        <v>91</v>
      </c>
      <c r="K92" s="71" t="s">
        <v>105</v>
      </c>
      <c r="L92" t="s">
        <v>339</v>
      </c>
      <c r="M92" s="1">
        <v>45470</v>
      </c>
      <c r="N92" t="s">
        <v>979</v>
      </c>
      <c r="Q92" t="b">
        <v>0</v>
      </c>
      <c r="R92" s="48">
        <v>557.88</v>
      </c>
      <c r="S92" s="185">
        <v>557.88</v>
      </c>
      <c r="T92" s="72">
        <v>1</v>
      </c>
      <c r="U92" s="72">
        <v>0.2</v>
      </c>
      <c r="V92" s="185">
        <v>92.980000000000018</v>
      </c>
      <c r="W92" s="185">
        <v>92.980000000000018</v>
      </c>
      <c r="X92" s="185">
        <v>464.90000000000003</v>
      </c>
      <c r="Y92" s="185">
        <v>464.90000000000003</v>
      </c>
      <c r="Z92" s="192">
        <v>45519</v>
      </c>
      <c r="AB92" s="183">
        <v>464.90000000000003</v>
      </c>
      <c r="AC92" s="195">
        <v>0</v>
      </c>
      <c r="AD92" s="31">
        <v>2.1</v>
      </c>
      <c r="AE92" t="b">
        <v>0</v>
      </c>
      <c r="AF92" s="78">
        <v>-10.5</v>
      </c>
    </row>
    <row r="93" spans="1:32" x14ac:dyDescent="0.25">
      <c r="A93" t="str">
        <f t="shared" si="7"/>
        <v>2024-92</v>
      </c>
      <c r="B93" s="1">
        <f t="shared" si="8"/>
        <v>45474</v>
      </c>
      <c r="C93" t="str">
        <f t="shared" si="10"/>
        <v>ZT DI Dr. Arno Kolbitsch, Gütleweg 1, 6822 Satteins</v>
      </c>
      <c r="D93" t="str">
        <f t="shared" si="9"/>
        <v>Einnahmen</v>
      </c>
      <c r="E93" t="str">
        <f t="shared" si="9"/>
        <v>Waren-/Leistungserlöse</v>
      </c>
      <c r="F93" s="117">
        <f t="shared" si="11"/>
        <v>1409.76</v>
      </c>
      <c r="G93" t="str">
        <f t="shared" si="12"/>
        <v>20%</v>
      </c>
      <c r="I93" s="191">
        <v>2024</v>
      </c>
      <c r="J93" s="189">
        <v>92</v>
      </c>
      <c r="K93" s="71" t="s">
        <v>708</v>
      </c>
      <c r="L93" t="s">
        <v>709</v>
      </c>
      <c r="M93" s="1">
        <v>45474</v>
      </c>
      <c r="N93" t="s">
        <v>1038</v>
      </c>
      <c r="R93" s="48">
        <v>1409.76</v>
      </c>
      <c r="S93" s="185">
        <v>1409.76</v>
      </c>
      <c r="T93" s="72">
        <v>1</v>
      </c>
      <c r="U93" s="72">
        <v>0.2</v>
      </c>
      <c r="V93" s="185">
        <v>234.96</v>
      </c>
      <c r="W93" s="185">
        <v>234.96</v>
      </c>
      <c r="X93" s="185">
        <v>1174.8</v>
      </c>
      <c r="Y93" s="185">
        <v>1174.8</v>
      </c>
      <c r="Z93" s="192">
        <v>45611</v>
      </c>
      <c r="AB93" s="183">
        <v>1174.8</v>
      </c>
      <c r="AC93" s="195">
        <v>0</v>
      </c>
      <c r="AD93" s="31">
        <v>0</v>
      </c>
      <c r="AE93" t="b">
        <v>0</v>
      </c>
      <c r="AF93" s="78">
        <v>-12.08</v>
      </c>
    </row>
    <row r="94" spans="1:32" x14ac:dyDescent="0.25">
      <c r="A94" t="str">
        <f t="shared" si="7"/>
        <v>2024-93</v>
      </c>
      <c r="B94" s="1">
        <f t="shared" si="8"/>
        <v>45475</v>
      </c>
      <c r="C94" t="str">
        <f t="shared" si="10"/>
        <v>Hutchison Drei Austria GmbH, Brünner Straße 52, 1210 Wien, Österreich</v>
      </c>
      <c r="D94" t="str">
        <f t="shared" si="9"/>
        <v>Ausgaben</v>
      </c>
      <c r="E94" t="str">
        <f t="shared" si="9"/>
        <v>Telefon/Internet</v>
      </c>
      <c r="F94" s="117">
        <f t="shared" si="11"/>
        <v>13.91</v>
      </c>
      <c r="G94" t="str">
        <f t="shared" si="12"/>
        <v>20%</v>
      </c>
      <c r="I94" s="191">
        <v>2024</v>
      </c>
      <c r="J94" s="189">
        <v>93</v>
      </c>
      <c r="K94" s="71" t="s">
        <v>105</v>
      </c>
      <c r="L94" t="s">
        <v>703</v>
      </c>
      <c r="M94" s="1">
        <v>45475</v>
      </c>
      <c r="N94" t="s">
        <v>34</v>
      </c>
      <c r="Q94" t="b">
        <v>0</v>
      </c>
      <c r="R94" s="48">
        <v>13.91</v>
      </c>
      <c r="S94" s="185">
        <v>13.91</v>
      </c>
      <c r="T94" s="72">
        <v>1</v>
      </c>
      <c r="U94" s="72">
        <v>0.2</v>
      </c>
      <c r="V94" s="185">
        <v>2.3183333333333334</v>
      </c>
      <c r="W94" s="185">
        <v>2.3183333333333334</v>
      </c>
      <c r="X94" s="185">
        <v>11.591666666666667</v>
      </c>
      <c r="Y94" s="185">
        <v>11.591666666666667</v>
      </c>
      <c r="Z94" s="192">
        <v>45611</v>
      </c>
      <c r="AB94" s="183">
        <v>11.591666666666667</v>
      </c>
      <c r="AC94" s="195">
        <v>0</v>
      </c>
      <c r="AD94" s="31">
        <v>0</v>
      </c>
      <c r="AE94" t="b">
        <v>0</v>
      </c>
      <c r="AF94" s="78">
        <v>-524.76666666666677</v>
      </c>
    </row>
    <row r="95" spans="1:32" x14ac:dyDescent="0.25">
      <c r="A95" t="str">
        <f t="shared" si="7"/>
        <v>2024-94</v>
      </c>
      <c r="B95" s="1">
        <f t="shared" si="8"/>
        <v>45476</v>
      </c>
      <c r="C95" t="str">
        <f t="shared" si="10"/>
        <v>JLW - Jugend und Lebenswelt, Bahnhofsplatz 2, 3100 St Pölten</v>
      </c>
      <c r="D95" t="str">
        <f t="shared" si="9"/>
        <v>Einnahmen</v>
      </c>
      <c r="E95" t="str">
        <f t="shared" si="9"/>
        <v>Waren-/Leistungserlöse</v>
      </c>
      <c r="F95" s="117">
        <f t="shared" si="11"/>
        <v>155.46</v>
      </c>
      <c r="G95" t="str">
        <f t="shared" si="12"/>
        <v>20%</v>
      </c>
      <c r="I95" s="191">
        <v>2024</v>
      </c>
      <c r="J95" s="189">
        <v>94</v>
      </c>
      <c r="K95" s="71" t="s">
        <v>708</v>
      </c>
      <c r="L95" t="s">
        <v>709</v>
      </c>
      <c r="M95" s="1">
        <v>45476</v>
      </c>
      <c r="N95" t="s">
        <v>1806</v>
      </c>
      <c r="R95" s="48">
        <v>155.46</v>
      </c>
      <c r="S95" s="185">
        <v>155.46</v>
      </c>
      <c r="T95" s="72">
        <v>1</v>
      </c>
      <c r="U95" s="72">
        <v>0.2</v>
      </c>
      <c r="V95" s="185">
        <v>25.910000000000004</v>
      </c>
      <c r="W95" s="185">
        <v>25.910000000000004</v>
      </c>
      <c r="X95" s="185">
        <v>129.55000000000001</v>
      </c>
      <c r="Y95" s="185">
        <v>129.55000000000001</v>
      </c>
      <c r="Z95" s="192">
        <v>45611</v>
      </c>
      <c r="AB95" s="183">
        <v>129.55000000000001</v>
      </c>
      <c r="AC95" s="195">
        <v>0</v>
      </c>
      <c r="AD95" s="31">
        <v>2.08</v>
      </c>
      <c r="AE95" t="b">
        <v>0</v>
      </c>
      <c r="AF95" s="78">
        <v>-10.4</v>
      </c>
    </row>
    <row r="96" spans="1:32" x14ac:dyDescent="0.25">
      <c r="A96" t="str">
        <f t="shared" si="7"/>
        <v>2024-95</v>
      </c>
      <c r="B96" s="1">
        <f t="shared" si="8"/>
        <v>45476</v>
      </c>
      <c r="C96" t="str">
        <f t="shared" si="10"/>
        <v>Google Ireland Ltd, Gordon House, Barrow Street, Dublin 4, Ireland; VAT number: IE 6388047V</v>
      </c>
      <c r="D96" t="str">
        <f t="shared" si="9"/>
        <v>Ausgaben</v>
      </c>
      <c r="E96" t="str">
        <f t="shared" si="9"/>
        <v>sonstige Betriebsausgaben</v>
      </c>
      <c r="F96" s="117">
        <f t="shared" si="11"/>
        <v>13.8</v>
      </c>
      <c r="G96" t="str">
        <f t="shared" si="12"/>
        <v>0%</v>
      </c>
      <c r="I96" s="191">
        <v>2024</v>
      </c>
      <c r="J96" s="189">
        <v>95</v>
      </c>
      <c r="K96" s="71" t="s">
        <v>105</v>
      </c>
      <c r="L96" t="s">
        <v>705</v>
      </c>
      <c r="M96" s="1">
        <v>45476</v>
      </c>
      <c r="N96" t="s">
        <v>1404</v>
      </c>
      <c r="Q96" t="b">
        <v>0</v>
      </c>
      <c r="R96" s="48">
        <v>13.8</v>
      </c>
      <c r="S96" s="185">
        <v>13.8</v>
      </c>
      <c r="T96" s="72">
        <v>1</v>
      </c>
      <c r="U96" s="72">
        <v>0</v>
      </c>
      <c r="V96" s="185">
        <v>0</v>
      </c>
      <c r="W96" s="185">
        <v>0</v>
      </c>
      <c r="X96" s="185">
        <v>13.8</v>
      </c>
      <c r="Y96" s="185">
        <v>13.8</v>
      </c>
      <c r="Z96" s="192">
        <v>45611</v>
      </c>
      <c r="AA96">
        <v>20</v>
      </c>
      <c r="AB96" s="183">
        <v>13.8</v>
      </c>
      <c r="AC96" s="195">
        <v>2.7600000000000002</v>
      </c>
      <c r="AD96" s="31">
        <v>0</v>
      </c>
      <c r="AE96" t="b">
        <v>0</v>
      </c>
      <c r="AF96" s="78">
        <v>-31.71</v>
      </c>
    </row>
    <row r="97" spans="1:32" x14ac:dyDescent="0.25">
      <c r="A97" t="str">
        <f t="shared" si="7"/>
        <v>2024-96</v>
      </c>
      <c r="B97" s="1">
        <f t="shared" si="8"/>
        <v>45483</v>
      </c>
      <c r="C97" t="str">
        <f t="shared" si="10"/>
        <v>LG Korneuburg: 33 Fr 1261/24 i - 3</v>
      </c>
      <c r="D97" t="str">
        <f t="shared" si="9"/>
        <v>Ausgaben</v>
      </c>
      <c r="E97" t="str">
        <f t="shared" si="9"/>
        <v>sonstige Betriebsausgaben</v>
      </c>
      <c r="F97" s="117">
        <f t="shared" si="11"/>
        <v>19</v>
      </c>
      <c r="G97" t="str">
        <f t="shared" si="12"/>
        <v>0%</v>
      </c>
      <c r="I97" s="191">
        <v>2024</v>
      </c>
      <c r="J97" s="189">
        <v>96</v>
      </c>
      <c r="K97" s="71" t="s">
        <v>105</v>
      </c>
      <c r="L97" t="s">
        <v>705</v>
      </c>
      <c r="M97" s="1">
        <v>45483</v>
      </c>
      <c r="N97" t="s">
        <v>1807</v>
      </c>
      <c r="Q97" t="b">
        <v>0</v>
      </c>
      <c r="R97" s="48">
        <v>19</v>
      </c>
      <c r="S97" s="185">
        <v>19</v>
      </c>
      <c r="T97" s="72">
        <v>1</v>
      </c>
      <c r="U97" s="72">
        <v>0</v>
      </c>
      <c r="V97" s="185">
        <v>0</v>
      </c>
      <c r="W97" s="185">
        <v>0</v>
      </c>
      <c r="X97" s="185">
        <v>19</v>
      </c>
      <c r="Y97" s="185">
        <v>19</v>
      </c>
      <c r="Z97" s="192">
        <v>45611</v>
      </c>
      <c r="AB97" s="183">
        <v>19</v>
      </c>
      <c r="AC97" s="195">
        <v>0</v>
      </c>
      <c r="AD97" s="31">
        <v>0</v>
      </c>
      <c r="AE97" t="b">
        <v>0</v>
      </c>
      <c r="AF97" s="78">
        <v>-5</v>
      </c>
    </row>
    <row r="98" spans="1:32" x14ac:dyDescent="0.25">
      <c r="A98" t="str">
        <f t="shared" si="7"/>
        <v>2024-97</v>
      </c>
      <c r="B98" s="1">
        <f t="shared" si="8"/>
        <v>45484</v>
      </c>
      <c r="C98" t="str">
        <f t="shared" si="10"/>
        <v>Hetzner Online GmbH, Industriestraße 25, 91710 Gunzenhausen</v>
      </c>
      <c r="D98" t="str">
        <f t="shared" ref="D98:E129" si="13">K98</f>
        <v>Ausgaben</v>
      </c>
      <c r="E98" t="str">
        <f t="shared" si="13"/>
        <v>sonstige Betriebsausgaben</v>
      </c>
      <c r="F98" s="117">
        <f t="shared" si="11"/>
        <v>52.21</v>
      </c>
      <c r="G98" t="str">
        <f t="shared" si="12"/>
        <v>0%</v>
      </c>
      <c r="I98" s="191">
        <v>2024</v>
      </c>
      <c r="J98" s="189">
        <v>97</v>
      </c>
      <c r="K98" s="71" t="s">
        <v>105</v>
      </c>
      <c r="L98" t="s">
        <v>705</v>
      </c>
      <c r="M98" s="1">
        <v>45484</v>
      </c>
      <c r="N98" t="s">
        <v>1783</v>
      </c>
      <c r="Q98" t="b">
        <v>0</v>
      </c>
      <c r="R98" s="48">
        <v>52.21</v>
      </c>
      <c r="S98" s="185">
        <v>52.21</v>
      </c>
      <c r="T98" s="72">
        <v>1</v>
      </c>
      <c r="U98" s="72">
        <v>0</v>
      </c>
      <c r="V98" s="185">
        <v>0</v>
      </c>
      <c r="W98" s="185">
        <v>0</v>
      </c>
      <c r="X98" s="185">
        <v>52.21</v>
      </c>
      <c r="Y98" s="185">
        <v>52.21</v>
      </c>
      <c r="Z98" s="192">
        <v>45611</v>
      </c>
      <c r="AA98">
        <v>20</v>
      </c>
      <c r="AB98" s="183">
        <v>52.21</v>
      </c>
      <c r="AC98" s="195">
        <v>10.442</v>
      </c>
      <c r="AD98" s="31">
        <v>0</v>
      </c>
      <c r="AE98" t="b">
        <v>0</v>
      </c>
      <c r="AF98" s="78">
        <v>-38.81</v>
      </c>
    </row>
    <row r="99" spans="1:32" x14ac:dyDescent="0.25">
      <c r="A99" t="str">
        <f t="shared" si="7"/>
        <v>2024-98</v>
      </c>
      <c r="B99" s="1">
        <f t="shared" si="8"/>
        <v>45488</v>
      </c>
      <c r="C99" t="str">
        <f t="shared" si="10"/>
        <v>kabelplus GmbH, Südstadtzentrum 4, 2344 Maria Enzersdorf</v>
      </c>
      <c r="D99" t="str">
        <f t="shared" si="13"/>
        <v>Ausgaben</v>
      </c>
      <c r="E99" t="str">
        <f t="shared" si="13"/>
        <v>Telefon/Internet</v>
      </c>
      <c r="F99" s="117">
        <f t="shared" si="11"/>
        <v>37.319000000000003</v>
      </c>
      <c r="G99" t="str">
        <f t="shared" si="12"/>
        <v>17,2138047138047%</v>
      </c>
      <c r="I99" s="191">
        <v>2024</v>
      </c>
      <c r="J99" s="189">
        <v>98</v>
      </c>
      <c r="K99" s="71" t="s">
        <v>105</v>
      </c>
      <c r="L99" t="s">
        <v>703</v>
      </c>
      <c r="M99" s="1">
        <v>45488</v>
      </c>
      <c r="N99" t="s">
        <v>1781</v>
      </c>
      <c r="Q99" t="b">
        <v>0</v>
      </c>
      <c r="R99" s="48">
        <v>55.7</v>
      </c>
      <c r="S99" s="185">
        <v>37.319000000000003</v>
      </c>
      <c r="T99" s="72">
        <v>0.67</v>
      </c>
      <c r="U99" s="72">
        <v>0.17213804713804712</v>
      </c>
      <c r="V99" s="185">
        <v>8.18</v>
      </c>
      <c r="W99" s="185">
        <v>5.4805999999999999</v>
      </c>
      <c r="X99" s="185">
        <v>47.52</v>
      </c>
      <c r="Y99" s="185">
        <v>31.838400000000004</v>
      </c>
      <c r="Z99" s="192">
        <v>45611</v>
      </c>
      <c r="AB99" s="183">
        <v>31.838400000000004</v>
      </c>
      <c r="AC99" s="195">
        <v>0</v>
      </c>
      <c r="AD99" s="31">
        <v>0</v>
      </c>
      <c r="AE99" t="b">
        <v>0</v>
      </c>
      <c r="AF99" s="78">
        <v>-122.6</v>
      </c>
    </row>
    <row r="100" spans="1:32" x14ac:dyDescent="0.25">
      <c r="A100" t="str">
        <f t="shared" si="7"/>
        <v>2024-99</v>
      </c>
      <c r="B100" s="1">
        <f t="shared" si="8"/>
        <v>45488</v>
      </c>
      <c r="C100" t="str">
        <f t="shared" si="10"/>
        <v>Eva Jaros-Kolbitsch</v>
      </c>
      <c r="D100" t="str">
        <f t="shared" si="13"/>
        <v>Ausgaben</v>
      </c>
      <c r="E100" t="str">
        <f t="shared" si="13"/>
        <v>Personalaufwand</v>
      </c>
      <c r="F100" s="117">
        <f t="shared" si="11"/>
        <v>365</v>
      </c>
      <c r="G100" t="str">
        <f t="shared" si="12"/>
        <v>0%</v>
      </c>
      <c r="I100" s="191">
        <v>2024</v>
      </c>
      <c r="J100" s="189">
        <v>99</v>
      </c>
      <c r="K100" s="71" t="s">
        <v>105</v>
      </c>
      <c r="L100" t="s">
        <v>685</v>
      </c>
      <c r="M100" s="1">
        <v>45488</v>
      </c>
      <c r="N100" t="s">
        <v>1782</v>
      </c>
      <c r="Q100" t="b">
        <v>0</v>
      </c>
      <c r="R100" s="48">
        <v>365</v>
      </c>
      <c r="S100" s="185">
        <v>365</v>
      </c>
      <c r="T100" s="72">
        <v>1</v>
      </c>
      <c r="U100" s="72">
        <v>0</v>
      </c>
      <c r="V100" s="185">
        <v>0</v>
      </c>
      <c r="W100" s="185">
        <v>0</v>
      </c>
      <c r="X100" s="185">
        <v>365</v>
      </c>
      <c r="Y100" s="185">
        <v>365</v>
      </c>
      <c r="Z100" s="192">
        <v>45611</v>
      </c>
      <c r="AB100" s="183">
        <v>365</v>
      </c>
      <c r="AC100" s="195">
        <v>0</v>
      </c>
      <c r="AD100" s="31">
        <v>0</v>
      </c>
      <c r="AE100" t="b">
        <v>0</v>
      </c>
      <c r="AF100" s="78">
        <v>-48.98</v>
      </c>
    </row>
    <row r="101" spans="1:32" x14ac:dyDescent="0.25">
      <c r="A101" t="str">
        <f t="shared" si="7"/>
        <v>2024-100</v>
      </c>
      <c r="B101" s="1">
        <f t="shared" si="8"/>
        <v>45489</v>
      </c>
      <c r="C101" t="str">
        <f t="shared" si="10"/>
        <v>Hetzner Online GmbH, Industriestraße 25, 91710 Gunzenhausen</v>
      </c>
      <c r="D101" t="str">
        <f t="shared" si="13"/>
        <v>Ausgaben</v>
      </c>
      <c r="E101" t="str">
        <f t="shared" si="13"/>
        <v>sonstige Betriebsausgaben</v>
      </c>
      <c r="F101" s="117">
        <f t="shared" si="11"/>
        <v>1.76</v>
      </c>
      <c r="G101" t="str">
        <f t="shared" si="12"/>
        <v>0%</v>
      </c>
      <c r="I101" s="191">
        <v>2024</v>
      </c>
      <c r="J101" s="189">
        <v>100</v>
      </c>
      <c r="K101" s="71" t="s">
        <v>105</v>
      </c>
      <c r="L101" t="s">
        <v>705</v>
      </c>
      <c r="M101" s="1">
        <v>45489</v>
      </c>
      <c r="N101" t="s">
        <v>1783</v>
      </c>
      <c r="Q101" t="b">
        <v>0</v>
      </c>
      <c r="R101" s="48">
        <v>1.76</v>
      </c>
      <c r="S101" s="185">
        <v>1.76</v>
      </c>
      <c r="T101" s="72">
        <v>1</v>
      </c>
      <c r="U101" s="72">
        <v>0</v>
      </c>
      <c r="V101" s="185">
        <v>0</v>
      </c>
      <c r="W101" s="185">
        <v>0</v>
      </c>
      <c r="X101" s="185">
        <v>1.76</v>
      </c>
      <c r="Y101" s="185">
        <v>1.76</v>
      </c>
      <c r="Z101" s="192">
        <v>45611</v>
      </c>
      <c r="AA101">
        <v>20</v>
      </c>
      <c r="AB101" s="183">
        <v>1.76</v>
      </c>
      <c r="AC101" s="195">
        <v>0.35200000000000004</v>
      </c>
      <c r="AD101" s="31">
        <v>5.4820000000000002</v>
      </c>
      <c r="AE101" t="b">
        <v>0</v>
      </c>
      <c r="AF101" s="78">
        <v>-27.41</v>
      </c>
    </row>
    <row r="102" spans="1:32" x14ac:dyDescent="0.25">
      <c r="A102" t="str">
        <f t="shared" si="7"/>
        <v>2024-101</v>
      </c>
      <c r="B102" s="1">
        <f t="shared" si="8"/>
        <v>45489</v>
      </c>
      <c r="C102" t="str">
        <f t="shared" si="10"/>
        <v>Hays Österreich GmbH, Bahnhof City Wien West - Europaplatz 3/5, 1150 Wien</v>
      </c>
      <c r="D102" t="str">
        <f t="shared" si="13"/>
        <v>Einnahmen</v>
      </c>
      <c r="E102" t="str">
        <f t="shared" si="13"/>
        <v>Waren-/Leistungserlöse</v>
      </c>
      <c r="F102" s="117">
        <f t="shared" si="11"/>
        <v>20610.82</v>
      </c>
      <c r="G102" t="str">
        <f t="shared" si="12"/>
        <v>20%</v>
      </c>
      <c r="I102" s="191">
        <v>2024</v>
      </c>
      <c r="J102" s="189">
        <v>101</v>
      </c>
      <c r="K102" s="71" t="s">
        <v>708</v>
      </c>
      <c r="L102" t="s">
        <v>709</v>
      </c>
      <c r="M102" s="1">
        <v>45489</v>
      </c>
      <c r="N102" t="s">
        <v>1788</v>
      </c>
      <c r="R102" s="48">
        <v>20610.82</v>
      </c>
      <c r="S102" s="185">
        <v>20610.82</v>
      </c>
      <c r="T102" s="72">
        <v>1</v>
      </c>
      <c r="U102" s="72">
        <v>0.2</v>
      </c>
      <c r="V102" s="185">
        <v>3435.1366666666672</v>
      </c>
      <c r="W102" s="185">
        <v>3435.1366666666672</v>
      </c>
      <c r="X102" s="185">
        <v>17175.683333333334</v>
      </c>
      <c r="Y102" s="185">
        <v>17175.683333333334</v>
      </c>
      <c r="Z102" s="192">
        <v>45611</v>
      </c>
      <c r="AB102" s="183">
        <v>17175.683333333334</v>
      </c>
      <c r="AC102" s="195">
        <v>0</v>
      </c>
      <c r="AD102" s="31">
        <v>0</v>
      </c>
      <c r="AE102" t="b">
        <v>0</v>
      </c>
      <c r="AF102" s="78">
        <v>-12</v>
      </c>
    </row>
    <row r="103" spans="1:32" x14ac:dyDescent="0.25">
      <c r="A103" t="str">
        <f t="shared" si="7"/>
        <v>2024-102</v>
      </c>
      <c r="B103" s="1">
        <f t="shared" si="8"/>
        <v>45490</v>
      </c>
      <c r="C103" t="str">
        <f t="shared" si="10"/>
        <v>ipc computer, Hauptstraße 37, 77960 Seelbach, Deutschland</v>
      </c>
      <c r="D103" t="str">
        <f t="shared" si="13"/>
        <v>Ausgaben</v>
      </c>
      <c r="E103" t="str">
        <f t="shared" si="13"/>
        <v>sonstige Betriebsausgaben</v>
      </c>
      <c r="F103" s="117">
        <f t="shared" si="11"/>
        <v>84.51</v>
      </c>
      <c r="G103" t="str">
        <f t="shared" si="12"/>
        <v>0%</v>
      </c>
      <c r="I103" s="191">
        <v>2024</v>
      </c>
      <c r="J103" s="189">
        <v>102</v>
      </c>
      <c r="K103" s="71" t="s">
        <v>105</v>
      </c>
      <c r="L103" t="s">
        <v>705</v>
      </c>
      <c r="M103" s="1">
        <v>45490</v>
      </c>
      <c r="N103" t="s">
        <v>1808</v>
      </c>
      <c r="P103" t="s">
        <v>958</v>
      </c>
      <c r="Q103" t="b">
        <v>0</v>
      </c>
      <c r="R103" s="48">
        <v>84.51</v>
      </c>
      <c r="S103" s="185">
        <v>84.51</v>
      </c>
      <c r="T103" s="72">
        <v>1</v>
      </c>
      <c r="U103" s="72">
        <v>0</v>
      </c>
      <c r="V103" s="185">
        <v>0</v>
      </c>
      <c r="W103" s="185">
        <v>0</v>
      </c>
      <c r="X103" s="185">
        <v>84.51</v>
      </c>
      <c r="Y103" s="185">
        <v>84.51</v>
      </c>
      <c r="Z103" s="192">
        <v>45611</v>
      </c>
      <c r="AA103">
        <v>20</v>
      </c>
      <c r="AB103" s="183">
        <v>84.51</v>
      </c>
      <c r="AC103" s="195">
        <v>16.902000000000001</v>
      </c>
      <c r="AD103" s="31">
        <v>10.442820000000001</v>
      </c>
      <c r="AE103" t="b">
        <v>0</v>
      </c>
      <c r="AF103" s="78">
        <v>-52.214100000000002</v>
      </c>
    </row>
    <row r="104" spans="1:32" x14ac:dyDescent="0.25">
      <c r="A104" t="str">
        <f t="shared" si="7"/>
        <v>2024-103</v>
      </c>
      <c r="B104" s="1">
        <f t="shared" si="8"/>
        <v>45495</v>
      </c>
      <c r="C104" t="str">
        <f t="shared" si="10"/>
        <v>Microsoft Ireland Operations Ltd. One Microsoft Place, South County, Business Park, Leopardstown, Dublin 18, D18 P521, Ireland</v>
      </c>
      <c r="D104" t="str">
        <f t="shared" si="13"/>
        <v>Ausgaben</v>
      </c>
      <c r="E104" t="str">
        <f t="shared" si="13"/>
        <v>sonstige Betriebsausgaben</v>
      </c>
      <c r="F104" s="117">
        <f t="shared" si="11"/>
        <v>11.7</v>
      </c>
      <c r="G104" t="str">
        <f t="shared" si="12"/>
        <v>0%</v>
      </c>
      <c r="I104" s="191">
        <v>2024</v>
      </c>
      <c r="J104" s="189">
        <v>103</v>
      </c>
      <c r="K104" s="71" t="s">
        <v>105</v>
      </c>
      <c r="L104" t="s">
        <v>705</v>
      </c>
      <c r="M104" s="1">
        <v>45495</v>
      </c>
      <c r="N104" t="s">
        <v>1032</v>
      </c>
      <c r="Q104" t="b">
        <v>0</v>
      </c>
      <c r="R104" s="48">
        <v>11.7</v>
      </c>
      <c r="S104" s="185">
        <v>11.7</v>
      </c>
      <c r="T104" s="72">
        <v>1</v>
      </c>
      <c r="U104" s="72">
        <v>0</v>
      </c>
      <c r="V104" s="185">
        <v>0</v>
      </c>
      <c r="W104" s="185">
        <v>0</v>
      </c>
      <c r="X104" s="185">
        <v>11.7</v>
      </c>
      <c r="Y104" s="185">
        <v>11.7</v>
      </c>
      <c r="Z104" s="192">
        <v>45611</v>
      </c>
      <c r="AA104">
        <v>20</v>
      </c>
      <c r="AB104" s="183">
        <v>11.7</v>
      </c>
      <c r="AC104" s="195">
        <v>2.34</v>
      </c>
      <c r="AD104" s="31">
        <v>0</v>
      </c>
      <c r="AE104" t="b">
        <v>0</v>
      </c>
      <c r="AF104" s="78">
        <v>-16.658333333333331</v>
      </c>
    </row>
    <row r="105" spans="1:32" x14ac:dyDescent="0.25">
      <c r="A105" t="str">
        <f t="shared" si="7"/>
        <v>2024-104</v>
      </c>
      <c r="B105" s="1">
        <f t="shared" si="8"/>
        <v>45498</v>
      </c>
      <c r="C105" t="str">
        <f t="shared" si="10"/>
        <v>OpenAI, LLC, 548 Market Street, PMB 97273, San Francisco, California 94104-5401, United States</v>
      </c>
      <c r="D105" t="str">
        <f t="shared" si="13"/>
        <v>Ausgaben</v>
      </c>
      <c r="E105" t="str">
        <f t="shared" si="13"/>
        <v>sonstige Betriebsausgaben</v>
      </c>
      <c r="F105" s="117">
        <f t="shared" si="11"/>
        <v>55</v>
      </c>
      <c r="G105" t="str">
        <f t="shared" si="12"/>
        <v>20%</v>
      </c>
      <c r="I105" s="191">
        <v>2024</v>
      </c>
      <c r="J105" s="189">
        <v>104</v>
      </c>
      <c r="K105" s="71" t="s">
        <v>105</v>
      </c>
      <c r="L105" t="s">
        <v>705</v>
      </c>
      <c r="M105" s="1">
        <v>45498</v>
      </c>
      <c r="N105" t="s">
        <v>1794</v>
      </c>
      <c r="Q105" t="b">
        <v>0</v>
      </c>
      <c r="R105" s="157">
        <v>55</v>
      </c>
      <c r="S105" s="185">
        <v>55</v>
      </c>
      <c r="T105" s="72">
        <v>1</v>
      </c>
      <c r="U105" s="72">
        <v>0.2</v>
      </c>
      <c r="V105" s="185">
        <v>9.1133333333333351</v>
      </c>
      <c r="W105" s="185">
        <v>9.1133333333333351</v>
      </c>
      <c r="X105" s="185">
        <v>45.56666666666667</v>
      </c>
      <c r="Y105" s="185">
        <v>45.56666666666667</v>
      </c>
      <c r="Z105" s="192">
        <v>45611</v>
      </c>
      <c r="AB105" s="183">
        <v>45.56666666666667</v>
      </c>
      <c r="AC105" s="195">
        <v>0</v>
      </c>
      <c r="AD105" s="31">
        <v>2.1</v>
      </c>
      <c r="AE105" t="b">
        <v>0</v>
      </c>
      <c r="AF105" s="78">
        <v>-10.5</v>
      </c>
    </row>
    <row r="106" spans="1:32" x14ac:dyDescent="0.25">
      <c r="A106" t="str">
        <f t="shared" si="7"/>
        <v>2024-105</v>
      </c>
      <c r="B106" s="1">
        <f t="shared" si="8"/>
        <v>45470</v>
      </c>
      <c r="C106" t="str">
        <f t="shared" si="10"/>
        <v>Amazon EU S. à r.l., 38 avenue John F. Kennedy, L-1855 Luxembourg</v>
      </c>
      <c r="D106" t="str">
        <f t="shared" si="13"/>
        <v>Ausgaben</v>
      </c>
      <c r="E106" t="str">
        <f t="shared" si="13"/>
        <v>Büromaterial</v>
      </c>
      <c r="F106" s="117">
        <f t="shared" si="11"/>
        <v>4.9400000000000004</v>
      </c>
      <c r="G106" t="str">
        <f t="shared" si="12"/>
        <v>20%</v>
      </c>
      <c r="I106" s="191">
        <v>2024</v>
      </c>
      <c r="J106" s="189">
        <v>105</v>
      </c>
      <c r="K106" s="71" t="s">
        <v>105</v>
      </c>
      <c r="L106" t="s">
        <v>339</v>
      </c>
      <c r="M106" s="1">
        <v>45470</v>
      </c>
      <c r="N106" t="s">
        <v>979</v>
      </c>
      <c r="Q106" t="b">
        <v>0</v>
      </c>
      <c r="R106" s="48">
        <v>4.9400000000000004</v>
      </c>
      <c r="S106" s="185">
        <v>4.9400000000000004</v>
      </c>
      <c r="T106" s="72">
        <v>1</v>
      </c>
      <c r="U106" s="72">
        <v>0.2</v>
      </c>
      <c r="V106" s="185">
        <v>0.82333333333333347</v>
      </c>
      <c r="W106" s="185">
        <v>0.82333333333333347</v>
      </c>
      <c r="X106" s="185">
        <v>4.1166666666666671</v>
      </c>
      <c r="Y106" s="185">
        <v>4.1166666666666671</v>
      </c>
      <c r="Z106" s="192">
        <v>45519</v>
      </c>
      <c r="AB106" s="183">
        <v>4.1166666666666671</v>
      </c>
      <c r="AC106" s="195">
        <v>0</v>
      </c>
      <c r="AD106" s="31">
        <v>0</v>
      </c>
      <c r="AE106" t="b">
        <v>0</v>
      </c>
      <c r="AF106" s="78">
        <v>-365</v>
      </c>
    </row>
    <row r="107" spans="1:32" x14ac:dyDescent="0.25">
      <c r="A107" t="str">
        <f t="shared" si="7"/>
        <v>2024-106</v>
      </c>
      <c r="B107" s="1">
        <f t="shared" si="8"/>
        <v>45505</v>
      </c>
      <c r="C107" t="str">
        <f t="shared" si="10"/>
        <v>Hutchison Drei Austria GmbH, Brünner Straße 52, 1210 Wien, Österreich</v>
      </c>
      <c r="D107" t="str">
        <f t="shared" si="13"/>
        <v>Ausgaben</v>
      </c>
      <c r="E107" t="str">
        <f t="shared" si="13"/>
        <v>Telefon/Internet</v>
      </c>
      <c r="F107" s="117">
        <f t="shared" si="11"/>
        <v>13.91</v>
      </c>
      <c r="G107" t="str">
        <f t="shared" si="12"/>
        <v>20%</v>
      </c>
      <c r="I107" s="191">
        <v>2024</v>
      </c>
      <c r="J107" s="189">
        <v>106</v>
      </c>
      <c r="K107" s="71" t="s">
        <v>105</v>
      </c>
      <c r="L107" t="s">
        <v>703</v>
      </c>
      <c r="M107" s="1">
        <v>45505</v>
      </c>
      <c r="N107" t="s">
        <v>34</v>
      </c>
      <c r="Q107" t="b">
        <v>0</v>
      </c>
      <c r="R107" s="48">
        <v>13.91</v>
      </c>
      <c r="S107" s="185">
        <v>13.91</v>
      </c>
      <c r="T107" s="72">
        <v>1</v>
      </c>
      <c r="U107" s="72">
        <v>0.2</v>
      </c>
      <c r="V107" s="185">
        <v>2.3183333333333334</v>
      </c>
      <c r="W107" s="185">
        <v>2.3183333333333334</v>
      </c>
      <c r="X107" s="185">
        <v>11.591666666666667</v>
      </c>
      <c r="Y107" s="185">
        <v>11.591666666666667</v>
      </c>
      <c r="Z107" s="192">
        <v>45611</v>
      </c>
      <c r="AB107" s="183">
        <v>11.591666666666667</v>
      </c>
      <c r="AC107" s="195">
        <v>0</v>
      </c>
      <c r="AD107" s="31">
        <v>0</v>
      </c>
      <c r="AE107" t="b">
        <v>0</v>
      </c>
      <c r="AF107" s="78">
        <v>17058.38</v>
      </c>
    </row>
    <row r="108" spans="1:32" x14ac:dyDescent="0.25">
      <c r="A108" t="str">
        <f t="shared" si="7"/>
        <v>2024-107</v>
      </c>
      <c r="B108" s="1">
        <f t="shared" si="8"/>
        <v>45509</v>
      </c>
      <c r="C108" t="str">
        <f t="shared" si="10"/>
        <v>Google Ireland Ltd, Gordon House, Barrow Street, Dublin 4, Ireland; VAT number: IE 6388047V</v>
      </c>
      <c r="D108" t="str">
        <f t="shared" si="13"/>
        <v>Ausgaben</v>
      </c>
      <c r="E108" t="str">
        <f t="shared" si="13"/>
        <v>sonstige Betriebsausgaben</v>
      </c>
      <c r="F108" s="117">
        <f t="shared" si="11"/>
        <v>13.8</v>
      </c>
      <c r="G108" t="str">
        <f t="shared" si="12"/>
        <v>0%</v>
      </c>
      <c r="I108" s="191">
        <v>2024</v>
      </c>
      <c r="J108" s="189">
        <v>107</v>
      </c>
      <c r="K108" s="71" t="s">
        <v>105</v>
      </c>
      <c r="L108" t="s">
        <v>705</v>
      </c>
      <c r="M108" s="1">
        <v>45509</v>
      </c>
      <c r="N108" t="s">
        <v>1404</v>
      </c>
      <c r="Q108" t="b">
        <v>0</v>
      </c>
      <c r="R108" s="48">
        <v>13.8</v>
      </c>
      <c r="S108" s="185">
        <v>13.8</v>
      </c>
      <c r="T108" s="72">
        <v>1</v>
      </c>
      <c r="U108" s="72">
        <v>0</v>
      </c>
      <c r="V108" s="185">
        <v>0</v>
      </c>
      <c r="W108" s="185">
        <v>0</v>
      </c>
      <c r="X108" s="185">
        <v>13.8</v>
      </c>
      <c r="Y108" s="185">
        <v>13.8</v>
      </c>
      <c r="Z108" s="192">
        <v>45611</v>
      </c>
      <c r="AA108">
        <v>20</v>
      </c>
      <c r="AB108" s="183">
        <v>13.8</v>
      </c>
      <c r="AC108" s="195">
        <v>2.7600000000000002</v>
      </c>
      <c r="AD108" s="31">
        <v>0</v>
      </c>
      <c r="AE108" t="b">
        <v>0</v>
      </c>
      <c r="AF108" s="78">
        <v>-31.92</v>
      </c>
    </row>
    <row r="109" spans="1:32" x14ac:dyDescent="0.25">
      <c r="A109" t="str">
        <f t="shared" si="7"/>
        <v>2024-108</v>
      </c>
      <c r="B109" s="1">
        <f t="shared" si="8"/>
        <v>45517</v>
      </c>
      <c r="C109" t="str">
        <f t="shared" si="10"/>
        <v>Hetzner Online GmbH, Industriestraße 25, 91710 Gunzenhausen</v>
      </c>
      <c r="D109" t="str">
        <f t="shared" si="13"/>
        <v>Ausgaben</v>
      </c>
      <c r="E109" t="str">
        <f t="shared" si="13"/>
        <v>sonstige Betriebsausgaben</v>
      </c>
      <c r="F109" s="117">
        <f t="shared" si="11"/>
        <v>52.42</v>
      </c>
      <c r="G109" t="str">
        <f t="shared" si="12"/>
        <v>0%</v>
      </c>
      <c r="I109" s="191">
        <v>2024</v>
      </c>
      <c r="J109" s="189">
        <v>108</v>
      </c>
      <c r="K109" s="71" t="s">
        <v>105</v>
      </c>
      <c r="L109" t="s">
        <v>705</v>
      </c>
      <c r="M109" s="1">
        <v>45517</v>
      </c>
      <c r="N109" t="s">
        <v>1783</v>
      </c>
      <c r="Q109" t="b">
        <v>0</v>
      </c>
      <c r="R109" s="48">
        <v>52.42</v>
      </c>
      <c r="S109" s="185">
        <v>52.42</v>
      </c>
      <c r="T109" s="72">
        <v>1</v>
      </c>
      <c r="U109" s="72">
        <v>0</v>
      </c>
      <c r="V109" s="185">
        <v>0</v>
      </c>
      <c r="W109" s="185">
        <v>0</v>
      </c>
      <c r="X109" s="185">
        <v>52.42</v>
      </c>
      <c r="Y109" s="185">
        <v>52.42</v>
      </c>
      <c r="Z109" s="192">
        <v>45611</v>
      </c>
      <c r="AA109">
        <v>20</v>
      </c>
      <c r="AB109" s="183">
        <v>52.42</v>
      </c>
      <c r="AC109" s="195">
        <v>10.484000000000002</v>
      </c>
      <c r="AD109" s="31">
        <v>0</v>
      </c>
      <c r="AE109" t="b">
        <v>0</v>
      </c>
      <c r="AF109" s="161">
        <v>-43.66</v>
      </c>
    </row>
    <row r="110" spans="1:32" x14ac:dyDescent="0.25">
      <c r="A110" t="str">
        <f t="shared" si="7"/>
        <v>2024-109</v>
      </c>
      <c r="B110" s="1">
        <f t="shared" si="8"/>
        <v>45517</v>
      </c>
      <c r="C110" t="str">
        <f t="shared" si="10"/>
        <v>Hays Österreich GmbH, Bahnhof City Wien West - Europaplatz 3/5, 1150 Wien</v>
      </c>
      <c r="D110" t="str">
        <f t="shared" si="13"/>
        <v>Einnahmen</v>
      </c>
      <c r="E110" t="str">
        <f t="shared" si="13"/>
        <v>Waren-/Leistungserlöse</v>
      </c>
      <c r="F110" s="117">
        <f t="shared" si="11"/>
        <v>20610.82</v>
      </c>
      <c r="G110" t="str">
        <f t="shared" si="12"/>
        <v>20%</v>
      </c>
      <c r="I110" s="191">
        <v>2024</v>
      </c>
      <c r="J110" s="189">
        <v>109</v>
      </c>
      <c r="K110" s="71" t="s">
        <v>708</v>
      </c>
      <c r="L110" t="s">
        <v>709</v>
      </c>
      <c r="M110" s="1">
        <v>45517</v>
      </c>
      <c r="N110" t="s">
        <v>1788</v>
      </c>
      <c r="R110" s="48">
        <v>20610.82</v>
      </c>
      <c r="S110" s="185">
        <v>20610.82</v>
      </c>
      <c r="T110" s="72">
        <v>1</v>
      </c>
      <c r="U110" s="72">
        <v>0.2</v>
      </c>
      <c r="V110" s="185">
        <v>3435.1366666666672</v>
      </c>
      <c r="W110" s="185">
        <v>3435.1366666666672</v>
      </c>
      <c r="X110" s="185">
        <v>17175.683333333334</v>
      </c>
      <c r="Y110" s="185">
        <v>17175.683333333334</v>
      </c>
      <c r="Z110" s="192">
        <v>45611</v>
      </c>
      <c r="AB110" s="183">
        <v>17175.683333333334</v>
      </c>
      <c r="AC110" s="195">
        <v>0</v>
      </c>
      <c r="AD110" s="172">
        <v>0</v>
      </c>
      <c r="AE110" s="166" t="b">
        <v>0</v>
      </c>
      <c r="AF110" s="178">
        <v>-40.92</v>
      </c>
    </row>
    <row r="111" spans="1:32" x14ac:dyDescent="0.25">
      <c r="A111" t="str">
        <f t="shared" si="7"/>
        <v>2024-110</v>
      </c>
      <c r="B111" s="1">
        <f t="shared" si="8"/>
        <v>45518</v>
      </c>
      <c r="C111" t="str">
        <f t="shared" si="10"/>
        <v>kabelplus GmbH, Südstadtzentrum 4, 2344 Maria Enzersdorf</v>
      </c>
      <c r="D111" t="str">
        <f t="shared" si="13"/>
        <v>Ausgaben</v>
      </c>
      <c r="E111" t="str">
        <f t="shared" si="13"/>
        <v>Telefon/Internet</v>
      </c>
      <c r="F111" s="117">
        <f t="shared" si="11"/>
        <v>37.319000000000003</v>
      </c>
      <c r="G111" t="str">
        <f t="shared" si="12"/>
        <v>17,2138047138047%</v>
      </c>
      <c r="I111" s="191">
        <v>2024</v>
      </c>
      <c r="J111" s="189">
        <v>110</v>
      </c>
      <c r="K111" s="71" t="s">
        <v>105</v>
      </c>
      <c r="L111" t="s">
        <v>703</v>
      </c>
      <c r="M111" s="1">
        <v>45518</v>
      </c>
      <c r="N111" t="s">
        <v>1781</v>
      </c>
      <c r="Q111" t="b">
        <v>0</v>
      </c>
      <c r="R111" s="48">
        <v>55.7</v>
      </c>
      <c r="S111" s="185">
        <v>37.319000000000003</v>
      </c>
      <c r="T111" s="72">
        <v>0.67</v>
      </c>
      <c r="U111" s="72">
        <v>0.17213804713804712</v>
      </c>
      <c r="V111" s="185">
        <v>8.18</v>
      </c>
      <c r="W111" s="185">
        <v>5.4805999999999999</v>
      </c>
      <c r="X111" s="185">
        <v>47.52</v>
      </c>
      <c r="Y111" s="185">
        <v>31.838400000000004</v>
      </c>
      <c r="Z111" s="192">
        <v>45611</v>
      </c>
      <c r="AB111" s="183">
        <v>31.838400000000004</v>
      </c>
      <c r="AC111" s="195">
        <v>0</v>
      </c>
      <c r="AD111" s="31">
        <v>0</v>
      </c>
      <c r="AE111" t="b">
        <v>0</v>
      </c>
      <c r="AF111" s="161">
        <v>-6.1750000000000007</v>
      </c>
    </row>
    <row r="112" spans="1:32" x14ac:dyDescent="0.25">
      <c r="A112" t="str">
        <f t="shared" si="7"/>
        <v>2024-111</v>
      </c>
      <c r="B112" s="1">
        <f t="shared" si="8"/>
        <v>45518</v>
      </c>
      <c r="C112" t="str">
        <f t="shared" si="10"/>
        <v>Marktgemeinde Bisamberg, Hauptstraße 2, 2102 Bisamberg</v>
      </c>
      <c r="D112" t="str">
        <f t="shared" si="13"/>
        <v>Ausgaben</v>
      </c>
      <c r="E112" t="str">
        <f t="shared" si="13"/>
        <v>sonstige Betriebsausgaben</v>
      </c>
      <c r="F112" s="117">
        <f t="shared" si="11"/>
        <v>17.702465442151112</v>
      </c>
      <c r="G112" t="str">
        <f t="shared" si="12"/>
        <v>12,0681407152441%</v>
      </c>
      <c r="I112" s="191">
        <v>2024</v>
      </c>
      <c r="J112" s="189">
        <v>111</v>
      </c>
      <c r="K112" s="71" t="s">
        <v>105</v>
      </c>
      <c r="L112" t="s">
        <v>705</v>
      </c>
      <c r="M112" s="1">
        <v>45518</v>
      </c>
      <c r="N112" t="s">
        <v>1786</v>
      </c>
      <c r="Q112" t="b">
        <v>0</v>
      </c>
      <c r="R112" s="48">
        <v>192.09600000000003</v>
      </c>
      <c r="S112" s="185">
        <v>17.702465442151112</v>
      </c>
      <c r="T112" s="72">
        <v>9.2154263712680679E-2</v>
      </c>
      <c r="U112" s="72">
        <v>0.12068140715244149</v>
      </c>
      <c r="V112" s="185">
        <v>20.686</v>
      </c>
      <c r="W112" s="185">
        <v>1.9063030991605125</v>
      </c>
      <c r="X112" s="185">
        <v>171.41000000000003</v>
      </c>
      <c r="Y112" s="185">
        <v>15.796162342990597</v>
      </c>
      <c r="Z112" s="192">
        <v>45611</v>
      </c>
      <c r="AB112" s="183">
        <v>15.796162342990597</v>
      </c>
      <c r="AC112" s="195">
        <v>0</v>
      </c>
      <c r="AD112" s="31">
        <v>2.08</v>
      </c>
      <c r="AE112" t="b">
        <v>0</v>
      </c>
      <c r="AF112" s="161">
        <v>-10.4</v>
      </c>
    </row>
    <row r="113" spans="1:32" x14ac:dyDescent="0.25">
      <c r="A113" t="str">
        <f t="shared" si="7"/>
        <v>2024-112</v>
      </c>
      <c r="B113" s="1">
        <f t="shared" si="8"/>
        <v>45519</v>
      </c>
      <c r="C113" t="str">
        <f t="shared" si="10"/>
        <v>Hetzner Online GmbH, Industriestraße 25, 91710 Gunzenhausen</v>
      </c>
      <c r="D113" t="str">
        <f t="shared" si="13"/>
        <v>Ausgaben</v>
      </c>
      <c r="E113" t="str">
        <f t="shared" si="13"/>
        <v>sonstige Betriebsausgaben</v>
      </c>
      <c r="F113" s="117">
        <f t="shared" si="11"/>
        <v>1.76</v>
      </c>
      <c r="G113" t="str">
        <f t="shared" si="12"/>
        <v>0%</v>
      </c>
      <c r="I113" s="191">
        <v>2024</v>
      </c>
      <c r="J113" s="189">
        <v>112</v>
      </c>
      <c r="K113" s="71" t="s">
        <v>105</v>
      </c>
      <c r="L113" t="s">
        <v>705</v>
      </c>
      <c r="M113" s="1">
        <v>45519</v>
      </c>
      <c r="N113" t="s">
        <v>1783</v>
      </c>
      <c r="Q113" t="b">
        <v>0</v>
      </c>
      <c r="R113" s="48">
        <v>1.76</v>
      </c>
      <c r="S113" s="185">
        <v>1.76</v>
      </c>
      <c r="T113" s="72">
        <v>1</v>
      </c>
      <c r="U113" s="72">
        <v>0</v>
      </c>
      <c r="V113" s="185">
        <v>0</v>
      </c>
      <c r="W113" s="185">
        <v>0</v>
      </c>
      <c r="X113" s="185">
        <v>1.76</v>
      </c>
      <c r="Y113" s="185">
        <v>1.76</v>
      </c>
      <c r="Z113" s="192">
        <v>45611</v>
      </c>
      <c r="AA113">
        <v>20</v>
      </c>
      <c r="AB113" s="183">
        <v>1.76</v>
      </c>
      <c r="AC113" s="195">
        <v>0.35200000000000004</v>
      </c>
      <c r="AD113" s="31">
        <v>0</v>
      </c>
      <c r="AE113" t="b">
        <v>0</v>
      </c>
      <c r="AF113" s="161">
        <v>1352.6</v>
      </c>
    </row>
    <row r="114" spans="1:32" x14ac:dyDescent="0.25">
      <c r="A114" t="str">
        <f t="shared" si="7"/>
        <v>2024-113</v>
      </c>
      <c r="B114" s="1">
        <f t="shared" si="8"/>
        <v>45522</v>
      </c>
      <c r="C114" t="str">
        <f t="shared" si="10"/>
        <v>Eva Jaros-Kolbitsch</v>
      </c>
      <c r="D114" t="str">
        <f t="shared" si="13"/>
        <v>Ausgaben</v>
      </c>
      <c r="E114" t="str">
        <f t="shared" si="13"/>
        <v>Personalaufwand</v>
      </c>
      <c r="F114" s="117">
        <f t="shared" si="11"/>
        <v>365</v>
      </c>
      <c r="G114" t="str">
        <f t="shared" si="12"/>
        <v>0%</v>
      </c>
      <c r="I114" s="191">
        <v>2024</v>
      </c>
      <c r="J114" s="189">
        <v>113</v>
      </c>
      <c r="K114" s="71" t="s">
        <v>105</v>
      </c>
      <c r="L114" t="s">
        <v>685</v>
      </c>
      <c r="M114" s="1">
        <v>45522</v>
      </c>
      <c r="N114" t="s">
        <v>1782</v>
      </c>
      <c r="Q114" t="b">
        <v>0</v>
      </c>
      <c r="R114" s="48">
        <v>365</v>
      </c>
      <c r="S114" s="185">
        <v>365</v>
      </c>
      <c r="T114" s="72">
        <v>1</v>
      </c>
      <c r="U114" s="72">
        <v>0</v>
      </c>
      <c r="V114" s="185">
        <v>0</v>
      </c>
      <c r="W114" s="185">
        <v>0</v>
      </c>
      <c r="X114" s="185">
        <v>365</v>
      </c>
      <c r="Y114" s="185">
        <v>365</v>
      </c>
      <c r="Z114" s="192">
        <v>45611</v>
      </c>
      <c r="AB114" s="183">
        <v>365</v>
      </c>
      <c r="AC114" s="195">
        <v>0</v>
      </c>
      <c r="AD114" s="31">
        <v>0</v>
      </c>
      <c r="AE114" t="b">
        <v>0</v>
      </c>
      <c r="AF114" s="161">
        <v>-524.76666666666677</v>
      </c>
    </row>
    <row r="115" spans="1:32" x14ac:dyDescent="0.25">
      <c r="A115" t="str">
        <f t="shared" si="7"/>
        <v>2024-114</v>
      </c>
      <c r="B115" s="1">
        <f t="shared" si="8"/>
        <v>45524</v>
      </c>
      <c r="C115" t="str">
        <f t="shared" si="10"/>
        <v>Paperholic all ´bout paper e.U. - Birgit Horn, Koglgasse 15, 2111 Harmannsdorf</v>
      </c>
      <c r="D115" t="str">
        <f t="shared" si="13"/>
        <v>Einnahmen</v>
      </c>
      <c r="E115" t="str">
        <f t="shared" si="13"/>
        <v>Waren-/Leistungserlöse</v>
      </c>
      <c r="F115" s="117">
        <f t="shared" si="11"/>
        <v>764.4</v>
      </c>
      <c r="G115" t="str">
        <f t="shared" si="12"/>
        <v>20%</v>
      </c>
      <c r="I115" s="191">
        <v>2024</v>
      </c>
      <c r="J115" s="189">
        <v>114</v>
      </c>
      <c r="K115" s="71" t="s">
        <v>708</v>
      </c>
      <c r="L115" t="s">
        <v>709</v>
      </c>
      <c r="M115" s="1">
        <v>45524</v>
      </c>
      <c r="N115" t="s">
        <v>1809</v>
      </c>
      <c r="R115" s="48">
        <v>764.4</v>
      </c>
      <c r="S115" s="185">
        <v>764.4</v>
      </c>
      <c r="T115" s="72">
        <v>1</v>
      </c>
      <c r="U115" s="72">
        <v>0.2</v>
      </c>
      <c r="V115" s="185">
        <v>127.4</v>
      </c>
      <c r="W115" s="185">
        <v>127.4</v>
      </c>
      <c r="X115" s="185">
        <v>637</v>
      </c>
      <c r="Y115" s="185">
        <v>637</v>
      </c>
      <c r="Z115" s="192">
        <v>45611</v>
      </c>
      <c r="AB115" s="183">
        <v>637</v>
      </c>
      <c r="AC115" s="195">
        <v>0</v>
      </c>
      <c r="AD115" s="31">
        <v>0</v>
      </c>
      <c r="AE115" t="b">
        <v>0</v>
      </c>
      <c r="AF115" s="161">
        <v>-10.75</v>
      </c>
    </row>
    <row r="116" spans="1:32" x14ac:dyDescent="0.25">
      <c r="A116" t="str">
        <f t="shared" si="7"/>
        <v>2024-115</v>
      </c>
      <c r="B116" s="1">
        <f t="shared" si="8"/>
        <v>45525</v>
      </c>
      <c r="C116" t="str">
        <f t="shared" si="10"/>
        <v>Microsoft Ireland Operations Ltd. One Microsoft Place, South County, Business Park, Leopardstown, Dublin 18, D18 P521, Ireland</v>
      </c>
      <c r="D116" t="str">
        <f t="shared" si="13"/>
        <v>Ausgaben</v>
      </c>
      <c r="E116" t="str">
        <f t="shared" si="13"/>
        <v>sonstige Betriebsausgaben</v>
      </c>
      <c r="F116" s="117">
        <f t="shared" si="11"/>
        <v>11.7</v>
      </c>
      <c r="G116" t="str">
        <f t="shared" si="12"/>
        <v>0%</v>
      </c>
      <c r="I116" s="191">
        <v>2024</v>
      </c>
      <c r="J116" s="189">
        <v>115</v>
      </c>
      <c r="K116" s="71" t="s">
        <v>105</v>
      </c>
      <c r="L116" t="s">
        <v>705</v>
      </c>
      <c r="M116" s="1">
        <v>45525</v>
      </c>
      <c r="N116" t="s">
        <v>1032</v>
      </c>
      <c r="Q116" t="b">
        <v>0</v>
      </c>
      <c r="R116" s="48">
        <v>11.7</v>
      </c>
      <c r="S116" s="185">
        <v>11.7</v>
      </c>
      <c r="T116" s="72">
        <v>1</v>
      </c>
      <c r="U116" s="72">
        <v>0</v>
      </c>
      <c r="V116" s="185">
        <v>0</v>
      </c>
      <c r="W116" s="185">
        <v>0</v>
      </c>
      <c r="X116" s="185">
        <v>11.7</v>
      </c>
      <c r="Y116" s="185">
        <v>11.7</v>
      </c>
      <c r="Z116" s="192">
        <v>45611</v>
      </c>
      <c r="AA116">
        <v>20</v>
      </c>
      <c r="AB116" s="183">
        <v>11.7</v>
      </c>
      <c r="AC116" s="195">
        <v>2.34</v>
      </c>
      <c r="AD116" s="31">
        <v>0</v>
      </c>
      <c r="AE116" t="b">
        <v>0</v>
      </c>
      <c r="AF116" s="161">
        <v>-5</v>
      </c>
    </row>
    <row r="117" spans="1:32" x14ac:dyDescent="0.25">
      <c r="A117" t="str">
        <f t="shared" si="7"/>
        <v>2024-116</v>
      </c>
      <c r="B117" s="1">
        <f t="shared" si="8"/>
        <v>45526</v>
      </c>
      <c r="C117" t="str">
        <f t="shared" si="10"/>
        <v>Verkehrsbund Ost-Region (VOR) GesmbH</v>
      </c>
      <c r="D117" t="str">
        <f t="shared" si="13"/>
        <v>Ausgaben</v>
      </c>
      <c r="E117" t="str">
        <f t="shared" si="13"/>
        <v>Reise- und Fahrtspesen inkl. Kilometergeld und Diäten</v>
      </c>
      <c r="F117" s="117">
        <f t="shared" si="11"/>
        <v>860</v>
      </c>
      <c r="G117" t="str">
        <f t="shared" si="12"/>
        <v>10%</v>
      </c>
      <c r="I117" s="191">
        <v>2024</v>
      </c>
      <c r="J117" s="189">
        <v>116</v>
      </c>
      <c r="K117" s="71" t="s">
        <v>105</v>
      </c>
      <c r="L117" t="s">
        <v>689</v>
      </c>
      <c r="M117" s="1">
        <v>45526</v>
      </c>
      <c r="N117" t="s">
        <v>1812</v>
      </c>
      <c r="Q117" t="b">
        <v>0</v>
      </c>
      <c r="R117" s="48">
        <v>860</v>
      </c>
      <c r="S117" s="185">
        <v>860</v>
      </c>
      <c r="T117" s="72">
        <v>1</v>
      </c>
      <c r="U117" s="72">
        <v>0.1</v>
      </c>
      <c r="V117" s="185">
        <v>78.181818181818187</v>
      </c>
      <c r="W117" s="185">
        <v>78.181818181818187</v>
      </c>
      <c r="X117" s="185">
        <v>781.81818181818176</v>
      </c>
      <c r="Y117" s="185">
        <v>781.81818181818176</v>
      </c>
      <c r="Z117" s="192">
        <v>45611</v>
      </c>
      <c r="AB117" s="183">
        <v>781.81818181818176</v>
      </c>
      <c r="AC117" s="195">
        <v>0</v>
      </c>
      <c r="AD117" s="31">
        <v>0</v>
      </c>
      <c r="AE117" t="b">
        <v>0</v>
      </c>
      <c r="AF117" s="161">
        <v>388.00000000000006</v>
      </c>
    </row>
    <row r="118" spans="1:32" x14ac:dyDescent="0.25">
      <c r="A118" t="str">
        <f t="shared" si="7"/>
        <v>2024-117</v>
      </c>
      <c r="B118" s="1">
        <f t="shared" si="8"/>
        <v>45530</v>
      </c>
      <c r="C118" t="str">
        <f t="shared" si="10"/>
        <v>OpenAI, LLC, 548 Market Street, PMB 97273, San Francisco, California 94104-5401, United States</v>
      </c>
      <c r="D118" t="str">
        <f t="shared" si="13"/>
        <v>Ausgaben</v>
      </c>
      <c r="E118" t="str">
        <f t="shared" si="13"/>
        <v>sonstige Betriebsausgaben</v>
      </c>
      <c r="F118" s="117">
        <f t="shared" si="11"/>
        <v>21.95</v>
      </c>
      <c r="G118" t="str">
        <f t="shared" si="12"/>
        <v>20%</v>
      </c>
      <c r="I118" s="191">
        <v>2024</v>
      </c>
      <c r="J118" s="189">
        <v>117</v>
      </c>
      <c r="K118" s="71" t="s">
        <v>105</v>
      </c>
      <c r="L118" t="s">
        <v>705</v>
      </c>
      <c r="M118" s="1">
        <v>45530</v>
      </c>
      <c r="N118" t="s">
        <v>1794</v>
      </c>
      <c r="Q118" t="b">
        <v>0</v>
      </c>
      <c r="R118" s="48">
        <v>21.95</v>
      </c>
      <c r="S118" s="185">
        <v>21.95</v>
      </c>
      <c r="T118" s="72">
        <v>1</v>
      </c>
      <c r="U118" s="72">
        <v>0.2</v>
      </c>
      <c r="V118" s="185">
        <v>3.605</v>
      </c>
      <c r="W118" s="185">
        <v>3.605</v>
      </c>
      <c r="X118" s="185">
        <v>18.024999999999999</v>
      </c>
      <c r="Y118" s="185">
        <v>18.024999999999999</v>
      </c>
      <c r="Z118" s="192">
        <v>45611</v>
      </c>
      <c r="AB118" s="183">
        <v>18.024999999999999</v>
      </c>
      <c r="AC118" s="195">
        <v>0</v>
      </c>
      <c r="AD118" s="31">
        <v>0</v>
      </c>
      <c r="AE118" t="b">
        <v>0</v>
      </c>
      <c r="AF118" s="161">
        <v>-122.6</v>
      </c>
    </row>
    <row r="119" spans="1:32" x14ac:dyDescent="0.25">
      <c r="A119" t="str">
        <f t="shared" si="7"/>
        <v>2024-118</v>
      </c>
      <c r="B119" s="1">
        <f t="shared" si="8"/>
        <v>45534</v>
      </c>
      <c r="C119" t="str">
        <f t="shared" si="10"/>
        <v>SVS</v>
      </c>
      <c r="D119" t="str">
        <f t="shared" si="13"/>
        <v>Ausgaben</v>
      </c>
      <c r="E119" t="str">
        <f t="shared" si="13"/>
        <v>Pflichversicherungsbeiträge</v>
      </c>
      <c r="F119" s="117">
        <f t="shared" si="11"/>
        <v>4993.46</v>
      </c>
      <c r="G119" t="str">
        <f t="shared" si="12"/>
        <v>0%</v>
      </c>
      <c r="I119" s="191">
        <v>2024</v>
      </c>
      <c r="J119" s="189">
        <v>118</v>
      </c>
      <c r="K119" s="71" t="s">
        <v>105</v>
      </c>
      <c r="L119" t="s">
        <v>695</v>
      </c>
      <c r="M119" s="1">
        <v>45534</v>
      </c>
      <c r="N119" t="s">
        <v>1795</v>
      </c>
      <c r="Q119" t="b">
        <v>0</v>
      </c>
      <c r="R119" s="48">
        <v>4993.46</v>
      </c>
      <c r="S119" s="185">
        <v>4993.46</v>
      </c>
      <c r="T119" s="72">
        <v>1</v>
      </c>
      <c r="U119" s="72">
        <v>0</v>
      </c>
      <c r="V119" s="185">
        <v>0</v>
      </c>
      <c r="W119" s="185">
        <v>0</v>
      </c>
      <c r="X119" s="185">
        <v>4993.46</v>
      </c>
      <c r="Y119" s="185">
        <v>4993.46</v>
      </c>
      <c r="Z119" s="192">
        <v>45611</v>
      </c>
      <c r="AB119" s="183">
        <v>4993.46</v>
      </c>
      <c r="AC119" s="195">
        <v>0</v>
      </c>
      <c r="AD119" s="31">
        <v>0</v>
      </c>
      <c r="AE119" t="b">
        <v>0</v>
      </c>
      <c r="AF119" s="161">
        <v>-12</v>
      </c>
    </row>
    <row r="120" spans="1:32" x14ac:dyDescent="0.25">
      <c r="A120" t="str">
        <f t="shared" si="7"/>
        <v>2024-119</v>
      </c>
      <c r="B120" s="1">
        <f t="shared" si="8"/>
        <v>45537</v>
      </c>
      <c r="C120" t="str">
        <f t="shared" si="10"/>
        <v>EVN Wasser GmbH</v>
      </c>
      <c r="D120" t="str">
        <f t="shared" si="13"/>
        <v>Ausgaben</v>
      </c>
      <c r="E120" t="str">
        <f t="shared" si="13"/>
        <v>sonstige Betriebsausgaben</v>
      </c>
      <c r="F120" s="117">
        <f t="shared" si="11"/>
        <v>32.637354036482989</v>
      </c>
      <c r="G120" t="str">
        <f t="shared" si="12"/>
        <v>10%</v>
      </c>
      <c r="I120" s="191">
        <v>2024</v>
      </c>
      <c r="J120" s="189">
        <v>119</v>
      </c>
      <c r="K120" s="71" t="s">
        <v>105</v>
      </c>
      <c r="L120" t="s">
        <v>705</v>
      </c>
      <c r="M120" s="1">
        <v>45537</v>
      </c>
      <c r="N120" t="s">
        <v>1793</v>
      </c>
      <c r="Q120" t="b">
        <v>0</v>
      </c>
      <c r="R120" s="109">
        <v>354.16</v>
      </c>
      <c r="S120" s="185">
        <v>32.637354036482989</v>
      </c>
      <c r="T120" s="72">
        <v>9.2154263712680679E-2</v>
      </c>
      <c r="U120" s="72">
        <v>0.1</v>
      </c>
      <c r="V120" s="185">
        <v>32.196363636363635</v>
      </c>
      <c r="W120" s="185">
        <v>2.9670321851348169</v>
      </c>
      <c r="X120" s="185">
        <v>321.96363636363634</v>
      </c>
      <c r="Y120" s="185">
        <v>29.67032185134817</v>
      </c>
      <c r="Z120" s="192">
        <v>45611</v>
      </c>
      <c r="AB120" s="183">
        <v>29.67032185134817</v>
      </c>
      <c r="AC120" s="195">
        <v>0</v>
      </c>
      <c r="AD120" s="31">
        <v>0</v>
      </c>
      <c r="AE120" t="b">
        <v>0</v>
      </c>
      <c r="AF120" s="161">
        <v>27.408333333333335</v>
      </c>
    </row>
    <row r="121" spans="1:32" x14ac:dyDescent="0.25">
      <c r="A121" t="str">
        <f t="shared" si="7"/>
        <v>2024-120</v>
      </c>
      <c r="B121" s="1">
        <f t="shared" si="8"/>
        <v>45538</v>
      </c>
      <c r="C121" t="str">
        <f t="shared" si="10"/>
        <v>Hutchison Drei Austria GmbH, Brünner Straße 52, 1210 Wien, Österreich</v>
      </c>
      <c r="D121" t="str">
        <f t="shared" si="13"/>
        <v>Ausgaben</v>
      </c>
      <c r="E121" t="str">
        <f t="shared" si="13"/>
        <v>Telefon/Internet</v>
      </c>
      <c r="F121" s="117">
        <f t="shared" si="11"/>
        <v>13.91</v>
      </c>
      <c r="G121" t="str">
        <f t="shared" si="12"/>
        <v>20%</v>
      </c>
      <c r="I121" s="191">
        <v>2024</v>
      </c>
      <c r="J121" s="189">
        <v>120</v>
      </c>
      <c r="K121" s="71" t="s">
        <v>105</v>
      </c>
      <c r="L121" t="s">
        <v>703</v>
      </c>
      <c r="M121" s="1">
        <v>45538</v>
      </c>
      <c r="N121" t="s">
        <v>34</v>
      </c>
      <c r="Q121" t="b">
        <v>0</v>
      </c>
      <c r="R121" s="48">
        <v>13.91</v>
      </c>
      <c r="S121" s="185">
        <v>13.91</v>
      </c>
      <c r="T121" s="72">
        <v>1</v>
      </c>
      <c r="U121" s="72">
        <v>0.2</v>
      </c>
      <c r="V121" s="185">
        <v>2.3183333333333334</v>
      </c>
      <c r="W121" s="185">
        <v>2.3183333333333334</v>
      </c>
      <c r="X121" s="185">
        <v>11.591666666666667</v>
      </c>
      <c r="Y121" s="185">
        <v>11.591666666666667</v>
      </c>
      <c r="Z121" s="192">
        <v>45611</v>
      </c>
      <c r="AB121" s="183">
        <v>11.591666666666667</v>
      </c>
      <c r="AC121" s="195">
        <v>0</v>
      </c>
      <c r="AD121" s="31">
        <v>10.442820000000001</v>
      </c>
      <c r="AE121" t="b">
        <v>0</v>
      </c>
      <c r="AF121" s="161">
        <v>-52.214100000000002</v>
      </c>
    </row>
    <row r="122" spans="1:32" x14ac:dyDescent="0.25">
      <c r="A122" t="str">
        <f t="shared" si="7"/>
        <v>2024-121</v>
      </c>
      <c r="B122" s="1">
        <f t="shared" si="8"/>
        <v>45538</v>
      </c>
      <c r="C122" t="str">
        <f t="shared" si="10"/>
        <v>Wirtschaftskammer Niederösterreich Grundumlage</v>
      </c>
      <c r="D122" t="str">
        <f t="shared" si="13"/>
        <v>Ausgaben</v>
      </c>
      <c r="E122" t="str">
        <f t="shared" si="13"/>
        <v>sonstige Betriebsausgaben</v>
      </c>
      <c r="F122" s="117">
        <f t="shared" si="11"/>
        <v>13.91</v>
      </c>
      <c r="G122" t="str">
        <f t="shared" si="12"/>
        <v>0%</v>
      </c>
      <c r="I122" s="191">
        <v>2024</v>
      </c>
      <c r="J122" s="189">
        <v>121</v>
      </c>
      <c r="K122" s="71" t="s">
        <v>105</v>
      </c>
      <c r="L122" t="s">
        <v>705</v>
      </c>
      <c r="M122" s="1">
        <v>45538</v>
      </c>
      <c r="N122" t="s">
        <v>1787</v>
      </c>
      <c r="Q122" t="b">
        <v>0</v>
      </c>
      <c r="R122" s="48">
        <v>13.91</v>
      </c>
      <c r="S122" s="185">
        <v>13.91</v>
      </c>
      <c r="T122" s="72">
        <v>1</v>
      </c>
      <c r="U122" s="72">
        <v>0</v>
      </c>
      <c r="V122" s="185">
        <v>0</v>
      </c>
      <c r="W122" s="185">
        <v>0</v>
      </c>
      <c r="X122" s="185">
        <v>13.91</v>
      </c>
      <c r="Y122" s="185">
        <v>13.91</v>
      </c>
      <c r="Z122" s="192">
        <v>45611</v>
      </c>
      <c r="AB122" s="183">
        <v>13.91</v>
      </c>
      <c r="AC122" s="195">
        <v>0</v>
      </c>
      <c r="AD122" s="31">
        <v>0</v>
      </c>
      <c r="AE122" t="b">
        <v>0</v>
      </c>
      <c r="AF122" s="161">
        <v>15118.65</v>
      </c>
    </row>
    <row r="123" spans="1:32" x14ac:dyDescent="0.25">
      <c r="A123" t="str">
        <f t="shared" si="7"/>
        <v>2024-122</v>
      </c>
      <c r="B123" s="1">
        <f t="shared" si="8"/>
        <v>45538</v>
      </c>
      <c r="C123" t="str">
        <f t="shared" si="10"/>
        <v>Google Ireland Ltd, Gordon House, Barrow Street, Dublin 4, Ireland; VAT number: IE 6388047V</v>
      </c>
      <c r="D123" t="str">
        <f t="shared" si="13"/>
        <v>Ausgaben</v>
      </c>
      <c r="E123" t="str">
        <f t="shared" si="13"/>
        <v>sonstige Betriebsausgaben</v>
      </c>
      <c r="F123" s="117">
        <f t="shared" si="11"/>
        <v>13.8</v>
      </c>
      <c r="G123" t="str">
        <f t="shared" si="12"/>
        <v>0%</v>
      </c>
      <c r="I123" s="191">
        <v>2024</v>
      </c>
      <c r="J123" s="189">
        <v>122</v>
      </c>
      <c r="K123" s="71" t="s">
        <v>105</v>
      </c>
      <c r="L123" t="s">
        <v>705</v>
      </c>
      <c r="M123" s="1">
        <v>45538</v>
      </c>
      <c r="N123" t="s">
        <v>1404</v>
      </c>
      <c r="Q123" t="b">
        <v>0</v>
      </c>
      <c r="R123" s="48">
        <v>13.8</v>
      </c>
      <c r="S123" s="185">
        <v>13.8</v>
      </c>
      <c r="T123" s="72">
        <v>1</v>
      </c>
      <c r="U123" s="72">
        <v>0</v>
      </c>
      <c r="V123" s="185">
        <v>0</v>
      </c>
      <c r="W123" s="185">
        <v>0</v>
      </c>
      <c r="X123" s="185">
        <v>13.8</v>
      </c>
      <c r="Y123" s="185">
        <v>13.8</v>
      </c>
      <c r="Z123" s="192">
        <v>45611</v>
      </c>
      <c r="AA123">
        <v>20</v>
      </c>
      <c r="AB123" s="183">
        <v>13.8</v>
      </c>
      <c r="AC123" s="195">
        <v>2.7600000000000002</v>
      </c>
      <c r="AD123" s="31">
        <v>0</v>
      </c>
      <c r="AE123" t="b">
        <v>0</v>
      </c>
      <c r="AF123" s="161">
        <v>-365</v>
      </c>
    </row>
    <row r="124" spans="1:32" x14ac:dyDescent="0.25">
      <c r="A124" t="str">
        <f t="shared" si="7"/>
        <v>2024-123</v>
      </c>
      <c r="B124" s="1">
        <f t="shared" si="8"/>
        <v>45540</v>
      </c>
      <c r="C124" t="str">
        <f t="shared" si="10"/>
        <v>Hays Österreich GmbH, Bahnhof City Wien West - Europaplatz 3/5, 1150 Wien</v>
      </c>
      <c r="D124" t="str">
        <f t="shared" si="13"/>
        <v>Einnahmen</v>
      </c>
      <c r="E124" t="str">
        <f t="shared" si="13"/>
        <v>Waren-/Leistungserlöse</v>
      </c>
      <c r="F124" s="117">
        <f t="shared" si="11"/>
        <v>10377.6</v>
      </c>
      <c r="G124" t="str">
        <f t="shared" si="12"/>
        <v>20%</v>
      </c>
      <c r="I124" s="191">
        <v>2024</v>
      </c>
      <c r="J124" s="189">
        <v>123</v>
      </c>
      <c r="K124" s="71" t="s">
        <v>708</v>
      </c>
      <c r="L124" t="s">
        <v>709</v>
      </c>
      <c r="M124" s="1">
        <v>45540</v>
      </c>
      <c r="N124" t="s">
        <v>1788</v>
      </c>
      <c r="R124" s="48">
        <v>10377.6</v>
      </c>
      <c r="S124" s="185">
        <v>10377.6</v>
      </c>
      <c r="T124" s="72">
        <v>1</v>
      </c>
      <c r="U124" s="72">
        <v>0.2</v>
      </c>
      <c r="V124" s="185">
        <v>1729.6000000000001</v>
      </c>
      <c r="W124" s="185">
        <v>1729.6000000000001</v>
      </c>
      <c r="X124" s="185">
        <v>8648</v>
      </c>
      <c r="Y124" s="185">
        <v>8648</v>
      </c>
      <c r="Z124" s="192">
        <v>45611</v>
      </c>
      <c r="AB124" s="183">
        <v>8648</v>
      </c>
      <c r="AC124" s="195">
        <v>0</v>
      </c>
      <c r="AD124" s="31">
        <v>2.1</v>
      </c>
      <c r="AE124" t="b">
        <v>0</v>
      </c>
      <c r="AF124" s="161">
        <v>-10.5</v>
      </c>
    </row>
    <row r="125" spans="1:32" x14ac:dyDescent="0.25">
      <c r="A125" t="str">
        <f t="shared" si="7"/>
        <v>2024-124</v>
      </c>
      <c r="B125" s="1">
        <f t="shared" si="8"/>
        <v>45540</v>
      </c>
      <c r="C125" t="str">
        <f t="shared" si="10"/>
        <v>Wiener Linien GmbH &amp; Co KG</v>
      </c>
      <c r="D125" t="str">
        <f t="shared" si="13"/>
        <v>Ausgaben</v>
      </c>
      <c r="E125" t="str">
        <f t="shared" si="13"/>
        <v>Reise- und Fahrtspesen inkl. Kilometergeld und Diäten</v>
      </c>
      <c r="F125" s="117">
        <f t="shared" si="11"/>
        <v>-273.75</v>
      </c>
      <c r="G125" t="str">
        <f t="shared" si="12"/>
        <v>10%</v>
      </c>
      <c r="I125" s="191">
        <v>2024</v>
      </c>
      <c r="J125" s="189">
        <v>124</v>
      </c>
      <c r="K125" t="s">
        <v>105</v>
      </c>
      <c r="L125" t="s">
        <v>689</v>
      </c>
      <c r="M125" s="1">
        <v>45540</v>
      </c>
      <c r="N125" t="s">
        <v>962</v>
      </c>
      <c r="Q125" t="b">
        <v>0</v>
      </c>
      <c r="R125" s="48">
        <v>-273.75</v>
      </c>
      <c r="S125" s="185">
        <v>-273.75</v>
      </c>
      <c r="T125" s="72">
        <v>1</v>
      </c>
      <c r="U125" s="72">
        <v>0.1</v>
      </c>
      <c r="V125" s="185">
        <v>-24.886363636363637</v>
      </c>
      <c r="W125" s="185">
        <v>-24.886363636363637</v>
      </c>
      <c r="X125" s="185">
        <v>-248.86363636363635</v>
      </c>
      <c r="Y125" s="185">
        <v>-248.86363636363635</v>
      </c>
      <c r="Z125" s="192">
        <v>45611</v>
      </c>
      <c r="AB125" s="183">
        <v>-248.86363636363635</v>
      </c>
      <c r="AC125" s="195">
        <v>0</v>
      </c>
      <c r="AD125" s="31">
        <v>0</v>
      </c>
      <c r="AE125" t="b">
        <v>0</v>
      </c>
      <c r="AF125" s="161">
        <v>-31.92</v>
      </c>
    </row>
    <row r="126" spans="1:32" x14ac:dyDescent="0.25">
      <c r="A126" t="str">
        <f t="shared" si="7"/>
        <v>2024-125</v>
      </c>
      <c r="B126" s="1">
        <f t="shared" si="8"/>
        <v>45544</v>
      </c>
      <c r="C126" t="str">
        <f t="shared" si="10"/>
        <v>Wien Energie Vertrieb GmbH &amp; Co KG, 1030 Wien, Pf 520</v>
      </c>
      <c r="D126" t="str">
        <f t="shared" si="13"/>
        <v>Ausgaben</v>
      </c>
      <c r="E126" t="str">
        <f t="shared" si="13"/>
        <v>sonstige Betriebsausgaben</v>
      </c>
      <c r="F126" s="117">
        <f t="shared" si="11"/>
        <v>31.45685791832355</v>
      </c>
      <c r="G126" t="str">
        <f t="shared" si="12"/>
        <v>20%</v>
      </c>
      <c r="I126" s="191">
        <v>2024</v>
      </c>
      <c r="J126" s="189">
        <v>125</v>
      </c>
      <c r="K126" s="71" t="s">
        <v>105</v>
      </c>
      <c r="L126" t="s">
        <v>705</v>
      </c>
      <c r="M126" s="1">
        <v>45544</v>
      </c>
      <c r="N126" t="s">
        <v>1110</v>
      </c>
      <c r="Q126" t="b">
        <v>0</v>
      </c>
      <c r="R126" s="48">
        <v>341.35</v>
      </c>
      <c r="S126" s="185">
        <v>31.45685791832355</v>
      </c>
      <c r="T126" s="72">
        <v>9.2154263712680679E-2</v>
      </c>
      <c r="U126" s="72">
        <v>0.2</v>
      </c>
      <c r="V126" s="185">
        <v>56.89166666666668</v>
      </c>
      <c r="W126" s="185">
        <v>5.2428096530539259</v>
      </c>
      <c r="X126" s="185">
        <v>284.45833333333337</v>
      </c>
      <c r="Y126" s="185">
        <v>26.214048265269629</v>
      </c>
      <c r="Z126" s="192">
        <v>45611</v>
      </c>
      <c r="AB126" s="183">
        <v>26.214048265269629</v>
      </c>
      <c r="AC126" s="195">
        <v>0</v>
      </c>
      <c r="AD126" s="31">
        <v>0</v>
      </c>
      <c r="AE126" t="b">
        <v>0</v>
      </c>
      <c r="AF126" s="161">
        <v>-1848.55</v>
      </c>
    </row>
    <row r="127" spans="1:32" x14ac:dyDescent="0.25">
      <c r="A127" t="str">
        <f t="shared" si="7"/>
        <v>2024-126</v>
      </c>
      <c r="B127" s="1">
        <f t="shared" si="8"/>
        <v>45544</v>
      </c>
      <c r="C127" t="str">
        <f t="shared" si="10"/>
        <v>usoft GbmbH, A-1060 Wien, Liniengasse 2a/5, UID ATU71481256</v>
      </c>
      <c r="D127" t="str">
        <f t="shared" si="13"/>
        <v>Ausgaben</v>
      </c>
      <c r="E127" t="str">
        <f t="shared" si="13"/>
        <v>Lizenzgebühren</v>
      </c>
      <c r="F127" s="117">
        <f t="shared" si="11"/>
        <v>45</v>
      </c>
      <c r="G127" t="str">
        <f t="shared" si="12"/>
        <v>20%</v>
      </c>
      <c r="I127" s="191">
        <v>2024</v>
      </c>
      <c r="J127" s="189">
        <v>126</v>
      </c>
      <c r="K127" s="71" t="s">
        <v>105</v>
      </c>
      <c r="L127" t="s">
        <v>692</v>
      </c>
      <c r="M127" s="1">
        <v>45544</v>
      </c>
      <c r="N127" t="s">
        <v>1810</v>
      </c>
      <c r="P127" s="2" t="s">
        <v>958</v>
      </c>
      <c r="Q127" t="b">
        <v>0</v>
      </c>
      <c r="R127" s="48">
        <v>45</v>
      </c>
      <c r="S127" s="185">
        <v>45</v>
      </c>
      <c r="T127" s="72">
        <v>1</v>
      </c>
      <c r="U127" s="72">
        <v>0.2</v>
      </c>
      <c r="V127" s="185">
        <v>7.5</v>
      </c>
      <c r="W127" s="185">
        <v>7.5</v>
      </c>
      <c r="X127" s="185">
        <v>37.5</v>
      </c>
      <c r="Y127" s="185">
        <v>37.5</v>
      </c>
      <c r="Z127" s="192">
        <v>45611</v>
      </c>
      <c r="AB127" s="183">
        <v>37.5</v>
      </c>
      <c r="AC127" s="195">
        <v>0</v>
      </c>
      <c r="AD127" s="31">
        <v>0</v>
      </c>
      <c r="AE127" t="b">
        <v>0</v>
      </c>
      <c r="AF127" s="161">
        <v>-533.10833333333335</v>
      </c>
    </row>
    <row r="128" spans="1:32" x14ac:dyDescent="0.25">
      <c r="A128" t="str">
        <f t="shared" si="7"/>
        <v>2024-127</v>
      </c>
      <c r="B128" s="1">
        <f t="shared" si="8"/>
        <v>45547</v>
      </c>
      <c r="C128" t="str">
        <f t="shared" si="10"/>
        <v>Hetzner Online GmbH, Industriestraße 25, 91710 Gunzenhausen</v>
      </c>
      <c r="D128" t="str">
        <f t="shared" si="13"/>
        <v>Ausgaben</v>
      </c>
      <c r="E128" t="str">
        <f t="shared" si="13"/>
        <v>sonstige Betriebsausgaben</v>
      </c>
      <c r="F128" s="117">
        <f t="shared" si="11"/>
        <v>56</v>
      </c>
      <c r="G128" t="str">
        <f t="shared" si="12"/>
        <v>0%</v>
      </c>
      <c r="I128" s="191">
        <v>2024</v>
      </c>
      <c r="J128" s="189">
        <v>127</v>
      </c>
      <c r="K128" s="71" t="s">
        <v>105</v>
      </c>
      <c r="L128" t="s">
        <v>705</v>
      </c>
      <c r="M128" s="1">
        <v>45547</v>
      </c>
      <c r="N128" t="s">
        <v>1783</v>
      </c>
      <c r="Q128" t="b">
        <v>0</v>
      </c>
      <c r="R128" s="48">
        <v>56</v>
      </c>
      <c r="S128" s="185">
        <v>56</v>
      </c>
      <c r="T128" s="72">
        <v>1</v>
      </c>
      <c r="U128" s="72">
        <v>0</v>
      </c>
      <c r="V128" s="185">
        <v>0</v>
      </c>
      <c r="W128" s="185">
        <v>0</v>
      </c>
      <c r="X128" s="185">
        <v>56</v>
      </c>
      <c r="Y128" s="185">
        <v>56</v>
      </c>
      <c r="Z128" s="192">
        <v>45611</v>
      </c>
      <c r="AA128">
        <v>20</v>
      </c>
      <c r="AB128" s="183">
        <v>56</v>
      </c>
      <c r="AC128" s="195">
        <v>11.200000000000001</v>
      </c>
      <c r="AD128" s="31">
        <v>2.08</v>
      </c>
      <c r="AE128" t="b">
        <v>0</v>
      </c>
      <c r="AF128" s="161">
        <v>-10.4</v>
      </c>
    </row>
    <row r="129" spans="1:32" x14ac:dyDescent="0.25">
      <c r="A129" t="str">
        <f t="shared" si="7"/>
        <v>2024-128</v>
      </c>
      <c r="B129" s="1">
        <f t="shared" si="8"/>
        <v>45548</v>
      </c>
      <c r="C129" t="str">
        <f t="shared" si="10"/>
        <v>kabelplus GmbH, Südstadtzentrum 4, 2344 Maria Enzersdorf</v>
      </c>
      <c r="D129" t="str">
        <f t="shared" si="13"/>
        <v>Ausgaben</v>
      </c>
      <c r="E129" t="str">
        <f t="shared" si="13"/>
        <v>Telefon/Internet</v>
      </c>
      <c r="F129" s="117">
        <f t="shared" si="11"/>
        <v>37.319000000000003</v>
      </c>
      <c r="G129" t="str">
        <f t="shared" si="12"/>
        <v>17,2138047138047%</v>
      </c>
      <c r="I129" s="191">
        <v>2024</v>
      </c>
      <c r="J129" s="189">
        <v>128</v>
      </c>
      <c r="K129" s="71" t="s">
        <v>105</v>
      </c>
      <c r="L129" t="s">
        <v>703</v>
      </c>
      <c r="M129" s="1">
        <v>45548</v>
      </c>
      <c r="N129" t="s">
        <v>1781</v>
      </c>
      <c r="Q129" t="b">
        <v>0</v>
      </c>
      <c r="R129" s="48">
        <v>55.7</v>
      </c>
      <c r="S129" s="185">
        <v>37.319000000000003</v>
      </c>
      <c r="T129" s="72">
        <v>0.67</v>
      </c>
      <c r="U129" s="72">
        <v>0.17213804713804712</v>
      </c>
      <c r="V129" s="185">
        <v>8.18</v>
      </c>
      <c r="W129" s="185">
        <v>5.4805999999999999</v>
      </c>
      <c r="X129" s="185">
        <v>47.52</v>
      </c>
      <c r="Y129" s="185">
        <v>31.838400000000004</v>
      </c>
      <c r="Z129" s="192">
        <v>45611</v>
      </c>
      <c r="AB129" s="183">
        <v>31.838400000000004</v>
      </c>
      <c r="AC129" s="195">
        <v>0</v>
      </c>
      <c r="AD129" s="31">
        <v>0</v>
      </c>
      <c r="AE129" t="b">
        <v>0</v>
      </c>
      <c r="AF129" s="161">
        <v>-5</v>
      </c>
    </row>
    <row r="130" spans="1:32" x14ac:dyDescent="0.25">
      <c r="A130" t="str">
        <f t="shared" ref="A130:A173" si="14">I130&amp;"-"&amp;J130</f>
        <v>2024-129</v>
      </c>
      <c r="B130" s="1">
        <f t="shared" ref="B130:B173" si="15">M130</f>
        <v>45551</v>
      </c>
      <c r="C130" t="str">
        <f t="shared" si="10"/>
        <v>Hoval GesmbH, A-4614 Marchtrenk, Hovalstraße 11</v>
      </c>
      <c r="D130" t="str">
        <f t="shared" ref="D130:E161" si="16">K130</f>
        <v>Ausgaben</v>
      </c>
      <c r="E130" t="str">
        <f t="shared" si="16"/>
        <v>Telefon/Internet</v>
      </c>
      <c r="F130" s="117">
        <f t="shared" si="11"/>
        <v>16.366597235372087</v>
      </c>
      <c r="G130" t="str">
        <f t="shared" si="12"/>
        <v>20%</v>
      </c>
      <c r="I130" s="191">
        <v>2024</v>
      </c>
      <c r="J130" s="189">
        <v>129</v>
      </c>
      <c r="K130" s="71" t="s">
        <v>105</v>
      </c>
      <c r="L130" t="s">
        <v>703</v>
      </c>
      <c r="M130" s="1">
        <v>45551</v>
      </c>
      <c r="N130" t="s">
        <v>1811</v>
      </c>
      <c r="Q130" t="b">
        <v>0</v>
      </c>
      <c r="R130" s="48">
        <v>177.6</v>
      </c>
      <c r="S130" s="185">
        <v>16.366597235372087</v>
      </c>
      <c r="T130" s="72">
        <v>9.2154263712680679E-2</v>
      </c>
      <c r="U130" s="72">
        <v>0.2</v>
      </c>
      <c r="V130" s="185">
        <v>29.6</v>
      </c>
      <c r="W130" s="185">
        <v>2.7277662058953482</v>
      </c>
      <c r="X130" s="185">
        <v>148</v>
      </c>
      <c r="Y130" s="185">
        <v>13.638831029476741</v>
      </c>
      <c r="Z130" s="192">
        <v>45611</v>
      </c>
      <c r="AB130" s="183">
        <v>13.638831029476741</v>
      </c>
      <c r="AC130" s="195">
        <v>0</v>
      </c>
      <c r="AD130" s="31">
        <v>0</v>
      </c>
      <c r="AE130" t="b">
        <v>0</v>
      </c>
      <c r="AF130" s="161">
        <v>-10.75</v>
      </c>
    </row>
    <row r="131" spans="1:32" x14ac:dyDescent="0.25">
      <c r="A131" t="str">
        <f t="shared" si="14"/>
        <v>2024-130</v>
      </c>
      <c r="B131" s="1">
        <f t="shared" si="15"/>
        <v>45551</v>
      </c>
      <c r="C131" t="str">
        <f t="shared" ref="C131:C173" si="17">N131</f>
        <v>ACHTUNG: Jahresabrechnung  Betriebsausgabe, wegen Vorsteuer als Einnahme deklariert; Techem Messtechnik GmbH</v>
      </c>
      <c r="D131" t="str">
        <f t="shared" si="16"/>
        <v>Einnahmen</v>
      </c>
      <c r="E131" t="str">
        <f t="shared" si="16"/>
        <v>Waren-/Leistungserlöse</v>
      </c>
      <c r="F131" s="117">
        <f t="shared" ref="F131:F173" si="18">S131</f>
        <v>1148.1400000000001</v>
      </c>
      <c r="G131" t="str">
        <f t="shared" ref="G131:G173" si="19">U131*100&amp;"%"</f>
        <v>20%</v>
      </c>
      <c r="I131" s="191">
        <v>2024</v>
      </c>
      <c r="J131" s="189">
        <v>130</v>
      </c>
      <c r="K131" s="71" t="s">
        <v>708</v>
      </c>
      <c r="L131" t="s">
        <v>709</v>
      </c>
      <c r="M131" s="1">
        <v>45551</v>
      </c>
      <c r="N131" t="s">
        <v>1815</v>
      </c>
      <c r="R131" s="48">
        <v>1148.1400000000001</v>
      </c>
      <c r="S131" s="185">
        <v>1148.1400000000001</v>
      </c>
      <c r="T131" s="72">
        <v>1</v>
      </c>
      <c r="U131" s="72">
        <v>0.2</v>
      </c>
      <c r="V131" s="185">
        <v>191.35666666666668</v>
      </c>
      <c r="W131" s="185">
        <v>191.35666666666668</v>
      </c>
      <c r="X131" s="185">
        <v>956.78333333333342</v>
      </c>
      <c r="Y131" s="185">
        <v>956.78333333333342</v>
      </c>
      <c r="Z131" s="192">
        <v>45611</v>
      </c>
      <c r="AB131" s="183">
        <v>956.78333333333342</v>
      </c>
      <c r="AC131" s="195">
        <v>0</v>
      </c>
      <c r="AD131" s="31">
        <v>0</v>
      </c>
      <c r="AE131" t="b">
        <v>0</v>
      </c>
      <c r="AF131" s="161">
        <v>-108.5</v>
      </c>
    </row>
    <row r="132" spans="1:32" x14ac:dyDescent="0.25">
      <c r="A132" t="str">
        <f t="shared" si="14"/>
        <v>2024-131</v>
      </c>
      <c r="B132" s="1">
        <f t="shared" si="15"/>
        <v>45551</v>
      </c>
      <c r="C132" t="str">
        <f t="shared" si="17"/>
        <v>Hetzner Online GmbH, Industriestraße 25, 91710 Gunzenhausen</v>
      </c>
      <c r="D132" t="str">
        <f t="shared" si="16"/>
        <v>Ausgaben</v>
      </c>
      <c r="E132" t="str">
        <f t="shared" si="16"/>
        <v>sonstige Betriebsausgaben</v>
      </c>
      <c r="F132" s="117">
        <f t="shared" si="18"/>
        <v>19.6936</v>
      </c>
      <c r="G132" t="str">
        <f t="shared" si="19"/>
        <v>0%</v>
      </c>
      <c r="I132" s="191">
        <v>2024</v>
      </c>
      <c r="J132" s="189">
        <v>131</v>
      </c>
      <c r="K132" s="71" t="s">
        <v>105</v>
      </c>
      <c r="L132" t="s">
        <v>705</v>
      </c>
      <c r="M132" s="1">
        <v>45551</v>
      </c>
      <c r="N132" t="s">
        <v>1783</v>
      </c>
      <c r="Q132" t="b">
        <v>0</v>
      </c>
      <c r="R132" s="48">
        <v>19.6936</v>
      </c>
      <c r="S132" s="185">
        <v>19.6936</v>
      </c>
      <c r="T132" s="72">
        <v>1</v>
      </c>
      <c r="U132" s="72">
        <v>0</v>
      </c>
      <c r="V132" s="185">
        <v>0</v>
      </c>
      <c r="W132" s="185">
        <v>0</v>
      </c>
      <c r="X132" s="185">
        <v>19.6936</v>
      </c>
      <c r="Y132" s="185">
        <v>19.6936</v>
      </c>
      <c r="Z132" s="192">
        <v>45611</v>
      </c>
      <c r="AA132">
        <v>20</v>
      </c>
      <c r="AB132" s="183">
        <v>19.6936</v>
      </c>
      <c r="AC132" s="195">
        <v>3.93872</v>
      </c>
      <c r="AD132" s="31">
        <v>0</v>
      </c>
      <c r="AE132" t="b">
        <v>0</v>
      </c>
      <c r="AF132" s="161">
        <v>-12</v>
      </c>
    </row>
    <row r="133" spans="1:32" x14ac:dyDescent="0.25">
      <c r="A133" t="str">
        <f t="shared" si="14"/>
        <v>2024-132</v>
      </c>
      <c r="B133" s="1">
        <f t="shared" si="15"/>
        <v>45555</v>
      </c>
      <c r="C133" t="str">
        <f t="shared" si="17"/>
        <v>Microsoft Ireland Operations Ltd. One Microsoft Place, South County, Business Park, Leopardstown, Dublin 18, D18 P521, Ireland</v>
      </c>
      <c r="D133" t="str">
        <f t="shared" si="16"/>
        <v>Ausgaben</v>
      </c>
      <c r="E133" t="str">
        <f t="shared" si="16"/>
        <v>sonstige Betriebsausgaben</v>
      </c>
      <c r="F133" s="117">
        <f t="shared" si="18"/>
        <v>11.7</v>
      </c>
      <c r="G133" t="str">
        <f t="shared" si="19"/>
        <v>0%</v>
      </c>
      <c r="I133" s="191">
        <v>2024</v>
      </c>
      <c r="J133" s="189">
        <v>132</v>
      </c>
      <c r="K133" s="71" t="s">
        <v>105</v>
      </c>
      <c r="L133" t="s">
        <v>705</v>
      </c>
      <c r="M133" s="1">
        <v>45555</v>
      </c>
      <c r="N133" t="s">
        <v>1032</v>
      </c>
      <c r="Q133" t="b">
        <v>0</v>
      </c>
      <c r="R133" s="48">
        <v>11.7</v>
      </c>
      <c r="S133" s="185">
        <v>11.7</v>
      </c>
      <c r="T133" s="72">
        <v>1</v>
      </c>
      <c r="U133" s="72">
        <v>0</v>
      </c>
      <c r="V133" s="185">
        <v>0</v>
      </c>
      <c r="W133" s="185">
        <v>0</v>
      </c>
      <c r="X133" s="185">
        <v>11.7</v>
      </c>
      <c r="Y133" s="185">
        <v>11.7</v>
      </c>
      <c r="Z133" s="192">
        <v>45611</v>
      </c>
      <c r="AA133">
        <v>20</v>
      </c>
      <c r="AB133" s="183">
        <v>11.7</v>
      </c>
      <c r="AC133" s="195">
        <v>2.34</v>
      </c>
      <c r="AD133" s="31">
        <v>10.442820000000001</v>
      </c>
      <c r="AE133" t="b">
        <v>0</v>
      </c>
      <c r="AF133" s="161">
        <v>-52.214100000000002</v>
      </c>
    </row>
    <row r="134" spans="1:32" x14ac:dyDescent="0.25">
      <c r="A134" t="str">
        <f t="shared" si="14"/>
        <v>2024-133</v>
      </c>
      <c r="B134" s="1">
        <f t="shared" si="15"/>
        <v>45560</v>
      </c>
      <c r="C134" t="str">
        <f t="shared" si="17"/>
        <v>OpenAI, LLC, 548 Market Street, PMB 97273, San Francisco, California 94104-5401, United States</v>
      </c>
      <c r="D134" t="str">
        <f t="shared" si="16"/>
        <v>Ausgaben</v>
      </c>
      <c r="E134" t="str">
        <f t="shared" si="16"/>
        <v>sonstige Betriebsausgaben</v>
      </c>
      <c r="F134" s="117">
        <f t="shared" si="18"/>
        <v>21.87</v>
      </c>
      <c r="G134" t="str">
        <f t="shared" si="19"/>
        <v>20%</v>
      </c>
      <c r="I134" s="191">
        <v>2024</v>
      </c>
      <c r="J134" s="189">
        <v>133</v>
      </c>
      <c r="K134" s="71" t="s">
        <v>105</v>
      </c>
      <c r="L134" t="s">
        <v>705</v>
      </c>
      <c r="M134" s="1">
        <v>45560</v>
      </c>
      <c r="N134" t="s">
        <v>1794</v>
      </c>
      <c r="Q134" t="b">
        <v>0</v>
      </c>
      <c r="R134" s="48">
        <v>21.87</v>
      </c>
      <c r="S134" s="185">
        <v>21.87</v>
      </c>
      <c r="T134" s="72">
        <v>1</v>
      </c>
      <c r="U134" s="72">
        <v>0.2</v>
      </c>
      <c r="V134" s="185">
        <v>3.5916666666666672</v>
      </c>
      <c r="W134" s="185">
        <v>3.5916666666666672</v>
      </c>
      <c r="X134" s="185">
        <v>17.958333333333336</v>
      </c>
      <c r="Y134" s="185">
        <v>17.958333333333336</v>
      </c>
      <c r="Z134" s="192">
        <v>45611</v>
      </c>
      <c r="AB134" s="183">
        <v>17.958333333333336</v>
      </c>
      <c r="AC134" s="195">
        <v>0</v>
      </c>
      <c r="AD134" s="31">
        <v>0</v>
      </c>
      <c r="AE134" t="b">
        <v>0</v>
      </c>
      <c r="AF134" s="161">
        <v>6593.25</v>
      </c>
    </row>
    <row r="135" spans="1:32" x14ac:dyDescent="0.25">
      <c r="A135" t="str">
        <f t="shared" si="14"/>
        <v>2024-134</v>
      </c>
      <c r="B135" s="1">
        <f t="shared" si="15"/>
        <v>45567</v>
      </c>
      <c r="C135" t="str">
        <f t="shared" si="17"/>
        <v>Hutchison Drei Austria GmbH, Brünner Straße 52, 1210 Wien, Österreich</v>
      </c>
      <c r="D135" t="str">
        <f t="shared" si="16"/>
        <v>Ausgaben</v>
      </c>
      <c r="E135" t="str">
        <f t="shared" si="16"/>
        <v>Telefon/Internet</v>
      </c>
      <c r="F135" s="117">
        <f t="shared" si="18"/>
        <v>13.91</v>
      </c>
      <c r="G135" t="str">
        <f t="shared" si="19"/>
        <v>20%</v>
      </c>
      <c r="I135" s="191">
        <v>2024</v>
      </c>
      <c r="J135" s="189">
        <v>134</v>
      </c>
      <c r="K135" s="71" t="s">
        <v>105</v>
      </c>
      <c r="L135" t="s">
        <v>703</v>
      </c>
      <c r="M135" s="1">
        <v>45567</v>
      </c>
      <c r="N135" t="s">
        <v>34</v>
      </c>
      <c r="Q135" t="b">
        <v>0</v>
      </c>
      <c r="R135" s="48">
        <v>13.91</v>
      </c>
      <c r="S135" s="185">
        <v>13.91</v>
      </c>
      <c r="T135" s="72">
        <v>1</v>
      </c>
      <c r="U135" s="72">
        <v>0.2</v>
      </c>
      <c r="V135" s="185">
        <v>2.3183333333333334</v>
      </c>
      <c r="W135" s="185">
        <v>2.3183333333333334</v>
      </c>
      <c r="X135" s="185">
        <v>11.591666666666667</v>
      </c>
      <c r="Y135" s="185">
        <v>11.591666666666667</v>
      </c>
      <c r="Z135" s="192">
        <v>45703</v>
      </c>
      <c r="AB135" s="183">
        <v>11.591666666666667</v>
      </c>
      <c r="AC135" s="195">
        <v>0</v>
      </c>
      <c r="AD135" s="31">
        <v>0</v>
      </c>
      <c r="AE135" t="b">
        <v>0</v>
      </c>
      <c r="AF135" s="161">
        <v>-365</v>
      </c>
    </row>
    <row r="136" spans="1:32" x14ac:dyDescent="0.25">
      <c r="A136" t="str">
        <f t="shared" si="14"/>
        <v>2024-135</v>
      </c>
      <c r="B136" s="1">
        <f t="shared" si="15"/>
        <v>45567</v>
      </c>
      <c r="C136" t="str">
        <f t="shared" si="17"/>
        <v>Trimble Europe B.V., Industrieweg 187A, 5683 CC Best, Netherlands, VAT ID: NL.00.32.57.447.B01</v>
      </c>
      <c r="D136" t="str">
        <f t="shared" si="16"/>
        <v>Ausgaben</v>
      </c>
      <c r="E136" t="str">
        <f t="shared" si="16"/>
        <v>Lizenzgebühren</v>
      </c>
      <c r="F136" s="117">
        <f t="shared" si="18"/>
        <v>337</v>
      </c>
      <c r="G136" t="str">
        <f t="shared" si="19"/>
        <v>0%</v>
      </c>
      <c r="I136" s="191">
        <v>2024</v>
      </c>
      <c r="J136" s="189">
        <v>135</v>
      </c>
      <c r="K136" s="71" t="s">
        <v>105</v>
      </c>
      <c r="L136" t="s">
        <v>692</v>
      </c>
      <c r="M136" s="1">
        <v>45567</v>
      </c>
      <c r="N136" t="s">
        <v>1813</v>
      </c>
      <c r="Q136" t="b">
        <v>0</v>
      </c>
      <c r="R136" s="48">
        <v>337</v>
      </c>
      <c r="S136" s="185">
        <v>337</v>
      </c>
      <c r="T136" s="72">
        <v>1</v>
      </c>
      <c r="U136" s="72">
        <v>0</v>
      </c>
      <c r="V136" s="185">
        <v>0</v>
      </c>
      <c r="W136" s="185">
        <v>0</v>
      </c>
      <c r="X136" s="185">
        <v>337</v>
      </c>
      <c r="Y136" s="185">
        <v>337</v>
      </c>
      <c r="Z136" s="192">
        <v>45703</v>
      </c>
      <c r="AA136">
        <v>20</v>
      </c>
      <c r="AB136" s="183">
        <v>337</v>
      </c>
      <c r="AC136" s="195">
        <v>67.400000000000006</v>
      </c>
      <c r="AD136" s="31">
        <v>0</v>
      </c>
      <c r="AE136" t="b">
        <v>0</v>
      </c>
      <c r="AF136" s="161">
        <v>-31.92</v>
      </c>
    </row>
    <row r="137" spans="1:32" x14ac:dyDescent="0.25">
      <c r="A137" t="str">
        <f t="shared" si="14"/>
        <v>2024-136</v>
      </c>
      <c r="B137" s="1">
        <f t="shared" si="15"/>
        <v>45568</v>
      </c>
      <c r="C137" t="str">
        <f t="shared" si="17"/>
        <v>Google Ireland Ltd, Gordon House, Barrow Street, Dublin 4, Ireland; VAT number: IE 6388047V</v>
      </c>
      <c r="D137" t="str">
        <f t="shared" si="16"/>
        <v>Ausgaben</v>
      </c>
      <c r="E137" t="str">
        <f t="shared" si="16"/>
        <v>sonstige Betriebsausgaben</v>
      </c>
      <c r="F137" s="117">
        <f t="shared" si="18"/>
        <v>13.8</v>
      </c>
      <c r="G137" t="str">
        <f t="shared" si="19"/>
        <v>0%</v>
      </c>
      <c r="I137" s="191">
        <v>2024</v>
      </c>
      <c r="J137" s="189">
        <v>136</v>
      </c>
      <c r="K137" s="71" t="s">
        <v>105</v>
      </c>
      <c r="L137" t="s">
        <v>705</v>
      </c>
      <c r="M137" s="1">
        <v>45568</v>
      </c>
      <c r="N137" t="s">
        <v>1404</v>
      </c>
      <c r="Q137" t="b">
        <v>0</v>
      </c>
      <c r="R137" s="48">
        <v>13.8</v>
      </c>
      <c r="S137" s="185">
        <v>13.8</v>
      </c>
      <c r="T137" s="72">
        <v>1</v>
      </c>
      <c r="U137" s="72">
        <v>0</v>
      </c>
      <c r="V137" s="185">
        <v>0</v>
      </c>
      <c r="W137" s="185">
        <v>0</v>
      </c>
      <c r="X137" s="185">
        <v>13.8</v>
      </c>
      <c r="Y137" s="185">
        <v>13.8</v>
      </c>
      <c r="Z137" s="192">
        <v>45703</v>
      </c>
      <c r="AA137">
        <v>20</v>
      </c>
      <c r="AB137" s="183">
        <v>13.8</v>
      </c>
      <c r="AC137" s="195">
        <v>2.7600000000000002</v>
      </c>
      <c r="AD137" s="31">
        <v>2.1</v>
      </c>
      <c r="AE137" t="b">
        <v>0</v>
      </c>
      <c r="AF137" s="161">
        <v>-10.5</v>
      </c>
    </row>
    <row r="138" spans="1:32" x14ac:dyDescent="0.25">
      <c r="A138" t="str">
        <f t="shared" si="14"/>
        <v>2024-137</v>
      </c>
      <c r="B138" s="1">
        <f t="shared" si="15"/>
        <v>45576</v>
      </c>
      <c r="C138" t="str">
        <f t="shared" si="17"/>
        <v>Hetzner Online GmbH, Industriestraße 25, 91710 Gunzenhausen</v>
      </c>
      <c r="D138" t="str">
        <f t="shared" si="16"/>
        <v>Ausgaben</v>
      </c>
      <c r="E138" t="str">
        <f t="shared" si="16"/>
        <v>sonstige Betriebsausgaben</v>
      </c>
      <c r="F138" s="117">
        <f t="shared" si="18"/>
        <v>56</v>
      </c>
      <c r="G138" t="str">
        <f t="shared" si="19"/>
        <v>0%</v>
      </c>
      <c r="I138" s="191">
        <v>2024</v>
      </c>
      <c r="J138" s="189">
        <v>137</v>
      </c>
      <c r="K138" s="71" t="s">
        <v>105</v>
      </c>
      <c r="L138" t="s">
        <v>705</v>
      </c>
      <c r="M138" s="1">
        <v>45576</v>
      </c>
      <c r="N138" t="s">
        <v>1783</v>
      </c>
      <c r="Q138" t="b">
        <v>0</v>
      </c>
      <c r="R138" s="48">
        <v>56</v>
      </c>
      <c r="S138" s="185">
        <v>56</v>
      </c>
      <c r="T138" s="72">
        <v>1</v>
      </c>
      <c r="U138" s="72">
        <v>0</v>
      </c>
      <c r="V138" s="185">
        <v>0</v>
      </c>
      <c r="W138" s="185">
        <v>0</v>
      </c>
      <c r="X138" s="185">
        <v>56</v>
      </c>
      <c r="Y138" s="185">
        <v>56</v>
      </c>
      <c r="Z138" s="192">
        <v>45703</v>
      </c>
      <c r="AA138">
        <v>20</v>
      </c>
      <c r="AB138" s="183">
        <v>56</v>
      </c>
      <c r="AC138" s="195">
        <v>11.200000000000001</v>
      </c>
      <c r="AD138" s="31">
        <v>0</v>
      </c>
      <c r="AE138" t="b">
        <v>0</v>
      </c>
      <c r="AF138" s="161">
        <v>-77.545454545454533</v>
      </c>
    </row>
    <row r="139" spans="1:32" x14ac:dyDescent="0.25">
      <c r="A139" t="str">
        <f t="shared" si="14"/>
        <v>2024-138</v>
      </c>
      <c r="B139" s="1">
        <f t="shared" si="15"/>
        <v>45576</v>
      </c>
      <c r="C139" t="str">
        <f t="shared" si="17"/>
        <v>Hays Österreich GmbH, Bahnhof City Wien West - Europaplatz 3/5, 1150 Wien</v>
      </c>
      <c r="D139" t="str">
        <f t="shared" si="16"/>
        <v>Einnahmen</v>
      </c>
      <c r="E139" t="str">
        <f t="shared" si="16"/>
        <v>Waren-/Leistungserlöse</v>
      </c>
      <c r="F139" s="117">
        <f t="shared" si="18"/>
        <v>7841.86</v>
      </c>
      <c r="G139" t="str">
        <f t="shared" si="19"/>
        <v>20%</v>
      </c>
      <c r="I139" s="191">
        <v>2024</v>
      </c>
      <c r="J139" s="189">
        <v>138</v>
      </c>
      <c r="K139" s="71" t="s">
        <v>708</v>
      </c>
      <c r="L139" t="s">
        <v>709</v>
      </c>
      <c r="M139" s="1">
        <v>45576</v>
      </c>
      <c r="N139" t="s">
        <v>1788</v>
      </c>
      <c r="R139" s="48">
        <v>7841.86</v>
      </c>
      <c r="S139" s="185">
        <v>7841.86</v>
      </c>
      <c r="T139" s="72">
        <v>1</v>
      </c>
      <c r="U139" s="72">
        <v>0.2</v>
      </c>
      <c r="V139" s="185">
        <v>1306.9766666666667</v>
      </c>
      <c r="W139" s="185">
        <v>1306.9766666666667</v>
      </c>
      <c r="X139" s="185">
        <v>6534.8833333333332</v>
      </c>
      <c r="Y139" s="185">
        <v>6534.8833333333332</v>
      </c>
      <c r="Z139" s="192">
        <v>45703</v>
      </c>
      <c r="AB139" s="183">
        <v>6534.8833333333332</v>
      </c>
      <c r="AC139" s="195">
        <v>0</v>
      </c>
      <c r="AD139" s="31">
        <v>0</v>
      </c>
      <c r="AE139" t="b">
        <v>0</v>
      </c>
      <c r="AF139" s="161">
        <v>754.78</v>
      </c>
    </row>
    <row r="140" spans="1:32" x14ac:dyDescent="0.25">
      <c r="A140" t="str">
        <f t="shared" si="14"/>
        <v>2024-139</v>
      </c>
      <c r="B140" s="1">
        <f t="shared" si="15"/>
        <v>45551</v>
      </c>
      <c r="C140" t="str">
        <f t="shared" si="17"/>
        <v>Fachgruppenverwaltung Förderaktion KlimaTicket UBIT NÖ</v>
      </c>
      <c r="D140" t="str">
        <f t="shared" si="16"/>
        <v>Einnahmen</v>
      </c>
      <c r="E140" t="str">
        <f t="shared" si="16"/>
        <v>Übrige Erträge</v>
      </c>
      <c r="F140" s="117">
        <f t="shared" si="18"/>
        <v>450</v>
      </c>
      <c r="G140" t="str">
        <f t="shared" si="19"/>
        <v>0%</v>
      </c>
      <c r="I140" s="191">
        <v>2024</v>
      </c>
      <c r="J140" s="189">
        <v>139</v>
      </c>
      <c r="K140" s="71" t="s">
        <v>708</v>
      </c>
      <c r="L140" t="s">
        <v>710</v>
      </c>
      <c r="M140" s="1">
        <v>45551</v>
      </c>
      <c r="N140" t="s">
        <v>1814</v>
      </c>
      <c r="R140" s="48">
        <v>450</v>
      </c>
      <c r="S140" s="185">
        <v>450</v>
      </c>
      <c r="T140" s="72">
        <v>1</v>
      </c>
      <c r="U140" s="72">
        <v>0</v>
      </c>
      <c r="V140" s="185">
        <v>0</v>
      </c>
      <c r="W140" s="185">
        <v>0</v>
      </c>
      <c r="X140" s="185">
        <v>450</v>
      </c>
      <c r="Y140" s="185">
        <v>450</v>
      </c>
      <c r="Z140" s="192">
        <v>45611</v>
      </c>
      <c r="AB140" s="183">
        <v>450</v>
      </c>
      <c r="AC140" s="195">
        <v>0</v>
      </c>
      <c r="AD140" s="31">
        <v>0</v>
      </c>
      <c r="AE140" t="b">
        <v>0</v>
      </c>
      <c r="AF140" s="78">
        <v>7.2333333333333334</v>
      </c>
    </row>
    <row r="141" spans="1:32" x14ac:dyDescent="0.25">
      <c r="A141" t="str">
        <f t="shared" si="14"/>
        <v>2024-140</v>
      </c>
      <c r="B141" s="1">
        <f t="shared" si="15"/>
        <v>45580</v>
      </c>
      <c r="C141" t="str">
        <f t="shared" si="17"/>
        <v>kabelplus GmbH, Südstadtzentrum 4, 2344 Maria Enzersdorf</v>
      </c>
      <c r="D141" t="str">
        <f t="shared" si="16"/>
        <v>Ausgaben</v>
      </c>
      <c r="E141" t="str">
        <f t="shared" si="16"/>
        <v>Telefon/Internet</v>
      </c>
      <c r="F141" s="117">
        <f t="shared" si="18"/>
        <v>37.319000000000003</v>
      </c>
      <c r="G141" t="str">
        <f t="shared" si="19"/>
        <v>17,2138047138047%</v>
      </c>
      <c r="I141" s="191">
        <v>2024</v>
      </c>
      <c r="J141" s="189">
        <v>140</v>
      </c>
      <c r="K141" s="71" t="s">
        <v>105</v>
      </c>
      <c r="L141" t="s">
        <v>703</v>
      </c>
      <c r="M141" s="1">
        <v>45580</v>
      </c>
      <c r="N141" t="s">
        <v>1781</v>
      </c>
      <c r="Q141" t="b">
        <v>0</v>
      </c>
      <c r="R141" s="48">
        <v>55.7</v>
      </c>
      <c r="S141" s="185">
        <v>37.319000000000003</v>
      </c>
      <c r="T141" s="72">
        <v>0.67</v>
      </c>
      <c r="U141" s="72">
        <v>0.17213804713804712</v>
      </c>
      <c r="V141" s="185">
        <v>8.18</v>
      </c>
      <c r="W141" s="185">
        <v>5.4805999999999999</v>
      </c>
      <c r="X141" s="185">
        <v>47.52</v>
      </c>
      <c r="Y141" s="185">
        <v>31.838400000000004</v>
      </c>
      <c r="Z141" s="192">
        <v>45703</v>
      </c>
      <c r="AB141" s="183">
        <v>31.838400000000004</v>
      </c>
      <c r="AC141" s="195">
        <v>0</v>
      </c>
      <c r="AD141" s="31">
        <v>0</v>
      </c>
      <c r="AE141" t="b">
        <v>0</v>
      </c>
      <c r="AF141" s="78">
        <v>-5395.81</v>
      </c>
    </row>
    <row r="142" spans="1:32" x14ac:dyDescent="0.25">
      <c r="A142" t="str">
        <f t="shared" si="14"/>
        <v>2024-141</v>
      </c>
      <c r="B142" s="1">
        <f t="shared" si="15"/>
        <v>45581</v>
      </c>
      <c r="C142" t="str">
        <f t="shared" si="17"/>
        <v>Hetzner Online GmbH, Industriestraße 25, 91710 Gunzenhausen</v>
      </c>
      <c r="D142" t="str">
        <f t="shared" si="16"/>
        <v>Ausgaben</v>
      </c>
      <c r="E142" t="str">
        <f t="shared" si="16"/>
        <v>sonstige Betriebsausgaben</v>
      </c>
      <c r="F142" s="117">
        <f t="shared" si="18"/>
        <v>9.16</v>
      </c>
      <c r="G142" t="str">
        <f t="shared" si="19"/>
        <v>0%</v>
      </c>
      <c r="I142" s="191">
        <v>2024</v>
      </c>
      <c r="J142" s="189">
        <v>141</v>
      </c>
      <c r="K142" s="71" t="s">
        <v>105</v>
      </c>
      <c r="L142" t="s">
        <v>705</v>
      </c>
      <c r="M142" s="1">
        <v>45581</v>
      </c>
      <c r="N142" t="s">
        <v>1783</v>
      </c>
      <c r="Q142" t="b">
        <v>0</v>
      </c>
      <c r="R142" s="48">
        <v>9.16</v>
      </c>
      <c r="S142" s="185">
        <v>9.16</v>
      </c>
      <c r="T142" s="72">
        <v>1</v>
      </c>
      <c r="U142" s="72">
        <v>0</v>
      </c>
      <c r="V142" s="185">
        <v>0</v>
      </c>
      <c r="W142" s="185">
        <v>0</v>
      </c>
      <c r="X142" s="185">
        <v>9.16</v>
      </c>
      <c r="Y142" s="185">
        <v>9.16</v>
      </c>
      <c r="Z142" s="192">
        <v>45703</v>
      </c>
      <c r="AA142">
        <v>20</v>
      </c>
      <c r="AB142" s="183">
        <v>9.16</v>
      </c>
      <c r="AC142" s="195">
        <v>1.8320000000000001</v>
      </c>
      <c r="AD142" s="31">
        <v>0</v>
      </c>
      <c r="AE142" t="b">
        <v>0</v>
      </c>
      <c r="AF142" s="78">
        <v>-533.10833333333335</v>
      </c>
    </row>
    <row r="143" spans="1:32" x14ac:dyDescent="0.25">
      <c r="A143" t="str">
        <f t="shared" si="14"/>
        <v>2024-142</v>
      </c>
      <c r="B143" s="1">
        <f t="shared" si="15"/>
        <v>45582</v>
      </c>
      <c r="C143" t="str">
        <f t="shared" si="17"/>
        <v>ZT DI Dr. Arno Kolbitsch, Gütleweg 1, 6822 Satteins</v>
      </c>
      <c r="D143" t="str">
        <f t="shared" si="16"/>
        <v>Einnahmen</v>
      </c>
      <c r="E143" t="str">
        <f t="shared" si="16"/>
        <v>Waren-/Leistungserlöse</v>
      </c>
      <c r="F143" s="117">
        <f t="shared" si="18"/>
        <v>2405.41</v>
      </c>
      <c r="G143" t="str">
        <f t="shared" si="19"/>
        <v>20%</v>
      </c>
      <c r="I143" s="191">
        <v>2024</v>
      </c>
      <c r="J143" s="189">
        <v>142</v>
      </c>
      <c r="K143" s="71" t="s">
        <v>708</v>
      </c>
      <c r="L143" t="s">
        <v>709</v>
      </c>
      <c r="M143" s="1">
        <v>45582</v>
      </c>
      <c r="N143" t="s">
        <v>1038</v>
      </c>
      <c r="R143" s="48">
        <v>2405.41</v>
      </c>
      <c r="S143" s="185">
        <v>2405.41</v>
      </c>
      <c r="T143" s="72">
        <v>1</v>
      </c>
      <c r="U143" s="72">
        <v>0.2</v>
      </c>
      <c r="V143" s="185">
        <v>400.90166666666664</v>
      </c>
      <c r="W143" s="185">
        <v>400.90166666666664</v>
      </c>
      <c r="X143" s="185">
        <v>2004.5083333333332</v>
      </c>
      <c r="Y143" s="185">
        <v>2004.5083333333332</v>
      </c>
      <c r="Z143" s="192">
        <v>45703</v>
      </c>
      <c r="AB143" s="183">
        <v>2004.5083333333332</v>
      </c>
      <c r="AC143" s="195">
        <v>0</v>
      </c>
      <c r="AD143" s="31">
        <v>0</v>
      </c>
      <c r="AE143" t="b">
        <v>0</v>
      </c>
      <c r="AF143" s="161">
        <v>-10.75</v>
      </c>
    </row>
    <row r="144" spans="1:32" x14ac:dyDescent="0.25">
      <c r="A144" t="str">
        <f t="shared" si="14"/>
        <v>2024-143</v>
      </c>
      <c r="B144" s="1">
        <f t="shared" si="15"/>
        <v>45586</v>
      </c>
      <c r="C144" t="str">
        <f t="shared" si="17"/>
        <v>Lemon Technologies GmbH, Unterweißenbach 181, 8330 Feldbach: Dell Precision 3580 Laptop</v>
      </c>
      <c r="D144" t="str">
        <f t="shared" si="16"/>
        <v>Ausgaben</v>
      </c>
      <c r="E144" t="str">
        <f t="shared" si="16"/>
        <v>Büromaterial</v>
      </c>
      <c r="F144" s="117">
        <f t="shared" si="18"/>
        <v>118.75</v>
      </c>
      <c r="G144" t="str">
        <f t="shared" si="19"/>
        <v>20%</v>
      </c>
      <c r="I144" s="191">
        <v>2024</v>
      </c>
      <c r="J144" s="189">
        <v>143</v>
      </c>
      <c r="K144" s="71" t="s">
        <v>105</v>
      </c>
      <c r="L144" t="s">
        <v>339</v>
      </c>
      <c r="M144" s="1">
        <v>45586</v>
      </c>
      <c r="N144" t="s">
        <v>1746</v>
      </c>
      <c r="P144" s="2"/>
      <c r="Q144" t="b">
        <v>0</v>
      </c>
      <c r="R144" s="48">
        <v>118.75</v>
      </c>
      <c r="S144" s="185">
        <v>118.75</v>
      </c>
      <c r="T144" s="72">
        <v>1</v>
      </c>
      <c r="U144" s="72">
        <v>0.2</v>
      </c>
      <c r="V144" s="185">
        <v>19.791666666666671</v>
      </c>
      <c r="W144" s="185">
        <v>19.791666666666671</v>
      </c>
      <c r="X144" s="185">
        <v>98.958333333333343</v>
      </c>
      <c r="Y144" s="185">
        <v>98.958333333333343</v>
      </c>
      <c r="Z144" s="192">
        <v>45703</v>
      </c>
      <c r="AB144" s="183">
        <v>98.958333333333343</v>
      </c>
      <c r="AC144" s="195">
        <v>0</v>
      </c>
      <c r="AD144" s="31">
        <v>2.08</v>
      </c>
      <c r="AE144" t="b">
        <v>0</v>
      </c>
      <c r="AF144" s="161">
        <v>-10.4</v>
      </c>
    </row>
    <row r="145" spans="1:32" x14ac:dyDescent="0.25">
      <c r="A145" t="str">
        <f t="shared" si="14"/>
        <v>2024-144</v>
      </c>
      <c r="B145" s="1">
        <f t="shared" si="15"/>
        <v>45586</v>
      </c>
      <c r="C145" t="str">
        <f t="shared" si="17"/>
        <v>Microsoft Ireland Operations Ltd. One Microsoft Place, South County, Business Park, Leopardstown, Dublin 18, D18 P521, Ireland</v>
      </c>
      <c r="D145" t="str">
        <f t="shared" si="16"/>
        <v>Ausgaben</v>
      </c>
      <c r="E145" t="str">
        <f t="shared" si="16"/>
        <v>sonstige Betriebsausgaben</v>
      </c>
      <c r="F145" s="117">
        <f t="shared" si="18"/>
        <v>11.7</v>
      </c>
      <c r="G145" t="str">
        <f t="shared" si="19"/>
        <v>0%</v>
      </c>
      <c r="I145" s="191">
        <v>2024</v>
      </c>
      <c r="J145" s="189">
        <v>144</v>
      </c>
      <c r="K145" s="71" t="s">
        <v>105</v>
      </c>
      <c r="L145" t="s">
        <v>705</v>
      </c>
      <c r="M145" s="1">
        <v>45586</v>
      </c>
      <c r="N145" t="s">
        <v>1032</v>
      </c>
      <c r="Q145" t="b">
        <v>0</v>
      </c>
      <c r="R145" s="48">
        <v>11.7</v>
      </c>
      <c r="S145" s="185">
        <v>11.7</v>
      </c>
      <c r="T145" s="72">
        <v>1</v>
      </c>
      <c r="U145" s="72">
        <v>0</v>
      </c>
      <c r="V145" s="185">
        <v>0</v>
      </c>
      <c r="W145" s="185">
        <v>0</v>
      </c>
      <c r="X145" s="185">
        <v>11.7</v>
      </c>
      <c r="Y145" s="185">
        <v>11.7</v>
      </c>
      <c r="Z145" s="192">
        <v>45703</v>
      </c>
      <c r="AA145">
        <v>20</v>
      </c>
      <c r="AB145" s="183">
        <v>11.7</v>
      </c>
      <c r="AC145" s="195">
        <v>2.34</v>
      </c>
      <c r="AD145" s="31">
        <v>0</v>
      </c>
      <c r="AE145" t="b">
        <v>0</v>
      </c>
      <c r="AF145" s="161">
        <v>-5</v>
      </c>
    </row>
    <row r="146" spans="1:32" x14ac:dyDescent="0.25">
      <c r="A146" t="str">
        <f t="shared" si="14"/>
        <v>2024-145</v>
      </c>
      <c r="B146" s="1">
        <f t="shared" si="15"/>
        <v>45587</v>
      </c>
      <c r="C146" t="str">
        <f t="shared" si="17"/>
        <v>H. Jaros e.U., Kohlmarkt 16/2/2/15a</v>
      </c>
      <c r="D146" t="str">
        <f t="shared" si="16"/>
        <v>Einnahmen</v>
      </c>
      <c r="E146" t="str">
        <f t="shared" si="16"/>
        <v>Waren-/Leistungserlöse</v>
      </c>
      <c r="F146" s="117">
        <f t="shared" si="18"/>
        <v>198</v>
      </c>
      <c r="G146" t="str">
        <f t="shared" si="19"/>
        <v>20%</v>
      </c>
      <c r="I146" s="191">
        <v>2024</v>
      </c>
      <c r="J146" s="189">
        <v>145</v>
      </c>
      <c r="K146" s="71" t="s">
        <v>708</v>
      </c>
      <c r="L146" t="s">
        <v>709</v>
      </c>
      <c r="M146" s="1">
        <v>45587</v>
      </c>
      <c r="N146" t="s">
        <v>1816</v>
      </c>
      <c r="R146" s="48">
        <v>198</v>
      </c>
      <c r="S146" s="185">
        <v>198</v>
      </c>
      <c r="T146" s="72">
        <v>1</v>
      </c>
      <c r="U146" s="72">
        <v>0.2</v>
      </c>
      <c r="V146" s="185">
        <v>33</v>
      </c>
      <c r="W146" s="185">
        <v>33</v>
      </c>
      <c r="X146" s="185">
        <v>165</v>
      </c>
      <c r="Y146" s="185">
        <v>165</v>
      </c>
      <c r="Z146" s="192">
        <v>45703</v>
      </c>
      <c r="AB146" s="183">
        <v>165</v>
      </c>
      <c r="AC146" s="195">
        <v>0</v>
      </c>
      <c r="AD146" s="31">
        <v>0</v>
      </c>
      <c r="AE146" t="b">
        <v>0</v>
      </c>
      <c r="AF146" s="161">
        <v>-108.5</v>
      </c>
    </row>
    <row r="147" spans="1:32" x14ac:dyDescent="0.25">
      <c r="A147" t="str">
        <f t="shared" si="14"/>
        <v>2024-146</v>
      </c>
      <c r="B147" s="1">
        <f t="shared" si="15"/>
        <v>45590</v>
      </c>
      <c r="C147" t="str">
        <f t="shared" si="17"/>
        <v>OpenAI, LLC, 548 Market Street, PMB 97273, San Francisco, California 94104-5401, United States</v>
      </c>
      <c r="D147" t="str">
        <f t="shared" si="16"/>
        <v>Ausgaben</v>
      </c>
      <c r="E147" t="str">
        <f t="shared" si="16"/>
        <v>sonstige Betriebsausgaben</v>
      </c>
      <c r="F147" s="117">
        <f t="shared" si="18"/>
        <v>22.57</v>
      </c>
      <c r="G147" t="str">
        <f t="shared" si="19"/>
        <v>20%</v>
      </c>
      <c r="I147" s="191">
        <v>2024</v>
      </c>
      <c r="J147" s="189">
        <v>146</v>
      </c>
      <c r="K147" s="71" t="s">
        <v>105</v>
      </c>
      <c r="L147" t="s">
        <v>705</v>
      </c>
      <c r="M147" s="1">
        <v>45590</v>
      </c>
      <c r="N147" t="s">
        <v>1794</v>
      </c>
      <c r="Q147" t="b">
        <v>0</v>
      </c>
      <c r="R147" s="48">
        <v>22.57</v>
      </c>
      <c r="S147" s="185">
        <v>22.57</v>
      </c>
      <c r="T147" s="72">
        <v>1</v>
      </c>
      <c r="U147" s="72">
        <v>0.2</v>
      </c>
      <c r="V147" s="185">
        <v>3.7083333333333339</v>
      </c>
      <c r="W147" s="185">
        <v>3.7083333333333339</v>
      </c>
      <c r="X147" s="185">
        <v>18.541666666666668</v>
      </c>
      <c r="Y147" s="185">
        <v>18.541666666666668</v>
      </c>
      <c r="Z147" s="192">
        <v>45703</v>
      </c>
      <c r="AB147" s="183">
        <v>18.541666666666668</v>
      </c>
      <c r="AC147" s="195">
        <v>0</v>
      </c>
      <c r="AD147" s="31">
        <v>0</v>
      </c>
      <c r="AE147" t="b">
        <v>0</v>
      </c>
      <c r="AF147" s="161">
        <v>-12</v>
      </c>
    </row>
    <row r="148" spans="1:32" x14ac:dyDescent="0.25">
      <c r="A148" t="str">
        <f t="shared" si="14"/>
        <v>2024-147</v>
      </c>
      <c r="B148" s="1">
        <f t="shared" si="15"/>
        <v>45593</v>
      </c>
      <c r="C148" t="str">
        <f t="shared" si="17"/>
        <v>Adobe Systems Software Ireland Ltd, 4-6 Riverwalk, Citywest Business Park, Dublin 24, Ireland, UID: IE6364992H</v>
      </c>
      <c r="D148" t="str">
        <f t="shared" si="16"/>
        <v>Ausgaben</v>
      </c>
      <c r="E148" t="str">
        <f t="shared" si="16"/>
        <v>Lizenzgebühren</v>
      </c>
      <c r="F148" s="117">
        <f t="shared" si="18"/>
        <v>20.28</v>
      </c>
      <c r="G148" t="str">
        <f t="shared" si="19"/>
        <v>0%</v>
      </c>
      <c r="I148" s="191">
        <v>2024</v>
      </c>
      <c r="J148" s="189">
        <v>147</v>
      </c>
      <c r="K148" s="71" t="s">
        <v>105</v>
      </c>
      <c r="L148" t="s">
        <v>692</v>
      </c>
      <c r="M148" s="1">
        <v>45593</v>
      </c>
      <c r="N148" t="s">
        <v>1817</v>
      </c>
      <c r="P148" s="2" t="s">
        <v>958</v>
      </c>
      <c r="Q148" t="b">
        <v>0</v>
      </c>
      <c r="R148" s="48">
        <v>20.28</v>
      </c>
      <c r="S148" s="185">
        <v>20.28</v>
      </c>
      <c r="T148" s="72">
        <v>1</v>
      </c>
      <c r="U148" s="72">
        <v>0</v>
      </c>
      <c r="V148" s="185">
        <v>0</v>
      </c>
      <c r="W148" s="185">
        <v>0</v>
      </c>
      <c r="X148" s="185">
        <v>20.28</v>
      </c>
      <c r="Y148" s="185">
        <v>20.28</v>
      </c>
      <c r="Z148" s="192">
        <v>45703</v>
      </c>
      <c r="AA148">
        <v>20</v>
      </c>
      <c r="AB148" s="183">
        <v>20.28</v>
      </c>
      <c r="AC148" s="195">
        <v>4.056</v>
      </c>
      <c r="AD148" s="31">
        <v>0</v>
      </c>
      <c r="AE148" t="b">
        <v>0</v>
      </c>
      <c r="AF148" s="161">
        <v>15155.63</v>
      </c>
    </row>
    <row r="149" spans="1:32" x14ac:dyDescent="0.25">
      <c r="A149" t="str">
        <f t="shared" si="14"/>
        <v>2024-148</v>
      </c>
      <c r="B149" s="1">
        <f t="shared" si="15"/>
        <v>45596</v>
      </c>
      <c r="C149" t="str">
        <f t="shared" si="17"/>
        <v>tonershop.at Primus office products HandelsgesmbH &amp; Co KG, Goldschlagstra0e 172, 1140 Wien</v>
      </c>
      <c r="D149" t="str">
        <f t="shared" si="16"/>
        <v>Ausgaben</v>
      </c>
      <c r="E149" t="str">
        <f t="shared" si="16"/>
        <v>sonstige Betriebsausgaben</v>
      </c>
      <c r="F149" s="117">
        <f t="shared" si="18"/>
        <v>380.9</v>
      </c>
      <c r="G149" t="str">
        <f t="shared" si="19"/>
        <v>20%</v>
      </c>
      <c r="I149" s="191">
        <v>2024</v>
      </c>
      <c r="J149" s="189">
        <v>148</v>
      </c>
      <c r="K149" s="71" t="s">
        <v>105</v>
      </c>
      <c r="L149" t="s">
        <v>705</v>
      </c>
      <c r="M149" s="1">
        <v>45596</v>
      </c>
      <c r="N149" t="s">
        <v>1818</v>
      </c>
      <c r="Q149" t="b">
        <v>0</v>
      </c>
      <c r="R149" s="48">
        <v>380.9</v>
      </c>
      <c r="S149" s="185">
        <v>380.9</v>
      </c>
      <c r="T149" s="72">
        <v>1</v>
      </c>
      <c r="U149" s="72">
        <v>0.2</v>
      </c>
      <c r="V149" s="185">
        <v>63.483333333333341</v>
      </c>
      <c r="W149" s="185">
        <v>63.483333333333341</v>
      </c>
      <c r="X149" s="185">
        <v>317.41666666666669</v>
      </c>
      <c r="Y149" s="185">
        <v>317.41666666666669</v>
      </c>
      <c r="Z149" s="192">
        <v>45703</v>
      </c>
      <c r="AB149" s="183">
        <v>317.41666666666669</v>
      </c>
      <c r="AC149" s="195">
        <v>0</v>
      </c>
      <c r="AD149" s="31">
        <v>10.442820000000001</v>
      </c>
      <c r="AE149" t="b">
        <v>0</v>
      </c>
      <c r="AF149" s="161">
        <v>-52.214100000000002</v>
      </c>
    </row>
    <row r="150" spans="1:32" x14ac:dyDescent="0.25">
      <c r="A150" t="str">
        <f t="shared" si="14"/>
        <v>2024-149</v>
      </c>
      <c r="B150" s="1">
        <f t="shared" si="15"/>
        <v>45600</v>
      </c>
      <c r="C150" t="str">
        <f t="shared" si="17"/>
        <v>Marktgemeinde Bisamberg, Hauptstraße 2, 2102 Bisamberg</v>
      </c>
      <c r="D150" t="str">
        <f t="shared" si="16"/>
        <v>Ausgaben</v>
      </c>
      <c r="E150" t="str">
        <f t="shared" si="16"/>
        <v>sonstige Betriebsausgaben</v>
      </c>
      <c r="F150" s="117">
        <f t="shared" si="18"/>
        <v>21.629527236003284</v>
      </c>
      <c r="G150" t="str">
        <f t="shared" si="19"/>
        <v>9,82126146359723%</v>
      </c>
      <c r="I150" s="191">
        <v>2024</v>
      </c>
      <c r="J150" s="189">
        <v>149</v>
      </c>
      <c r="K150" s="71" t="s">
        <v>105</v>
      </c>
      <c r="L150" t="s">
        <v>705</v>
      </c>
      <c r="M150" s="1">
        <v>45600</v>
      </c>
      <c r="N150" t="s">
        <v>1786</v>
      </c>
      <c r="Q150" t="b">
        <v>0</v>
      </c>
      <c r="R150" s="48">
        <v>234.71</v>
      </c>
      <c r="S150" s="185">
        <v>21.629527236003284</v>
      </c>
      <c r="T150" s="72">
        <v>9.2154263712680679E-2</v>
      </c>
      <c r="U150" s="72">
        <v>9.8212614635972292E-2</v>
      </c>
      <c r="V150" s="185">
        <v>20.99</v>
      </c>
      <c r="W150" s="185">
        <v>1.9343179953291674</v>
      </c>
      <c r="X150" s="185">
        <v>213.72</v>
      </c>
      <c r="Y150" s="185">
        <v>19.695209240674114</v>
      </c>
      <c r="Z150" s="192">
        <v>45703</v>
      </c>
      <c r="AB150" s="183">
        <v>19.695209240674114</v>
      </c>
      <c r="AC150" s="195">
        <v>0</v>
      </c>
      <c r="AD150" s="31">
        <v>0</v>
      </c>
      <c r="AE150" t="b">
        <v>0</v>
      </c>
      <c r="AF150" s="161">
        <v>-365</v>
      </c>
    </row>
    <row r="151" spans="1:32" x14ac:dyDescent="0.25">
      <c r="A151" t="str">
        <f t="shared" si="14"/>
        <v>2024-150</v>
      </c>
      <c r="B151" s="1">
        <f t="shared" si="15"/>
        <v>45600</v>
      </c>
      <c r="C151" t="str">
        <f t="shared" si="17"/>
        <v>Hutchison Drei Austria GmbH, Brünner Straße 52, 1210 Wien, Österreich</v>
      </c>
      <c r="D151" t="str">
        <f t="shared" si="16"/>
        <v>Ausgaben</v>
      </c>
      <c r="E151" t="str">
        <f t="shared" si="16"/>
        <v>Telefon/Internet</v>
      </c>
      <c r="F151" s="117">
        <f t="shared" si="18"/>
        <v>15.28</v>
      </c>
      <c r="G151" t="str">
        <f t="shared" si="19"/>
        <v>20%</v>
      </c>
      <c r="I151" s="191">
        <v>2024</v>
      </c>
      <c r="J151" s="189">
        <v>150</v>
      </c>
      <c r="K151" s="71" t="s">
        <v>105</v>
      </c>
      <c r="L151" t="s">
        <v>703</v>
      </c>
      <c r="M151" s="1">
        <v>45600</v>
      </c>
      <c r="N151" t="s">
        <v>34</v>
      </c>
      <c r="Q151" t="b">
        <v>0</v>
      </c>
      <c r="R151" s="48">
        <v>15.28</v>
      </c>
      <c r="S151" s="185">
        <v>15.28</v>
      </c>
      <c r="T151" s="72">
        <v>1</v>
      </c>
      <c r="U151" s="72">
        <v>0.2</v>
      </c>
      <c r="V151" s="185">
        <v>2.5466666666666669</v>
      </c>
      <c r="W151" s="185">
        <v>2.5466666666666669</v>
      </c>
      <c r="X151" s="185">
        <v>12.733333333333333</v>
      </c>
      <c r="Y151" s="185">
        <v>12.733333333333333</v>
      </c>
      <c r="Z151" s="192">
        <v>45703</v>
      </c>
      <c r="AB151" s="183">
        <v>12.733333333333333</v>
      </c>
      <c r="AC151" s="195">
        <v>0</v>
      </c>
      <c r="AD151" s="31">
        <v>2.1</v>
      </c>
      <c r="AE151" t="b">
        <v>0</v>
      </c>
      <c r="AF151" s="161">
        <v>-10.5</v>
      </c>
    </row>
    <row r="152" spans="1:32" x14ac:dyDescent="0.25">
      <c r="A152" t="str">
        <f t="shared" si="14"/>
        <v>2024-151</v>
      </c>
      <c r="B152" s="1">
        <f t="shared" si="15"/>
        <v>45600</v>
      </c>
      <c r="C152" t="str">
        <f t="shared" si="17"/>
        <v>Google Ireland Ltd, Gordon House, Barrow Street, Dublin 4, Ireland; VAT number: IE 6388047V</v>
      </c>
      <c r="D152" t="str">
        <f t="shared" si="16"/>
        <v>Ausgaben</v>
      </c>
      <c r="E152" t="str">
        <f t="shared" si="16"/>
        <v>sonstige Betriebsausgaben</v>
      </c>
      <c r="F152" s="117">
        <f t="shared" si="18"/>
        <v>13.8</v>
      </c>
      <c r="G152" t="str">
        <f t="shared" si="19"/>
        <v>0%</v>
      </c>
      <c r="I152" s="191">
        <v>2024</v>
      </c>
      <c r="J152" s="189">
        <v>151</v>
      </c>
      <c r="K152" s="71" t="s">
        <v>105</v>
      </c>
      <c r="L152" t="s">
        <v>705</v>
      </c>
      <c r="M152" s="1">
        <v>45600</v>
      </c>
      <c r="N152" t="s">
        <v>1404</v>
      </c>
      <c r="Q152" t="b">
        <v>0</v>
      </c>
      <c r="R152" s="48">
        <v>13.8</v>
      </c>
      <c r="S152" s="185">
        <v>13.8</v>
      </c>
      <c r="T152" s="72">
        <v>1</v>
      </c>
      <c r="U152" s="72">
        <v>0</v>
      </c>
      <c r="V152" s="185">
        <v>0</v>
      </c>
      <c r="W152" s="185">
        <v>0</v>
      </c>
      <c r="X152" s="185">
        <v>13.8</v>
      </c>
      <c r="Y152" s="185">
        <v>13.8</v>
      </c>
      <c r="Z152" s="192">
        <v>45703</v>
      </c>
      <c r="AA152">
        <v>20</v>
      </c>
      <c r="AB152" s="183">
        <v>13.8</v>
      </c>
      <c r="AC152" s="195">
        <v>2.7600000000000002</v>
      </c>
      <c r="AD152" s="31">
        <v>0</v>
      </c>
      <c r="AE152" t="b">
        <v>0</v>
      </c>
      <c r="AF152" s="161">
        <v>-31.92</v>
      </c>
    </row>
    <row r="153" spans="1:32" x14ac:dyDescent="0.25">
      <c r="A153" t="str">
        <f t="shared" si="14"/>
        <v>2024-152</v>
      </c>
      <c r="B153" s="1">
        <f t="shared" si="15"/>
        <v>45608</v>
      </c>
      <c r="C153" t="str">
        <f t="shared" si="17"/>
        <v>Hays Österreich GmbH, Bahnhof City Wien West - Europaplatz 3/5, 1150 Wien</v>
      </c>
      <c r="D153" t="str">
        <f t="shared" si="16"/>
        <v>Einnahmen</v>
      </c>
      <c r="E153" t="str">
        <f t="shared" si="16"/>
        <v>Waren-/Leistungserlöse</v>
      </c>
      <c r="F153" s="117">
        <f t="shared" si="18"/>
        <v>23290.94</v>
      </c>
      <c r="G153" t="str">
        <f t="shared" si="19"/>
        <v>20%</v>
      </c>
      <c r="I153" s="191">
        <v>2024</v>
      </c>
      <c r="J153" s="189">
        <v>152</v>
      </c>
      <c r="K153" s="71" t="s">
        <v>708</v>
      </c>
      <c r="L153" t="s">
        <v>709</v>
      </c>
      <c r="M153" s="1">
        <v>45608</v>
      </c>
      <c r="N153" t="s">
        <v>1788</v>
      </c>
      <c r="R153" s="48">
        <v>23290.94</v>
      </c>
      <c r="S153" s="185">
        <v>23290.94</v>
      </c>
      <c r="T153" s="72">
        <v>1</v>
      </c>
      <c r="U153" s="72">
        <v>0.2</v>
      </c>
      <c r="V153" s="185">
        <v>3881.8233333333333</v>
      </c>
      <c r="W153" s="185">
        <v>3881.8233333333333</v>
      </c>
      <c r="X153" s="185">
        <v>19409.116666666665</v>
      </c>
      <c r="Y153" s="185">
        <v>19409.116666666665</v>
      </c>
      <c r="Z153" s="192">
        <v>45703</v>
      </c>
      <c r="AB153" s="183">
        <v>19409.116666666665</v>
      </c>
      <c r="AC153" s="195">
        <v>0</v>
      </c>
      <c r="AD153" s="31">
        <v>2.08</v>
      </c>
      <c r="AE153" t="b">
        <v>0</v>
      </c>
      <c r="AF153" s="161">
        <v>-10.4</v>
      </c>
    </row>
    <row r="154" spans="1:32" x14ac:dyDescent="0.25">
      <c r="A154" t="str">
        <f t="shared" si="14"/>
        <v>2024-153</v>
      </c>
      <c r="B154" s="1">
        <f t="shared" si="15"/>
        <v>45609</v>
      </c>
      <c r="C154" t="str">
        <f t="shared" si="17"/>
        <v>Hetzner Online GmbH, Industriestraße 25, 91710 Gunzenhausen</v>
      </c>
      <c r="D154" t="str">
        <f t="shared" si="16"/>
        <v>Ausgaben</v>
      </c>
      <c r="E154" t="str">
        <f t="shared" si="16"/>
        <v>sonstige Betriebsausgaben</v>
      </c>
      <c r="F154" s="117">
        <f t="shared" si="18"/>
        <v>56</v>
      </c>
      <c r="G154" t="str">
        <f t="shared" si="19"/>
        <v>0%</v>
      </c>
      <c r="I154" s="191">
        <v>2024</v>
      </c>
      <c r="J154" s="189">
        <v>153</v>
      </c>
      <c r="K154" s="71" t="s">
        <v>105</v>
      </c>
      <c r="L154" t="s">
        <v>705</v>
      </c>
      <c r="M154" s="1">
        <v>45609</v>
      </c>
      <c r="N154" t="s">
        <v>1783</v>
      </c>
      <c r="Q154" t="b">
        <v>0</v>
      </c>
      <c r="R154" s="48">
        <v>56</v>
      </c>
      <c r="S154" s="185">
        <v>56</v>
      </c>
      <c r="T154" s="72">
        <v>1</v>
      </c>
      <c r="U154" s="72">
        <v>0</v>
      </c>
      <c r="V154" s="185">
        <v>0</v>
      </c>
      <c r="W154" s="185">
        <v>0</v>
      </c>
      <c r="X154" s="185">
        <v>56</v>
      </c>
      <c r="Y154" s="185">
        <v>56</v>
      </c>
      <c r="Z154" s="192">
        <v>45703</v>
      </c>
      <c r="AA154">
        <v>20</v>
      </c>
      <c r="AB154" s="183">
        <v>56</v>
      </c>
      <c r="AC154" s="195">
        <v>11.200000000000001</v>
      </c>
      <c r="AD154" s="31">
        <v>0</v>
      </c>
      <c r="AE154" t="b">
        <v>0</v>
      </c>
      <c r="AF154" s="161">
        <v>-12.25</v>
      </c>
    </row>
    <row r="155" spans="1:32" x14ac:dyDescent="0.25">
      <c r="A155" t="str">
        <f t="shared" si="14"/>
        <v>2024-154</v>
      </c>
      <c r="B155" s="1">
        <f t="shared" si="15"/>
        <v>45610</v>
      </c>
      <c r="C155" t="str">
        <f t="shared" si="17"/>
        <v>Hetzner Online GmbH, Industriestraße 25, 91710 Gunzenhausen</v>
      </c>
      <c r="D155" t="str">
        <f t="shared" si="16"/>
        <v>Ausgaben</v>
      </c>
      <c r="E155" t="str">
        <f t="shared" si="16"/>
        <v>sonstige Betriebsausgaben</v>
      </c>
      <c r="F155" s="117">
        <f t="shared" si="18"/>
        <v>9.16</v>
      </c>
      <c r="G155" t="str">
        <f t="shared" si="19"/>
        <v>0%</v>
      </c>
      <c r="I155" s="191">
        <v>2024</v>
      </c>
      <c r="J155" s="189">
        <v>154</v>
      </c>
      <c r="K155" s="71" t="s">
        <v>105</v>
      </c>
      <c r="L155" t="s">
        <v>705</v>
      </c>
      <c r="M155" s="1">
        <v>45610</v>
      </c>
      <c r="N155" t="s">
        <v>1783</v>
      </c>
      <c r="Q155" t="b">
        <v>0</v>
      </c>
      <c r="R155" s="48">
        <v>9.16</v>
      </c>
      <c r="S155" s="185">
        <v>9.16</v>
      </c>
      <c r="T155" s="72">
        <v>1</v>
      </c>
      <c r="U155" s="72">
        <v>0</v>
      </c>
      <c r="V155" s="185">
        <v>0</v>
      </c>
      <c r="W155" s="185">
        <v>0</v>
      </c>
      <c r="X155" s="185">
        <v>9.16</v>
      </c>
      <c r="Y155" s="185">
        <v>9.16</v>
      </c>
      <c r="Z155" s="192">
        <v>45703</v>
      </c>
      <c r="AA155">
        <v>20</v>
      </c>
      <c r="AB155" s="183">
        <v>9.16</v>
      </c>
      <c r="AC155" s="195">
        <v>1.8320000000000001</v>
      </c>
      <c r="AD155" s="31">
        <v>0</v>
      </c>
      <c r="AE155" t="b">
        <v>0</v>
      </c>
      <c r="AF155" s="78">
        <v>-177.9</v>
      </c>
    </row>
    <row r="156" spans="1:32" x14ac:dyDescent="0.25">
      <c r="A156" t="str">
        <f t="shared" si="14"/>
        <v>2024-155</v>
      </c>
      <c r="B156" s="1">
        <f t="shared" si="15"/>
        <v>45611</v>
      </c>
      <c r="C156" t="str">
        <f t="shared" si="17"/>
        <v>kabelplus GmbH, Südstadtzentrum 4, 2344 Maria Enzersdorf</v>
      </c>
      <c r="D156" t="str">
        <f t="shared" si="16"/>
        <v>Ausgaben</v>
      </c>
      <c r="E156" t="str">
        <f t="shared" si="16"/>
        <v>Telefon/Internet</v>
      </c>
      <c r="F156" s="117">
        <f t="shared" si="18"/>
        <v>37.319000000000003</v>
      </c>
      <c r="G156" t="str">
        <f t="shared" si="19"/>
        <v>17,2138047138047%</v>
      </c>
      <c r="I156" s="191">
        <v>2024</v>
      </c>
      <c r="J156" s="189">
        <v>155</v>
      </c>
      <c r="K156" s="71" t="s">
        <v>105</v>
      </c>
      <c r="L156" t="s">
        <v>703</v>
      </c>
      <c r="M156" s="1">
        <v>45611</v>
      </c>
      <c r="N156" t="s">
        <v>1781</v>
      </c>
      <c r="Q156" t="b">
        <v>0</v>
      </c>
      <c r="R156" s="48">
        <v>55.7</v>
      </c>
      <c r="S156" s="185">
        <v>37.319000000000003</v>
      </c>
      <c r="T156" s="72">
        <v>0.67</v>
      </c>
      <c r="U156" s="72">
        <v>0.17213804713804712</v>
      </c>
      <c r="V156" s="185">
        <v>8.18</v>
      </c>
      <c r="W156" s="185">
        <v>5.4805999999999999</v>
      </c>
      <c r="X156" s="185">
        <v>47.52</v>
      </c>
      <c r="Y156" s="185">
        <v>31.838400000000004</v>
      </c>
      <c r="Z156" s="192">
        <v>45703</v>
      </c>
      <c r="AB156" s="183">
        <v>31.838400000000004</v>
      </c>
      <c r="AC156" s="195">
        <v>0</v>
      </c>
      <c r="AD156" s="31">
        <v>0</v>
      </c>
      <c r="AE156" t="b">
        <v>0</v>
      </c>
      <c r="AF156" s="161">
        <v>-108.5</v>
      </c>
    </row>
    <row r="157" spans="1:32" x14ac:dyDescent="0.25">
      <c r="A157" t="str">
        <f t="shared" si="14"/>
        <v>2024-156</v>
      </c>
      <c r="B157" s="1">
        <f t="shared" si="15"/>
        <v>45615</v>
      </c>
      <c r="C157" t="str">
        <f t="shared" si="17"/>
        <v>Microsoft Ireland Operations Ltd. One Microsoft Place, South County, Business Park, Leopardstown, Dublin 18, D18 P521, Ireland</v>
      </c>
      <c r="D157" t="str">
        <f t="shared" si="16"/>
        <v>Ausgaben</v>
      </c>
      <c r="E157" t="str">
        <f t="shared" si="16"/>
        <v>sonstige Betriebsausgaben</v>
      </c>
      <c r="F157" s="117">
        <f t="shared" si="18"/>
        <v>11.7</v>
      </c>
      <c r="G157" t="str">
        <f t="shared" si="19"/>
        <v>0%</v>
      </c>
      <c r="I157" s="191">
        <v>2024</v>
      </c>
      <c r="J157" s="189">
        <v>156</v>
      </c>
      <c r="K157" s="71" t="s">
        <v>105</v>
      </c>
      <c r="L157" t="s">
        <v>705</v>
      </c>
      <c r="M157" s="1">
        <v>45615</v>
      </c>
      <c r="N157" t="s">
        <v>1032</v>
      </c>
      <c r="Q157" t="b">
        <v>0</v>
      </c>
      <c r="R157" s="48">
        <v>11.7</v>
      </c>
      <c r="S157" s="185">
        <v>11.7</v>
      </c>
      <c r="T157" s="72">
        <v>1</v>
      </c>
      <c r="U157" s="72">
        <v>0</v>
      </c>
      <c r="V157" s="185">
        <v>0</v>
      </c>
      <c r="W157" s="185">
        <v>0</v>
      </c>
      <c r="X157" s="185">
        <v>11.7</v>
      </c>
      <c r="Y157" s="185">
        <v>11.7</v>
      </c>
      <c r="Z157" s="192">
        <v>45703</v>
      </c>
      <c r="AA157">
        <v>20</v>
      </c>
      <c r="AB157" s="183">
        <v>11.7</v>
      </c>
      <c r="AC157" s="195">
        <v>2.34</v>
      </c>
      <c r="AD157" s="31">
        <v>0</v>
      </c>
      <c r="AE157" t="b">
        <v>0</v>
      </c>
      <c r="AF157" s="161">
        <v>-10.75</v>
      </c>
    </row>
    <row r="158" spans="1:32" x14ac:dyDescent="0.25">
      <c r="A158" t="str">
        <f t="shared" si="14"/>
        <v>2024-157</v>
      </c>
      <c r="B158" s="1">
        <f t="shared" si="15"/>
        <v>45621</v>
      </c>
      <c r="C158" t="str">
        <f t="shared" si="17"/>
        <v>OpenAI, LLC, 548 Market Street, PMB 97273, San Francisco, California 94104-5401, United States</v>
      </c>
      <c r="D158" t="str">
        <f t="shared" si="16"/>
        <v>Ausgaben</v>
      </c>
      <c r="E158" t="str">
        <f t="shared" si="16"/>
        <v>sonstige Betriebsausgaben</v>
      </c>
      <c r="F158" s="117">
        <f t="shared" si="18"/>
        <v>23.58</v>
      </c>
      <c r="G158" t="str">
        <f t="shared" si="19"/>
        <v>20%</v>
      </c>
      <c r="I158" s="191">
        <v>2024</v>
      </c>
      <c r="J158" s="189">
        <v>157</v>
      </c>
      <c r="K158" s="71" t="s">
        <v>105</v>
      </c>
      <c r="L158" t="s">
        <v>705</v>
      </c>
      <c r="M158" s="1">
        <v>45621</v>
      </c>
      <c r="N158" t="s">
        <v>1794</v>
      </c>
      <c r="Q158" t="b">
        <v>0</v>
      </c>
      <c r="R158" s="48">
        <v>23.58</v>
      </c>
      <c r="S158" s="185">
        <v>23.58</v>
      </c>
      <c r="T158" s="72">
        <v>1</v>
      </c>
      <c r="U158" s="72">
        <v>0.2</v>
      </c>
      <c r="V158" s="185">
        <v>3.8766666666666669</v>
      </c>
      <c r="W158" s="185">
        <v>3.8766666666666669</v>
      </c>
      <c r="X158" s="185">
        <v>19.383333333333333</v>
      </c>
      <c r="Y158" s="185">
        <v>19.383333333333333</v>
      </c>
      <c r="Z158" s="192">
        <v>45703</v>
      </c>
      <c r="AB158" s="183">
        <v>19.383333333333333</v>
      </c>
      <c r="AC158" s="195">
        <v>0</v>
      </c>
      <c r="AD158" s="31">
        <v>0</v>
      </c>
      <c r="AE158" t="b">
        <v>0</v>
      </c>
      <c r="AF158" s="161">
        <v>-5</v>
      </c>
    </row>
    <row r="159" spans="1:32" x14ac:dyDescent="0.25">
      <c r="A159" t="str">
        <f t="shared" si="14"/>
        <v>2024-158</v>
      </c>
      <c r="B159" s="1">
        <f t="shared" si="15"/>
        <v>45625</v>
      </c>
      <c r="C159" t="str">
        <f t="shared" si="17"/>
        <v>SVS</v>
      </c>
      <c r="D159" t="str">
        <f t="shared" si="16"/>
        <v>Ausgaben</v>
      </c>
      <c r="E159" t="str">
        <f t="shared" si="16"/>
        <v>Pflichversicherungsbeiträge</v>
      </c>
      <c r="F159" s="117">
        <f t="shared" si="18"/>
        <v>5069.38</v>
      </c>
      <c r="G159" t="str">
        <f t="shared" si="19"/>
        <v>0%</v>
      </c>
      <c r="I159" s="191">
        <v>2024</v>
      </c>
      <c r="J159" s="189">
        <v>158</v>
      </c>
      <c r="K159" s="71" t="s">
        <v>105</v>
      </c>
      <c r="L159" t="s">
        <v>695</v>
      </c>
      <c r="M159" s="1">
        <v>45625</v>
      </c>
      <c r="N159" t="s">
        <v>1795</v>
      </c>
      <c r="Q159" t="b">
        <v>0</v>
      </c>
      <c r="R159" s="48">
        <v>5069.38</v>
      </c>
      <c r="S159" s="185">
        <v>5069.38</v>
      </c>
      <c r="T159" s="72">
        <v>1</v>
      </c>
      <c r="U159" s="72">
        <v>0</v>
      </c>
      <c r="V159" s="185">
        <v>0</v>
      </c>
      <c r="W159" s="185">
        <v>0</v>
      </c>
      <c r="X159" s="185">
        <v>5069.38</v>
      </c>
      <c r="Y159" s="185">
        <v>5069.38</v>
      </c>
      <c r="Z159" s="192">
        <v>45703</v>
      </c>
      <c r="AB159" s="183">
        <v>5069.38</v>
      </c>
      <c r="AC159" s="195">
        <v>0</v>
      </c>
      <c r="AD159" s="31">
        <v>0</v>
      </c>
      <c r="AE159" t="b">
        <v>0</v>
      </c>
      <c r="AF159" s="161">
        <v>-12</v>
      </c>
    </row>
    <row r="160" spans="1:32" x14ac:dyDescent="0.25">
      <c r="A160" t="str">
        <f t="shared" si="14"/>
        <v>2024-159</v>
      </c>
      <c r="B160" s="1">
        <f t="shared" si="15"/>
        <v>45629</v>
      </c>
      <c r="C160" t="str">
        <f t="shared" si="17"/>
        <v>muki POL 3000081716, ReNr 9002185373</v>
      </c>
      <c r="D160" t="str">
        <f t="shared" si="16"/>
        <v>Ausgaben</v>
      </c>
      <c r="E160" t="str">
        <f t="shared" si="16"/>
        <v>sonstige Betriebsausgaben</v>
      </c>
      <c r="F160" s="117">
        <f t="shared" si="18"/>
        <v>40.225336110585118</v>
      </c>
      <c r="G160" t="str">
        <f t="shared" si="19"/>
        <v>0%</v>
      </c>
      <c r="I160" s="191">
        <v>2024</v>
      </c>
      <c r="J160" s="189">
        <v>159</v>
      </c>
      <c r="K160" s="71" t="s">
        <v>105</v>
      </c>
      <c r="L160" t="s">
        <v>705</v>
      </c>
      <c r="M160" s="1">
        <v>45629</v>
      </c>
      <c r="N160" t="s">
        <v>1819</v>
      </c>
      <c r="Q160" t="b">
        <v>0</v>
      </c>
      <c r="R160" s="48">
        <v>436.5</v>
      </c>
      <c r="S160" s="185">
        <v>40.225336110585118</v>
      </c>
      <c r="T160" s="72">
        <v>9.2154263712680679E-2</v>
      </c>
      <c r="U160" s="72">
        <v>0</v>
      </c>
      <c r="V160" s="185">
        <v>0</v>
      </c>
      <c r="W160" s="185">
        <v>0</v>
      </c>
      <c r="X160" s="185">
        <v>436.5</v>
      </c>
      <c r="Y160" s="185">
        <v>40.225336110585118</v>
      </c>
      <c r="Z160" s="192">
        <v>45703</v>
      </c>
      <c r="AB160" s="183">
        <v>40.225336110585118</v>
      </c>
      <c r="AC160" s="195">
        <v>0</v>
      </c>
      <c r="AD160" s="31">
        <v>10.442820000000001</v>
      </c>
      <c r="AE160" t="b">
        <v>0</v>
      </c>
      <c r="AF160" s="161">
        <v>-52.214100000000002</v>
      </c>
    </row>
    <row r="161" spans="1:32" x14ac:dyDescent="0.25">
      <c r="A161" t="str">
        <f t="shared" si="14"/>
        <v>2024-160</v>
      </c>
      <c r="B161" s="1">
        <f t="shared" si="15"/>
        <v>45629</v>
      </c>
      <c r="C161" t="str">
        <f t="shared" si="17"/>
        <v>Hutchison Drei Austria GmbH, Brünner Straße 52, 1210 Wien, Österreich</v>
      </c>
      <c r="D161" t="str">
        <f t="shared" si="16"/>
        <v>Ausgaben</v>
      </c>
      <c r="E161" t="str">
        <f t="shared" si="16"/>
        <v>Telefon/Internet</v>
      </c>
      <c r="F161" s="117">
        <f t="shared" si="18"/>
        <v>13.91</v>
      </c>
      <c r="G161" t="str">
        <f t="shared" si="19"/>
        <v>20%</v>
      </c>
      <c r="I161" s="191">
        <v>2024</v>
      </c>
      <c r="J161" s="189">
        <v>160</v>
      </c>
      <c r="K161" s="71" t="s">
        <v>105</v>
      </c>
      <c r="L161" t="s">
        <v>703</v>
      </c>
      <c r="M161" s="1">
        <v>45629</v>
      </c>
      <c r="N161" t="s">
        <v>34</v>
      </c>
      <c r="Q161" t="b">
        <v>0</v>
      </c>
      <c r="R161" s="48">
        <v>13.91</v>
      </c>
      <c r="S161" s="185">
        <v>13.91</v>
      </c>
      <c r="T161" s="72">
        <v>1</v>
      </c>
      <c r="U161" s="72">
        <v>0.2</v>
      </c>
      <c r="V161" s="185">
        <v>2.3183333333333334</v>
      </c>
      <c r="W161" s="185">
        <v>2.3183333333333334</v>
      </c>
      <c r="X161" s="185">
        <v>11.591666666666667</v>
      </c>
      <c r="Y161" s="185">
        <v>11.591666666666667</v>
      </c>
      <c r="Z161" s="192">
        <v>45703</v>
      </c>
      <c r="AB161" s="183">
        <v>11.591666666666667</v>
      </c>
      <c r="AC161" s="195">
        <v>0</v>
      </c>
      <c r="AD161" s="31">
        <v>0</v>
      </c>
      <c r="AE161" t="b">
        <v>0</v>
      </c>
      <c r="AF161" s="161">
        <v>-365</v>
      </c>
    </row>
    <row r="162" spans="1:32" x14ac:dyDescent="0.25">
      <c r="A162" t="str">
        <f t="shared" si="14"/>
        <v>2024-161</v>
      </c>
      <c r="B162" s="1">
        <f t="shared" si="15"/>
        <v>45629</v>
      </c>
      <c r="C162" t="str">
        <f t="shared" si="17"/>
        <v>Google Ireland Ltd, Gordon House, Barrow Street, Dublin 4, Ireland; VAT number: IE 6388047V</v>
      </c>
      <c r="D162" t="str">
        <f t="shared" ref="D162:E173" si="20">K162</f>
        <v>Ausgaben</v>
      </c>
      <c r="E162" t="str">
        <f t="shared" si="20"/>
        <v>sonstige Betriebsausgaben</v>
      </c>
      <c r="F162" s="117">
        <f t="shared" si="18"/>
        <v>13.8</v>
      </c>
      <c r="G162" t="str">
        <f t="shared" si="19"/>
        <v>0%</v>
      </c>
      <c r="I162" s="191">
        <v>2024</v>
      </c>
      <c r="J162" s="189">
        <v>161</v>
      </c>
      <c r="K162" s="71" t="s">
        <v>105</v>
      </c>
      <c r="L162" t="s">
        <v>705</v>
      </c>
      <c r="M162" s="1">
        <v>45629</v>
      </c>
      <c r="N162" t="s">
        <v>1404</v>
      </c>
      <c r="Q162" t="b">
        <v>0</v>
      </c>
      <c r="R162" s="48">
        <v>13.8</v>
      </c>
      <c r="S162" s="185">
        <v>13.8</v>
      </c>
      <c r="T162" s="72">
        <v>1</v>
      </c>
      <c r="U162" s="72">
        <v>0</v>
      </c>
      <c r="V162" s="185">
        <v>0</v>
      </c>
      <c r="W162" s="185">
        <v>0</v>
      </c>
      <c r="X162" s="185">
        <v>13.8</v>
      </c>
      <c r="Y162" s="185">
        <v>13.8</v>
      </c>
      <c r="Z162" s="192">
        <v>45703</v>
      </c>
      <c r="AA162">
        <v>20</v>
      </c>
      <c r="AB162" s="183">
        <v>13.8</v>
      </c>
      <c r="AC162" s="195">
        <v>2.7600000000000002</v>
      </c>
      <c r="AD162" s="31">
        <v>2.1</v>
      </c>
      <c r="AE162" t="b">
        <v>0</v>
      </c>
      <c r="AF162" s="161">
        <v>-10.5</v>
      </c>
    </row>
    <row r="163" spans="1:32" x14ac:dyDescent="0.25">
      <c r="A163" t="str">
        <f t="shared" si="14"/>
        <v>2024-162</v>
      </c>
      <c r="B163" s="1">
        <f t="shared" si="15"/>
        <v>45635</v>
      </c>
      <c r="C163" t="str">
        <f t="shared" si="17"/>
        <v>3W Die Steuerkanzlei, Roter Hof 1a, 1080 Wien</v>
      </c>
      <c r="D163" t="str">
        <f t="shared" si="20"/>
        <v>Ausgaben</v>
      </c>
      <c r="E163" t="str">
        <f t="shared" si="20"/>
        <v>sonstige Betriebsausgaben</v>
      </c>
      <c r="F163" s="117">
        <f t="shared" si="18"/>
        <v>2160</v>
      </c>
      <c r="G163" t="str">
        <f t="shared" si="19"/>
        <v>20%</v>
      </c>
      <c r="I163" s="191">
        <v>2024</v>
      </c>
      <c r="J163" s="189">
        <v>162</v>
      </c>
      <c r="K163" s="71" t="s">
        <v>105</v>
      </c>
      <c r="L163" t="s">
        <v>705</v>
      </c>
      <c r="M163" s="1">
        <v>45635</v>
      </c>
      <c r="N163" t="s">
        <v>1820</v>
      </c>
      <c r="Q163" t="b">
        <v>0</v>
      </c>
      <c r="R163" s="48">
        <v>2160</v>
      </c>
      <c r="S163" s="185">
        <v>2160</v>
      </c>
      <c r="T163" s="72">
        <v>1</v>
      </c>
      <c r="U163" s="72">
        <v>0.2</v>
      </c>
      <c r="V163" s="185">
        <v>360</v>
      </c>
      <c r="W163" s="185">
        <v>360</v>
      </c>
      <c r="X163" s="185">
        <v>1800</v>
      </c>
      <c r="Y163" s="185">
        <v>1800</v>
      </c>
      <c r="Z163" s="192">
        <v>45703</v>
      </c>
      <c r="AB163" s="183">
        <v>1800</v>
      </c>
      <c r="AC163" s="195">
        <v>0</v>
      </c>
      <c r="AD163" s="31">
        <v>0</v>
      </c>
      <c r="AE163" t="b">
        <v>0</v>
      </c>
      <c r="AF163" s="161">
        <v>-31.92</v>
      </c>
    </row>
    <row r="164" spans="1:32" x14ac:dyDescent="0.25">
      <c r="A164" t="str">
        <f t="shared" si="14"/>
        <v>2024-163</v>
      </c>
      <c r="B164" s="1">
        <f t="shared" si="15"/>
        <v>45637</v>
      </c>
      <c r="C164" t="str">
        <f t="shared" si="17"/>
        <v>Hays Österreich GmbH, Bahnhof City Wien West - Europaplatz 3/5, 1150 Wien</v>
      </c>
      <c r="D164" t="str">
        <f t="shared" si="20"/>
        <v>Einnahmen</v>
      </c>
      <c r="E164" t="str">
        <f t="shared" si="20"/>
        <v>Waren-/Leistungserlöse</v>
      </c>
      <c r="F164" s="117">
        <f t="shared" si="18"/>
        <v>22388.54</v>
      </c>
      <c r="G164" t="str">
        <f t="shared" si="19"/>
        <v>20%</v>
      </c>
      <c r="I164" s="191">
        <v>2024</v>
      </c>
      <c r="J164" s="189">
        <v>163</v>
      </c>
      <c r="K164" s="71" t="s">
        <v>708</v>
      </c>
      <c r="L164" t="s">
        <v>709</v>
      </c>
      <c r="M164" s="1">
        <v>45637</v>
      </c>
      <c r="N164" t="s">
        <v>1788</v>
      </c>
      <c r="R164" s="48">
        <v>22388.54</v>
      </c>
      <c r="S164" s="185">
        <v>22388.54</v>
      </c>
      <c r="T164" s="72">
        <v>1</v>
      </c>
      <c r="U164" s="72">
        <v>0.2</v>
      </c>
      <c r="V164" s="185">
        <v>3731.4233333333341</v>
      </c>
      <c r="W164" s="185">
        <v>3731.4233333333341</v>
      </c>
      <c r="X164" s="185">
        <v>18657.116666666669</v>
      </c>
      <c r="Y164" s="185">
        <v>18657.116666666669</v>
      </c>
      <c r="Z164" s="192">
        <v>45703</v>
      </c>
      <c r="AB164" s="183">
        <v>18657.116666666669</v>
      </c>
      <c r="AC164" s="195">
        <v>0</v>
      </c>
      <c r="AD164" s="31">
        <v>0</v>
      </c>
      <c r="AE164" t="b">
        <v>0</v>
      </c>
      <c r="AF164" s="161">
        <v>11969.63</v>
      </c>
    </row>
    <row r="165" spans="1:32" x14ac:dyDescent="0.25">
      <c r="A165" t="str">
        <f t="shared" si="14"/>
        <v>2024-164</v>
      </c>
      <c r="B165" s="1">
        <f t="shared" si="15"/>
        <v>45638</v>
      </c>
      <c r="C165" t="str">
        <f t="shared" si="17"/>
        <v>Hetzner Online GmbH, Industriestraße 25, 91710 Gunzenhausen</v>
      </c>
      <c r="D165" t="str">
        <f t="shared" si="20"/>
        <v>Ausgaben</v>
      </c>
      <c r="E165" t="str">
        <f t="shared" si="20"/>
        <v>sonstige Betriebsausgaben</v>
      </c>
      <c r="F165" s="117">
        <f t="shared" si="18"/>
        <v>56</v>
      </c>
      <c r="G165" t="str">
        <f t="shared" si="19"/>
        <v>0%</v>
      </c>
      <c r="I165" s="191">
        <v>2024</v>
      </c>
      <c r="J165" s="189">
        <v>164</v>
      </c>
      <c r="K165" s="71" t="s">
        <v>105</v>
      </c>
      <c r="L165" t="s">
        <v>705</v>
      </c>
      <c r="M165" s="1">
        <v>45638</v>
      </c>
      <c r="N165" t="s">
        <v>1783</v>
      </c>
      <c r="Q165" t="b">
        <v>0</v>
      </c>
      <c r="R165" s="48">
        <v>56</v>
      </c>
      <c r="S165" s="185">
        <v>56</v>
      </c>
      <c r="T165" s="72">
        <v>1</v>
      </c>
      <c r="U165" s="72">
        <v>0</v>
      </c>
      <c r="V165" s="185">
        <v>0</v>
      </c>
      <c r="W165" s="185">
        <v>0</v>
      </c>
      <c r="X165" s="185">
        <v>56</v>
      </c>
      <c r="Y165" s="185">
        <v>56</v>
      </c>
      <c r="Z165" s="192">
        <v>45703</v>
      </c>
      <c r="AA165">
        <v>20</v>
      </c>
      <c r="AB165" s="183">
        <v>56</v>
      </c>
      <c r="AC165" s="195">
        <v>11.200000000000001</v>
      </c>
      <c r="AD165" s="31">
        <v>4.056</v>
      </c>
      <c r="AE165" t="b">
        <v>0</v>
      </c>
      <c r="AF165" s="78">
        <v>-20.28</v>
      </c>
    </row>
    <row r="166" spans="1:32" x14ac:dyDescent="0.25">
      <c r="A166" t="str">
        <f t="shared" si="14"/>
        <v>2024-165</v>
      </c>
      <c r="B166" s="1">
        <f t="shared" si="15"/>
        <v>45639</v>
      </c>
      <c r="C166" t="str">
        <f t="shared" si="17"/>
        <v>kabelplus GmbH, Südstadtzentrum 4, 2344 Maria Enzersdorf</v>
      </c>
      <c r="D166" t="str">
        <f t="shared" si="20"/>
        <v>Ausgaben</v>
      </c>
      <c r="E166" t="str">
        <f t="shared" si="20"/>
        <v>Telefon/Internet</v>
      </c>
      <c r="F166" s="117">
        <f t="shared" si="18"/>
        <v>37.319000000000003</v>
      </c>
      <c r="G166" t="str">
        <f t="shared" si="19"/>
        <v>17,2138047138047%</v>
      </c>
      <c r="I166" s="191">
        <v>2024</v>
      </c>
      <c r="J166" s="189">
        <v>165</v>
      </c>
      <c r="K166" s="71" t="s">
        <v>105</v>
      </c>
      <c r="L166" t="s">
        <v>703</v>
      </c>
      <c r="M166" s="1">
        <v>45639</v>
      </c>
      <c r="N166" t="s">
        <v>1781</v>
      </c>
      <c r="Q166" t="b">
        <v>0</v>
      </c>
      <c r="R166" s="48">
        <v>55.7</v>
      </c>
      <c r="S166" s="185">
        <v>37.319000000000003</v>
      </c>
      <c r="T166" s="72">
        <v>0.67</v>
      </c>
      <c r="U166" s="72">
        <v>0.17213804713804712</v>
      </c>
      <c r="V166" s="185">
        <v>8.18</v>
      </c>
      <c r="W166" s="185">
        <v>5.4805999999999999</v>
      </c>
      <c r="X166" s="185">
        <v>47.52</v>
      </c>
      <c r="Y166" s="185">
        <v>31.838400000000004</v>
      </c>
      <c r="Z166" s="192">
        <v>45703</v>
      </c>
      <c r="AB166" s="183">
        <v>31.838400000000004</v>
      </c>
      <c r="AC166" s="195">
        <v>0</v>
      </c>
      <c r="AD166" s="31">
        <v>3.3159999999999998</v>
      </c>
      <c r="AE166" t="b">
        <v>0</v>
      </c>
      <c r="AF166" s="78">
        <v>-16.579999999999998</v>
      </c>
    </row>
    <row r="167" spans="1:32" x14ac:dyDescent="0.25">
      <c r="A167" t="str">
        <f t="shared" si="14"/>
        <v>2024-166</v>
      </c>
      <c r="B167" s="1">
        <f t="shared" si="15"/>
        <v>45642</v>
      </c>
      <c r="C167" t="str">
        <f t="shared" si="17"/>
        <v>Hetzner Online GmbH, Industriestraße 25, 91710 Gunzenhausen</v>
      </c>
      <c r="D167" t="str">
        <f t="shared" si="20"/>
        <v>Ausgaben</v>
      </c>
      <c r="E167" t="str">
        <f t="shared" si="20"/>
        <v>sonstige Betriebsausgaben</v>
      </c>
      <c r="F167" s="117">
        <f t="shared" si="18"/>
        <v>9.16</v>
      </c>
      <c r="G167" t="str">
        <f t="shared" si="19"/>
        <v>0%</v>
      </c>
      <c r="I167" s="191">
        <v>2024</v>
      </c>
      <c r="J167" s="189">
        <v>166</v>
      </c>
      <c r="K167" s="71" t="s">
        <v>105</v>
      </c>
      <c r="L167" t="s">
        <v>705</v>
      </c>
      <c r="M167" s="1">
        <v>45642</v>
      </c>
      <c r="N167" t="s">
        <v>1783</v>
      </c>
      <c r="Q167" t="b">
        <v>0</v>
      </c>
      <c r="R167" s="48">
        <v>9.16</v>
      </c>
      <c r="S167" s="185">
        <v>9.16</v>
      </c>
      <c r="T167" s="72">
        <v>1</v>
      </c>
      <c r="U167" s="72">
        <v>0</v>
      </c>
      <c r="V167" s="185">
        <v>0</v>
      </c>
      <c r="W167" s="185">
        <v>0</v>
      </c>
      <c r="X167" s="185">
        <v>9.16</v>
      </c>
      <c r="Y167" s="185">
        <v>9.16</v>
      </c>
      <c r="Z167" s="192">
        <v>45703</v>
      </c>
      <c r="AA167">
        <v>20</v>
      </c>
      <c r="AB167" s="183">
        <v>9.16</v>
      </c>
      <c r="AC167" s="195">
        <v>1.8320000000000001</v>
      </c>
      <c r="AD167" s="31">
        <v>0</v>
      </c>
      <c r="AE167" t="b">
        <v>0</v>
      </c>
      <c r="AF167" s="161">
        <v>-18.55</v>
      </c>
    </row>
    <row r="168" spans="1:32" x14ac:dyDescent="0.25">
      <c r="A168" t="str">
        <f t="shared" si="14"/>
        <v>2024-167</v>
      </c>
      <c r="B168" s="1">
        <f t="shared" si="15"/>
        <v>45645</v>
      </c>
      <c r="C168" t="str">
        <f t="shared" si="17"/>
        <v>Paperholic all ´bout paper e.U. - Birgit Horn, Koglgasse 15, 2111 Harmannsdorf</v>
      </c>
      <c r="D168" t="str">
        <f t="shared" si="20"/>
        <v>Einnahmen</v>
      </c>
      <c r="E168" t="str">
        <f t="shared" si="20"/>
        <v>Waren-/Leistungserlöse</v>
      </c>
      <c r="F168" s="117">
        <f t="shared" si="18"/>
        <v>420</v>
      </c>
      <c r="G168" t="str">
        <f t="shared" si="19"/>
        <v>20%</v>
      </c>
      <c r="I168" s="191">
        <v>2024</v>
      </c>
      <c r="J168" s="189">
        <v>167</v>
      </c>
      <c r="K168" s="71" t="s">
        <v>708</v>
      </c>
      <c r="L168" t="s">
        <v>709</v>
      </c>
      <c r="M168" s="1">
        <v>45645</v>
      </c>
      <c r="N168" t="s">
        <v>1809</v>
      </c>
      <c r="R168" s="48">
        <v>420</v>
      </c>
      <c r="S168" s="185">
        <v>420</v>
      </c>
      <c r="T168" s="72">
        <v>1</v>
      </c>
      <c r="U168" s="72">
        <v>0.2</v>
      </c>
      <c r="V168" s="185">
        <v>70</v>
      </c>
      <c r="W168" s="185">
        <v>70</v>
      </c>
      <c r="X168" s="185">
        <v>350</v>
      </c>
      <c r="Y168" s="185">
        <v>350</v>
      </c>
      <c r="Z168" s="192">
        <v>45703</v>
      </c>
      <c r="AB168" s="183">
        <v>350</v>
      </c>
      <c r="AC168" s="195">
        <v>0</v>
      </c>
      <c r="AD168" s="31">
        <v>0</v>
      </c>
      <c r="AE168" t="b">
        <v>0</v>
      </c>
      <c r="AF168" s="78">
        <v>-533.10833333333335</v>
      </c>
    </row>
    <row r="169" spans="1:32" x14ac:dyDescent="0.25">
      <c r="A169" t="str">
        <f t="shared" si="14"/>
        <v>2024-168</v>
      </c>
      <c r="B169" s="1">
        <f t="shared" si="15"/>
        <v>45646</v>
      </c>
      <c r="C169" t="str">
        <f t="shared" si="17"/>
        <v>EVN Wasser GmbH</v>
      </c>
      <c r="D169" t="str">
        <f t="shared" si="20"/>
        <v>Ausgaben</v>
      </c>
      <c r="E169" t="str">
        <f t="shared" si="20"/>
        <v>sonstige Betriebsausgaben</v>
      </c>
      <c r="F169" s="117">
        <f t="shared" si="18"/>
        <v>10.136969008394875</v>
      </c>
      <c r="G169" t="str">
        <f t="shared" si="19"/>
        <v>10%</v>
      </c>
      <c r="I169" s="191">
        <v>2024</v>
      </c>
      <c r="J169" s="189">
        <v>168</v>
      </c>
      <c r="K169" s="71" t="s">
        <v>105</v>
      </c>
      <c r="L169" t="s">
        <v>705</v>
      </c>
      <c r="M169" s="1">
        <v>45646</v>
      </c>
      <c r="N169" t="s">
        <v>1793</v>
      </c>
      <c r="Q169" t="b">
        <v>0</v>
      </c>
      <c r="R169" s="109">
        <v>110</v>
      </c>
      <c r="S169" s="185">
        <v>10.136969008394875</v>
      </c>
      <c r="T169" s="72">
        <v>9.2154263712680679E-2</v>
      </c>
      <c r="U169" s="72">
        <v>0.1</v>
      </c>
      <c r="V169" s="185">
        <v>10</v>
      </c>
      <c r="W169" s="185">
        <v>0.92154263712680673</v>
      </c>
      <c r="X169" s="185">
        <v>99.999999999999986</v>
      </c>
      <c r="Y169" s="185">
        <v>9.215426371268066</v>
      </c>
      <c r="Z169" s="192">
        <v>45703</v>
      </c>
      <c r="AB169" s="183">
        <v>9.215426371268066</v>
      </c>
      <c r="AC169" s="195">
        <v>0</v>
      </c>
      <c r="AD169" s="31">
        <v>2.08</v>
      </c>
      <c r="AE169" t="b">
        <v>0</v>
      </c>
      <c r="AF169" s="161">
        <v>-10.4</v>
      </c>
    </row>
    <row r="170" spans="1:32" x14ac:dyDescent="0.25">
      <c r="A170" t="str">
        <f t="shared" si="14"/>
        <v>2024-169</v>
      </c>
      <c r="B170" s="1">
        <f t="shared" si="15"/>
        <v>45646</v>
      </c>
      <c r="C170" t="str">
        <f t="shared" si="17"/>
        <v>Microsoft Ireland Operations Ltd. One Microsoft Place, South County, Business Park, Leopardstown, Dublin 18, D18 P521, Ireland</v>
      </c>
      <c r="D170" t="str">
        <f t="shared" si="20"/>
        <v>Ausgaben</v>
      </c>
      <c r="E170" t="str">
        <f t="shared" si="20"/>
        <v>sonstige Betriebsausgaben</v>
      </c>
      <c r="F170" s="117">
        <f t="shared" si="18"/>
        <v>11.7</v>
      </c>
      <c r="G170" t="str">
        <f t="shared" si="19"/>
        <v>0%</v>
      </c>
      <c r="I170" s="191">
        <v>2024</v>
      </c>
      <c r="J170" s="189">
        <v>169</v>
      </c>
      <c r="K170" s="71" t="s">
        <v>105</v>
      </c>
      <c r="L170" t="s">
        <v>705</v>
      </c>
      <c r="M170" s="1">
        <v>45646</v>
      </c>
      <c r="N170" t="s">
        <v>1032</v>
      </c>
      <c r="Q170" t="b">
        <v>0</v>
      </c>
      <c r="R170" s="48">
        <v>11.7</v>
      </c>
      <c r="S170" s="185">
        <v>11.7</v>
      </c>
      <c r="T170" s="72">
        <v>1</v>
      </c>
      <c r="U170" s="72">
        <v>0</v>
      </c>
      <c r="V170" s="185">
        <v>0</v>
      </c>
      <c r="W170" s="185">
        <v>0</v>
      </c>
      <c r="X170" s="185">
        <v>11.7</v>
      </c>
      <c r="Y170" s="185">
        <v>11.7</v>
      </c>
      <c r="Z170" s="192">
        <v>45703</v>
      </c>
      <c r="AA170">
        <v>20</v>
      </c>
      <c r="AB170" s="183">
        <v>11.7</v>
      </c>
      <c r="AC170" s="195">
        <v>2.34</v>
      </c>
      <c r="AD170" s="31">
        <v>0</v>
      </c>
      <c r="AE170" t="b">
        <v>0</v>
      </c>
      <c r="AF170" s="161">
        <v>-10.75</v>
      </c>
    </row>
    <row r="171" spans="1:32" x14ac:dyDescent="0.25">
      <c r="A171" t="str">
        <f t="shared" si="14"/>
        <v>2024-170</v>
      </c>
      <c r="B171" s="1">
        <f t="shared" si="15"/>
        <v>45649</v>
      </c>
      <c r="C171" t="str">
        <f t="shared" si="17"/>
        <v>Musikschule Bad Vöslau, Hauptstraße 14, 2540 Bad Vöslau</v>
      </c>
      <c r="D171" t="str">
        <f t="shared" si="20"/>
        <v>Einnahmen</v>
      </c>
      <c r="E171" t="str">
        <f t="shared" si="20"/>
        <v>Waren-/Leistungserlöse</v>
      </c>
      <c r="F171" s="117">
        <f t="shared" si="18"/>
        <v>1176</v>
      </c>
      <c r="G171" t="str">
        <f t="shared" si="19"/>
        <v>20%</v>
      </c>
      <c r="I171" s="191">
        <v>2024</v>
      </c>
      <c r="J171" s="189">
        <v>170</v>
      </c>
      <c r="K171" s="71" t="s">
        <v>708</v>
      </c>
      <c r="L171" t="s">
        <v>709</v>
      </c>
      <c r="M171" s="1">
        <v>45649</v>
      </c>
      <c r="N171" t="s">
        <v>1384</v>
      </c>
      <c r="R171" s="48">
        <v>1176</v>
      </c>
      <c r="S171" s="185">
        <v>1176</v>
      </c>
      <c r="T171" s="72">
        <v>1</v>
      </c>
      <c r="U171" s="72">
        <v>0.2</v>
      </c>
      <c r="V171" s="185">
        <v>196</v>
      </c>
      <c r="W171" s="185">
        <v>196</v>
      </c>
      <c r="X171" s="185">
        <v>980</v>
      </c>
      <c r="Y171" s="185">
        <v>980</v>
      </c>
      <c r="Z171" s="192">
        <v>45703</v>
      </c>
      <c r="AB171" s="183">
        <v>980</v>
      </c>
      <c r="AC171" s="195">
        <v>0</v>
      </c>
      <c r="AD171" s="31">
        <v>0</v>
      </c>
      <c r="AE171" t="b">
        <v>0</v>
      </c>
      <c r="AF171" s="161">
        <v>-108.5</v>
      </c>
    </row>
    <row r="172" spans="1:32" x14ac:dyDescent="0.25">
      <c r="A172" t="str">
        <f t="shared" si="14"/>
        <v>2024-171</v>
      </c>
      <c r="B172" s="1">
        <f t="shared" si="15"/>
        <v>45653</v>
      </c>
      <c r="C172" t="str">
        <f t="shared" si="17"/>
        <v>SVS Vorauszahlung</v>
      </c>
      <c r="D172" t="str">
        <f t="shared" si="20"/>
        <v>Ausgaben</v>
      </c>
      <c r="E172" t="str">
        <f t="shared" si="20"/>
        <v>Pflichversicherungsbeiträge</v>
      </c>
      <c r="F172" s="117">
        <f t="shared" si="18"/>
        <v>30000</v>
      </c>
      <c r="G172" t="str">
        <f t="shared" si="19"/>
        <v>0%</v>
      </c>
      <c r="I172" s="191">
        <v>2024</v>
      </c>
      <c r="J172" s="189">
        <v>171</v>
      </c>
      <c r="K172" s="71" t="s">
        <v>105</v>
      </c>
      <c r="L172" t="s">
        <v>695</v>
      </c>
      <c r="M172" s="1">
        <v>45653</v>
      </c>
      <c r="N172" t="s">
        <v>1833</v>
      </c>
      <c r="Q172" t="b">
        <v>0</v>
      </c>
      <c r="R172" s="48">
        <v>30000</v>
      </c>
      <c r="S172" s="185">
        <v>30000</v>
      </c>
      <c r="T172" s="72">
        <v>1</v>
      </c>
      <c r="U172" s="72">
        <v>0</v>
      </c>
      <c r="V172" s="185">
        <v>0</v>
      </c>
      <c r="W172" s="185">
        <v>0</v>
      </c>
      <c r="X172" s="185">
        <v>30000</v>
      </c>
      <c r="Y172" s="185">
        <v>30000</v>
      </c>
      <c r="Z172" s="192">
        <v>45703</v>
      </c>
      <c r="AB172" s="183">
        <v>30000</v>
      </c>
      <c r="AC172" s="195">
        <v>0</v>
      </c>
      <c r="AD172" s="31">
        <v>0</v>
      </c>
      <c r="AE172" t="b">
        <v>0</v>
      </c>
      <c r="AF172" s="161">
        <v>-5</v>
      </c>
    </row>
    <row r="173" spans="1:32" x14ac:dyDescent="0.25">
      <c r="A173" t="str">
        <f t="shared" si="14"/>
        <v>2024-172</v>
      </c>
      <c r="B173" s="1">
        <f t="shared" si="15"/>
        <v>45653</v>
      </c>
      <c r="C173" t="str">
        <f t="shared" si="17"/>
        <v>OpenAI, LLC, 548 Market Street, PMB 97273, San Francisco, California 94104-5401, United States</v>
      </c>
      <c r="D173" t="str">
        <f t="shared" si="20"/>
        <v>Ausgaben</v>
      </c>
      <c r="E173" t="str">
        <f t="shared" si="20"/>
        <v>sonstige Betriebsausgaben</v>
      </c>
      <c r="F173" s="117">
        <f t="shared" si="18"/>
        <v>23.56</v>
      </c>
      <c r="G173" t="str">
        <f t="shared" si="19"/>
        <v>20%</v>
      </c>
      <c r="I173" s="191">
        <v>2024</v>
      </c>
      <c r="J173" s="189">
        <v>172</v>
      </c>
      <c r="K173" s="71" t="s">
        <v>105</v>
      </c>
      <c r="L173" t="s">
        <v>705</v>
      </c>
      <c r="M173" s="1">
        <v>45653</v>
      </c>
      <c r="N173" t="s">
        <v>1794</v>
      </c>
      <c r="Q173" t="b">
        <v>0</v>
      </c>
      <c r="R173" s="48">
        <v>23.56</v>
      </c>
      <c r="S173" s="185">
        <v>23.56</v>
      </c>
      <c r="T173" s="72">
        <v>1</v>
      </c>
      <c r="U173" s="72">
        <v>0.2</v>
      </c>
      <c r="V173" s="185">
        <v>3.8733333333333335</v>
      </c>
      <c r="W173" s="185">
        <v>3.8733333333333335</v>
      </c>
      <c r="X173" s="185">
        <v>19.366666666666667</v>
      </c>
      <c r="Y173" s="185">
        <v>19.366666666666667</v>
      </c>
      <c r="Z173" s="192">
        <v>45703</v>
      </c>
      <c r="AB173" s="183">
        <v>19.366666666666667</v>
      </c>
      <c r="AC173" s="195">
        <v>0</v>
      </c>
      <c r="AD173" s="31">
        <v>0</v>
      </c>
      <c r="AE173" t="b">
        <v>0</v>
      </c>
      <c r="AF173" s="161">
        <v>-16.916666666666668</v>
      </c>
    </row>
    <row r="174" spans="1:32" x14ac:dyDescent="0.25">
      <c r="A174" t="str">
        <f t="shared" ref="A174:A177" si="21">I174&amp;"-"&amp;J174</f>
        <v>2024-173</v>
      </c>
      <c r="B174" s="1">
        <f t="shared" ref="B174:B177" si="22">M174</f>
        <v>45546</v>
      </c>
      <c r="C174" t="str">
        <f t="shared" ref="C174:C177" si="23">N174</f>
        <v>Wien Energie PV Ertrag</v>
      </c>
      <c r="D174" t="str">
        <f t="shared" ref="D174:D177" si="24">K174</f>
        <v>Einnahmen</v>
      </c>
      <c r="E174" t="str">
        <f t="shared" ref="E174:E177" si="25">L174</f>
        <v>Waren-/Leistungserlöse</v>
      </c>
      <c r="F174" s="117">
        <f t="shared" ref="F174:F177" si="26">S174</f>
        <v>971.68</v>
      </c>
      <c r="G174" t="str">
        <f t="shared" ref="G174:G177" si="27">U174*100&amp;"%"</f>
        <v>0%</v>
      </c>
      <c r="I174" s="191">
        <v>2024</v>
      </c>
      <c r="J174" s="189">
        <v>173</v>
      </c>
      <c r="K174" s="71" t="s">
        <v>708</v>
      </c>
      <c r="L174" t="s">
        <v>709</v>
      </c>
      <c r="M174" s="1">
        <v>45546</v>
      </c>
      <c r="N174" t="s">
        <v>1842</v>
      </c>
      <c r="R174" s="48">
        <v>971.68</v>
      </c>
      <c r="S174" s="185">
        <v>971.68</v>
      </c>
      <c r="T174" s="72">
        <v>1</v>
      </c>
      <c r="U174" s="72">
        <v>0</v>
      </c>
      <c r="V174" s="185">
        <v>0</v>
      </c>
      <c r="W174" s="185">
        <v>0</v>
      </c>
      <c r="X174" s="185">
        <v>971.3599999999999</v>
      </c>
      <c r="Y174" s="185">
        <v>971.3599999999999</v>
      </c>
      <c r="Z174" s="192"/>
      <c r="AA174">
        <v>20</v>
      </c>
      <c r="AB174" s="183">
        <v>971.3599999999999</v>
      </c>
      <c r="AC174" s="195"/>
      <c r="AD174" s="31"/>
      <c r="AF174" s="161"/>
    </row>
    <row r="175" spans="1:32" x14ac:dyDescent="0.25">
      <c r="A175" t="str">
        <f t="shared" si="21"/>
        <v>2024-174</v>
      </c>
      <c r="B175" s="1">
        <f t="shared" si="22"/>
        <v>45643</v>
      </c>
      <c r="C175" t="str">
        <f t="shared" si="23"/>
        <v>Republik Österreich Bundesschatz 2030 1096 8725 - 4 J AUSZ</v>
      </c>
      <c r="D175" t="str">
        <f t="shared" si="24"/>
        <v>Ausgaben</v>
      </c>
      <c r="E175" t="str">
        <f t="shared" si="25"/>
        <v>sonstige Betriebsausgaben</v>
      </c>
      <c r="F175" s="117">
        <f t="shared" si="26"/>
        <v>10550</v>
      </c>
      <c r="G175" t="str">
        <f t="shared" si="27"/>
        <v>0%</v>
      </c>
      <c r="I175" s="191">
        <v>2024</v>
      </c>
      <c r="J175" s="189">
        <v>174</v>
      </c>
      <c r="K175" s="71" t="s">
        <v>105</v>
      </c>
      <c r="L175" t="s">
        <v>705</v>
      </c>
      <c r="M175" s="1">
        <v>45643</v>
      </c>
      <c r="N175" t="s">
        <v>1844</v>
      </c>
      <c r="Q175" t="b">
        <v>0</v>
      </c>
      <c r="R175" s="48">
        <v>10550</v>
      </c>
      <c r="S175" s="185">
        <v>10550</v>
      </c>
      <c r="T175" s="72">
        <v>1</v>
      </c>
      <c r="U175" s="72">
        <v>0</v>
      </c>
      <c r="V175" s="185">
        <v>0</v>
      </c>
      <c r="W175" s="185">
        <v>0</v>
      </c>
      <c r="X175" s="185">
        <v>10549.68</v>
      </c>
      <c r="Y175" s="185">
        <v>10549.68</v>
      </c>
      <c r="Z175" s="192"/>
      <c r="AB175" s="183">
        <v>10549.68</v>
      </c>
      <c r="AC175" s="195"/>
      <c r="AD175" s="31"/>
      <c r="AF175" s="161"/>
    </row>
    <row r="176" spans="1:32" x14ac:dyDescent="0.25">
      <c r="A176" t="str">
        <f t="shared" si="21"/>
        <v>2024-175</v>
      </c>
      <c r="B176" s="1">
        <f t="shared" si="22"/>
        <v>45657</v>
      </c>
      <c r="C176" t="str">
        <f t="shared" si="23"/>
        <v>WBF Zinsen, Hypo NOE Landesbank für Niederösterreich und Wien AG, Hypogasse 1, 3100 St Pölten</v>
      </c>
      <c r="D176" t="str">
        <f t="shared" si="24"/>
        <v>Ausgaben</v>
      </c>
      <c r="E176" t="str">
        <f t="shared" si="25"/>
        <v>Zinsen und ähnliche Aufwendungen</v>
      </c>
      <c r="F176" s="117">
        <f t="shared" si="26"/>
        <v>27.369816322666161</v>
      </c>
      <c r="G176" t="str">
        <f t="shared" si="27"/>
        <v>0%</v>
      </c>
      <c r="I176" s="191">
        <v>2024</v>
      </c>
      <c r="J176" s="189">
        <v>175</v>
      </c>
      <c r="K176" s="71" t="s">
        <v>105</v>
      </c>
      <c r="L176" t="s">
        <v>694</v>
      </c>
      <c r="M176" s="1">
        <v>45657</v>
      </c>
      <c r="N176" t="s">
        <v>1845</v>
      </c>
      <c r="Q176" t="b">
        <v>0</v>
      </c>
      <c r="R176" s="48">
        <v>297</v>
      </c>
      <c r="S176" s="185">
        <v>27.369816322666161</v>
      </c>
      <c r="T176" s="72">
        <v>9.2154263712680679E-2</v>
      </c>
      <c r="U176" s="72">
        <v>0</v>
      </c>
      <c r="V176" s="185">
        <v>0</v>
      </c>
      <c r="W176" s="185">
        <v>0</v>
      </c>
      <c r="X176" s="185">
        <v>296.68</v>
      </c>
      <c r="Y176" s="185">
        <v>27.340326958278105</v>
      </c>
      <c r="Z176" s="192"/>
      <c r="AB176" s="183">
        <v>27.340326958278105</v>
      </c>
      <c r="AC176" s="195"/>
      <c r="AD176" s="31"/>
      <c r="AF176" s="161"/>
    </row>
    <row r="177" spans="1:32" x14ac:dyDescent="0.25">
      <c r="A177" t="str">
        <f t="shared" si="21"/>
        <v>2024-176</v>
      </c>
      <c r="B177" s="1">
        <f t="shared" si="22"/>
        <v>45657</v>
      </c>
      <c r="C177" t="str">
        <f t="shared" si="23"/>
        <v>Kreditzinsen, Erste Bank der österreichischen Sparkassen AG, Am Belvedere 1, 1100 Wien</v>
      </c>
      <c r="D177" t="str">
        <f t="shared" si="24"/>
        <v>Ausgaben</v>
      </c>
      <c r="E177" t="str">
        <f t="shared" si="25"/>
        <v>Zinsen und ähnliche Aufwendungen</v>
      </c>
      <c r="F177" s="117">
        <f t="shared" si="26"/>
        <v>653.75340528940228</v>
      </c>
      <c r="G177" t="str">
        <f t="shared" si="27"/>
        <v>0%</v>
      </c>
      <c r="I177" s="191">
        <v>2024</v>
      </c>
      <c r="J177" s="189">
        <v>176</v>
      </c>
      <c r="K177" s="71" t="s">
        <v>105</v>
      </c>
      <c r="L177" t="s">
        <v>694</v>
      </c>
      <c r="M177" s="1">
        <v>45657</v>
      </c>
      <c r="N177" t="s">
        <v>1846</v>
      </c>
      <c r="Q177" t="b">
        <v>0</v>
      </c>
      <c r="R177" s="48">
        <v>7094.12</v>
      </c>
      <c r="S177" s="185">
        <v>653.75340528940228</v>
      </c>
      <c r="T177" s="72">
        <v>9.2154263712680679E-2</v>
      </c>
      <c r="U177" s="72">
        <v>0</v>
      </c>
      <c r="V177" s="185">
        <v>0</v>
      </c>
      <c r="W177" s="185">
        <v>0</v>
      </c>
      <c r="X177" s="185">
        <v>7093.8</v>
      </c>
      <c r="Y177" s="185">
        <v>653.72391592501424</v>
      </c>
      <c r="Z177" s="192"/>
      <c r="AB177" s="183">
        <v>653.72391592501424</v>
      </c>
      <c r="AC177" s="195"/>
      <c r="AD177" s="31"/>
      <c r="AF177" s="161"/>
    </row>
    <row r="178" spans="1:32" x14ac:dyDescent="0.25">
      <c r="A178" t="str">
        <f t="shared" ref="A178" si="28">I178&amp;"-"&amp;J178</f>
        <v>2024-177</v>
      </c>
      <c r="B178" s="1">
        <f t="shared" ref="B178" si="29">M178</f>
        <v>45293</v>
      </c>
      <c r="C178" t="str">
        <f t="shared" ref="C178" si="30">N178</f>
        <v>STORNO 2024-022</v>
      </c>
      <c r="D178" t="str">
        <f t="shared" ref="D178" si="31">K178</f>
        <v>Einnahmen</v>
      </c>
      <c r="E178" t="str">
        <f t="shared" ref="E178" si="32">L178</f>
        <v>Zinsen und ähnliche Aufwendungen</v>
      </c>
      <c r="F178" s="117">
        <f t="shared" ref="F178" si="33">S178</f>
        <v>156.8327336994256</v>
      </c>
      <c r="G178" t="str">
        <f t="shared" ref="G178" si="34">U178*100&amp;"%"</f>
        <v>0%</v>
      </c>
      <c r="I178" s="191">
        <v>2024</v>
      </c>
      <c r="J178" s="189">
        <v>177</v>
      </c>
      <c r="K178" s="71" t="s">
        <v>708</v>
      </c>
      <c r="L178" t="s">
        <v>694</v>
      </c>
      <c r="M178" s="1">
        <v>45293</v>
      </c>
      <c r="N178" t="s">
        <v>1847</v>
      </c>
      <c r="Q178" t="b">
        <v>0</v>
      </c>
      <c r="R178" s="48">
        <v>1701.85</v>
      </c>
      <c r="S178" s="185">
        <v>156.8327336994256</v>
      </c>
      <c r="T178" s="72">
        <v>9.2154263712680679E-2</v>
      </c>
      <c r="U178" s="72">
        <v>0</v>
      </c>
      <c r="V178" s="185">
        <v>0</v>
      </c>
      <c r="W178" s="185">
        <v>0</v>
      </c>
      <c r="X178" s="185">
        <v>1701.85</v>
      </c>
      <c r="Y178" s="185">
        <v>156.8327336994256</v>
      </c>
      <c r="Z178" s="192">
        <v>45427</v>
      </c>
      <c r="AB178" s="183">
        <v>156.8327336994256</v>
      </c>
      <c r="AC178" s="195">
        <v>0</v>
      </c>
      <c r="AD178" s="31"/>
      <c r="AF178" s="161"/>
    </row>
    <row r="179" spans="1:32" x14ac:dyDescent="0.25">
      <c r="F179" s="117"/>
      <c r="I179" s="53"/>
      <c r="J179" s="53"/>
      <c r="K179" s="71"/>
      <c r="M179" s="1"/>
      <c r="P179" s="76"/>
      <c r="R179" s="158"/>
      <c r="S179" s="185"/>
      <c r="T179" s="72"/>
      <c r="U179" s="72"/>
      <c r="V179" s="185"/>
      <c r="W179" s="185"/>
      <c r="X179" s="185"/>
      <c r="Y179" s="185"/>
      <c r="Z179" s="192"/>
      <c r="AB179" s="183"/>
      <c r="AC179" s="195"/>
      <c r="AD179" s="31"/>
      <c r="AF179" s="161"/>
    </row>
    <row r="180" spans="1:32" x14ac:dyDescent="0.25">
      <c r="F180" s="117"/>
      <c r="I180" s="53"/>
      <c r="J180" s="53"/>
      <c r="K180" s="71"/>
      <c r="M180" s="1"/>
      <c r="P180" s="76"/>
      <c r="R180" s="158"/>
      <c r="S180" s="185"/>
      <c r="T180" s="72"/>
      <c r="U180" s="72"/>
      <c r="V180" s="185"/>
      <c r="W180" s="185"/>
      <c r="X180" s="185"/>
      <c r="Y180" s="185"/>
      <c r="Z180" s="192"/>
      <c r="AB180" s="183"/>
      <c r="AC180" s="195"/>
      <c r="AD180" s="31"/>
      <c r="AF180" s="161"/>
    </row>
    <row r="181" spans="1:32" x14ac:dyDescent="0.25">
      <c r="F181" s="117"/>
      <c r="I181" s="53"/>
      <c r="J181" s="53"/>
      <c r="K181" s="71"/>
      <c r="M181" s="1"/>
      <c r="P181" s="76"/>
      <c r="R181" s="158"/>
      <c r="S181" s="185"/>
      <c r="T181" s="72"/>
      <c r="U181" s="72"/>
      <c r="V181" s="185"/>
      <c r="W181" s="185"/>
      <c r="X181" s="185"/>
      <c r="Y181" s="185"/>
      <c r="Z181" s="192"/>
      <c r="AB181" s="183"/>
      <c r="AC181" s="195"/>
      <c r="AD181" s="31"/>
      <c r="AF181" s="161"/>
    </row>
    <row r="182" spans="1:32" x14ac:dyDescent="0.25">
      <c r="F182" s="117"/>
      <c r="I182" s="53"/>
      <c r="J182" s="53"/>
      <c r="K182" s="71"/>
      <c r="M182" s="1"/>
      <c r="P182" s="76"/>
      <c r="R182" s="48"/>
      <c r="S182" s="185"/>
      <c r="T182" s="72"/>
      <c r="U182" s="72"/>
      <c r="V182" s="185"/>
      <c r="W182" s="185"/>
      <c r="X182" s="185"/>
      <c r="Y182" s="185"/>
      <c r="Z182" s="192"/>
      <c r="AB182" s="183"/>
      <c r="AC182" s="195"/>
      <c r="AD182" s="31"/>
      <c r="AF182" s="78"/>
    </row>
    <row r="183" spans="1:32" x14ac:dyDescent="0.25">
      <c r="F183" s="117"/>
      <c r="I183" s="53"/>
      <c r="J183" s="53"/>
      <c r="K183" s="71"/>
      <c r="M183" s="1"/>
      <c r="P183" s="76"/>
      <c r="R183" s="48"/>
      <c r="S183" s="185"/>
      <c r="T183" s="72"/>
      <c r="U183" s="72"/>
      <c r="V183" s="185"/>
      <c r="W183" s="185"/>
      <c r="X183" s="185"/>
      <c r="Y183" s="185"/>
      <c r="Z183" s="192"/>
      <c r="AB183" s="183"/>
      <c r="AC183" s="195"/>
      <c r="AD183" s="31"/>
      <c r="AF183" s="78"/>
    </row>
    <row r="184" spans="1:32" x14ac:dyDescent="0.25">
      <c r="F184" s="117"/>
      <c r="I184" s="53"/>
      <c r="J184" s="53"/>
      <c r="K184" s="71"/>
      <c r="M184" s="1"/>
      <c r="P184" s="76"/>
      <c r="R184" s="48"/>
      <c r="S184" s="185"/>
      <c r="T184" s="72"/>
      <c r="U184" s="72"/>
      <c r="V184" s="185"/>
      <c r="W184" s="185"/>
      <c r="X184" s="185"/>
      <c r="Y184" s="185"/>
      <c r="Z184" s="192"/>
      <c r="AB184" s="183"/>
      <c r="AC184" s="195"/>
      <c r="AD184" s="31"/>
      <c r="AF184" s="78"/>
    </row>
    <row r="185" spans="1:32" x14ac:dyDescent="0.25">
      <c r="F185" s="117"/>
      <c r="I185" s="53"/>
      <c r="J185" s="53"/>
      <c r="K185" s="71"/>
      <c r="M185" s="1"/>
      <c r="P185" s="76"/>
      <c r="R185" s="109"/>
      <c r="S185" s="185"/>
      <c r="T185" s="72"/>
      <c r="U185" s="72"/>
      <c r="V185" s="185"/>
      <c r="W185" s="185"/>
      <c r="X185" s="185"/>
      <c r="Y185" s="185"/>
      <c r="Z185" s="192"/>
      <c r="AB185" s="183"/>
      <c r="AC185" s="195"/>
      <c r="AD185" s="31"/>
      <c r="AF185" s="78"/>
    </row>
    <row r="186" spans="1:32" x14ac:dyDescent="0.25">
      <c r="F186" s="117"/>
      <c r="I186" s="53"/>
      <c r="J186" s="53"/>
      <c r="K186" s="71"/>
      <c r="M186" s="1"/>
      <c r="P186" s="76"/>
      <c r="R186" s="109"/>
      <c r="S186" s="185"/>
      <c r="T186" s="72"/>
      <c r="U186" s="72"/>
      <c r="V186" s="185"/>
      <c r="W186" s="185"/>
      <c r="X186" s="185"/>
      <c r="Y186" s="185"/>
      <c r="Z186" s="192"/>
      <c r="AB186" s="183"/>
      <c r="AC186" s="195"/>
      <c r="AD186" s="31"/>
      <c r="AF186" s="78"/>
    </row>
    <row r="187" spans="1:32" x14ac:dyDescent="0.25">
      <c r="F187" s="117"/>
      <c r="I187" s="53"/>
      <c r="J187" s="53"/>
      <c r="K187" s="71"/>
      <c r="M187" s="1"/>
      <c r="P187" s="76"/>
      <c r="R187" s="158"/>
      <c r="S187" s="185"/>
      <c r="T187" s="72"/>
      <c r="U187" s="72"/>
      <c r="V187" s="185"/>
      <c r="W187" s="185"/>
      <c r="X187" s="185"/>
      <c r="Y187" s="185"/>
      <c r="Z187" s="192"/>
      <c r="AB187" s="183"/>
      <c r="AC187" s="195"/>
      <c r="AD187" s="31"/>
      <c r="AF187" s="161"/>
    </row>
    <row r="188" spans="1:32" x14ac:dyDescent="0.25">
      <c r="F188" s="117"/>
      <c r="I188" s="53"/>
      <c r="J188" s="53"/>
      <c r="K188" s="71"/>
      <c r="M188" s="1"/>
      <c r="P188" s="76"/>
      <c r="R188" s="158"/>
      <c r="S188" s="185"/>
      <c r="T188" s="72"/>
      <c r="U188" s="72"/>
      <c r="V188" s="185"/>
      <c r="W188" s="185"/>
      <c r="X188" s="185"/>
      <c r="Y188" s="185"/>
      <c r="Z188" s="192"/>
      <c r="AB188" s="183"/>
      <c r="AC188" s="195"/>
      <c r="AD188" s="31"/>
      <c r="AF188" s="161"/>
    </row>
    <row r="189" spans="1:32" x14ac:dyDescent="0.25">
      <c r="F189" s="117"/>
      <c r="I189" s="53"/>
      <c r="J189" s="53"/>
      <c r="K189" s="71"/>
      <c r="M189" s="1"/>
      <c r="P189" s="76"/>
      <c r="R189" s="158"/>
      <c r="S189" s="185"/>
      <c r="T189" s="72"/>
      <c r="U189" s="72"/>
      <c r="V189" s="185"/>
      <c r="W189" s="185"/>
      <c r="X189" s="185"/>
      <c r="Y189" s="185"/>
      <c r="Z189" s="192"/>
      <c r="AB189" s="183"/>
      <c r="AC189" s="195"/>
      <c r="AD189" s="31"/>
      <c r="AF189" s="161"/>
    </row>
    <row r="190" spans="1:32" x14ac:dyDescent="0.25">
      <c r="F190" s="117"/>
      <c r="I190" s="53"/>
      <c r="J190" s="53"/>
      <c r="K190" s="71"/>
      <c r="M190" s="1"/>
      <c r="P190" s="76"/>
      <c r="R190" s="162"/>
      <c r="S190" s="185"/>
      <c r="T190" s="72"/>
      <c r="U190" s="72"/>
      <c r="V190" s="185"/>
      <c r="W190" s="185"/>
      <c r="X190" s="185"/>
      <c r="Y190" s="185"/>
      <c r="Z190" s="192"/>
      <c r="AB190" s="183"/>
      <c r="AC190" s="195"/>
      <c r="AD190" s="31"/>
      <c r="AF190" s="161"/>
    </row>
    <row r="191" spans="1:32" x14ac:dyDescent="0.25">
      <c r="F191" s="117"/>
      <c r="I191" s="53"/>
      <c r="J191" s="53"/>
      <c r="K191" s="71"/>
      <c r="M191" s="1"/>
      <c r="P191" s="76"/>
      <c r="R191" s="109"/>
      <c r="S191" s="185"/>
      <c r="T191" s="72"/>
      <c r="U191" s="72"/>
      <c r="V191" s="185"/>
      <c r="W191" s="185"/>
      <c r="X191" s="185"/>
      <c r="Y191" s="185"/>
      <c r="Z191" s="192"/>
      <c r="AB191" s="183"/>
      <c r="AC191" s="195"/>
      <c r="AD191" s="31"/>
      <c r="AF191" s="161"/>
    </row>
    <row r="192" spans="1:32" x14ac:dyDescent="0.25">
      <c r="F192" s="117"/>
      <c r="I192" s="53"/>
      <c r="J192" s="53"/>
      <c r="K192" s="71"/>
      <c r="M192" s="1"/>
      <c r="P192" s="76"/>
      <c r="R192" s="48"/>
      <c r="S192" s="185"/>
      <c r="T192" s="72"/>
      <c r="U192" s="72"/>
      <c r="V192" s="185"/>
      <c r="W192" s="185"/>
      <c r="X192" s="185"/>
      <c r="Y192" s="185"/>
      <c r="Z192" s="192"/>
      <c r="AB192" s="183"/>
      <c r="AC192" s="195"/>
      <c r="AD192" s="31"/>
      <c r="AF192" s="161"/>
    </row>
    <row r="193" spans="6:32" x14ac:dyDescent="0.25">
      <c r="F193" s="117"/>
      <c r="I193" s="53"/>
      <c r="J193" s="53"/>
      <c r="K193" s="71"/>
      <c r="M193" s="1"/>
      <c r="P193" s="76"/>
      <c r="R193" s="158"/>
      <c r="S193" s="185"/>
      <c r="T193" s="72"/>
      <c r="U193" s="72"/>
      <c r="V193" s="185"/>
      <c r="W193" s="185"/>
      <c r="X193" s="185"/>
      <c r="Y193" s="185"/>
      <c r="Z193" s="192"/>
      <c r="AB193" s="183"/>
      <c r="AC193" s="195"/>
      <c r="AD193" s="31"/>
      <c r="AF193" s="161"/>
    </row>
    <row r="194" spans="6:32" x14ac:dyDescent="0.25">
      <c r="F194" s="117"/>
      <c r="I194" s="53"/>
      <c r="J194" s="53"/>
      <c r="K194" s="71"/>
      <c r="M194" s="1"/>
      <c r="P194" s="76"/>
      <c r="R194" s="162"/>
      <c r="S194" s="185"/>
      <c r="T194" s="72"/>
      <c r="U194" s="72"/>
      <c r="V194" s="185"/>
      <c r="W194" s="185"/>
      <c r="X194" s="185"/>
      <c r="Y194" s="185"/>
      <c r="Z194" s="192"/>
      <c r="AB194" s="183"/>
      <c r="AC194" s="195"/>
      <c r="AD194" s="31"/>
      <c r="AF194" s="161"/>
    </row>
    <row r="195" spans="6:32" x14ac:dyDescent="0.25">
      <c r="F195" s="117"/>
      <c r="I195" s="53"/>
      <c r="J195" s="53"/>
      <c r="K195" s="71"/>
      <c r="M195" s="1"/>
      <c r="P195" s="76"/>
      <c r="R195" s="162"/>
      <c r="S195" s="185"/>
      <c r="T195" s="72"/>
      <c r="U195" s="72"/>
      <c r="V195" s="185"/>
      <c r="W195" s="185"/>
      <c r="X195" s="185"/>
      <c r="Y195" s="185"/>
      <c r="Z195" s="192"/>
      <c r="AB195" s="183"/>
      <c r="AC195" s="195"/>
      <c r="AD195" s="31"/>
      <c r="AF195" s="161"/>
    </row>
    <row r="196" spans="6:32" x14ac:dyDescent="0.25">
      <c r="F196" s="117"/>
      <c r="I196" s="53"/>
      <c r="J196" s="53"/>
      <c r="K196" s="71"/>
      <c r="M196" s="1"/>
      <c r="P196" s="76"/>
      <c r="R196" s="158"/>
      <c r="S196" s="185"/>
      <c r="T196" s="72"/>
      <c r="U196" s="72"/>
      <c r="V196" s="185"/>
      <c r="W196" s="185"/>
      <c r="X196" s="185"/>
      <c r="Y196" s="185"/>
      <c r="Z196" s="192"/>
      <c r="AB196" s="183"/>
      <c r="AC196" s="195"/>
      <c r="AD196" s="31"/>
      <c r="AF196" s="161"/>
    </row>
    <row r="197" spans="6:32" x14ac:dyDescent="0.25">
      <c r="F197" s="117"/>
      <c r="I197" s="53"/>
      <c r="J197" s="53"/>
      <c r="K197" s="71"/>
      <c r="M197" s="1"/>
      <c r="P197" s="76"/>
      <c r="R197" s="158"/>
      <c r="S197" s="185"/>
      <c r="T197" s="72"/>
      <c r="U197" s="72"/>
      <c r="V197" s="185"/>
      <c r="W197" s="185"/>
      <c r="X197" s="185"/>
      <c r="Y197" s="185"/>
      <c r="Z197" s="192"/>
      <c r="AB197" s="183"/>
      <c r="AC197" s="195"/>
      <c r="AD197" s="31"/>
      <c r="AF197" s="161"/>
    </row>
    <row r="198" spans="6:32" x14ac:dyDescent="0.25">
      <c r="F198" s="117"/>
      <c r="I198" s="53"/>
      <c r="J198" s="53"/>
      <c r="K198" s="71"/>
      <c r="M198" s="1"/>
      <c r="P198" s="76"/>
      <c r="R198" s="158"/>
      <c r="S198" s="185"/>
      <c r="T198" s="72"/>
      <c r="U198" s="72"/>
      <c r="V198" s="185"/>
      <c r="W198" s="185"/>
      <c r="X198" s="185"/>
      <c r="Y198" s="185"/>
      <c r="Z198" s="192"/>
      <c r="AB198" s="183"/>
      <c r="AC198" s="195"/>
      <c r="AD198" s="31"/>
      <c r="AF198" s="161"/>
    </row>
    <row r="199" spans="6:32" x14ac:dyDescent="0.25">
      <c r="F199" s="117"/>
      <c r="I199" s="53"/>
      <c r="J199" s="53"/>
      <c r="K199" s="71"/>
      <c r="M199" s="1"/>
      <c r="P199" s="76"/>
      <c r="R199" s="162"/>
      <c r="S199" s="185"/>
      <c r="T199" s="72"/>
      <c r="U199" s="72"/>
      <c r="V199" s="185"/>
      <c r="W199" s="185"/>
      <c r="X199" s="185"/>
      <c r="Y199" s="185"/>
      <c r="Z199" s="192"/>
      <c r="AB199" s="183"/>
      <c r="AC199" s="195"/>
      <c r="AD199" s="31"/>
      <c r="AF199" s="161"/>
    </row>
    <row r="200" spans="6:32" x14ac:dyDescent="0.25">
      <c r="F200" s="117"/>
      <c r="I200" s="53"/>
      <c r="J200" s="53"/>
      <c r="K200" s="71"/>
      <c r="M200" s="1"/>
      <c r="P200" s="76"/>
      <c r="R200" s="158"/>
      <c r="S200" s="185"/>
      <c r="T200" s="72"/>
      <c r="U200" s="72"/>
      <c r="V200" s="185"/>
      <c r="W200" s="185"/>
      <c r="X200" s="185"/>
      <c r="Y200" s="185"/>
      <c r="Z200" s="192"/>
      <c r="AB200" s="183"/>
      <c r="AC200" s="195"/>
      <c r="AD200" s="31"/>
      <c r="AF200" s="161"/>
    </row>
    <row r="201" spans="6:32" x14ac:dyDescent="0.25">
      <c r="F201" s="117"/>
      <c r="I201" s="53"/>
      <c r="J201" s="53"/>
      <c r="K201" s="71"/>
      <c r="M201" s="1"/>
      <c r="P201" s="76"/>
      <c r="R201" s="48"/>
      <c r="S201" s="185"/>
      <c r="T201" s="72"/>
      <c r="U201" s="72"/>
      <c r="V201" s="185"/>
      <c r="W201" s="185"/>
      <c r="X201" s="185"/>
      <c r="Y201" s="185"/>
      <c r="Z201" s="192"/>
      <c r="AB201" s="183"/>
      <c r="AC201" s="195"/>
      <c r="AD201" s="31"/>
      <c r="AF201" s="78"/>
    </row>
    <row r="202" spans="6:32" x14ac:dyDescent="0.25">
      <c r="F202" s="117"/>
      <c r="I202" s="53"/>
      <c r="J202" s="53"/>
      <c r="K202" s="71"/>
      <c r="M202" s="1"/>
      <c r="P202" s="76"/>
      <c r="R202" s="48"/>
      <c r="S202" s="185"/>
      <c r="T202" s="72"/>
      <c r="U202" s="72"/>
      <c r="V202" s="185"/>
      <c r="W202" s="185"/>
      <c r="X202" s="185"/>
      <c r="Y202" s="185"/>
      <c r="Z202" s="192"/>
      <c r="AB202" s="183"/>
      <c r="AC202" s="195"/>
      <c r="AD202" s="31"/>
      <c r="AF202" s="78"/>
    </row>
    <row r="203" spans="6:32" x14ac:dyDescent="0.25">
      <c r="F203" s="117"/>
      <c r="I203" s="53"/>
      <c r="J203" s="53"/>
      <c r="K203" s="71"/>
      <c r="M203" s="1"/>
      <c r="P203" s="76"/>
      <c r="R203" s="48"/>
      <c r="S203" s="185"/>
      <c r="T203" s="72"/>
      <c r="U203" s="72"/>
      <c r="V203" s="185"/>
      <c r="W203" s="185"/>
      <c r="X203" s="185"/>
      <c r="Y203" s="185"/>
      <c r="Z203" s="192"/>
      <c r="AB203" s="183"/>
      <c r="AC203" s="195"/>
      <c r="AD203" s="31"/>
      <c r="AF203" s="78"/>
    </row>
    <row r="204" spans="6:32" x14ac:dyDescent="0.25">
      <c r="F204" s="117"/>
      <c r="I204" s="53"/>
      <c r="J204" s="53"/>
      <c r="K204" s="71"/>
      <c r="M204" s="1"/>
      <c r="N204" s="154"/>
      <c r="P204" s="76"/>
      <c r="R204" s="48"/>
      <c r="S204" s="185"/>
      <c r="T204" s="72"/>
      <c r="U204" s="72"/>
      <c r="V204" s="185"/>
      <c r="W204" s="185"/>
      <c r="X204" s="185"/>
      <c r="Y204" s="185"/>
      <c r="Z204" s="192"/>
      <c r="AB204" s="183"/>
      <c r="AC204" s="195"/>
      <c r="AD204" s="31"/>
      <c r="AF204" s="78"/>
    </row>
    <row r="205" spans="6:32" x14ac:dyDescent="0.25">
      <c r="F205" s="117"/>
      <c r="I205" s="53"/>
      <c r="J205" s="53"/>
      <c r="K205" s="71"/>
      <c r="M205" s="1"/>
      <c r="N205" s="154"/>
      <c r="P205" s="76"/>
      <c r="R205" s="48"/>
      <c r="S205" s="185"/>
      <c r="T205" s="72"/>
      <c r="U205" s="72"/>
      <c r="V205" s="185"/>
      <c r="W205" s="185"/>
      <c r="X205" s="185"/>
      <c r="Y205" s="185"/>
      <c r="Z205" s="192"/>
      <c r="AB205" s="183"/>
      <c r="AC205" s="195"/>
      <c r="AD205" s="31"/>
      <c r="AF205" s="78"/>
    </row>
    <row r="206" spans="6:32" x14ac:dyDescent="0.25">
      <c r="F206" s="117"/>
      <c r="I206" s="53"/>
      <c r="J206" s="53"/>
      <c r="K206" s="71"/>
      <c r="M206" s="1"/>
      <c r="N206" s="154"/>
      <c r="P206" s="76"/>
      <c r="R206" s="109"/>
      <c r="S206" s="185"/>
      <c r="T206" s="72"/>
      <c r="U206" s="72"/>
      <c r="V206" s="185"/>
      <c r="W206" s="185"/>
      <c r="X206" s="185"/>
      <c r="Y206" s="185"/>
      <c r="Z206" s="192"/>
      <c r="AB206" s="183"/>
      <c r="AC206" s="195"/>
      <c r="AD206" s="31"/>
      <c r="AF206" s="78"/>
    </row>
    <row r="207" spans="6:32" x14ac:dyDescent="0.25">
      <c r="F207" s="117"/>
      <c r="I207" s="53"/>
      <c r="J207" s="53"/>
      <c r="K207" s="71"/>
      <c r="M207" s="1"/>
      <c r="N207" s="154"/>
      <c r="P207" s="76"/>
      <c r="R207" s="109"/>
      <c r="S207" s="185"/>
      <c r="T207" s="72"/>
      <c r="U207" s="72"/>
      <c r="V207" s="185"/>
      <c r="W207" s="185"/>
      <c r="X207" s="185"/>
      <c r="Y207" s="185"/>
      <c r="Z207" s="192"/>
      <c r="AB207" s="183"/>
      <c r="AC207" s="195"/>
      <c r="AD207" s="31"/>
      <c r="AF207" s="78"/>
    </row>
    <row r="208" spans="6:32" x14ac:dyDescent="0.25">
      <c r="F208" s="117"/>
      <c r="I208" s="53"/>
      <c r="J208" s="53"/>
      <c r="K208" s="71"/>
      <c r="M208" s="1"/>
      <c r="N208" s="154"/>
      <c r="P208" s="76"/>
      <c r="R208" s="48"/>
      <c r="S208" s="185"/>
      <c r="T208" s="72"/>
      <c r="U208" s="72"/>
      <c r="V208" s="185"/>
      <c r="W208" s="185"/>
      <c r="X208" s="185"/>
      <c r="Y208" s="185"/>
      <c r="Z208" s="192"/>
      <c r="AB208" s="183"/>
      <c r="AC208" s="195"/>
      <c r="AD208" s="31"/>
      <c r="AF208" s="78"/>
    </row>
    <row r="209" spans="6:32" x14ac:dyDescent="0.25">
      <c r="F209" s="117"/>
      <c r="I209" s="53"/>
      <c r="J209" s="53"/>
      <c r="K209" s="71"/>
      <c r="M209" s="1"/>
      <c r="P209" s="76"/>
      <c r="R209" s="48"/>
      <c r="S209" s="185"/>
      <c r="T209" s="72"/>
      <c r="U209" s="72"/>
      <c r="V209" s="185"/>
      <c r="W209" s="185"/>
      <c r="X209" s="185"/>
      <c r="Y209" s="185"/>
      <c r="Z209" s="192"/>
      <c r="AB209" s="183"/>
      <c r="AC209" s="195"/>
      <c r="AD209" s="31"/>
      <c r="AF209" s="78"/>
    </row>
    <row r="210" spans="6:32" x14ac:dyDescent="0.25">
      <c r="F210" s="117"/>
    </row>
    <row r="211" spans="6:32" x14ac:dyDescent="0.25">
      <c r="F211" s="117"/>
    </row>
    <row r="212" spans="6:32" x14ac:dyDescent="0.25">
      <c r="F212" s="117"/>
    </row>
    <row r="213" spans="6:32" x14ac:dyDescent="0.25">
      <c r="F213" s="117"/>
    </row>
    <row r="214" spans="6:32" x14ac:dyDescent="0.25">
      <c r="F214" s="117"/>
    </row>
    <row r="215" spans="6:32" x14ac:dyDescent="0.25">
      <c r="F215" s="117"/>
    </row>
    <row r="216" spans="6:32" x14ac:dyDescent="0.25">
      <c r="F216" s="117"/>
    </row>
    <row r="217" spans="6:32" x14ac:dyDescent="0.25">
      <c r="F217" s="117"/>
    </row>
    <row r="218" spans="6:32" x14ac:dyDescent="0.25">
      <c r="F218" s="117"/>
    </row>
    <row r="219" spans="6:32" x14ac:dyDescent="0.25">
      <c r="F219" s="117"/>
    </row>
    <row r="220" spans="6:32" x14ac:dyDescent="0.25">
      <c r="F220" s="117"/>
    </row>
    <row r="221" spans="6:32" x14ac:dyDescent="0.25">
      <c r="F221" s="117"/>
    </row>
    <row r="224" spans="6:32" x14ac:dyDescent="0.25">
      <c r="Y224" s="70"/>
    </row>
  </sheetData>
  <autoFilter ref="A1:XEJ221" xr:uid="{C4A5EBC9-434B-4276-8C4B-35467F33AC41}"/>
  <conditionalFormatting sqref="D1">
    <cfRule type="containsText" dxfId="10544" priority="1739" operator="containsText" text="Einnahmen">
      <formula>NOT(ISERROR(SEARCH("Einnahmen",D1)))</formula>
    </cfRule>
    <cfRule type="containsText" dxfId="10543" priority="1740" operator="containsText" text="Ausgaben">
      <formula>NOT(ISERROR(SEARCH("Ausgaben",D1)))</formula>
    </cfRule>
  </conditionalFormatting>
  <conditionalFormatting sqref="B1">
    <cfRule type="expression" dxfId="10542" priority="1738">
      <formula>ISBLANK(#REF!)</formula>
    </cfRule>
  </conditionalFormatting>
  <conditionalFormatting sqref="K206 K208">
    <cfRule type="containsText" dxfId="10541" priority="1736" operator="containsText" text="Einnahmen">
      <formula>NOT(ISERROR(SEARCH("Einnahmen",K206)))</formula>
    </cfRule>
    <cfRule type="containsText" dxfId="10540" priority="1737" operator="containsText" text="Ausgaben">
      <formula>NOT(ISERROR(SEARCH("Ausgaben",K206)))</formula>
    </cfRule>
  </conditionalFormatting>
  <conditionalFormatting sqref="K205 K207 K201">
    <cfRule type="containsText" dxfId="10539" priority="1734" operator="containsText" text="Einnahmen">
      <formula>NOT(ISERROR(SEARCH("Einnahmen",K201)))</formula>
    </cfRule>
    <cfRule type="containsText" dxfId="10538" priority="1735" operator="containsText" text="Ausgaben">
      <formula>NOT(ISERROR(SEARCH("Ausgaben",K201)))</formula>
    </cfRule>
  </conditionalFormatting>
  <conditionalFormatting sqref="K202">
    <cfRule type="containsText" dxfId="10537" priority="1732" operator="containsText" text="Einnahmen">
      <formula>NOT(ISERROR(SEARCH("Einnahmen",K202)))</formula>
    </cfRule>
    <cfRule type="containsText" dxfId="10536" priority="1733" operator="containsText" text="Ausgaben">
      <formula>NOT(ISERROR(SEARCH("Ausgaben",K202)))</formula>
    </cfRule>
  </conditionalFormatting>
  <conditionalFormatting sqref="K203:K204">
    <cfRule type="containsText" dxfId="10535" priority="1730" operator="containsText" text="Einnahmen">
      <formula>NOT(ISERROR(SEARCH("Einnahmen",K203)))</formula>
    </cfRule>
    <cfRule type="containsText" dxfId="10534" priority="1731" operator="containsText" text="Ausgaben">
      <formula>NOT(ISERROR(SEARCH("Ausgaben",K203)))</formula>
    </cfRule>
  </conditionalFormatting>
  <conditionalFormatting sqref="K209">
    <cfRule type="containsText" dxfId="10533" priority="1728" operator="containsText" text="Einnahmen">
      <formula>NOT(ISERROR(SEARCH("Einnahmen",K209)))</formula>
    </cfRule>
    <cfRule type="containsText" dxfId="10532" priority="1729" operator="containsText" text="Ausgaben">
      <formula>NOT(ISERROR(SEARCH("Ausgaben",K209)))</formula>
    </cfRule>
  </conditionalFormatting>
  <conditionalFormatting sqref="P205:P209 P179:P184">
    <cfRule type="cellIs" dxfId="10531" priority="1727" operator="equal">
      <formula>"ja"</formula>
    </cfRule>
  </conditionalFormatting>
  <conditionalFormatting sqref="P201">
    <cfRule type="cellIs" dxfId="10530" priority="1726" operator="equal">
      <formula>"ja"</formula>
    </cfRule>
  </conditionalFormatting>
  <conditionalFormatting sqref="AF201">
    <cfRule type="dataBar" priority="1724">
      <dataBar>
        <cfvo type="min"/>
        <cfvo type="max"/>
        <color rgb="FF63C384"/>
      </dataBar>
      <extLst>
        <ext xmlns:x14="http://schemas.microsoft.com/office/spreadsheetml/2009/9/main" uri="{B025F937-C7B1-47D3-B67F-A62EFF666E3E}">
          <x14:id>{4F7A677D-419B-4F08-8CB4-76666067126E}</x14:id>
        </ext>
      </extLst>
    </cfRule>
  </conditionalFormatting>
  <conditionalFormatting sqref="AF201">
    <cfRule type="dataBar" priority="1723">
      <dataBar>
        <cfvo type="min"/>
        <cfvo type="max"/>
        <color rgb="FF63C384"/>
      </dataBar>
      <extLst>
        <ext xmlns:x14="http://schemas.microsoft.com/office/spreadsheetml/2009/9/main" uri="{B025F937-C7B1-47D3-B67F-A62EFF666E3E}">
          <x14:id>{866451C9-F557-45D4-910D-6FBCEA563C6E}</x14:id>
        </ext>
      </extLst>
    </cfRule>
  </conditionalFormatting>
  <conditionalFormatting sqref="P201">
    <cfRule type="cellIs" dxfId="10529" priority="1721" operator="equal">
      <formula>"ja"</formula>
    </cfRule>
  </conditionalFormatting>
  <conditionalFormatting sqref="AF201">
    <cfRule type="dataBar" priority="1720">
      <dataBar>
        <cfvo type="min"/>
        <cfvo type="max"/>
        <color rgb="FF63C384"/>
      </dataBar>
      <extLst>
        <ext xmlns:x14="http://schemas.microsoft.com/office/spreadsheetml/2009/9/main" uri="{B025F937-C7B1-47D3-B67F-A62EFF666E3E}">
          <x14:id>{D0A29C1D-1B9A-4AAB-9160-A6B3FA60E02A}</x14:id>
        </ext>
      </extLst>
    </cfRule>
  </conditionalFormatting>
  <conditionalFormatting sqref="AF201">
    <cfRule type="dataBar" priority="1719">
      <dataBar>
        <cfvo type="min"/>
        <cfvo type="max"/>
        <color rgb="FF63C384"/>
      </dataBar>
      <extLst>
        <ext xmlns:x14="http://schemas.microsoft.com/office/spreadsheetml/2009/9/main" uri="{B025F937-C7B1-47D3-B67F-A62EFF666E3E}">
          <x14:id>{FA7143F7-7254-4F62-B2B4-A60BCABC1129}</x14:id>
        </ext>
      </extLst>
    </cfRule>
  </conditionalFormatting>
  <conditionalFormatting sqref="P202">
    <cfRule type="cellIs" dxfId="10528" priority="1718" operator="equal">
      <formula>"ja"</formula>
    </cfRule>
  </conditionalFormatting>
  <conditionalFormatting sqref="AF202">
    <cfRule type="dataBar" priority="1716">
      <dataBar>
        <cfvo type="min"/>
        <cfvo type="max"/>
        <color rgb="FF63C384"/>
      </dataBar>
      <extLst>
        <ext xmlns:x14="http://schemas.microsoft.com/office/spreadsheetml/2009/9/main" uri="{B025F937-C7B1-47D3-B67F-A62EFF666E3E}">
          <x14:id>{5277BF31-A2CD-40AF-A696-43B8486318E3}</x14:id>
        </ext>
      </extLst>
    </cfRule>
  </conditionalFormatting>
  <conditionalFormatting sqref="AF202">
    <cfRule type="dataBar" priority="1715">
      <dataBar>
        <cfvo type="min"/>
        <cfvo type="max"/>
        <color rgb="FF63C384"/>
      </dataBar>
      <extLst>
        <ext xmlns:x14="http://schemas.microsoft.com/office/spreadsheetml/2009/9/main" uri="{B025F937-C7B1-47D3-B67F-A62EFF666E3E}">
          <x14:id>{79EFB1D6-4319-4E74-A17A-396613A16DF9}</x14:id>
        </ext>
      </extLst>
    </cfRule>
  </conditionalFormatting>
  <conditionalFormatting sqref="P203">
    <cfRule type="cellIs" dxfId="10527" priority="1713" operator="equal">
      <formula>"ja"</formula>
    </cfRule>
  </conditionalFormatting>
  <conditionalFormatting sqref="AF203">
    <cfRule type="dataBar" priority="1712">
      <dataBar>
        <cfvo type="min"/>
        <cfvo type="max"/>
        <color rgb="FF63C384"/>
      </dataBar>
      <extLst>
        <ext xmlns:x14="http://schemas.microsoft.com/office/spreadsheetml/2009/9/main" uri="{B025F937-C7B1-47D3-B67F-A62EFF666E3E}">
          <x14:id>{8C55AC54-B881-4356-9DC0-1CA8085D4C0E}</x14:id>
        </ext>
      </extLst>
    </cfRule>
  </conditionalFormatting>
  <conditionalFormatting sqref="AF203">
    <cfRule type="dataBar" priority="1711">
      <dataBar>
        <cfvo type="min"/>
        <cfvo type="max"/>
        <color rgb="FF63C384"/>
      </dataBar>
      <extLst>
        <ext xmlns:x14="http://schemas.microsoft.com/office/spreadsheetml/2009/9/main" uri="{B025F937-C7B1-47D3-B67F-A62EFF666E3E}">
          <x14:id>{88142C62-3AF0-4CF1-8D6A-F3F4D0A52DD4}</x14:id>
        </ext>
      </extLst>
    </cfRule>
  </conditionalFormatting>
  <conditionalFormatting sqref="P204">
    <cfRule type="cellIs" dxfId="10526" priority="1710" operator="equal">
      <formula>"ja"</formula>
    </cfRule>
  </conditionalFormatting>
  <conditionalFormatting sqref="P204">
    <cfRule type="cellIs" dxfId="10525" priority="1709" operator="equal">
      <formula>"ja"</formula>
    </cfRule>
  </conditionalFormatting>
  <conditionalFormatting sqref="AF204:AF208">
    <cfRule type="dataBar" priority="1707">
      <dataBar>
        <cfvo type="min"/>
        <cfvo type="max"/>
        <color rgb="FF63C384"/>
      </dataBar>
      <extLst>
        <ext xmlns:x14="http://schemas.microsoft.com/office/spreadsheetml/2009/9/main" uri="{B025F937-C7B1-47D3-B67F-A62EFF666E3E}">
          <x14:id>{F9577B67-6D55-42E2-910E-A1736FC5ACD8}</x14:id>
        </ext>
      </extLst>
    </cfRule>
  </conditionalFormatting>
  <conditionalFormatting sqref="AF204:AF208">
    <cfRule type="dataBar" priority="1706">
      <dataBar>
        <cfvo type="min"/>
        <cfvo type="max"/>
        <color rgb="FF63C384"/>
      </dataBar>
      <extLst>
        <ext xmlns:x14="http://schemas.microsoft.com/office/spreadsheetml/2009/9/main" uri="{B025F937-C7B1-47D3-B67F-A62EFF666E3E}">
          <x14:id>{5D11D820-EA04-45D1-8E30-C53B40A6ECB0}</x14:id>
        </ext>
      </extLst>
    </cfRule>
  </conditionalFormatting>
  <conditionalFormatting sqref="AF209">
    <cfRule type="dataBar" priority="1705">
      <dataBar>
        <cfvo type="min"/>
        <cfvo type="max"/>
        <color rgb="FF63C384"/>
      </dataBar>
      <extLst>
        <ext xmlns:x14="http://schemas.microsoft.com/office/spreadsheetml/2009/9/main" uri="{B025F937-C7B1-47D3-B67F-A62EFF666E3E}">
          <x14:id>{F1802553-9F93-4B68-A2DE-FCAEDEC16126}</x14:id>
        </ext>
      </extLst>
    </cfRule>
  </conditionalFormatting>
  <conditionalFormatting sqref="AF209">
    <cfRule type="dataBar" priority="1704">
      <dataBar>
        <cfvo type="min"/>
        <cfvo type="max"/>
        <color rgb="FF63C384"/>
      </dataBar>
      <extLst>
        <ext xmlns:x14="http://schemas.microsoft.com/office/spreadsheetml/2009/9/main" uri="{B025F937-C7B1-47D3-B67F-A62EFF666E3E}">
          <x14:id>{7A7BC77E-0562-41A1-8EEF-160AD956B576}</x14:id>
        </ext>
      </extLst>
    </cfRule>
  </conditionalFormatting>
  <conditionalFormatting sqref="AF209">
    <cfRule type="dataBar" priority="1703">
      <dataBar>
        <cfvo type="min"/>
        <cfvo type="max"/>
        <color rgb="FF63C384"/>
      </dataBar>
      <extLst>
        <ext xmlns:x14="http://schemas.microsoft.com/office/spreadsheetml/2009/9/main" uri="{B025F937-C7B1-47D3-B67F-A62EFF666E3E}">
          <x14:id>{9B4B8823-F606-46C8-97EE-B90A81682E5D}</x14:id>
        </ext>
      </extLst>
    </cfRule>
  </conditionalFormatting>
  <conditionalFormatting sqref="AF209">
    <cfRule type="dataBar" priority="1702">
      <dataBar>
        <cfvo type="min"/>
        <cfvo type="max"/>
        <color rgb="FF63C384"/>
      </dataBar>
      <extLst>
        <ext xmlns:x14="http://schemas.microsoft.com/office/spreadsheetml/2009/9/main" uri="{B025F937-C7B1-47D3-B67F-A62EFF666E3E}">
          <x14:id>{F8245DDD-57A5-4C70-A23D-8B89EAA1E30D}</x14:id>
        </ext>
      </extLst>
    </cfRule>
  </conditionalFormatting>
  <conditionalFormatting sqref="K182 K191">
    <cfRule type="containsText" dxfId="10524" priority="1700" operator="containsText" text="Einnahmen">
      <formula>NOT(ISERROR(SEARCH("Einnahmen",K182)))</formula>
    </cfRule>
    <cfRule type="containsText" dxfId="10523" priority="1701" operator="containsText" text="Ausgaben">
      <formula>NOT(ISERROR(SEARCH("Ausgaben",K182)))</formula>
    </cfRule>
  </conditionalFormatting>
  <conditionalFormatting sqref="K179">
    <cfRule type="containsText" dxfId="10522" priority="1266" operator="containsText" text="Einnahmen">
      <formula>NOT(ISERROR(SEARCH("Einnahmen",K179)))</formula>
    </cfRule>
    <cfRule type="containsText" dxfId="10521" priority="1267" operator="containsText" text="Ausgaben">
      <formula>NOT(ISERROR(SEARCH("Ausgaben",K179)))</formula>
    </cfRule>
  </conditionalFormatting>
  <conditionalFormatting sqref="K180:K181">
    <cfRule type="containsText" dxfId="10520" priority="1264" operator="containsText" text="Einnahmen">
      <formula>NOT(ISERROR(SEARCH("Einnahmen",K180)))</formula>
    </cfRule>
    <cfRule type="containsText" dxfId="10519" priority="1265" operator="containsText" text="Ausgaben">
      <formula>NOT(ISERROR(SEARCH("Ausgaben",K180)))</formula>
    </cfRule>
  </conditionalFormatting>
  <conditionalFormatting sqref="K180:K181">
    <cfRule type="containsText" dxfId="10518" priority="1262" operator="containsText" text="Einnahmen">
      <formula>NOT(ISERROR(SEARCH("Einnahmen",K180)))</formula>
    </cfRule>
    <cfRule type="containsText" dxfId="10517" priority="1263" operator="containsText" text="Ausgaben">
      <formula>NOT(ISERROR(SEARCH("Ausgaben",K180)))</formula>
    </cfRule>
  </conditionalFormatting>
  <conditionalFormatting sqref="K183:K184">
    <cfRule type="containsText" dxfId="10516" priority="1260" operator="containsText" text="Einnahmen">
      <formula>NOT(ISERROR(SEARCH("Einnahmen",K183)))</formula>
    </cfRule>
    <cfRule type="containsText" dxfId="10515" priority="1261" operator="containsText" text="Ausgaben">
      <formula>NOT(ISERROR(SEARCH("Ausgaben",K183)))</formula>
    </cfRule>
  </conditionalFormatting>
  <conditionalFormatting sqref="K185">
    <cfRule type="containsText" dxfId="10514" priority="1258" operator="containsText" text="Einnahmen">
      <formula>NOT(ISERROR(SEARCH("Einnahmen",K185)))</formula>
    </cfRule>
    <cfRule type="containsText" dxfId="10513" priority="1259" operator="containsText" text="Ausgaben">
      <formula>NOT(ISERROR(SEARCH("Ausgaben",K185)))</formula>
    </cfRule>
  </conditionalFormatting>
  <conditionalFormatting sqref="K186">
    <cfRule type="containsText" dxfId="10512" priority="1256" operator="containsText" text="Einnahmen">
      <formula>NOT(ISERROR(SEARCH("Einnahmen",K186)))</formula>
    </cfRule>
    <cfRule type="containsText" dxfId="10511" priority="1257" operator="containsText" text="Ausgaben">
      <formula>NOT(ISERROR(SEARCH("Ausgaben",K186)))</formula>
    </cfRule>
  </conditionalFormatting>
  <conditionalFormatting sqref="K187:K188">
    <cfRule type="containsText" dxfId="10510" priority="1254" operator="containsText" text="Einnahmen">
      <formula>NOT(ISERROR(SEARCH("Einnahmen",K187)))</formula>
    </cfRule>
    <cfRule type="containsText" dxfId="10509" priority="1255" operator="containsText" text="Ausgaben">
      <formula>NOT(ISERROR(SEARCH("Ausgaben",K187)))</formula>
    </cfRule>
  </conditionalFormatting>
  <conditionalFormatting sqref="K187:K188">
    <cfRule type="containsText" dxfId="10508" priority="1252" operator="containsText" text="Einnahmen">
      <formula>NOT(ISERROR(SEARCH("Einnahmen",K187)))</formula>
    </cfRule>
    <cfRule type="containsText" dxfId="10507" priority="1253" operator="containsText" text="Ausgaben">
      <formula>NOT(ISERROR(SEARCH("Ausgaben",K187)))</formula>
    </cfRule>
  </conditionalFormatting>
  <conditionalFormatting sqref="K189">
    <cfRule type="containsText" dxfId="10506" priority="1250" operator="containsText" text="Einnahmen">
      <formula>NOT(ISERROR(SEARCH("Einnahmen",K189)))</formula>
    </cfRule>
    <cfRule type="containsText" dxfId="10505" priority="1251" operator="containsText" text="Ausgaben">
      <formula>NOT(ISERROR(SEARCH("Ausgaben",K189)))</formula>
    </cfRule>
  </conditionalFormatting>
  <conditionalFormatting sqref="K189">
    <cfRule type="containsText" dxfId="10504" priority="1248" operator="containsText" text="Einnahmen">
      <formula>NOT(ISERROR(SEARCH("Einnahmen",K189)))</formula>
    </cfRule>
    <cfRule type="containsText" dxfId="10503" priority="1249" operator="containsText" text="Ausgaben">
      <formula>NOT(ISERROR(SEARCH("Ausgaben",K189)))</formula>
    </cfRule>
  </conditionalFormatting>
  <conditionalFormatting sqref="K190">
    <cfRule type="containsText" dxfId="10502" priority="1246" operator="containsText" text="Einnahmen">
      <formula>NOT(ISERROR(SEARCH("Einnahmen",K190)))</formula>
    </cfRule>
    <cfRule type="containsText" dxfId="10501" priority="1247" operator="containsText" text="Ausgaben">
      <formula>NOT(ISERROR(SEARCH("Ausgaben",K190)))</formula>
    </cfRule>
  </conditionalFormatting>
  <conditionalFormatting sqref="K191">
    <cfRule type="containsText" dxfId="10500" priority="1244" operator="containsText" text="Einnahmen">
      <formula>NOT(ISERROR(SEARCH("Einnahmen",K191)))</formula>
    </cfRule>
    <cfRule type="containsText" dxfId="10499" priority="1245" operator="containsText" text="Ausgaben">
      <formula>NOT(ISERROR(SEARCH("Ausgaben",K191)))</formula>
    </cfRule>
  </conditionalFormatting>
  <conditionalFormatting sqref="K191">
    <cfRule type="containsText" dxfId="10498" priority="1242" operator="containsText" text="Einnahmen">
      <formula>NOT(ISERROR(SEARCH("Einnahmen",K191)))</formula>
    </cfRule>
    <cfRule type="containsText" dxfId="10497" priority="1243" operator="containsText" text="Ausgaben">
      <formula>NOT(ISERROR(SEARCH("Ausgaben",K191)))</formula>
    </cfRule>
  </conditionalFormatting>
  <conditionalFormatting sqref="K192">
    <cfRule type="containsText" dxfId="10496" priority="1240" operator="containsText" text="Einnahmen">
      <formula>NOT(ISERROR(SEARCH("Einnahmen",K192)))</formula>
    </cfRule>
    <cfRule type="containsText" dxfId="10495" priority="1241" operator="containsText" text="Ausgaben">
      <formula>NOT(ISERROR(SEARCH("Ausgaben",K192)))</formula>
    </cfRule>
  </conditionalFormatting>
  <conditionalFormatting sqref="K192">
    <cfRule type="containsText" dxfId="10494" priority="1238" operator="containsText" text="Einnahmen">
      <formula>NOT(ISERROR(SEARCH("Einnahmen",K192)))</formula>
    </cfRule>
    <cfRule type="containsText" dxfId="10493" priority="1239" operator="containsText" text="Ausgaben">
      <formula>NOT(ISERROR(SEARCH("Ausgaben",K192)))</formula>
    </cfRule>
  </conditionalFormatting>
  <conditionalFormatting sqref="K192">
    <cfRule type="containsText" dxfId="10492" priority="1236" operator="containsText" text="Einnahmen">
      <formula>NOT(ISERROR(SEARCH("Einnahmen",K192)))</formula>
    </cfRule>
    <cfRule type="containsText" dxfId="10491" priority="1237" operator="containsText" text="Ausgaben">
      <formula>NOT(ISERROR(SEARCH("Ausgaben",K192)))</formula>
    </cfRule>
  </conditionalFormatting>
  <conditionalFormatting sqref="K193">
    <cfRule type="containsText" dxfId="10490" priority="1234" operator="containsText" text="Einnahmen">
      <formula>NOT(ISERROR(SEARCH("Einnahmen",K193)))</formula>
    </cfRule>
    <cfRule type="containsText" dxfId="10489" priority="1235" operator="containsText" text="Ausgaben">
      <formula>NOT(ISERROR(SEARCH("Ausgaben",K193)))</formula>
    </cfRule>
  </conditionalFormatting>
  <conditionalFormatting sqref="K193">
    <cfRule type="containsText" dxfId="10488" priority="1232" operator="containsText" text="Einnahmen">
      <formula>NOT(ISERROR(SEARCH("Einnahmen",K193)))</formula>
    </cfRule>
    <cfRule type="containsText" dxfId="10487" priority="1233" operator="containsText" text="Ausgaben">
      <formula>NOT(ISERROR(SEARCH("Ausgaben",K193)))</formula>
    </cfRule>
  </conditionalFormatting>
  <conditionalFormatting sqref="K194">
    <cfRule type="containsText" dxfId="10486" priority="1230" operator="containsText" text="Einnahmen">
      <formula>NOT(ISERROR(SEARCH("Einnahmen",K194)))</formula>
    </cfRule>
    <cfRule type="containsText" dxfId="10485" priority="1231" operator="containsText" text="Ausgaben">
      <formula>NOT(ISERROR(SEARCH("Ausgaben",K194)))</formula>
    </cfRule>
  </conditionalFormatting>
  <conditionalFormatting sqref="K194">
    <cfRule type="containsText" dxfId="10484" priority="1228" operator="containsText" text="Einnahmen">
      <formula>NOT(ISERROR(SEARCH("Einnahmen",K194)))</formula>
    </cfRule>
    <cfRule type="containsText" dxfId="10483" priority="1229" operator="containsText" text="Ausgaben">
      <formula>NOT(ISERROR(SEARCH("Ausgaben",K194)))</formula>
    </cfRule>
  </conditionalFormatting>
  <conditionalFormatting sqref="K195">
    <cfRule type="containsText" dxfId="10482" priority="1226" operator="containsText" text="Einnahmen">
      <formula>NOT(ISERROR(SEARCH("Einnahmen",K195)))</formula>
    </cfRule>
    <cfRule type="containsText" dxfId="10481" priority="1227" operator="containsText" text="Ausgaben">
      <formula>NOT(ISERROR(SEARCH("Ausgaben",K195)))</formula>
    </cfRule>
  </conditionalFormatting>
  <conditionalFormatting sqref="K196">
    <cfRule type="containsText" dxfId="10480" priority="1224" operator="containsText" text="Einnahmen">
      <formula>NOT(ISERROR(SEARCH("Einnahmen",K196)))</formula>
    </cfRule>
    <cfRule type="containsText" dxfId="10479" priority="1225" operator="containsText" text="Ausgaben">
      <formula>NOT(ISERROR(SEARCH("Ausgaben",K196)))</formula>
    </cfRule>
  </conditionalFormatting>
  <conditionalFormatting sqref="K197">
    <cfRule type="containsText" dxfId="10478" priority="1222" operator="containsText" text="Einnahmen">
      <formula>NOT(ISERROR(SEARCH("Einnahmen",K197)))</formula>
    </cfRule>
    <cfRule type="containsText" dxfId="10477" priority="1223" operator="containsText" text="Ausgaben">
      <formula>NOT(ISERROR(SEARCH("Ausgaben",K197)))</formula>
    </cfRule>
  </conditionalFormatting>
  <conditionalFormatting sqref="K197">
    <cfRule type="containsText" dxfId="10476" priority="1220" operator="containsText" text="Einnahmen">
      <formula>NOT(ISERROR(SEARCH("Einnahmen",K197)))</formula>
    </cfRule>
    <cfRule type="containsText" dxfId="10475" priority="1221" operator="containsText" text="Ausgaben">
      <formula>NOT(ISERROR(SEARCH("Ausgaben",K197)))</formula>
    </cfRule>
  </conditionalFormatting>
  <conditionalFormatting sqref="K198">
    <cfRule type="containsText" dxfId="10474" priority="1218" operator="containsText" text="Einnahmen">
      <formula>NOT(ISERROR(SEARCH("Einnahmen",K198)))</formula>
    </cfRule>
    <cfRule type="containsText" dxfId="10473" priority="1219" operator="containsText" text="Ausgaben">
      <formula>NOT(ISERROR(SEARCH("Ausgaben",K198)))</formula>
    </cfRule>
  </conditionalFormatting>
  <conditionalFormatting sqref="K198">
    <cfRule type="containsText" dxfId="10472" priority="1216" operator="containsText" text="Einnahmen">
      <formula>NOT(ISERROR(SEARCH("Einnahmen",K198)))</formula>
    </cfRule>
    <cfRule type="containsText" dxfId="10471" priority="1217" operator="containsText" text="Ausgaben">
      <formula>NOT(ISERROR(SEARCH("Ausgaben",K198)))</formula>
    </cfRule>
  </conditionalFormatting>
  <conditionalFormatting sqref="K199">
    <cfRule type="containsText" dxfId="10470" priority="1214" operator="containsText" text="Einnahmen">
      <formula>NOT(ISERROR(SEARCH("Einnahmen",K199)))</formula>
    </cfRule>
    <cfRule type="containsText" dxfId="10469" priority="1215" operator="containsText" text="Ausgaben">
      <formula>NOT(ISERROR(SEARCH("Ausgaben",K199)))</formula>
    </cfRule>
  </conditionalFormatting>
  <conditionalFormatting sqref="K199">
    <cfRule type="containsText" dxfId="10468" priority="1212" operator="containsText" text="Einnahmen">
      <formula>NOT(ISERROR(SEARCH("Einnahmen",K199)))</formula>
    </cfRule>
    <cfRule type="containsText" dxfId="10467" priority="1213" operator="containsText" text="Ausgaben">
      <formula>NOT(ISERROR(SEARCH("Ausgaben",K199)))</formula>
    </cfRule>
  </conditionalFormatting>
  <conditionalFormatting sqref="K200">
    <cfRule type="containsText" dxfId="10466" priority="1210" operator="containsText" text="Einnahmen">
      <formula>NOT(ISERROR(SEARCH("Einnahmen",K200)))</formula>
    </cfRule>
    <cfRule type="containsText" dxfId="10465" priority="1211" operator="containsText" text="Ausgaben">
      <formula>NOT(ISERROR(SEARCH("Ausgaben",K200)))</formula>
    </cfRule>
  </conditionalFormatting>
  <conditionalFormatting sqref="K200">
    <cfRule type="containsText" dxfId="10464" priority="1208" operator="containsText" text="Einnahmen">
      <formula>NOT(ISERROR(SEARCH("Einnahmen",K200)))</formula>
    </cfRule>
    <cfRule type="containsText" dxfId="10463" priority="1209" operator="containsText" text="Ausgaben">
      <formula>NOT(ISERROR(SEARCH("Ausgaben",K200)))</formula>
    </cfRule>
  </conditionalFormatting>
  <conditionalFormatting sqref="P188:P191 P193 P195:P197 P200">
    <cfRule type="cellIs" dxfId="10462" priority="1205" operator="equal">
      <formula>"ja"</formula>
    </cfRule>
  </conditionalFormatting>
  <conditionalFormatting sqref="AF126 AF182 AF138 AF55 AF17 AF59 AF141 AF171 AF190:AF191">
    <cfRule type="dataBar" priority="1204">
      <dataBar>
        <cfvo type="min"/>
        <cfvo type="max"/>
        <color rgb="FF63C384"/>
      </dataBar>
      <extLst>
        <ext xmlns:x14="http://schemas.microsoft.com/office/spreadsheetml/2009/9/main" uri="{B025F937-C7B1-47D3-B67F-A62EFF666E3E}">
          <x14:id>{5C697A74-78AE-4343-92F5-9B65E834D14B}</x14:id>
        </ext>
      </extLst>
    </cfRule>
  </conditionalFormatting>
  <conditionalFormatting sqref="AF126">
    <cfRule type="dataBar" priority="1203">
      <dataBar>
        <cfvo type="min"/>
        <cfvo type="max"/>
        <color rgb="FF63C384"/>
      </dataBar>
      <extLst>
        <ext xmlns:x14="http://schemas.microsoft.com/office/spreadsheetml/2009/9/main" uri="{B025F937-C7B1-47D3-B67F-A62EFF666E3E}">
          <x14:id>{5CE8FD56-B308-455B-95A0-B03F7692A02F}</x14:id>
        </ext>
      </extLst>
    </cfRule>
  </conditionalFormatting>
  <conditionalFormatting sqref="AF2">
    <cfRule type="dataBar" priority="1200">
      <dataBar>
        <cfvo type="min"/>
        <cfvo type="max"/>
        <color rgb="FF63C384"/>
      </dataBar>
      <extLst>
        <ext xmlns:x14="http://schemas.microsoft.com/office/spreadsheetml/2009/9/main" uri="{B025F937-C7B1-47D3-B67F-A62EFF666E3E}">
          <x14:id>{BD7CF817-2945-4295-A034-2AF66981F6A1}</x14:id>
        </ext>
      </extLst>
    </cfRule>
  </conditionalFormatting>
  <conditionalFormatting sqref="AF2">
    <cfRule type="dataBar" priority="1199">
      <dataBar>
        <cfvo type="min"/>
        <cfvo type="max"/>
        <color rgb="FF63C384"/>
      </dataBar>
      <extLst>
        <ext xmlns:x14="http://schemas.microsoft.com/office/spreadsheetml/2009/9/main" uri="{B025F937-C7B1-47D3-B67F-A62EFF666E3E}">
          <x14:id>{D9B0689F-D4AA-4FE6-A940-58A2001F1856}</x14:id>
        </ext>
      </extLst>
    </cfRule>
  </conditionalFormatting>
  <conditionalFormatting sqref="AF2">
    <cfRule type="dataBar" priority="1197">
      <dataBar>
        <cfvo type="min"/>
        <cfvo type="max"/>
        <color rgb="FF63C384"/>
      </dataBar>
      <extLst>
        <ext xmlns:x14="http://schemas.microsoft.com/office/spreadsheetml/2009/9/main" uri="{B025F937-C7B1-47D3-B67F-A62EFF666E3E}">
          <x14:id>{27B1ABA9-F63F-4C81-B1C1-01570C601C46}</x14:id>
        </ext>
      </extLst>
    </cfRule>
  </conditionalFormatting>
  <conditionalFormatting sqref="AF2">
    <cfRule type="dataBar" priority="1196">
      <dataBar>
        <cfvo type="min"/>
        <cfvo type="max"/>
        <color rgb="FF63C384"/>
      </dataBar>
      <extLst>
        <ext xmlns:x14="http://schemas.microsoft.com/office/spreadsheetml/2009/9/main" uri="{B025F937-C7B1-47D3-B67F-A62EFF666E3E}">
          <x14:id>{6F3BC39D-4D93-4D1A-86F8-E245FCFF1187}</x14:id>
        </ext>
      </extLst>
    </cfRule>
  </conditionalFormatting>
  <conditionalFormatting sqref="AF3">
    <cfRule type="dataBar" priority="1194">
      <dataBar>
        <cfvo type="min"/>
        <cfvo type="max"/>
        <color rgb="FF63C384"/>
      </dataBar>
      <extLst>
        <ext xmlns:x14="http://schemas.microsoft.com/office/spreadsheetml/2009/9/main" uri="{B025F937-C7B1-47D3-B67F-A62EFF666E3E}">
          <x14:id>{61BA02CB-6874-4373-88B2-EB2F982E0D29}</x14:id>
        </ext>
      </extLst>
    </cfRule>
  </conditionalFormatting>
  <conditionalFormatting sqref="AF3">
    <cfRule type="dataBar" priority="1193">
      <dataBar>
        <cfvo type="min"/>
        <cfvo type="max"/>
        <color rgb="FF63C384"/>
      </dataBar>
      <extLst>
        <ext xmlns:x14="http://schemas.microsoft.com/office/spreadsheetml/2009/9/main" uri="{B025F937-C7B1-47D3-B67F-A62EFF666E3E}">
          <x14:id>{22E5FF83-6F7D-4AD5-A054-3A79ADC73AC8}</x14:id>
        </ext>
      </extLst>
    </cfRule>
  </conditionalFormatting>
  <conditionalFormatting sqref="AF4">
    <cfRule type="dataBar" priority="1191">
      <dataBar>
        <cfvo type="min"/>
        <cfvo type="max"/>
        <color rgb="FF63C384"/>
      </dataBar>
      <extLst>
        <ext xmlns:x14="http://schemas.microsoft.com/office/spreadsheetml/2009/9/main" uri="{B025F937-C7B1-47D3-B67F-A62EFF666E3E}">
          <x14:id>{8C26BF8E-334A-4900-A144-EA77ED1B5EB1}</x14:id>
        </ext>
      </extLst>
    </cfRule>
  </conditionalFormatting>
  <conditionalFormatting sqref="AF4">
    <cfRule type="dataBar" priority="1190">
      <dataBar>
        <cfvo type="min"/>
        <cfvo type="max"/>
        <color rgb="FF63C384"/>
      </dataBar>
      <extLst>
        <ext xmlns:x14="http://schemas.microsoft.com/office/spreadsheetml/2009/9/main" uri="{B025F937-C7B1-47D3-B67F-A62EFF666E3E}">
          <x14:id>{798B9AFF-A26B-4EE9-A80F-3354D8749967}</x14:id>
        </ext>
      </extLst>
    </cfRule>
  </conditionalFormatting>
  <conditionalFormatting sqref="AF5">
    <cfRule type="dataBar" priority="1189">
      <dataBar>
        <cfvo type="min"/>
        <cfvo type="max"/>
        <color rgb="FF63C384"/>
      </dataBar>
      <extLst>
        <ext xmlns:x14="http://schemas.microsoft.com/office/spreadsheetml/2009/9/main" uri="{B025F937-C7B1-47D3-B67F-A62EFF666E3E}">
          <x14:id>{D701DDCE-EEC1-4D99-AE9B-ED71C593C2F3}</x14:id>
        </ext>
      </extLst>
    </cfRule>
  </conditionalFormatting>
  <conditionalFormatting sqref="AF5">
    <cfRule type="dataBar" priority="1188">
      <dataBar>
        <cfvo type="min"/>
        <cfvo type="max"/>
        <color rgb="FF63C384"/>
      </dataBar>
      <extLst>
        <ext xmlns:x14="http://schemas.microsoft.com/office/spreadsheetml/2009/9/main" uri="{B025F937-C7B1-47D3-B67F-A62EFF666E3E}">
          <x14:id>{F912F1B2-D66F-4666-93CD-1B2C32D0F6E6}</x14:id>
        </ext>
      </extLst>
    </cfRule>
  </conditionalFormatting>
  <conditionalFormatting sqref="AF6">
    <cfRule type="dataBar" priority="1185">
      <dataBar>
        <cfvo type="min"/>
        <cfvo type="max"/>
        <color rgb="FF63C384"/>
      </dataBar>
      <extLst>
        <ext xmlns:x14="http://schemas.microsoft.com/office/spreadsheetml/2009/9/main" uri="{B025F937-C7B1-47D3-B67F-A62EFF666E3E}">
          <x14:id>{6076208F-72CC-4B40-A5EA-FDA4FC0888AB}</x14:id>
        </ext>
      </extLst>
    </cfRule>
  </conditionalFormatting>
  <conditionalFormatting sqref="AF6">
    <cfRule type="dataBar" priority="1184">
      <dataBar>
        <cfvo type="min"/>
        <cfvo type="max"/>
        <color rgb="FF63C384"/>
      </dataBar>
      <extLst>
        <ext xmlns:x14="http://schemas.microsoft.com/office/spreadsheetml/2009/9/main" uri="{B025F937-C7B1-47D3-B67F-A62EFF666E3E}">
          <x14:id>{54D04FAF-14A7-4DDE-8F77-670A09B0AF32}</x14:id>
        </ext>
      </extLst>
    </cfRule>
  </conditionalFormatting>
  <conditionalFormatting sqref="AF6">
    <cfRule type="dataBar" priority="1182">
      <dataBar>
        <cfvo type="min"/>
        <cfvo type="max"/>
        <color rgb="FF63C384"/>
      </dataBar>
      <extLst>
        <ext xmlns:x14="http://schemas.microsoft.com/office/spreadsheetml/2009/9/main" uri="{B025F937-C7B1-47D3-B67F-A62EFF666E3E}">
          <x14:id>{B6D16FAD-E0DA-4695-83E8-1B1DA89778E3}</x14:id>
        </ext>
      </extLst>
    </cfRule>
  </conditionalFormatting>
  <conditionalFormatting sqref="AF6">
    <cfRule type="dataBar" priority="1181">
      <dataBar>
        <cfvo type="min"/>
        <cfvo type="max"/>
        <color rgb="FF63C384"/>
      </dataBar>
      <extLst>
        <ext xmlns:x14="http://schemas.microsoft.com/office/spreadsheetml/2009/9/main" uri="{B025F937-C7B1-47D3-B67F-A62EFF666E3E}">
          <x14:id>{6A215CEC-0138-44EE-AA94-C6486D03BA31}</x14:id>
        </ext>
      </extLst>
    </cfRule>
  </conditionalFormatting>
  <conditionalFormatting sqref="AF7">
    <cfRule type="dataBar" priority="1179">
      <dataBar>
        <cfvo type="min"/>
        <cfvo type="max"/>
        <color rgb="FF63C384"/>
      </dataBar>
      <extLst>
        <ext xmlns:x14="http://schemas.microsoft.com/office/spreadsheetml/2009/9/main" uri="{B025F937-C7B1-47D3-B67F-A62EFF666E3E}">
          <x14:id>{8D8AE452-DAB5-46DA-9FEE-63EAA2460BF9}</x14:id>
        </ext>
      </extLst>
    </cfRule>
  </conditionalFormatting>
  <conditionalFormatting sqref="AF7">
    <cfRule type="dataBar" priority="1178">
      <dataBar>
        <cfvo type="min"/>
        <cfvo type="max"/>
        <color rgb="FF63C384"/>
      </dataBar>
      <extLst>
        <ext xmlns:x14="http://schemas.microsoft.com/office/spreadsheetml/2009/9/main" uri="{B025F937-C7B1-47D3-B67F-A62EFF666E3E}">
          <x14:id>{EB1C73F4-B5ED-4146-9F31-72D781B4AA29}</x14:id>
        </ext>
      </extLst>
    </cfRule>
  </conditionalFormatting>
  <conditionalFormatting sqref="AF7">
    <cfRule type="dataBar" priority="1176">
      <dataBar>
        <cfvo type="min"/>
        <cfvo type="max"/>
        <color rgb="FF63C384"/>
      </dataBar>
      <extLst>
        <ext xmlns:x14="http://schemas.microsoft.com/office/spreadsheetml/2009/9/main" uri="{B025F937-C7B1-47D3-B67F-A62EFF666E3E}">
          <x14:id>{7CED183F-E13A-4A12-95FE-C842DC3FE443}</x14:id>
        </ext>
      </extLst>
    </cfRule>
  </conditionalFormatting>
  <conditionalFormatting sqref="AF7">
    <cfRule type="dataBar" priority="1175">
      <dataBar>
        <cfvo type="min"/>
        <cfvo type="max"/>
        <color rgb="FF63C384"/>
      </dataBar>
      <extLst>
        <ext xmlns:x14="http://schemas.microsoft.com/office/spreadsheetml/2009/9/main" uri="{B025F937-C7B1-47D3-B67F-A62EFF666E3E}">
          <x14:id>{A671C93C-75AA-45FC-8E9F-1393E71063CB}</x14:id>
        </ext>
      </extLst>
    </cfRule>
  </conditionalFormatting>
  <conditionalFormatting sqref="AF7">
    <cfRule type="dataBar" priority="1173">
      <dataBar>
        <cfvo type="min"/>
        <cfvo type="max"/>
        <color rgb="FF63C384"/>
      </dataBar>
      <extLst>
        <ext xmlns:x14="http://schemas.microsoft.com/office/spreadsheetml/2009/9/main" uri="{B025F937-C7B1-47D3-B67F-A62EFF666E3E}">
          <x14:id>{B438F267-4E3D-4061-9541-027AEEED6D16}</x14:id>
        </ext>
      </extLst>
    </cfRule>
  </conditionalFormatting>
  <conditionalFormatting sqref="AF7">
    <cfRule type="dataBar" priority="1172">
      <dataBar>
        <cfvo type="min"/>
        <cfvo type="max"/>
        <color rgb="FF63C384"/>
      </dataBar>
      <extLst>
        <ext xmlns:x14="http://schemas.microsoft.com/office/spreadsheetml/2009/9/main" uri="{B025F937-C7B1-47D3-B67F-A62EFF666E3E}">
          <x14:id>{42757FBA-72E7-4BA0-8A00-2AB67CEB372E}</x14:id>
        </ext>
      </extLst>
    </cfRule>
  </conditionalFormatting>
  <conditionalFormatting sqref="AF7">
    <cfRule type="dataBar" priority="1170">
      <dataBar>
        <cfvo type="min"/>
        <cfvo type="max"/>
        <color rgb="FF63C384"/>
      </dataBar>
      <extLst>
        <ext xmlns:x14="http://schemas.microsoft.com/office/spreadsheetml/2009/9/main" uri="{B025F937-C7B1-47D3-B67F-A62EFF666E3E}">
          <x14:id>{0ECA1C3F-9FAB-4F95-AA2C-4D66D659AE9A}</x14:id>
        </ext>
      </extLst>
    </cfRule>
  </conditionalFormatting>
  <conditionalFormatting sqref="AF7">
    <cfRule type="dataBar" priority="1169">
      <dataBar>
        <cfvo type="min"/>
        <cfvo type="max"/>
        <color rgb="FF63C384"/>
      </dataBar>
      <extLst>
        <ext xmlns:x14="http://schemas.microsoft.com/office/spreadsheetml/2009/9/main" uri="{B025F937-C7B1-47D3-B67F-A62EFF666E3E}">
          <x14:id>{DA2A8CF0-603B-4595-B7E7-E0D4291FB088}</x14:id>
        </ext>
      </extLst>
    </cfRule>
  </conditionalFormatting>
  <conditionalFormatting sqref="AF8">
    <cfRule type="dataBar" priority="1167">
      <dataBar>
        <cfvo type="min"/>
        <cfvo type="max"/>
        <color rgb="FF63C384"/>
      </dataBar>
      <extLst>
        <ext xmlns:x14="http://schemas.microsoft.com/office/spreadsheetml/2009/9/main" uri="{B025F937-C7B1-47D3-B67F-A62EFF666E3E}">
          <x14:id>{7EC793EF-E887-460C-BEC6-5CAA70ADC01D}</x14:id>
        </ext>
      </extLst>
    </cfRule>
  </conditionalFormatting>
  <conditionalFormatting sqref="AF8">
    <cfRule type="dataBar" priority="1166">
      <dataBar>
        <cfvo type="min"/>
        <cfvo type="max"/>
        <color rgb="FF63C384"/>
      </dataBar>
      <extLst>
        <ext xmlns:x14="http://schemas.microsoft.com/office/spreadsheetml/2009/9/main" uri="{B025F937-C7B1-47D3-B67F-A62EFF666E3E}">
          <x14:id>{299BB81A-A347-4334-9F4A-023EA5C87E91}</x14:id>
        </ext>
      </extLst>
    </cfRule>
  </conditionalFormatting>
  <conditionalFormatting sqref="AF8">
    <cfRule type="dataBar" priority="1165">
      <dataBar>
        <cfvo type="min"/>
        <cfvo type="max"/>
        <color rgb="FF63C384"/>
      </dataBar>
      <extLst>
        <ext xmlns:x14="http://schemas.microsoft.com/office/spreadsheetml/2009/9/main" uri="{B025F937-C7B1-47D3-B67F-A62EFF666E3E}">
          <x14:id>{0FA28291-D24E-412E-9621-E82D485BA8BD}</x14:id>
        </ext>
      </extLst>
    </cfRule>
  </conditionalFormatting>
  <conditionalFormatting sqref="AF8">
    <cfRule type="dataBar" priority="1164">
      <dataBar>
        <cfvo type="min"/>
        <cfvo type="max"/>
        <color rgb="FF63C384"/>
      </dataBar>
      <extLst>
        <ext xmlns:x14="http://schemas.microsoft.com/office/spreadsheetml/2009/9/main" uri="{B025F937-C7B1-47D3-B67F-A62EFF666E3E}">
          <x14:id>{C78FCF8B-848D-40FF-BC16-CC24EFEED08E}</x14:id>
        </ext>
      </extLst>
    </cfRule>
  </conditionalFormatting>
  <conditionalFormatting sqref="AF9">
    <cfRule type="dataBar" priority="1161">
      <dataBar>
        <cfvo type="min"/>
        <cfvo type="max"/>
        <color rgb="FF63C384"/>
      </dataBar>
      <extLst>
        <ext xmlns:x14="http://schemas.microsoft.com/office/spreadsheetml/2009/9/main" uri="{B025F937-C7B1-47D3-B67F-A62EFF666E3E}">
          <x14:id>{ADBBC8CA-7AE4-46BA-87A6-C7C695DF9E83}</x14:id>
        </ext>
      </extLst>
    </cfRule>
  </conditionalFormatting>
  <conditionalFormatting sqref="AF9">
    <cfRule type="dataBar" priority="1160">
      <dataBar>
        <cfvo type="min"/>
        <cfvo type="max"/>
        <color rgb="FF63C384"/>
      </dataBar>
      <extLst>
        <ext xmlns:x14="http://schemas.microsoft.com/office/spreadsheetml/2009/9/main" uri="{B025F937-C7B1-47D3-B67F-A62EFF666E3E}">
          <x14:id>{E6238D80-23F1-4C72-A612-C7FF40909953}</x14:id>
        </ext>
      </extLst>
    </cfRule>
  </conditionalFormatting>
  <conditionalFormatting sqref="AF9">
    <cfRule type="dataBar" priority="1158">
      <dataBar>
        <cfvo type="min"/>
        <cfvo type="max"/>
        <color rgb="FF63C384"/>
      </dataBar>
      <extLst>
        <ext xmlns:x14="http://schemas.microsoft.com/office/spreadsheetml/2009/9/main" uri="{B025F937-C7B1-47D3-B67F-A62EFF666E3E}">
          <x14:id>{5A32F958-DB5A-4085-8649-EE5812C2414F}</x14:id>
        </ext>
      </extLst>
    </cfRule>
  </conditionalFormatting>
  <conditionalFormatting sqref="AF9">
    <cfRule type="dataBar" priority="1157">
      <dataBar>
        <cfvo type="min"/>
        <cfvo type="max"/>
        <color rgb="FF63C384"/>
      </dataBar>
      <extLst>
        <ext xmlns:x14="http://schemas.microsoft.com/office/spreadsheetml/2009/9/main" uri="{B025F937-C7B1-47D3-B67F-A62EFF666E3E}">
          <x14:id>{33D313DE-BC8F-41F0-A376-3B7C734C482D}</x14:id>
        </ext>
      </extLst>
    </cfRule>
  </conditionalFormatting>
  <conditionalFormatting sqref="AF9">
    <cfRule type="dataBar" priority="1155">
      <dataBar>
        <cfvo type="min"/>
        <cfvo type="max"/>
        <color rgb="FF63C384"/>
      </dataBar>
      <extLst>
        <ext xmlns:x14="http://schemas.microsoft.com/office/spreadsheetml/2009/9/main" uri="{B025F937-C7B1-47D3-B67F-A62EFF666E3E}">
          <x14:id>{1F4CEC5A-CC15-4F87-9C04-3C2373AB2D26}</x14:id>
        </ext>
      </extLst>
    </cfRule>
  </conditionalFormatting>
  <conditionalFormatting sqref="AF9">
    <cfRule type="dataBar" priority="1154">
      <dataBar>
        <cfvo type="min"/>
        <cfvo type="max"/>
        <color rgb="FF63C384"/>
      </dataBar>
      <extLst>
        <ext xmlns:x14="http://schemas.microsoft.com/office/spreadsheetml/2009/9/main" uri="{B025F937-C7B1-47D3-B67F-A62EFF666E3E}">
          <x14:id>{C3B44999-BCE5-42B1-BFD1-4B74A8736C33}</x14:id>
        </ext>
      </extLst>
    </cfRule>
  </conditionalFormatting>
  <conditionalFormatting sqref="AF9">
    <cfRule type="dataBar" priority="1152">
      <dataBar>
        <cfvo type="min"/>
        <cfvo type="max"/>
        <color rgb="FF63C384"/>
      </dataBar>
      <extLst>
        <ext xmlns:x14="http://schemas.microsoft.com/office/spreadsheetml/2009/9/main" uri="{B025F937-C7B1-47D3-B67F-A62EFF666E3E}">
          <x14:id>{29D5D32B-2912-4E0A-B4E5-C334167B64C1}</x14:id>
        </ext>
      </extLst>
    </cfRule>
  </conditionalFormatting>
  <conditionalFormatting sqref="AF9">
    <cfRule type="dataBar" priority="1151">
      <dataBar>
        <cfvo type="min"/>
        <cfvo type="max"/>
        <color rgb="FF63C384"/>
      </dataBar>
      <extLst>
        <ext xmlns:x14="http://schemas.microsoft.com/office/spreadsheetml/2009/9/main" uri="{B025F937-C7B1-47D3-B67F-A62EFF666E3E}">
          <x14:id>{E8F479D2-AC94-4935-9B3C-AA4F9D69AAAF}</x14:id>
        </ext>
      </extLst>
    </cfRule>
  </conditionalFormatting>
  <conditionalFormatting sqref="AF10">
    <cfRule type="dataBar" priority="1150">
      <dataBar>
        <cfvo type="min"/>
        <cfvo type="max"/>
        <color rgb="FF63C384"/>
      </dataBar>
      <extLst>
        <ext xmlns:x14="http://schemas.microsoft.com/office/spreadsheetml/2009/9/main" uri="{B025F937-C7B1-47D3-B67F-A62EFF666E3E}">
          <x14:id>{E1FF81BD-8CEE-466F-950B-3DBFD00AE31E}</x14:id>
        </ext>
      </extLst>
    </cfRule>
  </conditionalFormatting>
  <conditionalFormatting sqref="AF10">
    <cfRule type="dataBar" priority="1149">
      <dataBar>
        <cfvo type="min"/>
        <cfvo type="max"/>
        <color rgb="FF63C384"/>
      </dataBar>
      <extLst>
        <ext xmlns:x14="http://schemas.microsoft.com/office/spreadsheetml/2009/9/main" uri="{B025F937-C7B1-47D3-B67F-A62EFF666E3E}">
          <x14:id>{C7EFED2D-6C76-40C9-BC00-92F630531087}</x14:id>
        </ext>
      </extLst>
    </cfRule>
  </conditionalFormatting>
  <conditionalFormatting sqref="AF10">
    <cfRule type="dataBar" priority="1147">
      <dataBar>
        <cfvo type="min"/>
        <cfvo type="max"/>
        <color rgb="FF63C384"/>
      </dataBar>
      <extLst>
        <ext xmlns:x14="http://schemas.microsoft.com/office/spreadsheetml/2009/9/main" uri="{B025F937-C7B1-47D3-B67F-A62EFF666E3E}">
          <x14:id>{C430204F-BDDC-44D0-8850-C7A04F2B54B5}</x14:id>
        </ext>
      </extLst>
    </cfRule>
  </conditionalFormatting>
  <conditionalFormatting sqref="AF10">
    <cfRule type="dataBar" priority="1146">
      <dataBar>
        <cfvo type="min"/>
        <cfvo type="max"/>
        <color rgb="FF63C384"/>
      </dataBar>
      <extLst>
        <ext xmlns:x14="http://schemas.microsoft.com/office/spreadsheetml/2009/9/main" uri="{B025F937-C7B1-47D3-B67F-A62EFF666E3E}">
          <x14:id>{8794C194-A354-4C46-B908-08B72C21FE8B}</x14:id>
        </ext>
      </extLst>
    </cfRule>
  </conditionalFormatting>
  <conditionalFormatting sqref="AF11">
    <cfRule type="dataBar" priority="1144">
      <dataBar>
        <cfvo type="min"/>
        <cfvo type="max"/>
        <color rgb="FF63C384"/>
      </dataBar>
      <extLst>
        <ext xmlns:x14="http://schemas.microsoft.com/office/spreadsheetml/2009/9/main" uri="{B025F937-C7B1-47D3-B67F-A62EFF666E3E}">
          <x14:id>{7B81A840-378E-4DBD-9962-8D1DC1608B56}</x14:id>
        </ext>
      </extLst>
    </cfRule>
  </conditionalFormatting>
  <conditionalFormatting sqref="AF11">
    <cfRule type="dataBar" priority="1143">
      <dataBar>
        <cfvo type="min"/>
        <cfvo type="max"/>
        <color rgb="FF63C384"/>
      </dataBar>
      <extLst>
        <ext xmlns:x14="http://schemas.microsoft.com/office/spreadsheetml/2009/9/main" uri="{B025F937-C7B1-47D3-B67F-A62EFF666E3E}">
          <x14:id>{E44A95C1-24B9-4AC0-A556-D0F6064C2E96}</x14:id>
        </ext>
      </extLst>
    </cfRule>
  </conditionalFormatting>
  <conditionalFormatting sqref="AF11">
    <cfRule type="dataBar" priority="1141">
      <dataBar>
        <cfvo type="min"/>
        <cfvo type="max"/>
        <color rgb="FF63C384"/>
      </dataBar>
      <extLst>
        <ext xmlns:x14="http://schemas.microsoft.com/office/spreadsheetml/2009/9/main" uri="{B025F937-C7B1-47D3-B67F-A62EFF666E3E}">
          <x14:id>{A9365222-BD51-4A40-A8A5-86F051ADCF8F}</x14:id>
        </ext>
      </extLst>
    </cfRule>
  </conditionalFormatting>
  <conditionalFormatting sqref="AF11">
    <cfRule type="dataBar" priority="1140">
      <dataBar>
        <cfvo type="min"/>
        <cfvo type="max"/>
        <color rgb="FF63C384"/>
      </dataBar>
      <extLst>
        <ext xmlns:x14="http://schemas.microsoft.com/office/spreadsheetml/2009/9/main" uri="{B025F937-C7B1-47D3-B67F-A62EFF666E3E}">
          <x14:id>{FF25A3C4-5A25-412C-BA4F-375091D921AE}</x14:id>
        </ext>
      </extLst>
    </cfRule>
  </conditionalFormatting>
  <conditionalFormatting sqref="AF12">
    <cfRule type="dataBar" priority="1138">
      <dataBar>
        <cfvo type="min"/>
        <cfvo type="max"/>
        <color rgb="FF63C384"/>
      </dataBar>
      <extLst>
        <ext xmlns:x14="http://schemas.microsoft.com/office/spreadsheetml/2009/9/main" uri="{B025F937-C7B1-47D3-B67F-A62EFF666E3E}">
          <x14:id>{9559344B-BF80-46CC-A8BE-06947EEF163A}</x14:id>
        </ext>
      </extLst>
    </cfRule>
  </conditionalFormatting>
  <conditionalFormatting sqref="AF12">
    <cfRule type="dataBar" priority="1137">
      <dataBar>
        <cfvo type="min"/>
        <cfvo type="max"/>
        <color rgb="FF63C384"/>
      </dataBar>
      <extLst>
        <ext xmlns:x14="http://schemas.microsoft.com/office/spreadsheetml/2009/9/main" uri="{B025F937-C7B1-47D3-B67F-A62EFF666E3E}">
          <x14:id>{3594C657-C164-4993-B52B-4BDD173B678A}</x14:id>
        </ext>
      </extLst>
    </cfRule>
  </conditionalFormatting>
  <conditionalFormatting sqref="AF12">
    <cfRule type="dataBar" priority="1135">
      <dataBar>
        <cfvo type="min"/>
        <cfvo type="max"/>
        <color rgb="FF63C384"/>
      </dataBar>
      <extLst>
        <ext xmlns:x14="http://schemas.microsoft.com/office/spreadsheetml/2009/9/main" uri="{B025F937-C7B1-47D3-B67F-A62EFF666E3E}">
          <x14:id>{E4A02D7D-9807-489E-964B-4831183D7D13}</x14:id>
        </ext>
      </extLst>
    </cfRule>
  </conditionalFormatting>
  <conditionalFormatting sqref="AF12">
    <cfRule type="dataBar" priority="1134">
      <dataBar>
        <cfvo type="min"/>
        <cfvo type="max"/>
        <color rgb="FF63C384"/>
      </dataBar>
      <extLst>
        <ext xmlns:x14="http://schemas.microsoft.com/office/spreadsheetml/2009/9/main" uri="{B025F937-C7B1-47D3-B67F-A62EFF666E3E}">
          <x14:id>{8A9FD555-896E-474B-A920-A38C55610EC0}</x14:id>
        </ext>
      </extLst>
    </cfRule>
  </conditionalFormatting>
  <conditionalFormatting sqref="AF12">
    <cfRule type="dataBar" priority="1132">
      <dataBar>
        <cfvo type="min"/>
        <cfvo type="max"/>
        <color rgb="FF63C384"/>
      </dataBar>
      <extLst>
        <ext xmlns:x14="http://schemas.microsoft.com/office/spreadsheetml/2009/9/main" uri="{B025F937-C7B1-47D3-B67F-A62EFF666E3E}">
          <x14:id>{82D330A8-B3FA-4A73-893B-E8C4E8C0CD49}</x14:id>
        </ext>
      </extLst>
    </cfRule>
  </conditionalFormatting>
  <conditionalFormatting sqref="AF12">
    <cfRule type="dataBar" priority="1131">
      <dataBar>
        <cfvo type="min"/>
        <cfvo type="max"/>
        <color rgb="FF63C384"/>
      </dataBar>
      <extLst>
        <ext xmlns:x14="http://schemas.microsoft.com/office/spreadsheetml/2009/9/main" uri="{B025F937-C7B1-47D3-B67F-A62EFF666E3E}">
          <x14:id>{6E2116AE-2192-4797-AA17-0376DF6F4F08}</x14:id>
        </ext>
      </extLst>
    </cfRule>
  </conditionalFormatting>
  <conditionalFormatting sqref="AF13">
    <cfRule type="dataBar" priority="1130">
      <dataBar>
        <cfvo type="min"/>
        <cfvo type="max"/>
        <color rgb="FF63C384"/>
      </dataBar>
      <extLst>
        <ext xmlns:x14="http://schemas.microsoft.com/office/spreadsheetml/2009/9/main" uri="{B025F937-C7B1-47D3-B67F-A62EFF666E3E}">
          <x14:id>{7CFB8A24-86A3-41B0-9F38-660ECD3691EA}</x14:id>
        </ext>
      </extLst>
    </cfRule>
  </conditionalFormatting>
  <conditionalFormatting sqref="AF13">
    <cfRule type="dataBar" priority="1129">
      <dataBar>
        <cfvo type="min"/>
        <cfvo type="max"/>
        <color rgb="FF63C384"/>
      </dataBar>
      <extLst>
        <ext xmlns:x14="http://schemas.microsoft.com/office/spreadsheetml/2009/9/main" uri="{B025F937-C7B1-47D3-B67F-A62EFF666E3E}">
          <x14:id>{6CF6E3A1-CC40-4C87-9F8C-1BE888C40E3D}</x14:id>
        </ext>
      </extLst>
    </cfRule>
  </conditionalFormatting>
  <conditionalFormatting sqref="AF13">
    <cfRule type="dataBar" priority="1128">
      <dataBar>
        <cfvo type="min"/>
        <cfvo type="max"/>
        <color rgb="FF63C384"/>
      </dataBar>
      <extLst>
        <ext xmlns:x14="http://schemas.microsoft.com/office/spreadsheetml/2009/9/main" uri="{B025F937-C7B1-47D3-B67F-A62EFF666E3E}">
          <x14:id>{B6DC169A-0BB5-4828-BF42-5C1A798B39D9}</x14:id>
        </ext>
      </extLst>
    </cfRule>
  </conditionalFormatting>
  <conditionalFormatting sqref="AF13">
    <cfRule type="dataBar" priority="1127">
      <dataBar>
        <cfvo type="min"/>
        <cfvo type="max"/>
        <color rgb="FF63C384"/>
      </dataBar>
      <extLst>
        <ext xmlns:x14="http://schemas.microsoft.com/office/spreadsheetml/2009/9/main" uri="{B025F937-C7B1-47D3-B67F-A62EFF666E3E}">
          <x14:id>{31F35B80-4F64-420D-A027-3EB699B38611}</x14:id>
        </ext>
      </extLst>
    </cfRule>
  </conditionalFormatting>
  <conditionalFormatting sqref="AF14:AF15">
    <cfRule type="dataBar" priority="1125">
      <dataBar>
        <cfvo type="min"/>
        <cfvo type="max"/>
        <color rgb="FF63C384"/>
      </dataBar>
      <extLst>
        <ext xmlns:x14="http://schemas.microsoft.com/office/spreadsheetml/2009/9/main" uri="{B025F937-C7B1-47D3-B67F-A62EFF666E3E}">
          <x14:id>{D1B1ED67-2EF9-4214-9790-512323A95B6B}</x14:id>
        </ext>
      </extLst>
    </cfRule>
  </conditionalFormatting>
  <conditionalFormatting sqref="AF14:AF15">
    <cfRule type="dataBar" priority="1124">
      <dataBar>
        <cfvo type="min"/>
        <cfvo type="max"/>
        <color rgb="FF63C384"/>
      </dataBar>
      <extLst>
        <ext xmlns:x14="http://schemas.microsoft.com/office/spreadsheetml/2009/9/main" uri="{B025F937-C7B1-47D3-B67F-A62EFF666E3E}">
          <x14:id>{31177625-D921-4423-ACA5-46469DDF9CCA}</x14:id>
        </ext>
      </extLst>
    </cfRule>
  </conditionalFormatting>
  <conditionalFormatting sqref="AF16">
    <cfRule type="dataBar" priority="1120">
      <dataBar>
        <cfvo type="min"/>
        <cfvo type="max"/>
        <color rgb="FF63C384"/>
      </dataBar>
      <extLst>
        <ext xmlns:x14="http://schemas.microsoft.com/office/spreadsheetml/2009/9/main" uri="{B025F937-C7B1-47D3-B67F-A62EFF666E3E}">
          <x14:id>{CF8BC346-853C-4C62-AC98-03818A07047D}</x14:id>
        </ext>
      </extLst>
    </cfRule>
  </conditionalFormatting>
  <conditionalFormatting sqref="AF16">
    <cfRule type="dataBar" priority="1119">
      <dataBar>
        <cfvo type="min"/>
        <cfvo type="max"/>
        <color rgb="FF63C384"/>
      </dataBar>
      <extLst>
        <ext xmlns:x14="http://schemas.microsoft.com/office/spreadsheetml/2009/9/main" uri="{B025F937-C7B1-47D3-B67F-A62EFF666E3E}">
          <x14:id>{11BAA0C2-ABB8-4194-844F-3F154110ABC2}</x14:id>
        </ext>
      </extLst>
    </cfRule>
  </conditionalFormatting>
  <conditionalFormatting sqref="AF16">
    <cfRule type="dataBar" priority="1118">
      <dataBar>
        <cfvo type="min"/>
        <cfvo type="max"/>
        <color rgb="FF63C384"/>
      </dataBar>
      <extLst>
        <ext xmlns:x14="http://schemas.microsoft.com/office/spreadsheetml/2009/9/main" uri="{B025F937-C7B1-47D3-B67F-A62EFF666E3E}">
          <x14:id>{80518FBA-51E8-43EE-82F8-68B545C81E11}</x14:id>
        </ext>
      </extLst>
    </cfRule>
  </conditionalFormatting>
  <conditionalFormatting sqref="AF16">
    <cfRule type="dataBar" priority="1117">
      <dataBar>
        <cfvo type="min"/>
        <cfvo type="max"/>
        <color rgb="FF63C384"/>
      </dataBar>
      <extLst>
        <ext xmlns:x14="http://schemas.microsoft.com/office/spreadsheetml/2009/9/main" uri="{B025F937-C7B1-47D3-B67F-A62EFF666E3E}">
          <x14:id>{DD23B0D5-839C-490E-9AC7-12B393F994EF}</x14:id>
        </ext>
      </extLst>
    </cfRule>
  </conditionalFormatting>
  <conditionalFormatting sqref="AF18">
    <cfRule type="dataBar" priority="1114">
      <dataBar>
        <cfvo type="min"/>
        <cfvo type="max"/>
        <color rgb="FF63C384"/>
      </dataBar>
      <extLst>
        <ext xmlns:x14="http://schemas.microsoft.com/office/spreadsheetml/2009/9/main" uri="{B025F937-C7B1-47D3-B67F-A62EFF666E3E}">
          <x14:id>{7F74FF78-C11F-4D90-A655-544A993672B6}</x14:id>
        </ext>
      </extLst>
    </cfRule>
  </conditionalFormatting>
  <conditionalFormatting sqref="AF18">
    <cfRule type="dataBar" priority="1113">
      <dataBar>
        <cfvo type="min"/>
        <cfvo type="max"/>
        <color rgb="FF63C384"/>
      </dataBar>
      <extLst>
        <ext xmlns:x14="http://schemas.microsoft.com/office/spreadsheetml/2009/9/main" uri="{B025F937-C7B1-47D3-B67F-A62EFF666E3E}">
          <x14:id>{E39BC184-033C-46F7-8458-2A1FBA0D7FC9}</x14:id>
        </ext>
      </extLst>
    </cfRule>
  </conditionalFormatting>
  <conditionalFormatting sqref="AF19">
    <cfRule type="dataBar" priority="1112">
      <dataBar>
        <cfvo type="min"/>
        <cfvo type="max"/>
        <color rgb="FF63C384"/>
      </dataBar>
      <extLst>
        <ext xmlns:x14="http://schemas.microsoft.com/office/spreadsheetml/2009/9/main" uri="{B025F937-C7B1-47D3-B67F-A62EFF666E3E}">
          <x14:id>{35C5572B-A240-42A4-8A58-8FD6505F8BEE}</x14:id>
        </ext>
      </extLst>
    </cfRule>
  </conditionalFormatting>
  <conditionalFormatting sqref="AF19">
    <cfRule type="dataBar" priority="1111">
      <dataBar>
        <cfvo type="min"/>
        <cfvo type="max"/>
        <color rgb="FF63C384"/>
      </dataBar>
      <extLst>
        <ext xmlns:x14="http://schemas.microsoft.com/office/spreadsheetml/2009/9/main" uri="{B025F937-C7B1-47D3-B67F-A62EFF666E3E}">
          <x14:id>{0F686320-5E33-4068-B7AE-280E11974DDC}</x14:id>
        </ext>
      </extLst>
    </cfRule>
  </conditionalFormatting>
  <conditionalFormatting sqref="AF20">
    <cfRule type="dataBar" priority="1110">
      <dataBar>
        <cfvo type="min"/>
        <cfvo type="max"/>
        <color rgb="FF63C384"/>
      </dataBar>
      <extLst>
        <ext xmlns:x14="http://schemas.microsoft.com/office/spreadsheetml/2009/9/main" uri="{B025F937-C7B1-47D3-B67F-A62EFF666E3E}">
          <x14:id>{205CB1D1-9C6D-4451-911C-8943A5549908}</x14:id>
        </ext>
      </extLst>
    </cfRule>
  </conditionalFormatting>
  <conditionalFormatting sqref="AF20">
    <cfRule type="dataBar" priority="1109">
      <dataBar>
        <cfvo type="min"/>
        <cfvo type="max"/>
        <color rgb="FF63C384"/>
      </dataBar>
      <extLst>
        <ext xmlns:x14="http://schemas.microsoft.com/office/spreadsheetml/2009/9/main" uri="{B025F937-C7B1-47D3-B67F-A62EFF666E3E}">
          <x14:id>{DB4F1666-1D74-4D71-96DF-69689AB84CF7}</x14:id>
        </ext>
      </extLst>
    </cfRule>
  </conditionalFormatting>
  <conditionalFormatting sqref="AF21">
    <cfRule type="dataBar" priority="1106">
      <dataBar>
        <cfvo type="min"/>
        <cfvo type="max"/>
        <color rgb="FF63C384"/>
      </dataBar>
      <extLst>
        <ext xmlns:x14="http://schemas.microsoft.com/office/spreadsheetml/2009/9/main" uri="{B025F937-C7B1-47D3-B67F-A62EFF666E3E}">
          <x14:id>{3B801449-8180-4D2B-90B1-4B3897F22078}</x14:id>
        </ext>
      </extLst>
    </cfRule>
  </conditionalFormatting>
  <conditionalFormatting sqref="AF21">
    <cfRule type="dataBar" priority="1105">
      <dataBar>
        <cfvo type="min"/>
        <cfvo type="max"/>
        <color rgb="FF63C384"/>
      </dataBar>
      <extLst>
        <ext xmlns:x14="http://schemas.microsoft.com/office/spreadsheetml/2009/9/main" uri="{B025F937-C7B1-47D3-B67F-A62EFF666E3E}">
          <x14:id>{47581C7F-E889-4E5A-9E20-290E3DFEFDA5}</x14:id>
        </ext>
      </extLst>
    </cfRule>
  </conditionalFormatting>
  <conditionalFormatting sqref="AF22">
    <cfRule type="dataBar" priority="1103">
      <dataBar>
        <cfvo type="min"/>
        <cfvo type="max"/>
        <color rgb="FF63C384"/>
      </dataBar>
      <extLst>
        <ext xmlns:x14="http://schemas.microsoft.com/office/spreadsheetml/2009/9/main" uri="{B025F937-C7B1-47D3-B67F-A62EFF666E3E}">
          <x14:id>{2E7A49E0-F8CA-4AF7-A694-B779BE13C124}</x14:id>
        </ext>
      </extLst>
    </cfRule>
  </conditionalFormatting>
  <conditionalFormatting sqref="AF22">
    <cfRule type="dataBar" priority="1102">
      <dataBar>
        <cfvo type="min"/>
        <cfvo type="max"/>
        <color rgb="FF63C384"/>
      </dataBar>
      <extLst>
        <ext xmlns:x14="http://schemas.microsoft.com/office/spreadsheetml/2009/9/main" uri="{B025F937-C7B1-47D3-B67F-A62EFF666E3E}">
          <x14:id>{55A4AD18-77E5-45CD-80F0-A36D8570E20A}</x14:id>
        </ext>
      </extLst>
    </cfRule>
  </conditionalFormatting>
  <conditionalFormatting sqref="AF23">
    <cfRule type="dataBar" priority="1100">
      <dataBar>
        <cfvo type="min"/>
        <cfvo type="max"/>
        <color rgb="FF63C384"/>
      </dataBar>
      <extLst>
        <ext xmlns:x14="http://schemas.microsoft.com/office/spreadsheetml/2009/9/main" uri="{B025F937-C7B1-47D3-B67F-A62EFF666E3E}">
          <x14:id>{E0879053-27C9-4273-A9F5-D7F5CA93A13E}</x14:id>
        </ext>
      </extLst>
    </cfRule>
  </conditionalFormatting>
  <conditionalFormatting sqref="AF23">
    <cfRule type="dataBar" priority="1099">
      <dataBar>
        <cfvo type="min"/>
        <cfvo type="max"/>
        <color rgb="FF63C384"/>
      </dataBar>
      <extLst>
        <ext xmlns:x14="http://schemas.microsoft.com/office/spreadsheetml/2009/9/main" uri="{B025F937-C7B1-47D3-B67F-A62EFF666E3E}">
          <x14:id>{713BF5E2-2966-422E-B704-2AC1C151713C}</x14:id>
        </ext>
      </extLst>
    </cfRule>
  </conditionalFormatting>
  <conditionalFormatting sqref="AF23">
    <cfRule type="dataBar" priority="1097">
      <dataBar>
        <cfvo type="min"/>
        <cfvo type="max"/>
        <color rgb="FF63C384"/>
      </dataBar>
      <extLst>
        <ext xmlns:x14="http://schemas.microsoft.com/office/spreadsheetml/2009/9/main" uri="{B025F937-C7B1-47D3-B67F-A62EFF666E3E}">
          <x14:id>{E48C22E5-1ED5-4115-8C6B-9B698B3B930F}</x14:id>
        </ext>
      </extLst>
    </cfRule>
  </conditionalFormatting>
  <conditionalFormatting sqref="AF23">
    <cfRule type="dataBar" priority="1096">
      <dataBar>
        <cfvo type="min"/>
        <cfvo type="max"/>
        <color rgb="FF63C384"/>
      </dataBar>
      <extLst>
        <ext xmlns:x14="http://schemas.microsoft.com/office/spreadsheetml/2009/9/main" uri="{B025F937-C7B1-47D3-B67F-A62EFF666E3E}">
          <x14:id>{AED782E2-6818-4D35-9E49-100D1D88F686}</x14:id>
        </ext>
      </extLst>
    </cfRule>
  </conditionalFormatting>
  <conditionalFormatting sqref="AF24:AF25">
    <cfRule type="dataBar" priority="1094">
      <dataBar>
        <cfvo type="min"/>
        <cfvo type="max"/>
        <color rgb="FF63C384"/>
      </dataBar>
      <extLst>
        <ext xmlns:x14="http://schemas.microsoft.com/office/spreadsheetml/2009/9/main" uri="{B025F937-C7B1-47D3-B67F-A62EFF666E3E}">
          <x14:id>{72FF6C58-4F1F-45EB-BA77-7B36EF94273A}</x14:id>
        </ext>
      </extLst>
    </cfRule>
  </conditionalFormatting>
  <conditionalFormatting sqref="AF24:AF25">
    <cfRule type="dataBar" priority="1093">
      <dataBar>
        <cfvo type="min"/>
        <cfvo type="max"/>
        <color rgb="FF63C384"/>
      </dataBar>
      <extLst>
        <ext xmlns:x14="http://schemas.microsoft.com/office/spreadsheetml/2009/9/main" uri="{B025F937-C7B1-47D3-B67F-A62EFF666E3E}">
          <x14:id>{95C460E1-55E1-4E50-938B-6AE18171C4B4}</x14:id>
        </ext>
      </extLst>
    </cfRule>
  </conditionalFormatting>
  <conditionalFormatting sqref="AF24:AF25">
    <cfRule type="dataBar" priority="1091">
      <dataBar>
        <cfvo type="min"/>
        <cfvo type="max"/>
        <color rgb="FF63C384"/>
      </dataBar>
      <extLst>
        <ext xmlns:x14="http://schemas.microsoft.com/office/spreadsheetml/2009/9/main" uri="{B025F937-C7B1-47D3-B67F-A62EFF666E3E}">
          <x14:id>{96DD96CA-77C3-4CAE-BD21-18866F53492B}</x14:id>
        </ext>
      </extLst>
    </cfRule>
  </conditionalFormatting>
  <conditionalFormatting sqref="AF24:AF25">
    <cfRule type="dataBar" priority="1090">
      <dataBar>
        <cfvo type="min"/>
        <cfvo type="max"/>
        <color rgb="FF63C384"/>
      </dataBar>
      <extLst>
        <ext xmlns:x14="http://schemas.microsoft.com/office/spreadsheetml/2009/9/main" uri="{B025F937-C7B1-47D3-B67F-A62EFF666E3E}">
          <x14:id>{8A3926D9-21A8-47DF-91D7-B39FF6ED8FC6}</x14:id>
        </ext>
      </extLst>
    </cfRule>
  </conditionalFormatting>
  <conditionalFormatting sqref="AF24:AF25">
    <cfRule type="dataBar" priority="1088">
      <dataBar>
        <cfvo type="min"/>
        <cfvo type="max"/>
        <color rgb="FF63C384"/>
      </dataBar>
      <extLst>
        <ext xmlns:x14="http://schemas.microsoft.com/office/spreadsheetml/2009/9/main" uri="{B025F937-C7B1-47D3-B67F-A62EFF666E3E}">
          <x14:id>{973772C7-FE25-4DBF-8D47-871E8E802B47}</x14:id>
        </ext>
      </extLst>
    </cfRule>
  </conditionalFormatting>
  <conditionalFormatting sqref="AF24:AF25">
    <cfRule type="dataBar" priority="1087">
      <dataBar>
        <cfvo type="min"/>
        <cfvo type="max"/>
        <color rgb="FF63C384"/>
      </dataBar>
      <extLst>
        <ext xmlns:x14="http://schemas.microsoft.com/office/spreadsheetml/2009/9/main" uri="{B025F937-C7B1-47D3-B67F-A62EFF666E3E}">
          <x14:id>{C1BB2326-C142-433A-A664-BA0AD99A9ECC}</x14:id>
        </ext>
      </extLst>
    </cfRule>
  </conditionalFormatting>
  <conditionalFormatting sqref="AF24:AF25">
    <cfRule type="dataBar" priority="1085">
      <dataBar>
        <cfvo type="min"/>
        <cfvo type="max"/>
        <color rgb="FF63C384"/>
      </dataBar>
      <extLst>
        <ext xmlns:x14="http://schemas.microsoft.com/office/spreadsheetml/2009/9/main" uri="{B025F937-C7B1-47D3-B67F-A62EFF666E3E}">
          <x14:id>{DF1361CB-3A82-43BF-83D3-2601A1B55759}</x14:id>
        </ext>
      </extLst>
    </cfRule>
  </conditionalFormatting>
  <conditionalFormatting sqref="AF24:AF25">
    <cfRule type="dataBar" priority="1084">
      <dataBar>
        <cfvo type="min"/>
        <cfvo type="max"/>
        <color rgb="FF63C384"/>
      </dataBar>
      <extLst>
        <ext xmlns:x14="http://schemas.microsoft.com/office/spreadsheetml/2009/9/main" uri="{B025F937-C7B1-47D3-B67F-A62EFF666E3E}">
          <x14:id>{61695D4D-66E4-49AE-9819-963A3B4F7B8C}</x14:id>
        </ext>
      </extLst>
    </cfRule>
  </conditionalFormatting>
  <conditionalFormatting sqref="AF26">
    <cfRule type="dataBar" priority="1083">
      <dataBar>
        <cfvo type="min"/>
        <cfvo type="max"/>
        <color rgb="FF63C384"/>
      </dataBar>
      <extLst>
        <ext xmlns:x14="http://schemas.microsoft.com/office/spreadsheetml/2009/9/main" uri="{B025F937-C7B1-47D3-B67F-A62EFF666E3E}">
          <x14:id>{291FC0D0-DEBC-4E5D-BA0D-C50E71E5355C}</x14:id>
        </ext>
      </extLst>
    </cfRule>
  </conditionalFormatting>
  <conditionalFormatting sqref="AF26">
    <cfRule type="dataBar" priority="1082">
      <dataBar>
        <cfvo type="min"/>
        <cfvo type="max"/>
        <color rgb="FF63C384"/>
      </dataBar>
      <extLst>
        <ext xmlns:x14="http://schemas.microsoft.com/office/spreadsheetml/2009/9/main" uri="{B025F937-C7B1-47D3-B67F-A62EFF666E3E}">
          <x14:id>{4C1FD499-71E5-4E20-B3CE-07B16D90E772}</x14:id>
        </ext>
      </extLst>
    </cfRule>
  </conditionalFormatting>
  <conditionalFormatting sqref="AF26">
    <cfRule type="dataBar" priority="1081">
      <dataBar>
        <cfvo type="min"/>
        <cfvo type="max"/>
        <color rgb="FF63C384"/>
      </dataBar>
      <extLst>
        <ext xmlns:x14="http://schemas.microsoft.com/office/spreadsheetml/2009/9/main" uri="{B025F937-C7B1-47D3-B67F-A62EFF666E3E}">
          <x14:id>{5A33CF17-D823-4D81-B3DF-719A853FDEB2}</x14:id>
        </ext>
      </extLst>
    </cfRule>
  </conditionalFormatting>
  <conditionalFormatting sqref="AF26">
    <cfRule type="dataBar" priority="1080">
      <dataBar>
        <cfvo type="min"/>
        <cfvo type="max"/>
        <color rgb="FF63C384"/>
      </dataBar>
      <extLst>
        <ext xmlns:x14="http://schemas.microsoft.com/office/spreadsheetml/2009/9/main" uri="{B025F937-C7B1-47D3-B67F-A62EFF666E3E}">
          <x14:id>{72920243-3E94-4E93-B7F7-512CACD2D777}</x14:id>
        </ext>
      </extLst>
    </cfRule>
  </conditionalFormatting>
  <conditionalFormatting sqref="AF27:AF28">
    <cfRule type="dataBar" priority="1079">
      <dataBar>
        <cfvo type="min"/>
        <cfvo type="max"/>
        <color rgb="FF63C384"/>
      </dataBar>
      <extLst>
        <ext xmlns:x14="http://schemas.microsoft.com/office/spreadsheetml/2009/9/main" uri="{B025F937-C7B1-47D3-B67F-A62EFF666E3E}">
          <x14:id>{C108D821-F1C0-435F-AD47-2C2537159577}</x14:id>
        </ext>
      </extLst>
    </cfRule>
  </conditionalFormatting>
  <conditionalFormatting sqref="AF27:AF28">
    <cfRule type="dataBar" priority="1078">
      <dataBar>
        <cfvo type="min"/>
        <cfvo type="max"/>
        <color rgb="FF63C384"/>
      </dataBar>
      <extLst>
        <ext xmlns:x14="http://schemas.microsoft.com/office/spreadsheetml/2009/9/main" uri="{B025F937-C7B1-47D3-B67F-A62EFF666E3E}">
          <x14:id>{188CACE0-4638-449E-AC6A-6810A2509419}</x14:id>
        </ext>
      </extLst>
    </cfRule>
  </conditionalFormatting>
  <conditionalFormatting sqref="AF29">
    <cfRule type="dataBar" priority="1076">
      <dataBar>
        <cfvo type="min"/>
        <cfvo type="max"/>
        <color rgb="FF63C384"/>
      </dataBar>
      <extLst>
        <ext xmlns:x14="http://schemas.microsoft.com/office/spreadsheetml/2009/9/main" uri="{B025F937-C7B1-47D3-B67F-A62EFF666E3E}">
          <x14:id>{FAECE94C-0F41-4661-BF89-605C031FCA0D}</x14:id>
        </ext>
      </extLst>
    </cfRule>
  </conditionalFormatting>
  <conditionalFormatting sqref="AF29">
    <cfRule type="dataBar" priority="1075">
      <dataBar>
        <cfvo type="min"/>
        <cfvo type="max"/>
        <color rgb="FF63C384"/>
      </dataBar>
      <extLst>
        <ext xmlns:x14="http://schemas.microsoft.com/office/spreadsheetml/2009/9/main" uri="{B025F937-C7B1-47D3-B67F-A62EFF666E3E}">
          <x14:id>{51B376D9-B204-4A0B-94E1-447DD4B921D7}</x14:id>
        </ext>
      </extLst>
    </cfRule>
  </conditionalFormatting>
  <conditionalFormatting sqref="AF29">
    <cfRule type="dataBar" priority="1074">
      <dataBar>
        <cfvo type="min"/>
        <cfvo type="max"/>
        <color rgb="FF63C384"/>
      </dataBar>
      <extLst>
        <ext xmlns:x14="http://schemas.microsoft.com/office/spreadsheetml/2009/9/main" uri="{B025F937-C7B1-47D3-B67F-A62EFF666E3E}">
          <x14:id>{46FBEB65-02EA-4065-B398-97A94CF329B1}</x14:id>
        </ext>
      </extLst>
    </cfRule>
  </conditionalFormatting>
  <conditionalFormatting sqref="AF29">
    <cfRule type="dataBar" priority="1073">
      <dataBar>
        <cfvo type="min"/>
        <cfvo type="max"/>
        <color rgb="FF63C384"/>
      </dataBar>
      <extLst>
        <ext xmlns:x14="http://schemas.microsoft.com/office/spreadsheetml/2009/9/main" uri="{B025F937-C7B1-47D3-B67F-A62EFF666E3E}">
          <x14:id>{B38A56B9-DB3A-483C-AE19-6F9C7116FA58}</x14:id>
        </ext>
      </extLst>
    </cfRule>
  </conditionalFormatting>
  <conditionalFormatting sqref="AF30">
    <cfRule type="dataBar" priority="1070">
      <dataBar>
        <cfvo type="min"/>
        <cfvo type="max"/>
        <color rgb="FF63C384"/>
      </dataBar>
      <extLst>
        <ext xmlns:x14="http://schemas.microsoft.com/office/spreadsheetml/2009/9/main" uri="{B025F937-C7B1-47D3-B67F-A62EFF666E3E}">
          <x14:id>{F8974FB4-DC39-473B-922E-F9C553A83486}</x14:id>
        </ext>
      </extLst>
    </cfRule>
  </conditionalFormatting>
  <conditionalFormatting sqref="AF30">
    <cfRule type="dataBar" priority="1069">
      <dataBar>
        <cfvo type="min"/>
        <cfvo type="max"/>
        <color rgb="FF63C384"/>
      </dataBar>
      <extLst>
        <ext xmlns:x14="http://schemas.microsoft.com/office/spreadsheetml/2009/9/main" uri="{B025F937-C7B1-47D3-B67F-A62EFF666E3E}">
          <x14:id>{428D9380-5014-4B92-AAE4-82D9268EC5BE}</x14:id>
        </ext>
      </extLst>
    </cfRule>
  </conditionalFormatting>
  <conditionalFormatting sqref="AF31">
    <cfRule type="dataBar" priority="1067">
      <dataBar>
        <cfvo type="min"/>
        <cfvo type="max"/>
        <color rgb="FF63C384"/>
      </dataBar>
      <extLst>
        <ext xmlns:x14="http://schemas.microsoft.com/office/spreadsheetml/2009/9/main" uri="{B025F937-C7B1-47D3-B67F-A62EFF666E3E}">
          <x14:id>{94D6287D-2C22-4D23-8F52-47723DFBC3C5}</x14:id>
        </ext>
      </extLst>
    </cfRule>
  </conditionalFormatting>
  <conditionalFormatting sqref="AF33">
    <cfRule type="dataBar" priority="1063">
      <dataBar>
        <cfvo type="min"/>
        <cfvo type="max"/>
        <color rgb="FF63C384"/>
      </dataBar>
      <extLst>
        <ext xmlns:x14="http://schemas.microsoft.com/office/spreadsheetml/2009/9/main" uri="{B025F937-C7B1-47D3-B67F-A62EFF666E3E}">
          <x14:id>{385B1AB0-C7C6-4B2F-B814-F4A40DDB45D8}</x14:id>
        </ext>
      </extLst>
    </cfRule>
  </conditionalFormatting>
  <conditionalFormatting sqref="AF33">
    <cfRule type="dataBar" priority="1062">
      <dataBar>
        <cfvo type="min"/>
        <cfvo type="max"/>
        <color rgb="FF63C384"/>
      </dataBar>
      <extLst>
        <ext xmlns:x14="http://schemas.microsoft.com/office/spreadsheetml/2009/9/main" uri="{B025F937-C7B1-47D3-B67F-A62EFF666E3E}">
          <x14:id>{8EF65E57-59DB-4A88-A86A-34DFB05583C1}</x14:id>
        </ext>
      </extLst>
    </cfRule>
  </conditionalFormatting>
  <conditionalFormatting sqref="AF32">
    <cfRule type="dataBar" priority="1060">
      <dataBar>
        <cfvo type="min"/>
        <cfvo type="max"/>
        <color rgb="FF63C384"/>
      </dataBar>
      <extLst>
        <ext xmlns:x14="http://schemas.microsoft.com/office/spreadsheetml/2009/9/main" uri="{B025F937-C7B1-47D3-B67F-A62EFF666E3E}">
          <x14:id>{0E91FFF6-2084-4B4D-BF70-7686A976AE44}</x14:id>
        </ext>
      </extLst>
    </cfRule>
  </conditionalFormatting>
  <conditionalFormatting sqref="AF32">
    <cfRule type="dataBar" priority="1059">
      <dataBar>
        <cfvo type="min"/>
        <cfvo type="max"/>
        <color rgb="FF63C384"/>
      </dataBar>
      <extLst>
        <ext xmlns:x14="http://schemas.microsoft.com/office/spreadsheetml/2009/9/main" uri="{B025F937-C7B1-47D3-B67F-A62EFF666E3E}">
          <x14:id>{2B8B452E-533F-492F-A853-633E6F2F886C}</x14:id>
        </ext>
      </extLst>
    </cfRule>
  </conditionalFormatting>
  <conditionalFormatting sqref="AF32">
    <cfRule type="dataBar" priority="1057">
      <dataBar>
        <cfvo type="min"/>
        <cfvo type="max"/>
        <color rgb="FF63C384"/>
      </dataBar>
      <extLst>
        <ext xmlns:x14="http://schemas.microsoft.com/office/spreadsheetml/2009/9/main" uri="{B025F937-C7B1-47D3-B67F-A62EFF666E3E}">
          <x14:id>{17B70288-10DD-4B06-B293-F6B417732309}</x14:id>
        </ext>
      </extLst>
    </cfRule>
  </conditionalFormatting>
  <conditionalFormatting sqref="AF32">
    <cfRule type="dataBar" priority="1056">
      <dataBar>
        <cfvo type="min"/>
        <cfvo type="max"/>
        <color rgb="FF63C384"/>
      </dataBar>
      <extLst>
        <ext xmlns:x14="http://schemas.microsoft.com/office/spreadsheetml/2009/9/main" uri="{B025F937-C7B1-47D3-B67F-A62EFF666E3E}">
          <x14:id>{00859BEF-3DF3-4F97-BE35-E14E3F424833}</x14:id>
        </ext>
      </extLst>
    </cfRule>
  </conditionalFormatting>
  <conditionalFormatting sqref="AF34">
    <cfRule type="dataBar" priority="1055">
      <dataBar>
        <cfvo type="min"/>
        <cfvo type="max"/>
        <color rgb="FF63C384"/>
      </dataBar>
      <extLst>
        <ext xmlns:x14="http://schemas.microsoft.com/office/spreadsheetml/2009/9/main" uri="{B025F937-C7B1-47D3-B67F-A62EFF666E3E}">
          <x14:id>{6ADDE09C-B0CF-4760-A9A0-BCA047F3BC62}</x14:id>
        </ext>
      </extLst>
    </cfRule>
  </conditionalFormatting>
  <conditionalFormatting sqref="AF34">
    <cfRule type="dataBar" priority="1054">
      <dataBar>
        <cfvo type="min"/>
        <cfvo type="max"/>
        <color rgb="FF63C384"/>
      </dataBar>
      <extLst>
        <ext xmlns:x14="http://schemas.microsoft.com/office/spreadsheetml/2009/9/main" uri="{B025F937-C7B1-47D3-B67F-A62EFF666E3E}">
          <x14:id>{3D36E24F-729F-4BA3-90B6-B765387633A0}</x14:id>
        </ext>
      </extLst>
    </cfRule>
  </conditionalFormatting>
  <conditionalFormatting sqref="AF35">
    <cfRule type="dataBar" priority="1053">
      <dataBar>
        <cfvo type="min"/>
        <cfvo type="max"/>
        <color rgb="FF63C384"/>
      </dataBar>
      <extLst>
        <ext xmlns:x14="http://schemas.microsoft.com/office/spreadsheetml/2009/9/main" uri="{B025F937-C7B1-47D3-B67F-A62EFF666E3E}">
          <x14:id>{E37EBA21-BA21-4908-93F8-3F771B85FFF5}</x14:id>
        </ext>
      </extLst>
    </cfRule>
  </conditionalFormatting>
  <conditionalFormatting sqref="AF35">
    <cfRule type="dataBar" priority="1052">
      <dataBar>
        <cfvo type="min"/>
        <cfvo type="max"/>
        <color rgb="FF63C384"/>
      </dataBar>
      <extLst>
        <ext xmlns:x14="http://schemas.microsoft.com/office/spreadsheetml/2009/9/main" uri="{B025F937-C7B1-47D3-B67F-A62EFF666E3E}">
          <x14:id>{EF0B2D77-4DA4-475A-9CBF-64DCE576126C}</x14:id>
        </ext>
      </extLst>
    </cfRule>
  </conditionalFormatting>
  <conditionalFormatting sqref="AF35">
    <cfRule type="dataBar" priority="1051">
      <dataBar>
        <cfvo type="min"/>
        <cfvo type="max"/>
        <color rgb="FF63C384"/>
      </dataBar>
      <extLst>
        <ext xmlns:x14="http://schemas.microsoft.com/office/spreadsheetml/2009/9/main" uri="{B025F937-C7B1-47D3-B67F-A62EFF666E3E}">
          <x14:id>{D8B226C0-71B2-4707-8D5D-F5F284813B3D}</x14:id>
        </ext>
      </extLst>
    </cfRule>
  </conditionalFormatting>
  <conditionalFormatting sqref="AF35">
    <cfRule type="dataBar" priority="1050">
      <dataBar>
        <cfvo type="min"/>
        <cfvo type="max"/>
        <color rgb="FF63C384"/>
      </dataBar>
      <extLst>
        <ext xmlns:x14="http://schemas.microsoft.com/office/spreadsheetml/2009/9/main" uri="{B025F937-C7B1-47D3-B67F-A62EFF666E3E}">
          <x14:id>{12CFDB61-5A44-4D2C-9574-CDF291FA201F}</x14:id>
        </ext>
      </extLst>
    </cfRule>
  </conditionalFormatting>
  <conditionalFormatting sqref="AF36">
    <cfRule type="dataBar" priority="1048">
      <dataBar>
        <cfvo type="min"/>
        <cfvo type="max"/>
        <color rgb="FF63C384"/>
      </dataBar>
      <extLst>
        <ext xmlns:x14="http://schemas.microsoft.com/office/spreadsheetml/2009/9/main" uri="{B025F937-C7B1-47D3-B67F-A62EFF666E3E}">
          <x14:id>{FD3DE577-7738-4555-A93E-909897AAEB86}</x14:id>
        </ext>
      </extLst>
    </cfRule>
  </conditionalFormatting>
  <conditionalFormatting sqref="AF36">
    <cfRule type="dataBar" priority="1047">
      <dataBar>
        <cfvo type="min"/>
        <cfvo type="max"/>
        <color rgb="FF63C384"/>
      </dataBar>
      <extLst>
        <ext xmlns:x14="http://schemas.microsoft.com/office/spreadsheetml/2009/9/main" uri="{B025F937-C7B1-47D3-B67F-A62EFF666E3E}">
          <x14:id>{88129556-9E14-44EC-BE6A-C7B2BFB09689}</x14:id>
        </ext>
      </extLst>
    </cfRule>
  </conditionalFormatting>
  <conditionalFormatting sqref="AF37">
    <cfRule type="dataBar" priority="1046">
      <dataBar>
        <cfvo type="min"/>
        <cfvo type="max"/>
        <color rgb="FF63C384"/>
      </dataBar>
      <extLst>
        <ext xmlns:x14="http://schemas.microsoft.com/office/spreadsheetml/2009/9/main" uri="{B025F937-C7B1-47D3-B67F-A62EFF666E3E}">
          <x14:id>{742CE8C7-A6D6-43AA-AE7B-058735E6FD29}</x14:id>
        </ext>
      </extLst>
    </cfRule>
  </conditionalFormatting>
  <conditionalFormatting sqref="AF37">
    <cfRule type="dataBar" priority="1045">
      <dataBar>
        <cfvo type="min"/>
        <cfvo type="max"/>
        <color rgb="FF63C384"/>
      </dataBar>
      <extLst>
        <ext xmlns:x14="http://schemas.microsoft.com/office/spreadsheetml/2009/9/main" uri="{B025F937-C7B1-47D3-B67F-A62EFF666E3E}">
          <x14:id>{7A4AEB97-EF61-4F8E-AD7E-1C46E292EA9E}</x14:id>
        </ext>
      </extLst>
    </cfRule>
  </conditionalFormatting>
  <conditionalFormatting sqref="AF38:AF39">
    <cfRule type="dataBar" priority="1042">
      <dataBar>
        <cfvo type="min"/>
        <cfvo type="max"/>
        <color rgb="FF63C384"/>
      </dataBar>
      <extLst>
        <ext xmlns:x14="http://schemas.microsoft.com/office/spreadsheetml/2009/9/main" uri="{B025F937-C7B1-47D3-B67F-A62EFF666E3E}">
          <x14:id>{DE001AF2-BB70-4714-95A5-338EA1B134B3}</x14:id>
        </ext>
      </extLst>
    </cfRule>
  </conditionalFormatting>
  <conditionalFormatting sqref="AF38:AF39">
    <cfRule type="dataBar" priority="1041">
      <dataBar>
        <cfvo type="min"/>
        <cfvo type="max"/>
        <color rgb="FF63C384"/>
      </dataBar>
      <extLst>
        <ext xmlns:x14="http://schemas.microsoft.com/office/spreadsheetml/2009/9/main" uri="{B025F937-C7B1-47D3-B67F-A62EFF666E3E}">
          <x14:id>{63E54C11-68B8-41F6-8B98-474797FD0440}</x14:id>
        </ext>
      </extLst>
    </cfRule>
  </conditionalFormatting>
  <conditionalFormatting sqref="AF40">
    <cfRule type="dataBar" priority="1039">
      <dataBar>
        <cfvo type="min"/>
        <cfvo type="max"/>
        <color rgb="FF63C384"/>
      </dataBar>
      <extLst>
        <ext xmlns:x14="http://schemas.microsoft.com/office/spreadsheetml/2009/9/main" uri="{B025F937-C7B1-47D3-B67F-A62EFF666E3E}">
          <x14:id>{F930F29D-C131-44F3-80D4-CABD28C0695D}</x14:id>
        </ext>
      </extLst>
    </cfRule>
  </conditionalFormatting>
  <conditionalFormatting sqref="AF40">
    <cfRule type="dataBar" priority="1038">
      <dataBar>
        <cfvo type="min"/>
        <cfvo type="max"/>
        <color rgb="FF63C384"/>
      </dataBar>
      <extLst>
        <ext xmlns:x14="http://schemas.microsoft.com/office/spreadsheetml/2009/9/main" uri="{B025F937-C7B1-47D3-B67F-A62EFF666E3E}">
          <x14:id>{8CEA2924-26DB-49A6-82DA-A20DDDF5635A}</x14:id>
        </ext>
      </extLst>
    </cfRule>
  </conditionalFormatting>
  <conditionalFormatting sqref="AF40">
    <cfRule type="dataBar" priority="1037">
      <dataBar>
        <cfvo type="min"/>
        <cfvo type="max"/>
        <color rgb="FF63C384"/>
      </dataBar>
      <extLst>
        <ext xmlns:x14="http://schemas.microsoft.com/office/spreadsheetml/2009/9/main" uri="{B025F937-C7B1-47D3-B67F-A62EFF666E3E}">
          <x14:id>{B3543B90-ECE0-4AD8-A802-A1DA7320937B}</x14:id>
        </ext>
      </extLst>
    </cfRule>
  </conditionalFormatting>
  <conditionalFormatting sqref="AF40">
    <cfRule type="dataBar" priority="1036">
      <dataBar>
        <cfvo type="min"/>
        <cfvo type="max"/>
        <color rgb="FF63C384"/>
      </dataBar>
      <extLst>
        <ext xmlns:x14="http://schemas.microsoft.com/office/spreadsheetml/2009/9/main" uri="{B025F937-C7B1-47D3-B67F-A62EFF666E3E}">
          <x14:id>{9956141D-5D99-4628-B2F8-9559D71A54C9}</x14:id>
        </ext>
      </extLst>
    </cfRule>
  </conditionalFormatting>
  <conditionalFormatting sqref="AF41">
    <cfRule type="dataBar" priority="1034">
      <dataBar>
        <cfvo type="min"/>
        <cfvo type="max"/>
        <color rgb="FF63C384"/>
      </dataBar>
      <extLst>
        <ext xmlns:x14="http://schemas.microsoft.com/office/spreadsheetml/2009/9/main" uri="{B025F937-C7B1-47D3-B67F-A62EFF666E3E}">
          <x14:id>{EA8F34DF-4220-4CAD-B710-C58E8A5360DF}</x14:id>
        </ext>
      </extLst>
    </cfRule>
  </conditionalFormatting>
  <conditionalFormatting sqref="AF41">
    <cfRule type="dataBar" priority="1033">
      <dataBar>
        <cfvo type="min"/>
        <cfvo type="max"/>
        <color rgb="FF63C384"/>
      </dataBar>
      <extLst>
        <ext xmlns:x14="http://schemas.microsoft.com/office/spreadsheetml/2009/9/main" uri="{B025F937-C7B1-47D3-B67F-A62EFF666E3E}">
          <x14:id>{AF9077CC-CAA1-4BA1-8777-F0D8D3C7FB15}</x14:id>
        </ext>
      </extLst>
    </cfRule>
  </conditionalFormatting>
  <conditionalFormatting sqref="AF42">
    <cfRule type="dataBar" priority="1030">
      <dataBar>
        <cfvo type="min"/>
        <cfvo type="max"/>
        <color rgb="FF63C384"/>
      </dataBar>
      <extLst>
        <ext xmlns:x14="http://schemas.microsoft.com/office/spreadsheetml/2009/9/main" uri="{B025F937-C7B1-47D3-B67F-A62EFF666E3E}">
          <x14:id>{108318C7-2249-426D-A09E-23F60BCCAC33}</x14:id>
        </ext>
      </extLst>
    </cfRule>
  </conditionalFormatting>
  <conditionalFormatting sqref="AF42">
    <cfRule type="dataBar" priority="1029">
      <dataBar>
        <cfvo type="min"/>
        <cfvo type="max"/>
        <color rgb="FF63C384"/>
      </dataBar>
      <extLst>
        <ext xmlns:x14="http://schemas.microsoft.com/office/spreadsheetml/2009/9/main" uri="{B025F937-C7B1-47D3-B67F-A62EFF666E3E}">
          <x14:id>{E4C464D7-E31F-4D19-8532-D64F3796369E}</x14:id>
        </ext>
      </extLst>
    </cfRule>
  </conditionalFormatting>
  <conditionalFormatting sqref="AF43">
    <cfRule type="dataBar" priority="1027">
      <dataBar>
        <cfvo type="min"/>
        <cfvo type="max"/>
        <color rgb="FF63C384"/>
      </dataBar>
      <extLst>
        <ext xmlns:x14="http://schemas.microsoft.com/office/spreadsheetml/2009/9/main" uri="{B025F937-C7B1-47D3-B67F-A62EFF666E3E}">
          <x14:id>{64874AAE-F791-4961-9CFA-D9D80632B8CD}</x14:id>
        </ext>
      </extLst>
    </cfRule>
  </conditionalFormatting>
  <conditionalFormatting sqref="AF43">
    <cfRule type="dataBar" priority="1026">
      <dataBar>
        <cfvo type="min"/>
        <cfvo type="max"/>
        <color rgb="FF63C384"/>
      </dataBar>
      <extLst>
        <ext xmlns:x14="http://schemas.microsoft.com/office/spreadsheetml/2009/9/main" uri="{B025F937-C7B1-47D3-B67F-A62EFF666E3E}">
          <x14:id>{C570A3C2-2DC3-4EBC-A7AC-2D9C1746940D}</x14:id>
        </ext>
      </extLst>
    </cfRule>
  </conditionalFormatting>
  <conditionalFormatting sqref="AF45">
    <cfRule type="dataBar" priority="1024">
      <dataBar>
        <cfvo type="min"/>
        <cfvo type="max"/>
        <color rgb="FF63C384"/>
      </dataBar>
      <extLst>
        <ext xmlns:x14="http://schemas.microsoft.com/office/spreadsheetml/2009/9/main" uri="{B025F937-C7B1-47D3-B67F-A62EFF666E3E}">
          <x14:id>{8DDEA64D-17AC-43D7-9D34-8FBE2DD44304}</x14:id>
        </ext>
      </extLst>
    </cfRule>
  </conditionalFormatting>
  <conditionalFormatting sqref="AF45">
    <cfRule type="dataBar" priority="1023">
      <dataBar>
        <cfvo type="min"/>
        <cfvo type="max"/>
        <color rgb="FF63C384"/>
      </dataBar>
      <extLst>
        <ext xmlns:x14="http://schemas.microsoft.com/office/spreadsheetml/2009/9/main" uri="{B025F937-C7B1-47D3-B67F-A62EFF666E3E}">
          <x14:id>{36844078-0F47-4337-B3C4-B836BE13287E}</x14:id>
        </ext>
      </extLst>
    </cfRule>
  </conditionalFormatting>
  <conditionalFormatting sqref="AF45">
    <cfRule type="dataBar" priority="1021">
      <dataBar>
        <cfvo type="min"/>
        <cfvo type="max"/>
        <color rgb="FF63C384"/>
      </dataBar>
      <extLst>
        <ext xmlns:x14="http://schemas.microsoft.com/office/spreadsheetml/2009/9/main" uri="{B025F937-C7B1-47D3-B67F-A62EFF666E3E}">
          <x14:id>{B7B20DFB-424F-4D14-9178-0730730CDBCA}</x14:id>
        </ext>
      </extLst>
    </cfRule>
  </conditionalFormatting>
  <conditionalFormatting sqref="AF45">
    <cfRule type="dataBar" priority="1020">
      <dataBar>
        <cfvo type="min"/>
        <cfvo type="max"/>
        <color rgb="FF63C384"/>
      </dataBar>
      <extLst>
        <ext xmlns:x14="http://schemas.microsoft.com/office/spreadsheetml/2009/9/main" uri="{B025F937-C7B1-47D3-B67F-A62EFF666E3E}">
          <x14:id>{A867978E-3438-48BE-87BD-76F6DEF1858F}</x14:id>
        </ext>
      </extLst>
    </cfRule>
  </conditionalFormatting>
  <conditionalFormatting sqref="AF45">
    <cfRule type="dataBar" priority="1018">
      <dataBar>
        <cfvo type="min"/>
        <cfvo type="max"/>
        <color rgb="FF63C384"/>
      </dataBar>
      <extLst>
        <ext xmlns:x14="http://schemas.microsoft.com/office/spreadsheetml/2009/9/main" uri="{B025F937-C7B1-47D3-B67F-A62EFF666E3E}">
          <x14:id>{5FF2B715-ED2B-4A25-A643-6B98102240EC}</x14:id>
        </ext>
      </extLst>
    </cfRule>
  </conditionalFormatting>
  <conditionalFormatting sqref="AF45">
    <cfRule type="dataBar" priority="1017">
      <dataBar>
        <cfvo type="min"/>
        <cfvo type="max"/>
        <color rgb="FF63C384"/>
      </dataBar>
      <extLst>
        <ext xmlns:x14="http://schemas.microsoft.com/office/spreadsheetml/2009/9/main" uri="{B025F937-C7B1-47D3-B67F-A62EFF666E3E}">
          <x14:id>{20DDB5AC-8E35-4A40-BFF1-408299EDB661}</x14:id>
        </ext>
      </extLst>
    </cfRule>
  </conditionalFormatting>
  <conditionalFormatting sqref="AF45">
    <cfRule type="dataBar" priority="1015">
      <dataBar>
        <cfvo type="min"/>
        <cfvo type="max"/>
        <color rgb="FF63C384"/>
      </dataBar>
      <extLst>
        <ext xmlns:x14="http://schemas.microsoft.com/office/spreadsheetml/2009/9/main" uri="{B025F937-C7B1-47D3-B67F-A62EFF666E3E}">
          <x14:id>{F33FBD4F-F1C4-42CF-A468-0742D0706C82}</x14:id>
        </ext>
      </extLst>
    </cfRule>
  </conditionalFormatting>
  <conditionalFormatting sqref="AF45">
    <cfRule type="dataBar" priority="1014">
      <dataBar>
        <cfvo type="min"/>
        <cfvo type="max"/>
        <color rgb="FF63C384"/>
      </dataBar>
      <extLst>
        <ext xmlns:x14="http://schemas.microsoft.com/office/spreadsheetml/2009/9/main" uri="{B025F937-C7B1-47D3-B67F-A62EFF666E3E}">
          <x14:id>{83B0BB9B-A1D9-4E88-9B8A-DC36A6A6B65C}</x14:id>
        </ext>
      </extLst>
    </cfRule>
  </conditionalFormatting>
  <conditionalFormatting sqref="AF44">
    <cfRule type="dataBar" priority="1012">
      <dataBar>
        <cfvo type="min"/>
        <cfvo type="max"/>
        <color rgb="FF63C384"/>
      </dataBar>
      <extLst>
        <ext xmlns:x14="http://schemas.microsoft.com/office/spreadsheetml/2009/9/main" uri="{B025F937-C7B1-47D3-B67F-A62EFF666E3E}">
          <x14:id>{59A9FEE8-1A65-43C5-AAD0-D65185B0ACEA}</x14:id>
        </ext>
      </extLst>
    </cfRule>
  </conditionalFormatting>
  <conditionalFormatting sqref="AF46">
    <cfRule type="dataBar" priority="1009">
      <dataBar>
        <cfvo type="min"/>
        <cfvo type="max"/>
        <color rgb="FF63C384"/>
      </dataBar>
      <extLst>
        <ext xmlns:x14="http://schemas.microsoft.com/office/spreadsheetml/2009/9/main" uri="{B025F937-C7B1-47D3-B67F-A62EFF666E3E}">
          <x14:id>{240BCC27-0D42-4468-BD91-C249ECBA703F}</x14:id>
        </ext>
      </extLst>
    </cfRule>
  </conditionalFormatting>
  <conditionalFormatting sqref="AF48">
    <cfRule type="dataBar" priority="1006">
      <dataBar>
        <cfvo type="min"/>
        <cfvo type="max"/>
        <color rgb="FF63C384"/>
      </dataBar>
      <extLst>
        <ext xmlns:x14="http://schemas.microsoft.com/office/spreadsheetml/2009/9/main" uri="{B025F937-C7B1-47D3-B67F-A62EFF666E3E}">
          <x14:id>{228403B7-5398-4904-B90B-37AAA9220EF5}</x14:id>
        </ext>
      </extLst>
    </cfRule>
  </conditionalFormatting>
  <conditionalFormatting sqref="AF48">
    <cfRule type="dataBar" priority="1005">
      <dataBar>
        <cfvo type="min"/>
        <cfvo type="max"/>
        <color rgb="FF63C384"/>
      </dataBar>
      <extLst>
        <ext xmlns:x14="http://schemas.microsoft.com/office/spreadsheetml/2009/9/main" uri="{B025F937-C7B1-47D3-B67F-A62EFF666E3E}">
          <x14:id>{97C292BC-2B36-45EE-9E5A-A284447F4CBD}</x14:id>
        </ext>
      </extLst>
    </cfRule>
  </conditionalFormatting>
  <conditionalFormatting sqref="AF47">
    <cfRule type="dataBar" priority="1003">
      <dataBar>
        <cfvo type="min"/>
        <cfvo type="max"/>
        <color rgb="FF63C384"/>
      </dataBar>
      <extLst>
        <ext xmlns:x14="http://schemas.microsoft.com/office/spreadsheetml/2009/9/main" uri="{B025F937-C7B1-47D3-B67F-A62EFF666E3E}">
          <x14:id>{8A6FA4F9-E9EE-496E-B1DB-06B7B097E4B3}</x14:id>
        </ext>
      </extLst>
    </cfRule>
  </conditionalFormatting>
  <conditionalFormatting sqref="AF47">
    <cfRule type="dataBar" priority="1002">
      <dataBar>
        <cfvo type="min"/>
        <cfvo type="max"/>
        <color rgb="FF63C384"/>
      </dataBar>
      <extLst>
        <ext xmlns:x14="http://schemas.microsoft.com/office/spreadsheetml/2009/9/main" uri="{B025F937-C7B1-47D3-B67F-A62EFF666E3E}">
          <x14:id>{4DD049BA-AFA4-4CFB-B314-262DF6A0EFCB}</x14:id>
        </ext>
      </extLst>
    </cfRule>
  </conditionalFormatting>
  <conditionalFormatting sqref="AF47">
    <cfRule type="dataBar" priority="1000">
      <dataBar>
        <cfvo type="min"/>
        <cfvo type="max"/>
        <color rgb="FF63C384"/>
      </dataBar>
      <extLst>
        <ext xmlns:x14="http://schemas.microsoft.com/office/spreadsheetml/2009/9/main" uri="{B025F937-C7B1-47D3-B67F-A62EFF666E3E}">
          <x14:id>{DC7A10FC-8576-42DF-B1B6-952C9A8E4B72}</x14:id>
        </ext>
      </extLst>
    </cfRule>
  </conditionalFormatting>
  <conditionalFormatting sqref="AF47">
    <cfRule type="dataBar" priority="999">
      <dataBar>
        <cfvo type="min"/>
        <cfvo type="max"/>
        <color rgb="FF63C384"/>
      </dataBar>
      <extLst>
        <ext xmlns:x14="http://schemas.microsoft.com/office/spreadsheetml/2009/9/main" uri="{B025F937-C7B1-47D3-B67F-A62EFF666E3E}">
          <x14:id>{A870F50B-49E0-44A2-A007-3ED4C4B5D40E}</x14:id>
        </ext>
      </extLst>
    </cfRule>
  </conditionalFormatting>
  <conditionalFormatting sqref="AF49">
    <cfRule type="dataBar" priority="998">
      <dataBar>
        <cfvo type="min"/>
        <cfvo type="max"/>
        <color rgb="FF63C384"/>
      </dataBar>
      <extLst>
        <ext xmlns:x14="http://schemas.microsoft.com/office/spreadsheetml/2009/9/main" uri="{B025F937-C7B1-47D3-B67F-A62EFF666E3E}">
          <x14:id>{8BBEBA76-2181-42C7-B912-E4EADED0C306}</x14:id>
        </ext>
      </extLst>
    </cfRule>
  </conditionalFormatting>
  <conditionalFormatting sqref="AF49">
    <cfRule type="dataBar" priority="997">
      <dataBar>
        <cfvo type="min"/>
        <cfvo type="max"/>
        <color rgb="FF63C384"/>
      </dataBar>
      <extLst>
        <ext xmlns:x14="http://schemas.microsoft.com/office/spreadsheetml/2009/9/main" uri="{B025F937-C7B1-47D3-B67F-A62EFF666E3E}">
          <x14:id>{6601F3D3-DC3B-468B-A99B-6A2BDD7B1C52}</x14:id>
        </ext>
      </extLst>
    </cfRule>
  </conditionalFormatting>
  <conditionalFormatting sqref="AF49">
    <cfRule type="dataBar" priority="996">
      <dataBar>
        <cfvo type="min"/>
        <cfvo type="max"/>
        <color rgb="FF63C384"/>
      </dataBar>
      <extLst>
        <ext xmlns:x14="http://schemas.microsoft.com/office/spreadsheetml/2009/9/main" uri="{B025F937-C7B1-47D3-B67F-A62EFF666E3E}">
          <x14:id>{6188033A-1067-4136-89AD-383055C035BC}</x14:id>
        </ext>
      </extLst>
    </cfRule>
  </conditionalFormatting>
  <conditionalFormatting sqref="AF49">
    <cfRule type="dataBar" priority="995">
      <dataBar>
        <cfvo type="min"/>
        <cfvo type="max"/>
        <color rgb="FF63C384"/>
      </dataBar>
      <extLst>
        <ext xmlns:x14="http://schemas.microsoft.com/office/spreadsheetml/2009/9/main" uri="{B025F937-C7B1-47D3-B67F-A62EFF666E3E}">
          <x14:id>{0D69C06E-A82E-4F58-AC16-640364C44B33}</x14:id>
        </ext>
      </extLst>
    </cfRule>
  </conditionalFormatting>
  <conditionalFormatting sqref="AF52:AF54">
    <cfRule type="dataBar" priority="994">
      <dataBar>
        <cfvo type="min"/>
        <cfvo type="max"/>
        <color rgb="FF63C384"/>
      </dataBar>
      <extLst>
        <ext xmlns:x14="http://schemas.microsoft.com/office/spreadsheetml/2009/9/main" uri="{B025F937-C7B1-47D3-B67F-A62EFF666E3E}">
          <x14:id>{F5D45EB7-C709-451A-A4D8-9A681C413922}</x14:id>
        </ext>
      </extLst>
    </cfRule>
  </conditionalFormatting>
  <conditionalFormatting sqref="AF52:AF54">
    <cfRule type="dataBar" priority="993">
      <dataBar>
        <cfvo type="min"/>
        <cfvo type="max"/>
        <color rgb="FF63C384"/>
      </dataBar>
      <extLst>
        <ext xmlns:x14="http://schemas.microsoft.com/office/spreadsheetml/2009/9/main" uri="{B025F937-C7B1-47D3-B67F-A62EFF666E3E}">
          <x14:id>{E5405ADF-A3AC-48CC-8DCA-FC0AF4164EC2}</x14:id>
        </ext>
      </extLst>
    </cfRule>
  </conditionalFormatting>
  <conditionalFormatting sqref="AF50:AF51">
    <cfRule type="dataBar" priority="991">
      <dataBar>
        <cfvo type="min"/>
        <cfvo type="max"/>
        <color rgb="FF63C384"/>
      </dataBar>
      <extLst>
        <ext xmlns:x14="http://schemas.microsoft.com/office/spreadsheetml/2009/9/main" uri="{B025F937-C7B1-47D3-B67F-A62EFF666E3E}">
          <x14:id>{185E9A93-6FA1-4263-BEFC-F4B096FE0414}</x14:id>
        </ext>
      </extLst>
    </cfRule>
  </conditionalFormatting>
  <conditionalFormatting sqref="AF56">
    <cfRule type="dataBar" priority="988">
      <dataBar>
        <cfvo type="min"/>
        <cfvo type="max"/>
        <color rgb="FF63C384"/>
      </dataBar>
      <extLst>
        <ext xmlns:x14="http://schemas.microsoft.com/office/spreadsheetml/2009/9/main" uri="{B025F937-C7B1-47D3-B67F-A62EFF666E3E}">
          <x14:id>{1766F3C3-E784-4B30-A5E1-0403AA69D034}</x14:id>
        </ext>
      </extLst>
    </cfRule>
  </conditionalFormatting>
  <conditionalFormatting sqref="AF56">
    <cfRule type="dataBar" priority="987">
      <dataBar>
        <cfvo type="min"/>
        <cfvo type="max"/>
        <color rgb="FF63C384"/>
      </dataBar>
      <extLst>
        <ext xmlns:x14="http://schemas.microsoft.com/office/spreadsheetml/2009/9/main" uri="{B025F937-C7B1-47D3-B67F-A62EFF666E3E}">
          <x14:id>{F31B23FB-1EDE-4664-A675-B8253B24D7C7}</x14:id>
        </ext>
      </extLst>
    </cfRule>
  </conditionalFormatting>
  <conditionalFormatting sqref="AF57">
    <cfRule type="dataBar" priority="983">
      <dataBar>
        <cfvo type="min"/>
        <cfvo type="max"/>
        <color rgb="FF63C384"/>
      </dataBar>
      <extLst>
        <ext xmlns:x14="http://schemas.microsoft.com/office/spreadsheetml/2009/9/main" uri="{B025F937-C7B1-47D3-B67F-A62EFF666E3E}">
          <x14:id>{9B3C9D26-57F2-4A71-BE89-0CB93E14DA69}</x14:id>
        </ext>
      </extLst>
    </cfRule>
  </conditionalFormatting>
  <conditionalFormatting sqref="AF57">
    <cfRule type="dataBar" priority="982">
      <dataBar>
        <cfvo type="min"/>
        <cfvo type="max"/>
        <color rgb="FF63C384"/>
      </dataBar>
      <extLst>
        <ext xmlns:x14="http://schemas.microsoft.com/office/spreadsheetml/2009/9/main" uri="{B025F937-C7B1-47D3-B67F-A62EFF666E3E}">
          <x14:id>{10954BFC-B668-46CD-B543-DD21E9A7F397}</x14:id>
        </ext>
      </extLst>
    </cfRule>
  </conditionalFormatting>
  <conditionalFormatting sqref="AF57">
    <cfRule type="dataBar" priority="981">
      <dataBar>
        <cfvo type="min"/>
        <cfvo type="max"/>
        <color rgb="FF63C384"/>
      </dataBar>
      <extLst>
        <ext xmlns:x14="http://schemas.microsoft.com/office/spreadsheetml/2009/9/main" uri="{B025F937-C7B1-47D3-B67F-A62EFF666E3E}">
          <x14:id>{07B50E44-027E-4E7F-B8F2-BF8EB25DB2EC}</x14:id>
        </ext>
      </extLst>
    </cfRule>
  </conditionalFormatting>
  <conditionalFormatting sqref="AF57">
    <cfRule type="dataBar" priority="980">
      <dataBar>
        <cfvo type="min"/>
        <cfvo type="max"/>
        <color rgb="FF63C384"/>
      </dataBar>
      <extLst>
        <ext xmlns:x14="http://schemas.microsoft.com/office/spreadsheetml/2009/9/main" uri="{B025F937-C7B1-47D3-B67F-A62EFF666E3E}">
          <x14:id>{12C355B6-1E8F-464E-B58B-634D18DF6F30}</x14:id>
        </ext>
      </extLst>
    </cfRule>
  </conditionalFormatting>
  <conditionalFormatting sqref="AF58">
    <cfRule type="dataBar" priority="976">
      <dataBar>
        <cfvo type="min"/>
        <cfvo type="max"/>
        <color rgb="FF63C384"/>
      </dataBar>
      <extLst>
        <ext xmlns:x14="http://schemas.microsoft.com/office/spreadsheetml/2009/9/main" uri="{B025F937-C7B1-47D3-B67F-A62EFF666E3E}">
          <x14:id>{A86B2774-2B3F-482C-B2E8-35A93B6579DC}</x14:id>
        </ext>
      </extLst>
    </cfRule>
  </conditionalFormatting>
  <conditionalFormatting sqref="AF58">
    <cfRule type="dataBar" priority="975">
      <dataBar>
        <cfvo type="min"/>
        <cfvo type="max"/>
        <color rgb="FF63C384"/>
      </dataBar>
      <extLst>
        <ext xmlns:x14="http://schemas.microsoft.com/office/spreadsheetml/2009/9/main" uri="{B025F937-C7B1-47D3-B67F-A62EFF666E3E}">
          <x14:id>{141E14CF-0647-4566-AF6D-0AE6FB22C4C1}</x14:id>
        </ext>
      </extLst>
    </cfRule>
  </conditionalFormatting>
  <conditionalFormatting sqref="AF59">
    <cfRule type="dataBar" priority="972">
      <dataBar>
        <cfvo type="min"/>
        <cfvo type="max"/>
        <color rgb="FF63C384"/>
      </dataBar>
      <extLst>
        <ext xmlns:x14="http://schemas.microsoft.com/office/spreadsheetml/2009/9/main" uri="{B025F937-C7B1-47D3-B67F-A62EFF666E3E}">
          <x14:id>{F830691D-349C-48A8-B10F-8AF956C5D51A}</x14:id>
        </ext>
      </extLst>
    </cfRule>
  </conditionalFormatting>
  <conditionalFormatting sqref="AF59">
    <cfRule type="dataBar" priority="971">
      <dataBar>
        <cfvo type="min"/>
        <cfvo type="max"/>
        <color rgb="FF63C384"/>
      </dataBar>
      <extLst>
        <ext xmlns:x14="http://schemas.microsoft.com/office/spreadsheetml/2009/9/main" uri="{B025F937-C7B1-47D3-B67F-A62EFF666E3E}">
          <x14:id>{506578B2-24B6-4D18-B24B-75CE8C5A72ED}</x14:id>
        </ext>
      </extLst>
    </cfRule>
  </conditionalFormatting>
  <conditionalFormatting sqref="AF60">
    <cfRule type="dataBar" priority="968">
      <dataBar>
        <cfvo type="min"/>
        <cfvo type="max"/>
        <color rgb="FF63C384"/>
      </dataBar>
      <extLst>
        <ext xmlns:x14="http://schemas.microsoft.com/office/spreadsheetml/2009/9/main" uri="{B025F937-C7B1-47D3-B67F-A62EFF666E3E}">
          <x14:id>{7F9B0792-EF68-4844-A793-B086373317F7}</x14:id>
        </ext>
      </extLst>
    </cfRule>
  </conditionalFormatting>
  <conditionalFormatting sqref="AF60">
    <cfRule type="dataBar" priority="967">
      <dataBar>
        <cfvo type="min"/>
        <cfvo type="max"/>
        <color rgb="FF63C384"/>
      </dataBar>
      <extLst>
        <ext xmlns:x14="http://schemas.microsoft.com/office/spreadsheetml/2009/9/main" uri="{B025F937-C7B1-47D3-B67F-A62EFF666E3E}">
          <x14:id>{4205713C-C570-42A9-A940-23B59FCAC1A4}</x14:id>
        </ext>
      </extLst>
    </cfRule>
  </conditionalFormatting>
  <conditionalFormatting sqref="AF61">
    <cfRule type="dataBar" priority="965">
      <dataBar>
        <cfvo type="min"/>
        <cfvo type="max"/>
        <color rgb="FF63C384"/>
      </dataBar>
      <extLst>
        <ext xmlns:x14="http://schemas.microsoft.com/office/spreadsheetml/2009/9/main" uri="{B025F937-C7B1-47D3-B67F-A62EFF666E3E}">
          <x14:id>{1DC5F331-51C2-419A-B2B4-3740963ED30E}</x14:id>
        </ext>
      </extLst>
    </cfRule>
  </conditionalFormatting>
  <conditionalFormatting sqref="AF61">
    <cfRule type="dataBar" priority="964">
      <dataBar>
        <cfvo type="min"/>
        <cfvo type="max"/>
        <color rgb="FF63C384"/>
      </dataBar>
      <extLst>
        <ext xmlns:x14="http://schemas.microsoft.com/office/spreadsheetml/2009/9/main" uri="{B025F937-C7B1-47D3-B67F-A62EFF666E3E}">
          <x14:id>{606C69FA-9C5D-4122-B27E-35CDE7283212}</x14:id>
        </ext>
      </extLst>
    </cfRule>
  </conditionalFormatting>
  <conditionalFormatting sqref="AF61">
    <cfRule type="dataBar" priority="962">
      <dataBar>
        <cfvo type="min"/>
        <cfvo type="max"/>
        <color rgb="FF63C384"/>
      </dataBar>
      <extLst>
        <ext xmlns:x14="http://schemas.microsoft.com/office/spreadsheetml/2009/9/main" uri="{B025F937-C7B1-47D3-B67F-A62EFF666E3E}">
          <x14:id>{5E8E6926-9C76-4D5E-920E-1400025C4CE4}</x14:id>
        </ext>
      </extLst>
    </cfRule>
  </conditionalFormatting>
  <conditionalFormatting sqref="AF61">
    <cfRule type="dataBar" priority="961">
      <dataBar>
        <cfvo type="min"/>
        <cfvo type="max"/>
        <color rgb="FF63C384"/>
      </dataBar>
      <extLst>
        <ext xmlns:x14="http://schemas.microsoft.com/office/spreadsheetml/2009/9/main" uri="{B025F937-C7B1-47D3-B67F-A62EFF666E3E}">
          <x14:id>{083CE433-EDD0-4050-8375-47D2C24843E0}</x14:id>
        </ext>
      </extLst>
    </cfRule>
  </conditionalFormatting>
  <conditionalFormatting sqref="AF62">
    <cfRule type="dataBar" priority="958">
      <dataBar>
        <cfvo type="min"/>
        <cfvo type="max"/>
        <color rgb="FF63C384"/>
      </dataBar>
      <extLst>
        <ext xmlns:x14="http://schemas.microsoft.com/office/spreadsheetml/2009/9/main" uri="{B025F937-C7B1-47D3-B67F-A62EFF666E3E}">
          <x14:id>{15DC970D-3BA9-451F-A2E3-71CA3046AA17}</x14:id>
        </ext>
      </extLst>
    </cfRule>
  </conditionalFormatting>
  <conditionalFormatting sqref="AF62">
    <cfRule type="dataBar" priority="957">
      <dataBar>
        <cfvo type="min"/>
        <cfvo type="max"/>
        <color rgb="FF63C384"/>
      </dataBar>
      <extLst>
        <ext xmlns:x14="http://schemas.microsoft.com/office/spreadsheetml/2009/9/main" uri="{B025F937-C7B1-47D3-B67F-A62EFF666E3E}">
          <x14:id>{6BAA186D-045F-4B5C-92D5-8E701EFB16F7}</x14:id>
        </ext>
      </extLst>
    </cfRule>
  </conditionalFormatting>
  <conditionalFormatting sqref="AF62">
    <cfRule type="dataBar" priority="954">
      <dataBar>
        <cfvo type="min"/>
        <cfvo type="max"/>
        <color rgb="FF63C384"/>
      </dataBar>
      <extLst>
        <ext xmlns:x14="http://schemas.microsoft.com/office/spreadsheetml/2009/9/main" uri="{B025F937-C7B1-47D3-B67F-A62EFF666E3E}">
          <x14:id>{3F5F0754-366E-410F-9B3F-8D60C58B1B51}</x14:id>
        </ext>
      </extLst>
    </cfRule>
  </conditionalFormatting>
  <conditionalFormatting sqref="AF62">
    <cfRule type="dataBar" priority="953">
      <dataBar>
        <cfvo type="min"/>
        <cfvo type="max"/>
        <color rgb="FF63C384"/>
      </dataBar>
      <extLst>
        <ext xmlns:x14="http://schemas.microsoft.com/office/spreadsheetml/2009/9/main" uri="{B025F937-C7B1-47D3-B67F-A62EFF666E3E}">
          <x14:id>{F29D58EE-6307-4143-97E2-D899C2DE0E94}</x14:id>
        </ext>
      </extLst>
    </cfRule>
  </conditionalFormatting>
  <conditionalFormatting sqref="AF63">
    <cfRule type="dataBar" priority="950">
      <dataBar>
        <cfvo type="min"/>
        <cfvo type="max"/>
        <color rgb="FF63C384"/>
      </dataBar>
      <extLst>
        <ext xmlns:x14="http://schemas.microsoft.com/office/spreadsheetml/2009/9/main" uri="{B025F937-C7B1-47D3-B67F-A62EFF666E3E}">
          <x14:id>{33F1132B-D00F-492D-A387-F930DE0D9282}</x14:id>
        </ext>
      </extLst>
    </cfRule>
  </conditionalFormatting>
  <conditionalFormatting sqref="AF63">
    <cfRule type="dataBar" priority="949">
      <dataBar>
        <cfvo type="min"/>
        <cfvo type="max"/>
        <color rgb="FF63C384"/>
      </dataBar>
      <extLst>
        <ext xmlns:x14="http://schemas.microsoft.com/office/spreadsheetml/2009/9/main" uri="{B025F937-C7B1-47D3-B67F-A62EFF666E3E}">
          <x14:id>{7E2BB438-351F-4466-B31F-0230BE71E912}</x14:id>
        </ext>
      </extLst>
    </cfRule>
  </conditionalFormatting>
  <conditionalFormatting sqref="AF64">
    <cfRule type="dataBar" priority="947">
      <dataBar>
        <cfvo type="min"/>
        <cfvo type="max"/>
        <color rgb="FF63C384"/>
      </dataBar>
      <extLst>
        <ext xmlns:x14="http://schemas.microsoft.com/office/spreadsheetml/2009/9/main" uri="{B025F937-C7B1-47D3-B67F-A62EFF666E3E}">
          <x14:id>{06119F19-93EF-4487-B43B-7DC8A3176C73}</x14:id>
        </ext>
      </extLst>
    </cfRule>
  </conditionalFormatting>
  <conditionalFormatting sqref="AF64">
    <cfRule type="dataBar" priority="946">
      <dataBar>
        <cfvo type="min"/>
        <cfvo type="max"/>
        <color rgb="FF63C384"/>
      </dataBar>
      <extLst>
        <ext xmlns:x14="http://schemas.microsoft.com/office/spreadsheetml/2009/9/main" uri="{B025F937-C7B1-47D3-B67F-A62EFF666E3E}">
          <x14:id>{6D1AE963-4510-47F2-9446-301F61D6B40F}</x14:id>
        </ext>
      </extLst>
    </cfRule>
  </conditionalFormatting>
  <conditionalFormatting sqref="AF65:AF66">
    <cfRule type="dataBar" priority="942">
      <dataBar>
        <cfvo type="min"/>
        <cfvo type="max"/>
        <color rgb="FF63C384"/>
      </dataBar>
      <extLst>
        <ext xmlns:x14="http://schemas.microsoft.com/office/spreadsheetml/2009/9/main" uri="{B025F937-C7B1-47D3-B67F-A62EFF666E3E}">
          <x14:id>{BB274E9C-163C-4B65-A779-22E8264B7EB1}</x14:id>
        </ext>
      </extLst>
    </cfRule>
  </conditionalFormatting>
  <conditionalFormatting sqref="AF65:AF66">
    <cfRule type="dataBar" priority="941">
      <dataBar>
        <cfvo type="min"/>
        <cfvo type="max"/>
        <color rgb="FF63C384"/>
      </dataBar>
      <extLst>
        <ext xmlns:x14="http://schemas.microsoft.com/office/spreadsheetml/2009/9/main" uri="{B025F937-C7B1-47D3-B67F-A62EFF666E3E}">
          <x14:id>{D5CC9A58-EBBB-4F9B-8E9A-DAA72C7277B0}</x14:id>
        </ext>
      </extLst>
    </cfRule>
  </conditionalFormatting>
  <conditionalFormatting sqref="AF67">
    <cfRule type="dataBar" priority="938">
      <dataBar>
        <cfvo type="min"/>
        <cfvo type="max"/>
        <color rgb="FF63C384"/>
      </dataBar>
      <extLst>
        <ext xmlns:x14="http://schemas.microsoft.com/office/spreadsheetml/2009/9/main" uri="{B025F937-C7B1-47D3-B67F-A62EFF666E3E}">
          <x14:id>{C84203E1-5E7F-45A8-AED7-68F77BDC5020}</x14:id>
        </ext>
      </extLst>
    </cfRule>
  </conditionalFormatting>
  <conditionalFormatting sqref="AF67">
    <cfRule type="dataBar" priority="937">
      <dataBar>
        <cfvo type="min"/>
        <cfvo type="max"/>
        <color rgb="FF63C384"/>
      </dataBar>
      <extLst>
        <ext xmlns:x14="http://schemas.microsoft.com/office/spreadsheetml/2009/9/main" uri="{B025F937-C7B1-47D3-B67F-A62EFF666E3E}">
          <x14:id>{5E2AC105-49D8-4F24-B2E5-BBA7DCD79E18}</x14:id>
        </ext>
      </extLst>
    </cfRule>
  </conditionalFormatting>
  <conditionalFormatting sqref="AF67">
    <cfRule type="dataBar" priority="935">
      <dataBar>
        <cfvo type="min"/>
        <cfvo type="max"/>
        <color rgb="FF63C384"/>
      </dataBar>
      <extLst>
        <ext xmlns:x14="http://schemas.microsoft.com/office/spreadsheetml/2009/9/main" uri="{B025F937-C7B1-47D3-B67F-A62EFF666E3E}">
          <x14:id>{F65CA3CD-459D-47C0-B3E4-4F19176F9E7B}</x14:id>
        </ext>
      </extLst>
    </cfRule>
  </conditionalFormatting>
  <conditionalFormatting sqref="AF67">
    <cfRule type="dataBar" priority="934">
      <dataBar>
        <cfvo type="min"/>
        <cfvo type="max"/>
        <color rgb="FF63C384"/>
      </dataBar>
      <extLst>
        <ext xmlns:x14="http://schemas.microsoft.com/office/spreadsheetml/2009/9/main" uri="{B025F937-C7B1-47D3-B67F-A62EFF666E3E}">
          <x14:id>{D16D20D0-9B81-4ED0-9351-89DD6C8C9BC0}</x14:id>
        </ext>
      </extLst>
    </cfRule>
  </conditionalFormatting>
  <conditionalFormatting sqref="AF67">
    <cfRule type="dataBar" priority="932">
      <dataBar>
        <cfvo type="min"/>
        <cfvo type="max"/>
        <color rgb="FF63C384"/>
      </dataBar>
      <extLst>
        <ext xmlns:x14="http://schemas.microsoft.com/office/spreadsheetml/2009/9/main" uri="{B025F937-C7B1-47D3-B67F-A62EFF666E3E}">
          <x14:id>{DF0175BA-F4EF-4C85-8703-37F3F9E2711B}</x14:id>
        </ext>
      </extLst>
    </cfRule>
  </conditionalFormatting>
  <conditionalFormatting sqref="AF67">
    <cfRule type="dataBar" priority="931">
      <dataBar>
        <cfvo type="min"/>
        <cfvo type="max"/>
        <color rgb="FF63C384"/>
      </dataBar>
      <extLst>
        <ext xmlns:x14="http://schemas.microsoft.com/office/spreadsheetml/2009/9/main" uri="{B025F937-C7B1-47D3-B67F-A62EFF666E3E}">
          <x14:id>{46FE8940-8B0B-48E7-BB43-D895F90A850C}</x14:id>
        </ext>
      </extLst>
    </cfRule>
  </conditionalFormatting>
  <conditionalFormatting sqref="AF67">
    <cfRule type="dataBar" priority="929">
      <dataBar>
        <cfvo type="min"/>
        <cfvo type="max"/>
        <color rgb="FF63C384"/>
      </dataBar>
      <extLst>
        <ext xmlns:x14="http://schemas.microsoft.com/office/spreadsheetml/2009/9/main" uri="{B025F937-C7B1-47D3-B67F-A62EFF666E3E}">
          <x14:id>{41BB174C-21BA-45B0-997C-0C3F61F6EC76}</x14:id>
        </ext>
      </extLst>
    </cfRule>
  </conditionalFormatting>
  <conditionalFormatting sqref="AF67">
    <cfRule type="dataBar" priority="928">
      <dataBar>
        <cfvo type="min"/>
        <cfvo type="max"/>
        <color rgb="FF63C384"/>
      </dataBar>
      <extLst>
        <ext xmlns:x14="http://schemas.microsoft.com/office/spreadsheetml/2009/9/main" uri="{B025F937-C7B1-47D3-B67F-A62EFF666E3E}">
          <x14:id>{2FF00637-E430-476F-A924-50C1459D0220}</x14:id>
        </ext>
      </extLst>
    </cfRule>
  </conditionalFormatting>
  <conditionalFormatting sqref="AF68">
    <cfRule type="dataBar" priority="923">
      <dataBar>
        <cfvo type="min"/>
        <cfvo type="max"/>
        <color rgb="FF63C384"/>
      </dataBar>
      <extLst>
        <ext xmlns:x14="http://schemas.microsoft.com/office/spreadsheetml/2009/9/main" uri="{B025F937-C7B1-47D3-B67F-A62EFF666E3E}">
          <x14:id>{278A7D6F-C736-4373-9DF1-085531639237}</x14:id>
        </ext>
      </extLst>
    </cfRule>
  </conditionalFormatting>
  <conditionalFormatting sqref="AF68">
    <cfRule type="dataBar" priority="922">
      <dataBar>
        <cfvo type="min"/>
        <cfvo type="max"/>
        <color rgb="FF63C384"/>
      </dataBar>
      <extLst>
        <ext xmlns:x14="http://schemas.microsoft.com/office/spreadsheetml/2009/9/main" uri="{B025F937-C7B1-47D3-B67F-A62EFF666E3E}">
          <x14:id>{7B70D9A1-76EF-445C-BA0D-CE960DBB2712}</x14:id>
        </ext>
      </extLst>
    </cfRule>
  </conditionalFormatting>
  <conditionalFormatting sqref="AF69">
    <cfRule type="dataBar" priority="919">
      <dataBar>
        <cfvo type="min"/>
        <cfvo type="max"/>
        <color rgb="FF63C384"/>
      </dataBar>
      <extLst>
        <ext xmlns:x14="http://schemas.microsoft.com/office/spreadsheetml/2009/9/main" uri="{B025F937-C7B1-47D3-B67F-A62EFF666E3E}">
          <x14:id>{4889D7F4-5BF5-4CCE-9FCA-73D4962C9FF6}</x14:id>
        </ext>
      </extLst>
    </cfRule>
  </conditionalFormatting>
  <conditionalFormatting sqref="AF70">
    <cfRule type="dataBar" priority="915">
      <dataBar>
        <cfvo type="min"/>
        <cfvo type="max"/>
        <color rgb="FF63C384"/>
      </dataBar>
      <extLst>
        <ext xmlns:x14="http://schemas.microsoft.com/office/spreadsheetml/2009/9/main" uri="{B025F937-C7B1-47D3-B67F-A62EFF666E3E}">
          <x14:id>{E0F65430-6605-427C-B79F-1F5A9E2B83F6}</x14:id>
        </ext>
      </extLst>
    </cfRule>
  </conditionalFormatting>
  <conditionalFormatting sqref="AF71">
    <cfRule type="dataBar" priority="911">
      <dataBar>
        <cfvo type="min"/>
        <cfvo type="max"/>
        <color rgb="FF63C384"/>
      </dataBar>
      <extLst>
        <ext xmlns:x14="http://schemas.microsoft.com/office/spreadsheetml/2009/9/main" uri="{B025F937-C7B1-47D3-B67F-A62EFF666E3E}">
          <x14:id>{FE7D1BFF-A740-4F95-9DED-2E4FB01FC9B1}</x14:id>
        </ext>
      </extLst>
    </cfRule>
  </conditionalFormatting>
  <conditionalFormatting sqref="AF71">
    <cfRule type="dataBar" priority="910">
      <dataBar>
        <cfvo type="min"/>
        <cfvo type="max"/>
        <color rgb="FF63C384"/>
      </dataBar>
      <extLst>
        <ext xmlns:x14="http://schemas.microsoft.com/office/spreadsheetml/2009/9/main" uri="{B025F937-C7B1-47D3-B67F-A62EFF666E3E}">
          <x14:id>{A77F482B-7A3A-4F01-A20B-DE5492A582CF}</x14:id>
        </ext>
      </extLst>
    </cfRule>
  </conditionalFormatting>
  <conditionalFormatting sqref="AF72">
    <cfRule type="dataBar" priority="907">
      <dataBar>
        <cfvo type="min"/>
        <cfvo type="max"/>
        <color rgb="FF63C384"/>
      </dataBar>
      <extLst>
        <ext xmlns:x14="http://schemas.microsoft.com/office/spreadsheetml/2009/9/main" uri="{B025F937-C7B1-47D3-B67F-A62EFF666E3E}">
          <x14:id>{4919A1F5-D283-47C7-A8ED-BAA6AAB1DB10}</x14:id>
        </ext>
      </extLst>
    </cfRule>
  </conditionalFormatting>
  <conditionalFormatting sqref="AF73">
    <cfRule type="dataBar" priority="903">
      <dataBar>
        <cfvo type="min"/>
        <cfvo type="max"/>
        <color rgb="FF63C384"/>
      </dataBar>
      <extLst>
        <ext xmlns:x14="http://schemas.microsoft.com/office/spreadsheetml/2009/9/main" uri="{B025F937-C7B1-47D3-B67F-A62EFF666E3E}">
          <x14:id>{D669E2A4-31B6-4E16-9BED-25C03F5B795F}</x14:id>
        </ext>
      </extLst>
    </cfRule>
  </conditionalFormatting>
  <conditionalFormatting sqref="AF73">
    <cfRule type="dataBar" priority="902">
      <dataBar>
        <cfvo type="min"/>
        <cfvo type="max"/>
        <color rgb="FF63C384"/>
      </dataBar>
      <extLst>
        <ext xmlns:x14="http://schemas.microsoft.com/office/spreadsheetml/2009/9/main" uri="{B025F937-C7B1-47D3-B67F-A62EFF666E3E}">
          <x14:id>{0319B5BA-4143-4420-A6A3-45D91E9A9552}</x14:id>
        </ext>
      </extLst>
    </cfRule>
  </conditionalFormatting>
  <conditionalFormatting sqref="AF74">
    <cfRule type="dataBar" priority="897">
      <dataBar>
        <cfvo type="min"/>
        <cfvo type="max"/>
        <color rgb="FF63C384"/>
      </dataBar>
      <extLst>
        <ext xmlns:x14="http://schemas.microsoft.com/office/spreadsheetml/2009/9/main" uri="{B025F937-C7B1-47D3-B67F-A62EFF666E3E}">
          <x14:id>{12328BC2-8BE1-400C-90DF-2F86C2C9241D}</x14:id>
        </ext>
      </extLst>
    </cfRule>
  </conditionalFormatting>
  <conditionalFormatting sqref="AF74">
    <cfRule type="dataBar" priority="896">
      <dataBar>
        <cfvo type="min"/>
        <cfvo type="max"/>
        <color rgb="FF63C384"/>
      </dataBar>
      <extLst>
        <ext xmlns:x14="http://schemas.microsoft.com/office/spreadsheetml/2009/9/main" uri="{B025F937-C7B1-47D3-B67F-A62EFF666E3E}">
          <x14:id>{6DECA690-F1A4-465E-A1FC-A659B3BBE6BA}</x14:id>
        </ext>
      </extLst>
    </cfRule>
  </conditionalFormatting>
  <conditionalFormatting sqref="AF74">
    <cfRule type="dataBar" priority="894">
      <dataBar>
        <cfvo type="min"/>
        <cfvo type="max"/>
        <color rgb="FF63C384"/>
      </dataBar>
      <extLst>
        <ext xmlns:x14="http://schemas.microsoft.com/office/spreadsheetml/2009/9/main" uri="{B025F937-C7B1-47D3-B67F-A62EFF666E3E}">
          <x14:id>{E6651DBF-FD50-4C47-BE91-DF15AC788121}</x14:id>
        </ext>
      </extLst>
    </cfRule>
  </conditionalFormatting>
  <conditionalFormatting sqref="AF74">
    <cfRule type="dataBar" priority="893">
      <dataBar>
        <cfvo type="min"/>
        <cfvo type="max"/>
        <color rgb="FF63C384"/>
      </dataBar>
      <extLst>
        <ext xmlns:x14="http://schemas.microsoft.com/office/spreadsheetml/2009/9/main" uri="{B025F937-C7B1-47D3-B67F-A62EFF666E3E}">
          <x14:id>{2DA84138-3E75-4A74-BF56-D91CD402284C}</x14:id>
        </ext>
      </extLst>
    </cfRule>
  </conditionalFormatting>
  <conditionalFormatting sqref="AF75">
    <cfRule type="dataBar" priority="891">
      <dataBar>
        <cfvo type="min"/>
        <cfvo type="max"/>
        <color rgb="FF63C384"/>
      </dataBar>
      <extLst>
        <ext xmlns:x14="http://schemas.microsoft.com/office/spreadsheetml/2009/9/main" uri="{B025F937-C7B1-47D3-B67F-A62EFF666E3E}">
          <x14:id>{1A022126-0AF9-4239-9E29-CD7212489A34}</x14:id>
        </ext>
      </extLst>
    </cfRule>
  </conditionalFormatting>
  <conditionalFormatting sqref="AF75">
    <cfRule type="dataBar" priority="890">
      <dataBar>
        <cfvo type="min"/>
        <cfvo type="max"/>
        <color rgb="FF63C384"/>
      </dataBar>
      <extLst>
        <ext xmlns:x14="http://schemas.microsoft.com/office/spreadsheetml/2009/9/main" uri="{B025F937-C7B1-47D3-B67F-A62EFF666E3E}">
          <x14:id>{D1EB76B9-C736-4C7A-B7DC-03A3DEC51485}</x14:id>
        </ext>
      </extLst>
    </cfRule>
  </conditionalFormatting>
  <conditionalFormatting sqref="AF75">
    <cfRule type="dataBar" priority="889">
      <dataBar>
        <cfvo type="min"/>
        <cfvo type="max"/>
        <color rgb="FF63C384"/>
      </dataBar>
      <extLst>
        <ext xmlns:x14="http://schemas.microsoft.com/office/spreadsheetml/2009/9/main" uri="{B025F937-C7B1-47D3-B67F-A62EFF666E3E}">
          <x14:id>{E99793CC-6A9B-49C9-AE8A-72BC38C89D04}</x14:id>
        </ext>
      </extLst>
    </cfRule>
  </conditionalFormatting>
  <conditionalFormatting sqref="AF75">
    <cfRule type="dataBar" priority="888">
      <dataBar>
        <cfvo type="min"/>
        <cfvo type="max"/>
        <color rgb="FF63C384"/>
      </dataBar>
      <extLst>
        <ext xmlns:x14="http://schemas.microsoft.com/office/spreadsheetml/2009/9/main" uri="{B025F937-C7B1-47D3-B67F-A62EFF666E3E}">
          <x14:id>{697ECA0A-6FF1-449F-85DA-765F0ED3DE03}</x14:id>
        </ext>
      </extLst>
    </cfRule>
  </conditionalFormatting>
  <conditionalFormatting sqref="AF76">
    <cfRule type="dataBar" priority="886">
      <dataBar>
        <cfvo type="min"/>
        <cfvo type="max"/>
        <color rgb="FF63C384"/>
      </dataBar>
      <extLst>
        <ext xmlns:x14="http://schemas.microsoft.com/office/spreadsheetml/2009/9/main" uri="{B025F937-C7B1-47D3-B67F-A62EFF666E3E}">
          <x14:id>{446327CC-66A1-48CC-9553-53F88E433312}</x14:id>
        </ext>
      </extLst>
    </cfRule>
  </conditionalFormatting>
  <conditionalFormatting sqref="AF76">
    <cfRule type="dataBar" priority="885">
      <dataBar>
        <cfvo type="min"/>
        <cfvo type="max"/>
        <color rgb="FF63C384"/>
      </dataBar>
      <extLst>
        <ext xmlns:x14="http://schemas.microsoft.com/office/spreadsheetml/2009/9/main" uri="{B025F937-C7B1-47D3-B67F-A62EFF666E3E}">
          <x14:id>{70DAC232-52B5-4C63-B26F-7B98A861C6C1}</x14:id>
        </ext>
      </extLst>
    </cfRule>
  </conditionalFormatting>
  <conditionalFormatting sqref="AF77">
    <cfRule type="dataBar" priority="880">
      <dataBar>
        <cfvo type="min"/>
        <cfvo type="max"/>
        <color rgb="FF63C384"/>
      </dataBar>
      <extLst>
        <ext xmlns:x14="http://schemas.microsoft.com/office/spreadsheetml/2009/9/main" uri="{B025F937-C7B1-47D3-B67F-A62EFF666E3E}">
          <x14:id>{C1AB0944-A032-4369-AFB5-B142277BA8DB}</x14:id>
        </ext>
      </extLst>
    </cfRule>
  </conditionalFormatting>
  <conditionalFormatting sqref="AF77">
    <cfRule type="dataBar" priority="879">
      <dataBar>
        <cfvo type="min"/>
        <cfvo type="max"/>
        <color rgb="FF63C384"/>
      </dataBar>
      <extLst>
        <ext xmlns:x14="http://schemas.microsoft.com/office/spreadsheetml/2009/9/main" uri="{B025F937-C7B1-47D3-B67F-A62EFF666E3E}">
          <x14:id>{E353704E-2A14-498F-845A-C80CEFCD8133}</x14:id>
        </ext>
      </extLst>
    </cfRule>
  </conditionalFormatting>
  <conditionalFormatting sqref="AF77">
    <cfRule type="dataBar" priority="878">
      <dataBar>
        <cfvo type="min"/>
        <cfvo type="max"/>
        <color rgb="FF63C384"/>
      </dataBar>
      <extLst>
        <ext xmlns:x14="http://schemas.microsoft.com/office/spreadsheetml/2009/9/main" uri="{B025F937-C7B1-47D3-B67F-A62EFF666E3E}">
          <x14:id>{7C002325-5BA8-43F0-BB00-8573CED63E72}</x14:id>
        </ext>
      </extLst>
    </cfRule>
  </conditionalFormatting>
  <conditionalFormatting sqref="AF77">
    <cfRule type="dataBar" priority="877">
      <dataBar>
        <cfvo type="min"/>
        <cfvo type="max"/>
        <color rgb="FF63C384"/>
      </dataBar>
      <extLst>
        <ext xmlns:x14="http://schemas.microsoft.com/office/spreadsheetml/2009/9/main" uri="{B025F937-C7B1-47D3-B67F-A62EFF666E3E}">
          <x14:id>{44EA32B1-3203-444E-89F7-5B6E977C4C68}</x14:id>
        </ext>
      </extLst>
    </cfRule>
  </conditionalFormatting>
  <conditionalFormatting sqref="AF78">
    <cfRule type="dataBar" priority="873">
      <dataBar>
        <cfvo type="min"/>
        <cfvo type="max"/>
        <color rgb="FF63C384"/>
      </dataBar>
      <extLst>
        <ext xmlns:x14="http://schemas.microsoft.com/office/spreadsheetml/2009/9/main" uri="{B025F937-C7B1-47D3-B67F-A62EFF666E3E}">
          <x14:id>{66C3D6A2-1F94-410A-972A-6FC325A37BBE}</x14:id>
        </ext>
      </extLst>
    </cfRule>
  </conditionalFormatting>
  <conditionalFormatting sqref="AF78">
    <cfRule type="dataBar" priority="872">
      <dataBar>
        <cfvo type="min"/>
        <cfvo type="max"/>
        <color rgb="FF63C384"/>
      </dataBar>
      <extLst>
        <ext xmlns:x14="http://schemas.microsoft.com/office/spreadsheetml/2009/9/main" uri="{B025F937-C7B1-47D3-B67F-A62EFF666E3E}">
          <x14:id>{1D269B25-8226-43DB-8615-1F39BE4F4CFF}</x14:id>
        </ext>
      </extLst>
    </cfRule>
  </conditionalFormatting>
  <conditionalFormatting sqref="AF79">
    <cfRule type="dataBar" priority="869">
      <dataBar>
        <cfvo type="min"/>
        <cfvo type="max"/>
        <color rgb="FF63C384"/>
      </dataBar>
      <extLst>
        <ext xmlns:x14="http://schemas.microsoft.com/office/spreadsheetml/2009/9/main" uri="{B025F937-C7B1-47D3-B67F-A62EFF666E3E}">
          <x14:id>{80BE76D4-220B-4502-81EA-EF869E395831}</x14:id>
        </ext>
      </extLst>
    </cfRule>
  </conditionalFormatting>
  <conditionalFormatting sqref="AF79">
    <cfRule type="dataBar" priority="868">
      <dataBar>
        <cfvo type="min"/>
        <cfvo type="max"/>
        <color rgb="FF63C384"/>
      </dataBar>
      <extLst>
        <ext xmlns:x14="http://schemas.microsoft.com/office/spreadsheetml/2009/9/main" uri="{B025F937-C7B1-47D3-B67F-A62EFF666E3E}">
          <x14:id>{D030C0E2-EDBE-4E08-BAF0-97EEB61DBC8E}</x14:id>
        </ext>
      </extLst>
    </cfRule>
  </conditionalFormatting>
  <conditionalFormatting sqref="AF80">
    <cfRule type="dataBar" priority="866">
      <dataBar>
        <cfvo type="min"/>
        <cfvo type="max"/>
        <color rgb="FF63C384"/>
      </dataBar>
      <extLst>
        <ext xmlns:x14="http://schemas.microsoft.com/office/spreadsheetml/2009/9/main" uri="{B025F937-C7B1-47D3-B67F-A62EFF666E3E}">
          <x14:id>{33014992-C7AF-4859-BAE4-A522ECAE81C2}</x14:id>
        </ext>
      </extLst>
    </cfRule>
  </conditionalFormatting>
  <conditionalFormatting sqref="AF80">
    <cfRule type="dataBar" priority="865">
      <dataBar>
        <cfvo type="min"/>
        <cfvo type="max"/>
        <color rgb="FF63C384"/>
      </dataBar>
      <extLst>
        <ext xmlns:x14="http://schemas.microsoft.com/office/spreadsheetml/2009/9/main" uri="{B025F937-C7B1-47D3-B67F-A62EFF666E3E}">
          <x14:id>{F25EE109-6FB5-4D20-9D56-1E4112720B4D}</x14:id>
        </ext>
      </extLst>
    </cfRule>
  </conditionalFormatting>
  <conditionalFormatting sqref="AF81">
    <cfRule type="dataBar" priority="862">
      <dataBar>
        <cfvo type="min"/>
        <cfvo type="max"/>
        <color rgb="FF63C384"/>
      </dataBar>
      <extLst>
        <ext xmlns:x14="http://schemas.microsoft.com/office/spreadsheetml/2009/9/main" uri="{B025F937-C7B1-47D3-B67F-A62EFF666E3E}">
          <x14:id>{E0423D94-09AD-40C2-BD07-06A73E675ED5}</x14:id>
        </ext>
      </extLst>
    </cfRule>
  </conditionalFormatting>
  <conditionalFormatting sqref="AF81">
    <cfRule type="dataBar" priority="861">
      <dataBar>
        <cfvo type="min"/>
        <cfvo type="max"/>
        <color rgb="FF63C384"/>
      </dataBar>
      <extLst>
        <ext xmlns:x14="http://schemas.microsoft.com/office/spreadsheetml/2009/9/main" uri="{B025F937-C7B1-47D3-B67F-A62EFF666E3E}">
          <x14:id>{E2EF15B9-5DC1-4736-9254-A854E9B81E72}</x14:id>
        </ext>
      </extLst>
    </cfRule>
  </conditionalFormatting>
  <conditionalFormatting sqref="AF82">
    <cfRule type="dataBar" priority="858">
      <dataBar>
        <cfvo type="min"/>
        <cfvo type="max"/>
        <color rgb="FF63C384"/>
      </dataBar>
      <extLst>
        <ext xmlns:x14="http://schemas.microsoft.com/office/spreadsheetml/2009/9/main" uri="{B025F937-C7B1-47D3-B67F-A62EFF666E3E}">
          <x14:id>{5C1D3C57-069D-4803-BFBE-90726454417E}</x14:id>
        </ext>
      </extLst>
    </cfRule>
  </conditionalFormatting>
  <conditionalFormatting sqref="AF82">
    <cfRule type="dataBar" priority="857">
      <dataBar>
        <cfvo type="min"/>
        <cfvo type="max"/>
        <color rgb="FF63C384"/>
      </dataBar>
      <extLst>
        <ext xmlns:x14="http://schemas.microsoft.com/office/spreadsheetml/2009/9/main" uri="{B025F937-C7B1-47D3-B67F-A62EFF666E3E}">
          <x14:id>{06438D3A-0B40-4F9A-ABC0-4BC6C042B8EB}</x14:id>
        </ext>
      </extLst>
    </cfRule>
  </conditionalFormatting>
  <conditionalFormatting sqref="AF83">
    <cfRule type="dataBar" priority="854">
      <dataBar>
        <cfvo type="min"/>
        <cfvo type="max"/>
        <color rgb="FF63C384"/>
      </dataBar>
      <extLst>
        <ext xmlns:x14="http://schemas.microsoft.com/office/spreadsheetml/2009/9/main" uri="{B025F937-C7B1-47D3-B67F-A62EFF666E3E}">
          <x14:id>{6AEB3A80-2426-4379-81FE-CF3C9DAFC2CA}</x14:id>
        </ext>
      </extLst>
    </cfRule>
  </conditionalFormatting>
  <conditionalFormatting sqref="AF83">
    <cfRule type="dataBar" priority="853">
      <dataBar>
        <cfvo type="min"/>
        <cfvo type="max"/>
        <color rgb="FF63C384"/>
      </dataBar>
      <extLst>
        <ext xmlns:x14="http://schemas.microsoft.com/office/spreadsheetml/2009/9/main" uri="{B025F937-C7B1-47D3-B67F-A62EFF666E3E}">
          <x14:id>{8EBA57ED-D24D-4FD7-A1E5-C93CD4F06CF7}</x14:id>
        </ext>
      </extLst>
    </cfRule>
  </conditionalFormatting>
  <conditionalFormatting sqref="AF83">
    <cfRule type="dataBar" priority="851">
      <dataBar>
        <cfvo type="min"/>
        <cfvo type="max"/>
        <color rgb="FF63C384"/>
      </dataBar>
      <extLst>
        <ext xmlns:x14="http://schemas.microsoft.com/office/spreadsheetml/2009/9/main" uri="{B025F937-C7B1-47D3-B67F-A62EFF666E3E}">
          <x14:id>{8F26F9AA-B9FB-4C9F-A933-A659A7E104DB}</x14:id>
        </ext>
      </extLst>
    </cfRule>
  </conditionalFormatting>
  <conditionalFormatting sqref="AF83">
    <cfRule type="dataBar" priority="850">
      <dataBar>
        <cfvo type="min"/>
        <cfvo type="max"/>
        <color rgb="FF63C384"/>
      </dataBar>
      <extLst>
        <ext xmlns:x14="http://schemas.microsoft.com/office/spreadsheetml/2009/9/main" uri="{B025F937-C7B1-47D3-B67F-A62EFF666E3E}">
          <x14:id>{BBEA9CC1-CF5E-4C28-BDA6-7ED302641D62}</x14:id>
        </ext>
      </extLst>
    </cfRule>
  </conditionalFormatting>
  <conditionalFormatting sqref="AF83">
    <cfRule type="dataBar" priority="848">
      <dataBar>
        <cfvo type="min"/>
        <cfvo type="max"/>
        <color rgb="FF63C384"/>
      </dataBar>
      <extLst>
        <ext xmlns:x14="http://schemas.microsoft.com/office/spreadsheetml/2009/9/main" uri="{B025F937-C7B1-47D3-B67F-A62EFF666E3E}">
          <x14:id>{7FF05CBA-2868-42AB-8045-A83864300474}</x14:id>
        </ext>
      </extLst>
    </cfRule>
  </conditionalFormatting>
  <conditionalFormatting sqref="AF83">
    <cfRule type="dataBar" priority="847">
      <dataBar>
        <cfvo type="min"/>
        <cfvo type="max"/>
        <color rgb="FF63C384"/>
      </dataBar>
      <extLst>
        <ext xmlns:x14="http://schemas.microsoft.com/office/spreadsheetml/2009/9/main" uri="{B025F937-C7B1-47D3-B67F-A62EFF666E3E}">
          <x14:id>{1B8CFE18-A873-49C2-8730-BC5B298587DE}</x14:id>
        </ext>
      </extLst>
    </cfRule>
  </conditionalFormatting>
  <conditionalFormatting sqref="AF83">
    <cfRule type="dataBar" priority="845">
      <dataBar>
        <cfvo type="min"/>
        <cfvo type="max"/>
        <color rgb="FF63C384"/>
      </dataBar>
      <extLst>
        <ext xmlns:x14="http://schemas.microsoft.com/office/spreadsheetml/2009/9/main" uri="{B025F937-C7B1-47D3-B67F-A62EFF666E3E}">
          <x14:id>{9FBC9C62-3C79-41B6-8065-F2C8FD5A68BC}</x14:id>
        </ext>
      </extLst>
    </cfRule>
  </conditionalFormatting>
  <conditionalFormatting sqref="AF83">
    <cfRule type="dataBar" priority="844">
      <dataBar>
        <cfvo type="min"/>
        <cfvo type="max"/>
        <color rgb="FF63C384"/>
      </dataBar>
      <extLst>
        <ext xmlns:x14="http://schemas.microsoft.com/office/spreadsheetml/2009/9/main" uri="{B025F937-C7B1-47D3-B67F-A62EFF666E3E}">
          <x14:id>{E689A109-81D4-41FD-A34C-0C22ECF9E470}</x14:id>
        </ext>
      </extLst>
    </cfRule>
  </conditionalFormatting>
  <conditionalFormatting sqref="AF84:AF85">
    <cfRule type="dataBar" priority="839">
      <dataBar>
        <cfvo type="min"/>
        <cfvo type="max"/>
        <color rgb="FF63C384"/>
      </dataBar>
      <extLst>
        <ext xmlns:x14="http://schemas.microsoft.com/office/spreadsheetml/2009/9/main" uri="{B025F937-C7B1-47D3-B67F-A62EFF666E3E}">
          <x14:id>{D8C98E2E-C1EB-44F6-A5C8-09694AC4E999}</x14:id>
        </ext>
      </extLst>
    </cfRule>
  </conditionalFormatting>
  <conditionalFormatting sqref="AF86">
    <cfRule type="dataBar" priority="835">
      <dataBar>
        <cfvo type="min"/>
        <cfvo type="max"/>
        <color rgb="FF63C384"/>
      </dataBar>
      <extLst>
        <ext xmlns:x14="http://schemas.microsoft.com/office/spreadsheetml/2009/9/main" uri="{B025F937-C7B1-47D3-B67F-A62EFF666E3E}">
          <x14:id>{29B9382D-687A-4A50-AA98-7A2BC3B0013A}</x14:id>
        </ext>
      </extLst>
    </cfRule>
  </conditionalFormatting>
  <conditionalFormatting sqref="AF86">
    <cfRule type="dataBar" priority="834">
      <dataBar>
        <cfvo type="min"/>
        <cfvo type="max"/>
        <color rgb="FF63C384"/>
      </dataBar>
      <extLst>
        <ext xmlns:x14="http://schemas.microsoft.com/office/spreadsheetml/2009/9/main" uri="{B025F937-C7B1-47D3-B67F-A62EFF666E3E}">
          <x14:id>{2C5A67CC-01DD-4F41-96A0-A4DE8CF2458D}</x14:id>
        </ext>
      </extLst>
    </cfRule>
  </conditionalFormatting>
  <conditionalFormatting sqref="AF87">
    <cfRule type="dataBar" priority="829">
      <dataBar>
        <cfvo type="min"/>
        <cfvo type="max"/>
        <color rgb="FF63C384"/>
      </dataBar>
      <extLst>
        <ext xmlns:x14="http://schemas.microsoft.com/office/spreadsheetml/2009/9/main" uri="{B025F937-C7B1-47D3-B67F-A62EFF666E3E}">
          <x14:id>{9E39AC47-8E31-4922-BCAD-8079966AC5D7}</x14:id>
        </ext>
      </extLst>
    </cfRule>
  </conditionalFormatting>
  <conditionalFormatting sqref="AF87">
    <cfRule type="dataBar" priority="828">
      <dataBar>
        <cfvo type="min"/>
        <cfvo type="max"/>
        <color rgb="FF63C384"/>
      </dataBar>
      <extLst>
        <ext xmlns:x14="http://schemas.microsoft.com/office/spreadsheetml/2009/9/main" uri="{B025F937-C7B1-47D3-B67F-A62EFF666E3E}">
          <x14:id>{998A06E2-02CA-4333-BE21-67CE81A08B61}</x14:id>
        </ext>
      </extLst>
    </cfRule>
  </conditionalFormatting>
  <conditionalFormatting sqref="AF87">
    <cfRule type="dataBar" priority="826">
      <dataBar>
        <cfvo type="min"/>
        <cfvo type="max"/>
        <color rgb="FF63C384"/>
      </dataBar>
      <extLst>
        <ext xmlns:x14="http://schemas.microsoft.com/office/spreadsheetml/2009/9/main" uri="{B025F937-C7B1-47D3-B67F-A62EFF666E3E}">
          <x14:id>{0221BDB1-AD3C-4C0E-8541-F69C528B2F60}</x14:id>
        </ext>
      </extLst>
    </cfRule>
  </conditionalFormatting>
  <conditionalFormatting sqref="AF87">
    <cfRule type="dataBar" priority="825">
      <dataBar>
        <cfvo type="min"/>
        <cfvo type="max"/>
        <color rgb="FF63C384"/>
      </dataBar>
      <extLst>
        <ext xmlns:x14="http://schemas.microsoft.com/office/spreadsheetml/2009/9/main" uri="{B025F937-C7B1-47D3-B67F-A62EFF666E3E}">
          <x14:id>{712EBC61-F691-490F-AA43-19B3349176B7}</x14:id>
        </ext>
      </extLst>
    </cfRule>
  </conditionalFormatting>
  <conditionalFormatting sqref="AF88">
    <cfRule type="dataBar" priority="823">
      <dataBar>
        <cfvo type="min"/>
        <cfvo type="max"/>
        <color rgb="FF63C384"/>
      </dataBar>
      <extLst>
        <ext xmlns:x14="http://schemas.microsoft.com/office/spreadsheetml/2009/9/main" uri="{B025F937-C7B1-47D3-B67F-A62EFF666E3E}">
          <x14:id>{D40153A0-2EBA-4EE6-896A-B53718532A39}</x14:id>
        </ext>
      </extLst>
    </cfRule>
  </conditionalFormatting>
  <conditionalFormatting sqref="AF88">
    <cfRule type="dataBar" priority="822">
      <dataBar>
        <cfvo type="min"/>
        <cfvo type="max"/>
        <color rgb="FF63C384"/>
      </dataBar>
      <extLst>
        <ext xmlns:x14="http://schemas.microsoft.com/office/spreadsheetml/2009/9/main" uri="{B025F937-C7B1-47D3-B67F-A62EFF666E3E}">
          <x14:id>{F5E6E9A6-5A46-40A5-A06D-4A276FBFC63C}</x14:id>
        </ext>
      </extLst>
    </cfRule>
  </conditionalFormatting>
  <conditionalFormatting sqref="AF88">
    <cfRule type="dataBar" priority="821">
      <dataBar>
        <cfvo type="min"/>
        <cfvo type="max"/>
        <color rgb="FF63C384"/>
      </dataBar>
      <extLst>
        <ext xmlns:x14="http://schemas.microsoft.com/office/spreadsheetml/2009/9/main" uri="{B025F937-C7B1-47D3-B67F-A62EFF666E3E}">
          <x14:id>{323A7F70-69CA-40C8-9A18-7213B044242E}</x14:id>
        </ext>
      </extLst>
    </cfRule>
  </conditionalFormatting>
  <conditionalFormatting sqref="AF88">
    <cfRule type="dataBar" priority="820">
      <dataBar>
        <cfvo type="min"/>
        <cfvo type="max"/>
        <color rgb="FF63C384"/>
      </dataBar>
      <extLst>
        <ext xmlns:x14="http://schemas.microsoft.com/office/spreadsheetml/2009/9/main" uri="{B025F937-C7B1-47D3-B67F-A62EFF666E3E}">
          <x14:id>{34BB1F40-09A2-4242-A7D7-DEC1839AB436}</x14:id>
        </ext>
      </extLst>
    </cfRule>
  </conditionalFormatting>
  <conditionalFormatting sqref="AF89">
    <cfRule type="dataBar" priority="817">
      <dataBar>
        <cfvo type="min"/>
        <cfvo type="max"/>
        <color rgb="FF63C384"/>
      </dataBar>
      <extLst>
        <ext xmlns:x14="http://schemas.microsoft.com/office/spreadsheetml/2009/9/main" uri="{B025F937-C7B1-47D3-B67F-A62EFF666E3E}">
          <x14:id>{16958C3A-6439-4A18-AC2B-1BCDBC6F987F}</x14:id>
        </ext>
      </extLst>
    </cfRule>
  </conditionalFormatting>
  <conditionalFormatting sqref="AF90">
    <cfRule type="dataBar" priority="813">
      <dataBar>
        <cfvo type="min"/>
        <cfvo type="max"/>
        <color rgb="FF63C384"/>
      </dataBar>
      <extLst>
        <ext xmlns:x14="http://schemas.microsoft.com/office/spreadsheetml/2009/9/main" uri="{B025F937-C7B1-47D3-B67F-A62EFF666E3E}">
          <x14:id>{F004E382-AA83-4976-AC45-A857D9124D6C}</x14:id>
        </ext>
      </extLst>
    </cfRule>
  </conditionalFormatting>
  <conditionalFormatting sqref="AF91">
    <cfRule type="dataBar" priority="808">
      <dataBar>
        <cfvo type="min"/>
        <cfvo type="max"/>
        <color rgb="FF63C384"/>
      </dataBar>
      <extLst>
        <ext xmlns:x14="http://schemas.microsoft.com/office/spreadsheetml/2009/9/main" uri="{B025F937-C7B1-47D3-B67F-A62EFF666E3E}">
          <x14:id>{FB313B35-62A8-4ADD-BBEB-96D01454FBFF}</x14:id>
        </ext>
      </extLst>
    </cfRule>
  </conditionalFormatting>
  <conditionalFormatting sqref="AF91">
    <cfRule type="dataBar" priority="807">
      <dataBar>
        <cfvo type="min"/>
        <cfvo type="max"/>
        <color rgb="FF63C384"/>
      </dataBar>
      <extLst>
        <ext xmlns:x14="http://schemas.microsoft.com/office/spreadsheetml/2009/9/main" uri="{B025F937-C7B1-47D3-B67F-A62EFF666E3E}">
          <x14:id>{9316EFC7-D911-483D-A018-CF884A78D516}</x14:id>
        </ext>
      </extLst>
    </cfRule>
  </conditionalFormatting>
  <conditionalFormatting sqref="AF91">
    <cfRule type="dataBar" priority="806">
      <dataBar>
        <cfvo type="min"/>
        <cfvo type="max"/>
        <color rgb="FF63C384"/>
      </dataBar>
      <extLst>
        <ext xmlns:x14="http://schemas.microsoft.com/office/spreadsheetml/2009/9/main" uri="{B025F937-C7B1-47D3-B67F-A62EFF666E3E}">
          <x14:id>{8053ADA0-2D73-4B0E-BED9-FE60A928FD71}</x14:id>
        </ext>
      </extLst>
    </cfRule>
  </conditionalFormatting>
  <conditionalFormatting sqref="AF91">
    <cfRule type="dataBar" priority="805">
      <dataBar>
        <cfvo type="min"/>
        <cfvo type="max"/>
        <color rgb="FF63C384"/>
      </dataBar>
      <extLst>
        <ext xmlns:x14="http://schemas.microsoft.com/office/spreadsheetml/2009/9/main" uri="{B025F937-C7B1-47D3-B67F-A62EFF666E3E}">
          <x14:id>{33160A4A-0A48-43BD-BF04-76DA095AD18E}</x14:id>
        </ext>
      </extLst>
    </cfRule>
  </conditionalFormatting>
  <conditionalFormatting sqref="AF92">
    <cfRule type="dataBar" priority="802">
      <dataBar>
        <cfvo type="min"/>
        <cfvo type="max"/>
        <color rgb="FF63C384"/>
      </dataBar>
      <extLst>
        <ext xmlns:x14="http://schemas.microsoft.com/office/spreadsheetml/2009/9/main" uri="{B025F937-C7B1-47D3-B67F-A62EFF666E3E}">
          <x14:id>{33E7C3D9-31BE-4B13-8D2B-E0A9E4FD53EC}</x14:id>
        </ext>
      </extLst>
    </cfRule>
  </conditionalFormatting>
  <conditionalFormatting sqref="AF92">
    <cfRule type="dataBar" priority="801">
      <dataBar>
        <cfvo type="min"/>
        <cfvo type="max"/>
        <color rgb="FF63C384"/>
      </dataBar>
      <extLst>
        <ext xmlns:x14="http://schemas.microsoft.com/office/spreadsheetml/2009/9/main" uri="{B025F937-C7B1-47D3-B67F-A62EFF666E3E}">
          <x14:id>{A5645659-7442-4115-A08E-CF1793A8B814}</x14:id>
        </ext>
      </extLst>
    </cfRule>
  </conditionalFormatting>
  <conditionalFormatting sqref="AF93">
    <cfRule type="dataBar" priority="796">
      <dataBar>
        <cfvo type="min"/>
        <cfvo type="max"/>
        <color rgb="FF63C384"/>
      </dataBar>
      <extLst>
        <ext xmlns:x14="http://schemas.microsoft.com/office/spreadsheetml/2009/9/main" uri="{B025F937-C7B1-47D3-B67F-A62EFF666E3E}">
          <x14:id>{206A9469-668B-434A-B84B-181B30861762}</x14:id>
        </ext>
      </extLst>
    </cfRule>
  </conditionalFormatting>
  <conditionalFormatting sqref="AF93">
    <cfRule type="dataBar" priority="795">
      <dataBar>
        <cfvo type="min"/>
        <cfvo type="max"/>
        <color rgb="FF63C384"/>
      </dataBar>
      <extLst>
        <ext xmlns:x14="http://schemas.microsoft.com/office/spreadsheetml/2009/9/main" uri="{B025F937-C7B1-47D3-B67F-A62EFF666E3E}">
          <x14:id>{512F7043-2CD6-44B7-B195-38E0F755106E}</x14:id>
        </ext>
      </extLst>
    </cfRule>
  </conditionalFormatting>
  <conditionalFormatting sqref="AF94">
    <cfRule type="dataBar" priority="793">
      <dataBar>
        <cfvo type="min"/>
        <cfvo type="max"/>
        <color rgb="FF63C384"/>
      </dataBar>
      <extLst>
        <ext xmlns:x14="http://schemas.microsoft.com/office/spreadsheetml/2009/9/main" uri="{B025F937-C7B1-47D3-B67F-A62EFF666E3E}">
          <x14:id>{27AEC27C-822C-4828-9CB6-C2072CE80EC4}</x14:id>
        </ext>
      </extLst>
    </cfRule>
  </conditionalFormatting>
  <conditionalFormatting sqref="AF94">
    <cfRule type="dataBar" priority="792">
      <dataBar>
        <cfvo type="min"/>
        <cfvo type="max"/>
        <color rgb="FF63C384"/>
      </dataBar>
      <extLst>
        <ext xmlns:x14="http://schemas.microsoft.com/office/spreadsheetml/2009/9/main" uri="{B025F937-C7B1-47D3-B67F-A62EFF666E3E}">
          <x14:id>{44E1D052-6A38-423B-B16D-06C4AA652275}</x14:id>
        </ext>
      </extLst>
    </cfRule>
  </conditionalFormatting>
  <conditionalFormatting sqref="AF95">
    <cfRule type="dataBar" priority="788">
      <dataBar>
        <cfvo type="min"/>
        <cfvo type="max"/>
        <color rgb="FF63C384"/>
      </dataBar>
      <extLst>
        <ext xmlns:x14="http://schemas.microsoft.com/office/spreadsheetml/2009/9/main" uri="{B025F937-C7B1-47D3-B67F-A62EFF666E3E}">
          <x14:id>{415CC82B-B97B-41CC-A82D-750D9BB3C245}</x14:id>
        </ext>
      </extLst>
    </cfRule>
  </conditionalFormatting>
  <conditionalFormatting sqref="AF95">
    <cfRule type="dataBar" priority="787">
      <dataBar>
        <cfvo type="min"/>
        <cfvo type="max"/>
        <color rgb="FF63C384"/>
      </dataBar>
      <extLst>
        <ext xmlns:x14="http://schemas.microsoft.com/office/spreadsheetml/2009/9/main" uri="{B025F937-C7B1-47D3-B67F-A62EFF666E3E}">
          <x14:id>{F786DD7F-138D-4FBF-B7F2-65EE67D8AD4B}</x14:id>
        </ext>
      </extLst>
    </cfRule>
  </conditionalFormatting>
  <conditionalFormatting sqref="AF96">
    <cfRule type="dataBar" priority="784">
      <dataBar>
        <cfvo type="min"/>
        <cfvo type="max"/>
        <color rgb="FF63C384"/>
      </dataBar>
      <extLst>
        <ext xmlns:x14="http://schemas.microsoft.com/office/spreadsheetml/2009/9/main" uri="{B025F937-C7B1-47D3-B67F-A62EFF666E3E}">
          <x14:id>{CFA7AAC2-502E-4672-906D-811F659FC985}</x14:id>
        </ext>
      </extLst>
    </cfRule>
  </conditionalFormatting>
  <conditionalFormatting sqref="AF97">
    <cfRule type="dataBar" priority="780">
      <dataBar>
        <cfvo type="min"/>
        <cfvo type="max"/>
        <color rgb="FF63C384"/>
      </dataBar>
      <extLst>
        <ext xmlns:x14="http://schemas.microsoft.com/office/spreadsheetml/2009/9/main" uri="{B025F937-C7B1-47D3-B67F-A62EFF666E3E}">
          <x14:id>{10C661FF-BA94-4250-9CD7-6D4A4B5783F1}</x14:id>
        </ext>
      </extLst>
    </cfRule>
  </conditionalFormatting>
  <conditionalFormatting sqref="AF97">
    <cfRule type="dataBar" priority="779">
      <dataBar>
        <cfvo type="min"/>
        <cfvo type="max"/>
        <color rgb="FF63C384"/>
      </dataBar>
      <extLst>
        <ext xmlns:x14="http://schemas.microsoft.com/office/spreadsheetml/2009/9/main" uri="{B025F937-C7B1-47D3-B67F-A62EFF666E3E}">
          <x14:id>{BDF17F92-6169-400E-9E6B-8421885C5949}</x14:id>
        </ext>
      </extLst>
    </cfRule>
  </conditionalFormatting>
  <conditionalFormatting sqref="AF97">
    <cfRule type="dataBar" priority="777">
      <dataBar>
        <cfvo type="min"/>
        <cfvo type="max"/>
        <color rgb="FF63C384"/>
      </dataBar>
      <extLst>
        <ext xmlns:x14="http://schemas.microsoft.com/office/spreadsheetml/2009/9/main" uri="{B025F937-C7B1-47D3-B67F-A62EFF666E3E}">
          <x14:id>{4AAEA339-4F43-4D50-AD7F-25283C252589}</x14:id>
        </ext>
      </extLst>
    </cfRule>
  </conditionalFormatting>
  <conditionalFormatting sqref="AF97">
    <cfRule type="dataBar" priority="776">
      <dataBar>
        <cfvo type="min"/>
        <cfvo type="max"/>
        <color rgb="FF63C384"/>
      </dataBar>
      <extLst>
        <ext xmlns:x14="http://schemas.microsoft.com/office/spreadsheetml/2009/9/main" uri="{B025F937-C7B1-47D3-B67F-A62EFF666E3E}">
          <x14:id>{CBA97747-C279-424A-A9BF-F3154D22CBDE}</x14:id>
        </ext>
      </extLst>
    </cfRule>
  </conditionalFormatting>
  <conditionalFormatting sqref="AF97">
    <cfRule type="dataBar" priority="774">
      <dataBar>
        <cfvo type="min"/>
        <cfvo type="max"/>
        <color rgb="FF63C384"/>
      </dataBar>
      <extLst>
        <ext xmlns:x14="http://schemas.microsoft.com/office/spreadsheetml/2009/9/main" uri="{B025F937-C7B1-47D3-B67F-A62EFF666E3E}">
          <x14:id>{E73BAA20-B14F-4FE5-A145-BBCAFF8A2F0E}</x14:id>
        </ext>
      </extLst>
    </cfRule>
  </conditionalFormatting>
  <conditionalFormatting sqref="AF97">
    <cfRule type="dataBar" priority="773">
      <dataBar>
        <cfvo type="min"/>
        <cfvo type="max"/>
        <color rgb="FF63C384"/>
      </dataBar>
      <extLst>
        <ext xmlns:x14="http://schemas.microsoft.com/office/spreadsheetml/2009/9/main" uri="{B025F937-C7B1-47D3-B67F-A62EFF666E3E}">
          <x14:id>{09DA9281-2A4D-4727-971F-A39B1CA81BA4}</x14:id>
        </ext>
      </extLst>
    </cfRule>
  </conditionalFormatting>
  <conditionalFormatting sqref="AF97">
    <cfRule type="dataBar" priority="771">
      <dataBar>
        <cfvo type="min"/>
        <cfvo type="max"/>
        <color rgb="FF63C384"/>
      </dataBar>
      <extLst>
        <ext xmlns:x14="http://schemas.microsoft.com/office/spreadsheetml/2009/9/main" uri="{B025F937-C7B1-47D3-B67F-A62EFF666E3E}">
          <x14:id>{7C10A562-DA03-46F2-8BF0-AE2F89A0833A}</x14:id>
        </ext>
      </extLst>
    </cfRule>
  </conditionalFormatting>
  <conditionalFormatting sqref="AF97">
    <cfRule type="dataBar" priority="770">
      <dataBar>
        <cfvo type="min"/>
        <cfvo type="max"/>
        <color rgb="FF63C384"/>
      </dataBar>
      <extLst>
        <ext xmlns:x14="http://schemas.microsoft.com/office/spreadsheetml/2009/9/main" uri="{B025F937-C7B1-47D3-B67F-A62EFF666E3E}">
          <x14:id>{1D792A29-CF64-4722-AEC8-2406AEC0F92C}</x14:id>
        </ext>
      </extLst>
    </cfRule>
  </conditionalFormatting>
  <conditionalFormatting sqref="AF98">
    <cfRule type="dataBar" priority="766">
      <dataBar>
        <cfvo type="min"/>
        <cfvo type="max"/>
        <color rgb="FF63C384"/>
      </dataBar>
      <extLst>
        <ext xmlns:x14="http://schemas.microsoft.com/office/spreadsheetml/2009/9/main" uri="{B025F937-C7B1-47D3-B67F-A62EFF666E3E}">
          <x14:id>{7C0D6F74-EDC6-44EF-BD81-6815F9D795AA}</x14:id>
        </ext>
      </extLst>
    </cfRule>
  </conditionalFormatting>
  <conditionalFormatting sqref="AF98">
    <cfRule type="dataBar" priority="765">
      <dataBar>
        <cfvo type="min"/>
        <cfvo type="max"/>
        <color rgb="FF63C384"/>
      </dataBar>
      <extLst>
        <ext xmlns:x14="http://schemas.microsoft.com/office/spreadsheetml/2009/9/main" uri="{B025F937-C7B1-47D3-B67F-A62EFF666E3E}">
          <x14:id>{DD6F6951-499E-45BE-9092-6A12E552AAFE}</x14:id>
        </ext>
      </extLst>
    </cfRule>
  </conditionalFormatting>
  <conditionalFormatting sqref="AF99">
    <cfRule type="dataBar" priority="762">
      <dataBar>
        <cfvo type="min"/>
        <cfvo type="max"/>
        <color rgb="FF63C384"/>
      </dataBar>
      <extLst>
        <ext xmlns:x14="http://schemas.microsoft.com/office/spreadsheetml/2009/9/main" uri="{B025F937-C7B1-47D3-B67F-A62EFF666E3E}">
          <x14:id>{A6131072-D58C-4E34-AFCA-37CB1F626E6B}</x14:id>
        </ext>
      </extLst>
    </cfRule>
  </conditionalFormatting>
  <conditionalFormatting sqref="AF100">
    <cfRule type="dataBar" priority="759">
      <dataBar>
        <cfvo type="min"/>
        <cfvo type="max"/>
        <color rgb="FF63C384"/>
      </dataBar>
      <extLst>
        <ext xmlns:x14="http://schemas.microsoft.com/office/spreadsheetml/2009/9/main" uri="{B025F937-C7B1-47D3-B67F-A62EFF666E3E}">
          <x14:id>{107C5BD7-1660-42A5-AB85-62A0210100A8}</x14:id>
        </ext>
      </extLst>
    </cfRule>
  </conditionalFormatting>
  <conditionalFormatting sqref="AF100">
    <cfRule type="dataBar" priority="758">
      <dataBar>
        <cfvo type="min"/>
        <cfvo type="max"/>
        <color rgb="FF63C384"/>
      </dataBar>
      <extLst>
        <ext xmlns:x14="http://schemas.microsoft.com/office/spreadsheetml/2009/9/main" uri="{B025F937-C7B1-47D3-B67F-A62EFF666E3E}">
          <x14:id>{FF9342B0-B213-4DEE-8FEE-3EE6A969A748}</x14:id>
        </ext>
      </extLst>
    </cfRule>
  </conditionalFormatting>
  <conditionalFormatting sqref="AF101">
    <cfRule type="dataBar" priority="756">
      <dataBar>
        <cfvo type="min"/>
        <cfvo type="max"/>
        <color rgb="FF63C384"/>
      </dataBar>
      <extLst>
        <ext xmlns:x14="http://schemas.microsoft.com/office/spreadsheetml/2009/9/main" uri="{B025F937-C7B1-47D3-B67F-A62EFF666E3E}">
          <x14:id>{97053338-7132-4912-9E4C-1211AF1BBEA0}</x14:id>
        </ext>
      </extLst>
    </cfRule>
  </conditionalFormatting>
  <conditionalFormatting sqref="AF101">
    <cfRule type="dataBar" priority="755">
      <dataBar>
        <cfvo type="min"/>
        <cfvo type="max"/>
        <color rgb="FF63C384"/>
      </dataBar>
      <extLst>
        <ext xmlns:x14="http://schemas.microsoft.com/office/spreadsheetml/2009/9/main" uri="{B025F937-C7B1-47D3-B67F-A62EFF666E3E}">
          <x14:id>{B0093F57-B0CD-464C-BE9E-0C5C6554D85E}</x14:id>
        </ext>
      </extLst>
    </cfRule>
  </conditionalFormatting>
  <conditionalFormatting sqref="AF102">
    <cfRule type="dataBar" priority="752">
      <dataBar>
        <cfvo type="min"/>
        <cfvo type="max"/>
        <color rgb="FF63C384"/>
      </dataBar>
      <extLst>
        <ext xmlns:x14="http://schemas.microsoft.com/office/spreadsheetml/2009/9/main" uri="{B025F937-C7B1-47D3-B67F-A62EFF666E3E}">
          <x14:id>{5169FCE3-27FA-4405-98BB-1972D668A3F1}</x14:id>
        </ext>
      </extLst>
    </cfRule>
  </conditionalFormatting>
  <conditionalFormatting sqref="AF102">
    <cfRule type="dataBar" priority="751">
      <dataBar>
        <cfvo type="min"/>
        <cfvo type="max"/>
        <color rgb="FF63C384"/>
      </dataBar>
      <extLst>
        <ext xmlns:x14="http://schemas.microsoft.com/office/spreadsheetml/2009/9/main" uri="{B025F937-C7B1-47D3-B67F-A62EFF666E3E}">
          <x14:id>{0714DEE8-FB19-49BE-9B24-2366A7B39091}</x14:id>
        </ext>
      </extLst>
    </cfRule>
  </conditionalFormatting>
  <conditionalFormatting sqref="AF103">
    <cfRule type="dataBar" priority="746">
      <dataBar>
        <cfvo type="min"/>
        <cfvo type="max"/>
        <color rgb="FF63C384"/>
      </dataBar>
      <extLst>
        <ext xmlns:x14="http://schemas.microsoft.com/office/spreadsheetml/2009/9/main" uri="{B025F937-C7B1-47D3-B67F-A62EFF666E3E}">
          <x14:id>{BEDA8A5E-D59C-4F66-B917-A7DB0C4DB3B6}</x14:id>
        </ext>
      </extLst>
    </cfRule>
  </conditionalFormatting>
  <conditionalFormatting sqref="AF103">
    <cfRule type="dataBar" priority="745">
      <dataBar>
        <cfvo type="min"/>
        <cfvo type="max"/>
        <color rgb="FF63C384"/>
      </dataBar>
      <extLst>
        <ext xmlns:x14="http://schemas.microsoft.com/office/spreadsheetml/2009/9/main" uri="{B025F937-C7B1-47D3-B67F-A62EFF666E3E}">
          <x14:id>{EB2193A8-6BDF-4611-B5FC-40F20D37349C}</x14:id>
        </ext>
      </extLst>
    </cfRule>
  </conditionalFormatting>
  <conditionalFormatting sqref="AF103">
    <cfRule type="dataBar" priority="743">
      <dataBar>
        <cfvo type="min"/>
        <cfvo type="max"/>
        <color rgb="FF63C384"/>
      </dataBar>
      <extLst>
        <ext xmlns:x14="http://schemas.microsoft.com/office/spreadsheetml/2009/9/main" uri="{B025F937-C7B1-47D3-B67F-A62EFF666E3E}">
          <x14:id>{F0A0B350-EE40-4EF5-A5C3-CADDD7C3016F}</x14:id>
        </ext>
      </extLst>
    </cfRule>
  </conditionalFormatting>
  <conditionalFormatting sqref="AF103">
    <cfRule type="dataBar" priority="742">
      <dataBar>
        <cfvo type="min"/>
        <cfvo type="max"/>
        <color rgb="FF63C384"/>
      </dataBar>
      <extLst>
        <ext xmlns:x14="http://schemas.microsoft.com/office/spreadsheetml/2009/9/main" uri="{B025F937-C7B1-47D3-B67F-A62EFF666E3E}">
          <x14:id>{4CA5F06F-51ED-4117-8FA1-B5FBAD8B0B3C}</x14:id>
        </ext>
      </extLst>
    </cfRule>
  </conditionalFormatting>
  <conditionalFormatting sqref="AF104">
    <cfRule type="dataBar" priority="739">
      <dataBar>
        <cfvo type="min"/>
        <cfvo type="max"/>
        <color rgb="FF63C384"/>
      </dataBar>
      <extLst>
        <ext xmlns:x14="http://schemas.microsoft.com/office/spreadsheetml/2009/9/main" uri="{B025F937-C7B1-47D3-B67F-A62EFF666E3E}">
          <x14:id>{7DF1D6AC-38B9-4007-9D72-CD90633047E1}</x14:id>
        </ext>
      </extLst>
    </cfRule>
  </conditionalFormatting>
  <conditionalFormatting sqref="AF104">
    <cfRule type="dataBar" priority="738">
      <dataBar>
        <cfvo type="min"/>
        <cfvo type="max"/>
        <color rgb="FF63C384"/>
      </dataBar>
      <extLst>
        <ext xmlns:x14="http://schemas.microsoft.com/office/spreadsheetml/2009/9/main" uri="{B025F937-C7B1-47D3-B67F-A62EFF666E3E}">
          <x14:id>{6CB55EA2-7B60-4D29-A9E7-CCC31F6F3EE9}</x14:id>
        </ext>
      </extLst>
    </cfRule>
  </conditionalFormatting>
  <conditionalFormatting sqref="AF105">
    <cfRule type="dataBar" priority="736">
      <dataBar>
        <cfvo type="min"/>
        <cfvo type="max"/>
        <color rgb="FF63C384"/>
      </dataBar>
      <extLst>
        <ext xmlns:x14="http://schemas.microsoft.com/office/spreadsheetml/2009/9/main" uri="{B025F937-C7B1-47D3-B67F-A62EFF666E3E}">
          <x14:id>{F6BA4505-D9B2-49B2-A187-8F1A1E9440B6}</x14:id>
        </ext>
      </extLst>
    </cfRule>
  </conditionalFormatting>
  <conditionalFormatting sqref="AF105">
    <cfRule type="dataBar" priority="735">
      <dataBar>
        <cfvo type="min"/>
        <cfvo type="max"/>
        <color rgb="FF63C384"/>
      </dataBar>
      <extLst>
        <ext xmlns:x14="http://schemas.microsoft.com/office/spreadsheetml/2009/9/main" uri="{B025F937-C7B1-47D3-B67F-A62EFF666E3E}">
          <x14:id>{65B025A4-4C5C-4C82-8A25-3E19B1E0AADA}</x14:id>
        </ext>
      </extLst>
    </cfRule>
  </conditionalFormatting>
  <conditionalFormatting sqref="AF106">
    <cfRule type="dataBar" priority="731">
      <dataBar>
        <cfvo type="min"/>
        <cfvo type="max"/>
        <color rgb="FF63C384"/>
      </dataBar>
      <extLst>
        <ext xmlns:x14="http://schemas.microsoft.com/office/spreadsheetml/2009/9/main" uri="{B025F937-C7B1-47D3-B67F-A62EFF666E3E}">
          <x14:id>{2AEDC2D0-7C11-44B2-AAFD-F941E134E0F3}</x14:id>
        </ext>
      </extLst>
    </cfRule>
  </conditionalFormatting>
  <conditionalFormatting sqref="AF106">
    <cfRule type="dataBar" priority="730">
      <dataBar>
        <cfvo type="min"/>
        <cfvo type="max"/>
        <color rgb="FF63C384"/>
      </dataBar>
      <extLst>
        <ext xmlns:x14="http://schemas.microsoft.com/office/spreadsheetml/2009/9/main" uri="{B025F937-C7B1-47D3-B67F-A62EFF666E3E}">
          <x14:id>{EAF0B193-24F8-4C2F-8285-C92360BD130E}</x14:id>
        </ext>
      </extLst>
    </cfRule>
  </conditionalFormatting>
  <conditionalFormatting sqref="AF106">
    <cfRule type="dataBar" priority="729">
      <dataBar>
        <cfvo type="min"/>
        <cfvo type="max"/>
        <color rgb="FF63C384"/>
      </dataBar>
      <extLst>
        <ext xmlns:x14="http://schemas.microsoft.com/office/spreadsheetml/2009/9/main" uri="{B025F937-C7B1-47D3-B67F-A62EFF666E3E}">
          <x14:id>{122694C5-32B5-43D5-933C-5CBF69BF614B}</x14:id>
        </ext>
      </extLst>
    </cfRule>
  </conditionalFormatting>
  <conditionalFormatting sqref="AF106">
    <cfRule type="dataBar" priority="728">
      <dataBar>
        <cfvo type="min"/>
        <cfvo type="max"/>
        <color rgb="FF63C384"/>
      </dataBar>
      <extLst>
        <ext xmlns:x14="http://schemas.microsoft.com/office/spreadsheetml/2009/9/main" uri="{B025F937-C7B1-47D3-B67F-A62EFF666E3E}">
          <x14:id>{0AA3D9DC-1D3A-4BD3-B115-AE63409D689B}</x14:id>
        </ext>
      </extLst>
    </cfRule>
  </conditionalFormatting>
  <conditionalFormatting sqref="AF107">
    <cfRule type="dataBar" priority="725">
      <dataBar>
        <cfvo type="min"/>
        <cfvo type="max"/>
        <color rgb="FF63C384"/>
      </dataBar>
      <extLst>
        <ext xmlns:x14="http://schemas.microsoft.com/office/spreadsheetml/2009/9/main" uri="{B025F937-C7B1-47D3-B67F-A62EFF666E3E}">
          <x14:id>{FE212DC8-8F13-4452-97A9-9EC4481F0C20}</x14:id>
        </ext>
      </extLst>
    </cfRule>
  </conditionalFormatting>
  <conditionalFormatting sqref="AF108">
    <cfRule type="dataBar" priority="720">
      <dataBar>
        <cfvo type="min"/>
        <cfvo type="max"/>
        <color rgb="FF63C384"/>
      </dataBar>
      <extLst>
        <ext xmlns:x14="http://schemas.microsoft.com/office/spreadsheetml/2009/9/main" uri="{B025F937-C7B1-47D3-B67F-A62EFF666E3E}">
          <x14:id>{6E0F9457-1D03-4763-A092-849DB69D06F1}</x14:id>
        </ext>
      </extLst>
    </cfRule>
  </conditionalFormatting>
  <conditionalFormatting sqref="AF108">
    <cfRule type="dataBar" priority="719">
      <dataBar>
        <cfvo type="min"/>
        <cfvo type="max"/>
        <color rgb="FF63C384"/>
      </dataBar>
      <extLst>
        <ext xmlns:x14="http://schemas.microsoft.com/office/spreadsheetml/2009/9/main" uri="{B025F937-C7B1-47D3-B67F-A62EFF666E3E}">
          <x14:id>{2DFA2A2D-E572-4731-881E-3E52EDB8D44E}</x14:id>
        </ext>
      </extLst>
    </cfRule>
  </conditionalFormatting>
  <conditionalFormatting sqref="AF108">
    <cfRule type="dataBar" priority="718">
      <dataBar>
        <cfvo type="min"/>
        <cfvo type="max"/>
        <color rgb="FF63C384"/>
      </dataBar>
      <extLst>
        <ext xmlns:x14="http://schemas.microsoft.com/office/spreadsheetml/2009/9/main" uri="{B025F937-C7B1-47D3-B67F-A62EFF666E3E}">
          <x14:id>{E010AEC1-C5E5-465E-8D39-3FD2642E6238}</x14:id>
        </ext>
      </extLst>
    </cfRule>
  </conditionalFormatting>
  <conditionalFormatting sqref="AF108">
    <cfRule type="dataBar" priority="717">
      <dataBar>
        <cfvo type="min"/>
        <cfvo type="max"/>
        <color rgb="FF63C384"/>
      </dataBar>
      <extLst>
        <ext xmlns:x14="http://schemas.microsoft.com/office/spreadsheetml/2009/9/main" uri="{B025F937-C7B1-47D3-B67F-A62EFF666E3E}">
          <x14:id>{DC598C36-005F-403B-9EB7-361D10001F94}</x14:id>
        </ext>
      </extLst>
    </cfRule>
  </conditionalFormatting>
  <conditionalFormatting sqref="AF111">
    <cfRule type="dataBar" priority="713">
      <dataBar>
        <cfvo type="min"/>
        <cfvo type="max"/>
        <color rgb="FF63C384"/>
      </dataBar>
      <extLst>
        <ext xmlns:x14="http://schemas.microsoft.com/office/spreadsheetml/2009/9/main" uri="{B025F937-C7B1-47D3-B67F-A62EFF666E3E}">
          <x14:id>{AB66FB6D-E0BD-422F-90C9-2BEDA2AC966E}</x14:id>
        </ext>
      </extLst>
    </cfRule>
  </conditionalFormatting>
  <conditionalFormatting sqref="AF111">
    <cfRule type="dataBar" priority="712">
      <dataBar>
        <cfvo type="min"/>
        <cfvo type="max"/>
        <color rgb="FF63C384"/>
      </dataBar>
      <extLst>
        <ext xmlns:x14="http://schemas.microsoft.com/office/spreadsheetml/2009/9/main" uri="{B025F937-C7B1-47D3-B67F-A62EFF666E3E}">
          <x14:id>{DC69A063-9B9B-4D9D-BBE2-E24E8C41A32F}</x14:id>
        </ext>
      </extLst>
    </cfRule>
  </conditionalFormatting>
  <conditionalFormatting sqref="AF112">
    <cfRule type="dataBar" priority="709">
      <dataBar>
        <cfvo type="min"/>
        <cfvo type="max"/>
        <color rgb="FF63C384"/>
      </dataBar>
      <extLst>
        <ext xmlns:x14="http://schemas.microsoft.com/office/spreadsheetml/2009/9/main" uri="{B025F937-C7B1-47D3-B67F-A62EFF666E3E}">
          <x14:id>{40D2A521-EFD3-481E-9C73-27339D334EBD}</x14:id>
        </ext>
      </extLst>
    </cfRule>
  </conditionalFormatting>
  <conditionalFormatting sqref="AF112">
    <cfRule type="dataBar" priority="708">
      <dataBar>
        <cfvo type="min"/>
        <cfvo type="max"/>
        <color rgb="FF63C384"/>
      </dataBar>
      <extLst>
        <ext xmlns:x14="http://schemas.microsoft.com/office/spreadsheetml/2009/9/main" uri="{B025F937-C7B1-47D3-B67F-A62EFF666E3E}">
          <x14:id>{D46B0193-B740-4E23-9B88-09F3B759D73D}</x14:id>
        </ext>
      </extLst>
    </cfRule>
  </conditionalFormatting>
  <conditionalFormatting sqref="AF113">
    <cfRule type="dataBar" priority="705">
      <dataBar>
        <cfvo type="min"/>
        <cfvo type="max"/>
        <color rgb="FF63C384"/>
      </dataBar>
      <extLst>
        <ext xmlns:x14="http://schemas.microsoft.com/office/spreadsheetml/2009/9/main" uri="{B025F937-C7B1-47D3-B67F-A62EFF666E3E}">
          <x14:id>{F589E4DC-B2BA-4D7D-9195-73AF09F1334A}</x14:id>
        </ext>
      </extLst>
    </cfRule>
  </conditionalFormatting>
  <conditionalFormatting sqref="AF113">
    <cfRule type="dataBar" priority="704">
      <dataBar>
        <cfvo type="min"/>
        <cfvo type="max"/>
        <color rgb="FF63C384"/>
      </dataBar>
      <extLst>
        <ext xmlns:x14="http://schemas.microsoft.com/office/spreadsheetml/2009/9/main" uri="{B025F937-C7B1-47D3-B67F-A62EFF666E3E}">
          <x14:id>{3A0B35F0-5380-4586-9695-4D3E992A55F3}</x14:id>
        </ext>
      </extLst>
    </cfRule>
  </conditionalFormatting>
  <conditionalFormatting sqref="AF113">
    <cfRule type="dataBar" priority="701">
      <dataBar>
        <cfvo type="min"/>
        <cfvo type="max"/>
        <color rgb="FF63C384"/>
      </dataBar>
      <extLst>
        <ext xmlns:x14="http://schemas.microsoft.com/office/spreadsheetml/2009/9/main" uri="{B025F937-C7B1-47D3-B67F-A62EFF666E3E}">
          <x14:id>{E9A36250-0EE8-47C7-B0BE-F4D123AB7542}</x14:id>
        </ext>
      </extLst>
    </cfRule>
  </conditionalFormatting>
  <conditionalFormatting sqref="AF113">
    <cfRule type="dataBar" priority="700">
      <dataBar>
        <cfvo type="min"/>
        <cfvo type="max"/>
        <color rgb="FF63C384"/>
      </dataBar>
      <extLst>
        <ext xmlns:x14="http://schemas.microsoft.com/office/spreadsheetml/2009/9/main" uri="{B025F937-C7B1-47D3-B67F-A62EFF666E3E}">
          <x14:id>{ABCCE4A7-0898-40A9-99B3-77DF6B0E0AFE}</x14:id>
        </ext>
      </extLst>
    </cfRule>
  </conditionalFormatting>
  <conditionalFormatting sqref="AF114">
    <cfRule type="dataBar" priority="698">
      <dataBar>
        <cfvo type="min"/>
        <cfvo type="max"/>
        <color rgb="FF63C384"/>
      </dataBar>
      <extLst>
        <ext xmlns:x14="http://schemas.microsoft.com/office/spreadsheetml/2009/9/main" uri="{B025F937-C7B1-47D3-B67F-A62EFF666E3E}">
          <x14:id>{28362346-6462-4922-9BE0-A18FFE3415FC}</x14:id>
        </ext>
      </extLst>
    </cfRule>
  </conditionalFormatting>
  <conditionalFormatting sqref="AF114">
    <cfRule type="dataBar" priority="697">
      <dataBar>
        <cfvo type="min"/>
        <cfvo type="max"/>
        <color rgb="FF63C384"/>
      </dataBar>
      <extLst>
        <ext xmlns:x14="http://schemas.microsoft.com/office/spreadsheetml/2009/9/main" uri="{B025F937-C7B1-47D3-B67F-A62EFF666E3E}">
          <x14:id>{5DD23548-3EAE-4979-A247-87BDDE8A2442}</x14:id>
        </ext>
      </extLst>
    </cfRule>
  </conditionalFormatting>
  <conditionalFormatting sqref="AF115">
    <cfRule type="dataBar" priority="693">
      <dataBar>
        <cfvo type="min"/>
        <cfvo type="max"/>
        <color rgb="FF63C384"/>
      </dataBar>
      <extLst>
        <ext xmlns:x14="http://schemas.microsoft.com/office/spreadsheetml/2009/9/main" uri="{B025F937-C7B1-47D3-B67F-A62EFF666E3E}">
          <x14:id>{DC162710-99F8-4212-BFF6-174F19B6EC05}</x14:id>
        </ext>
      </extLst>
    </cfRule>
  </conditionalFormatting>
  <conditionalFormatting sqref="AF116">
    <cfRule type="dataBar" priority="689">
      <dataBar>
        <cfvo type="min"/>
        <cfvo type="max"/>
        <color rgb="FF63C384"/>
      </dataBar>
      <extLst>
        <ext xmlns:x14="http://schemas.microsoft.com/office/spreadsheetml/2009/9/main" uri="{B025F937-C7B1-47D3-B67F-A62EFF666E3E}">
          <x14:id>{9DBDFA4C-74FF-4F3F-817B-C7CFAFB77E5E}</x14:id>
        </ext>
      </extLst>
    </cfRule>
  </conditionalFormatting>
  <conditionalFormatting sqref="AF116">
    <cfRule type="dataBar" priority="688">
      <dataBar>
        <cfvo type="min"/>
        <cfvo type="max"/>
        <color rgb="FF63C384"/>
      </dataBar>
      <extLst>
        <ext xmlns:x14="http://schemas.microsoft.com/office/spreadsheetml/2009/9/main" uri="{B025F937-C7B1-47D3-B67F-A62EFF666E3E}">
          <x14:id>{DE49C447-B26D-418D-8455-9B52E60F2244}</x14:id>
        </ext>
      </extLst>
    </cfRule>
  </conditionalFormatting>
  <conditionalFormatting sqref="AF116">
    <cfRule type="dataBar" priority="686">
      <dataBar>
        <cfvo type="min"/>
        <cfvo type="max"/>
        <color rgb="FF63C384"/>
      </dataBar>
      <extLst>
        <ext xmlns:x14="http://schemas.microsoft.com/office/spreadsheetml/2009/9/main" uri="{B025F937-C7B1-47D3-B67F-A62EFF666E3E}">
          <x14:id>{CE7F2DEA-AB6F-439E-B935-4EE12250C815}</x14:id>
        </ext>
      </extLst>
    </cfRule>
  </conditionalFormatting>
  <conditionalFormatting sqref="AF116">
    <cfRule type="dataBar" priority="685">
      <dataBar>
        <cfvo type="min"/>
        <cfvo type="max"/>
        <color rgb="FF63C384"/>
      </dataBar>
      <extLst>
        <ext xmlns:x14="http://schemas.microsoft.com/office/spreadsheetml/2009/9/main" uri="{B025F937-C7B1-47D3-B67F-A62EFF666E3E}">
          <x14:id>{2FE3E033-7B56-4347-AFB0-89C0024AE5DE}</x14:id>
        </ext>
      </extLst>
    </cfRule>
  </conditionalFormatting>
  <conditionalFormatting sqref="AF116">
    <cfRule type="dataBar" priority="683">
      <dataBar>
        <cfvo type="min"/>
        <cfvo type="max"/>
        <color rgb="FF63C384"/>
      </dataBar>
      <extLst>
        <ext xmlns:x14="http://schemas.microsoft.com/office/spreadsheetml/2009/9/main" uri="{B025F937-C7B1-47D3-B67F-A62EFF666E3E}">
          <x14:id>{0DF2A46D-E716-49AE-B5CB-74FC81DB3BAF}</x14:id>
        </ext>
      </extLst>
    </cfRule>
  </conditionalFormatting>
  <conditionalFormatting sqref="AF116">
    <cfRule type="dataBar" priority="682">
      <dataBar>
        <cfvo type="min"/>
        <cfvo type="max"/>
        <color rgb="FF63C384"/>
      </dataBar>
      <extLst>
        <ext xmlns:x14="http://schemas.microsoft.com/office/spreadsheetml/2009/9/main" uri="{B025F937-C7B1-47D3-B67F-A62EFF666E3E}">
          <x14:id>{7FC7E40D-14A3-4009-B48F-90430EC2760E}</x14:id>
        </ext>
      </extLst>
    </cfRule>
  </conditionalFormatting>
  <conditionalFormatting sqref="AF116">
    <cfRule type="dataBar" priority="680">
      <dataBar>
        <cfvo type="min"/>
        <cfvo type="max"/>
        <color rgb="FF63C384"/>
      </dataBar>
      <extLst>
        <ext xmlns:x14="http://schemas.microsoft.com/office/spreadsheetml/2009/9/main" uri="{B025F937-C7B1-47D3-B67F-A62EFF666E3E}">
          <x14:id>{6B592596-CD07-4BEB-89A7-0AAF26C1C98C}</x14:id>
        </ext>
      </extLst>
    </cfRule>
  </conditionalFormatting>
  <conditionalFormatting sqref="AF116">
    <cfRule type="dataBar" priority="679">
      <dataBar>
        <cfvo type="min"/>
        <cfvo type="max"/>
        <color rgb="FF63C384"/>
      </dataBar>
      <extLst>
        <ext xmlns:x14="http://schemas.microsoft.com/office/spreadsheetml/2009/9/main" uri="{B025F937-C7B1-47D3-B67F-A62EFF666E3E}">
          <x14:id>{49960134-D738-4023-AF90-26993061193B}</x14:id>
        </ext>
      </extLst>
    </cfRule>
  </conditionalFormatting>
  <conditionalFormatting sqref="AF117">
    <cfRule type="dataBar" priority="674">
      <dataBar>
        <cfvo type="min"/>
        <cfvo type="max"/>
        <color rgb="FF63C384"/>
      </dataBar>
      <extLst>
        <ext xmlns:x14="http://schemas.microsoft.com/office/spreadsheetml/2009/9/main" uri="{B025F937-C7B1-47D3-B67F-A62EFF666E3E}">
          <x14:id>{696B86FE-E1C7-4B04-B426-E402BA1FFE34}</x14:id>
        </ext>
      </extLst>
    </cfRule>
  </conditionalFormatting>
  <conditionalFormatting sqref="AF117">
    <cfRule type="dataBar" priority="673">
      <dataBar>
        <cfvo type="min"/>
        <cfvo type="max"/>
        <color rgb="FF63C384"/>
      </dataBar>
      <extLst>
        <ext xmlns:x14="http://schemas.microsoft.com/office/spreadsheetml/2009/9/main" uri="{B025F937-C7B1-47D3-B67F-A62EFF666E3E}">
          <x14:id>{19BD98DE-A26D-4DD2-BF1A-299D045B6142}</x14:id>
        </ext>
      </extLst>
    </cfRule>
  </conditionalFormatting>
  <conditionalFormatting sqref="AF118">
    <cfRule type="dataBar" priority="670">
      <dataBar>
        <cfvo type="min"/>
        <cfvo type="max"/>
        <color rgb="FF63C384"/>
      </dataBar>
      <extLst>
        <ext xmlns:x14="http://schemas.microsoft.com/office/spreadsheetml/2009/9/main" uri="{B025F937-C7B1-47D3-B67F-A62EFF666E3E}">
          <x14:id>{A90E1E9F-085D-4839-BBB5-AA79D3455FBB}</x14:id>
        </ext>
      </extLst>
    </cfRule>
  </conditionalFormatting>
  <conditionalFormatting sqref="AF119">
    <cfRule type="dataBar" priority="666">
      <dataBar>
        <cfvo type="min"/>
        <cfvo type="max"/>
        <color rgb="FF63C384"/>
      </dataBar>
      <extLst>
        <ext xmlns:x14="http://schemas.microsoft.com/office/spreadsheetml/2009/9/main" uri="{B025F937-C7B1-47D3-B67F-A62EFF666E3E}">
          <x14:id>{0E152999-5396-4CF4-A895-C3CDAA75D6ED}</x14:id>
        </ext>
      </extLst>
    </cfRule>
  </conditionalFormatting>
  <conditionalFormatting sqref="AF119">
    <cfRule type="dataBar" priority="665">
      <dataBar>
        <cfvo type="min"/>
        <cfvo type="max"/>
        <color rgb="FF63C384"/>
      </dataBar>
      <extLst>
        <ext xmlns:x14="http://schemas.microsoft.com/office/spreadsheetml/2009/9/main" uri="{B025F937-C7B1-47D3-B67F-A62EFF666E3E}">
          <x14:id>{2CA9B17A-41DE-4A3D-A93A-DAAA5B65B473}</x14:id>
        </ext>
      </extLst>
    </cfRule>
  </conditionalFormatting>
  <conditionalFormatting sqref="AF120">
    <cfRule type="dataBar" priority="662">
      <dataBar>
        <cfvo type="min"/>
        <cfvo type="max"/>
        <color rgb="FF63C384"/>
      </dataBar>
      <extLst>
        <ext xmlns:x14="http://schemas.microsoft.com/office/spreadsheetml/2009/9/main" uri="{B025F937-C7B1-47D3-B67F-A62EFF666E3E}">
          <x14:id>{9AE5E9DA-B983-410A-8C0D-F6FC70B26389}</x14:id>
        </ext>
      </extLst>
    </cfRule>
  </conditionalFormatting>
  <conditionalFormatting sqref="AF120">
    <cfRule type="dataBar" priority="661">
      <dataBar>
        <cfvo type="min"/>
        <cfvo type="max"/>
        <color rgb="FF63C384"/>
      </dataBar>
      <extLst>
        <ext xmlns:x14="http://schemas.microsoft.com/office/spreadsheetml/2009/9/main" uri="{B025F937-C7B1-47D3-B67F-A62EFF666E3E}">
          <x14:id>{C8057AC9-9C97-4C0B-B685-1745982A4628}</x14:id>
        </ext>
      </extLst>
    </cfRule>
  </conditionalFormatting>
  <conditionalFormatting sqref="AF121">
    <cfRule type="dataBar" priority="656">
      <dataBar>
        <cfvo type="min"/>
        <cfvo type="max"/>
        <color rgb="FF63C384"/>
      </dataBar>
      <extLst>
        <ext xmlns:x14="http://schemas.microsoft.com/office/spreadsheetml/2009/9/main" uri="{B025F937-C7B1-47D3-B67F-A62EFF666E3E}">
          <x14:id>{7B7B8D37-3174-4AE6-BB61-46F3F7E60EE7}</x14:id>
        </ext>
      </extLst>
    </cfRule>
  </conditionalFormatting>
  <conditionalFormatting sqref="AF121">
    <cfRule type="dataBar" priority="655">
      <dataBar>
        <cfvo type="min"/>
        <cfvo type="max"/>
        <color rgb="FF63C384"/>
      </dataBar>
      <extLst>
        <ext xmlns:x14="http://schemas.microsoft.com/office/spreadsheetml/2009/9/main" uri="{B025F937-C7B1-47D3-B67F-A62EFF666E3E}">
          <x14:id>{235B9F77-E2C0-4EA6-9C4F-90D6B018494E}</x14:id>
        </ext>
      </extLst>
    </cfRule>
  </conditionalFormatting>
  <conditionalFormatting sqref="AF121">
    <cfRule type="dataBar" priority="653">
      <dataBar>
        <cfvo type="min"/>
        <cfvo type="max"/>
        <color rgb="FF63C384"/>
      </dataBar>
      <extLst>
        <ext xmlns:x14="http://schemas.microsoft.com/office/spreadsheetml/2009/9/main" uri="{B025F937-C7B1-47D3-B67F-A62EFF666E3E}">
          <x14:id>{83F6E77E-97FB-4356-ACE1-9254CCCB8E3C}</x14:id>
        </ext>
      </extLst>
    </cfRule>
  </conditionalFormatting>
  <conditionalFormatting sqref="AF121">
    <cfRule type="dataBar" priority="652">
      <dataBar>
        <cfvo type="min"/>
        <cfvo type="max"/>
        <color rgb="FF63C384"/>
      </dataBar>
      <extLst>
        <ext xmlns:x14="http://schemas.microsoft.com/office/spreadsheetml/2009/9/main" uri="{B025F937-C7B1-47D3-B67F-A62EFF666E3E}">
          <x14:id>{6EBFB19A-4AF1-4573-8415-6AD96259E28C}</x14:id>
        </ext>
      </extLst>
    </cfRule>
  </conditionalFormatting>
  <conditionalFormatting sqref="AF122">
    <cfRule type="dataBar" priority="649">
      <dataBar>
        <cfvo type="min"/>
        <cfvo type="max"/>
        <color rgb="FF63C384"/>
      </dataBar>
      <extLst>
        <ext xmlns:x14="http://schemas.microsoft.com/office/spreadsheetml/2009/9/main" uri="{B025F937-C7B1-47D3-B67F-A62EFF666E3E}">
          <x14:id>{F3C302EE-06C1-45E1-A488-84EE9BD236C2}</x14:id>
        </ext>
      </extLst>
    </cfRule>
  </conditionalFormatting>
  <conditionalFormatting sqref="AF123">
    <cfRule type="dataBar" priority="645">
      <dataBar>
        <cfvo type="min"/>
        <cfvo type="max"/>
        <color rgb="FF63C384"/>
      </dataBar>
      <extLst>
        <ext xmlns:x14="http://schemas.microsoft.com/office/spreadsheetml/2009/9/main" uri="{B025F937-C7B1-47D3-B67F-A62EFF666E3E}">
          <x14:id>{7BEF0203-9747-4E03-A97C-722A22CAE3B2}</x14:id>
        </ext>
      </extLst>
    </cfRule>
  </conditionalFormatting>
  <conditionalFormatting sqref="AF123">
    <cfRule type="dataBar" priority="644">
      <dataBar>
        <cfvo type="min"/>
        <cfvo type="max"/>
        <color rgb="FF63C384"/>
      </dataBar>
      <extLst>
        <ext xmlns:x14="http://schemas.microsoft.com/office/spreadsheetml/2009/9/main" uri="{B025F937-C7B1-47D3-B67F-A62EFF666E3E}">
          <x14:id>{9897E3AB-824A-40D9-ABB8-08BB65D0F32A}</x14:id>
        </ext>
      </extLst>
    </cfRule>
  </conditionalFormatting>
  <conditionalFormatting sqref="AF123">
    <cfRule type="dataBar" priority="643">
      <dataBar>
        <cfvo type="min"/>
        <cfvo type="max"/>
        <color rgb="FF63C384"/>
      </dataBar>
      <extLst>
        <ext xmlns:x14="http://schemas.microsoft.com/office/spreadsheetml/2009/9/main" uri="{B025F937-C7B1-47D3-B67F-A62EFF666E3E}">
          <x14:id>{01C9D988-F9B7-4ADB-850E-BD6CCC11E958}</x14:id>
        </ext>
      </extLst>
    </cfRule>
  </conditionalFormatting>
  <conditionalFormatting sqref="AF123">
    <cfRule type="dataBar" priority="642">
      <dataBar>
        <cfvo type="min"/>
        <cfvo type="max"/>
        <color rgb="FF63C384"/>
      </dataBar>
      <extLst>
        <ext xmlns:x14="http://schemas.microsoft.com/office/spreadsheetml/2009/9/main" uri="{B025F937-C7B1-47D3-B67F-A62EFF666E3E}">
          <x14:id>{C785D116-14BF-49A5-8D36-7681A7504B58}</x14:id>
        </ext>
      </extLst>
    </cfRule>
  </conditionalFormatting>
  <conditionalFormatting sqref="AF124">
    <cfRule type="dataBar" priority="640">
      <dataBar>
        <cfvo type="min"/>
        <cfvo type="max"/>
        <color rgb="FF63C384"/>
      </dataBar>
      <extLst>
        <ext xmlns:x14="http://schemas.microsoft.com/office/spreadsheetml/2009/9/main" uri="{B025F937-C7B1-47D3-B67F-A62EFF666E3E}">
          <x14:id>{24D93167-E548-442A-AED1-9A79F511B681}</x14:id>
        </ext>
      </extLst>
    </cfRule>
  </conditionalFormatting>
  <conditionalFormatting sqref="AF124">
    <cfRule type="dataBar" priority="639">
      <dataBar>
        <cfvo type="min"/>
        <cfvo type="max"/>
        <color rgb="FF63C384"/>
      </dataBar>
      <extLst>
        <ext xmlns:x14="http://schemas.microsoft.com/office/spreadsheetml/2009/9/main" uri="{B025F937-C7B1-47D3-B67F-A62EFF666E3E}">
          <x14:id>{857E7E4E-11A1-463D-A0C2-FF7C34BE6034}</x14:id>
        </ext>
      </extLst>
    </cfRule>
  </conditionalFormatting>
  <conditionalFormatting sqref="AF125">
    <cfRule type="dataBar" priority="634">
      <dataBar>
        <cfvo type="min"/>
        <cfvo type="max"/>
        <color rgb="FF63C384"/>
      </dataBar>
      <extLst>
        <ext xmlns:x14="http://schemas.microsoft.com/office/spreadsheetml/2009/9/main" uri="{B025F937-C7B1-47D3-B67F-A62EFF666E3E}">
          <x14:id>{B59991E2-0299-4456-9DC3-BE7E9FAB6A4C}</x14:id>
        </ext>
      </extLst>
    </cfRule>
  </conditionalFormatting>
  <conditionalFormatting sqref="AF125">
    <cfRule type="dataBar" priority="633">
      <dataBar>
        <cfvo type="min"/>
        <cfvo type="max"/>
        <color rgb="FF63C384"/>
      </dataBar>
      <extLst>
        <ext xmlns:x14="http://schemas.microsoft.com/office/spreadsheetml/2009/9/main" uri="{B025F937-C7B1-47D3-B67F-A62EFF666E3E}">
          <x14:id>{88B950B8-9405-44A3-8BAE-6E780944C95F}</x14:id>
        </ext>
      </extLst>
    </cfRule>
  </conditionalFormatting>
  <conditionalFormatting sqref="AF125">
    <cfRule type="dataBar" priority="632">
      <dataBar>
        <cfvo type="min"/>
        <cfvo type="max"/>
        <color rgb="FF63C384"/>
      </dataBar>
      <extLst>
        <ext xmlns:x14="http://schemas.microsoft.com/office/spreadsheetml/2009/9/main" uri="{B025F937-C7B1-47D3-B67F-A62EFF666E3E}">
          <x14:id>{3E5E8AEA-64D3-4484-B387-023E2E9DB96E}</x14:id>
        </ext>
      </extLst>
    </cfRule>
  </conditionalFormatting>
  <conditionalFormatting sqref="AF125">
    <cfRule type="dataBar" priority="631">
      <dataBar>
        <cfvo type="min"/>
        <cfvo type="max"/>
        <color rgb="FF63C384"/>
      </dataBar>
      <extLst>
        <ext xmlns:x14="http://schemas.microsoft.com/office/spreadsheetml/2009/9/main" uri="{B025F937-C7B1-47D3-B67F-A62EFF666E3E}">
          <x14:id>{A6AC5BFE-1C19-4DD0-8404-5F48785D23F9}</x14:id>
        </ext>
      </extLst>
    </cfRule>
  </conditionalFormatting>
  <conditionalFormatting sqref="AF127">
    <cfRule type="dataBar" priority="627">
      <dataBar>
        <cfvo type="min"/>
        <cfvo type="max"/>
        <color rgb="FF63C384"/>
      </dataBar>
      <extLst>
        <ext xmlns:x14="http://schemas.microsoft.com/office/spreadsheetml/2009/9/main" uri="{B025F937-C7B1-47D3-B67F-A62EFF666E3E}">
          <x14:id>{D896035A-AC85-45B6-BBDA-3534E6A8F627}</x14:id>
        </ext>
      </extLst>
    </cfRule>
  </conditionalFormatting>
  <conditionalFormatting sqref="AF127">
    <cfRule type="dataBar" priority="626">
      <dataBar>
        <cfvo type="min"/>
        <cfvo type="max"/>
        <color rgb="FF63C384"/>
      </dataBar>
      <extLst>
        <ext xmlns:x14="http://schemas.microsoft.com/office/spreadsheetml/2009/9/main" uri="{B025F937-C7B1-47D3-B67F-A62EFF666E3E}">
          <x14:id>{59CC54EA-C0F2-4DED-B480-1F136C3F4220}</x14:id>
        </ext>
      </extLst>
    </cfRule>
  </conditionalFormatting>
  <conditionalFormatting sqref="AF128">
    <cfRule type="dataBar" priority="622">
      <dataBar>
        <cfvo type="min"/>
        <cfvo type="max"/>
        <color rgb="FF63C384"/>
      </dataBar>
      <extLst>
        <ext xmlns:x14="http://schemas.microsoft.com/office/spreadsheetml/2009/9/main" uri="{B025F937-C7B1-47D3-B67F-A62EFF666E3E}">
          <x14:id>{1ED6B0AE-5F9C-4069-9092-1F65F4C444B4}</x14:id>
        </ext>
      </extLst>
    </cfRule>
  </conditionalFormatting>
  <conditionalFormatting sqref="AF128">
    <cfRule type="dataBar" priority="621">
      <dataBar>
        <cfvo type="min"/>
        <cfvo type="max"/>
        <color rgb="FF63C384"/>
      </dataBar>
      <extLst>
        <ext xmlns:x14="http://schemas.microsoft.com/office/spreadsheetml/2009/9/main" uri="{B025F937-C7B1-47D3-B67F-A62EFF666E3E}">
          <x14:id>{3E71F378-49C1-4785-857F-90AA5B6DA3AF}</x14:id>
        </ext>
      </extLst>
    </cfRule>
  </conditionalFormatting>
  <conditionalFormatting sqref="AF129">
    <cfRule type="dataBar" priority="618">
      <dataBar>
        <cfvo type="min"/>
        <cfvo type="max"/>
        <color rgb="FF63C384"/>
      </dataBar>
      <extLst>
        <ext xmlns:x14="http://schemas.microsoft.com/office/spreadsheetml/2009/9/main" uri="{B025F937-C7B1-47D3-B67F-A62EFF666E3E}">
          <x14:id>{510F024D-2845-4B80-AE43-A3E694447A5D}</x14:id>
        </ext>
      </extLst>
    </cfRule>
  </conditionalFormatting>
  <conditionalFormatting sqref="AF129">
    <cfRule type="dataBar" priority="617">
      <dataBar>
        <cfvo type="min"/>
        <cfvo type="max"/>
        <color rgb="FF63C384"/>
      </dataBar>
      <extLst>
        <ext xmlns:x14="http://schemas.microsoft.com/office/spreadsheetml/2009/9/main" uri="{B025F937-C7B1-47D3-B67F-A62EFF666E3E}">
          <x14:id>{0A2B8F03-0F4C-43DD-9A27-3D62ECBC1DA3}</x14:id>
        </ext>
      </extLst>
    </cfRule>
  </conditionalFormatting>
  <conditionalFormatting sqref="AF129">
    <cfRule type="dataBar" priority="615">
      <dataBar>
        <cfvo type="min"/>
        <cfvo type="max"/>
        <color rgb="FF63C384"/>
      </dataBar>
      <extLst>
        <ext xmlns:x14="http://schemas.microsoft.com/office/spreadsheetml/2009/9/main" uri="{B025F937-C7B1-47D3-B67F-A62EFF666E3E}">
          <x14:id>{413F6913-2E0E-429E-A2BF-01CDC914622D}</x14:id>
        </ext>
      </extLst>
    </cfRule>
  </conditionalFormatting>
  <conditionalFormatting sqref="AF129">
    <cfRule type="dataBar" priority="614">
      <dataBar>
        <cfvo type="min"/>
        <cfvo type="max"/>
        <color rgb="FF63C384"/>
      </dataBar>
      <extLst>
        <ext xmlns:x14="http://schemas.microsoft.com/office/spreadsheetml/2009/9/main" uri="{B025F937-C7B1-47D3-B67F-A62EFF666E3E}">
          <x14:id>{D52E6A21-9D86-4CA3-8C83-D44A1C1A7FB3}</x14:id>
        </ext>
      </extLst>
    </cfRule>
  </conditionalFormatting>
  <conditionalFormatting sqref="AF129">
    <cfRule type="dataBar" priority="612">
      <dataBar>
        <cfvo type="min"/>
        <cfvo type="max"/>
        <color rgb="FF63C384"/>
      </dataBar>
      <extLst>
        <ext xmlns:x14="http://schemas.microsoft.com/office/spreadsheetml/2009/9/main" uri="{B025F937-C7B1-47D3-B67F-A62EFF666E3E}">
          <x14:id>{7597DD75-15CA-4F1F-8B33-176FAFE595E8}</x14:id>
        </ext>
      </extLst>
    </cfRule>
  </conditionalFormatting>
  <conditionalFormatting sqref="AF129">
    <cfRule type="dataBar" priority="611">
      <dataBar>
        <cfvo type="min"/>
        <cfvo type="max"/>
        <color rgb="FF63C384"/>
      </dataBar>
      <extLst>
        <ext xmlns:x14="http://schemas.microsoft.com/office/spreadsheetml/2009/9/main" uri="{B025F937-C7B1-47D3-B67F-A62EFF666E3E}">
          <x14:id>{D8134D73-122D-4697-8FCD-C741C85DA586}</x14:id>
        </ext>
      </extLst>
    </cfRule>
  </conditionalFormatting>
  <conditionalFormatting sqref="AF129">
    <cfRule type="dataBar" priority="609">
      <dataBar>
        <cfvo type="min"/>
        <cfvo type="max"/>
        <color rgb="FF63C384"/>
      </dataBar>
      <extLst>
        <ext xmlns:x14="http://schemas.microsoft.com/office/spreadsheetml/2009/9/main" uri="{B025F937-C7B1-47D3-B67F-A62EFF666E3E}">
          <x14:id>{F315870B-BA9C-4FAD-B2FD-765914B79E66}</x14:id>
        </ext>
      </extLst>
    </cfRule>
  </conditionalFormatting>
  <conditionalFormatting sqref="AF129">
    <cfRule type="dataBar" priority="608">
      <dataBar>
        <cfvo type="min"/>
        <cfvo type="max"/>
        <color rgb="FF63C384"/>
      </dataBar>
      <extLst>
        <ext xmlns:x14="http://schemas.microsoft.com/office/spreadsheetml/2009/9/main" uri="{B025F937-C7B1-47D3-B67F-A62EFF666E3E}">
          <x14:id>{8F3AFA51-7246-498E-9D38-AC5890165F11}</x14:id>
        </ext>
      </extLst>
    </cfRule>
  </conditionalFormatting>
  <conditionalFormatting sqref="AF130">
    <cfRule type="dataBar" priority="603">
      <dataBar>
        <cfvo type="min"/>
        <cfvo type="max"/>
        <color rgb="FF63C384"/>
      </dataBar>
      <extLst>
        <ext xmlns:x14="http://schemas.microsoft.com/office/spreadsheetml/2009/9/main" uri="{B025F937-C7B1-47D3-B67F-A62EFF666E3E}">
          <x14:id>{3E27878C-9B2D-45A3-A9C2-274C62929B40}</x14:id>
        </ext>
      </extLst>
    </cfRule>
  </conditionalFormatting>
  <conditionalFormatting sqref="AF131">
    <cfRule type="dataBar" priority="599">
      <dataBar>
        <cfvo type="min"/>
        <cfvo type="max"/>
        <color rgb="FF63C384"/>
      </dataBar>
      <extLst>
        <ext xmlns:x14="http://schemas.microsoft.com/office/spreadsheetml/2009/9/main" uri="{B025F937-C7B1-47D3-B67F-A62EFF666E3E}">
          <x14:id>{A8D24F91-FFB6-44AB-9559-F8682A0B0DD2}</x14:id>
        </ext>
      </extLst>
    </cfRule>
  </conditionalFormatting>
  <conditionalFormatting sqref="AF132">
    <cfRule type="dataBar" priority="595">
      <dataBar>
        <cfvo type="min"/>
        <cfvo type="max"/>
        <color rgb="FF63C384"/>
      </dataBar>
      <extLst>
        <ext xmlns:x14="http://schemas.microsoft.com/office/spreadsheetml/2009/9/main" uri="{B025F937-C7B1-47D3-B67F-A62EFF666E3E}">
          <x14:id>{734E7AB4-D416-49BD-94AE-FE1A1E860B49}</x14:id>
        </ext>
      </extLst>
    </cfRule>
  </conditionalFormatting>
  <conditionalFormatting sqref="AF132">
    <cfRule type="dataBar" priority="594">
      <dataBar>
        <cfvo type="min"/>
        <cfvo type="max"/>
        <color rgb="FF63C384"/>
      </dataBar>
      <extLst>
        <ext xmlns:x14="http://schemas.microsoft.com/office/spreadsheetml/2009/9/main" uri="{B025F937-C7B1-47D3-B67F-A62EFF666E3E}">
          <x14:id>{A2252B7B-2CD1-43E4-BB06-0C1F66DBE266}</x14:id>
        </ext>
      </extLst>
    </cfRule>
  </conditionalFormatting>
  <conditionalFormatting sqref="AF133">
    <cfRule type="dataBar" priority="589">
      <dataBar>
        <cfvo type="min"/>
        <cfvo type="max"/>
        <color rgb="FF63C384"/>
      </dataBar>
      <extLst>
        <ext xmlns:x14="http://schemas.microsoft.com/office/spreadsheetml/2009/9/main" uri="{B025F937-C7B1-47D3-B67F-A62EFF666E3E}">
          <x14:id>{0166A591-55AC-4455-A26C-95179BE77D70}</x14:id>
        </ext>
      </extLst>
    </cfRule>
  </conditionalFormatting>
  <conditionalFormatting sqref="AF133">
    <cfRule type="dataBar" priority="588">
      <dataBar>
        <cfvo type="min"/>
        <cfvo type="max"/>
        <color rgb="FF63C384"/>
      </dataBar>
      <extLst>
        <ext xmlns:x14="http://schemas.microsoft.com/office/spreadsheetml/2009/9/main" uri="{B025F937-C7B1-47D3-B67F-A62EFF666E3E}">
          <x14:id>{33CE5267-A30F-4503-A52D-6C18769384C5}</x14:id>
        </ext>
      </extLst>
    </cfRule>
  </conditionalFormatting>
  <conditionalFormatting sqref="AF133">
    <cfRule type="dataBar" priority="586">
      <dataBar>
        <cfvo type="min"/>
        <cfvo type="max"/>
        <color rgb="FF63C384"/>
      </dataBar>
      <extLst>
        <ext xmlns:x14="http://schemas.microsoft.com/office/spreadsheetml/2009/9/main" uri="{B025F937-C7B1-47D3-B67F-A62EFF666E3E}">
          <x14:id>{A11D8767-527F-4885-8AC4-DDCB3D5F3AE7}</x14:id>
        </ext>
      </extLst>
    </cfRule>
  </conditionalFormatting>
  <conditionalFormatting sqref="AF133">
    <cfRule type="dataBar" priority="585">
      <dataBar>
        <cfvo type="min"/>
        <cfvo type="max"/>
        <color rgb="FF63C384"/>
      </dataBar>
      <extLst>
        <ext xmlns:x14="http://schemas.microsoft.com/office/spreadsheetml/2009/9/main" uri="{B025F937-C7B1-47D3-B67F-A62EFF666E3E}">
          <x14:id>{6458632F-CB44-4D8F-AD85-4983DAD68DDE}</x14:id>
        </ext>
      </extLst>
    </cfRule>
  </conditionalFormatting>
  <conditionalFormatting sqref="AF134">
    <cfRule type="dataBar" priority="582">
      <dataBar>
        <cfvo type="min"/>
        <cfvo type="max"/>
        <color rgb="FF63C384"/>
      </dataBar>
      <extLst>
        <ext xmlns:x14="http://schemas.microsoft.com/office/spreadsheetml/2009/9/main" uri="{B025F937-C7B1-47D3-B67F-A62EFF666E3E}">
          <x14:id>{737BC350-B860-48DB-8262-5394C54071A3}</x14:id>
        </ext>
      </extLst>
    </cfRule>
  </conditionalFormatting>
  <conditionalFormatting sqref="AF135">
    <cfRule type="dataBar" priority="578">
      <dataBar>
        <cfvo type="min"/>
        <cfvo type="max"/>
        <color rgb="FF63C384"/>
      </dataBar>
      <extLst>
        <ext xmlns:x14="http://schemas.microsoft.com/office/spreadsheetml/2009/9/main" uri="{B025F937-C7B1-47D3-B67F-A62EFF666E3E}">
          <x14:id>{23580082-C523-49CF-9B85-238B9BFE0846}</x14:id>
        </ext>
      </extLst>
    </cfRule>
  </conditionalFormatting>
  <conditionalFormatting sqref="AF135">
    <cfRule type="dataBar" priority="577">
      <dataBar>
        <cfvo type="min"/>
        <cfvo type="max"/>
        <color rgb="FF63C384"/>
      </dataBar>
      <extLst>
        <ext xmlns:x14="http://schemas.microsoft.com/office/spreadsheetml/2009/9/main" uri="{B025F937-C7B1-47D3-B67F-A62EFF666E3E}">
          <x14:id>{2D2209D9-970E-4F49-811F-A36CD2DF070F}</x14:id>
        </ext>
      </extLst>
    </cfRule>
  </conditionalFormatting>
  <conditionalFormatting sqref="AF135">
    <cfRule type="dataBar" priority="576">
      <dataBar>
        <cfvo type="min"/>
        <cfvo type="max"/>
        <color rgb="FF63C384"/>
      </dataBar>
      <extLst>
        <ext xmlns:x14="http://schemas.microsoft.com/office/spreadsheetml/2009/9/main" uri="{B025F937-C7B1-47D3-B67F-A62EFF666E3E}">
          <x14:id>{B6AA3904-CFB0-46E6-82FF-7E9988552268}</x14:id>
        </ext>
      </extLst>
    </cfRule>
  </conditionalFormatting>
  <conditionalFormatting sqref="AF135">
    <cfRule type="dataBar" priority="575">
      <dataBar>
        <cfvo type="min"/>
        <cfvo type="max"/>
        <color rgb="FF63C384"/>
      </dataBar>
      <extLst>
        <ext xmlns:x14="http://schemas.microsoft.com/office/spreadsheetml/2009/9/main" uri="{B025F937-C7B1-47D3-B67F-A62EFF666E3E}">
          <x14:id>{23214043-4EFD-4E5F-8E59-5EA4C4874280}</x14:id>
        </ext>
      </extLst>
    </cfRule>
  </conditionalFormatting>
  <conditionalFormatting sqref="AF136">
    <cfRule type="dataBar" priority="572">
      <dataBar>
        <cfvo type="min"/>
        <cfvo type="max"/>
        <color rgb="FF63C384"/>
      </dataBar>
      <extLst>
        <ext xmlns:x14="http://schemas.microsoft.com/office/spreadsheetml/2009/9/main" uri="{B025F937-C7B1-47D3-B67F-A62EFF666E3E}">
          <x14:id>{BC725E6F-02D4-4264-A062-59876D37A49B}</x14:id>
        </ext>
      </extLst>
    </cfRule>
  </conditionalFormatting>
  <conditionalFormatting sqref="AF136">
    <cfRule type="dataBar" priority="571">
      <dataBar>
        <cfvo type="min"/>
        <cfvo type="max"/>
        <color rgb="FF63C384"/>
      </dataBar>
      <extLst>
        <ext xmlns:x14="http://schemas.microsoft.com/office/spreadsheetml/2009/9/main" uri="{B025F937-C7B1-47D3-B67F-A62EFF666E3E}">
          <x14:id>{268E73AB-497E-46F7-8D28-B0FFB3DEB4AD}</x14:id>
        </ext>
      </extLst>
    </cfRule>
  </conditionalFormatting>
  <conditionalFormatting sqref="AF136">
    <cfRule type="dataBar" priority="570">
      <dataBar>
        <cfvo type="min"/>
        <cfvo type="max"/>
        <color rgb="FF63C384"/>
      </dataBar>
      <extLst>
        <ext xmlns:x14="http://schemas.microsoft.com/office/spreadsheetml/2009/9/main" uri="{B025F937-C7B1-47D3-B67F-A62EFF666E3E}">
          <x14:id>{53341D7F-84CC-438F-B19A-16F22A536CE8}</x14:id>
        </ext>
      </extLst>
    </cfRule>
  </conditionalFormatting>
  <conditionalFormatting sqref="AF136">
    <cfRule type="dataBar" priority="569">
      <dataBar>
        <cfvo type="min"/>
        <cfvo type="max"/>
        <color rgb="FF63C384"/>
      </dataBar>
      <extLst>
        <ext xmlns:x14="http://schemas.microsoft.com/office/spreadsheetml/2009/9/main" uri="{B025F937-C7B1-47D3-B67F-A62EFF666E3E}">
          <x14:id>{A52FA480-E681-4D06-866C-4167D888B8F3}</x14:id>
        </ext>
      </extLst>
    </cfRule>
  </conditionalFormatting>
  <conditionalFormatting sqref="AF137">
    <cfRule type="dataBar" priority="566">
      <dataBar>
        <cfvo type="min"/>
        <cfvo type="max"/>
        <color rgb="FF63C384"/>
      </dataBar>
      <extLst>
        <ext xmlns:x14="http://schemas.microsoft.com/office/spreadsheetml/2009/9/main" uri="{B025F937-C7B1-47D3-B67F-A62EFF666E3E}">
          <x14:id>{42B7F004-7642-47FE-A608-23A0A8824154}</x14:id>
        </ext>
      </extLst>
    </cfRule>
  </conditionalFormatting>
  <conditionalFormatting sqref="AF137">
    <cfRule type="dataBar" priority="565">
      <dataBar>
        <cfvo type="min"/>
        <cfvo type="max"/>
        <color rgb="FF63C384"/>
      </dataBar>
      <extLst>
        <ext xmlns:x14="http://schemas.microsoft.com/office/spreadsheetml/2009/9/main" uri="{B025F937-C7B1-47D3-B67F-A62EFF666E3E}">
          <x14:id>{416CDBA3-8956-4962-AB45-DBED2221E24D}</x14:id>
        </ext>
      </extLst>
    </cfRule>
  </conditionalFormatting>
  <conditionalFormatting sqref="AF139">
    <cfRule type="dataBar" priority="559">
      <dataBar>
        <cfvo type="min"/>
        <cfvo type="max"/>
        <color rgb="FF63C384"/>
      </dataBar>
      <extLst>
        <ext xmlns:x14="http://schemas.microsoft.com/office/spreadsheetml/2009/9/main" uri="{B025F937-C7B1-47D3-B67F-A62EFF666E3E}">
          <x14:id>{A30EC625-F019-46C2-8CE9-785F59570577}</x14:id>
        </ext>
      </extLst>
    </cfRule>
  </conditionalFormatting>
  <conditionalFormatting sqref="AF109:AF110">
    <cfRule type="dataBar" priority="1207">
      <dataBar>
        <cfvo type="min"/>
        <cfvo type="max"/>
        <color rgb="FF63C384"/>
      </dataBar>
      <extLst>
        <ext xmlns:x14="http://schemas.microsoft.com/office/spreadsheetml/2009/9/main" uri="{B025F937-C7B1-47D3-B67F-A62EFF666E3E}">
          <x14:id>{7939D698-314A-4BA1-870A-BE8DD4CB6AEE}</x14:id>
        </ext>
      </extLst>
    </cfRule>
  </conditionalFormatting>
  <conditionalFormatting sqref="AF140">
    <cfRule type="dataBar" priority="556">
      <dataBar>
        <cfvo type="min"/>
        <cfvo type="max"/>
        <color rgb="FF63C384"/>
      </dataBar>
      <extLst>
        <ext xmlns:x14="http://schemas.microsoft.com/office/spreadsheetml/2009/9/main" uri="{B025F937-C7B1-47D3-B67F-A62EFF666E3E}">
          <x14:id>{79E27863-9FDD-4BB6-9424-F63F415FF207}</x14:id>
        </ext>
      </extLst>
    </cfRule>
  </conditionalFormatting>
  <conditionalFormatting sqref="AF140">
    <cfRule type="dataBar" priority="555">
      <dataBar>
        <cfvo type="min"/>
        <cfvo type="max"/>
        <color rgb="FF63C384"/>
      </dataBar>
      <extLst>
        <ext xmlns:x14="http://schemas.microsoft.com/office/spreadsheetml/2009/9/main" uri="{B025F937-C7B1-47D3-B67F-A62EFF666E3E}">
          <x14:id>{688BFE73-16E5-498A-9FE0-2A70CC508B08}</x14:id>
        </ext>
      </extLst>
    </cfRule>
  </conditionalFormatting>
  <conditionalFormatting sqref="AF140">
    <cfRule type="dataBar" priority="554">
      <dataBar>
        <cfvo type="min"/>
        <cfvo type="max"/>
        <color rgb="FF63C384"/>
      </dataBar>
      <extLst>
        <ext xmlns:x14="http://schemas.microsoft.com/office/spreadsheetml/2009/9/main" uri="{B025F937-C7B1-47D3-B67F-A62EFF666E3E}">
          <x14:id>{DBA8A527-3562-4EFE-875B-3C65B7597AE0}</x14:id>
        </ext>
      </extLst>
    </cfRule>
  </conditionalFormatting>
  <conditionalFormatting sqref="AF140">
    <cfRule type="dataBar" priority="553">
      <dataBar>
        <cfvo type="min"/>
        <cfvo type="max"/>
        <color rgb="FF63C384"/>
      </dataBar>
      <extLst>
        <ext xmlns:x14="http://schemas.microsoft.com/office/spreadsheetml/2009/9/main" uri="{B025F937-C7B1-47D3-B67F-A62EFF666E3E}">
          <x14:id>{6FF63EAB-5344-46F6-93C7-91961C54B54C}</x14:id>
        </ext>
      </extLst>
    </cfRule>
  </conditionalFormatting>
  <conditionalFormatting sqref="AF142">
    <cfRule type="dataBar" priority="550">
      <dataBar>
        <cfvo type="min"/>
        <cfvo type="max"/>
        <color rgb="FF63C384"/>
      </dataBar>
      <extLst>
        <ext xmlns:x14="http://schemas.microsoft.com/office/spreadsheetml/2009/9/main" uri="{B025F937-C7B1-47D3-B67F-A62EFF666E3E}">
          <x14:id>{E7873527-93F0-40A8-9413-26AD39E3366E}</x14:id>
        </ext>
      </extLst>
    </cfRule>
  </conditionalFormatting>
  <conditionalFormatting sqref="AF142">
    <cfRule type="dataBar" priority="549">
      <dataBar>
        <cfvo type="min"/>
        <cfvo type="max"/>
        <color rgb="FF63C384"/>
      </dataBar>
      <extLst>
        <ext xmlns:x14="http://schemas.microsoft.com/office/spreadsheetml/2009/9/main" uri="{B025F937-C7B1-47D3-B67F-A62EFF666E3E}">
          <x14:id>{CA218CFF-F865-4557-B949-6D557DE3547C}</x14:id>
        </ext>
      </extLst>
    </cfRule>
  </conditionalFormatting>
  <conditionalFormatting sqref="AF143">
    <cfRule type="dataBar" priority="545">
      <dataBar>
        <cfvo type="min"/>
        <cfvo type="max"/>
        <color rgb="FF63C384"/>
      </dataBar>
      <extLst>
        <ext xmlns:x14="http://schemas.microsoft.com/office/spreadsheetml/2009/9/main" uri="{B025F937-C7B1-47D3-B67F-A62EFF666E3E}">
          <x14:id>{65EBBBA7-3BD1-4058-8D73-8DE07805E5D2}</x14:id>
        </ext>
      </extLst>
    </cfRule>
  </conditionalFormatting>
  <conditionalFormatting sqref="AF144">
    <cfRule type="dataBar" priority="541">
      <dataBar>
        <cfvo type="min"/>
        <cfvo type="max"/>
        <color rgb="FF63C384"/>
      </dataBar>
      <extLst>
        <ext xmlns:x14="http://schemas.microsoft.com/office/spreadsheetml/2009/9/main" uri="{B025F937-C7B1-47D3-B67F-A62EFF666E3E}">
          <x14:id>{74457535-772E-457D-9361-15DC1C35B10D}</x14:id>
        </ext>
      </extLst>
    </cfRule>
  </conditionalFormatting>
  <conditionalFormatting sqref="AF144">
    <cfRule type="dataBar" priority="540">
      <dataBar>
        <cfvo type="min"/>
        <cfvo type="max"/>
        <color rgb="FF63C384"/>
      </dataBar>
      <extLst>
        <ext xmlns:x14="http://schemas.microsoft.com/office/spreadsheetml/2009/9/main" uri="{B025F937-C7B1-47D3-B67F-A62EFF666E3E}">
          <x14:id>{E03687DD-455F-4BD3-A306-7A6CB0F3204E}</x14:id>
        </ext>
      </extLst>
    </cfRule>
  </conditionalFormatting>
  <conditionalFormatting sqref="AF145">
    <cfRule type="dataBar" priority="537">
      <dataBar>
        <cfvo type="min"/>
        <cfvo type="max"/>
        <color rgb="FF63C384"/>
      </dataBar>
      <extLst>
        <ext xmlns:x14="http://schemas.microsoft.com/office/spreadsheetml/2009/9/main" uri="{B025F937-C7B1-47D3-B67F-A62EFF666E3E}">
          <x14:id>{B82B5978-195B-45D5-92A9-7D6B45FEEF3D}</x14:id>
        </ext>
      </extLst>
    </cfRule>
  </conditionalFormatting>
  <conditionalFormatting sqref="AF145">
    <cfRule type="dataBar" priority="536">
      <dataBar>
        <cfvo type="min"/>
        <cfvo type="max"/>
        <color rgb="FF63C384"/>
      </dataBar>
      <extLst>
        <ext xmlns:x14="http://schemas.microsoft.com/office/spreadsheetml/2009/9/main" uri="{B025F937-C7B1-47D3-B67F-A62EFF666E3E}">
          <x14:id>{3F6C9C09-C23F-48F4-9929-83D2F2E074CE}</x14:id>
        </ext>
      </extLst>
    </cfRule>
  </conditionalFormatting>
  <conditionalFormatting sqref="AF145">
    <cfRule type="dataBar" priority="534">
      <dataBar>
        <cfvo type="min"/>
        <cfvo type="max"/>
        <color rgb="FF63C384"/>
      </dataBar>
      <extLst>
        <ext xmlns:x14="http://schemas.microsoft.com/office/spreadsheetml/2009/9/main" uri="{B025F937-C7B1-47D3-B67F-A62EFF666E3E}">
          <x14:id>{09AA7396-D0FA-4192-ABE9-68EDB37B71A6}</x14:id>
        </ext>
      </extLst>
    </cfRule>
  </conditionalFormatting>
  <conditionalFormatting sqref="AF145">
    <cfRule type="dataBar" priority="533">
      <dataBar>
        <cfvo type="min"/>
        <cfvo type="max"/>
        <color rgb="FF63C384"/>
      </dataBar>
      <extLst>
        <ext xmlns:x14="http://schemas.microsoft.com/office/spreadsheetml/2009/9/main" uri="{B025F937-C7B1-47D3-B67F-A62EFF666E3E}">
          <x14:id>{145AE9A5-359A-48E5-9E8E-13CE83232090}</x14:id>
        </ext>
      </extLst>
    </cfRule>
  </conditionalFormatting>
  <conditionalFormatting sqref="AF145">
    <cfRule type="dataBar" priority="531">
      <dataBar>
        <cfvo type="min"/>
        <cfvo type="max"/>
        <color rgb="FF63C384"/>
      </dataBar>
      <extLst>
        <ext xmlns:x14="http://schemas.microsoft.com/office/spreadsheetml/2009/9/main" uri="{B025F937-C7B1-47D3-B67F-A62EFF666E3E}">
          <x14:id>{4CC44F22-DFCD-48D8-9154-3020D8D34908}</x14:id>
        </ext>
      </extLst>
    </cfRule>
  </conditionalFormatting>
  <conditionalFormatting sqref="AF145">
    <cfRule type="dataBar" priority="530">
      <dataBar>
        <cfvo type="min"/>
        <cfvo type="max"/>
        <color rgb="FF63C384"/>
      </dataBar>
      <extLst>
        <ext xmlns:x14="http://schemas.microsoft.com/office/spreadsheetml/2009/9/main" uri="{B025F937-C7B1-47D3-B67F-A62EFF666E3E}">
          <x14:id>{ABD8D259-2304-46C4-898D-93AC20A79F69}</x14:id>
        </ext>
      </extLst>
    </cfRule>
  </conditionalFormatting>
  <conditionalFormatting sqref="AF145">
    <cfRule type="dataBar" priority="528">
      <dataBar>
        <cfvo type="min"/>
        <cfvo type="max"/>
        <color rgb="FF63C384"/>
      </dataBar>
      <extLst>
        <ext xmlns:x14="http://schemas.microsoft.com/office/spreadsheetml/2009/9/main" uri="{B025F937-C7B1-47D3-B67F-A62EFF666E3E}">
          <x14:id>{F41FD2DD-CBA3-4610-B835-F0D43F431094}</x14:id>
        </ext>
      </extLst>
    </cfRule>
  </conditionalFormatting>
  <conditionalFormatting sqref="AF145">
    <cfRule type="dataBar" priority="527">
      <dataBar>
        <cfvo type="min"/>
        <cfvo type="max"/>
        <color rgb="FF63C384"/>
      </dataBar>
      <extLst>
        <ext xmlns:x14="http://schemas.microsoft.com/office/spreadsheetml/2009/9/main" uri="{B025F937-C7B1-47D3-B67F-A62EFF666E3E}">
          <x14:id>{2DF71FB5-9CDC-4F48-B4EB-A5B09ADA4146}</x14:id>
        </ext>
      </extLst>
    </cfRule>
  </conditionalFormatting>
  <conditionalFormatting sqref="AF146">
    <cfRule type="dataBar" priority="522">
      <dataBar>
        <cfvo type="min"/>
        <cfvo type="max"/>
        <color rgb="FF63C384"/>
      </dataBar>
      <extLst>
        <ext xmlns:x14="http://schemas.microsoft.com/office/spreadsheetml/2009/9/main" uri="{B025F937-C7B1-47D3-B67F-A62EFF666E3E}">
          <x14:id>{47808208-E02C-452E-B0FF-0B61E4201DD4}</x14:id>
        </ext>
      </extLst>
    </cfRule>
  </conditionalFormatting>
  <conditionalFormatting sqref="AF147">
    <cfRule type="dataBar" priority="518">
      <dataBar>
        <cfvo type="min"/>
        <cfvo type="max"/>
        <color rgb="FF63C384"/>
      </dataBar>
      <extLst>
        <ext xmlns:x14="http://schemas.microsoft.com/office/spreadsheetml/2009/9/main" uri="{B025F937-C7B1-47D3-B67F-A62EFF666E3E}">
          <x14:id>{A8E5F054-20D7-48D0-8174-43863FCEE1E9}</x14:id>
        </ext>
      </extLst>
    </cfRule>
  </conditionalFormatting>
  <conditionalFormatting sqref="AF147">
    <cfRule type="dataBar" priority="517">
      <dataBar>
        <cfvo type="min"/>
        <cfvo type="max"/>
        <color rgb="FF63C384"/>
      </dataBar>
      <extLst>
        <ext xmlns:x14="http://schemas.microsoft.com/office/spreadsheetml/2009/9/main" uri="{B025F937-C7B1-47D3-B67F-A62EFF666E3E}">
          <x14:id>{977F8765-41D4-4C58-95EE-037C92D3AB88}</x14:id>
        </ext>
      </extLst>
    </cfRule>
  </conditionalFormatting>
  <conditionalFormatting sqref="AF148">
    <cfRule type="dataBar" priority="514">
      <dataBar>
        <cfvo type="min"/>
        <cfvo type="max"/>
        <color rgb="FF63C384"/>
      </dataBar>
      <extLst>
        <ext xmlns:x14="http://schemas.microsoft.com/office/spreadsheetml/2009/9/main" uri="{B025F937-C7B1-47D3-B67F-A62EFF666E3E}">
          <x14:id>{8E295721-6CD3-46E2-9B7A-B89A6B5F527D}</x14:id>
        </ext>
      </extLst>
    </cfRule>
  </conditionalFormatting>
  <conditionalFormatting sqref="AF149">
    <cfRule type="dataBar" priority="507">
      <dataBar>
        <cfvo type="min"/>
        <cfvo type="max"/>
        <color rgb="FF63C384"/>
      </dataBar>
      <extLst>
        <ext xmlns:x14="http://schemas.microsoft.com/office/spreadsheetml/2009/9/main" uri="{B025F937-C7B1-47D3-B67F-A62EFF666E3E}">
          <x14:id>{CAC768C4-B19D-477D-99EC-6188A5FBF1B2}</x14:id>
        </ext>
      </extLst>
    </cfRule>
  </conditionalFormatting>
  <conditionalFormatting sqref="AF149">
    <cfRule type="dataBar" priority="506">
      <dataBar>
        <cfvo type="min"/>
        <cfvo type="max"/>
        <color rgb="FF63C384"/>
      </dataBar>
      <extLst>
        <ext xmlns:x14="http://schemas.microsoft.com/office/spreadsheetml/2009/9/main" uri="{B025F937-C7B1-47D3-B67F-A62EFF666E3E}">
          <x14:id>{EBF46183-6B6B-4935-A35F-C77FAF00FAD2}</x14:id>
        </ext>
      </extLst>
    </cfRule>
  </conditionalFormatting>
  <conditionalFormatting sqref="AF149">
    <cfRule type="dataBar" priority="504">
      <dataBar>
        <cfvo type="min"/>
        <cfvo type="max"/>
        <color rgb="FF63C384"/>
      </dataBar>
      <extLst>
        <ext xmlns:x14="http://schemas.microsoft.com/office/spreadsheetml/2009/9/main" uri="{B025F937-C7B1-47D3-B67F-A62EFF666E3E}">
          <x14:id>{CB93F562-6531-4ABA-AE2C-326BE3FD769A}</x14:id>
        </ext>
      </extLst>
    </cfRule>
  </conditionalFormatting>
  <conditionalFormatting sqref="AF149">
    <cfRule type="dataBar" priority="503">
      <dataBar>
        <cfvo type="min"/>
        <cfvo type="max"/>
        <color rgb="FF63C384"/>
      </dataBar>
      <extLst>
        <ext xmlns:x14="http://schemas.microsoft.com/office/spreadsheetml/2009/9/main" uri="{B025F937-C7B1-47D3-B67F-A62EFF666E3E}">
          <x14:id>{07B2C850-5228-4607-871B-D18742DDA0F4}</x14:id>
        </ext>
      </extLst>
    </cfRule>
  </conditionalFormatting>
  <conditionalFormatting sqref="AF150">
    <cfRule type="dataBar" priority="501">
      <dataBar>
        <cfvo type="min"/>
        <cfvo type="max"/>
        <color rgb="FF63C384"/>
      </dataBar>
      <extLst>
        <ext xmlns:x14="http://schemas.microsoft.com/office/spreadsheetml/2009/9/main" uri="{B025F937-C7B1-47D3-B67F-A62EFF666E3E}">
          <x14:id>{89440837-8099-41BB-BD05-322608249553}</x14:id>
        </ext>
      </extLst>
    </cfRule>
  </conditionalFormatting>
  <conditionalFormatting sqref="AF150">
    <cfRule type="dataBar" priority="500">
      <dataBar>
        <cfvo type="min"/>
        <cfvo type="max"/>
        <color rgb="FF63C384"/>
      </dataBar>
      <extLst>
        <ext xmlns:x14="http://schemas.microsoft.com/office/spreadsheetml/2009/9/main" uri="{B025F937-C7B1-47D3-B67F-A62EFF666E3E}">
          <x14:id>{84605524-7A5C-406C-BB64-8E46B49A496B}</x14:id>
        </ext>
      </extLst>
    </cfRule>
  </conditionalFormatting>
  <conditionalFormatting sqref="AF150">
    <cfRule type="dataBar" priority="499">
      <dataBar>
        <cfvo type="min"/>
        <cfvo type="max"/>
        <color rgb="FF63C384"/>
      </dataBar>
      <extLst>
        <ext xmlns:x14="http://schemas.microsoft.com/office/spreadsheetml/2009/9/main" uri="{B025F937-C7B1-47D3-B67F-A62EFF666E3E}">
          <x14:id>{535A79A7-F3F1-4AFB-864F-22D953C442CB}</x14:id>
        </ext>
      </extLst>
    </cfRule>
  </conditionalFormatting>
  <conditionalFormatting sqref="AF150">
    <cfRule type="dataBar" priority="498">
      <dataBar>
        <cfvo type="min"/>
        <cfvo type="max"/>
        <color rgb="FF63C384"/>
      </dataBar>
      <extLst>
        <ext xmlns:x14="http://schemas.microsoft.com/office/spreadsheetml/2009/9/main" uri="{B025F937-C7B1-47D3-B67F-A62EFF666E3E}">
          <x14:id>{8F0FDF0A-1605-404B-B0E8-C758EAF10432}</x14:id>
        </ext>
      </extLst>
    </cfRule>
  </conditionalFormatting>
  <conditionalFormatting sqref="AF151">
    <cfRule type="dataBar" priority="496">
      <dataBar>
        <cfvo type="min"/>
        <cfvo type="max"/>
        <color rgb="FF63C384"/>
      </dataBar>
      <extLst>
        <ext xmlns:x14="http://schemas.microsoft.com/office/spreadsheetml/2009/9/main" uri="{B025F937-C7B1-47D3-B67F-A62EFF666E3E}">
          <x14:id>{A2F5EB2E-00CA-4CE9-AA39-7B941B0C48EC}</x14:id>
        </ext>
      </extLst>
    </cfRule>
  </conditionalFormatting>
  <conditionalFormatting sqref="AF151">
    <cfRule type="dataBar" priority="495">
      <dataBar>
        <cfvo type="min"/>
        <cfvo type="max"/>
        <color rgb="FF63C384"/>
      </dataBar>
      <extLst>
        <ext xmlns:x14="http://schemas.microsoft.com/office/spreadsheetml/2009/9/main" uri="{B025F937-C7B1-47D3-B67F-A62EFF666E3E}">
          <x14:id>{5747D682-FAD8-41EF-B875-08F49C3958D6}</x14:id>
        </ext>
      </extLst>
    </cfRule>
  </conditionalFormatting>
  <conditionalFormatting sqref="AF152">
    <cfRule type="dataBar" priority="490">
      <dataBar>
        <cfvo type="min"/>
        <cfvo type="max"/>
        <color rgb="FF63C384"/>
      </dataBar>
      <extLst>
        <ext xmlns:x14="http://schemas.microsoft.com/office/spreadsheetml/2009/9/main" uri="{B025F937-C7B1-47D3-B67F-A62EFF666E3E}">
          <x14:id>{38C06C68-92A4-4EAE-B57D-13CC6D7DE503}</x14:id>
        </ext>
      </extLst>
    </cfRule>
  </conditionalFormatting>
  <conditionalFormatting sqref="AF152">
    <cfRule type="dataBar" priority="489">
      <dataBar>
        <cfvo type="min"/>
        <cfvo type="max"/>
        <color rgb="FF63C384"/>
      </dataBar>
      <extLst>
        <ext xmlns:x14="http://schemas.microsoft.com/office/spreadsheetml/2009/9/main" uri="{B025F937-C7B1-47D3-B67F-A62EFF666E3E}">
          <x14:id>{C269826F-3BC2-4911-9585-FBA41D5D5D81}</x14:id>
        </ext>
      </extLst>
    </cfRule>
  </conditionalFormatting>
  <conditionalFormatting sqref="AF152">
    <cfRule type="dataBar" priority="488">
      <dataBar>
        <cfvo type="min"/>
        <cfvo type="max"/>
        <color rgb="FF63C384"/>
      </dataBar>
      <extLst>
        <ext xmlns:x14="http://schemas.microsoft.com/office/spreadsheetml/2009/9/main" uri="{B025F937-C7B1-47D3-B67F-A62EFF666E3E}">
          <x14:id>{D330819F-2F3E-4027-BBA8-6DF644A4B7D2}</x14:id>
        </ext>
      </extLst>
    </cfRule>
  </conditionalFormatting>
  <conditionalFormatting sqref="AF152">
    <cfRule type="dataBar" priority="487">
      <dataBar>
        <cfvo type="min"/>
        <cfvo type="max"/>
        <color rgb="FF63C384"/>
      </dataBar>
      <extLst>
        <ext xmlns:x14="http://schemas.microsoft.com/office/spreadsheetml/2009/9/main" uri="{B025F937-C7B1-47D3-B67F-A62EFF666E3E}">
          <x14:id>{3B595864-668D-49B5-B740-6A0B8E29D594}</x14:id>
        </ext>
      </extLst>
    </cfRule>
  </conditionalFormatting>
  <conditionalFormatting sqref="AF153">
    <cfRule type="dataBar" priority="483">
      <dataBar>
        <cfvo type="min"/>
        <cfvo type="max"/>
        <color rgb="FF63C384"/>
      </dataBar>
      <extLst>
        <ext xmlns:x14="http://schemas.microsoft.com/office/spreadsheetml/2009/9/main" uri="{B025F937-C7B1-47D3-B67F-A62EFF666E3E}">
          <x14:id>{BACA9944-3B14-4C43-8268-75D995B8AF5C}</x14:id>
        </ext>
      </extLst>
    </cfRule>
  </conditionalFormatting>
  <conditionalFormatting sqref="AF153">
    <cfRule type="dataBar" priority="482">
      <dataBar>
        <cfvo type="min"/>
        <cfvo type="max"/>
        <color rgb="FF63C384"/>
      </dataBar>
      <extLst>
        <ext xmlns:x14="http://schemas.microsoft.com/office/spreadsheetml/2009/9/main" uri="{B025F937-C7B1-47D3-B67F-A62EFF666E3E}">
          <x14:id>{6E819D07-D0D5-4329-8C49-7CE6FDE01DA3}</x14:id>
        </ext>
      </extLst>
    </cfRule>
  </conditionalFormatting>
  <conditionalFormatting sqref="AF154">
    <cfRule type="dataBar" priority="479">
      <dataBar>
        <cfvo type="min"/>
        <cfvo type="max"/>
        <color rgb="FF63C384"/>
      </dataBar>
      <extLst>
        <ext xmlns:x14="http://schemas.microsoft.com/office/spreadsheetml/2009/9/main" uri="{B025F937-C7B1-47D3-B67F-A62EFF666E3E}">
          <x14:id>{EC8FC6B0-DF68-4784-BF5D-F3B8F8663C1D}</x14:id>
        </ext>
      </extLst>
    </cfRule>
  </conditionalFormatting>
  <conditionalFormatting sqref="AF154">
    <cfRule type="dataBar" priority="478">
      <dataBar>
        <cfvo type="min"/>
        <cfvo type="max"/>
        <color rgb="FF63C384"/>
      </dataBar>
      <extLst>
        <ext xmlns:x14="http://schemas.microsoft.com/office/spreadsheetml/2009/9/main" uri="{B025F937-C7B1-47D3-B67F-A62EFF666E3E}">
          <x14:id>{9C179FF5-DFFF-4657-8EA8-79F326CD8FE7}</x14:id>
        </ext>
      </extLst>
    </cfRule>
  </conditionalFormatting>
  <conditionalFormatting sqref="AF155">
    <cfRule type="dataBar" priority="476">
      <dataBar>
        <cfvo type="min"/>
        <cfvo type="max"/>
        <color rgb="FF63C384"/>
      </dataBar>
      <extLst>
        <ext xmlns:x14="http://schemas.microsoft.com/office/spreadsheetml/2009/9/main" uri="{B025F937-C7B1-47D3-B67F-A62EFF666E3E}">
          <x14:id>{CAB08B16-9651-4DD3-B917-AE0A1CF9E3C3}</x14:id>
        </ext>
      </extLst>
    </cfRule>
  </conditionalFormatting>
  <conditionalFormatting sqref="AF155">
    <cfRule type="dataBar" priority="475">
      <dataBar>
        <cfvo type="min"/>
        <cfvo type="max"/>
        <color rgb="FF63C384"/>
      </dataBar>
      <extLst>
        <ext xmlns:x14="http://schemas.microsoft.com/office/spreadsheetml/2009/9/main" uri="{B025F937-C7B1-47D3-B67F-A62EFF666E3E}">
          <x14:id>{E15CF24F-C950-4152-A3B3-119143D93F81}</x14:id>
        </ext>
      </extLst>
    </cfRule>
  </conditionalFormatting>
  <conditionalFormatting sqref="AF156">
    <cfRule type="dataBar" priority="471">
      <dataBar>
        <cfvo type="min"/>
        <cfvo type="max"/>
        <color rgb="FF63C384"/>
      </dataBar>
      <extLst>
        <ext xmlns:x14="http://schemas.microsoft.com/office/spreadsheetml/2009/9/main" uri="{B025F937-C7B1-47D3-B67F-A62EFF666E3E}">
          <x14:id>{9294E1BC-380B-4793-9F71-1747F0766B04}</x14:id>
        </ext>
      </extLst>
    </cfRule>
  </conditionalFormatting>
  <conditionalFormatting sqref="AF157">
    <cfRule type="dataBar" priority="467">
      <dataBar>
        <cfvo type="min"/>
        <cfvo type="max"/>
        <color rgb="FF63C384"/>
      </dataBar>
      <extLst>
        <ext xmlns:x14="http://schemas.microsoft.com/office/spreadsheetml/2009/9/main" uri="{B025F937-C7B1-47D3-B67F-A62EFF666E3E}">
          <x14:id>{F74F75DF-CC37-437C-BB27-5DE4B2E55D3E}</x14:id>
        </ext>
      </extLst>
    </cfRule>
  </conditionalFormatting>
  <conditionalFormatting sqref="AF158">
    <cfRule type="dataBar" priority="463">
      <dataBar>
        <cfvo type="min"/>
        <cfvo type="max"/>
        <color rgb="FF63C384"/>
      </dataBar>
      <extLst>
        <ext xmlns:x14="http://schemas.microsoft.com/office/spreadsheetml/2009/9/main" uri="{B025F937-C7B1-47D3-B67F-A62EFF666E3E}">
          <x14:id>{AC0DFF69-932A-4EFE-98B7-5713E0B4FF9C}</x14:id>
        </ext>
      </extLst>
    </cfRule>
  </conditionalFormatting>
  <conditionalFormatting sqref="AF158">
    <cfRule type="dataBar" priority="462">
      <dataBar>
        <cfvo type="min"/>
        <cfvo type="max"/>
        <color rgb="FF63C384"/>
      </dataBar>
      <extLst>
        <ext xmlns:x14="http://schemas.microsoft.com/office/spreadsheetml/2009/9/main" uri="{B025F937-C7B1-47D3-B67F-A62EFF666E3E}">
          <x14:id>{CF052A77-AC90-4871-BF7D-E334791748B9}</x14:id>
        </ext>
      </extLst>
    </cfRule>
  </conditionalFormatting>
  <conditionalFormatting sqref="AF158">
    <cfRule type="dataBar" priority="460">
      <dataBar>
        <cfvo type="min"/>
        <cfvo type="max"/>
        <color rgb="FF63C384"/>
      </dataBar>
      <extLst>
        <ext xmlns:x14="http://schemas.microsoft.com/office/spreadsheetml/2009/9/main" uri="{B025F937-C7B1-47D3-B67F-A62EFF666E3E}">
          <x14:id>{354A9628-2813-4386-9EC2-66F6AF088AC8}</x14:id>
        </ext>
      </extLst>
    </cfRule>
  </conditionalFormatting>
  <conditionalFormatting sqref="AF158">
    <cfRule type="dataBar" priority="459">
      <dataBar>
        <cfvo type="min"/>
        <cfvo type="max"/>
        <color rgb="FF63C384"/>
      </dataBar>
      <extLst>
        <ext xmlns:x14="http://schemas.microsoft.com/office/spreadsheetml/2009/9/main" uri="{B025F937-C7B1-47D3-B67F-A62EFF666E3E}">
          <x14:id>{5C93123F-8864-4E68-894C-00D1EA643FEF}</x14:id>
        </ext>
      </extLst>
    </cfRule>
  </conditionalFormatting>
  <conditionalFormatting sqref="AF158">
    <cfRule type="dataBar" priority="457">
      <dataBar>
        <cfvo type="min"/>
        <cfvo type="max"/>
        <color rgb="FF63C384"/>
      </dataBar>
      <extLst>
        <ext xmlns:x14="http://schemas.microsoft.com/office/spreadsheetml/2009/9/main" uri="{B025F937-C7B1-47D3-B67F-A62EFF666E3E}">
          <x14:id>{E17ECA64-4CAD-407C-93BC-8F75BA7CC745}</x14:id>
        </ext>
      </extLst>
    </cfRule>
  </conditionalFormatting>
  <conditionalFormatting sqref="AF158">
    <cfRule type="dataBar" priority="456">
      <dataBar>
        <cfvo type="min"/>
        <cfvo type="max"/>
        <color rgb="FF63C384"/>
      </dataBar>
      <extLst>
        <ext xmlns:x14="http://schemas.microsoft.com/office/spreadsheetml/2009/9/main" uri="{B025F937-C7B1-47D3-B67F-A62EFF666E3E}">
          <x14:id>{9E620BEF-7FAA-4A00-A310-70F4D43B9101}</x14:id>
        </ext>
      </extLst>
    </cfRule>
  </conditionalFormatting>
  <conditionalFormatting sqref="AF158">
    <cfRule type="dataBar" priority="454">
      <dataBar>
        <cfvo type="min"/>
        <cfvo type="max"/>
        <color rgb="FF63C384"/>
      </dataBar>
      <extLst>
        <ext xmlns:x14="http://schemas.microsoft.com/office/spreadsheetml/2009/9/main" uri="{B025F937-C7B1-47D3-B67F-A62EFF666E3E}">
          <x14:id>{AD7A1E3F-7CB0-4442-AFEA-BF08BA0CF301}</x14:id>
        </ext>
      </extLst>
    </cfRule>
  </conditionalFormatting>
  <conditionalFormatting sqref="AF158">
    <cfRule type="dataBar" priority="453">
      <dataBar>
        <cfvo type="min"/>
        <cfvo type="max"/>
        <color rgb="FF63C384"/>
      </dataBar>
      <extLst>
        <ext xmlns:x14="http://schemas.microsoft.com/office/spreadsheetml/2009/9/main" uri="{B025F937-C7B1-47D3-B67F-A62EFF666E3E}">
          <x14:id>{BEC15B69-CA5E-4069-8D75-DF35F561090B}</x14:id>
        </ext>
      </extLst>
    </cfRule>
  </conditionalFormatting>
  <conditionalFormatting sqref="AF159">
    <cfRule type="dataBar" priority="448">
      <dataBar>
        <cfvo type="min"/>
        <cfvo type="max"/>
        <color rgb="FF63C384"/>
      </dataBar>
      <extLst>
        <ext xmlns:x14="http://schemas.microsoft.com/office/spreadsheetml/2009/9/main" uri="{B025F937-C7B1-47D3-B67F-A62EFF666E3E}">
          <x14:id>{7E75FDF2-47BE-486E-ADA1-7350C21B5C08}</x14:id>
        </ext>
      </extLst>
    </cfRule>
  </conditionalFormatting>
  <conditionalFormatting sqref="AF159">
    <cfRule type="dataBar" priority="447">
      <dataBar>
        <cfvo type="min"/>
        <cfvo type="max"/>
        <color rgb="FF63C384"/>
      </dataBar>
      <extLst>
        <ext xmlns:x14="http://schemas.microsoft.com/office/spreadsheetml/2009/9/main" uri="{B025F937-C7B1-47D3-B67F-A62EFF666E3E}">
          <x14:id>{3946D9D4-103B-46F9-8155-115874F7A401}</x14:id>
        </ext>
      </extLst>
    </cfRule>
  </conditionalFormatting>
  <conditionalFormatting sqref="AF160">
    <cfRule type="dataBar" priority="442">
      <dataBar>
        <cfvo type="min"/>
        <cfvo type="max"/>
        <color rgb="FF63C384"/>
      </dataBar>
      <extLst>
        <ext xmlns:x14="http://schemas.microsoft.com/office/spreadsheetml/2009/9/main" uri="{B025F937-C7B1-47D3-B67F-A62EFF666E3E}">
          <x14:id>{6154DC26-4936-42D7-910D-A89C29F8EB81}</x14:id>
        </ext>
      </extLst>
    </cfRule>
  </conditionalFormatting>
  <conditionalFormatting sqref="AF160">
    <cfRule type="dataBar" priority="441">
      <dataBar>
        <cfvo type="min"/>
        <cfvo type="max"/>
        <color rgb="FF63C384"/>
      </dataBar>
      <extLst>
        <ext xmlns:x14="http://schemas.microsoft.com/office/spreadsheetml/2009/9/main" uri="{B025F937-C7B1-47D3-B67F-A62EFF666E3E}">
          <x14:id>{263A2004-092A-4A71-A58A-6993DDE7AE32}</x14:id>
        </ext>
      </extLst>
    </cfRule>
  </conditionalFormatting>
  <conditionalFormatting sqref="AF160">
    <cfRule type="dataBar" priority="439">
      <dataBar>
        <cfvo type="min"/>
        <cfvo type="max"/>
        <color rgb="FF63C384"/>
      </dataBar>
      <extLst>
        <ext xmlns:x14="http://schemas.microsoft.com/office/spreadsheetml/2009/9/main" uri="{B025F937-C7B1-47D3-B67F-A62EFF666E3E}">
          <x14:id>{D22291BA-EE53-47AC-BAAD-6BEAF3594A5B}</x14:id>
        </ext>
      </extLst>
    </cfRule>
  </conditionalFormatting>
  <conditionalFormatting sqref="AF160">
    <cfRule type="dataBar" priority="438">
      <dataBar>
        <cfvo type="min"/>
        <cfvo type="max"/>
        <color rgb="FF63C384"/>
      </dataBar>
      <extLst>
        <ext xmlns:x14="http://schemas.microsoft.com/office/spreadsheetml/2009/9/main" uri="{B025F937-C7B1-47D3-B67F-A62EFF666E3E}">
          <x14:id>{6595DF2F-F5CC-4357-88DB-B44AB5B7C8EA}</x14:id>
        </ext>
      </extLst>
    </cfRule>
  </conditionalFormatting>
  <conditionalFormatting sqref="AF161">
    <cfRule type="dataBar" priority="436">
      <dataBar>
        <cfvo type="min"/>
        <cfvo type="max"/>
        <color rgb="FF63C384"/>
      </dataBar>
      <extLst>
        <ext xmlns:x14="http://schemas.microsoft.com/office/spreadsheetml/2009/9/main" uri="{B025F937-C7B1-47D3-B67F-A62EFF666E3E}">
          <x14:id>{9DCD9DBB-788A-4391-AEB4-9922BF92C569}</x14:id>
        </ext>
      </extLst>
    </cfRule>
  </conditionalFormatting>
  <conditionalFormatting sqref="AF161">
    <cfRule type="dataBar" priority="435">
      <dataBar>
        <cfvo type="min"/>
        <cfvo type="max"/>
        <color rgb="FF63C384"/>
      </dataBar>
      <extLst>
        <ext xmlns:x14="http://schemas.microsoft.com/office/spreadsheetml/2009/9/main" uri="{B025F937-C7B1-47D3-B67F-A62EFF666E3E}">
          <x14:id>{536A63D2-8B16-4B40-9EA3-1A2050900553}</x14:id>
        </ext>
      </extLst>
    </cfRule>
  </conditionalFormatting>
  <conditionalFormatting sqref="AF161">
    <cfRule type="dataBar" priority="434">
      <dataBar>
        <cfvo type="min"/>
        <cfvo type="max"/>
        <color rgb="FF63C384"/>
      </dataBar>
      <extLst>
        <ext xmlns:x14="http://schemas.microsoft.com/office/spreadsheetml/2009/9/main" uri="{B025F937-C7B1-47D3-B67F-A62EFF666E3E}">
          <x14:id>{8D4D7771-5EC9-450E-ACB9-12B110912F4E}</x14:id>
        </ext>
      </extLst>
    </cfRule>
  </conditionalFormatting>
  <conditionalFormatting sqref="AF161">
    <cfRule type="dataBar" priority="433">
      <dataBar>
        <cfvo type="min"/>
        <cfvo type="max"/>
        <color rgb="FF63C384"/>
      </dataBar>
      <extLst>
        <ext xmlns:x14="http://schemas.microsoft.com/office/spreadsheetml/2009/9/main" uri="{B025F937-C7B1-47D3-B67F-A62EFF666E3E}">
          <x14:id>{84FBDA09-336B-4E69-A02C-7F2F683F9737}</x14:id>
        </ext>
      </extLst>
    </cfRule>
  </conditionalFormatting>
  <conditionalFormatting sqref="AF162">
    <cfRule type="dataBar" priority="431">
      <dataBar>
        <cfvo type="min"/>
        <cfvo type="max"/>
        <color rgb="FF63C384"/>
      </dataBar>
      <extLst>
        <ext xmlns:x14="http://schemas.microsoft.com/office/spreadsheetml/2009/9/main" uri="{B025F937-C7B1-47D3-B67F-A62EFF666E3E}">
          <x14:id>{ADA1E624-2527-41CA-9CA1-FBBBE4854D30}</x14:id>
        </ext>
      </extLst>
    </cfRule>
  </conditionalFormatting>
  <conditionalFormatting sqref="AF162">
    <cfRule type="dataBar" priority="430">
      <dataBar>
        <cfvo type="min"/>
        <cfvo type="max"/>
        <color rgb="FF63C384"/>
      </dataBar>
      <extLst>
        <ext xmlns:x14="http://schemas.microsoft.com/office/spreadsheetml/2009/9/main" uri="{B025F937-C7B1-47D3-B67F-A62EFF666E3E}">
          <x14:id>{F68600DA-5302-4875-ADBA-697464EE51A0}</x14:id>
        </ext>
      </extLst>
    </cfRule>
  </conditionalFormatting>
  <conditionalFormatting sqref="AF163">
    <cfRule type="dataBar" priority="425">
      <dataBar>
        <cfvo type="min"/>
        <cfvo type="max"/>
        <color rgb="FF63C384"/>
      </dataBar>
      <extLst>
        <ext xmlns:x14="http://schemas.microsoft.com/office/spreadsheetml/2009/9/main" uri="{B025F937-C7B1-47D3-B67F-A62EFF666E3E}">
          <x14:id>{1BECC641-BBB1-4006-98B3-47C63D476BB0}</x14:id>
        </ext>
      </extLst>
    </cfRule>
  </conditionalFormatting>
  <conditionalFormatting sqref="AF163">
    <cfRule type="dataBar" priority="424">
      <dataBar>
        <cfvo type="min"/>
        <cfvo type="max"/>
        <color rgb="FF63C384"/>
      </dataBar>
      <extLst>
        <ext xmlns:x14="http://schemas.microsoft.com/office/spreadsheetml/2009/9/main" uri="{B025F937-C7B1-47D3-B67F-A62EFF666E3E}">
          <x14:id>{BE61BEE2-31B3-4C49-8D55-088D336289CA}</x14:id>
        </ext>
      </extLst>
    </cfRule>
  </conditionalFormatting>
  <conditionalFormatting sqref="AF163">
    <cfRule type="dataBar" priority="423">
      <dataBar>
        <cfvo type="min"/>
        <cfvo type="max"/>
        <color rgb="FF63C384"/>
      </dataBar>
      <extLst>
        <ext xmlns:x14="http://schemas.microsoft.com/office/spreadsheetml/2009/9/main" uri="{B025F937-C7B1-47D3-B67F-A62EFF666E3E}">
          <x14:id>{B41FD476-222E-4F8F-8ABB-3EE14EF06128}</x14:id>
        </ext>
      </extLst>
    </cfRule>
  </conditionalFormatting>
  <conditionalFormatting sqref="AF163">
    <cfRule type="dataBar" priority="422">
      <dataBar>
        <cfvo type="min"/>
        <cfvo type="max"/>
        <color rgb="FF63C384"/>
      </dataBar>
      <extLst>
        <ext xmlns:x14="http://schemas.microsoft.com/office/spreadsheetml/2009/9/main" uri="{B025F937-C7B1-47D3-B67F-A62EFF666E3E}">
          <x14:id>{7605A097-7CDB-4556-8854-09BE5AD94265}</x14:id>
        </ext>
      </extLst>
    </cfRule>
  </conditionalFormatting>
  <conditionalFormatting sqref="AF164">
    <cfRule type="dataBar" priority="418">
      <dataBar>
        <cfvo type="min"/>
        <cfvo type="max"/>
        <color rgb="FF63C384"/>
      </dataBar>
      <extLst>
        <ext xmlns:x14="http://schemas.microsoft.com/office/spreadsheetml/2009/9/main" uri="{B025F937-C7B1-47D3-B67F-A62EFF666E3E}">
          <x14:id>{9B6A6F64-6506-4EEE-B42B-A01A8ED733C7}</x14:id>
        </ext>
      </extLst>
    </cfRule>
  </conditionalFormatting>
  <conditionalFormatting sqref="AF165:AF166">
    <cfRule type="dataBar" priority="414">
      <dataBar>
        <cfvo type="min"/>
        <cfvo type="max"/>
        <color rgb="FF63C384"/>
      </dataBar>
      <extLst>
        <ext xmlns:x14="http://schemas.microsoft.com/office/spreadsheetml/2009/9/main" uri="{B025F937-C7B1-47D3-B67F-A62EFF666E3E}">
          <x14:id>{16A1EA2F-03B4-4191-999D-E16B9023F541}</x14:id>
        </ext>
      </extLst>
    </cfRule>
  </conditionalFormatting>
  <conditionalFormatting sqref="AF165:AF166">
    <cfRule type="dataBar" priority="413">
      <dataBar>
        <cfvo type="min"/>
        <cfvo type="max"/>
        <color rgb="FF63C384"/>
      </dataBar>
      <extLst>
        <ext xmlns:x14="http://schemas.microsoft.com/office/spreadsheetml/2009/9/main" uri="{B025F937-C7B1-47D3-B67F-A62EFF666E3E}">
          <x14:id>{A32A8748-9FF5-45C9-A8D0-EDF35DBFCDD2}</x14:id>
        </ext>
      </extLst>
    </cfRule>
  </conditionalFormatting>
  <conditionalFormatting sqref="AF167">
    <cfRule type="dataBar" priority="410">
      <dataBar>
        <cfvo type="min"/>
        <cfvo type="max"/>
        <color rgb="FF63C384"/>
      </dataBar>
      <extLst>
        <ext xmlns:x14="http://schemas.microsoft.com/office/spreadsheetml/2009/9/main" uri="{B025F937-C7B1-47D3-B67F-A62EFF666E3E}">
          <x14:id>{1F021488-0CA8-4F2B-BEB9-7D3D9A3D4D13}</x14:id>
        </ext>
      </extLst>
    </cfRule>
  </conditionalFormatting>
  <conditionalFormatting sqref="AF167">
    <cfRule type="dataBar" priority="409">
      <dataBar>
        <cfvo type="min"/>
        <cfvo type="max"/>
        <color rgb="FF63C384"/>
      </dataBar>
      <extLst>
        <ext xmlns:x14="http://schemas.microsoft.com/office/spreadsheetml/2009/9/main" uri="{B025F937-C7B1-47D3-B67F-A62EFF666E3E}">
          <x14:id>{CFD27964-44CE-42C6-AF1A-823ABBDBD848}</x14:id>
        </ext>
      </extLst>
    </cfRule>
  </conditionalFormatting>
  <conditionalFormatting sqref="AF169">
    <cfRule type="dataBar" priority="406">
      <dataBar>
        <cfvo type="min"/>
        <cfvo type="max"/>
        <color rgb="FF63C384"/>
      </dataBar>
      <extLst>
        <ext xmlns:x14="http://schemas.microsoft.com/office/spreadsheetml/2009/9/main" uri="{B025F937-C7B1-47D3-B67F-A62EFF666E3E}">
          <x14:id>{2904055B-22C6-497E-8A97-9682ACDAC33E}</x14:id>
        </ext>
      </extLst>
    </cfRule>
  </conditionalFormatting>
  <conditionalFormatting sqref="AF169">
    <cfRule type="dataBar" priority="405">
      <dataBar>
        <cfvo type="min"/>
        <cfvo type="max"/>
        <color rgb="FF63C384"/>
      </dataBar>
      <extLst>
        <ext xmlns:x14="http://schemas.microsoft.com/office/spreadsheetml/2009/9/main" uri="{B025F937-C7B1-47D3-B67F-A62EFF666E3E}">
          <x14:id>{908A4CD5-A6E1-4459-BFCC-655002B869DF}</x14:id>
        </ext>
      </extLst>
    </cfRule>
  </conditionalFormatting>
  <conditionalFormatting sqref="AF169:AF170">
    <cfRule type="dataBar" priority="402">
      <dataBar>
        <cfvo type="min"/>
        <cfvo type="max"/>
        <color rgb="FF63C384"/>
      </dataBar>
      <extLst>
        <ext xmlns:x14="http://schemas.microsoft.com/office/spreadsheetml/2009/9/main" uri="{B025F937-C7B1-47D3-B67F-A62EFF666E3E}">
          <x14:id>{6446F786-6D62-46AB-8969-71A2BCA6D5B4}</x14:id>
        </ext>
      </extLst>
    </cfRule>
  </conditionalFormatting>
  <conditionalFormatting sqref="AF170:AF171">
    <cfRule type="dataBar" priority="398">
      <dataBar>
        <cfvo type="min"/>
        <cfvo type="max"/>
        <color rgb="FF63C384"/>
      </dataBar>
      <extLst>
        <ext xmlns:x14="http://schemas.microsoft.com/office/spreadsheetml/2009/9/main" uri="{B025F937-C7B1-47D3-B67F-A62EFF666E3E}">
          <x14:id>{287225B5-0D15-4945-BA2C-2D15D8DD1445}</x14:id>
        </ext>
      </extLst>
    </cfRule>
  </conditionalFormatting>
  <conditionalFormatting sqref="AF168">
    <cfRule type="dataBar" priority="395">
      <dataBar>
        <cfvo type="min"/>
        <cfvo type="max"/>
        <color rgb="FF63C384"/>
      </dataBar>
      <extLst>
        <ext xmlns:x14="http://schemas.microsoft.com/office/spreadsheetml/2009/9/main" uri="{B025F937-C7B1-47D3-B67F-A62EFF666E3E}">
          <x14:id>{B0B4B034-A10F-4A2A-B351-0EBBC176D4A5}</x14:id>
        </ext>
      </extLst>
    </cfRule>
  </conditionalFormatting>
  <conditionalFormatting sqref="AF168">
    <cfRule type="dataBar" priority="394">
      <dataBar>
        <cfvo type="min"/>
        <cfvo type="max"/>
        <color rgb="FF63C384"/>
      </dataBar>
      <extLst>
        <ext xmlns:x14="http://schemas.microsoft.com/office/spreadsheetml/2009/9/main" uri="{B025F937-C7B1-47D3-B67F-A62EFF666E3E}">
          <x14:id>{0D580D03-0EAE-4AEA-BC2C-71D49AE8C23E}</x14:id>
        </ext>
      </extLst>
    </cfRule>
  </conditionalFormatting>
  <conditionalFormatting sqref="AF172">
    <cfRule type="dataBar" priority="390">
      <dataBar>
        <cfvo type="min"/>
        <cfvo type="max"/>
        <color rgb="FF63C384"/>
      </dataBar>
      <extLst>
        <ext xmlns:x14="http://schemas.microsoft.com/office/spreadsheetml/2009/9/main" uri="{B025F937-C7B1-47D3-B67F-A62EFF666E3E}">
          <x14:id>{54C6A877-154F-4C7A-B311-8A668F1CF0DF}</x14:id>
        </ext>
      </extLst>
    </cfRule>
  </conditionalFormatting>
  <conditionalFormatting sqref="AF172">
    <cfRule type="dataBar" priority="389">
      <dataBar>
        <cfvo type="min"/>
        <cfvo type="max"/>
        <color rgb="FF63C384"/>
      </dataBar>
      <extLst>
        <ext xmlns:x14="http://schemas.microsoft.com/office/spreadsheetml/2009/9/main" uri="{B025F937-C7B1-47D3-B67F-A62EFF666E3E}">
          <x14:id>{A5D8583A-9124-4D6D-AB38-7C7B0639AE24}</x14:id>
        </ext>
      </extLst>
    </cfRule>
  </conditionalFormatting>
  <conditionalFormatting sqref="AF172">
    <cfRule type="dataBar" priority="387">
      <dataBar>
        <cfvo type="min"/>
        <cfvo type="max"/>
        <color rgb="FF63C384"/>
      </dataBar>
      <extLst>
        <ext xmlns:x14="http://schemas.microsoft.com/office/spreadsheetml/2009/9/main" uri="{B025F937-C7B1-47D3-B67F-A62EFF666E3E}">
          <x14:id>{29422A70-CDC0-47BD-93AB-BCD3EFBF0F62}</x14:id>
        </ext>
      </extLst>
    </cfRule>
  </conditionalFormatting>
  <conditionalFormatting sqref="AF172">
    <cfRule type="dataBar" priority="386">
      <dataBar>
        <cfvo type="min"/>
        <cfvo type="max"/>
        <color rgb="FF63C384"/>
      </dataBar>
      <extLst>
        <ext xmlns:x14="http://schemas.microsoft.com/office/spreadsheetml/2009/9/main" uri="{B025F937-C7B1-47D3-B67F-A62EFF666E3E}">
          <x14:id>{035818E3-7B17-47D7-9C89-EF2928F6D6FE}</x14:id>
        </ext>
      </extLst>
    </cfRule>
  </conditionalFormatting>
  <conditionalFormatting sqref="AF172">
    <cfRule type="dataBar" priority="384">
      <dataBar>
        <cfvo type="min"/>
        <cfvo type="max"/>
        <color rgb="FF63C384"/>
      </dataBar>
      <extLst>
        <ext xmlns:x14="http://schemas.microsoft.com/office/spreadsheetml/2009/9/main" uri="{B025F937-C7B1-47D3-B67F-A62EFF666E3E}">
          <x14:id>{F130376C-A7E8-4A28-BE14-59C10A9F5E71}</x14:id>
        </ext>
      </extLst>
    </cfRule>
  </conditionalFormatting>
  <conditionalFormatting sqref="AF172">
    <cfRule type="dataBar" priority="383">
      <dataBar>
        <cfvo type="min"/>
        <cfvo type="max"/>
        <color rgb="FF63C384"/>
      </dataBar>
      <extLst>
        <ext xmlns:x14="http://schemas.microsoft.com/office/spreadsheetml/2009/9/main" uri="{B025F937-C7B1-47D3-B67F-A62EFF666E3E}">
          <x14:id>{1F2D7CA5-B6BA-4CEE-9CE4-E78E433EED87}</x14:id>
        </ext>
      </extLst>
    </cfRule>
  </conditionalFormatting>
  <conditionalFormatting sqref="AF172">
    <cfRule type="dataBar" priority="381">
      <dataBar>
        <cfvo type="min"/>
        <cfvo type="max"/>
        <color rgb="FF63C384"/>
      </dataBar>
      <extLst>
        <ext xmlns:x14="http://schemas.microsoft.com/office/spreadsheetml/2009/9/main" uri="{B025F937-C7B1-47D3-B67F-A62EFF666E3E}">
          <x14:id>{B6FB12C2-2B1E-416E-8F9D-3E23AE1CCF17}</x14:id>
        </ext>
      </extLst>
    </cfRule>
  </conditionalFormatting>
  <conditionalFormatting sqref="AF172">
    <cfRule type="dataBar" priority="380">
      <dataBar>
        <cfvo type="min"/>
        <cfvo type="max"/>
        <color rgb="FF63C384"/>
      </dataBar>
      <extLst>
        <ext xmlns:x14="http://schemas.microsoft.com/office/spreadsheetml/2009/9/main" uri="{B025F937-C7B1-47D3-B67F-A62EFF666E3E}">
          <x14:id>{B348DBA4-93C0-48B1-9C0C-71D2910E84EB}</x14:id>
        </ext>
      </extLst>
    </cfRule>
  </conditionalFormatting>
  <conditionalFormatting sqref="AF173:AF175">
    <cfRule type="dataBar" priority="377">
      <dataBar>
        <cfvo type="min"/>
        <cfvo type="max"/>
        <color rgb="FF63C384"/>
      </dataBar>
      <extLst>
        <ext xmlns:x14="http://schemas.microsoft.com/office/spreadsheetml/2009/9/main" uri="{B025F937-C7B1-47D3-B67F-A62EFF666E3E}">
          <x14:id>{B0FFE3DE-D229-4706-B6E5-F97EF0A2BC3C}</x14:id>
        </ext>
      </extLst>
    </cfRule>
  </conditionalFormatting>
  <conditionalFormatting sqref="AF176">
    <cfRule type="dataBar" priority="371">
      <dataBar>
        <cfvo type="min"/>
        <cfvo type="max"/>
        <color rgb="FF63C384"/>
      </dataBar>
      <extLst>
        <ext xmlns:x14="http://schemas.microsoft.com/office/spreadsheetml/2009/9/main" uri="{B025F937-C7B1-47D3-B67F-A62EFF666E3E}">
          <x14:id>{6CC15969-E6AC-4D1B-B103-2796226AC57A}</x14:id>
        </ext>
      </extLst>
    </cfRule>
  </conditionalFormatting>
  <conditionalFormatting sqref="AF176">
    <cfRule type="dataBar" priority="370">
      <dataBar>
        <cfvo type="min"/>
        <cfvo type="max"/>
        <color rgb="FF63C384"/>
      </dataBar>
      <extLst>
        <ext xmlns:x14="http://schemas.microsoft.com/office/spreadsheetml/2009/9/main" uri="{B025F937-C7B1-47D3-B67F-A62EFF666E3E}">
          <x14:id>{A105375F-7ADF-4400-9E9F-A5B72EF82893}</x14:id>
        </ext>
      </extLst>
    </cfRule>
  </conditionalFormatting>
  <conditionalFormatting sqref="AF176">
    <cfRule type="dataBar" priority="368">
      <dataBar>
        <cfvo type="min"/>
        <cfvo type="max"/>
        <color rgb="FF63C384"/>
      </dataBar>
      <extLst>
        <ext xmlns:x14="http://schemas.microsoft.com/office/spreadsheetml/2009/9/main" uri="{B025F937-C7B1-47D3-B67F-A62EFF666E3E}">
          <x14:id>{EDC338B5-72DF-4D91-9F98-A12324A9DBC0}</x14:id>
        </ext>
      </extLst>
    </cfRule>
  </conditionalFormatting>
  <conditionalFormatting sqref="AF176">
    <cfRule type="dataBar" priority="367">
      <dataBar>
        <cfvo type="min"/>
        <cfvo type="max"/>
        <color rgb="FF63C384"/>
      </dataBar>
      <extLst>
        <ext xmlns:x14="http://schemas.microsoft.com/office/spreadsheetml/2009/9/main" uri="{B025F937-C7B1-47D3-B67F-A62EFF666E3E}">
          <x14:id>{BC8819B3-F0B8-417C-A102-5C9614786A51}</x14:id>
        </ext>
      </extLst>
    </cfRule>
  </conditionalFormatting>
  <conditionalFormatting sqref="AF177:AF178">
    <cfRule type="dataBar" priority="364">
      <dataBar>
        <cfvo type="min"/>
        <cfvo type="max"/>
        <color rgb="FF63C384"/>
      </dataBar>
      <extLst>
        <ext xmlns:x14="http://schemas.microsoft.com/office/spreadsheetml/2009/9/main" uri="{B025F937-C7B1-47D3-B67F-A62EFF666E3E}">
          <x14:id>{6500E2EA-F625-4971-B854-A9B487FAE5DF}</x14:id>
        </ext>
      </extLst>
    </cfRule>
  </conditionalFormatting>
  <conditionalFormatting sqref="AF179">
    <cfRule type="dataBar" priority="355">
      <dataBar>
        <cfvo type="min"/>
        <cfvo type="max"/>
        <color rgb="FF63C384"/>
      </dataBar>
      <extLst>
        <ext xmlns:x14="http://schemas.microsoft.com/office/spreadsheetml/2009/9/main" uri="{B025F937-C7B1-47D3-B67F-A62EFF666E3E}">
          <x14:id>{11CF0BCD-0CA0-46D5-BDB7-A9DEB2F2A233}</x14:id>
        </ext>
      </extLst>
    </cfRule>
  </conditionalFormatting>
  <conditionalFormatting sqref="AF179">
    <cfRule type="dataBar" priority="354">
      <dataBar>
        <cfvo type="min"/>
        <cfvo type="max"/>
        <color rgb="FF63C384"/>
      </dataBar>
      <extLst>
        <ext xmlns:x14="http://schemas.microsoft.com/office/spreadsheetml/2009/9/main" uri="{B025F937-C7B1-47D3-B67F-A62EFF666E3E}">
          <x14:id>{37C4B500-BBCE-4918-9AE8-C9457699F357}</x14:id>
        </ext>
      </extLst>
    </cfRule>
  </conditionalFormatting>
  <conditionalFormatting sqref="P179">
    <cfRule type="cellIs" dxfId="10461" priority="353" operator="equal">
      <formula>"ja"</formula>
    </cfRule>
  </conditionalFormatting>
  <conditionalFormatting sqref="P179">
    <cfRule type="cellIs" dxfId="10460" priority="352" operator="equal">
      <formula>"ja"</formula>
    </cfRule>
  </conditionalFormatting>
  <conditionalFormatting sqref="AF180:AF181">
    <cfRule type="dataBar" priority="351">
      <dataBar>
        <cfvo type="min"/>
        <cfvo type="max"/>
        <color rgb="FF63C384"/>
      </dataBar>
      <extLst>
        <ext xmlns:x14="http://schemas.microsoft.com/office/spreadsheetml/2009/9/main" uri="{B025F937-C7B1-47D3-B67F-A62EFF666E3E}">
          <x14:id>{5DD4D330-106A-42AB-995C-2ABFCF24D46B}</x14:id>
        </ext>
      </extLst>
    </cfRule>
  </conditionalFormatting>
  <conditionalFormatting sqref="AF183:AF184">
    <cfRule type="dataBar" priority="347">
      <dataBar>
        <cfvo type="min"/>
        <cfvo type="max"/>
        <color rgb="FF63C384"/>
      </dataBar>
      <extLst>
        <ext xmlns:x14="http://schemas.microsoft.com/office/spreadsheetml/2009/9/main" uri="{B025F937-C7B1-47D3-B67F-A62EFF666E3E}">
          <x14:id>{CC0A31C4-9CE2-43C8-80A5-9B3476864934}</x14:id>
        </ext>
      </extLst>
    </cfRule>
  </conditionalFormatting>
  <conditionalFormatting sqref="AF183:AF184">
    <cfRule type="dataBar" priority="346">
      <dataBar>
        <cfvo type="min"/>
        <cfvo type="max"/>
        <color rgb="FF63C384"/>
      </dataBar>
      <extLst>
        <ext xmlns:x14="http://schemas.microsoft.com/office/spreadsheetml/2009/9/main" uri="{B025F937-C7B1-47D3-B67F-A62EFF666E3E}">
          <x14:id>{4654BC78-7F3A-4B5F-8B8A-6D429D5E631F}</x14:id>
        </ext>
      </extLst>
    </cfRule>
  </conditionalFormatting>
  <conditionalFormatting sqref="AF185">
    <cfRule type="dataBar" priority="344">
      <dataBar>
        <cfvo type="min"/>
        <cfvo type="max"/>
        <color rgb="FF63C384"/>
      </dataBar>
      <extLst>
        <ext xmlns:x14="http://schemas.microsoft.com/office/spreadsheetml/2009/9/main" uri="{B025F937-C7B1-47D3-B67F-A62EFF666E3E}">
          <x14:id>{21ED9840-C3C2-4A82-B016-DB6C1C269D9B}</x14:id>
        </ext>
      </extLst>
    </cfRule>
  </conditionalFormatting>
  <conditionalFormatting sqref="AF185">
    <cfRule type="dataBar" priority="343">
      <dataBar>
        <cfvo type="min"/>
        <cfvo type="max"/>
        <color rgb="FF63C384"/>
      </dataBar>
      <extLst>
        <ext xmlns:x14="http://schemas.microsoft.com/office/spreadsheetml/2009/9/main" uri="{B025F937-C7B1-47D3-B67F-A62EFF666E3E}">
          <x14:id>{E582A06A-3114-4626-A85B-E0FE333D9707}</x14:id>
        </ext>
      </extLst>
    </cfRule>
  </conditionalFormatting>
  <conditionalFormatting sqref="P185">
    <cfRule type="cellIs" dxfId="10459" priority="342" operator="equal">
      <formula>"ja"</formula>
    </cfRule>
  </conditionalFormatting>
  <conditionalFormatting sqref="AF186">
    <cfRule type="dataBar" priority="340">
      <dataBar>
        <cfvo type="min"/>
        <cfvo type="max"/>
        <color rgb="FF63C384"/>
      </dataBar>
      <extLst>
        <ext xmlns:x14="http://schemas.microsoft.com/office/spreadsheetml/2009/9/main" uri="{B025F937-C7B1-47D3-B67F-A62EFF666E3E}">
          <x14:id>{E03DAA46-B586-421F-A477-96CE811F01E3}</x14:id>
        </ext>
      </extLst>
    </cfRule>
  </conditionalFormatting>
  <conditionalFormatting sqref="AF186">
    <cfRule type="dataBar" priority="339">
      <dataBar>
        <cfvo type="min"/>
        <cfvo type="max"/>
        <color rgb="FF63C384"/>
      </dataBar>
      <extLst>
        <ext xmlns:x14="http://schemas.microsoft.com/office/spreadsheetml/2009/9/main" uri="{B025F937-C7B1-47D3-B67F-A62EFF666E3E}">
          <x14:id>{E4766235-9EEC-45E8-BA00-5D3FB899C513}</x14:id>
        </ext>
      </extLst>
    </cfRule>
  </conditionalFormatting>
  <conditionalFormatting sqref="P186">
    <cfRule type="cellIs" dxfId="10458" priority="338" operator="equal">
      <formula>"ja"</formula>
    </cfRule>
  </conditionalFormatting>
  <conditionalFormatting sqref="P187">
    <cfRule type="cellIs" dxfId="10457" priority="336" operator="equal">
      <formula>"ja"</formula>
    </cfRule>
  </conditionalFormatting>
  <conditionalFormatting sqref="AF187:AF188">
    <cfRule type="dataBar" priority="335">
      <dataBar>
        <cfvo type="min"/>
        <cfvo type="max"/>
        <color rgb="FF63C384"/>
      </dataBar>
      <extLst>
        <ext xmlns:x14="http://schemas.microsoft.com/office/spreadsheetml/2009/9/main" uri="{B025F937-C7B1-47D3-B67F-A62EFF666E3E}">
          <x14:id>{645B6ACC-744F-4DD1-8C50-76960671CD96}</x14:id>
        </ext>
      </extLst>
    </cfRule>
  </conditionalFormatting>
  <conditionalFormatting sqref="AF187:AF188">
    <cfRule type="dataBar" priority="334">
      <dataBar>
        <cfvo type="min"/>
        <cfvo type="max"/>
        <color rgb="FF63C384"/>
      </dataBar>
      <extLst>
        <ext xmlns:x14="http://schemas.microsoft.com/office/spreadsheetml/2009/9/main" uri="{B025F937-C7B1-47D3-B67F-A62EFF666E3E}">
          <x14:id>{42D691D8-B045-4C79-9D25-D3866982AD3D}</x14:id>
        </ext>
      </extLst>
    </cfRule>
  </conditionalFormatting>
  <conditionalFormatting sqref="P187">
    <cfRule type="cellIs" dxfId="10456" priority="332" operator="equal">
      <formula>"ja"</formula>
    </cfRule>
  </conditionalFormatting>
  <conditionalFormatting sqref="AF187:AF188">
    <cfRule type="dataBar" priority="331">
      <dataBar>
        <cfvo type="min"/>
        <cfvo type="max"/>
        <color rgb="FF63C384"/>
      </dataBar>
      <extLst>
        <ext xmlns:x14="http://schemas.microsoft.com/office/spreadsheetml/2009/9/main" uri="{B025F937-C7B1-47D3-B67F-A62EFF666E3E}">
          <x14:id>{EFA8DE13-02C3-4CAA-A7DC-C138C00905C7}</x14:id>
        </ext>
      </extLst>
    </cfRule>
  </conditionalFormatting>
  <conditionalFormatting sqref="P187">
    <cfRule type="cellIs" dxfId="10455" priority="330" operator="equal">
      <formula>"ja"</formula>
    </cfRule>
  </conditionalFormatting>
  <conditionalFormatting sqref="AF189">
    <cfRule type="dataBar" priority="329">
      <dataBar>
        <cfvo type="min"/>
        <cfvo type="max"/>
        <color rgb="FF63C384"/>
      </dataBar>
      <extLst>
        <ext xmlns:x14="http://schemas.microsoft.com/office/spreadsheetml/2009/9/main" uri="{B025F937-C7B1-47D3-B67F-A62EFF666E3E}">
          <x14:id>{BC5C01DA-0F54-45B6-BC48-F7B0F029C5CA}</x14:id>
        </ext>
      </extLst>
    </cfRule>
  </conditionalFormatting>
  <conditionalFormatting sqref="P191">
    <cfRule type="cellIs" dxfId="10454" priority="325" operator="equal">
      <formula>"ja"</formula>
    </cfRule>
  </conditionalFormatting>
  <conditionalFormatting sqref="AF191">
    <cfRule type="dataBar" priority="324">
      <dataBar>
        <cfvo type="min"/>
        <cfvo type="max"/>
        <color rgb="FF63C384"/>
      </dataBar>
      <extLst>
        <ext xmlns:x14="http://schemas.microsoft.com/office/spreadsheetml/2009/9/main" uri="{B025F937-C7B1-47D3-B67F-A62EFF666E3E}">
          <x14:id>{0D78E1B3-5F46-431E-8933-A3A8BF9882A7}</x14:id>
        </ext>
      </extLst>
    </cfRule>
  </conditionalFormatting>
  <conditionalFormatting sqref="P191">
    <cfRule type="cellIs" dxfId="10453" priority="323" operator="equal">
      <formula>"ja"</formula>
    </cfRule>
  </conditionalFormatting>
  <conditionalFormatting sqref="P192">
    <cfRule type="cellIs" dxfId="10452" priority="321" operator="equal">
      <formula>"ja"</formula>
    </cfRule>
  </conditionalFormatting>
  <conditionalFormatting sqref="AF192">
    <cfRule type="dataBar" priority="320">
      <dataBar>
        <cfvo type="min"/>
        <cfvo type="max"/>
        <color rgb="FF63C384"/>
      </dataBar>
      <extLst>
        <ext xmlns:x14="http://schemas.microsoft.com/office/spreadsheetml/2009/9/main" uri="{B025F937-C7B1-47D3-B67F-A62EFF666E3E}">
          <x14:id>{A4A35816-CEAA-4292-90F7-ED6C096E6DC7}</x14:id>
        </ext>
      </extLst>
    </cfRule>
  </conditionalFormatting>
  <conditionalFormatting sqref="P192">
    <cfRule type="cellIs" dxfId="10451" priority="319" operator="equal">
      <formula>"ja"</formula>
    </cfRule>
  </conditionalFormatting>
  <conditionalFormatting sqref="P192">
    <cfRule type="cellIs" dxfId="10450" priority="317" operator="equal">
      <formula>"ja"</formula>
    </cfRule>
  </conditionalFormatting>
  <conditionalFormatting sqref="AF192">
    <cfRule type="dataBar" priority="316">
      <dataBar>
        <cfvo type="min"/>
        <cfvo type="max"/>
        <color rgb="FF63C384"/>
      </dataBar>
      <extLst>
        <ext xmlns:x14="http://schemas.microsoft.com/office/spreadsheetml/2009/9/main" uri="{B025F937-C7B1-47D3-B67F-A62EFF666E3E}">
          <x14:id>{EC6A9447-1347-4960-AD55-7F87F83E7D96}</x14:id>
        </ext>
      </extLst>
    </cfRule>
  </conditionalFormatting>
  <conditionalFormatting sqref="P192">
    <cfRule type="cellIs" dxfId="10449" priority="315" operator="equal">
      <formula>"ja"</formula>
    </cfRule>
  </conditionalFormatting>
  <conditionalFormatting sqref="AF193">
    <cfRule type="dataBar" priority="314">
      <dataBar>
        <cfvo type="min"/>
        <cfvo type="max"/>
        <color rgb="FF63C384"/>
      </dataBar>
      <extLst>
        <ext xmlns:x14="http://schemas.microsoft.com/office/spreadsheetml/2009/9/main" uri="{B025F937-C7B1-47D3-B67F-A62EFF666E3E}">
          <x14:id>{489663CE-9F5A-4237-8F51-22640BB97D7F}</x14:id>
        </ext>
      </extLst>
    </cfRule>
  </conditionalFormatting>
  <conditionalFormatting sqref="P194">
    <cfRule type="cellIs" dxfId="10448" priority="311" operator="equal">
      <formula>"ja"</formula>
    </cfRule>
  </conditionalFormatting>
  <conditionalFormatting sqref="P194">
    <cfRule type="cellIs" dxfId="10447" priority="310" operator="equal">
      <formula>"ja"</formula>
    </cfRule>
  </conditionalFormatting>
  <conditionalFormatting sqref="P194">
    <cfRule type="cellIs" dxfId="10446" priority="309" operator="equal">
      <formula>"ja"</formula>
    </cfRule>
  </conditionalFormatting>
  <conditionalFormatting sqref="AF194">
    <cfRule type="dataBar" priority="308">
      <dataBar>
        <cfvo type="min"/>
        <cfvo type="max"/>
        <color rgb="FF63C384"/>
      </dataBar>
      <extLst>
        <ext xmlns:x14="http://schemas.microsoft.com/office/spreadsheetml/2009/9/main" uri="{B025F937-C7B1-47D3-B67F-A62EFF666E3E}">
          <x14:id>{CA2B7026-9233-4DA7-A639-EBA829F6E3C6}</x14:id>
        </ext>
      </extLst>
    </cfRule>
  </conditionalFormatting>
  <conditionalFormatting sqref="AF194">
    <cfRule type="dataBar" priority="307">
      <dataBar>
        <cfvo type="min"/>
        <cfvo type="max"/>
        <color rgb="FF63C384"/>
      </dataBar>
      <extLst>
        <ext xmlns:x14="http://schemas.microsoft.com/office/spreadsheetml/2009/9/main" uri="{B025F937-C7B1-47D3-B67F-A62EFF666E3E}">
          <x14:id>{8E62FF3D-54AB-4F84-A199-DE2AA24146C7}</x14:id>
        </ext>
      </extLst>
    </cfRule>
  </conditionalFormatting>
  <conditionalFormatting sqref="P194">
    <cfRule type="cellIs" dxfId="10445" priority="306" operator="equal">
      <formula>"ja"</formula>
    </cfRule>
  </conditionalFormatting>
  <conditionalFormatting sqref="AF194">
    <cfRule type="dataBar" priority="305">
      <dataBar>
        <cfvo type="min"/>
        <cfvo type="max"/>
        <color rgb="FF63C384"/>
      </dataBar>
      <extLst>
        <ext xmlns:x14="http://schemas.microsoft.com/office/spreadsheetml/2009/9/main" uri="{B025F937-C7B1-47D3-B67F-A62EFF666E3E}">
          <x14:id>{0625F8D1-026C-4C81-9B1F-3568F18BA9D9}</x14:id>
        </ext>
      </extLst>
    </cfRule>
  </conditionalFormatting>
  <conditionalFormatting sqref="AF194">
    <cfRule type="dataBar" priority="304">
      <dataBar>
        <cfvo type="min"/>
        <cfvo type="max"/>
        <color rgb="FF63C384"/>
      </dataBar>
      <extLst>
        <ext xmlns:x14="http://schemas.microsoft.com/office/spreadsheetml/2009/9/main" uri="{B025F937-C7B1-47D3-B67F-A62EFF666E3E}">
          <x14:id>{E3D00D61-7F39-4ECF-8515-41218FC0F79B}</x14:id>
        </ext>
      </extLst>
    </cfRule>
  </conditionalFormatting>
  <conditionalFormatting sqref="AF195">
    <cfRule type="dataBar" priority="302">
      <dataBar>
        <cfvo type="min"/>
        <cfvo type="max"/>
        <color rgb="FF63C384"/>
      </dataBar>
      <extLst>
        <ext xmlns:x14="http://schemas.microsoft.com/office/spreadsheetml/2009/9/main" uri="{B025F937-C7B1-47D3-B67F-A62EFF666E3E}">
          <x14:id>{9EF47AF1-6931-46E5-A7A5-24A0801A6B54}</x14:id>
        </ext>
      </extLst>
    </cfRule>
  </conditionalFormatting>
  <conditionalFormatting sqref="AF195">
    <cfRule type="dataBar" priority="301">
      <dataBar>
        <cfvo type="min"/>
        <cfvo type="max"/>
        <color rgb="FF63C384"/>
      </dataBar>
      <extLst>
        <ext xmlns:x14="http://schemas.microsoft.com/office/spreadsheetml/2009/9/main" uri="{B025F937-C7B1-47D3-B67F-A62EFF666E3E}">
          <x14:id>{2675F625-06DF-47D6-80BA-7CCA4DB30534}</x14:id>
        </ext>
      </extLst>
    </cfRule>
  </conditionalFormatting>
  <conditionalFormatting sqref="AF195">
    <cfRule type="dataBar" priority="300">
      <dataBar>
        <cfvo type="min"/>
        <cfvo type="max"/>
        <color rgb="FF63C384"/>
      </dataBar>
      <extLst>
        <ext xmlns:x14="http://schemas.microsoft.com/office/spreadsheetml/2009/9/main" uri="{B025F937-C7B1-47D3-B67F-A62EFF666E3E}">
          <x14:id>{30C6C6F8-4BD2-494E-8F1D-DD6DB0231945}</x14:id>
        </ext>
      </extLst>
    </cfRule>
  </conditionalFormatting>
  <conditionalFormatting sqref="AF195">
    <cfRule type="dataBar" priority="299">
      <dataBar>
        <cfvo type="min"/>
        <cfvo type="max"/>
        <color rgb="FF63C384"/>
      </dataBar>
      <extLst>
        <ext xmlns:x14="http://schemas.microsoft.com/office/spreadsheetml/2009/9/main" uri="{B025F937-C7B1-47D3-B67F-A62EFF666E3E}">
          <x14:id>{55E07F70-49B2-417D-92C0-2491399C6B16}</x14:id>
        </ext>
      </extLst>
    </cfRule>
  </conditionalFormatting>
  <conditionalFormatting sqref="AF196">
    <cfRule type="dataBar" priority="297">
      <dataBar>
        <cfvo type="min"/>
        <cfvo type="max"/>
        <color rgb="FF63C384"/>
      </dataBar>
      <extLst>
        <ext xmlns:x14="http://schemas.microsoft.com/office/spreadsheetml/2009/9/main" uri="{B025F937-C7B1-47D3-B67F-A62EFF666E3E}">
          <x14:id>{C1062737-7FD6-4C2D-8857-E1E81D4D6767}</x14:id>
        </ext>
      </extLst>
    </cfRule>
  </conditionalFormatting>
  <conditionalFormatting sqref="AF196">
    <cfRule type="dataBar" priority="296">
      <dataBar>
        <cfvo type="min"/>
        <cfvo type="max"/>
        <color rgb="FF63C384"/>
      </dataBar>
      <extLst>
        <ext xmlns:x14="http://schemas.microsoft.com/office/spreadsheetml/2009/9/main" uri="{B025F937-C7B1-47D3-B67F-A62EFF666E3E}">
          <x14:id>{396A7C01-E434-4C3E-991F-6E4ECECABC04}</x14:id>
        </ext>
      </extLst>
    </cfRule>
  </conditionalFormatting>
  <conditionalFormatting sqref="P196">
    <cfRule type="cellIs" dxfId="10444" priority="295" operator="equal">
      <formula>"ja"</formula>
    </cfRule>
  </conditionalFormatting>
  <conditionalFormatting sqref="P196">
    <cfRule type="cellIs" dxfId="10443" priority="294" operator="equal">
      <formula>"ja"</formula>
    </cfRule>
  </conditionalFormatting>
  <conditionalFormatting sqref="AF197">
    <cfRule type="dataBar" priority="293">
      <dataBar>
        <cfvo type="min"/>
        <cfvo type="max"/>
        <color rgb="FF63C384"/>
      </dataBar>
      <extLst>
        <ext xmlns:x14="http://schemas.microsoft.com/office/spreadsheetml/2009/9/main" uri="{B025F937-C7B1-47D3-B67F-A62EFF666E3E}">
          <x14:id>{5990ED5F-0544-4EBD-A0B3-E0846ECB4497}</x14:id>
        </ext>
      </extLst>
    </cfRule>
  </conditionalFormatting>
  <conditionalFormatting sqref="P198">
    <cfRule type="cellIs" dxfId="10442" priority="290" operator="equal">
      <formula>"ja"</formula>
    </cfRule>
  </conditionalFormatting>
  <conditionalFormatting sqref="AF198">
    <cfRule type="dataBar" priority="289">
      <dataBar>
        <cfvo type="min"/>
        <cfvo type="max"/>
        <color rgb="FF63C384"/>
      </dataBar>
      <extLst>
        <ext xmlns:x14="http://schemas.microsoft.com/office/spreadsheetml/2009/9/main" uri="{B025F937-C7B1-47D3-B67F-A62EFF666E3E}">
          <x14:id>{67A3200C-2501-42D1-B7D4-E4E1B54A2B8D}</x14:id>
        </ext>
      </extLst>
    </cfRule>
  </conditionalFormatting>
  <conditionalFormatting sqref="P198">
    <cfRule type="cellIs" dxfId="10441" priority="288" operator="equal">
      <formula>"ja"</formula>
    </cfRule>
  </conditionalFormatting>
  <conditionalFormatting sqref="P198">
    <cfRule type="cellIs" dxfId="10440" priority="287" operator="equal">
      <formula>"ja"</formula>
    </cfRule>
  </conditionalFormatting>
  <conditionalFormatting sqref="P199">
    <cfRule type="cellIs" dxfId="10439" priority="285" operator="equal">
      <formula>"ja"</formula>
    </cfRule>
  </conditionalFormatting>
  <conditionalFormatting sqref="P199">
    <cfRule type="cellIs" dxfId="10438" priority="284" operator="equal">
      <formula>"ja"</formula>
    </cfRule>
  </conditionalFormatting>
  <conditionalFormatting sqref="P199">
    <cfRule type="cellIs" dxfId="10437" priority="283" operator="equal">
      <formula>"ja"</formula>
    </cfRule>
  </conditionalFormatting>
  <conditionalFormatting sqref="AF199">
    <cfRule type="dataBar" priority="282">
      <dataBar>
        <cfvo type="min"/>
        <cfvo type="max"/>
        <color rgb="FF63C384"/>
      </dataBar>
      <extLst>
        <ext xmlns:x14="http://schemas.microsoft.com/office/spreadsheetml/2009/9/main" uri="{B025F937-C7B1-47D3-B67F-A62EFF666E3E}">
          <x14:id>{5BCB853E-71E9-4F22-94EA-71CF75ED36D7}</x14:id>
        </ext>
      </extLst>
    </cfRule>
  </conditionalFormatting>
  <conditionalFormatting sqref="AF199">
    <cfRule type="dataBar" priority="281">
      <dataBar>
        <cfvo type="min"/>
        <cfvo type="max"/>
        <color rgb="FF63C384"/>
      </dataBar>
      <extLst>
        <ext xmlns:x14="http://schemas.microsoft.com/office/spreadsheetml/2009/9/main" uri="{B025F937-C7B1-47D3-B67F-A62EFF666E3E}">
          <x14:id>{C77CBF12-D24E-46E2-AA90-C163D2A6662C}</x14:id>
        </ext>
      </extLst>
    </cfRule>
  </conditionalFormatting>
  <conditionalFormatting sqref="P199">
    <cfRule type="cellIs" dxfId="10436" priority="280" operator="equal">
      <formula>"ja"</formula>
    </cfRule>
  </conditionalFormatting>
  <conditionalFormatting sqref="AF199">
    <cfRule type="dataBar" priority="279">
      <dataBar>
        <cfvo type="min"/>
        <cfvo type="max"/>
        <color rgb="FF63C384"/>
      </dataBar>
      <extLst>
        <ext xmlns:x14="http://schemas.microsoft.com/office/spreadsheetml/2009/9/main" uri="{B025F937-C7B1-47D3-B67F-A62EFF666E3E}">
          <x14:id>{812D59FD-01F2-4ABF-8316-C6AFD0D8537D}</x14:id>
        </ext>
      </extLst>
    </cfRule>
  </conditionalFormatting>
  <conditionalFormatting sqref="AF199">
    <cfRule type="dataBar" priority="278">
      <dataBar>
        <cfvo type="min"/>
        <cfvo type="max"/>
        <color rgb="FF63C384"/>
      </dataBar>
      <extLst>
        <ext xmlns:x14="http://schemas.microsoft.com/office/spreadsheetml/2009/9/main" uri="{B025F937-C7B1-47D3-B67F-A62EFF666E3E}">
          <x14:id>{407387F5-B11B-4F6B-8424-E78D8E49031E}</x14:id>
        </ext>
      </extLst>
    </cfRule>
  </conditionalFormatting>
  <conditionalFormatting sqref="AF200">
    <cfRule type="dataBar" priority="277">
      <dataBar>
        <cfvo type="min"/>
        <cfvo type="max"/>
        <color rgb="FF63C384"/>
      </dataBar>
      <extLst>
        <ext xmlns:x14="http://schemas.microsoft.com/office/spreadsheetml/2009/9/main" uri="{B025F937-C7B1-47D3-B67F-A62EFF666E3E}">
          <x14:id>{3B3E5BD5-5255-47E4-BBF9-5AE28405364B}</x14:id>
        </ext>
      </extLst>
    </cfRule>
  </conditionalFormatting>
  <conditionalFormatting sqref="X1">
    <cfRule type="expression" dxfId="10435" priority="141">
      <formula>"$G$G&gt;400"</formula>
    </cfRule>
  </conditionalFormatting>
  <conditionalFormatting sqref="K1">
    <cfRule type="containsText" dxfId="10434" priority="139" operator="containsText" text="Einnahmen">
      <formula>NOT(ISERROR(SEARCH("Einnahmen",K1)))</formula>
    </cfRule>
    <cfRule type="containsText" dxfId="10433" priority="140" operator="containsText" text="Ausgaben">
      <formula>NOT(ISERROR(SEARCH("Ausgaben",K1)))</formula>
    </cfRule>
  </conditionalFormatting>
  <conditionalFormatting sqref="K3">
    <cfRule type="containsText" dxfId="10432" priority="137" operator="containsText" text="Einnahmen">
      <formula>NOT(ISERROR(SEARCH("Einnahmen",K3)))</formula>
    </cfRule>
    <cfRule type="containsText" dxfId="10431" priority="138" operator="containsText" text="Ausgaben">
      <formula>NOT(ISERROR(SEARCH("Ausgaben",K3)))</formula>
    </cfRule>
  </conditionalFormatting>
  <conditionalFormatting sqref="K4:K8 K10:K20 K22:K43 K45:K57 K59:K70">
    <cfRule type="containsText" dxfId="10430" priority="135" operator="containsText" text="Einnahmen">
      <formula>NOT(ISERROR(SEARCH("Einnahmen",K4)))</formula>
    </cfRule>
    <cfRule type="containsText" dxfId="10429" priority="136" operator="containsText" text="Ausgaben">
      <formula>NOT(ISERROR(SEARCH("Ausgaben",K4)))</formula>
    </cfRule>
  </conditionalFormatting>
  <conditionalFormatting sqref="K9">
    <cfRule type="containsText" dxfId="10428" priority="133" operator="containsText" text="Einnahmen">
      <formula>NOT(ISERROR(SEARCH("Einnahmen",K9)))</formula>
    </cfRule>
    <cfRule type="containsText" dxfId="10427" priority="134" operator="containsText" text="Ausgaben">
      <formula>NOT(ISERROR(SEARCH("Ausgaben",K9)))</formula>
    </cfRule>
  </conditionalFormatting>
  <conditionalFormatting sqref="K21">
    <cfRule type="containsText" dxfId="10426" priority="131" operator="containsText" text="Einnahmen">
      <formula>NOT(ISERROR(SEARCH("Einnahmen",K21)))</formula>
    </cfRule>
    <cfRule type="containsText" dxfId="10425" priority="132" operator="containsText" text="Ausgaben">
      <formula>NOT(ISERROR(SEARCH("Ausgaben",K21)))</formula>
    </cfRule>
  </conditionalFormatting>
  <conditionalFormatting sqref="K44">
    <cfRule type="containsText" dxfId="10424" priority="129" operator="containsText" text="Einnahmen">
      <formula>NOT(ISERROR(SEARCH("Einnahmen",K44)))</formula>
    </cfRule>
    <cfRule type="containsText" dxfId="10423" priority="130" operator="containsText" text="Ausgaben">
      <formula>NOT(ISERROR(SEARCH("Ausgaben",K44)))</formula>
    </cfRule>
  </conditionalFormatting>
  <conditionalFormatting sqref="K58">
    <cfRule type="containsText" dxfId="10422" priority="127" operator="containsText" text="Einnahmen">
      <formula>NOT(ISERROR(SEARCH("Einnahmen",K58)))</formula>
    </cfRule>
    <cfRule type="containsText" dxfId="10421" priority="128" operator="containsText" text="Ausgaben">
      <formula>NOT(ISERROR(SEARCH("Ausgaben",K58)))</formula>
    </cfRule>
  </conditionalFormatting>
  <conditionalFormatting sqref="K71">
    <cfRule type="containsText" dxfId="10420" priority="125" operator="containsText" text="Einnahmen">
      <formula>NOT(ISERROR(SEARCH("Einnahmen",K71)))</formula>
    </cfRule>
    <cfRule type="containsText" dxfId="10419" priority="126" operator="containsText" text="Ausgaben">
      <formula>NOT(ISERROR(SEARCH("Ausgaben",K71)))</formula>
    </cfRule>
  </conditionalFormatting>
  <conditionalFormatting sqref="K72:K73 K79:K80 K87 K89 K91:K92 K94 K96:K98 K101 K103:K109 K113 K116:K118 K121:K123 K127:K128 K132:K138 K142">
    <cfRule type="containsText" dxfId="10418" priority="123" operator="containsText" text="Einnahmen">
      <formula>NOT(ISERROR(SEARCH("Einnahmen",K72)))</formula>
    </cfRule>
    <cfRule type="containsText" dxfId="10417" priority="124" operator="containsText" text="Ausgaben">
      <formula>NOT(ISERROR(SEARCH("Ausgaben",K72)))</formula>
    </cfRule>
  </conditionalFormatting>
  <conditionalFormatting sqref="K74">
    <cfRule type="containsText" dxfId="10416" priority="121" operator="containsText" text="Einnahmen">
      <formula>NOT(ISERROR(SEARCH("Einnahmen",K74)))</formula>
    </cfRule>
    <cfRule type="containsText" dxfId="10415" priority="122" operator="containsText" text="Ausgaben">
      <formula>NOT(ISERROR(SEARCH("Ausgaben",K74)))</formula>
    </cfRule>
  </conditionalFormatting>
  <conditionalFormatting sqref="K75">
    <cfRule type="containsText" dxfId="10414" priority="119" operator="containsText" text="Einnahmen">
      <formula>NOT(ISERROR(SEARCH("Einnahmen",K75)))</formula>
    </cfRule>
    <cfRule type="containsText" dxfId="10413" priority="120" operator="containsText" text="Ausgaben">
      <formula>NOT(ISERROR(SEARCH("Ausgaben",K75)))</formula>
    </cfRule>
  </conditionalFormatting>
  <conditionalFormatting sqref="K76">
    <cfRule type="containsText" dxfId="10412" priority="117" operator="containsText" text="Einnahmen">
      <formula>NOT(ISERROR(SEARCH("Einnahmen",K76)))</formula>
    </cfRule>
    <cfRule type="containsText" dxfId="10411" priority="118" operator="containsText" text="Ausgaben">
      <formula>NOT(ISERROR(SEARCH("Ausgaben",K76)))</formula>
    </cfRule>
  </conditionalFormatting>
  <conditionalFormatting sqref="K77:K78">
    <cfRule type="containsText" dxfId="10410" priority="115" operator="containsText" text="Einnahmen">
      <formula>NOT(ISERROR(SEARCH("Einnahmen",K77)))</formula>
    </cfRule>
    <cfRule type="containsText" dxfId="10409" priority="116" operator="containsText" text="Ausgaben">
      <formula>NOT(ISERROR(SEARCH("Ausgaben",K77)))</formula>
    </cfRule>
  </conditionalFormatting>
  <conditionalFormatting sqref="K81">
    <cfRule type="containsText" dxfId="10408" priority="113" operator="containsText" text="Einnahmen">
      <formula>NOT(ISERROR(SEARCH("Einnahmen",K81)))</formula>
    </cfRule>
    <cfRule type="containsText" dxfId="10407" priority="114" operator="containsText" text="Ausgaben">
      <formula>NOT(ISERROR(SEARCH("Ausgaben",K81)))</formula>
    </cfRule>
  </conditionalFormatting>
  <conditionalFormatting sqref="K82">
    <cfRule type="containsText" dxfId="10406" priority="111" operator="containsText" text="Einnahmen">
      <formula>NOT(ISERROR(SEARCH("Einnahmen",K82)))</formula>
    </cfRule>
    <cfRule type="containsText" dxfId="10405" priority="112" operator="containsText" text="Ausgaben">
      <formula>NOT(ISERROR(SEARCH("Ausgaben",K82)))</formula>
    </cfRule>
  </conditionalFormatting>
  <conditionalFormatting sqref="K83">
    <cfRule type="containsText" dxfId="10404" priority="109" operator="containsText" text="Einnahmen">
      <formula>NOT(ISERROR(SEARCH("Einnahmen",K83)))</formula>
    </cfRule>
    <cfRule type="containsText" dxfId="10403" priority="110" operator="containsText" text="Ausgaben">
      <formula>NOT(ISERROR(SEARCH("Ausgaben",K83)))</formula>
    </cfRule>
  </conditionalFormatting>
  <conditionalFormatting sqref="K84">
    <cfRule type="containsText" dxfId="10402" priority="107" operator="containsText" text="Einnahmen">
      <formula>NOT(ISERROR(SEARCH("Einnahmen",K84)))</formula>
    </cfRule>
    <cfRule type="containsText" dxfId="10401" priority="108" operator="containsText" text="Ausgaben">
      <formula>NOT(ISERROR(SEARCH("Ausgaben",K84)))</formula>
    </cfRule>
  </conditionalFormatting>
  <conditionalFormatting sqref="K85">
    <cfRule type="containsText" dxfId="10400" priority="105" operator="containsText" text="Einnahmen">
      <formula>NOT(ISERROR(SEARCH("Einnahmen",K85)))</formula>
    </cfRule>
    <cfRule type="containsText" dxfId="10399" priority="106" operator="containsText" text="Ausgaben">
      <formula>NOT(ISERROR(SEARCH("Ausgaben",K85)))</formula>
    </cfRule>
  </conditionalFormatting>
  <conditionalFormatting sqref="K86">
    <cfRule type="containsText" dxfId="10398" priority="103" operator="containsText" text="Einnahmen">
      <formula>NOT(ISERROR(SEARCH("Einnahmen",K86)))</formula>
    </cfRule>
    <cfRule type="containsText" dxfId="10397" priority="104" operator="containsText" text="Ausgaben">
      <formula>NOT(ISERROR(SEARCH("Ausgaben",K86)))</formula>
    </cfRule>
  </conditionalFormatting>
  <conditionalFormatting sqref="K88">
    <cfRule type="containsText" dxfId="10396" priority="101" operator="containsText" text="Einnahmen">
      <formula>NOT(ISERROR(SEARCH("Einnahmen",K88)))</formula>
    </cfRule>
    <cfRule type="containsText" dxfId="10395" priority="102" operator="containsText" text="Ausgaben">
      <formula>NOT(ISERROR(SEARCH("Ausgaben",K88)))</formula>
    </cfRule>
  </conditionalFormatting>
  <conditionalFormatting sqref="K90">
    <cfRule type="containsText" dxfId="10394" priority="99" operator="containsText" text="Einnahmen">
      <formula>NOT(ISERROR(SEARCH("Einnahmen",K90)))</formula>
    </cfRule>
    <cfRule type="containsText" dxfId="10393" priority="100" operator="containsText" text="Ausgaben">
      <formula>NOT(ISERROR(SEARCH("Ausgaben",K90)))</formula>
    </cfRule>
  </conditionalFormatting>
  <conditionalFormatting sqref="K93">
    <cfRule type="containsText" dxfId="10392" priority="97" operator="containsText" text="Einnahmen">
      <formula>NOT(ISERROR(SEARCH("Einnahmen",K93)))</formula>
    </cfRule>
    <cfRule type="containsText" dxfId="10391" priority="98" operator="containsText" text="Ausgaben">
      <formula>NOT(ISERROR(SEARCH("Ausgaben",K93)))</formula>
    </cfRule>
  </conditionalFormatting>
  <conditionalFormatting sqref="K95">
    <cfRule type="containsText" dxfId="10390" priority="95" operator="containsText" text="Einnahmen">
      <formula>NOT(ISERROR(SEARCH("Einnahmen",K95)))</formula>
    </cfRule>
    <cfRule type="containsText" dxfId="10389" priority="96" operator="containsText" text="Ausgaben">
      <formula>NOT(ISERROR(SEARCH("Ausgaben",K95)))</formula>
    </cfRule>
  </conditionalFormatting>
  <conditionalFormatting sqref="K99">
    <cfRule type="containsText" dxfId="10388" priority="93" operator="containsText" text="Einnahmen">
      <formula>NOT(ISERROR(SEARCH("Einnahmen",K99)))</formula>
    </cfRule>
    <cfRule type="containsText" dxfId="10387" priority="94" operator="containsText" text="Ausgaben">
      <formula>NOT(ISERROR(SEARCH("Ausgaben",K99)))</formula>
    </cfRule>
  </conditionalFormatting>
  <conditionalFormatting sqref="K100">
    <cfRule type="containsText" dxfId="10386" priority="91" operator="containsText" text="Einnahmen">
      <formula>NOT(ISERROR(SEARCH("Einnahmen",K100)))</formula>
    </cfRule>
    <cfRule type="containsText" dxfId="10385" priority="92" operator="containsText" text="Ausgaben">
      <formula>NOT(ISERROR(SEARCH("Ausgaben",K100)))</formula>
    </cfRule>
  </conditionalFormatting>
  <conditionalFormatting sqref="K102">
    <cfRule type="containsText" dxfId="10384" priority="89" operator="containsText" text="Einnahmen">
      <formula>NOT(ISERROR(SEARCH("Einnahmen",K102)))</formula>
    </cfRule>
    <cfRule type="containsText" dxfId="10383" priority="90" operator="containsText" text="Ausgaben">
      <formula>NOT(ISERROR(SEARCH("Ausgaben",K102)))</formula>
    </cfRule>
  </conditionalFormatting>
  <conditionalFormatting sqref="K110">
    <cfRule type="containsText" dxfId="10382" priority="87" operator="containsText" text="Einnahmen">
      <formula>NOT(ISERROR(SEARCH("Einnahmen",K110)))</formula>
    </cfRule>
    <cfRule type="containsText" dxfId="10381" priority="88" operator="containsText" text="Ausgaben">
      <formula>NOT(ISERROR(SEARCH("Ausgaben",K110)))</formula>
    </cfRule>
  </conditionalFormatting>
  <conditionalFormatting sqref="K111">
    <cfRule type="containsText" dxfId="10380" priority="85" operator="containsText" text="Einnahmen">
      <formula>NOT(ISERROR(SEARCH("Einnahmen",K111)))</formula>
    </cfRule>
    <cfRule type="containsText" dxfId="10379" priority="86" operator="containsText" text="Ausgaben">
      <formula>NOT(ISERROR(SEARCH("Ausgaben",K111)))</formula>
    </cfRule>
  </conditionalFormatting>
  <conditionalFormatting sqref="K112">
    <cfRule type="containsText" dxfId="10378" priority="83" operator="containsText" text="Einnahmen">
      <formula>NOT(ISERROR(SEARCH("Einnahmen",K112)))</formula>
    </cfRule>
    <cfRule type="containsText" dxfId="10377" priority="84" operator="containsText" text="Ausgaben">
      <formula>NOT(ISERROR(SEARCH("Ausgaben",K112)))</formula>
    </cfRule>
  </conditionalFormatting>
  <conditionalFormatting sqref="K114">
    <cfRule type="containsText" dxfId="10376" priority="81" operator="containsText" text="Einnahmen">
      <formula>NOT(ISERROR(SEARCH("Einnahmen",K114)))</formula>
    </cfRule>
    <cfRule type="containsText" dxfId="10375" priority="82" operator="containsText" text="Ausgaben">
      <formula>NOT(ISERROR(SEARCH("Ausgaben",K114)))</formula>
    </cfRule>
  </conditionalFormatting>
  <conditionalFormatting sqref="K115">
    <cfRule type="containsText" dxfId="10374" priority="79" operator="containsText" text="Einnahmen">
      <formula>NOT(ISERROR(SEARCH("Einnahmen",K115)))</formula>
    </cfRule>
    <cfRule type="containsText" dxfId="10373" priority="80" operator="containsText" text="Ausgaben">
      <formula>NOT(ISERROR(SEARCH("Ausgaben",K115)))</formula>
    </cfRule>
  </conditionalFormatting>
  <conditionalFormatting sqref="K119">
    <cfRule type="containsText" dxfId="10372" priority="77" operator="containsText" text="Einnahmen">
      <formula>NOT(ISERROR(SEARCH("Einnahmen",K119)))</formula>
    </cfRule>
    <cfRule type="containsText" dxfId="10371" priority="78" operator="containsText" text="Ausgaben">
      <formula>NOT(ISERROR(SEARCH("Ausgaben",K119)))</formula>
    </cfRule>
  </conditionalFormatting>
  <conditionalFormatting sqref="K120">
    <cfRule type="containsText" dxfId="10370" priority="75" operator="containsText" text="Einnahmen">
      <formula>NOT(ISERROR(SEARCH("Einnahmen",K120)))</formula>
    </cfRule>
    <cfRule type="containsText" dxfId="10369" priority="76" operator="containsText" text="Ausgaben">
      <formula>NOT(ISERROR(SEARCH("Ausgaben",K120)))</formula>
    </cfRule>
  </conditionalFormatting>
  <conditionalFormatting sqref="K124">
    <cfRule type="containsText" dxfId="10368" priority="73" operator="containsText" text="Einnahmen">
      <formula>NOT(ISERROR(SEARCH("Einnahmen",K124)))</formula>
    </cfRule>
    <cfRule type="containsText" dxfId="10367" priority="74" operator="containsText" text="Ausgaben">
      <formula>NOT(ISERROR(SEARCH("Ausgaben",K124)))</formula>
    </cfRule>
  </conditionalFormatting>
  <conditionalFormatting sqref="K126">
    <cfRule type="containsText" dxfId="10366" priority="71" operator="containsText" text="Einnahmen">
      <formula>NOT(ISERROR(SEARCH("Einnahmen",K126)))</formula>
    </cfRule>
    <cfRule type="containsText" dxfId="10365" priority="72" operator="containsText" text="Ausgaben">
      <formula>NOT(ISERROR(SEARCH("Ausgaben",K126)))</formula>
    </cfRule>
  </conditionalFormatting>
  <conditionalFormatting sqref="K129:K130">
    <cfRule type="containsText" dxfId="10364" priority="69" operator="containsText" text="Einnahmen">
      <formula>NOT(ISERROR(SEARCH("Einnahmen",K129)))</formula>
    </cfRule>
    <cfRule type="containsText" dxfId="10363" priority="70" operator="containsText" text="Ausgaben">
      <formula>NOT(ISERROR(SEARCH("Ausgaben",K129)))</formula>
    </cfRule>
  </conditionalFormatting>
  <conditionalFormatting sqref="K139:K140">
    <cfRule type="containsText" dxfId="10362" priority="67" operator="containsText" text="Einnahmen">
      <formula>NOT(ISERROR(SEARCH("Einnahmen",K139)))</formula>
    </cfRule>
    <cfRule type="containsText" dxfId="10361" priority="68" operator="containsText" text="Ausgaben">
      <formula>NOT(ISERROR(SEARCH("Ausgaben",K139)))</formula>
    </cfRule>
  </conditionalFormatting>
  <conditionalFormatting sqref="K131">
    <cfRule type="containsText" dxfId="10360" priority="65" operator="containsText" text="Einnahmen">
      <formula>NOT(ISERROR(SEARCH("Einnahmen",K131)))</formula>
    </cfRule>
    <cfRule type="containsText" dxfId="10359" priority="66" operator="containsText" text="Ausgaben">
      <formula>NOT(ISERROR(SEARCH("Ausgaben",K131)))</formula>
    </cfRule>
  </conditionalFormatting>
  <conditionalFormatting sqref="K141">
    <cfRule type="containsText" dxfId="10358" priority="63" operator="containsText" text="Einnahmen">
      <formula>NOT(ISERROR(SEARCH("Einnahmen",K141)))</formula>
    </cfRule>
    <cfRule type="containsText" dxfId="10357" priority="64" operator="containsText" text="Ausgaben">
      <formula>NOT(ISERROR(SEARCH("Ausgaben",K141)))</formula>
    </cfRule>
  </conditionalFormatting>
  <conditionalFormatting sqref="K143">
    <cfRule type="containsText" dxfId="10356" priority="61" operator="containsText" text="Einnahmen">
      <formula>NOT(ISERROR(SEARCH("Einnahmen",K143)))</formula>
    </cfRule>
    <cfRule type="containsText" dxfId="10355" priority="62" operator="containsText" text="Ausgaben">
      <formula>NOT(ISERROR(SEARCH("Ausgaben",K143)))</formula>
    </cfRule>
  </conditionalFormatting>
  <conditionalFormatting sqref="K144">
    <cfRule type="containsText" dxfId="10354" priority="59" operator="containsText" text="Einnahmen">
      <formula>NOT(ISERROR(SEARCH("Einnahmen",K144)))</formula>
    </cfRule>
    <cfRule type="containsText" dxfId="10353" priority="60" operator="containsText" text="Ausgaben">
      <formula>NOT(ISERROR(SEARCH("Ausgaben",K144)))</formula>
    </cfRule>
  </conditionalFormatting>
  <conditionalFormatting sqref="K145">
    <cfRule type="containsText" dxfId="10352" priority="57" operator="containsText" text="Einnahmen">
      <formula>NOT(ISERROR(SEARCH("Einnahmen",K145)))</formula>
    </cfRule>
    <cfRule type="containsText" dxfId="10351" priority="58" operator="containsText" text="Ausgaben">
      <formula>NOT(ISERROR(SEARCH("Ausgaben",K145)))</formula>
    </cfRule>
  </conditionalFormatting>
  <conditionalFormatting sqref="K146">
    <cfRule type="containsText" dxfId="10350" priority="55" operator="containsText" text="Einnahmen">
      <formula>NOT(ISERROR(SEARCH("Einnahmen",K146)))</formula>
    </cfRule>
    <cfRule type="containsText" dxfId="10349" priority="56" operator="containsText" text="Ausgaben">
      <formula>NOT(ISERROR(SEARCH("Ausgaben",K146)))</formula>
    </cfRule>
  </conditionalFormatting>
  <conditionalFormatting sqref="K147:K149">
    <cfRule type="containsText" dxfId="10348" priority="53" operator="containsText" text="Einnahmen">
      <formula>NOT(ISERROR(SEARCH("Einnahmen",K147)))</formula>
    </cfRule>
    <cfRule type="containsText" dxfId="10347" priority="54" operator="containsText" text="Ausgaben">
      <formula>NOT(ISERROR(SEARCH("Ausgaben",K147)))</formula>
    </cfRule>
  </conditionalFormatting>
  <conditionalFormatting sqref="K150">
    <cfRule type="containsText" dxfId="10346" priority="51" operator="containsText" text="Einnahmen">
      <formula>NOT(ISERROR(SEARCH("Einnahmen",K150)))</formula>
    </cfRule>
    <cfRule type="containsText" dxfId="10345" priority="52" operator="containsText" text="Ausgaben">
      <formula>NOT(ISERROR(SEARCH("Ausgaben",K150)))</formula>
    </cfRule>
  </conditionalFormatting>
  <conditionalFormatting sqref="K151">
    <cfRule type="containsText" dxfId="10344" priority="49" operator="containsText" text="Einnahmen">
      <formula>NOT(ISERROR(SEARCH("Einnahmen",K151)))</formula>
    </cfRule>
    <cfRule type="containsText" dxfId="10343" priority="50" operator="containsText" text="Ausgaben">
      <formula>NOT(ISERROR(SEARCH("Ausgaben",K151)))</formula>
    </cfRule>
  </conditionalFormatting>
  <conditionalFormatting sqref="K153">
    <cfRule type="containsText" dxfId="10342" priority="47" operator="containsText" text="Einnahmen">
      <formula>NOT(ISERROR(SEARCH("Einnahmen",K153)))</formula>
    </cfRule>
    <cfRule type="containsText" dxfId="10341" priority="48" operator="containsText" text="Ausgaben">
      <formula>NOT(ISERROR(SEARCH("Ausgaben",K153)))</formula>
    </cfRule>
  </conditionalFormatting>
  <conditionalFormatting sqref="K154:K155">
    <cfRule type="containsText" dxfId="10340" priority="45" operator="containsText" text="Einnahmen">
      <formula>NOT(ISERROR(SEARCH("Einnahmen",K154)))</formula>
    </cfRule>
    <cfRule type="containsText" dxfId="10339" priority="46" operator="containsText" text="Ausgaben">
      <formula>NOT(ISERROR(SEARCH("Ausgaben",K154)))</formula>
    </cfRule>
  </conditionalFormatting>
  <conditionalFormatting sqref="K155:K156">
    <cfRule type="containsText" dxfId="10338" priority="43" operator="containsText" text="Einnahmen">
      <formula>NOT(ISERROR(SEARCH("Einnahmen",K155)))</formula>
    </cfRule>
    <cfRule type="containsText" dxfId="10337" priority="44" operator="containsText" text="Ausgaben">
      <formula>NOT(ISERROR(SEARCH("Ausgaben",K155)))</formula>
    </cfRule>
  </conditionalFormatting>
  <conditionalFormatting sqref="K157">
    <cfRule type="containsText" dxfId="10336" priority="41" operator="containsText" text="Einnahmen">
      <formula>NOT(ISERROR(SEARCH("Einnahmen",K157)))</formula>
    </cfRule>
    <cfRule type="containsText" dxfId="10335" priority="42" operator="containsText" text="Ausgaben">
      <formula>NOT(ISERROR(SEARCH("Ausgaben",K157)))</formula>
    </cfRule>
  </conditionalFormatting>
  <conditionalFormatting sqref="K158">
    <cfRule type="containsText" dxfId="10334" priority="39" operator="containsText" text="Einnahmen">
      <formula>NOT(ISERROR(SEARCH("Einnahmen",K158)))</formula>
    </cfRule>
    <cfRule type="containsText" dxfId="10333" priority="40" operator="containsText" text="Ausgaben">
      <formula>NOT(ISERROR(SEARCH("Ausgaben",K158)))</formula>
    </cfRule>
  </conditionalFormatting>
  <conditionalFormatting sqref="K159:K160">
    <cfRule type="containsText" dxfId="10332" priority="37" operator="containsText" text="Einnahmen">
      <formula>NOT(ISERROR(SEARCH("Einnahmen",K159)))</formula>
    </cfRule>
    <cfRule type="containsText" dxfId="10331" priority="38" operator="containsText" text="Ausgaben">
      <formula>NOT(ISERROR(SEARCH("Ausgaben",K159)))</formula>
    </cfRule>
  </conditionalFormatting>
  <conditionalFormatting sqref="K152">
    <cfRule type="containsText" dxfId="10330" priority="35" operator="containsText" text="Einnahmen">
      <formula>NOT(ISERROR(SEARCH("Einnahmen",K152)))</formula>
    </cfRule>
    <cfRule type="containsText" dxfId="10329" priority="36" operator="containsText" text="Ausgaben">
      <formula>NOT(ISERROR(SEARCH("Ausgaben",K152)))</formula>
    </cfRule>
  </conditionalFormatting>
  <conditionalFormatting sqref="K161">
    <cfRule type="containsText" dxfId="10328" priority="33" operator="containsText" text="Einnahmen">
      <formula>NOT(ISERROR(SEARCH("Einnahmen",K161)))</formula>
    </cfRule>
    <cfRule type="containsText" dxfId="10327" priority="34" operator="containsText" text="Ausgaben">
      <formula>NOT(ISERROR(SEARCH("Ausgaben",K161)))</formula>
    </cfRule>
  </conditionalFormatting>
  <conditionalFormatting sqref="K162:K163">
    <cfRule type="containsText" dxfId="10326" priority="31" operator="containsText" text="Einnahmen">
      <formula>NOT(ISERROR(SEARCH("Einnahmen",K162)))</formula>
    </cfRule>
    <cfRule type="containsText" dxfId="10325" priority="32" operator="containsText" text="Ausgaben">
      <formula>NOT(ISERROR(SEARCH("Ausgaben",K162)))</formula>
    </cfRule>
  </conditionalFormatting>
  <conditionalFormatting sqref="K164">
    <cfRule type="containsText" dxfId="10324" priority="29" operator="containsText" text="Einnahmen">
      <formula>NOT(ISERROR(SEARCH("Einnahmen",K164)))</formula>
    </cfRule>
    <cfRule type="containsText" dxfId="10323" priority="30" operator="containsText" text="Ausgaben">
      <formula>NOT(ISERROR(SEARCH("Ausgaben",K164)))</formula>
    </cfRule>
  </conditionalFormatting>
  <conditionalFormatting sqref="K165">
    <cfRule type="containsText" dxfId="10322" priority="27" operator="containsText" text="Einnahmen">
      <formula>NOT(ISERROR(SEARCH("Einnahmen",K165)))</formula>
    </cfRule>
    <cfRule type="containsText" dxfId="10321" priority="28" operator="containsText" text="Ausgaben">
      <formula>NOT(ISERROR(SEARCH("Ausgaben",K165)))</formula>
    </cfRule>
  </conditionalFormatting>
  <conditionalFormatting sqref="K165">
    <cfRule type="containsText" dxfId="10320" priority="25" operator="containsText" text="Einnahmen">
      <formula>NOT(ISERROR(SEARCH("Einnahmen",K165)))</formula>
    </cfRule>
    <cfRule type="containsText" dxfId="10319" priority="26" operator="containsText" text="Ausgaben">
      <formula>NOT(ISERROR(SEARCH("Ausgaben",K165)))</formula>
    </cfRule>
  </conditionalFormatting>
  <conditionalFormatting sqref="K166">
    <cfRule type="containsText" dxfId="10318" priority="23" operator="containsText" text="Einnahmen">
      <formula>NOT(ISERROR(SEARCH("Einnahmen",K166)))</formula>
    </cfRule>
    <cfRule type="containsText" dxfId="10317" priority="24" operator="containsText" text="Ausgaben">
      <formula>NOT(ISERROR(SEARCH("Ausgaben",K166)))</formula>
    </cfRule>
  </conditionalFormatting>
  <conditionalFormatting sqref="K167">
    <cfRule type="containsText" dxfId="10316" priority="21" operator="containsText" text="Einnahmen">
      <formula>NOT(ISERROR(SEARCH("Einnahmen",K167)))</formula>
    </cfRule>
    <cfRule type="containsText" dxfId="10315" priority="22" operator="containsText" text="Ausgaben">
      <formula>NOT(ISERROR(SEARCH("Ausgaben",K167)))</formula>
    </cfRule>
  </conditionalFormatting>
  <conditionalFormatting sqref="K167">
    <cfRule type="containsText" dxfId="10314" priority="19" operator="containsText" text="Einnahmen">
      <formula>NOT(ISERROR(SEARCH("Einnahmen",K167)))</formula>
    </cfRule>
    <cfRule type="containsText" dxfId="10313" priority="20" operator="containsText" text="Ausgaben">
      <formula>NOT(ISERROR(SEARCH("Ausgaben",K167)))</formula>
    </cfRule>
  </conditionalFormatting>
  <conditionalFormatting sqref="K168">
    <cfRule type="containsText" dxfId="10312" priority="17" operator="containsText" text="Einnahmen">
      <formula>NOT(ISERROR(SEARCH("Einnahmen",K168)))</formula>
    </cfRule>
    <cfRule type="containsText" dxfId="10311" priority="18" operator="containsText" text="Ausgaben">
      <formula>NOT(ISERROR(SEARCH("Ausgaben",K168)))</formula>
    </cfRule>
  </conditionalFormatting>
  <conditionalFormatting sqref="K169">
    <cfRule type="containsText" dxfId="10310" priority="15" operator="containsText" text="Einnahmen">
      <formula>NOT(ISERROR(SEARCH("Einnahmen",K169)))</formula>
    </cfRule>
    <cfRule type="containsText" dxfId="10309" priority="16" operator="containsText" text="Ausgaben">
      <formula>NOT(ISERROR(SEARCH("Ausgaben",K169)))</formula>
    </cfRule>
  </conditionalFormatting>
  <conditionalFormatting sqref="K170">
    <cfRule type="containsText" dxfId="10308" priority="13" operator="containsText" text="Einnahmen">
      <formula>NOT(ISERROR(SEARCH("Einnahmen",K170)))</formula>
    </cfRule>
    <cfRule type="containsText" dxfId="10307" priority="14" operator="containsText" text="Ausgaben">
      <formula>NOT(ISERROR(SEARCH("Ausgaben",K170)))</formula>
    </cfRule>
  </conditionalFormatting>
  <conditionalFormatting sqref="K171">
    <cfRule type="containsText" dxfId="10306" priority="11" operator="containsText" text="Einnahmen">
      <formula>NOT(ISERROR(SEARCH("Einnahmen",K171)))</formula>
    </cfRule>
    <cfRule type="containsText" dxfId="10305" priority="12" operator="containsText" text="Ausgaben">
      <formula>NOT(ISERROR(SEARCH("Ausgaben",K171)))</formula>
    </cfRule>
  </conditionalFormatting>
  <conditionalFormatting sqref="K172">
    <cfRule type="containsText" dxfId="10304" priority="9" operator="containsText" text="Einnahmen">
      <formula>NOT(ISERROR(SEARCH("Einnahmen",K172)))</formula>
    </cfRule>
    <cfRule type="containsText" dxfId="10303" priority="10" operator="containsText" text="Ausgaben">
      <formula>NOT(ISERROR(SEARCH("Ausgaben",K172)))</formula>
    </cfRule>
  </conditionalFormatting>
  <conditionalFormatting sqref="K173">
    <cfRule type="containsText" dxfId="10302" priority="7" operator="containsText" text="Einnahmen">
      <formula>NOT(ISERROR(SEARCH("Einnahmen",K173)))</formula>
    </cfRule>
    <cfRule type="containsText" dxfId="10301" priority="8" operator="containsText" text="Ausgaben">
      <formula>NOT(ISERROR(SEARCH("Ausgaben",K173)))</formula>
    </cfRule>
  </conditionalFormatting>
  <conditionalFormatting sqref="K2">
    <cfRule type="containsText" dxfId="10300" priority="5" operator="containsText" text="Einnahmen">
      <formula>NOT(ISERROR(SEARCH("Einnahmen",K2)))</formula>
    </cfRule>
    <cfRule type="containsText" dxfId="10299" priority="6" operator="containsText" text="Ausgaben">
      <formula>NOT(ISERROR(SEARCH("Ausgaben",K2)))</formula>
    </cfRule>
  </conditionalFormatting>
  <conditionalFormatting sqref="K175:K178">
    <cfRule type="containsText" dxfId="10298" priority="3" operator="containsText" text="Einnahmen">
      <formula>NOT(ISERROR(SEARCH("Einnahmen",K175)))</formula>
    </cfRule>
    <cfRule type="containsText" dxfId="10297" priority="4" operator="containsText" text="Ausgaben">
      <formula>NOT(ISERROR(SEARCH("Ausgaben",K175)))</formula>
    </cfRule>
  </conditionalFormatting>
  <conditionalFormatting sqref="K174">
    <cfRule type="containsText" dxfId="10296" priority="1" operator="containsText" text="Einnahmen">
      <formula>NOT(ISERROR(SEARCH("Einnahmen",K174)))</formula>
    </cfRule>
    <cfRule type="containsText" dxfId="10295" priority="2" operator="containsText" text="Ausgaben">
      <formula>NOT(ISERROR(SEARCH("Ausgaben",K174)))</formula>
    </cfRule>
  </conditionalFormatting>
  <dataValidations count="3">
    <dataValidation type="list" allowBlank="1" showInputMessage="1" showErrorMessage="1" sqref="K173:L173 K4:K8 K10:K20 K2:L2 K22:K32 K33:L43 L44 K45:L57 L58 K59:L70 L71:L73 K72:K73 K74:L78 K79:K80 K81:L86 L87:L89 K87 K89 K90:L90 L91:L94 K91:K92 K94 L102:L107 K103:K107 K96:L101 K108:L109 L110 K111:L114 L115:L116 L118 K116:K118 K119:L123 L124:L125 L3:L32 K126:L126 K132:K136 K137:L138 K147:K149 L128:L135 K127:K130 K141:K142 K144:K145 L139:L149 K150:L152 K154:L163 L153 L164 K165:L167 L168 K169:L170 L171:L172 K172 K175:K178 L174:L209" xr:uid="{49DD88BF-1244-42D8-A5A2-A7E97F958B3B}">
      <formula1>Spesenart</formula1>
    </dataValidation>
    <dataValidation type="list" allowBlank="1" showInputMessage="1" showErrorMessage="1" sqref="K201 K207 K203:K205 K198:K199 K182 K190 K194:K195 K2:K124 K126:K178" xr:uid="{EDBC4C43-EEF3-4EFF-8230-E0ED621F6DD7}">
      <formula1>"Einnahmen,Ausgaben"</formula1>
    </dataValidation>
    <dataValidation type="list" allowBlank="1" showInputMessage="1" showErrorMessage="1" sqref="P190 P192 P194 P199" xr:uid="{5A34FA4A-7F5B-4A2D-A270-9E19F3952949}">
      <formula1>"Weiterverkauf,"</formula1>
    </dataValidation>
  </dataValidations>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4F7A677D-419B-4F08-8CB4-76666067126E}">
            <x14:dataBar minLength="0" maxLength="100" border="1" negativeBarBorderColorSameAsPositive="0">
              <x14:cfvo type="autoMin"/>
              <x14:cfvo type="autoMax"/>
              <x14:borderColor rgb="FF63C384"/>
              <x14:negativeFillColor rgb="FFFF0000"/>
              <x14:negativeBorderColor rgb="FFFF0000"/>
              <x14:axisColor rgb="FF000000"/>
            </x14:dataBar>
          </x14:cfRule>
          <xm:sqref>AF201</xm:sqref>
        </x14:conditionalFormatting>
        <x14:conditionalFormatting xmlns:xm="http://schemas.microsoft.com/office/excel/2006/main">
          <x14:cfRule type="dataBar" id="{866451C9-F557-45D4-910D-6FBCEA563C6E}">
            <x14:dataBar minLength="0" maxLength="100" border="1" negativeBarBorderColorSameAsPositive="0">
              <x14:cfvo type="autoMin"/>
              <x14:cfvo type="autoMax"/>
              <x14:borderColor rgb="FF63C384"/>
              <x14:negativeFillColor rgb="FFFF0000"/>
              <x14:negativeBorderColor rgb="FFFF0000"/>
              <x14:axisColor rgb="FF000000"/>
            </x14:dataBar>
          </x14:cfRule>
          <xm:sqref>AF201</xm:sqref>
        </x14:conditionalFormatting>
        <x14:conditionalFormatting xmlns:xm="http://schemas.microsoft.com/office/excel/2006/main">
          <x14:cfRule type="dataBar" id="{D0A29C1D-1B9A-4AAB-9160-A6B3FA60E02A}">
            <x14:dataBar minLength="0" maxLength="100" border="1" negativeBarBorderColorSameAsPositive="0">
              <x14:cfvo type="autoMin"/>
              <x14:cfvo type="autoMax"/>
              <x14:borderColor rgb="FF63C384"/>
              <x14:negativeFillColor rgb="FFFF0000"/>
              <x14:negativeBorderColor rgb="FFFF0000"/>
              <x14:axisColor rgb="FF000000"/>
            </x14:dataBar>
          </x14:cfRule>
          <xm:sqref>AF201</xm:sqref>
        </x14:conditionalFormatting>
        <x14:conditionalFormatting xmlns:xm="http://schemas.microsoft.com/office/excel/2006/main">
          <x14:cfRule type="dataBar" id="{FA7143F7-7254-4F62-B2B4-A60BCABC1129}">
            <x14:dataBar minLength="0" maxLength="100" border="1" negativeBarBorderColorSameAsPositive="0">
              <x14:cfvo type="autoMin"/>
              <x14:cfvo type="autoMax"/>
              <x14:borderColor rgb="FF63C384"/>
              <x14:negativeFillColor rgb="FFFF0000"/>
              <x14:negativeBorderColor rgb="FFFF0000"/>
              <x14:axisColor rgb="FF000000"/>
            </x14:dataBar>
          </x14:cfRule>
          <xm:sqref>AF201</xm:sqref>
        </x14:conditionalFormatting>
        <x14:conditionalFormatting xmlns:xm="http://schemas.microsoft.com/office/excel/2006/main">
          <x14:cfRule type="dataBar" id="{5277BF31-A2CD-40AF-A696-43B8486318E3}">
            <x14:dataBar minLength="0" maxLength="100" border="1" negativeBarBorderColorSameAsPositive="0">
              <x14:cfvo type="autoMin"/>
              <x14:cfvo type="autoMax"/>
              <x14:borderColor rgb="FF63C384"/>
              <x14:negativeFillColor rgb="FFFF0000"/>
              <x14:negativeBorderColor rgb="FFFF0000"/>
              <x14:axisColor rgb="FF000000"/>
            </x14:dataBar>
          </x14:cfRule>
          <xm:sqref>AF202</xm:sqref>
        </x14:conditionalFormatting>
        <x14:conditionalFormatting xmlns:xm="http://schemas.microsoft.com/office/excel/2006/main">
          <x14:cfRule type="dataBar" id="{79EFB1D6-4319-4E74-A17A-396613A16DF9}">
            <x14:dataBar minLength="0" maxLength="100" border="1" negativeBarBorderColorSameAsPositive="0">
              <x14:cfvo type="autoMin"/>
              <x14:cfvo type="autoMax"/>
              <x14:borderColor rgb="FF63C384"/>
              <x14:negativeFillColor rgb="FFFF0000"/>
              <x14:negativeBorderColor rgb="FFFF0000"/>
              <x14:axisColor rgb="FF000000"/>
            </x14:dataBar>
          </x14:cfRule>
          <xm:sqref>AF202</xm:sqref>
        </x14:conditionalFormatting>
        <x14:conditionalFormatting xmlns:xm="http://schemas.microsoft.com/office/excel/2006/main">
          <x14:cfRule type="dataBar" id="{8C55AC54-B881-4356-9DC0-1CA8085D4C0E}">
            <x14:dataBar minLength="0" maxLength="100" border="1" negativeBarBorderColorSameAsPositive="0">
              <x14:cfvo type="autoMin"/>
              <x14:cfvo type="autoMax"/>
              <x14:borderColor rgb="FF63C384"/>
              <x14:negativeFillColor rgb="FFFF0000"/>
              <x14:negativeBorderColor rgb="FFFF0000"/>
              <x14:axisColor rgb="FF000000"/>
            </x14:dataBar>
          </x14:cfRule>
          <xm:sqref>AF203</xm:sqref>
        </x14:conditionalFormatting>
        <x14:conditionalFormatting xmlns:xm="http://schemas.microsoft.com/office/excel/2006/main">
          <x14:cfRule type="dataBar" id="{88142C62-3AF0-4CF1-8D6A-F3F4D0A52DD4}">
            <x14:dataBar minLength="0" maxLength="100" border="1" negativeBarBorderColorSameAsPositive="0">
              <x14:cfvo type="autoMin"/>
              <x14:cfvo type="autoMax"/>
              <x14:borderColor rgb="FF63C384"/>
              <x14:negativeFillColor rgb="FFFF0000"/>
              <x14:negativeBorderColor rgb="FFFF0000"/>
              <x14:axisColor rgb="FF000000"/>
            </x14:dataBar>
          </x14:cfRule>
          <xm:sqref>AF203</xm:sqref>
        </x14:conditionalFormatting>
        <x14:conditionalFormatting xmlns:xm="http://schemas.microsoft.com/office/excel/2006/main">
          <x14:cfRule type="dataBar" id="{F9577B67-6D55-42E2-910E-A1736FC5ACD8}">
            <x14:dataBar minLength="0" maxLength="100" border="1" negativeBarBorderColorSameAsPositive="0">
              <x14:cfvo type="autoMin"/>
              <x14:cfvo type="autoMax"/>
              <x14:borderColor rgb="FF63C384"/>
              <x14:negativeFillColor rgb="FFFF0000"/>
              <x14:negativeBorderColor rgb="FFFF0000"/>
              <x14:axisColor rgb="FF000000"/>
            </x14:dataBar>
          </x14:cfRule>
          <xm:sqref>AF204:AF208</xm:sqref>
        </x14:conditionalFormatting>
        <x14:conditionalFormatting xmlns:xm="http://schemas.microsoft.com/office/excel/2006/main">
          <x14:cfRule type="dataBar" id="{5D11D820-EA04-45D1-8E30-C53B40A6ECB0}">
            <x14:dataBar minLength="0" maxLength="100" border="1" negativeBarBorderColorSameAsPositive="0">
              <x14:cfvo type="autoMin"/>
              <x14:cfvo type="autoMax"/>
              <x14:borderColor rgb="FF63C384"/>
              <x14:negativeFillColor rgb="FFFF0000"/>
              <x14:negativeBorderColor rgb="FFFF0000"/>
              <x14:axisColor rgb="FF000000"/>
            </x14:dataBar>
          </x14:cfRule>
          <xm:sqref>AF204:AF208</xm:sqref>
        </x14:conditionalFormatting>
        <x14:conditionalFormatting xmlns:xm="http://schemas.microsoft.com/office/excel/2006/main">
          <x14:cfRule type="dataBar" id="{F1802553-9F93-4B68-A2DE-FCAEDEC16126}">
            <x14:dataBar minLength="0" maxLength="100" border="1" negativeBarBorderColorSameAsPositive="0">
              <x14:cfvo type="autoMin"/>
              <x14:cfvo type="autoMax"/>
              <x14:borderColor rgb="FF63C384"/>
              <x14:negativeFillColor rgb="FFFF0000"/>
              <x14:negativeBorderColor rgb="FFFF0000"/>
              <x14:axisColor rgb="FF000000"/>
            </x14:dataBar>
          </x14:cfRule>
          <xm:sqref>AF209</xm:sqref>
        </x14:conditionalFormatting>
        <x14:conditionalFormatting xmlns:xm="http://schemas.microsoft.com/office/excel/2006/main">
          <x14:cfRule type="dataBar" id="{7A7BC77E-0562-41A1-8EEF-160AD956B576}">
            <x14:dataBar minLength="0" maxLength="100" border="1" negativeBarBorderColorSameAsPositive="0">
              <x14:cfvo type="autoMin"/>
              <x14:cfvo type="autoMax"/>
              <x14:borderColor rgb="FF63C384"/>
              <x14:negativeFillColor rgb="FFFF0000"/>
              <x14:negativeBorderColor rgb="FFFF0000"/>
              <x14:axisColor rgb="FF000000"/>
            </x14:dataBar>
          </x14:cfRule>
          <xm:sqref>AF209</xm:sqref>
        </x14:conditionalFormatting>
        <x14:conditionalFormatting xmlns:xm="http://schemas.microsoft.com/office/excel/2006/main">
          <x14:cfRule type="dataBar" id="{9B4B8823-F606-46C8-97EE-B90A81682E5D}">
            <x14:dataBar minLength="0" maxLength="100" border="1" negativeBarBorderColorSameAsPositive="0">
              <x14:cfvo type="autoMin"/>
              <x14:cfvo type="autoMax"/>
              <x14:borderColor rgb="FF63C384"/>
              <x14:negativeFillColor rgb="FFFF0000"/>
              <x14:negativeBorderColor rgb="FFFF0000"/>
              <x14:axisColor rgb="FF000000"/>
            </x14:dataBar>
          </x14:cfRule>
          <xm:sqref>AF209</xm:sqref>
        </x14:conditionalFormatting>
        <x14:conditionalFormatting xmlns:xm="http://schemas.microsoft.com/office/excel/2006/main">
          <x14:cfRule type="dataBar" id="{F8245DDD-57A5-4C70-A23D-8B89EAA1E30D}">
            <x14:dataBar minLength="0" maxLength="100" border="1" negativeBarBorderColorSameAsPositive="0">
              <x14:cfvo type="autoMin"/>
              <x14:cfvo type="autoMax"/>
              <x14:borderColor rgb="FF63C384"/>
              <x14:negativeFillColor rgb="FFFF0000"/>
              <x14:negativeBorderColor rgb="FFFF0000"/>
              <x14:axisColor rgb="FF000000"/>
            </x14:dataBar>
          </x14:cfRule>
          <xm:sqref>AF209</xm:sqref>
        </x14:conditionalFormatting>
        <x14:conditionalFormatting xmlns:xm="http://schemas.microsoft.com/office/excel/2006/main">
          <x14:cfRule type="dataBar" id="{5C697A74-78AE-4343-92F5-9B65E834D14B}">
            <x14:dataBar minLength="0" maxLength="100" border="1" negativeBarBorderColorSameAsPositive="0">
              <x14:cfvo type="autoMin"/>
              <x14:cfvo type="autoMax"/>
              <x14:borderColor rgb="FF63C384"/>
              <x14:negativeFillColor rgb="FFFF0000"/>
              <x14:negativeBorderColor rgb="FFFF0000"/>
              <x14:axisColor rgb="FF000000"/>
            </x14:dataBar>
          </x14:cfRule>
          <xm:sqref>AF126 AF182 AF138 AF55 AF17 AF59 AF141 AF171 AF190:AF191</xm:sqref>
        </x14:conditionalFormatting>
        <x14:conditionalFormatting xmlns:xm="http://schemas.microsoft.com/office/excel/2006/main">
          <x14:cfRule type="dataBar" id="{5CE8FD56-B308-455B-95A0-B03F7692A02F}">
            <x14:dataBar minLength="0" maxLength="100" border="1" negativeBarBorderColorSameAsPositive="0">
              <x14:cfvo type="autoMin"/>
              <x14:cfvo type="autoMax"/>
              <x14:borderColor rgb="FF63C384"/>
              <x14:negativeFillColor rgb="FFFF0000"/>
              <x14:negativeBorderColor rgb="FFFF0000"/>
              <x14:axisColor rgb="FF000000"/>
            </x14:dataBar>
          </x14:cfRule>
          <xm:sqref>AF126</xm:sqref>
        </x14:conditionalFormatting>
        <x14:conditionalFormatting xmlns:xm="http://schemas.microsoft.com/office/excel/2006/main">
          <x14:cfRule type="dataBar" id="{BD7CF817-2945-4295-A034-2AF66981F6A1}">
            <x14:dataBar minLength="0" maxLength="100" border="1" negativeBarBorderColorSameAsPositive="0">
              <x14:cfvo type="autoMin"/>
              <x14:cfvo type="autoMax"/>
              <x14:borderColor rgb="FF63C384"/>
              <x14:negativeFillColor rgb="FFFF0000"/>
              <x14:negativeBorderColor rgb="FFFF0000"/>
              <x14:axisColor rgb="FF000000"/>
            </x14:dataBar>
          </x14:cfRule>
          <xm:sqref>AF2</xm:sqref>
        </x14:conditionalFormatting>
        <x14:conditionalFormatting xmlns:xm="http://schemas.microsoft.com/office/excel/2006/main">
          <x14:cfRule type="dataBar" id="{D9B0689F-D4AA-4FE6-A940-58A2001F1856}">
            <x14:dataBar minLength="0" maxLength="100" border="1" negativeBarBorderColorSameAsPositive="0">
              <x14:cfvo type="autoMin"/>
              <x14:cfvo type="autoMax"/>
              <x14:borderColor rgb="FF63C384"/>
              <x14:negativeFillColor rgb="FFFF0000"/>
              <x14:negativeBorderColor rgb="FFFF0000"/>
              <x14:axisColor rgb="FF000000"/>
            </x14:dataBar>
          </x14:cfRule>
          <xm:sqref>AF2</xm:sqref>
        </x14:conditionalFormatting>
        <x14:conditionalFormatting xmlns:xm="http://schemas.microsoft.com/office/excel/2006/main">
          <x14:cfRule type="dataBar" id="{27B1ABA9-F63F-4C81-B1C1-01570C601C46}">
            <x14:dataBar minLength="0" maxLength="100" border="1" negativeBarBorderColorSameAsPositive="0">
              <x14:cfvo type="autoMin"/>
              <x14:cfvo type="autoMax"/>
              <x14:borderColor rgb="FF63C384"/>
              <x14:negativeFillColor rgb="FFFF0000"/>
              <x14:negativeBorderColor rgb="FFFF0000"/>
              <x14:axisColor rgb="FF000000"/>
            </x14:dataBar>
          </x14:cfRule>
          <xm:sqref>AF2</xm:sqref>
        </x14:conditionalFormatting>
        <x14:conditionalFormatting xmlns:xm="http://schemas.microsoft.com/office/excel/2006/main">
          <x14:cfRule type="dataBar" id="{6F3BC39D-4D93-4D1A-86F8-E245FCFF1187}">
            <x14:dataBar minLength="0" maxLength="100" border="1" negativeBarBorderColorSameAsPositive="0">
              <x14:cfvo type="autoMin"/>
              <x14:cfvo type="autoMax"/>
              <x14:borderColor rgb="FF63C384"/>
              <x14:negativeFillColor rgb="FFFF0000"/>
              <x14:negativeBorderColor rgb="FFFF0000"/>
              <x14:axisColor rgb="FF000000"/>
            </x14:dataBar>
          </x14:cfRule>
          <xm:sqref>AF2</xm:sqref>
        </x14:conditionalFormatting>
        <x14:conditionalFormatting xmlns:xm="http://schemas.microsoft.com/office/excel/2006/main">
          <x14:cfRule type="dataBar" id="{61BA02CB-6874-4373-88B2-EB2F982E0D29}">
            <x14:dataBar minLength="0" maxLength="100" border="1" negativeBarBorderColorSameAsPositive="0">
              <x14:cfvo type="autoMin"/>
              <x14:cfvo type="autoMax"/>
              <x14:borderColor rgb="FF63C384"/>
              <x14:negativeFillColor rgb="FFFF0000"/>
              <x14:negativeBorderColor rgb="FFFF0000"/>
              <x14:axisColor rgb="FF000000"/>
            </x14:dataBar>
          </x14:cfRule>
          <xm:sqref>AF3</xm:sqref>
        </x14:conditionalFormatting>
        <x14:conditionalFormatting xmlns:xm="http://schemas.microsoft.com/office/excel/2006/main">
          <x14:cfRule type="dataBar" id="{22E5FF83-6F7D-4AD5-A054-3A79ADC73AC8}">
            <x14:dataBar minLength="0" maxLength="100" border="1" negativeBarBorderColorSameAsPositive="0">
              <x14:cfvo type="autoMin"/>
              <x14:cfvo type="autoMax"/>
              <x14:borderColor rgb="FF63C384"/>
              <x14:negativeFillColor rgb="FFFF0000"/>
              <x14:negativeBorderColor rgb="FFFF0000"/>
              <x14:axisColor rgb="FF000000"/>
            </x14:dataBar>
          </x14:cfRule>
          <xm:sqref>AF3</xm:sqref>
        </x14:conditionalFormatting>
        <x14:conditionalFormatting xmlns:xm="http://schemas.microsoft.com/office/excel/2006/main">
          <x14:cfRule type="dataBar" id="{8C26BF8E-334A-4900-A144-EA77ED1B5EB1}">
            <x14:dataBar minLength="0" maxLength="100" border="1" negativeBarBorderColorSameAsPositive="0">
              <x14:cfvo type="autoMin"/>
              <x14:cfvo type="autoMax"/>
              <x14:borderColor rgb="FF63C384"/>
              <x14:negativeFillColor rgb="FFFF0000"/>
              <x14:negativeBorderColor rgb="FFFF0000"/>
              <x14:axisColor rgb="FF000000"/>
            </x14:dataBar>
          </x14:cfRule>
          <xm:sqref>AF4</xm:sqref>
        </x14:conditionalFormatting>
        <x14:conditionalFormatting xmlns:xm="http://schemas.microsoft.com/office/excel/2006/main">
          <x14:cfRule type="dataBar" id="{798B9AFF-A26B-4EE9-A80F-3354D8749967}">
            <x14:dataBar minLength="0" maxLength="100" border="1" negativeBarBorderColorSameAsPositive="0">
              <x14:cfvo type="autoMin"/>
              <x14:cfvo type="autoMax"/>
              <x14:borderColor rgb="FF63C384"/>
              <x14:negativeFillColor rgb="FFFF0000"/>
              <x14:negativeBorderColor rgb="FFFF0000"/>
              <x14:axisColor rgb="FF000000"/>
            </x14:dataBar>
          </x14:cfRule>
          <xm:sqref>AF4</xm:sqref>
        </x14:conditionalFormatting>
        <x14:conditionalFormatting xmlns:xm="http://schemas.microsoft.com/office/excel/2006/main">
          <x14:cfRule type="dataBar" id="{D701DDCE-EEC1-4D99-AE9B-ED71C593C2F3}">
            <x14:dataBar minLength="0" maxLength="100" border="1" negativeBarBorderColorSameAsPositive="0">
              <x14:cfvo type="autoMin"/>
              <x14:cfvo type="autoMax"/>
              <x14:borderColor rgb="FF63C384"/>
              <x14:negativeFillColor rgb="FFFF0000"/>
              <x14:negativeBorderColor rgb="FFFF0000"/>
              <x14:axisColor rgb="FF000000"/>
            </x14:dataBar>
          </x14:cfRule>
          <xm:sqref>AF5</xm:sqref>
        </x14:conditionalFormatting>
        <x14:conditionalFormatting xmlns:xm="http://schemas.microsoft.com/office/excel/2006/main">
          <x14:cfRule type="dataBar" id="{F912F1B2-D66F-4666-93CD-1B2C32D0F6E6}">
            <x14:dataBar minLength="0" maxLength="100" border="1" negativeBarBorderColorSameAsPositive="0">
              <x14:cfvo type="autoMin"/>
              <x14:cfvo type="autoMax"/>
              <x14:borderColor rgb="FF63C384"/>
              <x14:negativeFillColor rgb="FFFF0000"/>
              <x14:negativeBorderColor rgb="FFFF0000"/>
              <x14:axisColor rgb="FF000000"/>
            </x14:dataBar>
          </x14:cfRule>
          <xm:sqref>AF5</xm:sqref>
        </x14:conditionalFormatting>
        <x14:conditionalFormatting xmlns:xm="http://schemas.microsoft.com/office/excel/2006/main">
          <x14:cfRule type="dataBar" id="{6076208F-72CC-4B40-A5EA-FDA4FC0888AB}">
            <x14:dataBar minLength="0" maxLength="100" border="1" negativeBarBorderColorSameAsPositive="0">
              <x14:cfvo type="autoMin"/>
              <x14:cfvo type="autoMax"/>
              <x14:borderColor rgb="FF63C384"/>
              <x14:negativeFillColor rgb="FFFF0000"/>
              <x14:negativeBorderColor rgb="FFFF0000"/>
              <x14:axisColor rgb="FF000000"/>
            </x14:dataBar>
          </x14:cfRule>
          <xm:sqref>AF6</xm:sqref>
        </x14:conditionalFormatting>
        <x14:conditionalFormatting xmlns:xm="http://schemas.microsoft.com/office/excel/2006/main">
          <x14:cfRule type="dataBar" id="{54D04FAF-14A7-4DDE-8F77-670A09B0AF32}">
            <x14:dataBar minLength="0" maxLength="100" border="1" negativeBarBorderColorSameAsPositive="0">
              <x14:cfvo type="autoMin"/>
              <x14:cfvo type="autoMax"/>
              <x14:borderColor rgb="FF63C384"/>
              <x14:negativeFillColor rgb="FFFF0000"/>
              <x14:negativeBorderColor rgb="FFFF0000"/>
              <x14:axisColor rgb="FF000000"/>
            </x14:dataBar>
          </x14:cfRule>
          <xm:sqref>AF6</xm:sqref>
        </x14:conditionalFormatting>
        <x14:conditionalFormatting xmlns:xm="http://schemas.microsoft.com/office/excel/2006/main">
          <x14:cfRule type="dataBar" id="{B6D16FAD-E0DA-4695-83E8-1B1DA89778E3}">
            <x14:dataBar minLength="0" maxLength="100" border="1" negativeBarBorderColorSameAsPositive="0">
              <x14:cfvo type="autoMin"/>
              <x14:cfvo type="autoMax"/>
              <x14:borderColor rgb="FF63C384"/>
              <x14:negativeFillColor rgb="FFFF0000"/>
              <x14:negativeBorderColor rgb="FFFF0000"/>
              <x14:axisColor rgb="FF000000"/>
            </x14:dataBar>
          </x14:cfRule>
          <xm:sqref>AF6</xm:sqref>
        </x14:conditionalFormatting>
        <x14:conditionalFormatting xmlns:xm="http://schemas.microsoft.com/office/excel/2006/main">
          <x14:cfRule type="dataBar" id="{6A215CEC-0138-44EE-AA94-C6486D03BA31}">
            <x14:dataBar minLength="0" maxLength="100" border="1" negativeBarBorderColorSameAsPositive="0">
              <x14:cfvo type="autoMin"/>
              <x14:cfvo type="autoMax"/>
              <x14:borderColor rgb="FF63C384"/>
              <x14:negativeFillColor rgb="FFFF0000"/>
              <x14:negativeBorderColor rgb="FFFF0000"/>
              <x14:axisColor rgb="FF000000"/>
            </x14:dataBar>
          </x14:cfRule>
          <xm:sqref>AF6</xm:sqref>
        </x14:conditionalFormatting>
        <x14:conditionalFormatting xmlns:xm="http://schemas.microsoft.com/office/excel/2006/main">
          <x14:cfRule type="dataBar" id="{8D8AE452-DAB5-46DA-9FEE-63EAA2460BF9}">
            <x14:dataBar minLength="0" maxLength="100" border="1" negativeBarBorderColorSameAsPositive="0">
              <x14:cfvo type="autoMin"/>
              <x14:cfvo type="autoMax"/>
              <x14:borderColor rgb="FF63C384"/>
              <x14:negativeFillColor rgb="FFFF0000"/>
              <x14:negativeBorderColor rgb="FFFF0000"/>
              <x14:axisColor rgb="FF000000"/>
            </x14:dataBar>
          </x14:cfRule>
          <xm:sqref>AF7</xm:sqref>
        </x14:conditionalFormatting>
        <x14:conditionalFormatting xmlns:xm="http://schemas.microsoft.com/office/excel/2006/main">
          <x14:cfRule type="dataBar" id="{EB1C73F4-B5ED-4146-9F31-72D781B4AA29}">
            <x14:dataBar minLength="0" maxLength="100" border="1" negativeBarBorderColorSameAsPositive="0">
              <x14:cfvo type="autoMin"/>
              <x14:cfvo type="autoMax"/>
              <x14:borderColor rgb="FF63C384"/>
              <x14:negativeFillColor rgb="FFFF0000"/>
              <x14:negativeBorderColor rgb="FFFF0000"/>
              <x14:axisColor rgb="FF000000"/>
            </x14:dataBar>
          </x14:cfRule>
          <xm:sqref>AF7</xm:sqref>
        </x14:conditionalFormatting>
        <x14:conditionalFormatting xmlns:xm="http://schemas.microsoft.com/office/excel/2006/main">
          <x14:cfRule type="dataBar" id="{7CED183F-E13A-4A12-95FE-C842DC3FE443}">
            <x14:dataBar minLength="0" maxLength="100" border="1" negativeBarBorderColorSameAsPositive="0">
              <x14:cfvo type="autoMin"/>
              <x14:cfvo type="autoMax"/>
              <x14:borderColor rgb="FF63C384"/>
              <x14:negativeFillColor rgb="FFFF0000"/>
              <x14:negativeBorderColor rgb="FFFF0000"/>
              <x14:axisColor rgb="FF000000"/>
            </x14:dataBar>
          </x14:cfRule>
          <xm:sqref>AF7</xm:sqref>
        </x14:conditionalFormatting>
        <x14:conditionalFormatting xmlns:xm="http://schemas.microsoft.com/office/excel/2006/main">
          <x14:cfRule type="dataBar" id="{A671C93C-75AA-45FC-8E9F-1393E71063CB}">
            <x14:dataBar minLength="0" maxLength="100" border="1" negativeBarBorderColorSameAsPositive="0">
              <x14:cfvo type="autoMin"/>
              <x14:cfvo type="autoMax"/>
              <x14:borderColor rgb="FF63C384"/>
              <x14:negativeFillColor rgb="FFFF0000"/>
              <x14:negativeBorderColor rgb="FFFF0000"/>
              <x14:axisColor rgb="FF000000"/>
            </x14:dataBar>
          </x14:cfRule>
          <xm:sqref>AF7</xm:sqref>
        </x14:conditionalFormatting>
        <x14:conditionalFormatting xmlns:xm="http://schemas.microsoft.com/office/excel/2006/main">
          <x14:cfRule type="dataBar" id="{B438F267-4E3D-4061-9541-027AEEED6D16}">
            <x14:dataBar minLength="0" maxLength="100" border="1" negativeBarBorderColorSameAsPositive="0">
              <x14:cfvo type="autoMin"/>
              <x14:cfvo type="autoMax"/>
              <x14:borderColor rgb="FF63C384"/>
              <x14:negativeFillColor rgb="FFFF0000"/>
              <x14:negativeBorderColor rgb="FFFF0000"/>
              <x14:axisColor rgb="FF000000"/>
            </x14:dataBar>
          </x14:cfRule>
          <xm:sqref>AF7</xm:sqref>
        </x14:conditionalFormatting>
        <x14:conditionalFormatting xmlns:xm="http://schemas.microsoft.com/office/excel/2006/main">
          <x14:cfRule type="dataBar" id="{42757FBA-72E7-4BA0-8A00-2AB67CEB372E}">
            <x14:dataBar minLength="0" maxLength="100" border="1" negativeBarBorderColorSameAsPositive="0">
              <x14:cfvo type="autoMin"/>
              <x14:cfvo type="autoMax"/>
              <x14:borderColor rgb="FF63C384"/>
              <x14:negativeFillColor rgb="FFFF0000"/>
              <x14:negativeBorderColor rgb="FFFF0000"/>
              <x14:axisColor rgb="FF000000"/>
            </x14:dataBar>
          </x14:cfRule>
          <xm:sqref>AF7</xm:sqref>
        </x14:conditionalFormatting>
        <x14:conditionalFormatting xmlns:xm="http://schemas.microsoft.com/office/excel/2006/main">
          <x14:cfRule type="dataBar" id="{0ECA1C3F-9FAB-4F95-AA2C-4D66D659AE9A}">
            <x14:dataBar minLength="0" maxLength="100" border="1" negativeBarBorderColorSameAsPositive="0">
              <x14:cfvo type="autoMin"/>
              <x14:cfvo type="autoMax"/>
              <x14:borderColor rgb="FF63C384"/>
              <x14:negativeFillColor rgb="FFFF0000"/>
              <x14:negativeBorderColor rgb="FFFF0000"/>
              <x14:axisColor rgb="FF000000"/>
            </x14:dataBar>
          </x14:cfRule>
          <xm:sqref>AF7</xm:sqref>
        </x14:conditionalFormatting>
        <x14:conditionalFormatting xmlns:xm="http://schemas.microsoft.com/office/excel/2006/main">
          <x14:cfRule type="dataBar" id="{DA2A8CF0-603B-4595-B7E7-E0D4291FB088}">
            <x14:dataBar minLength="0" maxLength="100" border="1" negativeBarBorderColorSameAsPositive="0">
              <x14:cfvo type="autoMin"/>
              <x14:cfvo type="autoMax"/>
              <x14:borderColor rgb="FF63C384"/>
              <x14:negativeFillColor rgb="FFFF0000"/>
              <x14:negativeBorderColor rgb="FFFF0000"/>
              <x14:axisColor rgb="FF000000"/>
            </x14:dataBar>
          </x14:cfRule>
          <xm:sqref>AF7</xm:sqref>
        </x14:conditionalFormatting>
        <x14:conditionalFormatting xmlns:xm="http://schemas.microsoft.com/office/excel/2006/main">
          <x14:cfRule type="dataBar" id="{7EC793EF-E887-460C-BEC6-5CAA70ADC01D}">
            <x14:dataBar minLength="0" maxLength="100" border="1" negativeBarBorderColorSameAsPositive="0">
              <x14:cfvo type="autoMin"/>
              <x14:cfvo type="autoMax"/>
              <x14:borderColor rgb="FF63C384"/>
              <x14:negativeFillColor rgb="FFFF0000"/>
              <x14:negativeBorderColor rgb="FFFF0000"/>
              <x14:axisColor rgb="FF000000"/>
            </x14:dataBar>
          </x14:cfRule>
          <xm:sqref>AF8</xm:sqref>
        </x14:conditionalFormatting>
        <x14:conditionalFormatting xmlns:xm="http://schemas.microsoft.com/office/excel/2006/main">
          <x14:cfRule type="dataBar" id="{299BB81A-A347-4334-9F4A-023EA5C87E91}">
            <x14:dataBar minLength="0" maxLength="100" border="1" negativeBarBorderColorSameAsPositive="0">
              <x14:cfvo type="autoMin"/>
              <x14:cfvo type="autoMax"/>
              <x14:borderColor rgb="FF63C384"/>
              <x14:negativeFillColor rgb="FFFF0000"/>
              <x14:negativeBorderColor rgb="FFFF0000"/>
              <x14:axisColor rgb="FF000000"/>
            </x14:dataBar>
          </x14:cfRule>
          <xm:sqref>AF8</xm:sqref>
        </x14:conditionalFormatting>
        <x14:conditionalFormatting xmlns:xm="http://schemas.microsoft.com/office/excel/2006/main">
          <x14:cfRule type="dataBar" id="{0FA28291-D24E-412E-9621-E82D485BA8BD}">
            <x14:dataBar minLength="0" maxLength="100" border="1" negativeBarBorderColorSameAsPositive="0">
              <x14:cfvo type="autoMin"/>
              <x14:cfvo type="autoMax"/>
              <x14:borderColor rgb="FF63C384"/>
              <x14:negativeFillColor rgb="FFFF0000"/>
              <x14:negativeBorderColor rgb="FFFF0000"/>
              <x14:axisColor rgb="FF000000"/>
            </x14:dataBar>
          </x14:cfRule>
          <xm:sqref>AF8</xm:sqref>
        </x14:conditionalFormatting>
        <x14:conditionalFormatting xmlns:xm="http://schemas.microsoft.com/office/excel/2006/main">
          <x14:cfRule type="dataBar" id="{C78FCF8B-848D-40FF-BC16-CC24EFEED08E}">
            <x14:dataBar minLength="0" maxLength="100" border="1" negativeBarBorderColorSameAsPositive="0">
              <x14:cfvo type="autoMin"/>
              <x14:cfvo type="autoMax"/>
              <x14:borderColor rgb="FF63C384"/>
              <x14:negativeFillColor rgb="FFFF0000"/>
              <x14:negativeBorderColor rgb="FFFF0000"/>
              <x14:axisColor rgb="FF000000"/>
            </x14:dataBar>
          </x14:cfRule>
          <xm:sqref>AF8</xm:sqref>
        </x14:conditionalFormatting>
        <x14:conditionalFormatting xmlns:xm="http://schemas.microsoft.com/office/excel/2006/main">
          <x14:cfRule type="dataBar" id="{ADBBC8CA-7AE4-46BA-87A6-C7C695DF9E83}">
            <x14:dataBar minLength="0" maxLength="100" border="1" negativeBarBorderColorSameAsPositive="0">
              <x14:cfvo type="autoMin"/>
              <x14:cfvo type="autoMax"/>
              <x14:borderColor rgb="FF63C384"/>
              <x14:negativeFillColor rgb="FFFF0000"/>
              <x14:negativeBorderColor rgb="FFFF0000"/>
              <x14:axisColor rgb="FF000000"/>
            </x14:dataBar>
          </x14:cfRule>
          <xm:sqref>AF9</xm:sqref>
        </x14:conditionalFormatting>
        <x14:conditionalFormatting xmlns:xm="http://schemas.microsoft.com/office/excel/2006/main">
          <x14:cfRule type="dataBar" id="{E6238D80-23F1-4C72-A612-C7FF40909953}">
            <x14:dataBar minLength="0" maxLength="100" border="1" negativeBarBorderColorSameAsPositive="0">
              <x14:cfvo type="autoMin"/>
              <x14:cfvo type="autoMax"/>
              <x14:borderColor rgb="FF63C384"/>
              <x14:negativeFillColor rgb="FFFF0000"/>
              <x14:negativeBorderColor rgb="FFFF0000"/>
              <x14:axisColor rgb="FF000000"/>
            </x14:dataBar>
          </x14:cfRule>
          <xm:sqref>AF9</xm:sqref>
        </x14:conditionalFormatting>
        <x14:conditionalFormatting xmlns:xm="http://schemas.microsoft.com/office/excel/2006/main">
          <x14:cfRule type="dataBar" id="{5A32F958-DB5A-4085-8649-EE5812C2414F}">
            <x14:dataBar minLength="0" maxLength="100" border="1" negativeBarBorderColorSameAsPositive="0">
              <x14:cfvo type="autoMin"/>
              <x14:cfvo type="autoMax"/>
              <x14:borderColor rgb="FF63C384"/>
              <x14:negativeFillColor rgb="FFFF0000"/>
              <x14:negativeBorderColor rgb="FFFF0000"/>
              <x14:axisColor rgb="FF000000"/>
            </x14:dataBar>
          </x14:cfRule>
          <xm:sqref>AF9</xm:sqref>
        </x14:conditionalFormatting>
        <x14:conditionalFormatting xmlns:xm="http://schemas.microsoft.com/office/excel/2006/main">
          <x14:cfRule type="dataBar" id="{33D313DE-BC8F-41F0-A376-3B7C734C482D}">
            <x14:dataBar minLength="0" maxLength="100" border="1" negativeBarBorderColorSameAsPositive="0">
              <x14:cfvo type="autoMin"/>
              <x14:cfvo type="autoMax"/>
              <x14:borderColor rgb="FF63C384"/>
              <x14:negativeFillColor rgb="FFFF0000"/>
              <x14:negativeBorderColor rgb="FFFF0000"/>
              <x14:axisColor rgb="FF000000"/>
            </x14:dataBar>
          </x14:cfRule>
          <xm:sqref>AF9</xm:sqref>
        </x14:conditionalFormatting>
        <x14:conditionalFormatting xmlns:xm="http://schemas.microsoft.com/office/excel/2006/main">
          <x14:cfRule type="dataBar" id="{1F4CEC5A-CC15-4F87-9C04-3C2373AB2D26}">
            <x14:dataBar minLength="0" maxLength="100" border="1" negativeBarBorderColorSameAsPositive="0">
              <x14:cfvo type="autoMin"/>
              <x14:cfvo type="autoMax"/>
              <x14:borderColor rgb="FF63C384"/>
              <x14:negativeFillColor rgb="FFFF0000"/>
              <x14:negativeBorderColor rgb="FFFF0000"/>
              <x14:axisColor rgb="FF000000"/>
            </x14:dataBar>
          </x14:cfRule>
          <xm:sqref>AF9</xm:sqref>
        </x14:conditionalFormatting>
        <x14:conditionalFormatting xmlns:xm="http://schemas.microsoft.com/office/excel/2006/main">
          <x14:cfRule type="dataBar" id="{C3B44999-BCE5-42B1-BFD1-4B74A8736C33}">
            <x14:dataBar minLength="0" maxLength="100" border="1" negativeBarBorderColorSameAsPositive="0">
              <x14:cfvo type="autoMin"/>
              <x14:cfvo type="autoMax"/>
              <x14:borderColor rgb="FF63C384"/>
              <x14:negativeFillColor rgb="FFFF0000"/>
              <x14:negativeBorderColor rgb="FFFF0000"/>
              <x14:axisColor rgb="FF000000"/>
            </x14:dataBar>
          </x14:cfRule>
          <xm:sqref>AF9</xm:sqref>
        </x14:conditionalFormatting>
        <x14:conditionalFormatting xmlns:xm="http://schemas.microsoft.com/office/excel/2006/main">
          <x14:cfRule type="dataBar" id="{29D5D32B-2912-4E0A-B4E5-C334167B64C1}">
            <x14:dataBar minLength="0" maxLength="100" border="1" negativeBarBorderColorSameAsPositive="0">
              <x14:cfvo type="autoMin"/>
              <x14:cfvo type="autoMax"/>
              <x14:borderColor rgb="FF63C384"/>
              <x14:negativeFillColor rgb="FFFF0000"/>
              <x14:negativeBorderColor rgb="FFFF0000"/>
              <x14:axisColor rgb="FF000000"/>
            </x14:dataBar>
          </x14:cfRule>
          <xm:sqref>AF9</xm:sqref>
        </x14:conditionalFormatting>
        <x14:conditionalFormatting xmlns:xm="http://schemas.microsoft.com/office/excel/2006/main">
          <x14:cfRule type="dataBar" id="{E8F479D2-AC94-4935-9B3C-AA4F9D69AAAF}">
            <x14:dataBar minLength="0" maxLength="100" border="1" negativeBarBorderColorSameAsPositive="0">
              <x14:cfvo type="autoMin"/>
              <x14:cfvo type="autoMax"/>
              <x14:borderColor rgb="FF63C384"/>
              <x14:negativeFillColor rgb="FFFF0000"/>
              <x14:negativeBorderColor rgb="FFFF0000"/>
              <x14:axisColor rgb="FF000000"/>
            </x14:dataBar>
          </x14:cfRule>
          <xm:sqref>AF9</xm:sqref>
        </x14:conditionalFormatting>
        <x14:conditionalFormatting xmlns:xm="http://schemas.microsoft.com/office/excel/2006/main">
          <x14:cfRule type="dataBar" id="{E1FF81BD-8CEE-466F-950B-3DBFD00AE31E}">
            <x14:dataBar minLength="0" maxLength="100" border="1" negativeBarBorderColorSameAsPositive="0">
              <x14:cfvo type="autoMin"/>
              <x14:cfvo type="autoMax"/>
              <x14:borderColor rgb="FF63C384"/>
              <x14:negativeFillColor rgb="FFFF0000"/>
              <x14:negativeBorderColor rgb="FFFF0000"/>
              <x14:axisColor rgb="FF000000"/>
            </x14:dataBar>
          </x14:cfRule>
          <xm:sqref>AF10</xm:sqref>
        </x14:conditionalFormatting>
        <x14:conditionalFormatting xmlns:xm="http://schemas.microsoft.com/office/excel/2006/main">
          <x14:cfRule type="dataBar" id="{C7EFED2D-6C76-40C9-BC00-92F630531087}">
            <x14:dataBar minLength="0" maxLength="100" border="1" negativeBarBorderColorSameAsPositive="0">
              <x14:cfvo type="autoMin"/>
              <x14:cfvo type="autoMax"/>
              <x14:borderColor rgb="FF63C384"/>
              <x14:negativeFillColor rgb="FFFF0000"/>
              <x14:negativeBorderColor rgb="FFFF0000"/>
              <x14:axisColor rgb="FF000000"/>
            </x14:dataBar>
          </x14:cfRule>
          <xm:sqref>AF10</xm:sqref>
        </x14:conditionalFormatting>
        <x14:conditionalFormatting xmlns:xm="http://schemas.microsoft.com/office/excel/2006/main">
          <x14:cfRule type="dataBar" id="{C430204F-BDDC-44D0-8850-C7A04F2B54B5}">
            <x14:dataBar minLength="0" maxLength="100" border="1" negativeBarBorderColorSameAsPositive="0">
              <x14:cfvo type="autoMin"/>
              <x14:cfvo type="autoMax"/>
              <x14:borderColor rgb="FF63C384"/>
              <x14:negativeFillColor rgb="FFFF0000"/>
              <x14:negativeBorderColor rgb="FFFF0000"/>
              <x14:axisColor rgb="FF000000"/>
            </x14:dataBar>
          </x14:cfRule>
          <xm:sqref>AF10</xm:sqref>
        </x14:conditionalFormatting>
        <x14:conditionalFormatting xmlns:xm="http://schemas.microsoft.com/office/excel/2006/main">
          <x14:cfRule type="dataBar" id="{8794C194-A354-4C46-B908-08B72C21FE8B}">
            <x14:dataBar minLength="0" maxLength="100" border="1" negativeBarBorderColorSameAsPositive="0">
              <x14:cfvo type="autoMin"/>
              <x14:cfvo type="autoMax"/>
              <x14:borderColor rgb="FF63C384"/>
              <x14:negativeFillColor rgb="FFFF0000"/>
              <x14:negativeBorderColor rgb="FFFF0000"/>
              <x14:axisColor rgb="FF000000"/>
            </x14:dataBar>
          </x14:cfRule>
          <xm:sqref>AF10</xm:sqref>
        </x14:conditionalFormatting>
        <x14:conditionalFormatting xmlns:xm="http://schemas.microsoft.com/office/excel/2006/main">
          <x14:cfRule type="dataBar" id="{7B81A840-378E-4DBD-9962-8D1DC1608B56}">
            <x14:dataBar minLength="0" maxLength="100" border="1" negativeBarBorderColorSameAsPositive="0">
              <x14:cfvo type="autoMin"/>
              <x14:cfvo type="autoMax"/>
              <x14:borderColor rgb="FF63C384"/>
              <x14:negativeFillColor rgb="FFFF0000"/>
              <x14:negativeBorderColor rgb="FFFF0000"/>
              <x14:axisColor rgb="FF000000"/>
            </x14:dataBar>
          </x14:cfRule>
          <xm:sqref>AF11</xm:sqref>
        </x14:conditionalFormatting>
        <x14:conditionalFormatting xmlns:xm="http://schemas.microsoft.com/office/excel/2006/main">
          <x14:cfRule type="dataBar" id="{E44A95C1-24B9-4AC0-A556-D0F6064C2E96}">
            <x14:dataBar minLength="0" maxLength="100" border="1" negativeBarBorderColorSameAsPositive="0">
              <x14:cfvo type="autoMin"/>
              <x14:cfvo type="autoMax"/>
              <x14:borderColor rgb="FF63C384"/>
              <x14:negativeFillColor rgb="FFFF0000"/>
              <x14:negativeBorderColor rgb="FFFF0000"/>
              <x14:axisColor rgb="FF000000"/>
            </x14:dataBar>
          </x14:cfRule>
          <xm:sqref>AF11</xm:sqref>
        </x14:conditionalFormatting>
        <x14:conditionalFormatting xmlns:xm="http://schemas.microsoft.com/office/excel/2006/main">
          <x14:cfRule type="dataBar" id="{A9365222-BD51-4A40-A8A5-86F051ADCF8F}">
            <x14:dataBar minLength="0" maxLength="100" border="1" negativeBarBorderColorSameAsPositive="0">
              <x14:cfvo type="autoMin"/>
              <x14:cfvo type="autoMax"/>
              <x14:borderColor rgb="FF63C384"/>
              <x14:negativeFillColor rgb="FFFF0000"/>
              <x14:negativeBorderColor rgb="FFFF0000"/>
              <x14:axisColor rgb="FF000000"/>
            </x14:dataBar>
          </x14:cfRule>
          <xm:sqref>AF11</xm:sqref>
        </x14:conditionalFormatting>
        <x14:conditionalFormatting xmlns:xm="http://schemas.microsoft.com/office/excel/2006/main">
          <x14:cfRule type="dataBar" id="{FF25A3C4-5A25-412C-BA4F-375091D921AE}">
            <x14:dataBar minLength="0" maxLength="100" border="1" negativeBarBorderColorSameAsPositive="0">
              <x14:cfvo type="autoMin"/>
              <x14:cfvo type="autoMax"/>
              <x14:borderColor rgb="FF63C384"/>
              <x14:negativeFillColor rgb="FFFF0000"/>
              <x14:negativeBorderColor rgb="FFFF0000"/>
              <x14:axisColor rgb="FF000000"/>
            </x14:dataBar>
          </x14:cfRule>
          <xm:sqref>AF11</xm:sqref>
        </x14:conditionalFormatting>
        <x14:conditionalFormatting xmlns:xm="http://schemas.microsoft.com/office/excel/2006/main">
          <x14:cfRule type="dataBar" id="{9559344B-BF80-46CC-A8BE-06947EEF163A}">
            <x14:dataBar minLength="0" maxLength="100" border="1" negativeBarBorderColorSameAsPositive="0">
              <x14:cfvo type="autoMin"/>
              <x14:cfvo type="autoMax"/>
              <x14:borderColor rgb="FF63C384"/>
              <x14:negativeFillColor rgb="FFFF0000"/>
              <x14:negativeBorderColor rgb="FFFF0000"/>
              <x14:axisColor rgb="FF000000"/>
            </x14:dataBar>
          </x14:cfRule>
          <xm:sqref>AF12</xm:sqref>
        </x14:conditionalFormatting>
        <x14:conditionalFormatting xmlns:xm="http://schemas.microsoft.com/office/excel/2006/main">
          <x14:cfRule type="dataBar" id="{3594C657-C164-4993-B52B-4BDD173B678A}">
            <x14:dataBar minLength="0" maxLength="100" border="1" negativeBarBorderColorSameAsPositive="0">
              <x14:cfvo type="autoMin"/>
              <x14:cfvo type="autoMax"/>
              <x14:borderColor rgb="FF63C384"/>
              <x14:negativeFillColor rgb="FFFF0000"/>
              <x14:negativeBorderColor rgb="FFFF0000"/>
              <x14:axisColor rgb="FF000000"/>
            </x14:dataBar>
          </x14:cfRule>
          <xm:sqref>AF12</xm:sqref>
        </x14:conditionalFormatting>
        <x14:conditionalFormatting xmlns:xm="http://schemas.microsoft.com/office/excel/2006/main">
          <x14:cfRule type="dataBar" id="{E4A02D7D-9807-489E-964B-4831183D7D13}">
            <x14:dataBar minLength="0" maxLength="100" border="1" negativeBarBorderColorSameAsPositive="0">
              <x14:cfvo type="autoMin"/>
              <x14:cfvo type="autoMax"/>
              <x14:borderColor rgb="FF63C384"/>
              <x14:negativeFillColor rgb="FFFF0000"/>
              <x14:negativeBorderColor rgb="FFFF0000"/>
              <x14:axisColor rgb="FF000000"/>
            </x14:dataBar>
          </x14:cfRule>
          <xm:sqref>AF12</xm:sqref>
        </x14:conditionalFormatting>
        <x14:conditionalFormatting xmlns:xm="http://schemas.microsoft.com/office/excel/2006/main">
          <x14:cfRule type="dataBar" id="{8A9FD555-896E-474B-A920-A38C55610EC0}">
            <x14:dataBar minLength="0" maxLength="100" border="1" negativeBarBorderColorSameAsPositive="0">
              <x14:cfvo type="autoMin"/>
              <x14:cfvo type="autoMax"/>
              <x14:borderColor rgb="FF63C384"/>
              <x14:negativeFillColor rgb="FFFF0000"/>
              <x14:negativeBorderColor rgb="FFFF0000"/>
              <x14:axisColor rgb="FF000000"/>
            </x14:dataBar>
          </x14:cfRule>
          <xm:sqref>AF12</xm:sqref>
        </x14:conditionalFormatting>
        <x14:conditionalFormatting xmlns:xm="http://schemas.microsoft.com/office/excel/2006/main">
          <x14:cfRule type="dataBar" id="{82D330A8-B3FA-4A73-893B-E8C4E8C0CD49}">
            <x14:dataBar minLength="0" maxLength="100" border="1" negativeBarBorderColorSameAsPositive="0">
              <x14:cfvo type="autoMin"/>
              <x14:cfvo type="autoMax"/>
              <x14:borderColor rgb="FF63C384"/>
              <x14:negativeFillColor rgb="FFFF0000"/>
              <x14:negativeBorderColor rgb="FFFF0000"/>
              <x14:axisColor rgb="FF000000"/>
            </x14:dataBar>
          </x14:cfRule>
          <xm:sqref>AF12</xm:sqref>
        </x14:conditionalFormatting>
        <x14:conditionalFormatting xmlns:xm="http://schemas.microsoft.com/office/excel/2006/main">
          <x14:cfRule type="dataBar" id="{6E2116AE-2192-4797-AA17-0376DF6F4F08}">
            <x14:dataBar minLength="0" maxLength="100" border="1" negativeBarBorderColorSameAsPositive="0">
              <x14:cfvo type="autoMin"/>
              <x14:cfvo type="autoMax"/>
              <x14:borderColor rgb="FF63C384"/>
              <x14:negativeFillColor rgb="FFFF0000"/>
              <x14:negativeBorderColor rgb="FFFF0000"/>
              <x14:axisColor rgb="FF000000"/>
            </x14:dataBar>
          </x14:cfRule>
          <xm:sqref>AF12</xm:sqref>
        </x14:conditionalFormatting>
        <x14:conditionalFormatting xmlns:xm="http://schemas.microsoft.com/office/excel/2006/main">
          <x14:cfRule type="dataBar" id="{7CFB8A24-86A3-41B0-9F38-660ECD3691EA}">
            <x14:dataBar minLength="0" maxLength="100" border="1" negativeBarBorderColorSameAsPositive="0">
              <x14:cfvo type="autoMin"/>
              <x14:cfvo type="autoMax"/>
              <x14:borderColor rgb="FF63C384"/>
              <x14:negativeFillColor rgb="FFFF0000"/>
              <x14:negativeBorderColor rgb="FFFF0000"/>
              <x14:axisColor rgb="FF000000"/>
            </x14:dataBar>
          </x14:cfRule>
          <xm:sqref>AF13</xm:sqref>
        </x14:conditionalFormatting>
        <x14:conditionalFormatting xmlns:xm="http://schemas.microsoft.com/office/excel/2006/main">
          <x14:cfRule type="dataBar" id="{6CF6E3A1-CC40-4C87-9F8C-1BE888C40E3D}">
            <x14:dataBar minLength="0" maxLength="100" border="1" negativeBarBorderColorSameAsPositive="0">
              <x14:cfvo type="autoMin"/>
              <x14:cfvo type="autoMax"/>
              <x14:borderColor rgb="FF63C384"/>
              <x14:negativeFillColor rgb="FFFF0000"/>
              <x14:negativeBorderColor rgb="FFFF0000"/>
              <x14:axisColor rgb="FF000000"/>
            </x14:dataBar>
          </x14:cfRule>
          <xm:sqref>AF13</xm:sqref>
        </x14:conditionalFormatting>
        <x14:conditionalFormatting xmlns:xm="http://schemas.microsoft.com/office/excel/2006/main">
          <x14:cfRule type="dataBar" id="{B6DC169A-0BB5-4828-BF42-5C1A798B39D9}">
            <x14:dataBar minLength="0" maxLength="100" border="1" negativeBarBorderColorSameAsPositive="0">
              <x14:cfvo type="autoMin"/>
              <x14:cfvo type="autoMax"/>
              <x14:borderColor rgb="FF63C384"/>
              <x14:negativeFillColor rgb="FFFF0000"/>
              <x14:negativeBorderColor rgb="FFFF0000"/>
              <x14:axisColor rgb="FF000000"/>
            </x14:dataBar>
          </x14:cfRule>
          <xm:sqref>AF13</xm:sqref>
        </x14:conditionalFormatting>
        <x14:conditionalFormatting xmlns:xm="http://schemas.microsoft.com/office/excel/2006/main">
          <x14:cfRule type="dataBar" id="{31F35B80-4F64-420D-A027-3EB699B38611}">
            <x14:dataBar minLength="0" maxLength="100" border="1" negativeBarBorderColorSameAsPositive="0">
              <x14:cfvo type="autoMin"/>
              <x14:cfvo type="autoMax"/>
              <x14:borderColor rgb="FF63C384"/>
              <x14:negativeFillColor rgb="FFFF0000"/>
              <x14:negativeBorderColor rgb="FFFF0000"/>
              <x14:axisColor rgb="FF000000"/>
            </x14:dataBar>
          </x14:cfRule>
          <xm:sqref>AF13</xm:sqref>
        </x14:conditionalFormatting>
        <x14:conditionalFormatting xmlns:xm="http://schemas.microsoft.com/office/excel/2006/main">
          <x14:cfRule type="dataBar" id="{D1B1ED67-2EF9-4214-9790-512323A95B6B}">
            <x14:dataBar minLength="0" maxLength="100" border="1" negativeBarBorderColorSameAsPositive="0">
              <x14:cfvo type="autoMin"/>
              <x14:cfvo type="autoMax"/>
              <x14:borderColor rgb="FF63C384"/>
              <x14:negativeFillColor rgb="FFFF0000"/>
              <x14:negativeBorderColor rgb="FFFF0000"/>
              <x14:axisColor rgb="FF000000"/>
            </x14:dataBar>
          </x14:cfRule>
          <xm:sqref>AF14:AF15</xm:sqref>
        </x14:conditionalFormatting>
        <x14:conditionalFormatting xmlns:xm="http://schemas.microsoft.com/office/excel/2006/main">
          <x14:cfRule type="dataBar" id="{31177625-D921-4423-ACA5-46469DDF9CCA}">
            <x14:dataBar minLength="0" maxLength="100" border="1" negativeBarBorderColorSameAsPositive="0">
              <x14:cfvo type="autoMin"/>
              <x14:cfvo type="autoMax"/>
              <x14:borderColor rgb="FF63C384"/>
              <x14:negativeFillColor rgb="FFFF0000"/>
              <x14:negativeBorderColor rgb="FFFF0000"/>
              <x14:axisColor rgb="FF000000"/>
            </x14:dataBar>
          </x14:cfRule>
          <xm:sqref>AF14:AF15</xm:sqref>
        </x14:conditionalFormatting>
        <x14:conditionalFormatting xmlns:xm="http://schemas.microsoft.com/office/excel/2006/main">
          <x14:cfRule type="dataBar" id="{CF8BC346-853C-4C62-AC98-03818A07047D}">
            <x14:dataBar minLength="0" maxLength="100" border="1" negativeBarBorderColorSameAsPositive="0">
              <x14:cfvo type="autoMin"/>
              <x14:cfvo type="autoMax"/>
              <x14:borderColor rgb="FF63C384"/>
              <x14:negativeFillColor rgb="FFFF0000"/>
              <x14:negativeBorderColor rgb="FFFF0000"/>
              <x14:axisColor rgb="FF000000"/>
            </x14:dataBar>
          </x14:cfRule>
          <xm:sqref>AF16</xm:sqref>
        </x14:conditionalFormatting>
        <x14:conditionalFormatting xmlns:xm="http://schemas.microsoft.com/office/excel/2006/main">
          <x14:cfRule type="dataBar" id="{11BAA0C2-ABB8-4194-844F-3F154110ABC2}">
            <x14:dataBar minLength="0" maxLength="100" border="1" negativeBarBorderColorSameAsPositive="0">
              <x14:cfvo type="autoMin"/>
              <x14:cfvo type="autoMax"/>
              <x14:borderColor rgb="FF63C384"/>
              <x14:negativeFillColor rgb="FFFF0000"/>
              <x14:negativeBorderColor rgb="FFFF0000"/>
              <x14:axisColor rgb="FF000000"/>
            </x14:dataBar>
          </x14:cfRule>
          <xm:sqref>AF16</xm:sqref>
        </x14:conditionalFormatting>
        <x14:conditionalFormatting xmlns:xm="http://schemas.microsoft.com/office/excel/2006/main">
          <x14:cfRule type="dataBar" id="{80518FBA-51E8-43EE-82F8-68B545C81E11}">
            <x14:dataBar minLength="0" maxLength="100" border="1" negativeBarBorderColorSameAsPositive="0">
              <x14:cfvo type="autoMin"/>
              <x14:cfvo type="autoMax"/>
              <x14:borderColor rgb="FF63C384"/>
              <x14:negativeFillColor rgb="FFFF0000"/>
              <x14:negativeBorderColor rgb="FFFF0000"/>
              <x14:axisColor rgb="FF000000"/>
            </x14:dataBar>
          </x14:cfRule>
          <xm:sqref>AF16</xm:sqref>
        </x14:conditionalFormatting>
        <x14:conditionalFormatting xmlns:xm="http://schemas.microsoft.com/office/excel/2006/main">
          <x14:cfRule type="dataBar" id="{DD23B0D5-839C-490E-9AC7-12B393F994EF}">
            <x14:dataBar minLength="0" maxLength="100" border="1" negativeBarBorderColorSameAsPositive="0">
              <x14:cfvo type="autoMin"/>
              <x14:cfvo type="autoMax"/>
              <x14:borderColor rgb="FF63C384"/>
              <x14:negativeFillColor rgb="FFFF0000"/>
              <x14:negativeBorderColor rgb="FFFF0000"/>
              <x14:axisColor rgb="FF000000"/>
            </x14:dataBar>
          </x14:cfRule>
          <xm:sqref>AF16</xm:sqref>
        </x14:conditionalFormatting>
        <x14:conditionalFormatting xmlns:xm="http://schemas.microsoft.com/office/excel/2006/main">
          <x14:cfRule type="dataBar" id="{7F74FF78-C11F-4D90-A655-544A993672B6}">
            <x14:dataBar minLength="0" maxLength="100" border="1" negativeBarBorderColorSameAsPositive="0">
              <x14:cfvo type="autoMin"/>
              <x14:cfvo type="autoMax"/>
              <x14:borderColor rgb="FF63C384"/>
              <x14:negativeFillColor rgb="FFFF0000"/>
              <x14:negativeBorderColor rgb="FFFF0000"/>
              <x14:axisColor rgb="FF000000"/>
            </x14:dataBar>
          </x14:cfRule>
          <xm:sqref>AF18</xm:sqref>
        </x14:conditionalFormatting>
        <x14:conditionalFormatting xmlns:xm="http://schemas.microsoft.com/office/excel/2006/main">
          <x14:cfRule type="dataBar" id="{E39BC184-033C-46F7-8458-2A1FBA0D7FC9}">
            <x14:dataBar minLength="0" maxLength="100" border="1" negativeBarBorderColorSameAsPositive="0">
              <x14:cfvo type="autoMin"/>
              <x14:cfvo type="autoMax"/>
              <x14:borderColor rgb="FF63C384"/>
              <x14:negativeFillColor rgb="FFFF0000"/>
              <x14:negativeBorderColor rgb="FFFF0000"/>
              <x14:axisColor rgb="FF000000"/>
            </x14:dataBar>
          </x14:cfRule>
          <xm:sqref>AF18</xm:sqref>
        </x14:conditionalFormatting>
        <x14:conditionalFormatting xmlns:xm="http://schemas.microsoft.com/office/excel/2006/main">
          <x14:cfRule type="dataBar" id="{35C5572B-A240-42A4-8A58-8FD6505F8BEE}">
            <x14:dataBar minLength="0" maxLength="100" border="1" negativeBarBorderColorSameAsPositive="0">
              <x14:cfvo type="autoMin"/>
              <x14:cfvo type="autoMax"/>
              <x14:borderColor rgb="FF63C384"/>
              <x14:negativeFillColor rgb="FFFF0000"/>
              <x14:negativeBorderColor rgb="FFFF0000"/>
              <x14:axisColor rgb="FF000000"/>
            </x14:dataBar>
          </x14:cfRule>
          <xm:sqref>AF19</xm:sqref>
        </x14:conditionalFormatting>
        <x14:conditionalFormatting xmlns:xm="http://schemas.microsoft.com/office/excel/2006/main">
          <x14:cfRule type="dataBar" id="{0F686320-5E33-4068-B7AE-280E11974DDC}">
            <x14:dataBar minLength="0" maxLength="100" border="1" negativeBarBorderColorSameAsPositive="0">
              <x14:cfvo type="autoMin"/>
              <x14:cfvo type="autoMax"/>
              <x14:borderColor rgb="FF63C384"/>
              <x14:negativeFillColor rgb="FFFF0000"/>
              <x14:negativeBorderColor rgb="FFFF0000"/>
              <x14:axisColor rgb="FF000000"/>
            </x14:dataBar>
          </x14:cfRule>
          <xm:sqref>AF19</xm:sqref>
        </x14:conditionalFormatting>
        <x14:conditionalFormatting xmlns:xm="http://schemas.microsoft.com/office/excel/2006/main">
          <x14:cfRule type="dataBar" id="{205CB1D1-9C6D-4451-911C-8943A5549908}">
            <x14:dataBar minLength="0" maxLength="100" border="1" negativeBarBorderColorSameAsPositive="0">
              <x14:cfvo type="autoMin"/>
              <x14:cfvo type="autoMax"/>
              <x14:borderColor rgb="FF63C384"/>
              <x14:negativeFillColor rgb="FFFF0000"/>
              <x14:negativeBorderColor rgb="FFFF0000"/>
              <x14:axisColor rgb="FF000000"/>
            </x14:dataBar>
          </x14:cfRule>
          <xm:sqref>AF20</xm:sqref>
        </x14:conditionalFormatting>
        <x14:conditionalFormatting xmlns:xm="http://schemas.microsoft.com/office/excel/2006/main">
          <x14:cfRule type="dataBar" id="{DB4F1666-1D74-4D71-96DF-69689AB84CF7}">
            <x14:dataBar minLength="0" maxLength="100" border="1" negativeBarBorderColorSameAsPositive="0">
              <x14:cfvo type="autoMin"/>
              <x14:cfvo type="autoMax"/>
              <x14:borderColor rgb="FF63C384"/>
              <x14:negativeFillColor rgb="FFFF0000"/>
              <x14:negativeBorderColor rgb="FFFF0000"/>
              <x14:axisColor rgb="FF000000"/>
            </x14:dataBar>
          </x14:cfRule>
          <xm:sqref>AF20</xm:sqref>
        </x14:conditionalFormatting>
        <x14:conditionalFormatting xmlns:xm="http://schemas.microsoft.com/office/excel/2006/main">
          <x14:cfRule type="dataBar" id="{3B801449-8180-4D2B-90B1-4B3897F22078}">
            <x14:dataBar minLength="0" maxLength="100" border="1" negativeBarBorderColorSameAsPositive="0">
              <x14:cfvo type="autoMin"/>
              <x14:cfvo type="autoMax"/>
              <x14:borderColor rgb="FF63C384"/>
              <x14:negativeFillColor rgb="FFFF0000"/>
              <x14:negativeBorderColor rgb="FFFF0000"/>
              <x14:axisColor rgb="FF000000"/>
            </x14:dataBar>
          </x14:cfRule>
          <xm:sqref>AF21</xm:sqref>
        </x14:conditionalFormatting>
        <x14:conditionalFormatting xmlns:xm="http://schemas.microsoft.com/office/excel/2006/main">
          <x14:cfRule type="dataBar" id="{47581C7F-E889-4E5A-9E20-290E3DFEFDA5}">
            <x14:dataBar minLength="0" maxLength="100" border="1" negativeBarBorderColorSameAsPositive="0">
              <x14:cfvo type="autoMin"/>
              <x14:cfvo type="autoMax"/>
              <x14:borderColor rgb="FF63C384"/>
              <x14:negativeFillColor rgb="FFFF0000"/>
              <x14:negativeBorderColor rgb="FFFF0000"/>
              <x14:axisColor rgb="FF000000"/>
            </x14:dataBar>
          </x14:cfRule>
          <xm:sqref>AF21</xm:sqref>
        </x14:conditionalFormatting>
        <x14:conditionalFormatting xmlns:xm="http://schemas.microsoft.com/office/excel/2006/main">
          <x14:cfRule type="dataBar" id="{2E7A49E0-F8CA-4AF7-A694-B779BE13C124}">
            <x14:dataBar minLength="0" maxLength="100" border="1" negativeBarBorderColorSameAsPositive="0">
              <x14:cfvo type="autoMin"/>
              <x14:cfvo type="autoMax"/>
              <x14:borderColor rgb="FF63C384"/>
              <x14:negativeFillColor rgb="FFFF0000"/>
              <x14:negativeBorderColor rgb="FFFF0000"/>
              <x14:axisColor rgb="FF000000"/>
            </x14:dataBar>
          </x14:cfRule>
          <xm:sqref>AF22</xm:sqref>
        </x14:conditionalFormatting>
        <x14:conditionalFormatting xmlns:xm="http://schemas.microsoft.com/office/excel/2006/main">
          <x14:cfRule type="dataBar" id="{55A4AD18-77E5-45CD-80F0-A36D8570E20A}">
            <x14:dataBar minLength="0" maxLength="100" border="1" negativeBarBorderColorSameAsPositive="0">
              <x14:cfvo type="autoMin"/>
              <x14:cfvo type="autoMax"/>
              <x14:borderColor rgb="FF63C384"/>
              <x14:negativeFillColor rgb="FFFF0000"/>
              <x14:negativeBorderColor rgb="FFFF0000"/>
              <x14:axisColor rgb="FF000000"/>
            </x14:dataBar>
          </x14:cfRule>
          <xm:sqref>AF22</xm:sqref>
        </x14:conditionalFormatting>
        <x14:conditionalFormatting xmlns:xm="http://schemas.microsoft.com/office/excel/2006/main">
          <x14:cfRule type="dataBar" id="{E0879053-27C9-4273-A9F5-D7F5CA93A13E}">
            <x14:dataBar minLength="0" maxLength="100" border="1" negativeBarBorderColorSameAsPositive="0">
              <x14:cfvo type="autoMin"/>
              <x14:cfvo type="autoMax"/>
              <x14:borderColor rgb="FF63C384"/>
              <x14:negativeFillColor rgb="FFFF0000"/>
              <x14:negativeBorderColor rgb="FFFF0000"/>
              <x14:axisColor rgb="FF000000"/>
            </x14:dataBar>
          </x14:cfRule>
          <xm:sqref>AF23</xm:sqref>
        </x14:conditionalFormatting>
        <x14:conditionalFormatting xmlns:xm="http://schemas.microsoft.com/office/excel/2006/main">
          <x14:cfRule type="dataBar" id="{713BF5E2-2966-422E-B704-2AC1C151713C}">
            <x14:dataBar minLength="0" maxLength="100" border="1" negativeBarBorderColorSameAsPositive="0">
              <x14:cfvo type="autoMin"/>
              <x14:cfvo type="autoMax"/>
              <x14:borderColor rgb="FF63C384"/>
              <x14:negativeFillColor rgb="FFFF0000"/>
              <x14:negativeBorderColor rgb="FFFF0000"/>
              <x14:axisColor rgb="FF000000"/>
            </x14:dataBar>
          </x14:cfRule>
          <xm:sqref>AF23</xm:sqref>
        </x14:conditionalFormatting>
        <x14:conditionalFormatting xmlns:xm="http://schemas.microsoft.com/office/excel/2006/main">
          <x14:cfRule type="dataBar" id="{E48C22E5-1ED5-4115-8C6B-9B698B3B930F}">
            <x14:dataBar minLength="0" maxLength="100" border="1" negativeBarBorderColorSameAsPositive="0">
              <x14:cfvo type="autoMin"/>
              <x14:cfvo type="autoMax"/>
              <x14:borderColor rgb="FF63C384"/>
              <x14:negativeFillColor rgb="FFFF0000"/>
              <x14:negativeBorderColor rgb="FFFF0000"/>
              <x14:axisColor rgb="FF000000"/>
            </x14:dataBar>
          </x14:cfRule>
          <xm:sqref>AF23</xm:sqref>
        </x14:conditionalFormatting>
        <x14:conditionalFormatting xmlns:xm="http://schemas.microsoft.com/office/excel/2006/main">
          <x14:cfRule type="dataBar" id="{AED782E2-6818-4D35-9E49-100D1D88F686}">
            <x14:dataBar minLength="0" maxLength="100" border="1" negativeBarBorderColorSameAsPositive="0">
              <x14:cfvo type="autoMin"/>
              <x14:cfvo type="autoMax"/>
              <x14:borderColor rgb="FF63C384"/>
              <x14:negativeFillColor rgb="FFFF0000"/>
              <x14:negativeBorderColor rgb="FFFF0000"/>
              <x14:axisColor rgb="FF000000"/>
            </x14:dataBar>
          </x14:cfRule>
          <xm:sqref>AF23</xm:sqref>
        </x14:conditionalFormatting>
        <x14:conditionalFormatting xmlns:xm="http://schemas.microsoft.com/office/excel/2006/main">
          <x14:cfRule type="dataBar" id="{72FF6C58-4F1F-45EB-BA77-7B36EF94273A}">
            <x14:dataBar minLength="0" maxLength="100" border="1" negativeBarBorderColorSameAsPositive="0">
              <x14:cfvo type="autoMin"/>
              <x14:cfvo type="autoMax"/>
              <x14:borderColor rgb="FF63C384"/>
              <x14:negativeFillColor rgb="FFFF0000"/>
              <x14:negativeBorderColor rgb="FFFF0000"/>
              <x14:axisColor rgb="FF000000"/>
            </x14:dataBar>
          </x14:cfRule>
          <xm:sqref>AF24:AF25</xm:sqref>
        </x14:conditionalFormatting>
        <x14:conditionalFormatting xmlns:xm="http://schemas.microsoft.com/office/excel/2006/main">
          <x14:cfRule type="dataBar" id="{95C460E1-55E1-4E50-938B-6AE18171C4B4}">
            <x14:dataBar minLength="0" maxLength="100" border="1" negativeBarBorderColorSameAsPositive="0">
              <x14:cfvo type="autoMin"/>
              <x14:cfvo type="autoMax"/>
              <x14:borderColor rgb="FF63C384"/>
              <x14:negativeFillColor rgb="FFFF0000"/>
              <x14:negativeBorderColor rgb="FFFF0000"/>
              <x14:axisColor rgb="FF000000"/>
            </x14:dataBar>
          </x14:cfRule>
          <xm:sqref>AF24:AF25</xm:sqref>
        </x14:conditionalFormatting>
        <x14:conditionalFormatting xmlns:xm="http://schemas.microsoft.com/office/excel/2006/main">
          <x14:cfRule type="dataBar" id="{96DD96CA-77C3-4CAE-BD21-18866F53492B}">
            <x14:dataBar minLength="0" maxLength="100" border="1" negativeBarBorderColorSameAsPositive="0">
              <x14:cfvo type="autoMin"/>
              <x14:cfvo type="autoMax"/>
              <x14:borderColor rgb="FF63C384"/>
              <x14:negativeFillColor rgb="FFFF0000"/>
              <x14:negativeBorderColor rgb="FFFF0000"/>
              <x14:axisColor rgb="FF000000"/>
            </x14:dataBar>
          </x14:cfRule>
          <xm:sqref>AF24:AF25</xm:sqref>
        </x14:conditionalFormatting>
        <x14:conditionalFormatting xmlns:xm="http://schemas.microsoft.com/office/excel/2006/main">
          <x14:cfRule type="dataBar" id="{8A3926D9-21A8-47DF-91D7-B39FF6ED8FC6}">
            <x14:dataBar minLength="0" maxLength="100" border="1" negativeBarBorderColorSameAsPositive="0">
              <x14:cfvo type="autoMin"/>
              <x14:cfvo type="autoMax"/>
              <x14:borderColor rgb="FF63C384"/>
              <x14:negativeFillColor rgb="FFFF0000"/>
              <x14:negativeBorderColor rgb="FFFF0000"/>
              <x14:axisColor rgb="FF000000"/>
            </x14:dataBar>
          </x14:cfRule>
          <xm:sqref>AF24:AF25</xm:sqref>
        </x14:conditionalFormatting>
        <x14:conditionalFormatting xmlns:xm="http://schemas.microsoft.com/office/excel/2006/main">
          <x14:cfRule type="dataBar" id="{973772C7-FE25-4DBF-8D47-871E8E802B47}">
            <x14:dataBar minLength="0" maxLength="100" border="1" negativeBarBorderColorSameAsPositive="0">
              <x14:cfvo type="autoMin"/>
              <x14:cfvo type="autoMax"/>
              <x14:borderColor rgb="FF63C384"/>
              <x14:negativeFillColor rgb="FFFF0000"/>
              <x14:negativeBorderColor rgb="FFFF0000"/>
              <x14:axisColor rgb="FF000000"/>
            </x14:dataBar>
          </x14:cfRule>
          <xm:sqref>AF24:AF25</xm:sqref>
        </x14:conditionalFormatting>
        <x14:conditionalFormatting xmlns:xm="http://schemas.microsoft.com/office/excel/2006/main">
          <x14:cfRule type="dataBar" id="{C1BB2326-C142-433A-A664-BA0AD99A9ECC}">
            <x14:dataBar minLength="0" maxLength="100" border="1" negativeBarBorderColorSameAsPositive="0">
              <x14:cfvo type="autoMin"/>
              <x14:cfvo type="autoMax"/>
              <x14:borderColor rgb="FF63C384"/>
              <x14:negativeFillColor rgb="FFFF0000"/>
              <x14:negativeBorderColor rgb="FFFF0000"/>
              <x14:axisColor rgb="FF000000"/>
            </x14:dataBar>
          </x14:cfRule>
          <xm:sqref>AF24:AF25</xm:sqref>
        </x14:conditionalFormatting>
        <x14:conditionalFormatting xmlns:xm="http://schemas.microsoft.com/office/excel/2006/main">
          <x14:cfRule type="dataBar" id="{DF1361CB-3A82-43BF-83D3-2601A1B55759}">
            <x14:dataBar minLength="0" maxLength="100" border="1" negativeBarBorderColorSameAsPositive="0">
              <x14:cfvo type="autoMin"/>
              <x14:cfvo type="autoMax"/>
              <x14:borderColor rgb="FF63C384"/>
              <x14:negativeFillColor rgb="FFFF0000"/>
              <x14:negativeBorderColor rgb="FFFF0000"/>
              <x14:axisColor rgb="FF000000"/>
            </x14:dataBar>
          </x14:cfRule>
          <xm:sqref>AF24:AF25</xm:sqref>
        </x14:conditionalFormatting>
        <x14:conditionalFormatting xmlns:xm="http://schemas.microsoft.com/office/excel/2006/main">
          <x14:cfRule type="dataBar" id="{61695D4D-66E4-49AE-9819-963A3B4F7B8C}">
            <x14:dataBar minLength="0" maxLength="100" border="1" negativeBarBorderColorSameAsPositive="0">
              <x14:cfvo type="autoMin"/>
              <x14:cfvo type="autoMax"/>
              <x14:borderColor rgb="FF63C384"/>
              <x14:negativeFillColor rgb="FFFF0000"/>
              <x14:negativeBorderColor rgb="FFFF0000"/>
              <x14:axisColor rgb="FF000000"/>
            </x14:dataBar>
          </x14:cfRule>
          <xm:sqref>AF24:AF25</xm:sqref>
        </x14:conditionalFormatting>
        <x14:conditionalFormatting xmlns:xm="http://schemas.microsoft.com/office/excel/2006/main">
          <x14:cfRule type="dataBar" id="{291FC0D0-DEBC-4E5D-BA0D-C50E71E5355C}">
            <x14:dataBar minLength="0" maxLength="100" border="1" negativeBarBorderColorSameAsPositive="0">
              <x14:cfvo type="autoMin"/>
              <x14:cfvo type="autoMax"/>
              <x14:borderColor rgb="FF63C384"/>
              <x14:negativeFillColor rgb="FFFF0000"/>
              <x14:negativeBorderColor rgb="FFFF0000"/>
              <x14:axisColor rgb="FF000000"/>
            </x14:dataBar>
          </x14:cfRule>
          <xm:sqref>AF26</xm:sqref>
        </x14:conditionalFormatting>
        <x14:conditionalFormatting xmlns:xm="http://schemas.microsoft.com/office/excel/2006/main">
          <x14:cfRule type="dataBar" id="{4C1FD499-71E5-4E20-B3CE-07B16D90E772}">
            <x14:dataBar minLength="0" maxLength="100" border="1" negativeBarBorderColorSameAsPositive="0">
              <x14:cfvo type="autoMin"/>
              <x14:cfvo type="autoMax"/>
              <x14:borderColor rgb="FF63C384"/>
              <x14:negativeFillColor rgb="FFFF0000"/>
              <x14:negativeBorderColor rgb="FFFF0000"/>
              <x14:axisColor rgb="FF000000"/>
            </x14:dataBar>
          </x14:cfRule>
          <xm:sqref>AF26</xm:sqref>
        </x14:conditionalFormatting>
        <x14:conditionalFormatting xmlns:xm="http://schemas.microsoft.com/office/excel/2006/main">
          <x14:cfRule type="dataBar" id="{5A33CF17-D823-4D81-B3DF-719A853FDEB2}">
            <x14:dataBar minLength="0" maxLength="100" border="1" negativeBarBorderColorSameAsPositive="0">
              <x14:cfvo type="autoMin"/>
              <x14:cfvo type="autoMax"/>
              <x14:borderColor rgb="FF63C384"/>
              <x14:negativeFillColor rgb="FFFF0000"/>
              <x14:negativeBorderColor rgb="FFFF0000"/>
              <x14:axisColor rgb="FF000000"/>
            </x14:dataBar>
          </x14:cfRule>
          <xm:sqref>AF26</xm:sqref>
        </x14:conditionalFormatting>
        <x14:conditionalFormatting xmlns:xm="http://schemas.microsoft.com/office/excel/2006/main">
          <x14:cfRule type="dataBar" id="{72920243-3E94-4E93-B7F7-512CACD2D777}">
            <x14:dataBar minLength="0" maxLength="100" border="1" negativeBarBorderColorSameAsPositive="0">
              <x14:cfvo type="autoMin"/>
              <x14:cfvo type="autoMax"/>
              <x14:borderColor rgb="FF63C384"/>
              <x14:negativeFillColor rgb="FFFF0000"/>
              <x14:negativeBorderColor rgb="FFFF0000"/>
              <x14:axisColor rgb="FF000000"/>
            </x14:dataBar>
          </x14:cfRule>
          <xm:sqref>AF26</xm:sqref>
        </x14:conditionalFormatting>
        <x14:conditionalFormatting xmlns:xm="http://schemas.microsoft.com/office/excel/2006/main">
          <x14:cfRule type="dataBar" id="{C108D821-F1C0-435F-AD47-2C2537159577}">
            <x14:dataBar minLength="0" maxLength="100" border="1" negativeBarBorderColorSameAsPositive="0">
              <x14:cfvo type="autoMin"/>
              <x14:cfvo type="autoMax"/>
              <x14:borderColor rgb="FF63C384"/>
              <x14:negativeFillColor rgb="FFFF0000"/>
              <x14:negativeBorderColor rgb="FFFF0000"/>
              <x14:axisColor rgb="FF000000"/>
            </x14:dataBar>
          </x14:cfRule>
          <xm:sqref>AF27:AF28</xm:sqref>
        </x14:conditionalFormatting>
        <x14:conditionalFormatting xmlns:xm="http://schemas.microsoft.com/office/excel/2006/main">
          <x14:cfRule type="dataBar" id="{188CACE0-4638-449E-AC6A-6810A2509419}">
            <x14:dataBar minLength="0" maxLength="100" border="1" negativeBarBorderColorSameAsPositive="0">
              <x14:cfvo type="autoMin"/>
              <x14:cfvo type="autoMax"/>
              <x14:borderColor rgb="FF63C384"/>
              <x14:negativeFillColor rgb="FFFF0000"/>
              <x14:negativeBorderColor rgb="FFFF0000"/>
              <x14:axisColor rgb="FF000000"/>
            </x14:dataBar>
          </x14:cfRule>
          <xm:sqref>AF27:AF28</xm:sqref>
        </x14:conditionalFormatting>
        <x14:conditionalFormatting xmlns:xm="http://schemas.microsoft.com/office/excel/2006/main">
          <x14:cfRule type="dataBar" id="{FAECE94C-0F41-4661-BF89-605C031FCA0D}">
            <x14:dataBar minLength="0" maxLength="100" border="1" negativeBarBorderColorSameAsPositive="0">
              <x14:cfvo type="autoMin"/>
              <x14:cfvo type="autoMax"/>
              <x14:borderColor rgb="FF63C384"/>
              <x14:negativeFillColor rgb="FFFF0000"/>
              <x14:negativeBorderColor rgb="FFFF0000"/>
              <x14:axisColor rgb="FF000000"/>
            </x14:dataBar>
          </x14:cfRule>
          <xm:sqref>AF29</xm:sqref>
        </x14:conditionalFormatting>
        <x14:conditionalFormatting xmlns:xm="http://schemas.microsoft.com/office/excel/2006/main">
          <x14:cfRule type="dataBar" id="{51B376D9-B204-4A0B-94E1-447DD4B921D7}">
            <x14:dataBar minLength="0" maxLength="100" border="1" negativeBarBorderColorSameAsPositive="0">
              <x14:cfvo type="autoMin"/>
              <x14:cfvo type="autoMax"/>
              <x14:borderColor rgb="FF63C384"/>
              <x14:negativeFillColor rgb="FFFF0000"/>
              <x14:negativeBorderColor rgb="FFFF0000"/>
              <x14:axisColor rgb="FF000000"/>
            </x14:dataBar>
          </x14:cfRule>
          <xm:sqref>AF29</xm:sqref>
        </x14:conditionalFormatting>
        <x14:conditionalFormatting xmlns:xm="http://schemas.microsoft.com/office/excel/2006/main">
          <x14:cfRule type="dataBar" id="{46FBEB65-02EA-4065-B398-97A94CF329B1}">
            <x14:dataBar minLength="0" maxLength="100" border="1" negativeBarBorderColorSameAsPositive="0">
              <x14:cfvo type="autoMin"/>
              <x14:cfvo type="autoMax"/>
              <x14:borderColor rgb="FF63C384"/>
              <x14:negativeFillColor rgb="FFFF0000"/>
              <x14:negativeBorderColor rgb="FFFF0000"/>
              <x14:axisColor rgb="FF000000"/>
            </x14:dataBar>
          </x14:cfRule>
          <xm:sqref>AF29</xm:sqref>
        </x14:conditionalFormatting>
        <x14:conditionalFormatting xmlns:xm="http://schemas.microsoft.com/office/excel/2006/main">
          <x14:cfRule type="dataBar" id="{B38A56B9-DB3A-483C-AE19-6F9C7116FA58}">
            <x14:dataBar minLength="0" maxLength="100" border="1" negativeBarBorderColorSameAsPositive="0">
              <x14:cfvo type="autoMin"/>
              <x14:cfvo type="autoMax"/>
              <x14:borderColor rgb="FF63C384"/>
              <x14:negativeFillColor rgb="FFFF0000"/>
              <x14:negativeBorderColor rgb="FFFF0000"/>
              <x14:axisColor rgb="FF000000"/>
            </x14:dataBar>
          </x14:cfRule>
          <xm:sqref>AF29</xm:sqref>
        </x14:conditionalFormatting>
        <x14:conditionalFormatting xmlns:xm="http://schemas.microsoft.com/office/excel/2006/main">
          <x14:cfRule type="dataBar" id="{F8974FB4-DC39-473B-922E-F9C553A83486}">
            <x14:dataBar minLength="0" maxLength="100" border="1" negativeBarBorderColorSameAsPositive="0">
              <x14:cfvo type="autoMin"/>
              <x14:cfvo type="autoMax"/>
              <x14:borderColor rgb="FF63C384"/>
              <x14:negativeFillColor rgb="FFFF0000"/>
              <x14:negativeBorderColor rgb="FFFF0000"/>
              <x14:axisColor rgb="FF000000"/>
            </x14:dataBar>
          </x14:cfRule>
          <xm:sqref>AF30</xm:sqref>
        </x14:conditionalFormatting>
        <x14:conditionalFormatting xmlns:xm="http://schemas.microsoft.com/office/excel/2006/main">
          <x14:cfRule type="dataBar" id="{428D9380-5014-4B92-AAE4-82D9268EC5BE}">
            <x14:dataBar minLength="0" maxLength="100" border="1" negativeBarBorderColorSameAsPositive="0">
              <x14:cfvo type="autoMin"/>
              <x14:cfvo type="autoMax"/>
              <x14:borderColor rgb="FF63C384"/>
              <x14:negativeFillColor rgb="FFFF0000"/>
              <x14:negativeBorderColor rgb="FFFF0000"/>
              <x14:axisColor rgb="FF000000"/>
            </x14:dataBar>
          </x14:cfRule>
          <xm:sqref>AF30</xm:sqref>
        </x14:conditionalFormatting>
        <x14:conditionalFormatting xmlns:xm="http://schemas.microsoft.com/office/excel/2006/main">
          <x14:cfRule type="dataBar" id="{94D6287D-2C22-4D23-8F52-47723DFBC3C5}">
            <x14:dataBar minLength="0" maxLength="100" border="1" negativeBarBorderColorSameAsPositive="0">
              <x14:cfvo type="autoMin"/>
              <x14:cfvo type="autoMax"/>
              <x14:borderColor rgb="FF63C384"/>
              <x14:negativeFillColor rgb="FFFF0000"/>
              <x14:negativeBorderColor rgb="FFFF0000"/>
              <x14:axisColor rgb="FF000000"/>
            </x14:dataBar>
          </x14:cfRule>
          <xm:sqref>AF31</xm:sqref>
        </x14:conditionalFormatting>
        <x14:conditionalFormatting xmlns:xm="http://schemas.microsoft.com/office/excel/2006/main">
          <x14:cfRule type="dataBar" id="{385B1AB0-C7C6-4B2F-B814-F4A40DDB45D8}">
            <x14:dataBar minLength="0" maxLength="100" border="1" negativeBarBorderColorSameAsPositive="0">
              <x14:cfvo type="autoMin"/>
              <x14:cfvo type="autoMax"/>
              <x14:borderColor rgb="FF63C384"/>
              <x14:negativeFillColor rgb="FFFF0000"/>
              <x14:negativeBorderColor rgb="FFFF0000"/>
              <x14:axisColor rgb="FF000000"/>
            </x14:dataBar>
          </x14:cfRule>
          <xm:sqref>AF33</xm:sqref>
        </x14:conditionalFormatting>
        <x14:conditionalFormatting xmlns:xm="http://schemas.microsoft.com/office/excel/2006/main">
          <x14:cfRule type="dataBar" id="{8EF65E57-59DB-4A88-A86A-34DFB05583C1}">
            <x14:dataBar minLength="0" maxLength="100" border="1" negativeBarBorderColorSameAsPositive="0">
              <x14:cfvo type="autoMin"/>
              <x14:cfvo type="autoMax"/>
              <x14:borderColor rgb="FF63C384"/>
              <x14:negativeFillColor rgb="FFFF0000"/>
              <x14:negativeBorderColor rgb="FFFF0000"/>
              <x14:axisColor rgb="FF000000"/>
            </x14:dataBar>
          </x14:cfRule>
          <xm:sqref>AF33</xm:sqref>
        </x14:conditionalFormatting>
        <x14:conditionalFormatting xmlns:xm="http://schemas.microsoft.com/office/excel/2006/main">
          <x14:cfRule type="dataBar" id="{0E91FFF6-2084-4B4D-BF70-7686A976AE44}">
            <x14:dataBar minLength="0" maxLength="100" border="1" negativeBarBorderColorSameAsPositive="0">
              <x14:cfvo type="autoMin"/>
              <x14:cfvo type="autoMax"/>
              <x14:borderColor rgb="FF63C384"/>
              <x14:negativeFillColor rgb="FFFF0000"/>
              <x14:negativeBorderColor rgb="FFFF0000"/>
              <x14:axisColor rgb="FF000000"/>
            </x14:dataBar>
          </x14:cfRule>
          <xm:sqref>AF32</xm:sqref>
        </x14:conditionalFormatting>
        <x14:conditionalFormatting xmlns:xm="http://schemas.microsoft.com/office/excel/2006/main">
          <x14:cfRule type="dataBar" id="{2B8B452E-533F-492F-A853-633E6F2F886C}">
            <x14:dataBar minLength="0" maxLength="100" border="1" negativeBarBorderColorSameAsPositive="0">
              <x14:cfvo type="autoMin"/>
              <x14:cfvo type="autoMax"/>
              <x14:borderColor rgb="FF63C384"/>
              <x14:negativeFillColor rgb="FFFF0000"/>
              <x14:negativeBorderColor rgb="FFFF0000"/>
              <x14:axisColor rgb="FF000000"/>
            </x14:dataBar>
          </x14:cfRule>
          <xm:sqref>AF32</xm:sqref>
        </x14:conditionalFormatting>
        <x14:conditionalFormatting xmlns:xm="http://schemas.microsoft.com/office/excel/2006/main">
          <x14:cfRule type="dataBar" id="{17B70288-10DD-4B06-B293-F6B417732309}">
            <x14:dataBar minLength="0" maxLength="100" border="1" negativeBarBorderColorSameAsPositive="0">
              <x14:cfvo type="autoMin"/>
              <x14:cfvo type="autoMax"/>
              <x14:borderColor rgb="FF63C384"/>
              <x14:negativeFillColor rgb="FFFF0000"/>
              <x14:negativeBorderColor rgb="FFFF0000"/>
              <x14:axisColor rgb="FF000000"/>
            </x14:dataBar>
          </x14:cfRule>
          <xm:sqref>AF32</xm:sqref>
        </x14:conditionalFormatting>
        <x14:conditionalFormatting xmlns:xm="http://schemas.microsoft.com/office/excel/2006/main">
          <x14:cfRule type="dataBar" id="{00859BEF-3DF3-4F97-BE35-E14E3F424833}">
            <x14:dataBar minLength="0" maxLength="100" border="1" negativeBarBorderColorSameAsPositive="0">
              <x14:cfvo type="autoMin"/>
              <x14:cfvo type="autoMax"/>
              <x14:borderColor rgb="FF63C384"/>
              <x14:negativeFillColor rgb="FFFF0000"/>
              <x14:negativeBorderColor rgb="FFFF0000"/>
              <x14:axisColor rgb="FF000000"/>
            </x14:dataBar>
          </x14:cfRule>
          <xm:sqref>AF32</xm:sqref>
        </x14:conditionalFormatting>
        <x14:conditionalFormatting xmlns:xm="http://schemas.microsoft.com/office/excel/2006/main">
          <x14:cfRule type="dataBar" id="{6ADDE09C-B0CF-4760-A9A0-BCA047F3BC62}">
            <x14:dataBar minLength="0" maxLength="100" border="1" negativeBarBorderColorSameAsPositive="0">
              <x14:cfvo type="autoMin"/>
              <x14:cfvo type="autoMax"/>
              <x14:borderColor rgb="FF63C384"/>
              <x14:negativeFillColor rgb="FFFF0000"/>
              <x14:negativeBorderColor rgb="FFFF0000"/>
              <x14:axisColor rgb="FF000000"/>
            </x14:dataBar>
          </x14:cfRule>
          <xm:sqref>AF34</xm:sqref>
        </x14:conditionalFormatting>
        <x14:conditionalFormatting xmlns:xm="http://schemas.microsoft.com/office/excel/2006/main">
          <x14:cfRule type="dataBar" id="{3D36E24F-729F-4BA3-90B6-B765387633A0}">
            <x14:dataBar minLength="0" maxLength="100" border="1" negativeBarBorderColorSameAsPositive="0">
              <x14:cfvo type="autoMin"/>
              <x14:cfvo type="autoMax"/>
              <x14:borderColor rgb="FF63C384"/>
              <x14:negativeFillColor rgb="FFFF0000"/>
              <x14:negativeBorderColor rgb="FFFF0000"/>
              <x14:axisColor rgb="FF000000"/>
            </x14:dataBar>
          </x14:cfRule>
          <xm:sqref>AF34</xm:sqref>
        </x14:conditionalFormatting>
        <x14:conditionalFormatting xmlns:xm="http://schemas.microsoft.com/office/excel/2006/main">
          <x14:cfRule type="dataBar" id="{E37EBA21-BA21-4908-93F8-3F771B85FFF5}">
            <x14:dataBar minLength="0" maxLength="100" border="1" negativeBarBorderColorSameAsPositive="0">
              <x14:cfvo type="autoMin"/>
              <x14:cfvo type="autoMax"/>
              <x14:borderColor rgb="FF63C384"/>
              <x14:negativeFillColor rgb="FFFF0000"/>
              <x14:negativeBorderColor rgb="FFFF0000"/>
              <x14:axisColor rgb="FF000000"/>
            </x14:dataBar>
          </x14:cfRule>
          <xm:sqref>AF35</xm:sqref>
        </x14:conditionalFormatting>
        <x14:conditionalFormatting xmlns:xm="http://schemas.microsoft.com/office/excel/2006/main">
          <x14:cfRule type="dataBar" id="{EF0B2D77-4DA4-475A-9CBF-64DCE576126C}">
            <x14:dataBar minLength="0" maxLength="100" border="1" negativeBarBorderColorSameAsPositive="0">
              <x14:cfvo type="autoMin"/>
              <x14:cfvo type="autoMax"/>
              <x14:borderColor rgb="FF63C384"/>
              <x14:negativeFillColor rgb="FFFF0000"/>
              <x14:negativeBorderColor rgb="FFFF0000"/>
              <x14:axisColor rgb="FF000000"/>
            </x14:dataBar>
          </x14:cfRule>
          <xm:sqref>AF35</xm:sqref>
        </x14:conditionalFormatting>
        <x14:conditionalFormatting xmlns:xm="http://schemas.microsoft.com/office/excel/2006/main">
          <x14:cfRule type="dataBar" id="{D8B226C0-71B2-4707-8D5D-F5F284813B3D}">
            <x14:dataBar minLength="0" maxLength="100" border="1" negativeBarBorderColorSameAsPositive="0">
              <x14:cfvo type="autoMin"/>
              <x14:cfvo type="autoMax"/>
              <x14:borderColor rgb="FF63C384"/>
              <x14:negativeFillColor rgb="FFFF0000"/>
              <x14:negativeBorderColor rgb="FFFF0000"/>
              <x14:axisColor rgb="FF000000"/>
            </x14:dataBar>
          </x14:cfRule>
          <xm:sqref>AF35</xm:sqref>
        </x14:conditionalFormatting>
        <x14:conditionalFormatting xmlns:xm="http://schemas.microsoft.com/office/excel/2006/main">
          <x14:cfRule type="dataBar" id="{12CFDB61-5A44-4D2C-9574-CDF291FA201F}">
            <x14:dataBar minLength="0" maxLength="100" border="1" negativeBarBorderColorSameAsPositive="0">
              <x14:cfvo type="autoMin"/>
              <x14:cfvo type="autoMax"/>
              <x14:borderColor rgb="FF63C384"/>
              <x14:negativeFillColor rgb="FFFF0000"/>
              <x14:negativeBorderColor rgb="FFFF0000"/>
              <x14:axisColor rgb="FF000000"/>
            </x14:dataBar>
          </x14:cfRule>
          <xm:sqref>AF35</xm:sqref>
        </x14:conditionalFormatting>
        <x14:conditionalFormatting xmlns:xm="http://schemas.microsoft.com/office/excel/2006/main">
          <x14:cfRule type="dataBar" id="{FD3DE577-7738-4555-A93E-909897AAEB86}">
            <x14:dataBar minLength="0" maxLength="100" border="1" negativeBarBorderColorSameAsPositive="0">
              <x14:cfvo type="autoMin"/>
              <x14:cfvo type="autoMax"/>
              <x14:borderColor rgb="FF63C384"/>
              <x14:negativeFillColor rgb="FFFF0000"/>
              <x14:negativeBorderColor rgb="FFFF0000"/>
              <x14:axisColor rgb="FF000000"/>
            </x14:dataBar>
          </x14:cfRule>
          <xm:sqref>AF36</xm:sqref>
        </x14:conditionalFormatting>
        <x14:conditionalFormatting xmlns:xm="http://schemas.microsoft.com/office/excel/2006/main">
          <x14:cfRule type="dataBar" id="{88129556-9E14-44EC-BE6A-C7B2BFB09689}">
            <x14:dataBar minLength="0" maxLength="100" border="1" negativeBarBorderColorSameAsPositive="0">
              <x14:cfvo type="autoMin"/>
              <x14:cfvo type="autoMax"/>
              <x14:borderColor rgb="FF63C384"/>
              <x14:negativeFillColor rgb="FFFF0000"/>
              <x14:negativeBorderColor rgb="FFFF0000"/>
              <x14:axisColor rgb="FF000000"/>
            </x14:dataBar>
          </x14:cfRule>
          <xm:sqref>AF36</xm:sqref>
        </x14:conditionalFormatting>
        <x14:conditionalFormatting xmlns:xm="http://schemas.microsoft.com/office/excel/2006/main">
          <x14:cfRule type="dataBar" id="{742CE8C7-A6D6-43AA-AE7B-058735E6FD29}">
            <x14:dataBar minLength="0" maxLength="100" border="1" negativeBarBorderColorSameAsPositive="0">
              <x14:cfvo type="autoMin"/>
              <x14:cfvo type="autoMax"/>
              <x14:borderColor rgb="FF63C384"/>
              <x14:negativeFillColor rgb="FFFF0000"/>
              <x14:negativeBorderColor rgb="FFFF0000"/>
              <x14:axisColor rgb="FF000000"/>
            </x14:dataBar>
          </x14:cfRule>
          <xm:sqref>AF37</xm:sqref>
        </x14:conditionalFormatting>
        <x14:conditionalFormatting xmlns:xm="http://schemas.microsoft.com/office/excel/2006/main">
          <x14:cfRule type="dataBar" id="{7A4AEB97-EF61-4F8E-AD7E-1C46E292EA9E}">
            <x14:dataBar minLength="0" maxLength="100" border="1" negativeBarBorderColorSameAsPositive="0">
              <x14:cfvo type="autoMin"/>
              <x14:cfvo type="autoMax"/>
              <x14:borderColor rgb="FF63C384"/>
              <x14:negativeFillColor rgb="FFFF0000"/>
              <x14:negativeBorderColor rgb="FFFF0000"/>
              <x14:axisColor rgb="FF000000"/>
            </x14:dataBar>
          </x14:cfRule>
          <xm:sqref>AF37</xm:sqref>
        </x14:conditionalFormatting>
        <x14:conditionalFormatting xmlns:xm="http://schemas.microsoft.com/office/excel/2006/main">
          <x14:cfRule type="dataBar" id="{DE001AF2-BB70-4714-95A5-338EA1B134B3}">
            <x14:dataBar minLength="0" maxLength="100" border="1" negativeBarBorderColorSameAsPositive="0">
              <x14:cfvo type="autoMin"/>
              <x14:cfvo type="autoMax"/>
              <x14:borderColor rgb="FF63C384"/>
              <x14:negativeFillColor rgb="FFFF0000"/>
              <x14:negativeBorderColor rgb="FFFF0000"/>
              <x14:axisColor rgb="FF000000"/>
            </x14:dataBar>
          </x14:cfRule>
          <xm:sqref>AF38:AF39</xm:sqref>
        </x14:conditionalFormatting>
        <x14:conditionalFormatting xmlns:xm="http://schemas.microsoft.com/office/excel/2006/main">
          <x14:cfRule type="dataBar" id="{63E54C11-68B8-41F6-8B98-474797FD0440}">
            <x14:dataBar minLength="0" maxLength="100" border="1" negativeBarBorderColorSameAsPositive="0">
              <x14:cfvo type="autoMin"/>
              <x14:cfvo type="autoMax"/>
              <x14:borderColor rgb="FF63C384"/>
              <x14:negativeFillColor rgb="FFFF0000"/>
              <x14:negativeBorderColor rgb="FFFF0000"/>
              <x14:axisColor rgb="FF000000"/>
            </x14:dataBar>
          </x14:cfRule>
          <xm:sqref>AF38:AF39</xm:sqref>
        </x14:conditionalFormatting>
        <x14:conditionalFormatting xmlns:xm="http://schemas.microsoft.com/office/excel/2006/main">
          <x14:cfRule type="dataBar" id="{F930F29D-C131-44F3-80D4-CABD28C0695D}">
            <x14:dataBar minLength="0" maxLength="100" border="1" negativeBarBorderColorSameAsPositive="0">
              <x14:cfvo type="autoMin"/>
              <x14:cfvo type="autoMax"/>
              <x14:borderColor rgb="FF63C384"/>
              <x14:negativeFillColor rgb="FFFF0000"/>
              <x14:negativeBorderColor rgb="FFFF0000"/>
              <x14:axisColor rgb="FF000000"/>
            </x14:dataBar>
          </x14:cfRule>
          <xm:sqref>AF40</xm:sqref>
        </x14:conditionalFormatting>
        <x14:conditionalFormatting xmlns:xm="http://schemas.microsoft.com/office/excel/2006/main">
          <x14:cfRule type="dataBar" id="{8CEA2924-26DB-49A6-82DA-A20DDDF5635A}">
            <x14:dataBar minLength="0" maxLength="100" border="1" negativeBarBorderColorSameAsPositive="0">
              <x14:cfvo type="autoMin"/>
              <x14:cfvo type="autoMax"/>
              <x14:borderColor rgb="FF63C384"/>
              <x14:negativeFillColor rgb="FFFF0000"/>
              <x14:negativeBorderColor rgb="FFFF0000"/>
              <x14:axisColor rgb="FF000000"/>
            </x14:dataBar>
          </x14:cfRule>
          <xm:sqref>AF40</xm:sqref>
        </x14:conditionalFormatting>
        <x14:conditionalFormatting xmlns:xm="http://schemas.microsoft.com/office/excel/2006/main">
          <x14:cfRule type="dataBar" id="{B3543B90-ECE0-4AD8-A802-A1DA7320937B}">
            <x14:dataBar minLength="0" maxLength="100" border="1" negativeBarBorderColorSameAsPositive="0">
              <x14:cfvo type="autoMin"/>
              <x14:cfvo type="autoMax"/>
              <x14:borderColor rgb="FF63C384"/>
              <x14:negativeFillColor rgb="FFFF0000"/>
              <x14:negativeBorderColor rgb="FFFF0000"/>
              <x14:axisColor rgb="FF000000"/>
            </x14:dataBar>
          </x14:cfRule>
          <xm:sqref>AF40</xm:sqref>
        </x14:conditionalFormatting>
        <x14:conditionalFormatting xmlns:xm="http://schemas.microsoft.com/office/excel/2006/main">
          <x14:cfRule type="dataBar" id="{9956141D-5D99-4628-B2F8-9559D71A54C9}">
            <x14:dataBar minLength="0" maxLength="100" border="1" negativeBarBorderColorSameAsPositive="0">
              <x14:cfvo type="autoMin"/>
              <x14:cfvo type="autoMax"/>
              <x14:borderColor rgb="FF63C384"/>
              <x14:negativeFillColor rgb="FFFF0000"/>
              <x14:negativeBorderColor rgb="FFFF0000"/>
              <x14:axisColor rgb="FF000000"/>
            </x14:dataBar>
          </x14:cfRule>
          <xm:sqref>AF40</xm:sqref>
        </x14:conditionalFormatting>
        <x14:conditionalFormatting xmlns:xm="http://schemas.microsoft.com/office/excel/2006/main">
          <x14:cfRule type="dataBar" id="{EA8F34DF-4220-4CAD-B710-C58E8A5360DF}">
            <x14:dataBar minLength="0" maxLength="100" border="1" negativeBarBorderColorSameAsPositive="0">
              <x14:cfvo type="autoMin"/>
              <x14:cfvo type="autoMax"/>
              <x14:borderColor rgb="FF63C384"/>
              <x14:negativeFillColor rgb="FFFF0000"/>
              <x14:negativeBorderColor rgb="FFFF0000"/>
              <x14:axisColor rgb="FF000000"/>
            </x14:dataBar>
          </x14:cfRule>
          <xm:sqref>AF41</xm:sqref>
        </x14:conditionalFormatting>
        <x14:conditionalFormatting xmlns:xm="http://schemas.microsoft.com/office/excel/2006/main">
          <x14:cfRule type="dataBar" id="{AF9077CC-CAA1-4BA1-8777-F0D8D3C7FB15}">
            <x14:dataBar minLength="0" maxLength="100" border="1" negativeBarBorderColorSameAsPositive="0">
              <x14:cfvo type="autoMin"/>
              <x14:cfvo type="autoMax"/>
              <x14:borderColor rgb="FF63C384"/>
              <x14:negativeFillColor rgb="FFFF0000"/>
              <x14:negativeBorderColor rgb="FFFF0000"/>
              <x14:axisColor rgb="FF000000"/>
            </x14:dataBar>
          </x14:cfRule>
          <xm:sqref>AF41</xm:sqref>
        </x14:conditionalFormatting>
        <x14:conditionalFormatting xmlns:xm="http://schemas.microsoft.com/office/excel/2006/main">
          <x14:cfRule type="dataBar" id="{108318C7-2249-426D-A09E-23F60BCCAC33}">
            <x14:dataBar minLength="0" maxLength="100" border="1" negativeBarBorderColorSameAsPositive="0">
              <x14:cfvo type="autoMin"/>
              <x14:cfvo type="autoMax"/>
              <x14:borderColor rgb="FF63C384"/>
              <x14:negativeFillColor rgb="FFFF0000"/>
              <x14:negativeBorderColor rgb="FFFF0000"/>
              <x14:axisColor rgb="FF000000"/>
            </x14:dataBar>
          </x14:cfRule>
          <xm:sqref>AF42</xm:sqref>
        </x14:conditionalFormatting>
        <x14:conditionalFormatting xmlns:xm="http://schemas.microsoft.com/office/excel/2006/main">
          <x14:cfRule type="dataBar" id="{E4C464D7-E31F-4D19-8532-D64F3796369E}">
            <x14:dataBar minLength="0" maxLength="100" border="1" negativeBarBorderColorSameAsPositive="0">
              <x14:cfvo type="autoMin"/>
              <x14:cfvo type="autoMax"/>
              <x14:borderColor rgb="FF63C384"/>
              <x14:negativeFillColor rgb="FFFF0000"/>
              <x14:negativeBorderColor rgb="FFFF0000"/>
              <x14:axisColor rgb="FF000000"/>
            </x14:dataBar>
          </x14:cfRule>
          <xm:sqref>AF42</xm:sqref>
        </x14:conditionalFormatting>
        <x14:conditionalFormatting xmlns:xm="http://schemas.microsoft.com/office/excel/2006/main">
          <x14:cfRule type="dataBar" id="{64874AAE-F791-4961-9CFA-D9D80632B8CD}">
            <x14:dataBar minLength="0" maxLength="100" border="1" negativeBarBorderColorSameAsPositive="0">
              <x14:cfvo type="autoMin"/>
              <x14:cfvo type="autoMax"/>
              <x14:borderColor rgb="FF63C384"/>
              <x14:negativeFillColor rgb="FFFF0000"/>
              <x14:negativeBorderColor rgb="FFFF0000"/>
              <x14:axisColor rgb="FF000000"/>
            </x14:dataBar>
          </x14:cfRule>
          <xm:sqref>AF43</xm:sqref>
        </x14:conditionalFormatting>
        <x14:conditionalFormatting xmlns:xm="http://schemas.microsoft.com/office/excel/2006/main">
          <x14:cfRule type="dataBar" id="{C570A3C2-2DC3-4EBC-A7AC-2D9C1746940D}">
            <x14:dataBar minLength="0" maxLength="100" border="1" negativeBarBorderColorSameAsPositive="0">
              <x14:cfvo type="autoMin"/>
              <x14:cfvo type="autoMax"/>
              <x14:borderColor rgb="FF63C384"/>
              <x14:negativeFillColor rgb="FFFF0000"/>
              <x14:negativeBorderColor rgb="FFFF0000"/>
              <x14:axisColor rgb="FF000000"/>
            </x14:dataBar>
          </x14:cfRule>
          <xm:sqref>AF43</xm:sqref>
        </x14:conditionalFormatting>
        <x14:conditionalFormatting xmlns:xm="http://schemas.microsoft.com/office/excel/2006/main">
          <x14:cfRule type="dataBar" id="{8DDEA64D-17AC-43D7-9D34-8FBE2DD44304}">
            <x14:dataBar minLength="0" maxLength="100" border="1" negativeBarBorderColorSameAsPositive="0">
              <x14:cfvo type="autoMin"/>
              <x14:cfvo type="autoMax"/>
              <x14:borderColor rgb="FF63C384"/>
              <x14:negativeFillColor rgb="FFFF0000"/>
              <x14:negativeBorderColor rgb="FFFF0000"/>
              <x14:axisColor rgb="FF000000"/>
            </x14:dataBar>
          </x14:cfRule>
          <xm:sqref>AF45</xm:sqref>
        </x14:conditionalFormatting>
        <x14:conditionalFormatting xmlns:xm="http://schemas.microsoft.com/office/excel/2006/main">
          <x14:cfRule type="dataBar" id="{36844078-0F47-4337-B3C4-B836BE13287E}">
            <x14:dataBar minLength="0" maxLength="100" border="1" negativeBarBorderColorSameAsPositive="0">
              <x14:cfvo type="autoMin"/>
              <x14:cfvo type="autoMax"/>
              <x14:borderColor rgb="FF63C384"/>
              <x14:negativeFillColor rgb="FFFF0000"/>
              <x14:negativeBorderColor rgb="FFFF0000"/>
              <x14:axisColor rgb="FF000000"/>
            </x14:dataBar>
          </x14:cfRule>
          <xm:sqref>AF45</xm:sqref>
        </x14:conditionalFormatting>
        <x14:conditionalFormatting xmlns:xm="http://schemas.microsoft.com/office/excel/2006/main">
          <x14:cfRule type="dataBar" id="{B7B20DFB-424F-4D14-9178-0730730CDBCA}">
            <x14:dataBar minLength="0" maxLength="100" border="1" negativeBarBorderColorSameAsPositive="0">
              <x14:cfvo type="autoMin"/>
              <x14:cfvo type="autoMax"/>
              <x14:borderColor rgb="FF63C384"/>
              <x14:negativeFillColor rgb="FFFF0000"/>
              <x14:negativeBorderColor rgb="FFFF0000"/>
              <x14:axisColor rgb="FF000000"/>
            </x14:dataBar>
          </x14:cfRule>
          <xm:sqref>AF45</xm:sqref>
        </x14:conditionalFormatting>
        <x14:conditionalFormatting xmlns:xm="http://schemas.microsoft.com/office/excel/2006/main">
          <x14:cfRule type="dataBar" id="{A867978E-3438-48BE-87BD-76F6DEF1858F}">
            <x14:dataBar minLength="0" maxLength="100" border="1" negativeBarBorderColorSameAsPositive="0">
              <x14:cfvo type="autoMin"/>
              <x14:cfvo type="autoMax"/>
              <x14:borderColor rgb="FF63C384"/>
              <x14:negativeFillColor rgb="FFFF0000"/>
              <x14:negativeBorderColor rgb="FFFF0000"/>
              <x14:axisColor rgb="FF000000"/>
            </x14:dataBar>
          </x14:cfRule>
          <xm:sqref>AF45</xm:sqref>
        </x14:conditionalFormatting>
        <x14:conditionalFormatting xmlns:xm="http://schemas.microsoft.com/office/excel/2006/main">
          <x14:cfRule type="dataBar" id="{5FF2B715-ED2B-4A25-A643-6B98102240EC}">
            <x14:dataBar minLength="0" maxLength="100" border="1" negativeBarBorderColorSameAsPositive="0">
              <x14:cfvo type="autoMin"/>
              <x14:cfvo type="autoMax"/>
              <x14:borderColor rgb="FF63C384"/>
              <x14:negativeFillColor rgb="FFFF0000"/>
              <x14:negativeBorderColor rgb="FFFF0000"/>
              <x14:axisColor rgb="FF000000"/>
            </x14:dataBar>
          </x14:cfRule>
          <xm:sqref>AF45</xm:sqref>
        </x14:conditionalFormatting>
        <x14:conditionalFormatting xmlns:xm="http://schemas.microsoft.com/office/excel/2006/main">
          <x14:cfRule type="dataBar" id="{20DDB5AC-8E35-4A40-BFF1-408299EDB661}">
            <x14:dataBar minLength="0" maxLength="100" border="1" negativeBarBorderColorSameAsPositive="0">
              <x14:cfvo type="autoMin"/>
              <x14:cfvo type="autoMax"/>
              <x14:borderColor rgb="FF63C384"/>
              <x14:negativeFillColor rgb="FFFF0000"/>
              <x14:negativeBorderColor rgb="FFFF0000"/>
              <x14:axisColor rgb="FF000000"/>
            </x14:dataBar>
          </x14:cfRule>
          <xm:sqref>AF45</xm:sqref>
        </x14:conditionalFormatting>
        <x14:conditionalFormatting xmlns:xm="http://schemas.microsoft.com/office/excel/2006/main">
          <x14:cfRule type="dataBar" id="{F33FBD4F-F1C4-42CF-A468-0742D0706C82}">
            <x14:dataBar minLength="0" maxLength="100" border="1" negativeBarBorderColorSameAsPositive="0">
              <x14:cfvo type="autoMin"/>
              <x14:cfvo type="autoMax"/>
              <x14:borderColor rgb="FF63C384"/>
              <x14:negativeFillColor rgb="FFFF0000"/>
              <x14:negativeBorderColor rgb="FFFF0000"/>
              <x14:axisColor rgb="FF000000"/>
            </x14:dataBar>
          </x14:cfRule>
          <xm:sqref>AF45</xm:sqref>
        </x14:conditionalFormatting>
        <x14:conditionalFormatting xmlns:xm="http://schemas.microsoft.com/office/excel/2006/main">
          <x14:cfRule type="dataBar" id="{83B0BB9B-A1D9-4E88-9B8A-DC36A6A6B65C}">
            <x14:dataBar minLength="0" maxLength="100" border="1" negativeBarBorderColorSameAsPositive="0">
              <x14:cfvo type="autoMin"/>
              <x14:cfvo type="autoMax"/>
              <x14:borderColor rgb="FF63C384"/>
              <x14:negativeFillColor rgb="FFFF0000"/>
              <x14:negativeBorderColor rgb="FFFF0000"/>
              <x14:axisColor rgb="FF000000"/>
            </x14:dataBar>
          </x14:cfRule>
          <xm:sqref>AF45</xm:sqref>
        </x14:conditionalFormatting>
        <x14:conditionalFormatting xmlns:xm="http://schemas.microsoft.com/office/excel/2006/main">
          <x14:cfRule type="dataBar" id="{59A9FEE8-1A65-43C5-AAD0-D65185B0ACEA}">
            <x14:dataBar minLength="0" maxLength="100" border="1" negativeBarBorderColorSameAsPositive="0">
              <x14:cfvo type="autoMin"/>
              <x14:cfvo type="autoMax"/>
              <x14:borderColor rgb="FF63C384"/>
              <x14:negativeFillColor rgb="FFFF0000"/>
              <x14:negativeBorderColor rgb="FFFF0000"/>
              <x14:axisColor rgb="FF000000"/>
            </x14:dataBar>
          </x14:cfRule>
          <xm:sqref>AF44</xm:sqref>
        </x14:conditionalFormatting>
        <x14:conditionalFormatting xmlns:xm="http://schemas.microsoft.com/office/excel/2006/main">
          <x14:cfRule type="dataBar" id="{240BCC27-0D42-4468-BD91-C249ECBA703F}">
            <x14:dataBar minLength="0" maxLength="100" border="1" negativeBarBorderColorSameAsPositive="0">
              <x14:cfvo type="autoMin"/>
              <x14:cfvo type="autoMax"/>
              <x14:borderColor rgb="FF63C384"/>
              <x14:negativeFillColor rgb="FFFF0000"/>
              <x14:negativeBorderColor rgb="FFFF0000"/>
              <x14:axisColor rgb="FF000000"/>
            </x14:dataBar>
          </x14:cfRule>
          <xm:sqref>AF46</xm:sqref>
        </x14:conditionalFormatting>
        <x14:conditionalFormatting xmlns:xm="http://schemas.microsoft.com/office/excel/2006/main">
          <x14:cfRule type="dataBar" id="{228403B7-5398-4904-B90B-37AAA9220EF5}">
            <x14:dataBar minLength="0" maxLength="100" border="1" negativeBarBorderColorSameAsPositive="0">
              <x14:cfvo type="autoMin"/>
              <x14:cfvo type="autoMax"/>
              <x14:borderColor rgb="FF63C384"/>
              <x14:negativeFillColor rgb="FFFF0000"/>
              <x14:negativeBorderColor rgb="FFFF0000"/>
              <x14:axisColor rgb="FF000000"/>
            </x14:dataBar>
          </x14:cfRule>
          <xm:sqref>AF48</xm:sqref>
        </x14:conditionalFormatting>
        <x14:conditionalFormatting xmlns:xm="http://schemas.microsoft.com/office/excel/2006/main">
          <x14:cfRule type="dataBar" id="{97C292BC-2B36-45EE-9E5A-A284447F4CBD}">
            <x14:dataBar minLength="0" maxLength="100" border="1" negativeBarBorderColorSameAsPositive="0">
              <x14:cfvo type="autoMin"/>
              <x14:cfvo type="autoMax"/>
              <x14:borderColor rgb="FF63C384"/>
              <x14:negativeFillColor rgb="FFFF0000"/>
              <x14:negativeBorderColor rgb="FFFF0000"/>
              <x14:axisColor rgb="FF000000"/>
            </x14:dataBar>
          </x14:cfRule>
          <xm:sqref>AF48</xm:sqref>
        </x14:conditionalFormatting>
        <x14:conditionalFormatting xmlns:xm="http://schemas.microsoft.com/office/excel/2006/main">
          <x14:cfRule type="dataBar" id="{8A6FA4F9-E9EE-496E-B1DB-06B7B097E4B3}">
            <x14:dataBar minLength="0" maxLength="100" border="1" negativeBarBorderColorSameAsPositive="0">
              <x14:cfvo type="autoMin"/>
              <x14:cfvo type="autoMax"/>
              <x14:borderColor rgb="FF63C384"/>
              <x14:negativeFillColor rgb="FFFF0000"/>
              <x14:negativeBorderColor rgb="FFFF0000"/>
              <x14:axisColor rgb="FF000000"/>
            </x14:dataBar>
          </x14:cfRule>
          <xm:sqref>AF47</xm:sqref>
        </x14:conditionalFormatting>
        <x14:conditionalFormatting xmlns:xm="http://schemas.microsoft.com/office/excel/2006/main">
          <x14:cfRule type="dataBar" id="{4DD049BA-AFA4-4CFB-B314-262DF6A0EFCB}">
            <x14:dataBar minLength="0" maxLength="100" border="1" negativeBarBorderColorSameAsPositive="0">
              <x14:cfvo type="autoMin"/>
              <x14:cfvo type="autoMax"/>
              <x14:borderColor rgb="FF63C384"/>
              <x14:negativeFillColor rgb="FFFF0000"/>
              <x14:negativeBorderColor rgb="FFFF0000"/>
              <x14:axisColor rgb="FF000000"/>
            </x14:dataBar>
          </x14:cfRule>
          <xm:sqref>AF47</xm:sqref>
        </x14:conditionalFormatting>
        <x14:conditionalFormatting xmlns:xm="http://schemas.microsoft.com/office/excel/2006/main">
          <x14:cfRule type="dataBar" id="{DC7A10FC-8576-42DF-B1B6-952C9A8E4B72}">
            <x14:dataBar minLength="0" maxLength="100" border="1" negativeBarBorderColorSameAsPositive="0">
              <x14:cfvo type="autoMin"/>
              <x14:cfvo type="autoMax"/>
              <x14:borderColor rgb="FF63C384"/>
              <x14:negativeFillColor rgb="FFFF0000"/>
              <x14:negativeBorderColor rgb="FFFF0000"/>
              <x14:axisColor rgb="FF000000"/>
            </x14:dataBar>
          </x14:cfRule>
          <xm:sqref>AF47</xm:sqref>
        </x14:conditionalFormatting>
        <x14:conditionalFormatting xmlns:xm="http://schemas.microsoft.com/office/excel/2006/main">
          <x14:cfRule type="dataBar" id="{A870F50B-49E0-44A2-A007-3ED4C4B5D40E}">
            <x14:dataBar minLength="0" maxLength="100" border="1" negativeBarBorderColorSameAsPositive="0">
              <x14:cfvo type="autoMin"/>
              <x14:cfvo type="autoMax"/>
              <x14:borderColor rgb="FF63C384"/>
              <x14:negativeFillColor rgb="FFFF0000"/>
              <x14:negativeBorderColor rgb="FFFF0000"/>
              <x14:axisColor rgb="FF000000"/>
            </x14:dataBar>
          </x14:cfRule>
          <xm:sqref>AF47</xm:sqref>
        </x14:conditionalFormatting>
        <x14:conditionalFormatting xmlns:xm="http://schemas.microsoft.com/office/excel/2006/main">
          <x14:cfRule type="dataBar" id="{8BBEBA76-2181-42C7-B912-E4EADED0C306}">
            <x14:dataBar minLength="0" maxLength="100" border="1" negativeBarBorderColorSameAsPositive="0">
              <x14:cfvo type="autoMin"/>
              <x14:cfvo type="autoMax"/>
              <x14:borderColor rgb="FF63C384"/>
              <x14:negativeFillColor rgb="FFFF0000"/>
              <x14:negativeBorderColor rgb="FFFF0000"/>
              <x14:axisColor rgb="FF000000"/>
            </x14:dataBar>
          </x14:cfRule>
          <xm:sqref>AF49</xm:sqref>
        </x14:conditionalFormatting>
        <x14:conditionalFormatting xmlns:xm="http://schemas.microsoft.com/office/excel/2006/main">
          <x14:cfRule type="dataBar" id="{6601F3D3-DC3B-468B-A99B-6A2BDD7B1C52}">
            <x14:dataBar minLength="0" maxLength="100" border="1" negativeBarBorderColorSameAsPositive="0">
              <x14:cfvo type="autoMin"/>
              <x14:cfvo type="autoMax"/>
              <x14:borderColor rgb="FF63C384"/>
              <x14:negativeFillColor rgb="FFFF0000"/>
              <x14:negativeBorderColor rgb="FFFF0000"/>
              <x14:axisColor rgb="FF000000"/>
            </x14:dataBar>
          </x14:cfRule>
          <xm:sqref>AF49</xm:sqref>
        </x14:conditionalFormatting>
        <x14:conditionalFormatting xmlns:xm="http://schemas.microsoft.com/office/excel/2006/main">
          <x14:cfRule type="dataBar" id="{6188033A-1067-4136-89AD-383055C035BC}">
            <x14:dataBar minLength="0" maxLength="100" border="1" negativeBarBorderColorSameAsPositive="0">
              <x14:cfvo type="autoMin"/>
              <x14:cfvo type="autoMax"/>
              <x14:borderColor rgb="FF63C384"/>
              <x14:negativeFillColor rgb="FFFF0000"/>
              <x14:negativeBorderColor rgb="FFFF0000"/>
              <x14:axisColor rgb="FF000000"/>
            </x14:dataBar>
          </x14:cfRule>
          <xm:sqref>AF49</xm:sqref>
        </x14:conditionalFormatting>
        <x14:conditionalFormatting xmlns:xm="http://schemas.microsoft.com/office/excel/2006/main">
          <x14:cfRule type="dataBar" id="{0D69C06E-A82E-4F58-AC16-640364C44B33}">
            <x14:dataBar minLength="0" maxLength="100" border="1" negativeBarBorderColorSameAsPositive="0">
              <x14:cfvo type="autoMin"/>
              <x14:cfvo type="autoMax"/>
              <x14:borderColor rgb="FF63C384"/>
              <x14:negativeFillColor rgb="FFFF0000"/>
              <x14:negativeBorderColor rgb="FFFF0000"/>
              <x14:axisColor rgb="FF000000"/>
            </x14:dataBar>
          </x14:cfRule>
          <xm:sqref>AF49</xm:sqref>
        </x14:conditionalFormatting>
        <x14:conditionalFormatting xmlns:xm="http://schemas.microsoft.com/office/excel/2006/main">
          <x14:cfRule type="dataBar" id="{F5D45EB7-C709-451A-A4D8-9A681C413922}">
            <x14:dataBar minLength="0" maxLength="100" border="1" negativeBarBorderColorSameAsPositive="0">
              <x14:cfvo type="autoMin"/>
              <x14:cfvo type="autoMax"/>
              <x14:borderColor rgb="FF63C384"/>
              <x14:negativeFillColor rgb="FFFF0000"/>
              <x14:negativeBorderColor rgb="FFFF0000"/>
              <x14:axisColor rgb="FF000000"/>
            </x14:dataBar>
          </x14:cfRule>
          <xm:sqref>AF52:AF54</xm:sqref>
        </x14:conditionalFormatting>
        <x14:conditionalFormatting xmlns:xm="http://schemas.microsoft.com/office/excel/2006/main">
          <x14:cfRule type="dataBar" id="{E5405ADF-A3AC-48CC-8DCA-FC0AF4164EC2}">
            <x14:dataBar minLength="0" maxLength="100" border="1" negativeBarBorderColorSameAsPositive="0">
              <x14:cfvo type="autoMin"/>
              <x14:cfvo type="autoMax"/>
              <x14:borderColor rgb="FF63C384"/>
              <x14:negativeFillColor rgb="FFFF0000"/>
              <x14:negativeBorderColor rgb="FFFF0000"/>
              <x14:axisColor rgb="FF000000"/>
            </x14:dataBar>
          </x14:cfRule>
          <xm:sqref>AF52:AF54</xm:sqref>
        </x14:conditionalFormatting>
        <x14:conditionalFormatting xmlns:xm="http://schemas.microsoft.com/office/excel/2006/main">
          <x14:cfRule type="dataBar" id="{185E9A93-6FA1-4263-BEFC-F4B096FE0414}">
            <x14:dataBar minLength="0" maxLength="100" border="1" negativeBarBorderColorSameAsPositive="0">
              <x14:cfvo type="autoMin"/>
              <x14:cfvo type="autoMax"/>
              <x14:borderColor rgb="FF63C384"/>
              <x14:negativeFillColor rgb="FFFF0000"/>
              <x14:negativeBorderColor rgb="FFFF0000"/>
              <x14:axisColor rgb="FF000000"/>
            </x14:dataBar>
          </x14:cfRule>
          <xm:sqref>AF50:AF51</xm:sqref>
        </x14:conditionalFormatting>
        <x14:conditionalFormatting xmlns:xm="http://schemas.microsoft.com/office/excel/2006/main">
          <x14:cfRule type="dataBar" id="{1766F3C3-E784-4B30-A5E1-0403AA69D034}">
            <x14:dataBar minLength="0" maxLength="100" border="1" negativeBarBorderColorSameAsPositive="0">
              <x14:cfvo type="autoMin"/>
              <x14:cfvo type="autoMax"/>
              <x14:borderColor rgb="FF63C384"/>
              <x14:negativeFillColor rgb="FFFF0000"/>
              <x14:negativeBorderColor rgb="FFFF0000"/>
              <x14:axisColor rgb="FF000000"/>
            </x14:dataBar>
          </x14:cfRule>
          <xm:sqref>AF56</xm:sqref>
        </x14:conditionalFormatting>
        <x14:conditionalFormatting xmlns:xm="http://schemas.microsoft.com/office/excel/2006/main">
          <x14:cfRule type="dataBar" id="{F31B23FB-1EDE-4664-A675-B8253B24D7C7}">
            <x14:dataBar minLength="0" maxLength="100" border="1" negativeBarBorderColorSameAsPositive="0">
              <x14:cfvo type="autoMin"/>
              <x14:cfvo type="autoMax"/>
              <x14:borderColor rgb="FF63C384"/>
              <x14:negativeFillColor rgb="FFFF0000"/>
              <x14:negativeBorderColor rgb="FFFF0000"/>
              <x14:axisColor rgb="FF000000"/>
            </x14:dataBar>
          </x14:cfRule>
          <xm:sqref>AF56</xm:sqref>
        </x14:conditionalFormatting>
        <x14:conditionalFormatting xmlns:xm="http://schemas.microsoft.com/office/excel/2006/main">
          <x14:cfRule type="dataBar" id="{9B3C9D26-57F2-4A71-BE89-0CB93E14DA69}">
            <x14:dataBar minLength="0" maxLength="100" border="1" negativeBarBorderColorSameAsPositive="0">
              <x14:cfvo type="autoMin"/>
              <x14:cfvo type="autoMax"/>
              <x14:borderColor rgb="FF63C384"/>
              <x14:negativeFillColor rgb="FFFF0000"/>
              <x14:negativeBorderColor rgb="FFFF0000"/>
              <x14:axisColor rgb="FF000000"/>
            </x14:dataBar>
          </x14:cfRule>
          <xm:sqref>AF57</xm:sqref>
        </x14:conditionalFormatting>
        <x14:conditionalFormatting xmlns:xm="http://schemas.microsoft.com/office/excel/2006/main">
          <x14:cfRule type="dataBar" id="{10954BFC-B668-46CD-B543-DD21E9A7F397}">
            <x14:dataBar minLength="0" maxLength="100" border="1" negativeBarBorderColorSameAsPositive="0">
              <x14:cfvo type="autoMin"/>
              <x14:cfvo type="autoMax"/>
              <x14:borderColor rgb="FF63C384"/>
              <x14:negativeFillColor rgb="FFFF0000"/>
              <x14:negativeBorderColor rgb="FFFF0000"/>
              <x14:axisColor rgb="FF000000"/>
            </x14:dataBar>
          </x14:cfRule>
          <xm:sqref>AF57</xm:sqref>
        </x14:conditionalFormatting>
        <x14:conditionalFormatting xmlns:xm="http://schemas.microsoft.com/office/excel/2006/main">
          <x14:cfRule type="dataBar" id="{07B50E44-027E-4E7F-B8F2-BF8EB25DB2EC}">
            <x14:dataBar minLength="0" maxLength="100" border="1" negativeBarBorderColorSameAsPositive="0">
              <x14:cfvo type="autoMin"/>
              <x14:cfvo type="autoMax"/>
              <x14:borderColor rgb="FF63C384"/>
              <x14:negativeFillColor rgb="FFFF0000"/>
              <x14:negativeBorderColor rgb="FFFF0000"/>
              <x14:axisColor rgb="FF000000"/>
            </x14:dataBar>
          </x14:cfRule>
          <xm:sqref>AF57</xm:sqref>
        </x14:conditionalFormatting>
        <x14:conditionalFormatting xmlns:xm="http://schemas.microsoft.com/office/excel/2006/main">
          <x14:cfRule type="dataBar" id="{12C355B6-1E8F-464E-B58B-634D18DF6F30}">
            <x14:dataBar minLength="0" maxLength="100" border="1" negativeBarBorderColorSameAsPositive="0">
              <x14:cfvo type="autoMin"/>
              <x14:cfvo type="autoMax"/>
              <x14:borderColor rgb="FF63C384"/>
              <x14:negativeFillColor rgb="FFFF0000"/>
              <x14:negativeBorderColor rgb="FFFF0000"/>
              <x14:axisColor rgb="FF000000"/>
            </x14:dataBar>
          </x14:cfRule>
          <xm:sqref>AF57</xm:sqref>
        </x14:conditionalFormatting>
        <x14:conditionalFormatting xmlns:xm="http://schemas.microsoft.com/office/excel/2006/main">
          <x14:cfRule type="dataBar" id="{A86B2774-2B3F-482C-B2E8-35A93B6579DC}">
            <x14:dataBar minLength="0" maxLength="100" border="1" negativeBarBorderColorSameAsPositive="0">
              <x14:cfvo type="autoMin"/>
              <x14:cfvo type="autoMax"/>
              <x14:borderColor rgb="FF63C384"/>
              <x14:negativeFillColor rgb="FFFF0000"/>
              <x14:negativeBorderColor rgb="FFFF0000"/>
              <x14:axisColor rgb="FF000000"/>
            </x14:dataBar>
          </x14:cfRule>
          <xm:sqref>AF58</xm:sqref>
        </x14:conditionalFormatting>
        <x14:conditionalFormatting xmlns:xm="http://schemas.microsoft.com/office/excel/2006/main">
          <x14:cfRule type="dataBar" id="{141E14CF-0647-4566-AF6D-0AE6FB22C4C1}">
            <x14:dataBar minLength="0" maxLength="100" border="1" negativeBarBorderColorSameAsPositive="0">
              <x14:cfvo type="autoMin"/>
              <x14:cfvo type="autoMax"/>
              <x14:borderColor rgb="FF63C384"/>
              <x14:negativeFillColor rgb="FFFF0000"/>
              <x14:negativeBorderColor rgb="FFFF0000"/>
              <x14:axisColor rgb="FF000000"/>
            </x14:dataBar>
          </x14:cfRule>
          <xm:sqref>AF58</xm:sqref>
        </x14:conditionalFormatting>
        <x14:conditionalFormatting xmlns:xm="http://schemas.microsoft.com/office/excel/2006/main">
          <x14:cfRule type="dataBar" id="{F830691D-349C-48A8-B10F-8AF956C5D51A}">
            <x14:dataBar minLength="0" maxLength="100" border="1" negativeBarBorderColorSameAsPositive="0">
              <x14:cfvo type="autoMin"/>
              <x14:cfvo type="autoMax"/>
              <x14:borderColor rgb="FF63C384"/>
              <x14:negativeFillColor rgb="FFFF0000"/>
              <x14:negativeBorderColor rgb="FFFF0000"/>
              <x14:axisColor rgb="FF000000"/>
            </x14:dataBar>
          </x14:cfRule>
          <xm:sqref>AF59</xm:sqref>
        </x14:conditionalFormatting>
        <x14:conditionalFormatting xmlns:xm="http://schemas.microsoft.com/office/excel/2006/main">
          <x14:cfRule type="dataBar" id="{506578B2-24B6-4D18-B24B-75CE8C5A72ED}">
            <x14:dataBar minLength="0" maxLength="100" border="1" negativeBarBorderColorSameAsPositive="0">
              <x14:cfvo type="autoMin"/>
              <x14:cfvo type="autoMax"/>
              <x14:borderColor rgb="FF63C384"/>
              <x14:negativeFillColor rgb="FFFF0000"/>
              <x14:negativeBorderColor rgb="FFFF0000"/>
              <x14:axisColor rgb="FF000000"/>
            </x14:dataBar>
          </x14:cfRule>
          <xm:sqref>AF59</xm:sqref>
        </x14:conditionalFormatting>
        <x14:conditionalFormatting xmlns:xm="http://schemas.microsoft.com/office/excel/2006/main">
          <x14:cfRule type="dataBar" id="{7F9B0792-EF68-4844-A793-B086373317F7}">
            <x14:dataBar minLength="0" maxLength="100" border="1" negativeBarBorderColorSameAsPositive="0">
              <x14:cfvo type="autoMin"/>
              <x14:cfvo type="autoMax"/>
              <x14:borderColor rgb="FF63C384"/>
              <x14:negativeFillColor rgb="FFFF0000"/>
              <x14:negativeBorderColor rgb="FFFF0000"/>
              <x14:axisColor rgb="FF000000"/>
            </x14:dataBar>
          </x14:cfRule>
          <xm:sqref>AF60</xm:sqref>
        </x14:conditionalFormatting>
        <x14:conditionalFormatting xmlns:xm="http://schemas.microsoft.com/office/excel/2006/main">
          <x14:cfRule type="dataBar" id="{4205713C-C570-42A9-A940-23B59FCAC1A4}">
            <x14:dataBar minLength="0" maxLength="100" border="1" negativeBarBorderColorSameAsPositive="0">
              <x14:cfvo type="autoMin"/>
              <x14:cfvo type="autoMax"/>
              <x14:borderColor rgb="FF63C384"/>
              <x14:negativeFillColor rgb="FFFF0000"/>
              <x14:negativeBorderColor rgb="FFFF0000"/>
              <x14:axisColor rgb="FF000000"/>
            </x14:dataBar>
          </x14:cfRule>
          <xm:sqref>AF60</xm:sqref>
        </x14:conditionalFormatting>
        <x14:conditionalFormatting xmlns:xm="http://schemas.microsoft.com/office/excel/2006/main">
          <x14:cfRule type="dataBar" id="{1DC5F331-51C2-419A-B2B4-3740963ED30E}">
            <x14:dataBar minLength="0" maxLength="100" border="1" negativeBarBorderColorSameAsPositive="0">
              <x14:cfvo type="autoMin"/>
              <x14:cfvo type="autoMax"/>
              <x14:borderColor rgb="FF63C384"/>
              <x14:negativeFillColor rgb="FFFF0000"/>
              <x14:negativeBorderColor rgb="FFFF0000"/>
              <x14:axisColor rgb="FF000000"/>
            </x14:dataBar>
          </x14:cfRule>
          <xm:sqref>AF61</xm:sqref>
        </x14:conditionalFormatting>
        <x14:conditionalFormatting xmlns:xm="http://schemas.microsoft.com/office/excel/2006/main">
          <x14:cfRule type="dataBar" id="{606C69FA-9C5D-4122-B27E-35CDE7283212}">
            <x14:dataBar minLength="0" maxLength="100" border="1" negativeBarBorderColorSameAsPositive="0">
              <x14:cfvo type="autoMin"/>
              <x14:cfvo type="autoMax"/>
              <x14:borderColor rgb="FF63C384"/>
              <x14:negativeFillColor rgb="FFFF0000"/>
              <x14:negativeBorderColor rgb="FFFF0000"/>
              <x14:axisColor rgb="FF000000"/>
            </x14:dataBar>
          </x14:cfRule>
          <xm:sqref>AF61</xm:sqref>
        </x14:conditionalFormatting>
        <x14:conditionalFormatting xmlns:xm="http://schemas.microsoft.com/office/excel/2006/main">
          <x14:cfRule type="dataBar" id="{5E8E6926-9C76-4D5E-920E-1400025C4CE4}">
            <x14:dataBar minLength="0" maxLength="100" border="1" negativeBarBorderColorSameAsPositive="0">
              <x14:cfvo type="autoMin"/>
              <x14:cfvo type="autoMax"/>
              <x14:borderColor rgb="FF63C384"/>
              <x14:negativeFillColor rgb="FFFF0000"/>
              <x14:negativeBorderColor rgb="FFFF0000"/>
              <x14:axisColor rgb="FF000000"/>
            </x14:dataBar>
          </x14:cfRule>
          <xm:sqref>AF61</xm:sqref>
        </x14:conditionalFormatting>
        <x14:conditionalFormatting xmlns:xm="http://schemas.microsoft.com/office/excel/2006/main">
          <x14:cfRule type="dataBar" id="{083CE433-EDD0-4050-8375-47D2C24843E0}">
            <x14:dataBar minLength="0" maxLength="100" border="1" negativeBarBorderColorSameAsPositive="0">
              <x14:cfvo type="autoMin"/>
              <x14:cfvo type="autoMax"/>
              <x14:borderColor rgb="FF63C384"/>
              <x14:negativeFillColor rgb="FFFF0000"/>
              <x14:negativeBorderColor rgb="FFFF0000"/>
              <x14:axisColor rgb="FF000000"/>
            </x14:dataBar>
          </x14:cfRule>
          <xm:sqref>AF61</xm:sqref>
        </x14:conditionalFormatting>
        <x14:conditionalFormatting xmlns:xm="http://schemas.microsoft.com/office/excel/2006/main">
          <x14:cfRule type="dataBar" id="{15DC970D-3BA9-451F-A2E3-71CA3046AA17}">
            <x14:dataBar minLength="0" maxLength="100" border="1" negativeBarBorderColorSameAsPositive="0">
              <x14:cfvo type="autoMin"/>
              <x14:cfvo type="autoMax"/>
              <x14:borderColor rgb="FF63C384"/>
              <x14:negativeFillColor rgb="FFFF0000"/>
              <x14:negativeBorderColor rgb="FFFF0000"/>
              <x14:axisColor rgb="FF000000"/>
            </x14:dataBar>
          </x14:cfRule>
          <xm:sqref>AF62</xm:sqref>
        </x14:conditionalFormatting>
        <x14:conditionalFormatting xmlns:xm="http://schemas.microsoft.com/office/excel/2006/main">
          <x14:cfRule type="dataBar" id="{6BAA186D-045F-4B5C-92D5-8E701EFB16F7}">
            <x14:dataBar minLength="0" maxLength="100" border="1" negativeBarBorderColorSameAsPositive="0">
              <x14:cfvo type="autoMin"/>
              <x14:cfvo type="autoMax"/>
              <x14:borderColor rgb="FF63C384"/>
              <x14:negativeFillColor rgb="FFFF0000"/>
              <x14:negativeBorderColor rgb="FFFF0000"/>
              <x14:axisColor rgb="FF000000"/>
            </x14:dataBar>
          </x14:cfRule>
          <xm:sqref>AF62</xm:sqref>
        </x14:conditionalFormatting>
        <x14:conditionalFormatting xmlns:xm="http://schemas.microsoft.com/office/excel/2006/main">
          <x14:cfRule type="dataBar" id="{3F5F0754-366E-410F-9B3F-8D60C58B1B51}">
            <x14:dataBar minLength="0" maxLength="100" border="1" negativeBarBorderColorSameAsPositive="0">
              <x14:cfvo type="autoMin"/>
              <x14:cfvo type="autoMax"/>
              <x14:borderColor rgb="FF63C384"/>
              <x14:negativeFillColor rgb="FFFF0000"/>
              <x14:negativeBorderColor rgb="FFFF0000"/>
              <x14:axisColor rgb="FF000000"/>
            </x14:dataBar>
          </x14:cfRule>
          <xm:sqref>AF62</xm:sqref>
        </x14:conditionalFormatting>
        <x14:conditionalFormatting xmlns:xm="http://schemas.microsoft.com/office/excel/2006/main">
          <x14:cfRule type="dataBar" id="{F29D58EE-6307-4143-97E2-D899C2DE0E94}">
            <x14:dataBar minLength="0" maxLength="100" border="1" negativeBarBorderColorSameAsPositive="0">
              <x14:cfvo type="autoMin"/>
              <x14:cfvo type="autoMax"/>
              <x14:borderColor rgb="FF63C384"/>
              <x14:negativeFillColor rgb="FFFF0000"/>
              <x14:negativeBorderColor rgb="FFFF0000"/>
              <x14:axisColor rgb="FF000000"/>
            </x14:dataBar>
          </x14:cfRule>
          <xm:sqref>AF62</xm:sqref>
        </x14:conditionalFormatting>
        <x14:conditionalFormatting xmlns:xm="http://schemas.microsoft.com/office/excel/2006/main">
          <x14:cfRule type="dataBar" id="{33F1132B-D00F-492D-A387-F930DE0D9282}">
            <x14:dataBar minLength="0" maxLength="100" border="1" negativeBarBorderColorSameAsPositive="0">
              <x14:cfvo type="autoMin"/>
              <x14:cfvo type="autoMax"/>
              <x14:borderColor rgb="FF63C384"/>
              <x14:negativeFillColor rgb="FFFF0000"/>
              <x14:negativeBorderColor rgb="FFFF0000"/>
              <x14:axisColor rgb="FF000000"/>
            </x14:dataBar>
          </x14:cfRule>
          <xm:sqref>AF63</xm:sqref>
        </x14:conditionalFormatting>
        <x14:conditionalFormatting xmlns:xm="http://schemas.microsoft.com/office/excel/2006/main">
          <x14:cfRule type="dataBar" id="{7E2BB438-351F-4466-B31F-0230BE71E912}">
            <x14:dataBar minLength="0" maxLength="100" border="1" negativeBarBorderColorSameAsPositive="0">
              <x14:cfvo type="autoMin"/>
              <x14:cfvo type="autoMax"/>
              <x14:borderColor rgb="FF63C384"/>
              <x14:negativeFillColor rgb="FFFF0000"/>
              <x14:negativeBorderColor rgb="FFFF0000"/>
              <x14:axisColor rgb="FF000000"/>
            </x14:dataBar>
          </x14:cfRule>
          <xm:sqref>AF63</xm:sqref>
        </x14:conditionalFormatting>
        <x14:conditionalFormatting xmlns:xm="http://schemas.microsoft.com/office/excel/2006/main">
          <x14:cfRule type="dataBar" id="{06119F19-93EF-4487-B43B-7DC8A3176C73}">
            <x14:dataBar minLength="0" maxLength="100" border="1" negativeBarBorderColorSameAsPositive="0">
              <x14:cfvo type="autoMin"/>
              <x14:cfvo type="autoMax"/>
              <x14:borderColor rgb="FF63C384"/>
              <x14:negativeFillColor rgb="FFFF0000"/>
              <x14:negativeBorderColor rgb="FFFF0000"/>
              <x14:axisColor rgb="FF000000"/>
            </x14:dataBar>
          </x14:cfRule>
          <xm:sqref>AF64</xm:sqref>
        </x14:conditionalFormatting>
        <x14:conditionalFormatting xmlns:xm="http://schemas.microsoft.com/office/excel/2006/main">
          <x14:cfRule type="dataBar" id="{6D1AE963-4510-47F2-9446-301F61D6B40F}">
            <x14:dataBar minLength="0" maxLength="100" border="1" negativeBarBorderColorSameAsPositive="0">
              <x14:cfvo type="autoMin"/>
              <x14:cfvo type="autoMax"/>
              <x14:borderColor rgb="FF63C384"/>
              <x14:negativeFillColor rgb="FFFF0000"/>
              <x14:negativeBorderColor rgb="FFFF0000"/>
              <x14:axisColor rgb="FF000000"/>
            </x14:dataBar>
          </x14:cfRule>
          <xm:sqref>AF64</xm:sqref>
        </x14:conditionalFormatting>
        <x14:conditionalFormatting xmlns:xm="http://schemas.microsoft.com/office/excel/2006/main">
          <x14:cfRule type="dataBar" id="{BB274E9C-163C-4B65-A779-22E8264B7EB1}">
            <x14:dataBar minLength="0" maxLength="100" border="1" negativeBarBorderColorSameAsPositive="0">
              <x14:cfvo type="autoMin"/>
              <x14:cfvo type="autoMax"/>
              <x14:borderColor rgb="FF63C384"/>
              <x14:negativeFillColor rgb="FFFF0000"/>
              <x14:negativeBorderColor rgb="FFFF0000"/>
              <x14:axisColor rgb="FF000000"/>
            </x14:dataBar>
          </x14:cfRule>
          <xm:sqref>AF65:AF66</xm:sqref>
        </x14:conditionalFormatting>
        <x14:conditionalFormatting xmlns:xm="http://schemas.microsoft.com/office/excel/2006/main">
          <x14:cfRule type="dataBar" id="{D5CC9A58-EBBB-4F9B-8E9A-DAA72C7277B0}">
            <x14:dataBar minLength="0" maxLength="100" border="1" negativeBarBorderColorSameAsPositive="0">
              <x14:cfvo type="autoMin"/>
              <x14:cfvo type="autoMax"/>
              <x14:borderColor rgb="FF63C384"/>
              <x14:negativeFillColor rgb="FFFF0000"/>
              <x14:negativeBorderColor rgb="FFFF0000"/>
              <x14:axisColor rgb="FF000000"/>
            </x14:dataBar>
          </x14:cfRule>
          <xm:sqref>AF65:AF66</xm:sqref>
        </x14:conditionalFormatting>
        <x14:conditionalFormatting xmlns:xm="http://schemas.microsoft.com/office/excel/2006/main">
          <x14:cfRule type="dataBar" id="{C84203E1-5E7F-45A8-AED7-68F77BDC5020}">
            <x14:dataBar minLength="0" maxLength="100" border="1" negativeBarBorderColorSameAsPositive="0">
              <x14:cfvo type="autoMin"/>
              <x14:cfvo type="autoMax"/>
              <x14:borderColor rgb="FF63C384"/>
              <x14:negativeFillColor rgb="FFFF0000"/>
              <x14:negativeBorderColor rgb="FFFF0000"/>
              <x14:axisColor rgb="FF000000"/>
            </x14:dataBar>
          </x14:cfRule>
          <xm:sqref>AF67</xm:sqref>
        </x14:conditionalFormatting>
        <x14:conditionalFormatting xmlns:xm="http://schemas.microsoft.com/office/excel/2006/main">
          <x14:cfRule type="dataBar" id="{5E2AC105-49D8-4F24-B2E5-BBA7DCD79E18}">
            <x14:dataBar minLength="0" maxLength="100" border="1" negativeBarBorderColorSameAsPositive="0">
              <x14:cfvo type="autoMin"/>
              <x14:cfvo type="autoMax"/>
              <x14:borderColor rgb="FF63C384"/>
              <x14:negativeFillColor rgb="FFFF0000"/>
              <x14:negativeBorderColor rgb="FFFF0000"/>
              <x14:axisColor rgb="FF000000"/>
            </x14:dataBar>
          </x14:cfRule>
          <xm:sqref>AF67</xm:sqref>
        </x14:conditionalFormatting>
        <x14:conditionalFormatting xmlns:xm="http://schemas.microsoft.com/office/excel/2006/main">
          <x14:cfRule type="dataBar" id="{F65CA3CD-459D-47C0-B3E4-4F19176F9E7B}">
            <x14:dataBar minLength="0" maxLength="100" border="1" negativeBarBorderColorSameAsPositive="0">
              <x14:cfvo type="autoMin"/>
              <x14:cfvo type="autoMax"/>
              <x14:borderColor rgb="FF63C384"/>
              <x14:negativeFillColor rgb="FFFF0000"/>
              <x14:negativeBorderColor rgb="FFFF0000"/>
              <x14:axisColor rgb="FF000000"/>
            </x14:dataBar>
          </x14:cfRule>
          <xm:sqref>AF67</xm:sqref>
        </x14:conditionalFormatting>
        <x14:conditionalFormatting xmlns:xm="http://schemas.microsoft.com/office/excel/2006/main">
          <x14:cfRule type="dataBar" id="{D16D20D0-9B81-4ED0-9351-89DD6C8C9BC0}">
            <x14:dataBar minLength="0" maxLength="100" border="1" negativeBarBorderColorSameAsPositive="0">
              <x14:cfvo type="autoMin"/>
              <x14:cfvo type="autoMax"/>
              <x14:borderColor rgb="FF63C384"/>
              <x14:negativeFillColor rgb="FFFF0000"/>
              <x14:negativeBorderColor rgb="FFFF0000"/>
              <x14:axisColor rgb="FF000000"/>
            </x14:dataBar>
          </x14:cfRule>
          <xm:sqref>AF67</xm:sqref>
        </x14:conditionalFormatting>
        <x14:conditionalFormatting xmlns:xm="http://schemas.microsoft.com/office/excel/2006/main">
          <x14:cfRule type="dataBar" id="{DF0175BA-F4EF-4C85-8703-37F3F9E2711B}">
            <x14:dataBar minLength="0" maxLength="100" border="1" negativeBarBorderColorSameAsPositive="0">
              <x14:cfvo type="autoMin"/>
              <x14:cfvo type="autoMax"/>
              <x14:borderColor rgb="FF63C384"/>
              <x14:negativeFillColor rgb="FFFF0000"/>
              <x14:negativeBorderColor rgb="FFFF0000"/>
              <x14:axisColor rgb="FF000000"/>
            </x14:dataBar>
          </x14:cfRule>
          <xm:sqref>AF67</xm:sqref>
        </x14:conditionalFormatting>
        <x14:conditionalFormatting xmlns:xm="http://schemas.microsoft.com/office/excel/2006/main">
          <x14:cfRule type="dataBar" id="{46FE8940-8B0B-48E7-BB43-D895F90A850C}">
            <x14:dataBar minLength="0" maxLength="100" border="1" negativeBarBorderColorSameAsPositive="0">
              <x14:cfvo type="autoMin"/>
              <x14:cfvo type="autoMax"/>
              <x14:borderColor rgb="FF63C384"/>
              <x14:negativeFillColor rgb="FFFF0000"/>
              <x14:negativeBorderColor rgb="FFFF0000"/>
              <x14:axisColor rgb="FF000000"/>
            </x14:dataBar>
          </x14:cfRule>
          <xm:sqref>AF67</xm:sqref>
        </x14:conditionalFormatting>
        <x14:conditionalFormatting xmlns:xm="http://schemas.microsoft.com/office/excel/2006/main">
          <x14:cfRule type="dataBar" id="{41BB174C-21BA-45B0-997C-0C3F61F6EC76}">
            <x14:dataBar minLength="0" maxLength="100" border="1" negativeBarBorderColorSameAsPositive="0">
              <x14:cfvo type="autoMin"/>
              <x14:cfvo type="autoMax"/>
              <x14:borderColor rgb="FF63C384"/>
              <x14:negativeFillColor rgb="FFFF0000"/>
              <x14:negativeBorderColor rgb="FFFF0000"/>
              <x14:axisColor rgb="FF000000"/>
            </x14:dataBar>
          </x14:cfRule>
          <xm:sqref>AF67</xm:sqref>
        </x14:conditionalFormatting>
        <x14:conditionalFormatting xmlns:xm="http://schemas.microsoft.com/office/excel/2006/main">
          <x14:cfRule type="dataBar" id="{2FF00637-E430-476F-A924-50C1459D0220}">
            <x14:dataBar minLength="0" maxLength="100" border="1" negativeBarBorderColorSameAsPositive="0">
              <x14:cfvo type="autoMin"/>
              <x14:cfvo type="autoMax"/>
              <x14:borderColor rgb="FF63C384"/>
              <x14:negativeFillColor rgb="FFFF0000"/>
              <x14:negativeBorderColor rgb="FFFF0000"/>
              <x14:axisColor rgb="FF000000"/>
            </x14:dataBar>
          </x14:cfRule>
          <xm:sqref>AF67</xm:sqref>
        </x14:conditionalFormatting>
        <x14:conditionalFormatting xmlns:xm="http://schemas.microsoft.com/office/excel/2006/main">
          <x14:cfRule type="dataBar" id="{278A7D6F-C736-4373-9DF1-085531639237}">
            <x14:dataBar minLength="0" maxLength="100" border="1" negativeBarBorderColorSameAsPositive="0">
              <x14:cfvo type="autoMin"/>
              <x14:cfvo type="autoMax"/>
              <x14:borderColor rgb="FF63C384"/>
              <x14:negativeFillColor rgb="FFFF0000"/>
              <x14:negativeBorderColor rgb="FFFF0000"/>
              <x14:axisColor rgb="FF000000"/>
            </x14:dataBar>
          </x14:cfRule>
          <xm:sqref>AF68</xm:sqref>
        </x14:conditionalFormatting>
        <x14:conditionalFormatting xmlns:xm="http://schemas.microsoft.com/office/excel/2006/main">
          <x14:cfRule type="dataBar" id="{7B70D9A1-76EF-445C-BA0D-CE960DBB2712}">
            <x14:dataBar minLength="0" maxLength="100" border="1" negativeBarBorderColorSameAsPositive="0">
              <x14:cfvo type="autoMin"/>
              <x14:cfvo type="autoMax"/>
              <x14:borderColor rgb="FF63C384"/>
              <x14:negativeFillColor rgb="FFFF0000"/>
              <x14:negativeBorderColor rgb="FFFF0000"/>
              <x14:axisColor rgb="FF000000"/>
            </x14:dataBar>
          </x14:cfRule>
          <xm:sqref>AF68</xm:sqref>
        </x14:conditionalFormatting>
        <x14:conditionalFormatting xmlns:xm="http://schemas.microsoft.com/office/excel/2006/main">
          <x14:cfRule type="dataBar" id="{4889D7F4-5BF5-4CCE-9FCA-73D4962C9FF6}">
            <x14:dataBar minLength="0" maxLength="100" border="1" negativeBarBorderColorSameAsPositive="0">
              <x14:cfvo type="autoMin"/>
              <x14:cfvo type="autoMax"/>
              <x14:borderColor rgb="FF63C384"/>
              <x14:negativeFillColor rgb="FFFF0000"/>
              <x14:negativeBorderColor rgb="FFFF0000"/>
              <x14:axisColor rgb="FF000000"/>
            </x14:dataBar>
          </x14:cfRule>
          <xm:sqref>AF69</xm:sqref>
        </x14:conditionalFormatting>
        <x14:conditionalFormatting xmlns:xm="http://schemas.microsoft.com/office/excel/2006/main">
          <x14:cfRule type="dataBar" id="{E0F65430-6605-427C-B79F-1F5A9E2B83F6}">
            <x14:dataBar minLength="0" maxLength="100" border="1" negativeBarBorderColorSameAsPositive="0">
              <x14:cfvo type="autoMin"/>
              <x14:cfvo type="autoMax"/>
              <x14:borderColor rgb="FF63C384"/>
              <x14:negativeFillColor rgb="FFFF0000"/>
              <x14:negativeBorderColor rgb="FFFF0000"/>
              <x14:axisColor rgb="FF000000"/>
            </x14:dataBar>
          </x14:cfRule>
          <xm:sqref>AF70</xm:sqref>
        </x14:conditionalFormatting>
        <x14:conditionalFormatting xmlns:xm="http://schemas.microsoft.com/office/excel/2006/main">
          <x14:cfRule type="dataBar" id="{FE7D1BFF-A740-4F95-9DED-2E4FB01FC9B1}">
            <x14:dataBar minLength="0" maxLength="100" border="1" negativeBarBorderColorSameAsPositive="0">
              <x14:cfvo type="autoMin"/>
              <x14:cfvo type="autoMax"/>
              <x14:borderColor rgb="FF63C384"/>
              <x14:negativeFillColor rgb="FFFF0000"/>
              <x14:negativeBorderColor rgb="FFFF0000"/>
              <x14:axisColor rgb="FF000000"/>
            </x14:dataBar>
          </x14:cfRule>
          <xm:sqref>AF71</xm:sqref>
        </x14:conditionalFormatting>
        <x14:conditionalFormatting xmlns:xm="http://schemas.microsoft.com/office/excel/2006/main">
          <x14:cfRule type="dataBar" id="{A77F482B-7A3A-4F01-A20B-DE5492A582CF}">
            <x14:dataBar minLength="0" maxLength="100" border="1" negativeBarBorderColorSameAsPositive="0">
              <x14:cfvo type="autoMin"/>
              <x14:cfvo type="autoMax"/>
              <x14:borderColor rgb="FF63C384"/>
              <x14:negativeFillColor rgb="FFFF0000"/>
              <x14:negativeBorderColor rgb="FFFF0000"/>
              <x14:axisColor rgb="FF000000"/>
            </x14:dataBar>
          </x14:cfRule>
          <xm:sqref>AF71</xm:sqref>
        </x14:conditionalFormatting>
        <x14:conditionalFormatting xmlns:xm="http://schemas.microsoft.com/office/excel/2006/main">
          <x14:cfRule type="dataBar" id="{4919A1F5-D283-47C7-A8ED-BAA6AAB1DB10}">
            <x14:dataBar minLength="0" maxLength="100" border="1" negativeBarBorderColorSameAsPositive="0">
              <x14:cfvo type="autoMin"/>
              <x14:cfvo type="autoMax"/>
              <x14:borderColor rgb="FF63C384"/>
              <x14:negativeFillColor rgb="FFFF0000"/>
              <x14:negativeBorderColor rgb="FFFF0000"/>
              <x14:axisColor rgb="FF000000"/>
            </x14:dataBar>
          </x14:cfRule>
          <xm:sqref>AF72</xm:sqref>
        </x14:conditionalFormatting>
        <x14:conditionalFormatting xmlns:xm="http://schemas.microsoft.com/office/excel/2006/main">
          <x14:cfRule type="dataBar" id="{D669E2A4-31B6-4E16-9BED-25C03F5B795F}">
            <x14:dataBar minLength="0" maxLength="100" border="1" negativeBarBorderColorSameAsPositive="0">
              <x14:cfvo type="autoMin"/>
              <x14:cfvo type="autoMax"/>
              <x14:borderColor rgb="FF63C384"/>
              <x14:negativeFillColor rgb="FFFF0000"/>
              <x14:negativeBorderColor rgb="FFFF0000"/>
              <x14:axisColor rgb="FF000000"/>
            </x14:dataBar>
          </x14:cfRule>
          <xm:sqref>AF73</xm:sqref>
        </x14:conditionalFormatting>
        <x14:conditionalFormatting xmlns:xm="http://schemas.microsoft.com/office/excel/2006/main">
          <x14:cfRule type="dataBar" id="{0319B5BA-4143-4420-A6A3-45D91E9A9552}">
            <x14:dataBar minLength="0" maxLength="100" border="1" negativeBarBorderColorSameAsPositive="0">
              <x14:cfvo type="autoMin"/>
              <x14:cfvo type="autoMax"/>
              <x14:borderColor rgb="FF63C384"/>
              <x14:negativeFillColor rgb="FFFF0000"/>
              <x14:negativeBorderColor rgb="FFFF0000"/>
              <x14:axisColor rgb="FF000000"/>
            </x14:dataBar>
          </x14:cfRule>
          <xm:sqref>AF73</xm:sqref>
        </x14:conditionalFormatting>
        <x14:conditionalFormatting xmlns:xm="http://schemas.microsoft.com/office/excel/2006/main">
          <x14:cfRule type="dataBar" id="{12328BC2-8BE1-400C-90DF-2F86C2C9241D}">
            <x14:dataBar minLength="0" maxLength="100" border="1" negativeBarBorderColorSameAsPositive="0">
              <x14:cfvo type="autoMin"/>
              <x14:cfvo type="autoMax"/>
              <x14:borderColor rgb="FF63C384"/>
              <x14:negativeFillColor rgb="FFFF0000"/>
              <x14:negativeBorderColor rgb="FFFF0000"/>
              <x14:axisColor rgb="FF000000"/>
            </x14:dataBar>
          </x14:cfRule>
          <xm:sqref>AF74</xm:sqref>
        </x14:conditionalFormatting>
        <x14:conditionalFormatting xmlns:xm="http://schemas.microsoft.com/office/excel/2006/main">
          <x14:cfRule type="dataBar" id="{6DECA690-F1A4-465E-A1FC-A659B3BBE6BA}">
            <x14:dataBar minLength="0" maxLength="100" border="1" negativeBarBorderColorSameAsPositive="0">
              <x14:cfvo type="autoMin"/>
              <x14:cfvo type="autoMax"/>
              <x14:borderColor rgb="FF63C384"/>
              <x14:negativeFillColor rgb="FFFF0000"/>
              <x14:negativeBorderColor rgb="FFFF0000"/>
              <x14:axisColor rgb="FF000000"/>
            </x14:dataBar>
          </x14:cfRule>
          <xm:sqref>AF74</xm:sqref>
        </x14:conditionalFormatting>
        <x14:conditionalFormatting xmlns:xm="http://schemas.microsoft.com/office/excel/2006/main">
          <x14:cfRule type="dataBar" id="{E6651DBF-FD50-4C47-BE91-DF15AC788121}">
            <x14:dataBar minLength="0" maxLength="100" border="1" negativeBarBorderColorSameAsPositive="0">
              <x14:cfvo type="autoMin"/>
              <x14:cfvo type="autoMax"/>
              <x14:borderColor rgb="FF63C384"/>
              <x14:negativeFillColor rgb="FFFF0000"/>
              <x14:negativeBorderColor rgb="FFFF0000"/>
              <x14:axisColor rgb="FF000000"/>
            </x14:dataBar>
          </x14:cfRule>
          <xm:sqref>AF74</xm:sqref>
        </x14:conditionalFormatting>
        <x14:conditionalFormatting xmlns:xm="http://schemas.microsoft.com/office/excel/2006/main">
          <x14:cfRule type="dataBar" id="{2DA84138-3E75-4A74-BF56-D91CD402284C}">
            <x14:dataBar minLength="0" maxLength="100" border="1" negativeBarBorderColorSameAsPositive="0">
              <x14:cfvo type="autoMin"/>
              <x14:cfvo type="autoMax"/>
              <x14:borderColor rgb="FF63C384"/>
              <x14:negativeFillColor rgb="FFFF0000"/>
              <x14:negativeBorderColor rgb="FFFF0000"/>
              <x14:axisColor rgb="FF000000"/>
            </x14:dataBar>
          </x14:cfRule>
          <xm:sqref>AF74</xm:sqref>
        </x14:conditionalFormatting>
        <x14:conditionalFormatting xmlns:xm="http://schemas.microsoft.com/office/excel/2006/main">
          <x14:cfRule type="dataBar" id="{1A022126-0AF9-4239-9E29-CD7212489A34}">
            <x14:dataBar minLength="0" maxLength="100" border="1" negativeBarBorderColorSameAsPositive="0">
              <x14:cfvo type="autoMin"/>
              <x14:cfvo type="autoMax"/>
              <x14:borderColor rgb="FF63C384"/>
              <x14:negativeFillColor rgb="FFFF0000"/>
              <x14:negativeBorderColor rgb="FFFF0000"/>
              <x14:axisColor rgb="FF000000"/>
            </x14:dataBar>
          </x14:cfRule>
          <xm:sqref>AF75</xm:sqref>
        </x14:conditionalFormatting>
        <x14:conditionalFormatting xmlns:xm="http://schemas.microsoft.com/office/excel/2006/main">
          <x14:cfRule type="dataBar" id="{D1EB76B9-C736-4C7A-B7DC-03A3DEC51485}">
            <x14:dataBar minLength="0" maxLength="100" border="1" negativeBarBorderColorSameAsPositive="0">
              <x14:cfvo type="autoMin"/>
              <x14:cfvo type="autoMax"/>
              <x14:borderColor rgb="FF63C384"/>
              <x14:negativeFillColor rgb="FFFF0000"/>
              <x14:negativeBorderColor rgb="FFFF0000"/>
              <x14:axisColor rgb="FF000000"/>
            </x14:dataBar>
          </x14:cfRule>
          <xm:sqref>AF75</xm:sqref>
        </x14:conditionalFormatting>
        <x14:conditionalFormatting xmlns:xm="http://schemas.microsoft.com/office/excel/2006/main">
          <x14:cfRule type="dataBar" id="{E99793CC-6A9B-49C9-AE8A-72BC38C89D04}">
            <x14:dataBar minLength="0" maxLength="100" border="1" negativeBarBorderColorSameAsPositive="0">
              <x14:cfvo type="autoMin"/>
              <x14:cfvo type="autoMax"/>
              <x14:borderColor rgb="FF63C384"/>
              <x14:negativeFillColor rgb="FFFF0000"/>
              <x14:negativeBorderColor rgb="FFFF0000"/>
              <x14:axisColor rgb="FF000000"/>
            </x14:dataBar>
          </x14:cfRule>
          <xm:sqref>AF75</xm:sqref>
        </x14:conditionalFormatting>
        <x14:conditionalFormatting xmlns:xm="http://schemas.microsoft.com/office/excel/2006/main">
          <x14:cfRule type="dataBar" id="{697ECA0A-6FF1-449F-85DA-765F0ED3DE03}">
            <x14:dataBar minLength="0" maxLength="100" border="1" negativeBarBorderColorSameAsPositive="0">
              <x14:cfvo type="autoMin"/>
              <x14:cfvo type="autoMax"/>
              <x14:borderColor rgb="FF63C384"/>
              <x14:negativeFillColor rgb="FFFF0000"/>
              <x14:negativeBorderColor rgb="FFFF0000"/>
              <x14:axisColor rgb="FF000000"/>
            </x14:dataBar>
          </x14:cfRule>
          <xm:sqref>AF75</xm:sqref>
        </x14:conditionalFormatting>
        <x14:conditionalFormatting xmlns:xm="http://schemas.microsoft.com/office/excel/2006/main">
          <x14:cfRule type="dataBar" id="{446327CC-66A1-48CC-9553-53F88E433312}">
            <x14:dataBar minLength="0" maxLength="100" border="1" negativeBarBorderColorSameAsPositive="0">
              <x14:cfvo type="autoMin"/>
              <x14:cfvo type="autoMax"/>
              <x14:borderColor rgb="FF63C384"/>
              <x14:negativeFillColor rgb="FFFF0000"/>
              <x14:negativeBorderColor rgb="FFFF0000"/>
              <x14:axisColor rgb="FF000000"/>
            </x14:dataBar>
          </x14:cfRule>
          <xm:sqref>AF76</xm:sqref>
        </x14:conditionalFormatting>
        <x14:conditionalFormatting xmlns:xm="http://schemas.microsoft.com/office/excel/2006/main">
          <x14:cfRule type="dataBar" id="{70DAC232-52B5-4C63-B26F-7B98A861C6C1}">
            <x14:dataBar minLength="0" maxLength="100" border="1" negativeBarBorderColorSameAsPositive="0">
              <x14:cfvo type="autoMin"/>
              <x14:cfvo type="autoMax"/>
              <x14:borderColor rgb="FF63C384"/>
              <x14:negativeFillColor rgb="FFFF0000"/>
              <x14:negativeBorderColor rgb="FFFF0000"/>
              <x14:axisColor rgb="FF000000"/>
            </x14:dataBar>
          </x14:cfRule>
          <xm:sqref>AF76</xm:sqref>
        </x14:conditionalFormatting>
        <x14:conditionalFormatting xmlns:xm="http://schemas.microsoft.com/office/excel/2006/main">
          <x14:cfRule type="dataBar" id="{C1AB0944-A032-4369-AFB5-B142277BA8DB}">
            <x14:dataBar minLength="0" maxLength="100" border="1" negativeBarBorderColorSameAsPositive="0">
              <x14:cfvo type="autoMin"/>
              <x14:cfvo type="autoMax"/>
              <x14:borderColor rgb="FF63C384"/>
              <x14:negativeFillColor rgb="FFFF0000"/>
              <x14:negativeBorderColor rgb="FFFF0000"/>
              <x14:axisColor rgb="FF000000"/>
            </x14:dataBar>
          </x14:cfRule>
          <xm:sqref>AF77</xm:sqref>
        </x14:conditionalFormatting>
        <x14:conditionalFormatting xmlns:xm="http://schemas.microsoft.com/office/excel/2006/main">
          <x14:cfRule type="dataBar" id="{E353704E-2A14-498F-845A-C80CEFCD8133}">
            <x14:dataBar minLength="0" maxLength="100" border="1" negativeBarBorderColorSameAsPositive="0">
              <x14:cfvo type="autoMin"/>
              <x14:cfvo type="autoMax"/>
              <x14:borderColor rgb="FF63C384"/>
              <x14:negativeFillColor rgb="FFFF0000"/>
              <x14:negativeBorderColor rgb="FFFF0000"/>
              <x14:axisColor rgb="FF000000"/>
            </x14:dataBar>
          </x14:cfRule>
          <xm:sqref>AF77</xm:sqref>
        </x14:conditionalFormatting>
        <x14:conditionalFormatting xmlns:xm="http://schemas.microsoft.com/office/excel/2006/main">
          <x14:cfRule type="dataBar" id="{7C002325-5BA8-43F0-BB00-8573CED63E72}">
            <x14:dataBar minLength="0" maxLength="100" border="1" negativeBarBorderColorSameAsPositive="0">
              <x14:cfvo type="autoMin"/>
              <x14:cfvo type="autoMax"/>
              <x14:borderColor rgb="FF63C384"/>
              <x14:negativeFillColor rgb="FFFF0000"/>
              <x14:negativeBorderColor rgb="FFFF0000"/>
              <x14:axisColor rgb="FF000000"/>
            </x14:dataBar>
          </x14:cfRule>
          <xm:sqref>AF77</xm:sqref>
        </x14:conditionalFormatting>
        <x14:conditionalFormatting xmlns:xm="http://schemas.microsoft.com/office/excel/2006/main">
          <x14:cfRule type="dataBar" id="{44EA32B1-3203-444E-89F7-5B6E977C4C68}">
            <x14:dataBar minLength="0" maxLength="100" border="1" negativeBarBorderColorSameAsPositive="0">
              <x14:cfvo type="autoMin"/>
              <x14:cfvo type="autoMax"/>
              <x14:borderColor rgb="FF63C384"/>
              <x14:negativeFillColor rgb="FFFF0000"/>
              <x14:negativeBorderColor rgb="FFFF0000"/>
              <x14:axisColor rgb="FF000000"/>
            </x14:dataBar>
          </x14:cfRule>
          <xm:sqref>AF77</xm:sqref>
        </x14:conditionalFormatting>
        <x14:conditionalFormatting xmlns:xm="http://schemas.microsoft.com/office/excel/2006/main">
          <x14:cfRule type="dataBar" id="{66C3D6A2-1F94-410A-972A-6FC325A37BBE}">
            <x14:dataBar minLength="0" maxLength="100" border="1" negativeBarBorderColorSameAsPositive="0">
              <x14:cfvo type="autoMin"/>
              <x14:cfvo type="autoMax"/>
              <x14:borderColor rgb="FF63C384"/>
              <x14:negativeFillColor rgb="FFFF0000"/>
              <x14:negativeBorderColor rgb="FFFF0000"/>
              <x14:axisColor rgb="FF000000"/>
            </x14:dataBar>
          </x14:cfRule>
          <xm:sqref>AF78</xm:sqref>
        </x14:conditionalFormatting>
        <x14:conditionalFormatting xmlns:xm="http://schemas.microsoft.com/office/excel/2006/main">
          <x14:cfRule type="dataBar" id="{1D269B25-8226-43DB-8615-1F39BE4F4CFF}">
            <x14:dataBar minLength="0" maxLength="100" border="1" negativeBarBorderColorSameAsPositive="0">
              <x14:cfvo type="autoMin"/>
              <x14:cfvo type="autoMax"/>
              <x14:borderColor rgb="FF63C384"/>
              <x14:negativeFillColor rgb="FFFF0000"/>
              <x14:negativeBorderColor rgb="FFFF0000"/>
              <x14:axisColor rgb="FF000000"/>
            </x14:dataBar>
          </x14:cfRule>
          <xm:sqref>AF78</xm:sqref>
        </x14:conditionalFormatting>
        <x14:conditionalFormatting xmlns:xm="http://schemas.microsoft.com/office/excel/2006/main">
          <x14:cfRule type="dataBar" id="{80BE76D4-220B-4502-81EA-EF869E395831}">
            <x14:dataBar minLength="0" maxLength="100" border="1" negativeBarBorderColorSameAsPositive="0">
              <x14:cfvo type="autoMin"/>
              <x14:cfvo type="autoMax"/>
              <x14:borderColor rgb="FF63C384"/>
              <x14:negativeFillColor rgb="FFFF0000"/>
              <x14:negativeBorderColor rgb="FFFF0000"/>
              <x14:axisColor rgb="FF000000"/>
            </x14:dataBar>
          </x14:cfRule>
          <xm:sqref>AF79</xm:sqref>
        </x14:conditionalFormatting>
        <x14:conditionalFormatting xmlns:xm="http://schemas.microsoft.com/office/excel/2006/main">
          <x14:cfRule type="dataBar" id="{D030C0E2-EDBE-4E08-BAF0-97EEB61DBC8E}">
            <x14:dataBar minLength="0" maxLength="100" border="1" negativeBarBorderColorSameAsPositive="0">
              <x14:cfvo type="autoMin"/>
              <x14:cfvo type="autoMax"/>
              <x14:borderColor rgb="FF63C384"/>
              <x14:negativeFillColor rgb="FFFF0000"/>
              <x14:negativeBorderColor rgb="FFFF0000"/>
              <x14:axisColor rgb="FF000000"/>
            </x14:dataBar>
          </x14:cfRule>
          <xm:sqref>AF79</xm:sqref>
        </x14:conditionalFormatting>
        <x14:conditionalFormatting xmlns:xm="http://schemas.microsoft.com/office/excel/2006/main">
          <x14:cfRule type="dataBar" id="{33014992-C7AF-4859-BAE4-A522ECAE81C2}">
            <x14:dataBar minLength="0" maxLength="100" border="1" negativeBarBorderColorSameAsPositive="0">
              <x14:cfvo type="autoMin"/>
              <x14:cfvo type="autoMax"/>
              <x14:borderColor rgb="FF63C384"/>
              <x14:negativeFillColor rgb="FFFF0000"/>
              <x14:negativeBorderColor rgb="FFFF0000"/>
              <x14:axisColor rgb="FF000000"/>
            </x14:dataBar>
          </x14:cfRule>
          <xm:sqref>AF80</xm:sqref>
        </x14:conditionalFormatting>
        <x14:conditionalFormatting xmlns:xm="http://schemas.microsoft.com/office/excel/2006/main">
          <x14:cfRule type="dataBar" id="{F25EE109-6FB5-4D20-9D56-1E4112720B4D}">
            <x14:dataBar minLength="0" maxLength="100" border="1" negativeBarBorderColorSameAsPositive="0">
              <x14:cfvo type="autoMin"/>
              <x14:cfvo type="autoMax"/>
              <x14:borderColor rgb="FF63C384"/>
              <x14:negativeFillColor rgb="FFFF0000"/>
              <x14:negativeBorderColor rgb="FFFF0000"/>
              <x14:axisColor rgb="FF000000"/>
            </x14:dataBar>
          </x14:cfRule>
          <xm:sqref>AF80</xm:sqref>
        </x14:conditionalFormatting>
        <x14:conditionalFormatting xmlns:xm="http://schemas.microsoft.com/office/excel/2006/main">
          <x14:cfRule type="dataBar" id="{E0423D94-09AD-40C2-BD07-06A73E675ED5}">
            <x14:dataBar minLength="0" maxLength="100" border="1" negativeBarBorderColorSameAsPositive="0">
              <x14:cfvo type="autoMin"/>
              <x14:cfvo type="autoMax"/>
              <x14:borderColor rgb="FF63C384"/>
              <x14:negativeFillColor rgb="FFFF0000"/>
              <x14:negativeBorderColor rgb="FFFF0000"/>
              <x14:axisColor rgb="FF000000"/>
            </x14:dataBar>
          </x14:cfRule>
          <xm:sqref>AF81</xm:sqref>
        </x14:conditionalFormatting>
        <x14:conditionalFormatting xmlns:xm="http://schemas.microsoft.com/office/excel/2006/main">
          <x14:cfRule type="dataBar" id="{E2EF15B9-5DC1-4736-9254-A854E9B81E72}">
            <x14:dataBar minLength="0" maxLength="100" border="1" negativeBarBorderColorSameAsPositive="0">
              <x14:cfvo type="autoMin"/>
              <x14:cfvo type="autoMax"/>
              <x14:borderColor rgb="FF63C384"/>
              <x14:negativeFillColor rgb="FFFF0000"/>
              <x14:negativeBorderColor rgb="FFFF0000"/>
              <x14:axisColor rgb="FF000000"/>
            </x14:dataBar>
          </x14:cfRule>
          <xm:sqref>AF81</xm:sqref>
        </x14:conditionalFormatting>
        <x14:conditionalFormatting xmlns:xm="http://schemas.microsoft.com/office/excel/2006/main">
          <x14:cfRule type="dataBar" id="{5C1D3C57-069D-4803-BFBE-90726454417E}">
            <x14:dataBar minLength="0" maxLength="100" border="1" negativeBarBorderColorSameAsPositive="0">
              <x14:cfvo type="autoMin"/>
              <x14:cfvo type="autoMax"/>
              <x14:borderColor rgb="FF63C384"/>
              <x14:negativeFillColor rgb="FFFF0000"/>
              <x14:negativeBorderColor rgb="FFFF0000"/>
              <x14:axisColor rgb="FF000000"/>
            </x14:dataBar>
          </x14:cfRule>
          <xm:sqref>AF82</xm:sqref>
        </x14:conditionalFormatting>
        <x14:conditionalFormatting xmlns:xm="http://schemas.microsoft.com/office/excel/2006/main">
          <x14:cfRule type="dataBar" id="{06438D3A-0B40-4F9A-ABC0-4BC6C042B8EB}">
            <x14:dataBar minLength="0" maxLength="100" border="1" negativeBarBorderColorSameAsPositive="0">
              <x14:cfvo type="autoMin"/>
              <x14:cfvo type="autoMax"/>
              <x14:borderColor rgb="FF63C384"/>
              <x14:negativeFillColor rgb="FFFF0000"/>
              <x14:negativeBorderColor rgb="FFFF0000"/>
              <x14:axisColor rgb="FF000000"/>
            </x14:dataBar>
          </x14:cfRule>
          <xm:sqref>AF82</xm:sqref>
        </x14:conditionalFormatting>
        <x14:conditionalFormatting xmlns:xm="http://schemas.microsoft.com/office/excel/2006/main">
          <x14:cfRule type="dataBar" id="{6AEB3A80-2426-4379-81FE-CF3C9DAFC2CA}">
            <x14:dataBar minLength="0" maxLength="100" border="1" negativeBarBorderColorSameAsPositive="0">
              <x14:cfvo type="autoMin"/>
              <x14:cfvo type="autoMax"/>
              <x14:borderColor rgb="FF63C384"/>
              <x14:negativeFillColor rgb="FFFF0000"/>
              <x14:negativeBorderColor rgb="FFFF0000"/>
              <x14:axisColor rgb="FF000000"/>
            </x14:dataBar>
          </x14:cfRule>
          <xm:sqref>AF83</xm:sqref>
        </x14:conditionalFormatting>
        <x14:conditionalFormatting xmlns:xm="http://schemas.microsoft.com/office/excel/2006/main">
          <x14:cfRule type="dataBar" id="{8EBA57ED-D24D-4FD7-A1E5-C93CD4F06CF7}">
            <x14:dataBar minLength="0" maxLength="100" border="1" negativeBarBorderColorSameAsPositive="0">
              <x14:cfvo type="autoMin"/>
              <x14:cfvo type="autoMax"/>
              <x14:borderColor rgb="FF63C384"/>
              <x14:negativeFillColor rgb="FFFF0000"/>
              <x14:negativeBorderColor rgb="FFFF0000"/>
              <x14:axisColor rgb="FF000000"/>
            </x14:dataBar>
          </x14:cfRule>
          <xm:sqref>AF83</xm:sqref>
        </x14:conditionalFormatting>
        <x14:conditionalFormatting xmlns:xm="http://schemas.microsoft.com/office/excel/2006/main">
          <x14:cfRule type="dataBar" id="{8F26F9AA-B9FB-4C9F-A933-A659A7E104DB}">
            <x14:dataBar minLength="0" maxLength="100" border="1" negativeBarBorderColorSameAsPositive="0">
              <x14:cfvo type="autoMin"/>
              <x14:cfvo type="autoMax"/>
              <x14:borderColor rgb="FF63C384"/>
              <x14:negativeFillColor rgb="FFFF0000"/>
              <x14:negativeBorderColor rgb="FFFF0000"/>
              <x14:axisColor rgb="FF000000"/>
            </x14:dataBar>
          </x14:cfRule>
          <xm:sqref>AF83</xm:sqref>
        </x14:conditionalFormatting>
        <x14:conditionalFormatting xmlns:xm="http://schemas.microsoft.com/office/excel/2006/main">
          <x14:cfRule type="dataBar" id="{BBEA9CC1-CF5E-4C28-BDA6-7ED302641D62}">
            <x14:dataBar minLength="0" maxLength="100" border="1" negativeBarBorderColorSameAsPositive="0">
              <x14:cfvo type="autoMin"/>
              <x14:cfvo type="autoMax"/>
              <x14:borderColor rgb="FF63C384"/>
              <x14:negativeFillColor rgb="FFFF0000"/>
              <x14:negativeBorderColor rgb="FFFF0000"/>
              <x14:axisColor rgb="FF000000"/>
            </x14:dataBar>
          </x14:cfRule>
          <xm:sqref>AF83</xm:sqref>
        </x14:conditionalFormatting>
        <x14:conditionalFormatting xmlns:xm="http://schemas.microsoft.com/office/excel/2006/main">
          <x14:cfRule type="dataBar" id="{7FF05CBA-2868-42AB-8045-A83864300474}">
            <x14:dataBar minLength="0" maxLength="100" border="1" negativeBarBorderColorSameAsPositive="0">
              <x14:cfvo type="autoMin"/>
              <x14:cfvo type="autoMax"/>
              <x14:borderColor rgb="FF63C384"/>
              <x14:negativeFillColor rgb="FFFF0000"/>
              <x14:negativeBorderColor rgb="FFFF0000"/>
              <x14:axisColor rgb="FF000000"/>
            </x14:dataBar>
          </x14:cfRule>
          <xm:sqref>AF83</xm:sqref>
        </x14:conditionalFormatting>
        <x14:conditionalFormatting xmlns:xm="http://schemas.microsoft.com/office/excel/2006/main">
          <x14:cfRule type="dataBar" id="{1B8CFE18-A873-49C2-8730-BC5B298587DE}">
            <x14:dataBar minLength="0" maxLength="100" border="1" negativeBarBorderColorSameAsPositive="0">
              <x14:cfvo type="autoMin"/>
              <x14:cfvo type="autoMax"/>
              <x14:borderColor rgb="FF63C384"/>
              <x14:negativeFillColor rgb="FFFF0000"/>
              <x14:negativeBorderColor rgb="FFFF0000"/>
              <x14:axisColor rgb="FF000000"/>
            </x14:dataBar>
          </x14:cfRule>
          <xm:sqref>AF83</xm:sqref>
        </x14:conditionalFormatting>
        <x14:conditionalFormatting xmlns:xm="http://schemas.microsoft.com/office/excel/2006/main">
          <x14:cfRule type="dataBar" id="{9FBC9C62-3C79-41B6-8065-F2C8FD5A68BC}">
            <x14:dataBar minLength="0" maxLength="100" border="1" negativeBarBorderColorSameAsPositive="0">
              <x14:cfvo type="autoMin"/>
              <x14:cfvo type="autoMax"/>
              <x14:borderColor rgb="FF63C384"/>
              <x14:negativeFillColor rgb="FFFF0000"/>
              <x14:negativeBorderColor rgb="FFFF0000"/>
              <x14:axisColor rgb="FF000000"/>
            </x14:dataBar>
          </x14:cfRule>
          <xm:sqref>AF83</xm:sqref>
        </x14:conditionalFormatting>
        <x14:conditionalFormatting xmlns:xm="http://schemas.microsoft.com/office/excel/2006/main">
          <x14:cfRule type="dataBar" id="{E689A109-81D4-41FD-A34C-0C22ECF9E470}">
            <x14:dataBar minLength="0" maxLength="100" border="1" negativeBarBorderColorSameAsPositive="0">
              <x14:cfvo type="autoMin"/>
              <x14:cfvo type="autoMax"/>
              <x14:borderColor rgb="FF63C384"/>
              <x14:negativeFillColor rgb="FFFF0000"/>
              <x14:negativeBorderColor rgb="FFFF0000"/>
              <x14:axisColor rgb="FF000000"/>
            </x14:dataBar>
          </x14:cfRule>
          <xm:sqref>AF83</xm:sqref>
        </x14:conditionalFormatting>
        <x14:conditionalFormatting xmlns:xm="http://schemas.microsoft.com/office/excel/2006/main">
          <x14:cfRule type="dataBar" id="{D8C98E2E-C1EB-44F6-A5C8-09694AC4E999}">
            <x14:dataBar minLength="0" maxLength="100" border="1" negativeBarBorderColorSameAsPositive="0">
              <x14:cfvo type="autoMin"/>
              <x14:cfvo type="autoMax"/>
              <x14:borderColor rgb="FF63C384"/>
              <x14:negativeFillColor rgb="FFFF0000"/>
              <x14:negativeBorderColor rgb="FFFF0000"/>
              <x14:axisColor rgb="FF000000"/>
            </x14:dataBar>
          </x14:cfRule>
          <xm:sqref>AF84:AF85</xm:sqref>
        </x14:conditionalFormatting>
        <x14:conditionalFormatting xmlns:xm="http://schemas.microsoft.com/office/excel/2006/main">
          <x14:cfRule type="dataBar" id="{29B9382D-687A-4A50-AA98-7A2BC3B0013A}">
            <x14:dataBar minLength="0" maxLength="100" border="1" negativeBarBorderColorSameAsPositive="0">
              <x14:cfvo type="autoMin"/>
              <x14:cfvo type="autoMax"/>
              <x14:borderColor rgb="FF63C384"/>
              <x14:negativeFillColor rgb="FFFF0000"/>
              <x14:negativeBorderColor rgb="FFFF0000"/>
              <x14:axisColor rgb="FF000000"/>
            </x14:dataBar>
          </x14:cfRule>
          <xm:sqref>AF86</xm:sqref>
        </x14:conditionalFormatting>
        <x14:conditionalFormatting xmlns:xm="http://schemas.microsoft.com/office/excel/2006/main">
          <x14:cfRule type="dataBar" id="{2C5A67CC-01DD-4F41-96A0-A4DE8CF2458D}">
            <x14:dataBar minLength="0" maxLength="100" border="1" negativeBarBorderColorSameAsPositive="0">
              <x14:cfvo type="autoMin"/>
              <x14:cfvo type="autoMax"/>
              <x14:borderColor rgb="FF63C384"/>
              <x14:negativeFillColor rgb="FFFF0000"/>
              <x14:negativeBorderColor rgb="FFFF0000"/>
              <x14:axisColor rgb="FF000000"/>
            </x14:dataBar>
          </x14:cfRule>
          <xm:sqref>AF86</xm:sqref>
        </x14:conditionalFormatting>
        <x14:conditionalFormatting xmlns:xm="http://schemas.microsoft.com/office/excel/2006/main">
          <x14:cfRule type="dataBar" id="{9E39AC47-8E31-4922-BCAD-8079966AC5D7}">
            <x14:dataBar minLength="0" maxLength="100" border="1" negativeBarBorderColorSameAsPositive="0">
              <x14:cfvo type="autoMin"/>
              <x14:cfvo type="autoMax"/>
              <x14:borderColor rgb="FF63C384"/>
              <x14:negativeFillColor rgb="FFFF0000"/>
              <x14:negativeBorderColor rgb="FFFF0000"/>
              <x14:axisColor rgb="FF000000"/>
            </x14:dataBar>
          </x14:cfRule>
          <xm:sqref>AF87</xm:sqref>
        </x14:conditionalFormatting>
        <x14:conditionalFormatting xmlns:xm="http://schemas.microsoft.com/office/excel/2006/main">
          <x14:cfRule type="dataBar" id="{998A06E2-02CA-4333-BE21-67CE81A08B61}">
            <x14:dataBar minLength="0" maxLength="100" border="1" negativeBarBorderColorSameAsPositive="0">
              <x14:cfvo type="autoMin"/>
              <x14:cfvo type="autoMax"/>
              <x14:borderColor rgb="FF63C384"/>
              <x14:negativeFillColor rgb="FFFF0000"/>
              <x14:negativeBorderColor rgb="FFFF0000"/>
              <x14:axisColor rgb="FF000000"/>
            </x14:dataBar>
          </x14:cfRule>
          <xm:sqref>AF87</xm:sqref>
        </x14:conditionalFormatting>
        <x14:conditionalFormatting xmlns:xm="http://schemas.microsoft.com/office/excel/2006/main">
          <x14:cfRule type="dataBar" id="{0221BDB1-AD3C-4C0E-8541-F69C528B2F60}">
            <x14:dataBar minLength="0" maxLength="100" border="1" negativeBarBorderColorSameAsPositive="0">
              <x14:cfvo type="autoMin"/>
              <x14:cfvo type="autoMax"/>
              <x14:borderColor rgb="FF63C384"/>
              <x14:negativeFillColor rgb="FFFF0000"/>
              <x14:negativeBorderColor rgb="FFFF0000"/>
              <x14:axisColor rgb="FF000000"/>
            </x14:dataBar>
          </x14:cfRule>
          <xm:sqref>AF87</xm:sqref>
        </x14:conditionalFormatting>
        <x14:conditionalFormatting xmlns:xm="http://schemas.microsoft.com/office/excel/2006/main">
          <x14:cfRule type="dataBar" id="{712EBC61-F691-490F-AA43-19B3349176B7}">
            <x14:dataBar minLength="0" maxLength="100" border="1" negativeBarBorderColorSameAsPositive="0">
              <x14:cfvo type="autoMin"/>
              <x14:cfvo type="autoMax"/>
              <x14:borderColor rgb="FF63C384"/>
              <x14:negativeFillColor rgb="FFFF0000"/>
              <x14:negativeBorderColor rgb="FFFF0000"/>
              <x14:axisColor rgb="FF000000"/>
            </x14:dataBar>
          </x14:cfRule>
          <xm:sqref>AF87</xm:sqref>
        </x14:conditionalFormatting>
        <x14:conditionalFormatting xmlns:xm="http://schemas.microsoft.com/office/excel/2006/main">
          <x14:cfRule type="dataBar" id="{D40153A0-2EBA-4EE6-896A-B53718532A39}">
            <x14:dataBar minLength="0" maxLength="100" border="1" negativeBarBorderColorSameAsPositive="0">
              <x14:cfvo type="autoMin"/>
              <x14:cfvo type="autoMax"/>
              <x14:borderColor rgb="FF63C384"/>
              <x14:negativeFillColor rgb="FFFF0000"/>
              <x14:negativeBorderColor rgb="FFFF0000"/>
              <x14:axisColor rgb="FF000000"/>
            </x14:dataBar>
          </x14:cfRule>
          <xm:sqref>AF88</xm:sqref>
        </x14:conditionalFormatting>
        <x14:conditionalFormatting xmlns:xm="http://schemas.microsoft.com/office/excel/2006/main">
          <x14:cfRule type="dataBar" id="{F5E6E9A6-5A46-40A5-A06D-4A276FBFC63C}">
            <x14:dataBar minLength="0" maxLength="100" border="1" negativeBarBorderColorSameAsPositive="0">
              <x14:cfvo type="autoMin"/>
              <x14:cfvo type="autoMax"/>
              <x14:borderColor rgb="FF63C384"/>
              <x14:negativeFillColor rgb="FFFF0000"/>
              <x14:negativeBorderColor rgb="FFFF0000"/>
              <x14:axisColor rgb="FF000000"/>
            </x14:dataBar>
          </x14:cfRule>
          <xm:sqref>AF88</xm:sqref>
        </x14:conditionalFormatting>
        <x14:conditionalFormatting xmlns:xm="http://schemas.microsoft.com/office/excel/2006/main">
          <x14:cfRule type="dataBar" id="{323A7F70-69CA-40C8-9A18-7213B044242E}">
            <x14:dataBar minLength="0" maxLength="100" border="1" negativeBarBorderColorSameAsPositive="0">
              <x14:cfvo type="autoMin"/>
              <x14:cfvo type="autoMax"/>
              <x14:borderColor rgb="FF63C384"/>
              <x14:negativeFillColor rgb="FFFF0000"/>
              <x14:negativeBorderColor rgb="FFFF0000"/>
              <x14:axisColor rgb="FF000000"/>
            </x14:dataBar>
          </x14:cfRule>
          <xm:sqref>AF88</xm:sqref>
        </x14:conditionalFormatting>
        <x14:conditionalFormatting xmlns:xm="http://schemas.microsoft.com/office/excel/2006/main">
          <x14:cfRule type="dataBar" id="{34BB1F40-09A2-4242-A7D7-DEC1839AB436}">
            <x14:dataBar minLength="0" maxLength="100" border="1" negativeBarBorderColorSameAsPositive="0">
              <x14:cfvo type="autoMin"/>
              <x14:cfvo type="autoMax"/>
              <x14:borderColor rgb="FF63C384"/>
              <x14:negativeFillColor rgb="FFFF0000"/>
              <x14:negativeBorderColor rgb="FFFF0000"/>
              <x14:axisColor rgb="FF000000"/>
            </x14:dataBar>
          </x14:cfRule>
          <xm:sqref>AF88</xm:sqref>
        </x14:conditionalFormatting>
        <x14:conditionalFormatting xmlns:xm="http://schemas.microsoft.com/office/excel/2006/main">
          <x14:cfRule type="dataBar" id="{16958C3A-6439-4A18-AC2B-1BCDBC6F987F}">
            <x14:dataBar minLength="0" maxLength="100" border="1" negativeBarBorderColorSameAsPositive="0">
              <x14:cfvo type="autoMin"/>
              <x14:cfvo type="autoMax"/>
              <x14:borderColor rgb="FF63C384"/>
              <x14:negativeFillColor rgb="FFFF0000"/>
              <x14:negativeBorderColor rgb="FFFF0000"/>
              <x14:axisColor rgb="FF000000"/>
            </x14:dataBar>
          </x14:cfRule>
          <xm:sqref>AF89</xm:sqref>
        </x14:conditionalFormatting>
        <x14:conditionalFormatting xmlns:xm="http://schemas.microsoft.com/office/excel/2006/main">
          <x14:cfRule type="dataBar" id="{F004E382-AA83-4976-AC45-A857D9124D6C}">
            <x14:dataBar minLength="0" maxLength="100" border="1" negativeBarBorderColorSameAsPositive="0">
              <x14:cfvo type="autoMin"/>
              <x14:cfvo type="autoMax"/>
              <x14:borderColor rgb="FF63C384"/>
              <x14:negativeFillColor rgb="FFFF0000"/>
              <x14:negativeBorderColor rgb="FFFF0000"/>
              <x14:axisColor rgb="FF000000"/>
            </x14:dataBar>
          </x14:cfRule>
          <xm:sqref>AF90</xm:sqref>
        </x14:conditionalFormatting>
        <x14:conditionalFormatting xmlns:xm="http://schemas.microsoft.com/office/excel/2006/main">
          <x14:cfRule type="dataBar" id="{FB313B35-62A8-4ADD-BBEB-96D01454FBFF}">
            <x14:dataBar minLength="0" maxLength="100" border="1" negativeBarBorderColorSameAsPositive="0">
              <x14:cfvo type="autoMin"/>
              <x14:cfvo type="autoMax"/>
              <x14:borderColor rgb="FF63C384"/>
              <x14:negativeFillColor rgb="FFFF0000"/>
              <x14:negativeBorderColor rgb="FFFF0000"/>
              <x14:axisColor rgb="FF000000"/>
            </x14:dataBar>
          </x14:cfRule>
          <xm:sqref>AF91</xm:sqref>
        </x14:conditionalFormatting>
        <x14:conditionalFormatting xmlns:xm="http://schemas.microsoft.com/office/excel/2006/main">
          <x14:cfRule type="dataBar" id="{9316EFC7-D911-483D-A018-CF884A78D516}">
            <x14:dataBar minLength="0" maxLength="100" border="1" negativeBarBorderColorSameAsPositive="0">
              <x14:cfvo type="autoMin"/>
              <x14:cfvo type="autoMax"/>
              <x14:borderColor rgb="FF63C384"/>
              <x14:negativeFillColor rgb="FFFF0000"/>
              <x14:negativeBorderColor rgb="FFFF0000"/>
              <x14:axisColor rgb="FF000000"/>
            </x14:dataBar>
          </x14:cfRule>
          <xm:sqref>AF91</xm:sqref>
        </x14:conditionalFormatting>
        <x14:conditionalFormatting xmlns:xm="http://schemas.microsoft.com/office/excel/2006/main">
          <x14:cfRule type="dataBar" id="{8053ADA0-2D73-4B0E-BED9-FE60A928FD71}">
            <x14:dataBar minLength="0" maxLength="100" border="1" negativeBarBorderColorSameAsPositive="0">
              <x14:cfvo type="autoMin"/>
              <x14:cfvo type="autoMax"/>
              <x14:borderColor rgb="FF63C384"/>
              <x14:negativeFillColor rgb="FFFF0000"/>
              <x14:negativeBorderColor rgb="FFFF0000"/>
              <x14:axisColor rgb="FF000000"/>
            </x14:dataBar>
          </x14:cfRule>
          <xm:sqref>AF91</xm:sqref>
        </x14:conditionalFormatting>
        <x14:conditionalFormatting xmlns:xm="http://schemas.microsoft.com/office/excel/2006/main">
          <x14:cfRule type="dataBar" id="{33160A4A-0A48-43BD-BF04-76DA095AD18E}">
            <x14:dataBar minLength="0" maxLength="100" border="1" negativeBarBorderColorSameAsPositive="0">
              <x14:cfvo type="autoMin"/>
              <x14:cfvo type="autoMax"/>
              <x14:borderColor rgb="FF63C384"/>
              <x14:negativeFillColor rgb="FFFF0000"/>
              <x14:negativeBorderColor rgb="FFFF0000"/>
              <x14:axisColor rgb="FF000000"/>
            </x14:dataBar>
          </x14:cfRule>
          <xm:sqref>AF91</xm:sqref>
        </x14:conditionalFormatting>
        <x14:conditionalFormatting xmlns:xm="http://schemas.microsoft.com/office/excel/2006/main">
          <x14:cfRule type="dataBar" id="{33E7C3D9-31BE-4B13-8D2B-E0A9E4FD53EC}">
            <x14:dataBar minLength="0" maxLength="100" border="1" negativeBarBorderColorSameAsPositive="0">
              <x14:cfvo type="autoMin"/>
              <x14:cfvo type="autoMax"/>
              <x14:borderColor rgb="FF63C384"/>
              <x14:negativeFillColor rgb="FFFF0000"/>
              <x14:negativeBorderColor rgb="FFFF0000"/>
              <x14:axisColor rgb="FF000000"/>
            </x14:dataBar>
          </x14:cfRule>
          <xm:sqref>AF92</xm:sqref>
        </x14:conditionalFormatting>
        <x14:conditionalFormatting xmlns:xm="http://schemas.microsoft.com/office/excel/2006/main">
          <x14:cfRule type="dataBar" id="{A5645659-7442-4115-A08E-CF1793A8B814}">
            <x14:dataBar minLength="0" maxLength="100" border="1" negativeBarBorderColorSameAsPositive="0">
              <x14:cfvo type="autoMin"/>
              <x14:cfvo type="autoMax"/>
              <x14:borderColor rgb="FF63C384"/>
              <x14:negativeFillColor rgb="FFFF0000"/>
              <x14:negativeBorderColor rgb="FFFF0000"/>
              <x14:axisColor rgb="FF000000"/>
            </x14:dataBar>
          </x14:cfRule>
          <xm:sqref>AF92</xm:sqref>
        </x14:conditionalFormatting>
        <x14:conditionalFormatting xmlns:xm="http://schemas.microsoft.com/office/excel/2006/main">
          <x14:cfRule type="dataBar" id="{206A9469-668B-434A-B84B-181B30861762}">
            <x14:dataBar minLength="0" maxLength="100" border="1" negativeBarBorderColorSameAsPositive="0">
              <x14:cfvo type="autoMin"/>
              <x14:cfvo type="autoMax"/>
              <x14:borderColor rgb="FF63C384"/>
              <x14:negativeFillColor rgb="FFFF0000"/>
              <x14:negativeBorderColor rgb="FFFF0000"/>
              <x14:axisColor rgb="FF000000"/>
            </x14:dataBar>
          </x14:cfRule>
          <xm:sqref>AF93</xm:sqref>
        </x14:conditionalFormatting>
        <x14:conditionalFormatting xmlns:xm="http://schemas.microsoft.com/office/excel/2006/main">
          <x14:cfRule type="dataBar" id="{512F7043-2CD6-44B7-B195-38E0F755106E}">
            <x14:dataBar minLength="0" maxLength="100" border="1" negativeBarBorderColorSameAsPositive="0">
              <x14:cfvo type="autoMin"/>
              <x14:cfvo type="autoMax"/>
              <x14:borderColor rgb="FF63C384"/>
              <x14:negativeFillColor rgb="FFFF0000"/>
              <x14:negativeBorderColor rgb="FFFF0000"/>
              <x14:axisColor rgb="FF000000"/>
            </x14:dataBar>
          </x14:cfRule>
          <xm:sqref>AF93</xm:sqref>
        </x14:conditionalFormatting>
        <x14:conditionalFormatting xmlns:xm="http://schemas.microsoft.com/office/excel/2006/main">
          <x14:cfRule type="dataBar" id="{27AEC27C-822C-4828-9CB6-C2072CE80EC4}">
            <x14:dataBar minLength="0" maxLength="100" border="1" negativeBarBorderColorSameAsPositive="0">
              <x14:cfvo type="autoMin"/>
              <x14:cfvo type="autoMax"/>
              <x14:borderColor rgb="FF63C384"/>
              <x14:negativeFillColor rgb="FFFF0000"/>
              <x14:negativeBorderColor rgb="FFFF0000"/>
              <x14:axisColor rgb="FF000000"/>
            </x14:dataBar>
          </x14:cfRule>
          <xm:sqref>AF94</xm:sqref>
        </x14:conditionalFormatting>
        <x14:conditionalFormatting xmlns:xm="http://schemas.microsoft.com/office/excel/2006/main">
          <x14:cfRule type="dataBar" id="{44E1D052-6A38-423B-B16D-06C4AA652275}">
            <x14:dataBar minLength="0" maxLength="100" border="1" negativeBarBorderColorSameAsPositive="0">
              <x14:cfvo type="autoMin"/>
              <x14:cfvo type="autoMax"/>
              <x14:borderColor rgb="FF63C384"/>
              <x14:negativeFillColor rgb="FFFF0000"/>
              <x14:negativeBorderColor rgb="FFFF0000"/>
              <x14:axisColor rgb="FF000000"/>
            </x14:dataBar>
          </x14:cfRule>
          <xm:sqref>AF94</xm:sqref>
        </x14:conditionalFormatting>
        <x14:conditionalFormatting xmlns:xm="http://schemas.microsoft.com/office/excel/2006/main">
          <x14:cfRule type="dataBar" id="{415CC82B-B97B-41CC-A82D-750D9BB3C245}">
            <x14:dataBar minLength="0" maxLength="100" border="1" negativeBarBorderColorSameAsPositive="0">
              <x14:cfvo type="autoMin"/>
              <x14:cfvo type="autoMax"/>
              <x14:borderColor rgb="FF63C384"/>
              <x14:negativeFillColor rgb="FFFF0000"/>
              <x14:negativeBorderColor rgb="FFFF0000"/>
              <x14:axisColor rgb="FF000000"/>
            </x14:dataBar>
          </x14:cfRule>
          <xm:sqref>AF95</xm:sqref>
        </x14:conditionalFormatting>
        <x14:conditionalFormatting xmlns:xm="http://schemas.microsoft.com/office/excel/2006/main">
          <x14:cfRule type="dataBar" id="{F786DD7F-138D-4FBF-B7F2-65EE67D8AD4B}">
            <x14:dataBar minLength="0" maxLength="100" border="1" negativeBarBorderColorSameAsPositive="0">
              <x14:cfvo type="autoMin"/>
              <x14:cfvo type="autoMax"/>
              <x14:borderColor rgb="FF63C384"/>
              <x14:negativeFillColor rgb="FFFF0000"/>
              <x14:negativeBorderColor rgb="FFFF0000"/>
              <x14:axisColor rgb="FF000000"/>
            </x14:dataBar>
          </x14:cfRule>
          <xm:sqref>AF95</xm:sqref>
        </x14:conditionalFormatting>
        <x14:conditionalFormatting xmlns:xm="http://schemas.microsoft.com/office/excel/2006/main">
          <x14:cfRule type="dataBar" id="{CFA7AAC2-502E-4672-906D-811F659FC985}">
            <x14:dataBar minLength="0" maxLength="100" border="1" negativeBarBorderColorSameAsPositive="0">
              <x14:cfvo type="autoMin"/>
              <x14:cfvo type="autoMax"/>
              <x14:borderColor rgb="FF63C384"/>
              <x14:negativeFillColor rgb="FFFF0000"/>
              <x14:negativeBorderColor rgb="FFFF0000"/>
              <x14:axisColor rgb="FF000000"/>
            </x14:dataBar>
          </x14:cfRule>
          <xm:sqref>AF96</xm:sqref>
        </x14:conditionalFormatting>
        <x14:conditionalFormatting xmlns:xm="http://schemas.microsoft.com/office/excel/2006/main">
          <x14:cfRule type="dataBar" id="{10C661FF-BA94-4250-9CD7-6D4A4B5783F1}">
            <x14:dataBar minLength="0" maxLength="100" border="1" negativeBarBorderColorSameAsPositive="0">
              <x14:cfvo type="autoMin"/>
              <x14:cfvo type="autoMax"/>
              <x14:borderColor rgb="FF63C384"/>
              <x14:negativeFillColor rgb="FFFF0000"/>
              <x14:negativeBorderColor rgb="FFFF0000"/>
              <x14:axisColor rgb="FF000000"/>
            </x14:dataBar>
          </x14:cfRule>
          <xm:sqref>AF97</xm:sqref>
        </x14:conditionalFormatting>
        <x14:conditionalFormatting xmlns:xm="http://schemas.microsoft.com/office/excel/2006/main">
          <x14:cfRule type="dataBar" id="{BDF17F92-6169-400E-9E6B-8421885C5949}">
            <x14:dataBar minLength="0" maxLength="100" border="1" negativeBarBorderColorSameAsPositive="0">
              <x14:cfvo type="autoMin"/>
              <x14:cfvo type="autoMax"/>
              <x14:borderColor rgb="FF63C384"/>
              <x14:negativeFillColor rgb="FFFF0000"/>
              <x14:negativeBorderColor rgb="FFFF0000"/>
              <x14:axisColor rgb="FF000000"/>
            </x14:dataBar>
          </x14:cfRule>
          <xm:sqref>AF97</xm:sqref>
        </x14:conditionalFormatting>
        <x14:conditionalFormatting xmlns:xm="http://schemas.microsoft.com/office/excel/2006/main">
          <x14:cfRule type="dataBar" id="{4AAEA339-4F43-4D50-AD7F-25283C252589}">
            <x14:dataBar minLength="0" maxLength="100" border="1" negativeBarBorderColorSameAsPositive="0">
              <x14:cfvo type="autoMin"/>
              <x14:cfvo type="autoMax"/>
              <x14:borderColor rgb="FF63C384"/>
              <x14:negativeFillColor rgb="FFFF0000"/>
              <x14:negativeBorderColor rgb="FFFF0000"/>
              <x14:axisColor rgb="FF000000"/>
            </x14:dataBar>
          </x14:cfRule>
          <xm:sqref>AF97</xm:sqref>
        </x14:conditionalFormatting>
        <x14:conditionalFormatting xmlns:xm="http://schemas.microsoft.com/office/excel/2006/main">
          <x14:cfRule type="dataBar" id="{CBA97747-C279-424A-A9BF-F3154D22CBDE}">
            <x14:dataBar minLength="0" maxLength="100" border="1" negativeBarBorderColorSameAsPositive="0">
              <x14:cfvo type="autoMin"/>
              <x14:cfvo type="autoMax"/>
              <x14:borderColor rgb="FF63C384"/>
              <x14:negativeFillColor rgb="FFFF0000"/>
              <x14:negativeBorderColor rgb="FFFF0000"/>
              <x14:axisColor rgb="FF000000"/>
            </x14:dataBar>
          </x14:cfRule>
          <xm:sqref>AF97</xm:sqref>
        </x14:conditionalFormatting>
        <x14:conditionalFormatting xmlns:xm="http://schemas.microsoft.com/office/excel/2006/main">
          <x14:cfRule type="dataBar" id="{E73BAA20-B14F-4FE5-A145-BBCAFF8A2F0E}">
            <x14:dataBar minLength="0" maxLength="100" border="1" negativeBarBorderColorSameAsPositive="0">
              <x14:cfvo type="autoMin"/>
              <x14:cfvo type="autoMax"/>
              <x14:borderColor rgb="FF63C384"/>
              <x14:negativeFillColor rgb="FFFF0000"/>
              <x14:negativeBorderColor rgb="FFFF0000"/>
              <x14:axisColor rgb="FF000000"/>
            </x14:dataBar>
          </x14:cfRule>
          <xm:sqref>AF97</xm:sqref>
        </x14:conditionalFormatting>
        <x14:conditionalFormatting xmlns:xm="http://schemas.microsoft.com/office/excel/2006/main">
          <x14:cfRule type="dataBar" id="{09DA9281-2A4D-4727-971F-A39B1CA81BA4}">
            <x14:dataBar minLength="0" maxLength="100" border="1" negativeBarBorderColorSameAsPositive="0">
              <x14:cfvo type="autoMin"/>
              <x14:cfvo type="autoMax"/>
              <x14:borderColor rgb="FF63C384"/>
              <x14:negativeFillColor rgb="FFFF0000"/>
              <x14:negativeBorderColor rgb="FFFF0000"/>
              <x14:axisColor rgb="FF000000"/>
            </x14:dataBar>
          </x14:cfRule>
          <xm:sqref>AF97</xm:sqref>
        </x14:conditionalFormatting>
        <x14:conditionalFormatting xmlns:xm="http://schemas.microsoft.com/office/excel/2006/main">
          <x14:cfRule type="dataBar" id="{7C10A562-DA03-46F2-8BF0-AE2F89A0833A}">
            <x14:dataBar minLength="0" maxLength="100" border="1" negativeBarBorderColorSameAsPositive="0">
              <x14:cfvo type="autoMin"/>
              <x14:cfvo type="autoMax"/>
              <x14:borderColor rgb="FF63C384"/>
              <x14:negativeFillColor rgb="FFFF0000"/>
              <x14:negativeBorderColor rgb="FFFF0000"/>
              <x14:axisColor rgb="FF000000"/>
            </x14:dataBar>
          </x14:cfRule>
          <xm:sqref>AF97</xm:sqref>
        </x14:conditionalFormatting>
        <x14:conditionalFormatting xmlns:xm="http://schemas.microsoft.com/office/excel/2006/main">
          <x14:cfRule type="dataBar" id="{1D792A29-CF64-4722-AEC8-2406AEC0F92C}">
            <x14:dataBar minLength="0" maxLength="100" border="1" negativeBarBorderColorSameAsPositive="0">
              <x14:cfvo type="autoMin"/>
              <x14:cfvo type="autoMax"/>
              <x14:borderColor rgb="FF63C384"/>
              <x14:negativeFillColor rgb="FFFF0000"/>
              <x14:negativeBorderColor rgb="FFFF0000"/>
              <x14:axisColor rgb="FF000000"/>
            </x14:dataBar>
          </x14:cfRule>
          <xm:sqref>AF97</xm:sqref>
        </x14:conditionalFormatting>
        <x14:conditionalFormatting xmlns:xm="http://schemas.microsoft.com/office/excel/2006/main">
          <x14:cfRule type="dataBar" id="{7C0D6F74-EDC6-44EF-BD81-6815F9D795AA}">
            <x14:dataBar minLength="0" maxLength="100" border="1" negativeBarBorderColorSameAsPositive="0">
              <x14:cfvo type="autoMin"/>
              <x14:cfvo type="autoMax"/>
              <x14:borderColor rgb="FF63C384"/>
              <x14:negativeFillColor rgb="FFFF0000"/>
              <x14:negativeBorderColor rgb="FFFF0000"/>
              <x14:axisColor rgb="FF000000"/>
            </x14:dataBar>
          </x14:cfRule>
          <xm:sqref>AF98</xm:sqref>
        </x14:conditionalFormatting>
        <x14:conditionalFormatting xmlns:xm="http://schemas.microsoft.com/office/excel/2006/main">
          <x14:cfRule type="dataBar" id="{DD6F6951-499E-45BE-9092-6A12E552AAFE}">
            <x14:dataBar minLength="0" maxLength="100" border="1" negativeBarBorderColorSameAsPositive="0">
              <x14:cfvo type="autoMin"/>
              <x14:cfvo type="autoMax"/>
              <x14:borderColor rgb="FF63C384"/>
              <x14:negativeFillColor rgb="FFFF0000"/>
              <x14:negativeBorderColor rgb="FFFF0000"/>
              <x14:axisColor rgb="FF000000"/>
            </x14:dataBar>
          </x14:cfRule>
          <xm:sqref>AF98</xm:sqref>
        </x14:conditionalFormatting>
        <x14:conditionalFormatting xmlns:xm="http://schemas.microsoft.com/office/excel/2006/main">
          <x14:cfRule type="dataBar" id="{A6131072-D58C-4E34-AFCA-37CB1F626E6B}">
            <x14:dataBar minLength="0" maxLength="100" border="1" negativeBarBorderColorSameAsPositive="0">
              <x14:cfvo type="autoMin"/>
              <x14:cfvo type="autoMax"/>
              <x14:borderColor rgb="FF63C384"/>
              <x14:negativeFillColor rgb="FFFF0000"/>
              <x14:negativeBorderColor rgb="FFFF0000"/>
              <x14:axisColor rgb="FF000000"/>
            </x14:dataBar>
          </x14:cfRule>
          <xm:sqref>AF99</xm:sqref>
        </x14:conditionalFormatting>
        <x14:conditionalFormatting xmlns:xm="http://schemas.microsoft.com/office/excel/2006/main">
          <x14:cfRule type="dataBar" id="{107C5BD7-1660-42A5-AB85-62A0210100A8}">
            <x14:dataBar minLength="0" maxLength="100" border="1" negativeBarBorderColorSameAsPositive="0">
              <x14:cfvo type="autoMin"/>
              <x14:cfvo type="autoMax"/>
              <x14:borderColor rgb="FF63C384"/>
              <x14:negativeFillColor rgb="FFFF0000"/>
              <x14:negativeBorderColor rgb="FFFF0000"/>
              <x14:axisColor rgb="FF000000"/>
            </x14:dataBar>
          </x14:cfRule>
          <xm:sqref>AF100</xm:sqref>
        </x14:conditionalFormatting>
        <x14:conditionalFormatting xmlns:xm="http://schemas.microsoft.com/office/excel/2006/main">
          <x14:cfRule type="dataBar" id="{FF9342B0-B213-4DEE-8FEE-3EE6A969A748}">
            <x14:dataBar minLength="0" maxLength="100" border="1" negativeBarBorderColorSameAsPositive="0">
              <x14:cfvo type="autoMin"/>
              <x14:cfvo type="autoMax"/>
              <x14:borderColor rgb="FF63C384"/>
              <x14:negativeFillColor rgb="FFFF0000"/>
              <x14:negativeBorderColor rgb="FFFF0000"/>
              <x14:axisColor rgb="FF000000"/>
            </x14:dataBar>
          </x14:cfRule>
          <xm:sqref>AF100</xm:sqref>
        </x14:conditionalFormatting>
        <x14:conditionalFormatting xmlns:xm="http://schemas.microsoft.com/office/excel/2006/main">
          <x14:cfRule type="dataBar" id="{97053338-7132-4912-9E4C-1211AF1BBEA0}">
            <x14:dataBar minLength="0" maxLength="100" border="1" negativeBarBorderColorSameAsPositive="0">
              <x14:cfvo type="autoMin"/>
              <x14:cfvo type="autoMax"/>
              <x14:borderColor rgb="FF63C384"/>
              <x14:negativeFillColor rgb="FFFF0000"/>
              <x14:negativeBorderColor rgb="FFFF0000"/>
              <x14:axisColor rgb="FF000000"/>
            </x14:dataBar>
          </x14:cfRule>
          <xm:sqref>AF101</xm:sqref>
        </x14:conditionalFormatting>
        <x14:conditionalFormatting xmlns:xm="http://schemas.microsoft.com/office/excel/2006/main">
          <x14:cfRule type="dataBar" id="{B0093F57-B0CD-464C-BE9E-0C5C6554D85E}">
            <x14:dataBar minLength="0" maxLength="100" border="1" negativeBarBorderColorSameAsPositive="0">
              <x14:cfvo type="autoMin"/>
              <x14:cfvo type="autoMax"/>
              <x14:borderColor rgb="FF63C384"/>
              <x14:negativeFillColor rgb="FFFF0000"/>
              <x14:negativeBorderColor rgb="FFFF0000"/>
              <x14:axisColor rgb="FF000000"/>
            </x14:dataBar>
          </x14:cfRule>
          <xm:sqref>AF101</xm:sqref>
        </x14:conditionalFormatting>
        <x14:conditionalFormatting xmlns:xm="http://schemas.microsoft.com/office/excel/2006/main">
          <x14:cfRule type="dataBar" id="{5169FCE3-27FA-4405-98BB-1972D668A3F1}">
            <x14:dataBar minLength="0" maxLength="100" border="1" negativeBarBorderColorSameAsPositive="0">
              <x14:cfvo type="autoMin"/>
              <x14:cfvo type="autoMax"/>
              <x14:borderColor rgb="FF63C384"/>
              <x14:negativeFillColor rgb="FFFF0000"/>
              <x14:negativeBorderColor rgb="FFFF0000"/>
              <x14:axisColor rgb="FF000000"/>
            </x14:dataBar>
          </x14:cfRule>
          <xm:sqref>AF102</xm:sqref>
        </x14:conditionalFormatting>
        <x14:conditionalFormatting xmlns:xm="http://schemas.microsoft.com/office/excel/2006/main">
          <x14:cfRule type="dataBar" id="{0714DEE8-FB19-49BE-9B24-2366A7B39091}">
            <x14:dataBar minLength="0" maxLength="100" border="1" negativeBarBorderColorSameAsPositive="0">
              <x14:cfvo type="autoMin"/>
              <x14:cfvo type="autoMax"/>
              <x14:borderColor rgb="FF63C384"/>
              <x14:negativeFillColor rgb="FFFF0000"/>
              <x14:negativeBorderColor rgb="FFFF0000"/>
              <x14:axisColor rgb="FF000000"/>
            </x14:dataBar>
          </x14:cfRule>
          <xm:sqref>AF102</xm:sqref>
        </x14:conditionalFormatting>
        <x14:conditionalFormatting xmlns:xm="http://schemas.microsoft.com/office/excel/2006/main">
          <x14:cfRule type="dataBar" id="{BEDA8A5E-D59C-4F66-B917-A7DB0C4DB3B6}">
            <x14:dataBar minLength="0" maxLength="100" border="1" negativeBarBorderColorSameAsPositive="0">
              <x14:cfvo type="autoMin"/>
              <x14:cfvo type="autoMax"/>
              <x14:borderColor rgb="FF63C384"/>
              <x14:negativeFillColor rgb="FFFF0000"/>
              <x14:negativeBorderColor rgb="FFFF0000"/>
              <x14:axisColor rgb="FF000000"/>
            </x14:dataBar>
          </x14:cfRule>
          <xm:sqref>AF103</xm:sqref>
        </x14:conditionalFormatting>
        <x14:conditionalFormatting xmlns:xm="http://schemas.microsoft.com/office/excel/2006/main">
          <x14:cfRule type="dataBar" id="{EB2193A8-6BDF-4611-B5FC-40F20D37349C}">
            <x14:dataBar minLength="0" maxLength="100" border="1" negativeBarBorderColorSameAsPositive="0">
              <x14:cfvo type="autoMin"/>
              <x14:cfvo type="autoMax"/>
              <x14:borderColor rgb="FF63C384"/>
              <x14:negativeFillColor rgb="FFFF0000"/>
              <x14:negativeBorderColor rgb="FFFF0000"/>
              <x14:axisColor rgb="FF000000"/>
            </x14:dataBar>
          </x14:cfRule>
          <xm:sqref>AF103</xm:sqref>
        </x14:conditionalFormatting>
        <x14:conditionalFormatting xmlns:xm="http://schemas.microsoft.com/office/excel/2006/main">
          <x14:cfRule type="dataBar" id="{F0A0B350-EE40-4EF5-A5C3-CADDD7C3016F}">
            <x14:dataBar minLength="0" maxLength="100" border="1" negativeBarBorderColorSameAsPositive="0">
              <x14:cfvo type="autoMin"/>
              <x14:cfvo type="autoMax"/>
              <x14:borderColor rgb="FF63C384"/>
              <x14:negativeFillColor rgb="FFFF0000"/>
              <x14:negativeBorderColor rgb="FFFF0000"/>
              <x14:axisColor rgb="FF000000"/>
            </x14:dataBar>
          </x14:cfRule>
          <xm:sqref>AF103</xm:sqref>
        </x14:conditionalFormatting>
        <x14:conditionalFormatting xmlns:xm="http://schemas.microsoft.com/office/excel/2006/main">
          <x14:cfRule type="dataBar" id="{4CA5F06F-51ED-4117-8FA1-B5FBAD8B0B3C}">
            <x14:dataBar minLength="0" maxLength="100" border="1" negativeBarBorderColorSameAsPositive="0">
              <x14:cfvo type="autoMin"/>
              <x14:cfvo type="autoMax"/>
              <x14:borderColor rgb="FF63C384"/>
              <x14:negativeFillColor rgb="FFFF0000"/>
              <x14:negativeBorderColor rgb="FFFF0000"/>
              <x14:axisColor rgb="FF000000"/>
            </x14:dataBar>
          </x14:cfRule>
          <xm:sqref>AF103</xm:sqref>
        </x14:conditionalFormatting>
        <x14:conditionalFormatting xmlns:xm="http://schemas.microsoft.com/office/excel/2006/main">
          <x14:cfRule type="dataBar" id="{7DF1D6AC-38B9-4007-9D72-CD90633047E1}">
            <x14:dataBar minLength="0" maxLength="100" border="1" negativeBarBorderColorSameAsPositive="0">
              <x14:cfvo type="autoMin"/>
              <x14:cfvo type="autoMax"/>
              <x14:borderColor rgb="FF63C384"/>
              <x14:negativeFillColor rgb="FFFF0000"/>
              <x14:negativeBorderColor rgb="FFFF0000"/>
              <x14:axisColor rgb="FF000000"/>
            </x14:dataBar>
          </x14:cfRule>
          <xm:sqref>AF104</xm:sqref>
        </x14:conditionalFormatting>
        <x14:conditionalFormatting xmlns:xm="http://schemas.microsoft.com/office/excel/2006/main">
          <x14:cfRule type="dataBar" id="{6CB55EA2-7B60-4D29-A9E7-CCC31F6F3EE9}">
            <x14:dataBar minLength="0" maxLength="100" border="1" negativeBarBorderColorSameAsPositive="0">
              <x14:cfvo type="autoMin"/>
              <x14:cfvo type="autoMax"/>
              <x14:borderColor rgb="FF63C384"/>
              <x14:negativeFillColor rgb="FFFF0000"/>
              <x14:negativeBorderColor rgb="FFFF0000"/>
              <x14:axisColor rgb="FF000000"/>
            </x14:dataBar>
          </x14:cfRule>
          <xm:sqref>AF104</xm:sqref>
        </x14:conditionalFormatting>
        <x14:conditionalFormatting xmlns:xm="http://schemas.microsoft.com/office/excel/2006/main">
          <x14:cfRule type="dataBar" id="{F6BA4505-D9B2-49B2-A187-8F1A1E9440B6}">
            <x14:dataBar minLength="0" maxLength="100" border="1" negativeBarBorderColorSameAsPositive="0">
              <x14:cfvo type="autoMin"/>
              <x14:cfvo type="autoMax"/>
              <x14:borderColor rgb="FF63C384"/>
              <x14:negativeFillColor rgb="FFFF0000"/>
              <x14:negativeBorderColor rgb="FFFF0000"/>
              <x14:axisColor rgb="FF000000"/>
            </x14:dataBar>
          </x14:cfRule>
          <xm:sqref>AF105</xm:sqref>
        </x14:conditionalFormatting>
        <x14:conditionalFormatting xmlns:xm="http://schemas.microsoft.com/office/excel/2006/main">
          <x14:cfRule type="dataBar" id="{65B025A4-4C5C-4C82-8A25-3E19B1E0AADA}">
            <x14:dataBar minLength="0" maxLength="100" border="1" negativeBarBorderColorSameAsPositive="0">
              <x14:cfvo type="autoMin"/>
              <x14:cfvo type="autoMax"/>
              <x14:borderColor rgb="FF63C384"/>
              <x14:negativeFillColor rgb="FFFF0000"/>
              <x14:negativeBorderColor rgb="FFFF0000"/>
              <x14:axisColor rgb="FF000000"/>
            </x14:dataBar>
          </x14:cfRule>
          <xm:sqref>AF105</xm:sqref>
        </x14:conditionalFormatting>
        <x14:conditionalFormatting xmlns:xm="http://schemas.microsoft.com/office/excel/2006/main">
          <x14:cfRule type="dataBar" id="{2AEDC2D0-7C11-44B2-AAFD-F941E134E0F3}">
            <x14:dataBar minLength="0" maxLength="100" border="1" negativeBarBorderColorSameAsPositive="0">
              <x14:cfvo type="autoMin"/>
              <x14:cfvo type="autoMax"/>
              <x14:borderColor rgb="FF63C384"/>
              <x14:negativeFillColor rgb="FFFF0000"/>
              <x14:negativeBorderColor rgb="FFFF0000"/>
              <x14:axisColor rgb="FF000000"/>
            </x14:dataBar>
          </x14:cfRule>
          <xm:sqref>AF106</xm:sqref>
        </x14:conditionalFormatting>
        <x14:conditionalFormatting xmlns:xm="http://schemas.microsoft.com/office/excel/2006/main">
          <x14:cfRule type="dataBar" id="{EAF0B193-24F8-4C2F-8285-C92360BD130E}">
            <x14:dataBar minLength="0" maxLength="100" border="1" negativeBarBorderColorSameAsPositive="0">
              <x14:cfvo type="autoMin"/>
              <x14:cfvo type="autoMax"/>
              <x14:borderColor rgb="FF63C384"/>
              <x14:negativeFillColor rgb="FFFF0000"/>
              <x14:negativeBorderColor rgb="FFFF0000"/>
              <x14:axisColor rgb="FF000000"/>
            </x14:dataBar>
          </x14:cfRule>
          <xm:sqref>AF106</xm:sqref>
        </x14:conditionalFormatting>
        <x14:conditionalFormatting xmlns:xm="http://schemas.microsoft.com/office/excel/2006/main">
          <x14:cfRule type="dataBar" id="{122694C5-32B5-43D5-933C-5CBF69BF614B}">
            <x14:dataBar minLength="0" maxLength="100" border="1" negativeBarBorderColorSameAsPositive="0">
              <x14:cfvo type="autoMin"/>
              <x14:cfvo type="autoMax"/>
              <x14:borderColor rgb="FF63C384"/>
              <x14:negativeFillColor rgb="FFFF0000"/>
              <x14:negativeBorderColor rgb="FFFF0000"/>
              <x14:axisColor rgb="FF000000"/>
            </x14:dataBar>
          </x14:cfRule>
          <xm:sqref>AF106</xm:sqref>
        </x14:conditionalFormatting>
        <x14:conditionalFormatting xmlns:xm="http://schemas.microsoft.com/office/excel/2006/main">
          <x14:cfRule type="dataBar" id="{0AA3D9DC-1D3A-4BD3-B115-AE63409D689B}">
            <x14:dataBar minLength="0" maxLength="100" border="1" negativeBarBorderColorSameAsPositive="0">
              <x14:cfvo type="autoMin"/>
              <x14:cfvo type="autoMax"/>
              <x14:borderColor rgb="FF63C384"/>
              <x14:negativeFillColor rgb="FFFF0000"/>
              <x14:negativeBorderColor rgb="FFFF0000"/>
              <x14:axisColor rgb="FF000000"/>
            </x14:dataBar>
          </x14:cfRule>
          <xm:sqref>AF106</xm:sqref>
        </x14:conditionalFormatting>
        <x14:conditionalFormatting xmlns:xm="http://schemas.microsoft.com/office/excel/2006/main">
          <x14:cfRule type="dataBar" id="{FE212DC8-8F13-4452-97A9-9EC4481F0C20}">
            <x14:dataBar minLength="0" maxLength="100" border="1" negativeBarBorderColorSameAsPositive="0">
              <x14:cfvo type="autoMin"/>
              <x14:cfvo type="autoMax"/>
              <x14:borderColor rgb="FF63C384"/>
              <x14:negativeFillColor rgb="FFFF0000"/>
              <x14:negativeBorderColor rgb="FFFF0000"/>
              <x14:axisColor rgb="FF000000"/>
            </x14:dataBar>
          </x14:cfRule>
          <xm:sqref>AF107</xm:sqref>
        </x14:conditionalFormatting>
        <x14:conditionalFormatting xmlns:xm="http://schemas.microsoft.com/office/excel/2006/main">
          <x14:cfRule type="dataBar" id="{6E0F9457-1D03-4763-A092-849DB69D06F1}">
            <x14:dataBar minLength="0" maxLength="100" border="1" negativeBarBorderColorSameAsPositive="0">
              <x14:cfvo type="autoMin"/>
              <x14:cfvo type="autoMax"/>
              <x14:borderColor rgb="FF63C384"/>
              <x14:negativeFillColor rgb="FFFF0000"/>
              <x14:negativeBorderColor rgb="FFFF0000"/>
              <x14:axisColor rgb="FF000000"/>
            </x14:dataBar>
          </x14:cfRule>
          <xm:sqref>AF108</xm:sqref>
        </x14:conditionalFormatting>
        <x14:conditionalFormatting xmlns:xm="http://schemas.microsoft.com/office/excel/2006/main">
          <x14:cfRule type="dataBar" id="{2DFA2A2D-E572-4731-881E-3E52EDB8D44E}">
            <x14:dataBar minLength="0" maxLength="100" border="1" negativeBarBorderColorSameAsPositive="0">
              <x14:cfvo type="autoMin"/>
              <x14:cfvo type="autoMax"/>
              <x14:borderColor rgb="FF63C384"/>
              <x14:negativeFillColor rgb="FFFF0000"/>
              <x14:negativeBorderColor rgb="FFFF0000"/>
              <x14:axisColor rgb="FF000000"/>
            </x14:dataBar>
          </x14:cfRule>
          <xm:sqref>AF108</xm:sqref>
        </x14:conditionalFormatting>
        <x14:conditionalFormatting xmlns:xm="http://schemas.microsoft.com/office/excel/2006/main">
          <x14:cfRule type="dataBar" id="{E010AEC1-C5E5-465E-8D39-3FD2642E6238}">
            <x14:dataBar minLength="0" maxLength="100" border="1" negativeBarBorderColorSameAsPositive="0">
              <x14:cfvo type="autoMin"/>
              <x14:cfvo type="autoMax"/>
              <x14:borderColor rgb="FF63C384"/>
              <x14:negativeFillColor rgb="FFFF0000"/>
              <x14:negativeBorderColor rgb="FFFF0000"/>
              <x14:axisColor rgb="FF000000"/>
            </x14:dataBar>
          </x14:cfRule>
          <xm:sqref>AF108</xm:sqref>
        </x14:conditionalFormatting>
        <x14:conditionalFormatting xmlns:xm="http://schemas.microsoft.com/office/excel/2006/main">
          <x14:cfRule type="dataBar" id="{DC598C36-005F-403B-9EB7-361D10001F94}">
            <x14:dataBar minLength="0" maxLength="100" border="1" negativeBarBorderColorSameAsPositive="0">
              <x14:cfvo type="autoMin"/>
              <x14:cfvo type="autoMax"/>
              <x14:borderColor rgb="FF63C384"/>
              <x14:negativeFillColor rgb="FFFF0000"/>
              <x14:negativeBorderColor rgb="FFFF0000"/>
              <x14:axisColor rgb="FF000000"/>
            </x14:dataBar>
          </x14:cfRule>
          <xm:sqref>AF108</xm:sqref>
        </x14:conditionalFormatting>
        <x14:conditionalFormatting xmlns:xm="http://schemas.microsoft.com/office/excel/2006/main">
          <x14:cfRule type="dataBar" id="{AB66FB6D-E0BD-422F-90C9-2BEDA2AC966E}">
            <x14:dataBar minLength="0" maxLength="100" border="1" negativeBarBorderColorSameAsPositive="0">
              <x14:cfvo type="autoMin"/>
              <x14:cfvo type="autoMax"/>
              <x14:borderColor rgb="FF63C384"/>
              <x14:negativeFillColor rgb="FFFF0000"/>
              <x14:negativeBorderColor rgb="FFFF0000"/>
              <x14:axisColor rgb="FF000000"/>
            </x14:dataBar>
          </x14:cfRule>
          <xm:sqref>AF111</xm:sqref>
        </x14:conditionalFormatting>
        <x14:conditionalFormatting xmlns:xm="http://schemas.microsoft.com/office/excel/2006/main">
          <x14:cfRule type="dataBar" id="{DC69A063-9B9B-4D9D-BBE2-E24E8C41A32F}">
            <x14:dataBar minLength="0" maxLength="100" border="1" negativeBarBorderColorSameAsPositive="0">
              <x14:cfvo type="autoMin"/>
              <x14:cfvo type="autoMax"/>
              <x14:borderColor rgb="FF63C384"/>
              <x14:negativeFillColor rgb="FFFF0000"/>
              <x14:negativeBorderColor rgb="FFFF0000"/>
              <x14:axisColor rgb="FF000000"/>
            </x14:dataBar>
          </x14:cfRule>
          <xm:sqref>AF111</xm:sqref>
        </x14:conditionalFormatting>
        <x14:conditionalFormatting xmlns:xm="http://schemas.microsoft.com/office/excel/2006/main">
          <x14:cfRule type="dataBar" id="{40D2A521-EFD3-481E-9C73-27339D334EBD}">
            <x14:dataBar minLength="0" maxLength="100" border="1" negativeBarBorderColorSameAsPositive="0">
              <x14:cfvo type="autoMin"/>
              <x14:cfvo type="autoMax"/>
              <x14:borderColor rgb="FF63C384"/>
              <x14:negativeFillColor rgb="FFFF0000"/>
              <x14:negativeBorderColor rgb="FFFF0000"/>
              <x14:axisColor rgb="FF000000"/>
            </x14:dataBar>
          </x14:cfRule>
          <xm:sqref>AF112</xm:sqref>
        </x14:conditionalFormatting>
        <x14:conditionalFormatting xmlns:xm="http://schemas.microsoft.com/office/excel/2006/main">
          <x14:cfRule type="dataBar" id="{D46B0193-B740-4E23-9B88-09F3B759D73D}">
            <x14:dataBar minLength="0" maxLength="100" border="1" negativeBarBorderColorSameAsPositive="0">
              <x14:cfvo type="autoMin"/>
              <x14:cfvo type="autoMax"/>
              <x14:borderColor rgb="FF63C384"/>
              <x14:negativeFillColor rgb="FFFF0000"/>
              <x14:negativeBorderColor rgb="FFFF0000"/>
              <x14:axisColor rgb="FF000000"/>
            </x14:dataBar>
          </x14:cfRule>
          <xm:sqref>AF112</xm:sqref>
        </x14:conditionalFormatting>
        <x14:conditionalFormatting xmlns:xm="http://schemas.microsoft.com/office/excel/2006/main">
          <x14:cfRule type="dataBar" id="{F589E4DC-B2BA-4D7D-9195-73AF09F1334A}">
            <x14:dataBar minLength="0" maxLength="100" border="1" negativeBarBorderColorSameAsPositive="0">
              <x14:cfvo type="autoMin"/>
              <x14:cfvo type="autoMax"/>
              <x14:borderColor rgb="FF63C384"/>
              <x14:negativeFillColor rgb="FFFF0000"/>
              <x14:negativeBorderColor rgb="FFFF0000"/>
              <x14:axisColor rgb="FF000000"/>
            </x14:dataBar>
          </x14:cfRule>
          <xm:sqref>AF113</xm:sqref>
        </x14:conditionalFormatting>
        <x14:conditionalFormatting xmlns:xm="http://schemas.microsoft.com/office/excel/2006/main">
          <x14:cfRule type="dataBar" id="{3A0B35F0-5380-4586-9695-4D3E992A55F3}">
            <x14:dataBar minLength="0" maxLength="100" border="1" negativeBarBorderColorSameAsPositive="0">
              <x14:cfvo type="autoMin"/>
              <x14:cfvo type="autoMax"/>
              <x14:borderColor rgb="FF63C384"/>
              <x14:negativeFillColor rgb="FFFF0000"/>
              <x14:negativeBorderColor rgb="FFFF0000"/>
              <x14:axisColor rgb="FF000000"/>
            </x14:dataBar>
          </x14:cfRule>
          <xm:sqref>AF113</xm:sqref>
        </x14:conditionalFormatting>
        <x14:conditionalFormatting xmlns:xm="http://schemas.microsoft.com/office/excel/2006/main">
          <x14:cfRule type="dataBar" id="{E9A36250-0EE8-47C7-B0BE-F4D123AB7542}">
            <x14:dataBar minLength="0" maxLength="100" border="1" negativeBarBorderColorSameAsPositive="0">
              <x14:cfvo type="autoMin"/>
              <x14:cfvo type="autoMax"/>
              <x14:borderColor rgb="FF63C384"/>
              <x14:negativeFillColor rgb="FFFF0000"/>
              <x14:negativeBorderColor rgb="FFFF0000"/>
              <x14:axisColor rgb="FF000000"/>
            </x14:dataBar>
          </x14:cfRule>
          <xm:sqref>AF113</xm:sqref>
        </x14:conditionalFormatting>
        <x14:conditionalFormatting xmlns:xm="http://schemas.microsoft.com/office/excel/2006/main">
          <x14:cfRule type="dataBar" id="{ABCCE4A7-0898-40A9-99B3-77DF6B0E0AFE}">
            <x14:dataBar minLength="0" maxLength="100" border="1" negativeBarBorderColorSameAsPositive="0">
              <x14:cfvo type="autoMin"/>
              <x14:cfvo type="autoMax"/>
              <x14:borderColor rgb="FF63C384"/>
              <x14:negativeFillColor rgb="FFFF0000"/>
              <x14:negativeBorderColor rgb="FFFF0000"/>
              <x14:axisColor rgb="FF000000"/>
            </x14:dataBar>
          </x14:cfRule>
          <xm:sqref>AF113</xm:sqref>
        </x14:conditionalFormatting>
        <x14:conditionalFormatting xmlns:xm="http://schemas.microsoft.com/office/excel/2006/main">
          <x14:cfRule type="dataBar" id="{28362346-6462-4922-9BE0-A18FFE3415FC}">
            <x14:dataBar minLength="0" maxLength="100" border="1" negativeBarBorderColorSameAsPositive="0">
              <x14:cfvo type="autoMin"/>
              <x14:cfvo type="autoMax"/>
              <x14:borderColor rgb="FF63C384"/>
              <x14:negativeFillColor rgb="FFFF0000"/>
              <x14:negativeBorderColor rgb="FFFF0000"/>
              <x14:axisColor rgb="FF000000"/>
            </x14:dataBar>
          </x14:cfRule>
          <xm:sqref>AF114</xm:sqref>
        </x14:conditionalFormatting>
        <x14:conditionalFormatting xmlns:xm="http://schemas.microsoft.com/office/excel/2006/main">
          <x14:cfRule type="dataBar" id="{5DD23548-3EAE-4979-A247-87BDDE8A2442}">
            <x14:dataBar minLength="0" maxLength="100" border="1" negativeBarBorderColorSameAsPositive="0">
              <x14:cfvo type="autoMin"/>
              <x14:cfvo type="autoMax"/>
              <x14:borderColor rgb="FF63C384"/>
              <x14:negativeFillColor rgb="FFFF0000"/>
              <x14:negativeBorderColor rgb="FFFF0000"/>
              <x14:axisColor rgb="FF000000"/>
            </x14:dataBar>
          </x14:cfRule>
          <xm:sqref>AF114</xm:sqref>
        </x14:conditionalFormatting>
        <x14:conditionalFormatting xmlns:xm="http://schemas.microsoft.com/office/excel/2006/main">
          <x14:cfRule type="dataBar" id="{DC162710-99F8-4212-BFF6-174F19B6EC05}">
            <x14:dataBar minLength="0" maxLength="100" border="1" negativeBarBorderColorSameAsPositive="0">
              <x14:cfvo type="autoMin"/>
              <x14:cfvo type="autoMax"/>
              <x14:borderColor rgb="FF63C384"/>
              <x14:negativeFillColor rgb="FFFF0000"/>
              <x14:negativeBorderColor rgb="FFFF0000"/>
              <x14:axisColor rgb="FF000000"/>
            </x14:dataBar>
          </x14:cfRule>
          <xm:sqref>AF115</xm:sqref>
        </x14:conditionalFormatting>
        <x14:conditionalFormatting xmlns:xm="http://schemas.microsoft.com/office/excel/2006/main">
          <x14:cfRule type="dataBar" id="{9DBDFA4C-74FF-4F3F-817B-C7CFAFB77E5E}">
            <x14:dataBar minLength="0" maxLength="100" border="1" negativeBarBorderColorSameAsPositive="0">
              <x14:cfvo type="autoMin"/>
              <x14:cfvo type="autoMax"/>
              <x14:borderColor rgb="FF63C384"/>
              <x14:negativeFillColor rgb="FFFF0000"/>
              <x14:negativeBorderColor rgb="FFFF0000"/>
              <x14:axisColor rgb="FF000000"/>
            </x14:dataBar>
          </x14:cfRule>
          <xm:sqref>AF116</xm:sqref>
        </x14:conditionalFormatting>
        <x14:conditionalFormatting xmlns:xm="http://schemas.microsoft.com/office/excel/2006/main">
          <x14:cfRule type="dataBar" id="{DE49C447-B26D-418D-8455-9B52E60F2244}">
            <x14:dataBar minLength="0" maxLength="100" border="1" negativeBarBorderColorSameAsPositive="0">
              <x14:cfvo type="autoMin"/>
              <x14:cfvo type="autoMax"/>
              <x14:borderColor rgb="FF63C384"/>
              <x14:negativeFillColor rgb="FFFF0000"/>
              <x14:negativeBorderColor rgb="FFFF0000"/>
              <x14:axisColor rgb="FF000000"/>
            </x14:dataBar>
          </x14:cfRule>
          <xm:sqref>AF116</xm:sqref>
        </x14:conditionalFormatting>
        <x14:conditionalFormatting xmlns:xm="http://schemas.microsoft.com/office/excel/2006/main">
          <x14:cfRule type="dataBar" id="{CE7F2DEA-AB6F-439E-B935-4EE12250C815}">
            <x14:dataBar minLength="0" maxLength="100" border="1" negativeBarBorderColorSameAsPositive="0">
              <x14:cfvo type="autoMin"/>
              <x14:cfvo type="autoMax"/>
              <x14:borderColor rgb="FF63C384"/>
              <x14:negativeFillColor rgb="FFFF0000"/>
              <x14:negativeBorderColor rgb="FFFF0000"/>
              <x14:axisColor rgb="FF000000"/>
            </x14:dataBar>
          </x14:cfRule>
          <xm:sqref>AF116</xm:sqref>
        </x14:conditionalFormatting>
        <x14:conditionalFormatting xmlns:xm="http://schemas.microsoft.com/office/excel/2006/main">
          <x14:cfRule type="dataBar" id="{2FE3E033-7B56-4347-AFB0-89C0024AE5DE}">
            <x14:dataBar minLength="0" maxLength="100" border="1" negativeBarBorderColorSameAsPositive="0">
              <x14:cfvo type="autoMin"/>
              <x14:cfvo type="autoMax"/>
              <x14:borderColor rgb="FF63C384"/>
              <x14:negativeFillColor rgb="FFFF0000"/>
              <x14:negativeBorderColor rgb="FFFF0000"/>
              <x14:axisColor rgb="FF000000"/>
            </x14:dataBar>
          </x14:cfRule>
          <xm:sqref>AF116</xm:sqref>
        </x14:conditionalFormatting>
        <x14:conditionalFormatting xmlns:xm="http://schemas.microsoft.com/office/excel/2006/main">
          <x14:cfRule type="dataBar" id="{0DF2A46D-E716-49AE-B5CB-74FC81DB3BAF}">
            <x14:dataBar minLength="0" maxLength="100" border="1" negativeBarBorderColorSameAsPositive="0">
              <x14:cfvo type="autoMin"/>
              <x14:cfvo type="autoMax"/>
              <x14:borderColor rgb="FF63C384"/>
              <x14:negativeFillColor rgb="FFFF0000"/>
              <x14:negativeBorderColor rgb="FFFF0000"/>
              <x14:axisColor rgb="FF000000"/>
            </x14:dataBar>
          </x14:cfRule>
          <xm:sqref>AF116</xm:sqref>
        </x14:conditionalFormatting>
        <x14:conditionalFormatting xmlns:xm="http://schemas.microsoft.com/office/excel/2006/main">
          <x14:cfRule type="dataBar" id="{7FC7E40D-14A3-4009-B48F-90430EC2760E}">
            <x14:dataBar minLength="0" maxLength="100" border="1" negativeBarBorderColorSameAsPositive="0">
              <x14:cfvo type="autoMin"/>
              <x14:cfvo type="autoMax"/>
              <x14:borderColor rgb="FF63C384"/>
              <x14:negativeFillColor rgb="FFFF0000"/>
              <x14:negativeBorderColor rgb="FFFF0000"/>
              <x14:axisColor rgb="FF000000"/>
            </x14:dataBar>
          </x14:cfRule>
          <xm:sqref>AF116</xm:sqref>
        </x14:conditionalFormatting>
        <x14:conditionalFormatting xmlns:xm="http://schemas.microsoft.com/office/excel/2006/main">
          <x14:cfRule type="dataBar" id="{6B592596-CD07-4BEB-89A7-0AAF26C1C98C}">
            <x14:dataBar minLength="0" maxLength="100" border="1" negativeBarBorderColorSameAsPositive="0">
              <x14:cfvo type="autoMin"/>
              <x14:cfvo type="autoMax"/>
              <x14:borderColor rgb="FF63C384"/>
              <x14:negativeFillColor rgb="FFFF0000"/>
              <x14:negativeBorderColor rgb="FFFF0000"/>
              <x14:axisColor rgb="FF000000"/>
            </x14:dataBar>
          </x14:cfRule>
          <xm:sqref>AF116</xm:sqref>
        </x14:conditionalFormatting>
        <x14:conditionalFormatting xmlns:xm="http://schemas.microsoft.com/office/excel/2006/main">
          <x14:cfRule type="dataBar" id="{49960134-D738-4023-AF90-26993061193B}">
            <x14:dataBar minLength="0" maxLength="100" border="1" negativeBarBorderColorSameAsPositive="0">
              <x14:cfvo type="autoMin"/>
              <x14:cfvo type="autoMax"/>
              <x14:borderColor rgb="FF63C384"/>
              <x14:negativeFillColor rgb="FFFF0000"/>
              <x14:negativeBorderColor rgb="FFFF0000"/>
              <x14:axisColor rgb="FF000000"/>
            </x14:dataBar>
          </x14:cfRule>
          <xm:sqref>AF116</xm:sqref>
        </x14:conditionalFormatting>
        <x14:conditionalFormatting xmlns:xm="http://schemas.microsoft.com/office/excel/2006/main">
          <x14:cfRule type="dataBar" id="{696B86FE-E1C7-4B04-B426-E402BA1FFE34}">
            <x14:dataBar minLength="0" maxLength="100" border="1" negativeBarBorderColorSameAsPositive="0">
              <x14:cfvo type="autoMin"/>
              <x14:cfvo type="autoMax"/>
              <x14:borderColor rgb="FF63C384"/>
              <x14:negativeFillColor rgb="FFFF0000"/>
              <x14:negativeBorderColor rgb="FFFF0000"/>
              <x14:axisColor rgb="FF000000"/>
            </x14:dataBar>
          </x14:cfRule>
          <xm:sqref>AF117</xm:sqref>
        </x14:conditionalFormatting>
        <x14:conditionalFormatting xmlns:xm="http://schemas.microsoft.com/office/excel/2006/main">
          <x14:cfRule type="dataBar" id="{19BD98DE-A26D-4DD2-BF1A-299D045B6142}">
            <x14:dataBar minLength="0" maxLength="100" border="1" negativeBarBorderColorSameAsPositive="0">
              <x14:cfvo type="autoMin"/>
              <x14:cfvo type="autoMax"/>
              <x14:borderColor rgb="FF63C384"/>
              <x14:negativeFillColor rgb="FFFF0000"/>
              <x14:negativeBorderColor rgb="FFFF0000"/>
              <x14:axisColor rgb="FF000000"/>
            </x14:dataBar>
          </x14:cfRule>
          <xm:sqref>AF117</xm:sqref>
        </x14:conditionalFormatting>
        <x14:conditionalFormatting xmlns:xm="http://schemas.microsoft.com/office/excel/2006/main">
          <x14:cfRule type="dataBar" id="{A90E1E9F-085D-4839-BBB5-AA79D3455FBB}">
            <x14:dataBar minLength="0" maxLength="100" border="1" negativeBarBorderColorSameAsPositive="0">
              <x14:cfvo type="autoMin"/>
              <x14:cfvo type="autoMax"/>
              <x14:borderColor rgb="FF63C384"/>
              <x14:negativeFillColor rgb="FFFF0000"/>
              <x14:negativeBorderColor rgb="FFFF0000"/>
              <x14:axisColor rgb="FF000000"/>
            </x14:dataBar>
          </x14:cfRule>
          <xm:sqref>AF118</xm:sqref>
        </x14:conditionalFormatting>
        <x14:conditionalFormatting xmlns:xm="http://schemas.microsoft.com/office/excel/2006/main">
          <x14:cfRule type="dataBar" id="{0E152999-5396-4CF4-A895-C3CDAA75D6ED}">
            <x14:dataBar minLength="0" maxLength="100" border="1" negativeBarBorderColorSameAsPositive="0">
              <x14:cfvo type="autoMin"/>
              <x14:cfvo type="autoMax"/>
              <x14:borderColor rgb="FF63C384"/>
              <x14:negativeFillColor rgb="FFFF0000"/>
              <x14:negativeBorderColor rgb="FFFF0000"/>
              <x14:axisColor rgb="FF000000"/>
            </x14:dataBar>
          </x14:cfRule>
          <xm:sqref>AF119</xm:sqref>
        </x14:conditionalFormatting>
        <x14:conditionalFormatting xmlns:xm="http://schemas.microsoft.com/office/excel/2006/main">
          <x14:cfRule type="dataBar" id="{2CA9B17A-41DE-4A3D-A93A-DAAA5B65B473}">
            <x14:dataBar minLength="0" maxLength="100" border="1" negativeBarBorderColorSameAsPositive="0">
              <x14:cfvo type="autoMin"/>
              <x14:cfvo type="autoMax"/>
              <x14:borderColor rgb="FF63C384"/>
              <x14:negativeFillColor rgb="FFFF0000"/>
              <x14:negativeBorderColor rgb="FFFF0000"/>
              <x14:axisColor rgb="FF000000"/>
            </x14:dataBar>
          </x14:cfRule>
          <xm:sqref>AF119</xm:sqref>
        </x14:conditionalFormatting>
        <x14:conditionalFormatting xmlns:xm="http://schemas.microsoft.com/office/excel/2006/main">
          <x14:cfRule type="dataBar" id="{9AE5E9DA-B983-410A-8C0D-F6FC70B26389}">
            <x14:dataBar minLength="0" maxLength="100" border="1" negativeBarBorderColorSameAsPositive="0">
              <x14:cfvo type="autoMin"/>
              <x14:cfvo type="autoMax"/>
              <x14:borderColor rgb="FF63C384"/>
              <x14:negativeFillColor rgb="FFFF0000"/>
              <x14:negativeBorderColor rgb="FFFF0000"/>
              <x14:axisColor rgb="FF000000"/>
            </x14:dataBar>
          </x14:cfRule>
          <xm:sqref>AF120</xm:sqref>
        </x14:conditionalFormatting>
        <x14:conditionalFormatting xmlns:xm="http://schemas.microsoft.com/office/excel/2006/main">
          <x14:cfRule type="dataBar" id="{C8057AC9-9C97-4C0B-B685-1745982A4628}">
            <x14:dataBar minLength="0" maxLength="100" border="1" negativeBarBorderColorSameAsPositive="0">
              <x14:cfvo type="autoMin"/>
              <x14:cfvo type="autoMax"/>
              <x14:borderColor rgb="FF63C384"/>
              <x14:negativeFillColor rgb="FFFF0000"/>
              <x14:negativeBorderColor rgb="FFFF0000"/>
              <x14:axisColor rgb="FF000000"/>
            </x14:dataBar>
          </x14:cfRule>
          <xm:sqref>AF120</xm:sqref>
        </x14:conditionalFormatting>
        <x14:conditionalFormatting xmlns:xm="http://schemas.microsoft.com/office/excel/2006/main">
          <x14:cfRule type="dataBar" id="{7B7B8D37-3174-4AE6-BB61-46F3F7E60EE7}">
            <x14:dataBar minLength="0" maxLength="100" border="1" negativeBarBorderColorSameAsPositive="0">
              <x14:cfvo type="autoMin"/>
              <x14:cfvo type="autoMax"/>
              <x14:borderColor rgb="FF63C384"/>
              <x14:negativeFillColor rgb="FFFF0000"/>
              <x14:negativeBorderColor rgb="FFFF0000"/>
              <x14:axisColor rgb="FF000000"/>
            </x14:dataBar>
          </x14:cfRule>
          <xm:sqref>AF121</xm:sqref>
        </x14:conditionalFormatting>
        <x14:conditionalFormatting xmlns:xm="http://schemas.microsoft.com/office/excel/2006/main">
          <x14:cfRule type="dataBar" id="{235B9F77-E2C0-4EA6-9C4F-90D6B018494E}">
            <x14:dataBar minLength="0" maxLength="100" border="1" negativeBarBorderColorSameAsPositive="0">
              <x14:cfvo type="autoMin"/>
              <x14:cfvo type="autoMax"/>
              <x14:borderColor rgb="FF63C384"/>
              <x14:negativeFillColor rgb="FFFF0000"/>
              <x14:negativeBorderColor rgb="FFFF0000"/>
              <x14:axisColor rgb="FF000000"/>
            </x14:dataBar>
          </x14:cfRule>
          <xm:sqref>AF121</xm:sqref>
        </x14:conditionalFormatting>
        <x14:conditionalFormatting xmlns:xm="http://schemas.microsoft.com/office/excel/2006/main">
          <x14:cfRule type="dataBar" id="{83F6E77E-97FB-4356-ACE1-9254CCCB8E3C}">
            <x14:dataBar minLength="0" maxLength="100" border="1" negativeBarBorderColorSameAsPositive="0">
              <x14:cfvo type="autoMin"/>
              <x14:cfvo type="autoMax"/>
              <x14:borderColor rgb="FF63C384"/>
              <x14:negativeFillColor rgb="FFFF0000"/>
              <x14:negativeBorderColor rgb="FFFF0000"/>
              <x14:axisColor rgb="FF000000"/>
            </x14:dataBar>
          </x14:cfRule>
          <xm:sqref>AF121</xm:sqref>
        </x14:conditionalFormatting>
        <x14:conditionalFormatting xmlns:xm="http://schemas.microsoft.com/office/excel/2006/main">
          <x14:cfRule type="dataBar" id="{6EBFB19A-4AF1-4573-8415-6AD96259E28C}">
            <x14:dataBar minLength="0" maxLength="100" border="1" negativeBarBorderColorSameAsPositive="0">
              <x14:cfvo type="autoMin"/>
              <x14:cfvo type="autoMax"/>
              <x14:borderColor rgb="FF63C384"/>
              <x14:negativeFillColor rgb="FFFF0000"/>
              <x14:negativeBorderColor rgb="FFFF0000"/>
              <x14:axisColor rgb="FF000000"/>
            </x14:dataBar>
          </x14:cfRule>
          <xm:sqref>AF121</xm:sqref>
        </x14:conditionalFormatting>
        <x14:conditionalFormatting xmlns:xm="http://schemas.microsoft.com/office/excel/2006/main">
          <x14:cfRule type="dataBar" id="{F3C302EE-06C1-45E1-A488-84EE9BD236C2}">
            <x14:dataBar minLength="0" maxLength="100" border="1" negativeBarBorderColorSameAsPositive="0">
              <x14:cfvo type="autoMin"/>
              <x14:cfvo type="autoMax"/>
              <x14:borderColor rgb="FF63C384"/>
              <x14:negativeFillColor rgb="FFFF0000"/>
              <x14:negativeBorderColor rgb="FFFF0000"/>
              <x14:axisColor rgb="FF000000"/>
            </x14:dataBar>
          </x14:cfRule>
          <xm:sqref>AF122</xm:sqref>
        </x14:conditionalFormatting>
        <x14:conditionalFormatting xmlns:xm="http://schemas.microsoft.com/office/excel/2006/main">
          <x14:cfRule type="dataBar" id="{7BEF0203-9747-4E03-A97C-722A22CAE3B2}">
            <x14:dataBar minLength="0" maxLength="100" border="1" negativeBarBorderColorSameAsPositive="0">
              <x14:cfvo type="autoMin"/>
              <x14:cfvo type="autoMax"/>
              <x14:borderColor rgb="FF63C384"/>
              <x14:negativeFillColor rgb="FFFF0000"/>
              <x14:negativeBorderColor rgb="FFFF0000"/>
              <x14:axisColor rgb="FF000000"/>
            </x14:dataBar>
          </x14:cfRule>
          <xm:sqref>AF123</xm:sqref>
        </x14:conditionalFormatting>
        <x14:conditionalFormatting xmlns:xm="http://schemas.microsoft.com/office/excel/2006/main">
          <x14:cfRule type="dataBar" id="{9897E3AB-824A-40D9-ABB8-08BB65D0F32A}">
            <x14:dataBar minLength="0" maxLength="100" border="1" negativeBarBorderColorSameAsPositive="0">
              <x14:cfvo type="autoMin"/>
              <x14:cfvo type="autoMax"/>
              <x14:borderColor rgb="FF63C384"/>
              <x14:negativeFillColor rgb="FFFF0000"/>
              <x14:negativeBorderColor rgb="FFFF0000"/>
              <x14:axisColor rgb="FF000000"/>
            </x14:dataBar>
          </x14:cfRule>
          <xm:sqref>AF123</xm:sqref>
        </x14:conditionalFormatting>
        <x14:conditionalFormatting xmlns:xm="http://schemas.microsoft.com/office/excel/2006/main">
          <x14:cfRule type="dataBar" id="{01C9D988-F9B7-4ADB-850E-BD6CCC11E958}">
            <x14:dataBar minLength="0" maxLength="100" border="1" negativeBarBorderColorSameAsPositive="0">
              <x14:cfvo type="autoMin"/>
              <x14:cfvo type="autoMax"/>
              <x14:borderColor rgb="FF63C384"/>
              <x14:negativeFillColor rgb="FFFF0000"/>
              <x14:negativeBorderColor rgb="FFFF0000"/>
              <x14:axisColor rgb="FF000000"/>
            </x14:dataBar>
          </x14:cfRule>
          <xm:sqref>AF123</xm:sqref>
        </x14:conditionalFormatting>
        <x14:conditionalFormatting xmlns:xm="http://schemas.microsoft.com/office/excel/2006/main">
          <x14:cfRule type="dataBar" id="{C785D116-14BF-49A5-8D36-7681A7504B58}">
            <x14:dataBar minLength="0" maxLength="100" border="1" negativeBarBorderColorSameAsPositive="0">
              <x14:cfvo type="autoMin"/>
              <x14:cfvo type="autoMax"/>
              <x14:borderColor rgb="FF63C384"/>
              <x14:negativeFillColor rgb="FFFF0000"/>
              <x14:negativeBorderColor rgb="FFFF0000"/>
              <x14:axisColor rgb="FF000000"/>
            </x14:dataBar>
          </x14:cfRule>
          <xm:sqref>AF123</xm:sqref>
        </x14:conditionalFormatting>
        <x14:conditionalFormatting xmlns:xm="http://schemas.microsoft.com/office/excel/2006/main">
          <x14:cfRule type="dataBar" id="{24D93167-E548-442A-AED1-9A79F511B681}">
            <x14:dataBar minLength="0" maxLength="100" border="1" negativeBarBorderColorSameAsPositive="0">
              <x14:cfvo type="autoMin"/>
              <x14:cfvo type="autoMax"/>
              <x14:borderColor rgb="FF63C384"/>
              <x14:negativeFillColor rgb="FFFF0000"/>
              <x14:negativeBorderColor rgb="FFFF0000"/>
              <x14:axisColor rgb="FF000000"/>
            </x14:dataBar>
          </x14:cfRule>
          <xm:sqref>AF124</xm:sqref>
        </x14:conditionalFormatting>
        <x14:conditionalFormatting xmlns:xm="http://schemas.microsoft.com/office/excel/2006/main">
          <x14:cfRule type="dataBar" id="{857E7E4E-11A1-463D-A0C2-FF7C34BE6034}">
            <x14:dataBar minLength="0" maxLength="100" border="1" negativeBarBorderColorSameAsPositive="0">
              <x14:cfvo type="autoMin"/>
              <x14:cfvo type="autoMax"/>
              <x14:borderColor rgb="FF63C384"/>
              <x14:negativeFillColor rgb="FFFF0000"/>
              <x14:negativeBorderColor rgb="FFFF0000"/>
              <x14:axisColor rgb="FF000000"/>
            </x14:dataBar>
          </x14:cfRule>
          <xm:sqref>AF124</xm:sqref>
        </x14:conditionalFormatting>
        <x14:conditionalFormatting xmlns:xm="http://schemas.microsoft.com/office/excel/2006/main">
          <x14:cfRule type="dataBar" id="{B59991E2-0299-4456-9DC3-BE7E9FAB6A4C}">
            <x14:dataBar minLength="0" maxLength="100" border="1" negativeBarBorderColorSameAsPositive="0">
              <x14:cfvo type="autoMin"/>
              <x14:cfvo type="autoMax"/>
              <x14:borderColor rgb="FF63C384"/>
              <x14:negativeFillColor rgb="FFFF0000"/>
              <x14:negativeBorderColor rgb="FFFF0000"/>
              <x14:axisColor rgb="FF000000"/>
            </x14:dataBar>
          </x14:cfRule>
          <xm:sqref>AF125</xm:sqref>
        </x14:conditionalFormatting>
        <x14:conditionalFormatting xmlns:xm="http://schemas.microsoft.com/office/excel/2006/main">
          <x14:cfRule type="dataBar" id="{88B950B8-9405-44A3-8BAE-6E780944C95F}">
            <x14:dataBar minLength="0" maxLength="100" border="1" negativeBarBorderColorSameAsPositive="0">
              <x14:cfvo type="autoMin"/>
              <x14:cfvo type="autoMax"/>
              <x14:borderColor rgb="FF63C384"/>
              <x14:negativeFillColor rgb="FFFF0000"/>
              <x14:negativeBorderColor rgb="FFFF0000"/>
              <x14:axisColor rgb="FF000000"/>
            </x14:dataBar>
          </x14:cfRule>
          <xm:sqref>AF125</xm:sqref>
        </x14:conditionalFormatting>
        <x14:conditionalFormatting xmlns:xm="http://schemas.microsoft.com/office/excel/2006/main">
          <x14:cfRule type="dataBar" id="{3E5E8AEA-64D3-4484-B387-023E2E9DB96E}">
            <x14:dataBar minLength="0" maxLength="100" border="1" negativeBarBorderColorSameAsPositive="0">
              <x14:cfvo type="autoMin"/>
              <x14:cfvo type="autoMax"/>
              <x14:borderColor rgb="FF63C384"/>
              <x14:negativeFillColor rgb="FFFF0000"/>
              <x14:negativeBorderColor rgb="FFFF0000"/>
              <x14:axisColor rgb="FF000000"/>
            </x14:dataBar>
          </x14:cfRule>
          <xm:sqref>AF125</xm:sqref>
        </x14:conditionalFormatting>
        <x14:conditionalFormatting xmlns:xm="http://schemas.microsoft.com/office/excel/2006/main">
          <x14:cfRule type="dataBar" id="{A6AC5BFE-1C19-4DD0-8404-5F48785D23F9}">
            <x14:dataBar minLength="0" maxLength="100" border="1" negativeBarBorderColorSameAsPositive="0">
              <x14:cfvo type="autoMin"/>
              <x14:cfvo type="autoMax"/>
              <x14:borderColor rgb="FF63C384"/>
              <x14:negativeFillColor rgb="FFFF0000"/>
              <x14:negativeBorderColor rgb="FFFF0000"/>
              <x14:axisColor rgb="FF000000"/>
            </x14:dataBar>
          </x14:cfRule>
          <xm:sqref>AF125</xm:sqref>
        </x14:conditionalFormatting>
        <x14:conditionalFormatting xmlns:xm="http://schemas.microsoft.com/office/excel/2006/main">
          <x14:cfRule type="dataBar" id="{D896035A-AC85-45B6-BBDA-3534E6A8F627}">
            <x14:dataBar minLength="0" maxLength="100" border="1" negativeBarBorderColorSameAsPositive="0">
              <x14:cfvo type="autoMin"/>
              <x14:cfvo type="autoMax"/>
              <x14:borderColor rgb="FF63C384"/>
              <x14:negativeFillColor rgb="FFFF0000"/>
              <x14:negativeBorderColor rgb="FFFF0000"/>
              <x14:axisColor rgb="FF000000"/>
            </x14:dataBar>
          </x14:cfRule>
          <xm:sqref>AF127</xm:sqref>
        </x14:conditionalFormatting>
        <x14:conditionalFormatting xmlns:xm="http://schemas.microsoft.com/office/excel/2006/main">
          <x14:cfRule type="dataBar" id="{59CC54EA-C0F2-4DED-B480-1F136C3F4220}">
            <x14:dataBar minLength="0" maxLength="100" border="1" negativeBarBorderColorSameAsPositive="0">
              <x14:cfvo type="autoMin"/>
              <x14:cfvo type="autoMax"/>
              <x14:borderColor rgb="FF63C384"/>
              <x14:negativeFillColor rgb="FFFF0000"/>
              <x14:negativeBorderColor rgb="FFFF0000"/>
              <x14:axisColor rgb="FF000000"/>
            </x14:dataBar>
          </x14:cfRule>
          <xm:sqref>AF127</xm:sqref>
        </x14:conditionalFormatting>
        <x14:conditionalFormatting xmlns:xm="http://schemas.microsoft.com/office/excel/2006/main">
          <x14:cfRule type="dataBar" id="{1ED6B0AE-5F9C-4069-9092-1F65F4C444B4}">
            <x14:dataBar minLength="0" maxLength="100" border="1" negativeBarBorderColorSameAsPositive="0">
              <x14:cfvo type="autoMin"/>
              <x14:cfvo type="autoMax"/>
              <x14:borderColor rgb="FF63C384"/>
              <x14:negativeFillColor rgb="FFFF0000"/>
              <x14:negativeBorderColor rgb="FFFF0000"/>
              <x14:axisColor rgb="FF000000"/>
            </x14:dataBar>
          </x14:cfRule>
          <xm:sqref>AF128</xm:sqref>
        </x14:conditionalFormatting>
        <x14:conditionalFormatting xmlns:xm="http://schemas.microsoft.com/office/excel/2006/main">
          <x14:cfRule type="dataBar" id="{3E71F378-49C1-4785-857F-90AA5B6DA3AF}">
            <x14:dataBar minLength="0" maxLength="100" border="1" negativeBarBorderColorSameAsPositive="0">
              <x14:cfvo type="autoMin"/>
              <x14:cfvo type="autoMax"/>
              <x14:borderColor rgb="FF63C384"/>
              <x14:negativeFillColor rgb="FFFF0000"/>
              <x14:negativeBorderColor rgb="FFFF0000"/>
              <x14:axisColor rgb="FF000000"/>
            </x14:dataBar>
          </x14:cfRule>
          <xm:sqref>AF128</xm:sqref>
        </x14:conditionalFormatting>
        <x14:conditionalFormatting xmlns:xm="http://schemas.microsoft.com/office/excel/2006/main">
          <x14:cfRule type="dataBar" id="{510F024D-2845-4B80-AE43-A3E694447A5D}">
            <x14:dataBar minLength="0" maxLength="100" border="1" negativeBarBorderColorSameAsPositive="0">
              <x14:cfvo type="autoMin"/>
              <x14:cfvo type="autoMax"/>
              <x14:borderColor rgb="FF63C384"/>
              <x14:negativeFillColor rgb="FFFF0000"/>
              <x14:negativeBorderColor rgb="FFFF0000"/>
              <x14:axisColor rgb="FF000000"/>
            </x14:dataBar>
          </x14:cfRule>
          <xm:sqref>AF129</xm:sqref>
        </x14:conditionalFormatting>
        <x14:conditionalFormatting xmlns:xm="http://schemas.microsoft.com/office/excel/2006/main">
          <x14:cfRule type="dataBar" id="{0A2B8F03-0F4C-43DD-9A27-3D62ECBC1DA3}">
            <x14:dataBar minLength="0" maxLength="100" border="1" negativeBarBorderColorSameAsPositive="0">
              <x14:cfvo type="autoMin"/>
              <x14:cfvo type="autoMax"/>
              <x14:borderColor rgb="FF63C384"/>
              <x14:negativeFillColor rgb="FFFF0000"/>
              <x14:negativeBorderColor rgb="FFFF0000"/>
              <x14:axisColor rgb="FF000000"/>
            </x14:dataBar>
          </x14:cfRule>
          <xm:sqref>AF129</xm:sqref>
        </x14:conditionalFormatting>
        <x14:conditionalFormatting xmlns:xm="http://schemas.microsoft.com/office/excel/2006/main">
          <x14:cfRule type="dataBar" id="{413F6913-2E0E-429E-A2BF-01CDC914622D}">
            <x14:dataBar minLength="0" maxLength="100" border="1" negativeBarBorderColorSameAsPositive="0">
              <x14:cfvo type="autoMin"/>
              <x14:cfvo type="autoMax"/>
              <x14:borderColor rgb="FF63C384"/>
              <x14:negativeFillColor rgb="FFFF0000"/>
              <x14:negativeBorderColor rgb="FFFF0000"/>
              <x14:axisColor rgb="FF000000"/>
            </x14:dataBar>
          </x14:cfRule>
          <xm:sqref>AF129</xm:sqref>
        </x14:conditionalFormatting>
        <x14:conditionalFormatting xmlns:xm="http://schemas.microsoft.com/office/excel/2006/main">
          <x14:cfRule type="dataBar" id="{D52E6A21-9D86-4CA3-8C83-D44A1C1A7FB3}">
            <x14:dataBar minLength="0" maxLength="100" border="1" negativeBarBorderColorSameAsPositive="0">
              <x14:cfvo type="autoMin"/>
              <x14:cfvo type="autoMax"/>
              <x14:borderColor rgb="FF63C384"/>
              <x14:negativeFillColor rgb="FFFF0000"/>
              <x14:negativeBorderColor rgb="FFFF0000"/>
              <x14:axisColor rgb="FF000000"/>
            </x14:dataBar>
          </x14:cfRule>
          <xm:sqref>AF129</xm:sqref>
        </x14:conditionalFormatting>
        <x14:conditionalFormatting xmlns:xm="http://schemas.microsoft.com/office/excel/2006/main">
          <x14:cfRule type="dataBar" id="{7597DD75-15CA-4F1F-8B33-176FAFE595E8}">
            <x14:dataBar minLength="0" maxLength="100" border="1" negativeBarBorderColorSameAsPositive="0">
              <x14:cfvo type="autoMin"/>
              <x14:cfvo type="autoMax"/>
              <x14:borderColor rgb="FF63C384"/>
              <x14:negativeFillColor rgb="FFFF0000"/>
              <x14:negativeBorderColor rgb="FFFF0000"/>
              <x14:axisColor rgb="FF000000"/>
            </x14:dataBar>
          </x14:cfRule>
          <xm:sqref>AF129</xm:sqref>
        </x14:conditionalFormatting>
        <x14:conditionalFormatting xmlns:xm="http://schemas.microsoft.com/office/excel/2006/main">
          <x14:cfRule type="dataBar" id="{D8134D73-122D-4697-8FCD-C741C85DA586}">
            <x14:dataBar minLength="0" maxLength="100" border="1" negativeBarBorderColorSameAsPositive="0">
              <x14:cfvo type="autoMin"/>
              <x14:cfvo type="autoMax"/>
              <x14:borderColor rgb="FF63C384"/>
              <x14:negativeFillColor rgb="FFFF0000"/>
              <x14:negativeBorderColor rgb="FFFF0000"/>
              <x14:axisColor rgb="FF000000"/>
            </x14:dataBar>
          </x14:cfRule>
          <xm:sqref>AF129</xm:sqref>
        </x14:conditionalFormatting>
        <x14:conditionalFormatting xmlns:xm="http://schemas.microsoft.com/office/excel/2006/main">
          <x14:cfRule type="dataBar" id="{F315870B-BA9C-4FAD-B2FD-765914B79E66}">
            <x14:dataBar minLength="0" maxLength="100" border="1" negativeBarBorderColorSameAsPositive="0">
              <x14:cfvo type="autoMin"/>
              <x14:cfvo type="autoMax"/>
              <x14:borderColor rgb="FF63C384"/>
              <x14:negativeFillColor rgb="FFFF0000"/>
              <x14:negativeBorderColor rgb="FFFF0000"/>
              <x14:axisColor rgb="FF000000"/>
            </x14:dataBar>
          </x14:cfRule>
          <xm:sqref>AF129</xm:sqref>
        </x14:conditionalFormatting>
        <x14:conditionalFormatting xmlns:xm="http://schemas.microsoft.com/office/excel/2006/main">
          <x14:cfRule type="dataBar" id="{8F3AFA51-7246-498E-9D38-AC5890165F11}">
            <x14:dataBar minLength="0" maxLength="100" border="1" negativeBarBorderColorSameAsPositive="0">
              <x14:cfvo type="autoMin"/>
              <x14:cfvo type="autoMax"/>
              <x14:borderColor rgb="FF63C384"/>
              <x14:negativeFillColor rgb="FFFF0000"/>
              <x14:negativeBorderColor rgb="FFFF0000"/>
              <x14:axisColor rgb="FF000000"/>
            </x14:dataBar>
          </x14:cfRule>
          <xm:sqref>AF129</xm:sqref>
        </x14:conditionalFormatting>
        <x14:conditionalFormatting xmlns:xm="http://schemas.microsoft.com/office/excel/2006/main">
          <x14:cfRule type="dataBar" id="{3E27878C-9B2D-45A3-A9C2-274C62929B40}">
            <x14:dataBar minLength="0" maxLength="100" border="1" negativeBarBorderColorSameAsPositive="0">
              <x14:cfvo type="autoMin"/>
              <x14:cfvo type="autoMax"/>
              <x14:borderColor rgb="FF63C384"/>
              <x14:negativeFillColor rgb="FFFF0000"/>
              <x14:negativeBorderColor rgb="FFFF0000"/>
              <x14:axisColor rgb="FF000000"/>
            </x14:dataBar>
          </x14:cfRule>
          <xm:sqref>AF130</xm:sqref>
        </x14:conditionalFormatting>
        <x14:conditionalFormatting xmlns:xm="http://schemas.microsoft.com/office/excel/2006/main">
          <x14:cfRule type="dataBar" id="{A8D24F91-FFB6-44AB-9559-F8682A0B0DD2}">
            <x14:dataBar minLength="0" maxLength="100" border="1" negativeBarBorderColorSameAsPositive="0">
              <x14:cfvo type="autoMin"/>
              <x14:cfvo type="autoMax"/>
              <x14:borderColor rgb="FF63C384"/>
              <x14:negativeFillColor rgb="FFFF0000"/>
              <x14:negativeBorderColor rgb="FFFF0000"/>
              <x14:axisColor rgb="FF000000"/>
            </x14:dataBar>
          </x14:cfRule>
          <xm:sqref>AF131</xm:sqref>
        </x14:conditionalFormatting>
        <x14:conditionalFormatting xmlns:xm="http://schemas.microsoft.com/office/excel/2006/main">
          <x14:cfRule type="dataBar" id="{734E7AB4-D416-49BD-94AE-FE1A1E860B49}">
            <x14:dataBar minLength="0" maxLength="100" border="1" negativeBarBorderColorSameAsPositive="0">
              <x14:cfvo type="autoMin"/>
              <x14:cfvo type="autoMax"/>
              <x14:borderColor rgb="FF63C384"/>
              <x14:negativeFillColor rgb="FFFF0000"/>
              <x14:negativeBorderColor rgb="FFFF0000"/>
              <x14:axisColor rgb="FF000000"/>
            </x14:dataBar>
          </x14:cfRule>
          <xm:sqref>AF132</xm:sqref>
        </x14:conditionalFormatting>
        <x14:conditionalFormatting xmlns:xm="http://schemas.microsoft.com/office/excel/2006/main">
          <x14:cfRule type="dataBar" id="{A2252B7B-2CD1-43E4-BB06-0C1F66DBE266}">
            <x14:dataBar minLength="0" maxLength="100" border="1" negativeBarBorderColorSameAsPositive="0">
              <x14:cfvo type="autoMin"/>
              <x14:cfvo type="autoMax"/>
              <x14:borderColor rgb="FF63C384"/>
              <x14:negativeFillColor rgb="FFFF0000"/>
              <x14:negativeBorderColor rgb="FFFF0000"/>
              <x14:axisColor rgb="FF000000"/>
            </x14:dataBar>
          </x14:cfRule>
          <xm:sqref>AF132</xm:sqref>
        </x14:conditionalFormatting>
        <x14:conditionalFormatting xmlns:xm="http://schemas.microsoft.com/office/excel/2006/main">
          <x14:cfRule type="dataBar" id="{0166A591-55AC-4455-A26C-95179BE77D70}">
            <x14:dataBar minLength="0" maxLength="100" border="1" negativeBarBorderColorSameAsPositive="0">
              <x14:cfvo type="autoMin"/>
              <x14:cfvo type="autoMax"/>
              <x14:borderColor rgb="FF63C384"/>
              <x14:negativeFillColor rgb="FFFF0000"/>
              <x14:negativeBorderColor rgb="FFFF0000"/>
              <x14:axisColor rgb="FF000000"/>
            </x14:dataBar>
          </x14:cfRule>
          <xm:sqref>AF133</xm:sqref>
        </x14:conditionalFormatting>
        <x14:conditionalFormatting xmlns:xm="http://schemas.microsoft.com/office/excel/2006/main">
          <x14:cfRule type="dataBar" id="{33CE5267-A30F-4503-A52D-6C18769384C5}">
            <x14:dataBar minLength="0" maxLength="100" border="1" negativeBarBorderColorSameAsPositive="0">
              <x14:cfvo type="autoMin"/>
              <x14:cfvo type="autoMax"/>
              <x14:borderColor rgb="FF63C384"/>
              <x14:negativeFillColor rgb="FFFF0000"/>
              <x14:negativeBorderColor rgb="FFFF0000"/>
              <x14:axisColor rgb="FF000000"/>
            </x14:dataBar>
          </x14:cfRule>
          <xm:sqref>AF133</xm:sqref>
        </x14:conditionalFormatting>
        <x14:conditionalFormatting xmlns:xm="http://schemas.microsoft.com/office/excel/2006/main">
          <x14:cfRule type="dataBar" id="{A11D8767-527F-4885-8AC4-DDCB3D5F3AE7}">
            <x14:dataBar minLength="0" maxLength="100" border="1" negativeBarBorderColorSameAsPositive="0">
              <x14:cfvo type="autoMin"/>
              <x14:cfvo type="autoMax"/>
              <x14:borderColor rgb="FF63C384"/>
              <x14:negativeFillColor rgb="FFFF0000"/>
              <x14:negativeBorderColor rgb="FFFF0000"/>
              <x14:axisColor rgb="FF000000"/>
            </x14:dataBar>
          </x14:cfRule>
          <xm:sqref>AF133</xm:sqref>
        </x14:conditionalFormatting>
        <x14:conditionalFormatting xmlns:xm="http://schemas.microsoft.com/office/excel/2006/main">
          <x14:cfRule type="dataBar" id="{6458632F-CB44-4D8F-AD85-4983DAD68DDE}">
            <x14:dataBar minLength="0" maxLength="100" border="1" negativeBarBorderColorSameAsPositive="0">
              <x14:cfvo type="autoMin"/>
              <x14:cfvo type="autoMax"/>
              <x14:borderColor rgb="FF63C384"/>
              <x14:negativeFillColor rgb="FFFF0000"/>
              <x14:negativeBorderColor rgb="FFFF0000"/>
              <x14:axisColor rgb="FF000000"/>
            </x14:dataBar>
          </x14:cfRule>
          <xm:sqref>AF133</xm:sqref>
        </x14:conditionalFormatting>
        <x14:conditionalFormatting xmlns:xm="http://schemas.microsoft.com/office/excel/2006/main">
          <x14:cfRule type="dataBar" id="{737BC350-B860-48DB-8262-5394C54071A3}">
            <x14:dataBar minLength="0" maxLength="100" border="1" negativeBarBorderColorSameAsPositive="0">
              <x14:cfvo type="autoMin"/>
              <x14:cfvo type="autoMax"/>
              <x14:borderColor rgb="FF63C384"/>
              <x14:negativeFillColor rgb="FFFF0000"/>
              <x14:negativeBorderColor rgb="FFFF0000"/>
              <x14:axisColor rgb="FF000000"/>
            </x14:dataBar>
          </x14:cfRule>
          <xm:sqref>AF134</xm:sqref>
        </x14:conditionalFormatting>
        <x14:conditionalFormatting xmlns:xm="http://schemas.microsoft.com/office/excel/2006/main">
          <x14:cfRule type="dataBar" id="{23580082-C523-49CF-9B85-238B9BFE0846}">
            <x14:dataBar minLength="0" maxLength="100" border="1" negativeBarBorderColorSameAsPositive="0">
              <x14:cfvo type="autoMin"/>
              <x14:cfvo type="autoMax"/>
              <x14:borderColor rgb="FF63C384"/>
              <x14:negativeFillColor rgb="FFFF0000"/>
              <x14:negativeBorderColor rgb="FFFF0000"/>
              <x14:axisColor rgb="FF000000"/>
            </x14:dataBar>
          </x14:cfRule>
          <xm:sqref>AF135</xm:sqref>
        </x14:conditionalFormatting>
        <x14:conditionalFormatting xmlns:xm="http://schemas.microsoft.com/office/excel/2006/main">
          <x14:cfRule type="dataBar" id="{2D2209D9-970E-4F49-811F-A36CD2DF070F}">
            <x14:dataBar minLength="0" maxLength="100" border="1" negativeBarBorderColorSameAsPositive="0">
              <x14:cfvo type="autoMin"/>
              <x14:cfvo type="autoMax"/>
              <x14:borderColor rgb="FF63C384"/>
              <x14:negativeFillColor rgb="FFFF0000"/>
              <x14:negativeBorderColor rgb="FFFF0000"/>
              <x14:axisColor rgb="FF000000"/>
            </x14:dataBar>
          </x14:cfRule>
          <xm:sqref>AF135</xm:sqref>
        </x14:conditionalFormatting>
        <x14:conditionalFormatting xmlns:xm="http://schemas.microsoft.com/office/excel/2006/main">
          <x14:cfRule type="dataBar" id="{B6AA3904-CFB0-46E6-82FF-7E9988552268}">
            <x14:dataBar minLength="0" maxLength="100" border="1" negativeBarBorderColorSameAsPositive="0">
              <x14:cfvo type="autoMin"/>
              <x14:cfvo type="autoMax"/>
              <x14:borderColor rgb="FF63C384"/>
              <x14:negativeFillColor rgb="FFFF0000"/>
              <x14:negativeBorderColor rgb="FFFF0000"/>
              <x14:axisColor rgb="FF000000"/>
            </x14:dataBar>
          </x14:cfRule>
          <xm:sqref>AF135</xm:sqref>
        </x14:conditionalFormatting>
        <x14:conditionalFormatting xmlns:xm="http://schemas.microsoft.com/office/excel/2006/main">
          <x14:cfRule type="dataBar" id="{23214043-4EFD-4E5F-8E59-5EA4C4874280}">
            <x14:dataBar minLength="0" maxLength="100" border="1" negativeBarBorderColorSameAsPositive="0">
              <x14:cfvo type="autoMin"/>
              <x14:cfvo type="autoMax"/>
              <x14:borderColor rgb="FF63C384"/>
              <x14:negativeFillColor rgb="FFFF0000"/>
              <x14:negativeBorderColor rgb="FFFF0000"/>
              <x14:axisColor rgb="FF000000"/>
            </x14:dataBar>
          </x14:cfRule>
          <xm:sqref>AF135</xm:sqref>
        </x14:conditionalFormatting>
        <x14:conditionalFormatting xmlns:xm="http://schemas.microsoft.com/office/excel/2006/main">
          <x14:cfRule type="dataBar" id="{BC725E6F-02D4-4264-A062-59876D37A49B}">
            <x14:dataBar minLength="0" maxLength="100" border="1" negativeBarBorderColorSameAsPositive="0">
              <x14:cfvo type="autoMin"/>
              <x14:cfvo type="autoMax"/>
              <x14:borderColor rgb="FF63C384"/>
              <x14:negativeFillColor rgb="FFFF0000"/>
              <x14:negativeBorderColor rgb="FFFF0000"/>
              <x14:axisColor rgb="FF000000"/>
            </x14:dataBar>
          </x14:cfRule>
          <xm:sqref>AF136</xm:sqref>
        </x14:conditionalFormatting>
        <x14:conditionalFormatting xmlns:xm="http://schemas.microsoft.com/office/excel/2006/main">
          <x14:cfRule type="dataBar" id="{268E73AB-497E-46F7-8D28-B0FFB3DEB4AD}">
            <x14:dataBar minLength="0" maxLength="100" border="1" negativeBarBorderColorSameAsPositive="0">
              <x14:cfvo type="autoMin"/>
              <x14:cfvo type="autoMax"/>
              <x14:borderColor rgb="FF63C384"/>
              <x14:negativeFillColor rgb="FFFF0000"/>
              <x14:negativeBorderColor rgb="FFFF0000"/>
              <x14:axisColor rgb="FF000000"/>
            </x14:dataBar>
          </x14:cfRule>
          <xm:sqref>AF136</xm:sqref>
        </x14:conditionalFormatting>
        <x14:conditionalFormatting xmlns:xm="http://schemas.microsoft.com/office/excel/2006/main">
          <x14:cfRule type="dataBar" id="{53341D7F-84CC-438F-B19A-16F22A536CE8}">
            <x14:dataBar minLength="0" maxLength="100" border="1" negativeBarBorderColorSameAsPositive="0">
              <x14:cfvo type="autoMin"/>
              <x14:cfvo type="autoMax"/>
              <x14:borderColor rgb="FF63C384"/>
              <x14:negativeFillColor rgb="FFFF0000"/>
              <x14:negativeBorderColor rgb="FFFF0000"/>
              <x14:axisColor rgb="FF000000"/>
            </x14:dataBar>
          </x14:cfRule>
          <xm:sqref>AF136</xm:sqref>
        </x14:conditionalFormatting>
        <x14:conditionalFormatting xmlns:xm="http://schemas.microsoft.com/office/excel/2006/main">
          <x14:cfRule type="dataBar" id="{A52FA480-E681-4D06-866C-4167D888B8F3}">
            <x14:dataBar minLength="0" maxLength="100" border="1" negativeBarBorderColorSameAsPositive="0">
              <x14:cfvo type="autoMin"/>
              <x14:cfvo type="autoMax"/>
              <x14:borderColor rgb="FF63C384"/>
              <x14:negativeFillColor rgb="FFFF0000"/>
              <x14:negativeBorderColor rgb="FFFF0000"/>
              <x14:axisColor rgb="FF000000"/>
            </x14:dataBar>
          </x14:cfRule>
          <xm:sqref>AF136</xm:sqref>
        </x14:conditionalFormatting>
        <x14:conditionalFormatting xmlns:xm="http://schemas.microsoft.com/office/excel/2006/main">
          <x14:cfRule type="dataBar" id="{42B7F004-7642-47FE-A608-23A0A8824154}">
            <x14:dataBar minLength="0" maxLength="100" border="1" negativeBarBorderColorSameAsPositive="0">
              <x14:cfvo type="autoMin"/>
              <x14:cfvo type="autoMax"/>
              <x14:borderColor rgb="FF63C384"/>
              <x14:negativeFillColor rgb="FFFF0000"/>
              <x14:negativeBorderColor rgb="FFFF0000"/>
              <x14:axisColor rgb="FF000000"/>
            </x14:dataBar>
          </x14:cfRule>
          <xm:sqref>AF137</xm:sqref>
        </x14:conditionalFormatting>
        <x14:conditionalFormatting xmlns:xm="http://schemas.microsoft.com/office/excel/2006/main">
          <x14:cfRule type="dataBar" id="{416CDBA3-8956-4962-AB45-DBED2221E24D}">
            <x14:dataBar minLength="0" maxLength="100" border="1" negativeBarBorderColorSameAsPositive="0">
              <x14:cfvo type="autoMin"/>
              <x14:cfvo type="autoMax"/>
              <x14:borderColor rgb="FF63C384"/>
              <x14:negativeFillColor rgb="FFFF0000"/>
              <x14:negativeBorderColor rgb="FFFF0000"/>
              <x14:axisColor rgb="FF000000"/>
            </x14:dataBar>
          </x14:cfRule>
          <xm:sqref>AF137</xm:sqref>
        </x14:conditionalFormatting>
        <x14:conditionalFormatting xmlns:xm="http://schemas.microsoft.com/office/excel/2006/main">
          <x14:cfRule type="dataBar" id="{A30EC625-F019-46C2-8CE9-785F59570577}">
            <x14:dataBar minLength="0" maxLength="100" border="1" negativeBarBorderColorSameAsPositive="0">
              <x14:cfvo type="autoMin"/>
              <x14:cfvo type="autoMax"/>
              <x14:borderColor rgb="FF63C384"/>
              <x14:negativeFillColor rgb="FFFF0000"/>
              <x14:negativeBorderColor rgb="FFFF0000"/>
              <x14:axisColor rgb="FF000000"/>
            </x14:dataBar>
          </x14:cfRule>
          <xm:sqref>AF139</xm:sqref>
        </x14:conditionalFormatting>
        <x14:conditionalFormatting xmlns:xm="http://schemas.microsoft.com/office/excel/2006/main">
          <x14:cfRule type="dataBar" id="{7939D698-314A-4BA1-870A-BE8DD4CB6AEE}">
            <x14:dataBar minLength="0" maxLength="100" border="1" negativeBarBorderColorSameAsPositive="0">
              <x14:cfvo type="autoMin"/>
              <x14:cfvo type="autoMax"/>
              <x14:borderColor rgb="FF63C384"/>
              <x14:negativeFillColor rgb="FFFF0000"/>
              <x14:negativeBorderColor rgb="FFFF0000"/>
              <x14:axisColor rgb="FF000000"/>
            </x14:dataBar>
          </x14:cfRule>
          <xm:sqref>AF109:AF110</xm:sqref>
        </x14:conditionalFormatting>
        <x14:conditionalFormatting xmlns:xm="http://schemas.microsoft.com/office/excel/2006/main">
          <x14:cfRule type="dataBar" id="{79E27863-9FDD-4BB6-9424-F63F415FF207}">
            <x14:dataBar minLength="0" maxLength="100" border="1" negativeBarBorderColorSameAsPositive="0">
              <x14:cfvo type="autoMin"/>
              <x14:cfvo type="autoMax"/>
              <x14:borderColor rgb="FF63C384"/>
              <x14:negativeFillColor rgb="FFFF0000"/>
              <x14:negativeBorderColor rgb="FFFF0000"/>
              <x14:axisColor rgb="FF000000"/>
            </x14:dataBar>
          </x14:cfRule>
          <xm:sqref>AF140</xm:sqref>
        </x14:conditionalFormatting>
        <x14:conditionalFormatting xmlns:xm="http://schemas.microsoft.com/office/excel/2006/main">
          <x14:cfRule type="dataBar" id="{688BFE73-16E5-498A-9FE0-2A70CC508B08}">
            <x14:dataBar minLength="0" maxLength="100" border="1" negativeBarBorderColorSameAsPositive="0">
              <x14:cfvo type="autoMin"/>
              <x14:cfvo type="autoMax"/>
              <x14:borderColor rgb="FF63C384"/>
              <x14:negativeFillColor rgb="FFFF0000"/>
              <x14:negativeBorderColor rgb="FFFF0000"/>
              <x14:axisColor rgb="FF000000"/>
            </x14:dataBar>
          </x14:cfRule>
          <xm:sqref>AF140</xm:sqref>
        </x14:conditionalFormatting>
        <x14:conditionalFormatting xmlns:xm="http://schemas.microsoft.com/office/excel/2006/main">
          <x14:cfRule type="dataBar" id="{DBA8A527-3562-4EFE-875B-3C65B7597AE0}">
            <x14:dataBar minLength="0" maxLength="100" border="1" negativeBarBorderColorSameAsPositive="0">
              <x14:cfvo type="autoMin"/>
              <x14:cfvo type="autoMax"/>
              <x14:borderColor rgb="FF63C384"/>
              <x14:negativeFillColor rgb="FFFF0000"/>
              <x14:negativeBorderColor rgb="FFFF0000"/>
              <x14:axisColor rgb="FF000000"/>
            </x14:dataBar>
          </x14:cfRule>
          <xm:sqref>AF140</xm:sqref>
        </x14:conditionalFormatting>
        <x14:conditionalFormatting xmlns:xm="http://schemas.microsoft.com/office/excel/2006/main">
          <x14:cfRule type="dataBar" id="{6FF63EAB-5344-46F6-93C7-91961C54B54C}">
            <x14:dataBar minLength="0" maxLength="100" border="1" negativeBarBorderColorSameAsPositive="0">
              <x14:cfvo type="autoMin"/>
              <x14:cfvo type="autoMax"/>
              <x14:borderColor rgb="FF63C384"/>
              <x14:negativeFillColor rgb="FFFF0000"/>
              <x14:negativeBorderColor rgb="FFFF0000"/>
              <x14:axisColor rgb="FF000000"/>
            </x14:dataBar>
          </x14:cfRule>
          <xm:sqref>AF140</xm:sqref>
        </x14:conditionalFormatting>
        <x14:conditionalFormatting xmlns:xm="http://schemas.microsoft.com/office/excel/2006/main">
          <x14:cfRule type="dataBar" id="{E7873527-93F0-40A8-9413-26AD39E3366E}">
            <x14:dataBar minLength="0" maxLength="100" border="1" negativeBarBorderColorSameAsPositive="0">
              <x14:cfvo type="autoMin"/>
              <x14:cfvo type="autoMax"/>
              <x14:borderColor rgb="FF63C384"/>
              <x14:negativeFillColor rgb="FFFF0000"/>
              <x14:negativeBorderColor rgb="FFFF0000"/>
              <x14:axisColor rgb="FF000000"/>
            </x14:dataBar>
          </x14:cfRule>
          <xm:sqref>AF142</xm:sqref>
        </x14:conditionalFormatting>
        <x14:conditionalFormatting xmlns:xm="http://schemas.microsoft.com/office/excel/2006/main">
          <x14:cfRule type="dataBar" id="{CA218CFF-F865-4557-B949-6D557DE3547C}">
            <x14:dataBar minLength="0" maxLength="100" border="1" negativeBarBorderColorSameAsPositive="0">
              <x14:cfvo type="autoMin"/>
              <x14:cfvo type="autoMax"/>
              <x14:borderColor rgb="FF63C384"/>
              <x14:negativeFillColor rgb="FFFF0000"/>
              <x14:negativeBorderColor rgb="FFFF0000"/>
              <x14:axisColor rgb="FF000000"/>
            </x14:dataBar>
          </x14:cfRule>
          <xm:sqref>AF142</xm:sqref>
        </x14:conditionalFormatting>
        <x14:conditionalFormatting xmlns:xm="http://schemas.microsoft.com/office/excel/2006/main">
          <x14:cfRule type="dataBar" id="{65EBBBA7-3BD1-4058-8D73-8DE07805E5D2}">
            <x14:dataBar minLength="0" maxLength="100" border="1" negativeBarBorderColorSameAsPositive="0">
              <x14:cfvo type="autoMin"/>
              <x14:cfvo type="autoMax"/>
              <x14:borderColor rgb="FF63C384"/>
              <x14:negativeFillColor rgb="FFFF0000"/>
              <x14:negativeBorderColor rgb="FFFF0000"/>
              <x14:axisColor rgb="FF000000"/>
            </x14:dataBar>
          </x14:cfRule>
          <xm:sqref>AF143</xm:sqref>
        </x14:conditionalFormatting>
        <x14:conditionalFormatting xmlns:xm="http://schemas.microsoft.com/office/excel/2006/main">
          <x14:cfRule type="dataBar" id="{74457535-772E-457D-9361-15DC1C35B10D}">
            <x14:dataBar minLength="0" maxLength="100" border="1" negativeBarBorderColorSameAsPositive="0">
              <x14:cfvo type="autoMin"/>
              <x14:cfvo type="autoMax"/>
              <x14:borderColor rgb="FF63C384"/>
              <x14:negativeFillColor rgb="FFFF0000"/>
              <x14:negativeBorderColor rgb="FFFF0000"/>
              <x14:axisColor rgb="FF000000"/>
            </x14:dataBar>
          </x14:cfRule>
          <xm:sqref>AF144</xm:sqref>
        </x14:conditionalFormatting>
        <x14:conditionalFormatting xmlns:xm="http://schemas.microsoft.com/office/excel/2006/main">
          <x14:cfRule type="dataBar" id="{E03687DD-455F-4BD3-A306-7A6CB0F3204E}">
            <x14:dataBar minLength="0" maxLength="100" border="1" negativeBarBorderColorSameAsPositive="0">
              <x14:cfvo type="autoMin"/>
              <x14:cfvo type="autoMax"/>
              <x14:borderColor rgb="FF63C384"/>
              <x14:negativeFillColor rgb="FFFF0000"/>
              <x14:negativeBorderColor rgb="FFFF0000"/>
              <x14:axisColor rgb="FF000000"/>
            </x14:dataBar>
          </x14:cfRule>
          <xm:sqref>AF144</xm:sqref>
        </x14:conditionalFormatting>
        <x14:conditionalFormatting xmlns:xm="http://schemas.microsoft.com/office/excel/2006/main">
          <x14:cfRule type="dataBar" id="{B82B5978-195B-45D5-92A9-7D6B45FEEF3D}">
            <x14:dataBar minLength="0" maxLength="100" border="1" negativeBarBorderColorSameAsPositive="0">
              <x14:cfvo type="autoMin"/>
              <x14:cfvo type="autoMax"/>
              <x14:borderColor rgb="FF63C384"/>
              <x14:negativeFillColor rgb="FFFF0000"/>
              <x14:negativeBorderColor rgb="FFFF0000"/>
              <x14:axisColor rgb="FF000000"/>
            </x14:dataBar>
          </x14:cfRule>
          <xm:sqref>AF145</xm:sqref>
        </x14:conditionalFormatting>
        <x14:conditionalFormatting xmlns:xm="http://schemas.microsoft.com/office/excel/2006/main">
          <x14:cfRule type="dataBar" id="{3F6C9C09-C23F-48F4-9929-83D2F2E074CE}">
            <x14:dataBar minLength="0" maxLength="100" border="1" negativeBarBorderColorSameAsPositive="0">
              <x14:cfvo type="autoMin"/>
              <x14:cfvo type="autoMax"/>
              <x14:borderColor rgb="FF63C384"/>
              <x14:negativeFillColor rgb="FFFF0000"/>
              <x14:negativeBorderColor rgb="FFFF0000"/>
              <x14:axisColor rgb="FF000000"/>
            </x14:dataBar>
          </x14:cfRule>
          <xm:sqref>AF145</xm:sqref>
        </x14:conditionalFormatting>
        <x14:conditionalFormatting xmlns:xm="http://schemas.microsoft.com/office/excel/2006/main">
          <x14:cfRule type="dataBar" id="{09AA7396-D0FA-4192-ABE9-68EDB37B71A6}">
            <x14:dataBar minLength="0" maxLength="100" border="1" negativeBarBorderColorSameAsPositive="0">
              <x14:cfvo type="autoMin"/>
              <x14:cfvo type="autoMax"/>
              <x14:borderColor rgb="FF63C384"/>
              <x14:negativeFillColor rgb="FFFF0000"/>
              <x14:negativeBorderColor rgb="FFFF0000"/>
              <x14:axisColor rgb="FF000000"/>
            </x14:dataBar>
          </x14:cfRule>
          <xm:sqref>AF145</xm:sqref>
        </x14:conditionalFormatting>
        <x14:conditionalFormatting xmlns:xm="http://schemas.microsoft.com/office/excel/2006/main">
          <x14:cfRule type="dataBar" id="{145AE9A5-359A-48E5-9E8E-13CE83232090}">
            <x14:dataBar minLength="0" maxLength="100" border="1" negativeBarBorderColorSameAsPositive="0">
              <x14:cfvo type="autoMin"/>
              <x14:cfvo type="autoMax"/>
              <x14:borderColor rgb="FF63C384"/>
              <x14:negativeFillColor rgb="FFFF0000"/>
              <x14:negativeBorderColor rgb="FFFF0000"/>
              <x14:axisColor rgb="FF000000"/>
            </x14:dataBar>
          </x14:cfRule>
          <xm:sqref>AF145</xm:sqref>
        </x14:conditionalFormatting>
        <x14:conditionalFormatting xmlns:xm="http://schemas.microsoft.com/office/excel/2006/main">
          <x14:cfRule type="dataBar" id="{4CC44F22-DFCD-48D8-9154-3020D8D34908}">
            <x14:dataBar minLength="0" maxLength="100" border="1" negativeBarBorderColorSameAsPositive="0">
              <x14:cfvo type="autoMin"/>
              <x14:cfvo type="autoMax"/>
              <x14:borderColor rgb="FF63C384"/>
              <x14:negativeFillColor rgb="FFFF0000"/>
              <x14:negativeBorderColor rgb="FFFF0000"/>
              <x14:axisColor rgb="FF000000"/>
            </x14:dataBar>
          </x14:cfRule>
          <xm:sqref>AF145</xm:sqref>
        </x14:conditionalFormatting>
        <x14:conditionalFormatting xmlns:xm="http://schemas.microsoft.com/office/excel/2006/main">
          <x14:cfRule type="dataBar" id="{ABD8D259-2304-46C4-898D-93AC20A79F69}">
            <x14:dataBar minLength="0" maxLength="100" border="1" negativeBarBorderColorSameAsPositive="0">
              <x14:cfvo type="autoMin"/>
              <x14:cfvo type="autoMax"/>
              <x14:borderColor rgb="FF63C384"/>
              <x14:negativeFillColor rgb="FFFF0000"/>
              <x14:negativeBorderColor rgb="FFFF0000"/>
              <x14:axisColor rgb="FF000000"/>
            </x14:dataBar>
          </x14:cfRule>
          <xm:sqref>AF145</xm:sqref>
        </x14:conditionalFormatting>
        <x14:conditionalFormatting xmlns:xm="http://schemas.microsoft.com/office/excel/2006/main">
          <x14:cfRule type="dataBar" id="{F41FD2DD-CBA3-4610-B835-F0D43F431094}">
            <x14:dataBar minLength="0" maxLength="100" border="1" negativeBarBorderColorSameAsPositive="0">
              <x14:cfvo type="autoMin"/>
              <x14:cfvo type="autoMax"/>
              <x14:borderColor rgb="FF63C384"/>
              <x14:negativeFillColor rgb="FFFF0000"/>
              <x14:negativeBorderColor rgb="FFFF0000"/>
              <x14:axisColor rgb="FF000000"/>
            </x14:dataBar>
          </x14:cfRule>
          <xm:sqref>AF145</xm:sqref>
        </x14:conditionalFormatting>
        <x14:conditionalFormatting xmlns:xm="http://schemas.microsoft.com/office/excel/2006/main">
          <x14:cfRule type="dataBar" id="{2DF71FB5-9CDC-4F48-B4EB-A5B09ADA4146}">
            <x14:dataBar minLength="0" maxLength="100" border="1" negativeBarBorderColorSameAsPositive="0">
              <x14:cfvo type="autoMin"/>
              <x14:cfvo type="autoMax"/>
              <x14:borderColor rgb="FF63C384"/>
              <x14:negativeFillColor rgb="FFFF0000"/>
              <x14:negativeBorderColor rgb="FFFF0000"/>
              <x14:axisColor rgb="FF000000"/>
            </x14:dataBar>
          </x14:cfRule>
          <xm:sqref>AF145</xm:sqref>
        </x14:conditionalFormatting>
        <x14:conditionalFormatting xmlns:xm="http://schemas.microsoft.com/office/excel/2006/main">
          <x14:cfRule type="dataBar" id="{47808208-E02C-452E-B0FF-0B61E4201DD4}">
            <x14:dataBar minLength="0" maxLength="100" border="1" negativeBarBorderColorSameAsPositive="0">
              <x14:cfvo type="autoMin"/>
              <x14:cfvo type="autoMax"/>
              <x14:borderColor rgb="FF63C384"/>
              <x14:negativeFillColor rgb="FFFF0000"/>
              <x14:negativeBorderColor rgb="FFFF0000"/>
              <x14:axisColor rgb="FF000000"/>
            </x14:dataBar>
          </x14:cfRule>
          <xm:sqref>AF146</xm:sqref>
        </x14:conditionalFormatting>
        <x14:conditionalFormatting xmlns:xm="http://schemas.microsoft.com/office/excel/2006/main">
          <x14:cfRule type="dataBar" id="{A8E5F054-20D7-48D0-8174-43863FCEE1E9}">
            <x14:dataBar minLength="0" maxLength="100" border="1" negativeBarBorderColorSameAsPositive="0">
              <x14:cfvo type="autoMin"/>
              <x14:cfvo type="autoMax"/>
              <x14:borderColor rgb="FF63C384"/>
              <x14:negativeFillColor rgb="FFFF0000"/>
              <x14:negativeBorderColor rgb="FFFF0000"/>
              <x14:axisColor rgb="FF000000"/>
            </x14:dataBar>
          </x14:cfRule>
          <xm:sqref>AF147</xm:sqref>
        </x14:conditionalFormatting>
        <x14:conditionalFormatting xmlns:xm="http://schemas.microsoft.com/office/excel/2006/main">
          <x14:cfRule type="dataBar" id="{977F8765-41D4-4C58-95EE-037C92D3AB88}">
            <x14:dataBar minLength="0" maxLength="100" border="1" negativeBarBorderColorSameAsPositive="0">
              <x14:cfvo type="autoMin"/>
              <x14:cfvo type="autoMax"/>
              <x14:borderColor rgb="FF63C384"/>
              <x14:negativeFillColor rgb="FFFF0000"/>
              <x14:negativeBorderColor rgb="FFFF0000"/>
              <x14:axisColor rgb="FF000000"/>
            </x14:dataBar>
          </x14:cfRule>
          <xm:sqref>AF147</xm:sqref>
        </x14:conditionalFormatting>
        <x14:conditionalFormatting xmlns:xm="http://schemas.microsoft.com/office/excel/2006/main">
          <x14:cfRule type="dataBar" id="{8E295721-6CD3-46E2-9B7A-B89A6B5F527D}">
            <x14:dataBar minLength="0" maxLength="100" border="1" negativeBarBorderColorSameAsPositive="0">
              <x14:cfvo type="autoMin"/>
              <x14:cfvo type="autoMax"/>
              <x14:borderColor rgb="FF63C384"/>
              <x14:negativeFillColor rgb="FFFF0000"/>
              <x14:negativeBorderColor rgb="FFFF0000"/>
              <x14:axisColor rgb="FF000000"/>
            </x14:dataBar>
          </x14:cfRule>
          <xm:sqref>AF148</xm:sqref>
        </x14:conditionalFormatting>
        <x14:conditionalFormatting xmlns:xm="http://schemas.microsoft.com/office/excel/2006/main">
          <x14:cfRule type="dataBar" id="{CAC768C4-B19D-477D-99EC-6188A5FBF1B2}">
            <x14:dataBar minLength="0" maxLength="100" border="1" negativeBarBorderColorSameAsPositive="0">
              <x14:cfvo type="autoMin"/>
              <x14:cfvo type="autoMax"/>
              <x14:borderColor rgb="FF63C384"/>
              <x14:negativeFillColor rgb="FFFF0000"/>
              <x14:negativeBorderColor rgb="FFFF0000"/>
              <x14:axisColor rgb="FF000000"/>
            </x14:dataBar>
          </x14:cfRule>
          <xm:sqref>AF149</xm:sqref>
        </x14:conditionalFormatting>
        <x14:conditionalFormatting xmlns:xm="http://schemas.microsoft.com/office/excel/2006/main">
          <x14:cfRule type="dataBar" id="{EBF46183-6B6B-4935-A35F-C77FAF00FAD2}">
            <x14:dataBar minLength="0" maxLength="100" border="1" negativeBarBorderColorSameAsPositive="0">
              <x14:cfvo type="autoMin"/>
              <x14:cfvo type="autoMax"/>
              <x14:borderColor rgb="FF63C384"/>
              <x14:negativeFillColor rgb="FFFF0000"/>
              <x14:negativeBorderColor rgb="FFFF0000"/>
              <x14:axisColor rgb="FF000000"/>
            </x14:dataBar>
          </x14:cfRule>
          <xm:sqref>AF149</xm:sqref>
        </x14:conditionalFormatting>
        <x14:conditionalFormatting xmlns:xm="http://schemas.microsoft.com/office/excel/2006/main">
          <x14:cfRule type="dataBar" id="{CB93F562-6531-4ABA-AE2C-326BE3FD769A}">
            <x14:dataBar minLength="0" maxLength="100" border="1" negativeBarBorderColorSameAsPositive="0">
              <x14:cfvo type="autoMin"/>
              <x14:cfvo type="autoMax"/>
              <x14:borderColor rgb="FF63C384"/>
              <x14:negativeFillColor rgb="FFFF0000"/>
              <x14:negativeBorderColor rgb="FFFF0000"/>
              <x14:axisColor rgb="FF000000"/>
            </x14:dataBar>
          </x14:cfRule>
          <xm:sqref>AF149</xm:sqref>
        </x14:conditionalFormatting>
        <x14:conditionalFormatting xmlns:xm="http://schemas.microsoft.com/office/excel/2006/main">
          <x14:cfRule type="dataBar" id="{07B2C850-5228-4607-871B-D18742DDA0F4}">
            <x14:dataBar minLength="0" maxLength="100" border="1" negativeBarBorderColorSameAsPositive="0">
              <x14:cfvo type="autoMin"/>
              <x14:cfvo type="autoMax"/>
              <x14:borderColor rgb="FF63C384"/>
              <x14:negativeFillColor rgb="FFFF0000"/>
              <x14:negativeBorderColor rgb="FFFF0000"/>
              <x14:axisColor rgb="FF000000"/>
            </x14:dataBar>
          </x14:cfRule>
          <xm:sqref>AF149</xm:sqref>
        </x14:conditionalFormatting>
        <x14:conditionalFormatting xmlns:xm="http://schemas.microsoft.com/office/excel/2006/main">
          <x14:cfRule type="dataBar" id="{89440837-8099-41BB-BD05-322608249553}">
            <x14:dataBar minLength="0" maxLength="100" border="1" negativeBarBorderColorSameAsPositive="0">
              <x14:cfvo type="autoMin"/>
              <x14:cfvo type="autoMax"/>
              <x14:borderColor rgb="FF63C384"/>
              <x14:negativeFillColor rgb="FFFF0000"/>
              <x14:negativeBorderColor rgb="FFFF0000"/>
              <x14:axisColor rgb="FF000000"/>
            </x14:dataBar>
          </x14:cfRule>
          <xm:sqref>AF150</xm:sqref>
        </x14:conditionalFormatting>
        <x14:conditionalFormatting xmlns:xm="http://schemas.microsoft.com/office/excel/2006/main">
          <x14:cfRule type="dataBar" id="{84605524-7A5C-406C-BB64-8E46B49A496B}">
            <x14:dataBar minLength="0" maxLength="100" border="1" negativeBarBorderColorSameAsPositive="0">
              <x14:cfvo type="autoMin"/>
              <x14:cfvo type="autoMax"/>
              <x14:borderColor rgb="FF63C384"/>
              <x14:negativeFillColor rgb="FFFF0000"/>
              <x14:negativeBorderColor rgb="FFFF0000"/>
              <x14:axisColor rgb="FF000000"/>
            </x14:dataBar>
          </x14:cfRule>
          <xm:sqref>AF150</xm:sqref>
        </x14:conditionalFormatting>
        <x14:conditionalFormatting xmlns:xm="http://schemas.microsoft.com/office/excel/2006/main">
          <x14:cfRule type="dataBar" id="{535A79A7-F3F1-4AFB-864F-22D953C442CB}">
            <x14:dataBar minLength="0" maxLength="100" border="1" negativeBarBorderColorSameAsPositive="0">
              <x14:cfvo type="autoMin"/>
              <x14:cfvo type="autoMax"/>
              <x14:borderColor rgb="FF63C384"/>
              <x14:negativeFillColor rgb="FFFF0000"/>
              <x14:negativeBorderColor rgb="FFFF0000"/>
              <x14:axisColor rgb="FF000000"/>
            </x14:dataBar>
          </x14:cfRule>
          <xm:sqref>AF150</xm:sqref>
        </x14:conditionalFormatting>
        <x14:conditionalFormatting xmlns:xm="http://schemas.microsoft.com/office/excel/2006/main">
          <x14:cfRule type="dataBar" id="{8F0FDF0A-1605-404B-B0E8-C758EAF10432}">
            <x14:dataBar minLength="0" maxLength="100" border="1" negativeBarBorderColorSameAsPositive="0">
              <x14:cfvo type="autoMin"/>
              <x14:cfvo type="autoMax"/>
              <x14:borderColor rgb="FF63C384"/>
              <x14:negativeFillColor rgb="FFFF0000"/>
              <x14:negativeBorderColor rgb="FFFF0000"/>
              <x14:axisColor rgb="FF000000"/>
            </x14:dataBar>
          </x14:cfRule>
          <xm:sqref>AF150</xm:sqref>
        </x14:conditionalFormatting>
        <x14:conditionalFormatting xmlns:xm="http://schemas.microsoft.com/office/excel/2006/main">
          <x14:cfRule type="dataBar" id="{A2F5EB2E-00CA-4CE9-AA39-7B941B0C48EC}">
            <x14:dataBar minLength="0" maxLength="100" border="1" negativeBarBorderColorSameAsPositive="0">
              <x14:cfvo type="autoMin"/>
              <x14:cfvo type="autoMax"/>
              <x14:borderColor rgb="FF63C384"/>
              <x14:negativeFillColor rgb="FFFF0000"/>
              <x14:negativeBorderColor rgb="FFFF0000"/>
              <x14:axisColor rgb="FF000000"/>
            </x14:dataBar>
          </x14:cfRule>
          <xm:sqref>AF151</xm:sqref>
        </x14:conditionalFormatting>
        <x14:conditionalFormatting xmlns:xm="http://schemas.microsoft.com/office/excel/2006/main">
          <x14:cfRule type="dataBar" id="{5747D682-FAD8-41EF-B875-08F49C3958D6}">
            <x14:dataBar minLength="0" maxLength="100" border="1" negativeBarBorderColorSameAsPositive="0">
              <x14:cfvo type="autoMin"/>
              <x14:cfvo type="autoMax"/>
              <x14:borderColor rgb="FF63C384"/>
              <x14:negativeFillColor rgb="FFFF0000"/>
              <x14:negativeBorderColor rgb="FFFF0000"/>
              <x14:axisColor rgb="FF000000"/>
            </x14:dataBar>
          </x14:cfRule>
          <xm:sqref>AF151</xm:sqref>
        </x14:conditionalFormatting>
        <x14:conditionalFormatting xmlns:xm="http://schemas.microsoft.com/office/excel/2006/main">
          <x14:cfRule type="dataBar" id="{38C06C68-92A4-4EAE-B57D-13CC6D7DE503}">
            <x14:dataBar minLength="0" maxLength="100" border="1" negativeBarBorderColorSameAsPositive="0">
              <x14:cfvo type="autoMin"/>
              <x14:cfvo type="autoMax"/>
              <x14:borderColor rgb="FF63C384"/>
              <x14:negativeFillColor rgb="FFFF0000"/>
              <x14:negativeBorderColor rgb="FFFF0000"/>
              <x14:axisColor rgb="FF000000"/>
            </x14:dataBar>
          </x14:cfRule>
          <xm:sqref>AF152</xm:sqref>
        </x14:conditionalFormatting>
        <x14:conditionalFormatting xmlns:xm="http://schemas.microsoft.com/office/excel/2006/main">
          <x14:cfRule type="dataBar" id="{C269826F-3BC2-4911-9585-FBA41D5D5D81}">
            <x14:dataBar minLength="0" maxLength="100" border="1" negativeBarBorderColorSameAsPositive="0">
              <x14:cfvo type="autoMin"/>
              <x14:cfvo type="autoMax"/>
              <x14:borderColor rgb="FF63C384"/>
              <x14:negativeFillColor rgb="FFFF0000"/>
              <x14:negativeBorderColor rgb="FFFF0000"/>
              <x14:axisColor rgb="FF000000"/>
            </x14:dataBar>
          </x14:cfRule>
          <xm:sqref>AF152</xm:sqref>
        </x14:conditionalFormatting>
        <x14:conditionalFormatting xmlns:xm="http://schemas.microsoft.com/office/excel/2006/main">
          <x14:cfRule type="dataBar" id="{D330819F-2F3E-4027-BBA8-6DF644A4B7D2}">
            <x14:dataBar minLength="0" maxLength="100" border="1" negativeBarBorderColorSameAsPositive="0">
              <x14:cfvo type="autoMin"/>
              <x14:cfvo type="autoMax"/>
              <x14:borderColor rgb="FF63C384"/>
              <x14:negativeFillColor rgb="FFFF0000"/>
              <x14:negativeBorderColor rgb="FFFF0000"/>
              <x14:axisColor rgb="FF000000"/>
            </x14:dataBar>
          </x14:cfRule>
          <xm:sqref>AF152</xm:sqref>
        </x14:conditionalFormatting>
        <x14:conditionalFormatting xmlns:xm="http://schemas.microsoft.com/office/excel/2006/main">
          <x14:cfRule type="dataBar" id="{3B595864-668D-49B5-B740-6A0B8E29D594}">
            <x14:dataBar minLength="0" maxLength="100" border="1" negativeBarBorderColorSameAsPositive="0">
              <x14:cfvo type="autoMin"/>
              <x14:cfvo type="autoMax"/>
              <x14:borderColor rgb="FF63C384"/>
              <x14:negativeFillColor rgb="FFFF0000"/>
              <x14:negativeBorderColor rgb="FFFF0000"/>
              <x14:axisColor rgb="FF000000"/>
            </x14:dataBar>
          </x14:cfRule>
          <xm:sqref>AF152</xm:sqref>
        </x14:conditionalFormatting>
        <x14:conditionalFormatting xmlns:xm="http://schemas.microsoft.com/office/excel/2006/main">
          <x14:cfRule type="dataBar" id="{BACA9944-3B14-4C43-8268-75D995B8AF5C}">
            <x14:dataBar minLength="0" maxLength="100" border="1" negativeBarBorderColorSameAsPositive="0">
              <x14:cfvo type="autoMin"/>
              <x14:cfvo type="autoMax"/>
              <x14:borderColor rgb="FF63C384"/>
              <x14:negativeFillColor rgb="FFFF0000"/>
              <x14:negativeBorderColor rgb="FFFF0000"/>
              <x14:axisColor rgb="FF000000"/>
            </x14:dataBar>
          </x14:cfRule>
          <xm:sqref>AF153</xm:sqref>
        </x14:conditionalFormatting>
        <x14:conditionalFormatting xmlns:xm="http://schemas.microsoft.com/office/excel/2006/main">
          <x14:cfRule type="dataBar" id="{6E819D07-D0D5-4329-8C49-7CE6FDE01DA3}">
            <x14:dataBar minLength="0" maxLength="100" border="1" negativeBarBorderColorSameAsPositive="0">
              <x14:cfvo type="autoMin"/>
              <x14:cfvo type="autoMax"/>
              <x14:borderColor rgb="FF63C384"/>
              <x14:negativeFillColor rgb="FFFF0000"/>
              <x14:negativeBorderColor rgb="FFFF0000"/>
              <x14:axisColor rgb="FF000000"/>
            </x14:dataBar>
          </x14:cfRule>
          <xm:sqref>AF153</xm:sqref>
        </x14:conditionalFormatting>
        <x14:conditionalFormatting xmlns:xm="http://schemas.microsoft.com/office/excel/2006/main">
          <x14:cfRule type="dataBar" id="{EC8FC6B0-DF68-4784-BF5D-F3B8F8663C1D}">
            <x14:dataBar minLength="0" maxLength="100" border="1" negativeBarBorderColorSameAsPositive="0">
              <x14:cfvo type="autoMin"/>
              <x14:cfvo type="autoMax"/>
              <x14:borderColor rgb="FF63C384"/>
              <x14:negativeFillColor rgb="FFFF0000"/>
              <x14:negativeBorderColor rgb="FFFF0000"/>
              <x14:axisColor rgb="FF000000"/>
            </x14:dataBar>
          </x14:cfRule>
          <xm:sqref>AF154</xm:sqref>
        </x14:conditionalFormatting>
        <x14:conditionalFormatting xmlns:xm="http://schemas.microsoft.com/office/excel/2006/main">
          <x14:cfRule type="dataBar" id="{9C179FF5-DFFF-4657-8EA8-79F326CD8FE7}">
            <x14:dataBar minLength="0" maxLength="100" border="1" negativeBarBorderColorSameAsPositive="0">
              <x14:cfvo type="autoMin"/>
              <x14:cfvo type="autoMax"/>
              <x14:borderColor rgb="FF63C384"/>
              <x14:negativeFillColor rgb="FFFF0000"/>
              <x14:negativeBorderColor rgb="FFFF0000"/>
              <x14:axisColor rgb="FF000000"/>
            </x14:dataBar>
          </x14:cfRule>
          <xm:sqref>AF154</xm:sqref>
        </x14:conditionalFormatting>
        <x14:conditionalFormatting xmlns:xm="http://schemas.microsoft.com/office/excel/2006/main">
          <x14:cfRule type="dataBar" id="{CAB08B16-9651-4DD3-B917-AE0A1CF9E3C3}">
            <x14:dataBar minLength="0" maxLength="100" border="1" negativeBarBorderColorSameAsPositive="0">
              <x14:cfvo type="autoMin"/>
              <x14:cfvo type="autoMax"/>
              <x14:borderColor rgb="FF63C384"/>
              <x14:negativeFillColor rgb="FFFF0000"/>
              <x14:negativeBorderColor rgb="FFFF0000"/>
              <x14:axisColor rgb="FF000000"/>
            </x14:dataBar>
          </x14:cfRule>
          <xm:sqref>AF155</xm:sqref>
        </x14:conditionalFormatting>
        <x14:conditionalFormatting xmlns:xm="http://schemas.microsoft.com/office/excel/2006/main">
          <x14:cfRule type="dataBar" id="{E15CF24F-C950-4152-A3B3-119143D93F81}">
            <x14:dataBar minLength="0" maxLength="100" border="1" negativeBarBorderColorSameAsPositive="0">
              <x14:cfvo type="autoMin"/>
              <x14:cfvo type="autoMax"/>
              <x14:borderColor rgb="FF63C384"/>
              <x14:negativeFillColor rgb="FFFF0000"/>
              <x14:negativeBorderColor rgb="FFFF0000"/>
              <x14:axisColor rgb="FF000000"/>
            </x14:dataBar>
          </x14:cfRule>
          <xm:sqref>AF155</xm:sqref>
        </x14:conditionalFormatting>
        <x14:conditionalFormatting xmlns:xm="http://schemas.microsoft.com/office/excel/2006/main">
          <x14:cfRule type="dataBar" id="{9294E1BC-380B-4793-9F71-1747F0766B04}">
            <x14:dataBar minLength="0" maxLength="100" border="1" negativeBarBorderColorSameAsPositive="0">
              <x14:cfvo type="autoMin"/>
              <x14:cfvo type="autoMax"/>
              <x14:borderColor rgb="FF63C384"/>
              <x14:negativeFillColor rgb="FFFF0000"/>
              <x14:negativeBorderColor rgb="FFFF0000"/>
              <x14:axisColor rgb="FF000000"/>
            </x14:dataBar>
          </x14:cfRule>
          <xm:sqref>AF156</xm:sqref>
        </x14:conditionalFormatting>
        <x14:conditionalFormatting xmlns:xm="http://schemas.microsoft.com/office/excel/2006/main">
          <x14:cfRule type="dataBar" id="{F74F75DF-CC37-437C-BB27-5DE4B2E55D3E}">
            <x14:dataBar minLength="0" maxLength="100" border="1" negativeBarBorderColorSameAsPositive="0">
              <x14:cfvo type="autoMin"/>
              <x14:cfvo type="autoMax"/>
              <x14:borderColor rgb="FF63C384"/>
              <x14:negativeFillColor rgb="FFFF0000"/>
              <x14:negativeBorderColor rgb="FFFF0000"/>
              <x14:axisColor rgb="FF000000"/>
            </x14:dataBar>
          </x14:cfRule>
          <xm:sqref>AF157</xm:sqref>
        </x14:conditionalFormatting>
        <x14:conditionalFormatting xmlns:xm="http://schemas.microsoft.com/office/excel/2006/main">
          <x14:cfRule type="dataBar" id="{AC0DFF69-932A-4EFE-98B7-5713E0B4FF9C}">
            <x14:dataBar minLength="0" maxLength="100" border="1" negativeBarBorderColorSameAsPositive="0">
              <x14:cfvo type="autoMin"/>
              <x14:cfvo type="autoMax"/>
              <x14:borderColor rgb="FF63C384"/>
              <x14:negativeFillColor rgb="FFFF0000"/>
              <x14:negativeBorderColor rgb="FFFF0000"/>
              <x14:axisColor rgb="FF000000"/>
            </x14:dataBar>
          </x14:cfRule>
          <xm:sqref>AF158</xm:sqref>
        </x14:conditionalFormatting>
        <x14:conditionalFormatting xmlns:xm="http://schemas.microsoft.com/office/excel/2006/main">
          <x14:cfRule type="dataBar" id="{CF052A77-AC90-4871-BF7D-E334791748B9}">
            <x14:dataBar minLength="0" maxLength="100" border="1" negativeBarBorderColorSameAsPositive="0">
              <x14:cfvo type="autoMin"/>
              <x14:cfvo type="autoMax"/>
              <x14:borderColor rgb="FF63C384"/>
              <x14:negativeFillColor rgb="FFFF0000"/>
              <x14:negativeBorderColor rgb="FFFF0000"/>
              <x14:axisColor rgb="FF000000"/>
            </x14:dataBar>
          </x14:cfRule>
          <xm:sqref>AF158</xm:sqref>
        </x14:conditionalFormatting>
        <x14:conditionalFormatting xmlns:xm="http://schemas.microsoft.com/office/excel/2006/main">
          <x14:cfRule type="dataBar" id="{354A9628-2813-4386-9EC2-66F6AF088AC8}">
            <x14:dataBar minLength="0" maxLength="100" border="1" negativeBarBorderColorSameAsPositive="0">
              <x14:cfvo type="autoMin"/>
              <x14:cfvo type="autoMax"/>
              <x14:borderColor rgb="FF63C384"/>
              <x14:negativeFillColor rgb="FFFF0000"/>
              <x14:negativeBorderColor rgb="FFFF0000"/>
              <x14:axisColor rgb="FF000000"/>
            </x14:dataBar>
          </x14:cfRule>
          <xm:sqref>AF158</xm:sqref>
        </x14:conditionalFormatting>
        <x14:conditionalFormatting xmlns:xm="http://schemas.microsoft.com/office/excel/2006/main">
          <x14:cfRule type="dataBar" id="{5C93123F-8864-4E68-894C-00D1EA643FEF}">
            <x14:dataBar minLength="0" maxLength="100" border="1" negativeBarBorderColorSameAsPositive="0">
              <x14:cfvo type="autoMin"/>
              <x14:cfvo type="autoMax"/>
              <x14:borderColor rgb="FF63C384"/>
              <x14:negativeFillColor rgb="FFFF0000"/>
              <x14:negativeBorderColor rgb="FFFF0000"/>
              <x14:axisColor rgb="FF000000"/>
            </x14:dataBar>
          </x14:cfRule>
          <xm:sqref>AF158</xm:sqref>
        </x14:conditionalFormatting>
        <x14:conditionalFormatting xmlns:xm="http://schemas.microsoft.com/office/excel/2006/main">
          <x14:cfRule type="dataBar" id="{E17ECA64-4CAD-407C-93BC-8F75BA7CC745}">
            <x14:dataBar minLength="0" maxLength="100" border="1" negativeBarBorderColorSameAsPositive="0">
              <x14:cfvo type="autoMin"/>
              <x14:cfvo type="autoMax"/>
              <x14:borderColor rgb="FF63C384"/>
              <x14:negativeFillColor rgb="FFFF0000"/>
              <x14:negativeBorderColor rgb="FFFF0000"/>
              <x14:axisColor rgb="FF000000"/>
            </x14:dataBar>
          </x14:cfRule>
          <xm:sqref>AF158</xm:sqref>
        </x14:conditionalFormatting>
        <x14:conditionalFormatting xmlns:xm="http://schemas.microsoft.com/office/excel/2006/main">
          <x14:cfRule type="dataBar" id="{9E620BEF-7FAA-4A00-A310-70F4D43B9101}">
            <x14:dataBar minLength="0" maxLength="100" border="1" negativeBarBorderColorSameAsPositive="0">
              <x14:cfvo type="autoMin"/>
              <x14:cfvo type="autoMax"/>
              <x14:borderColor rgb="FF63C384"/>
              <x14:negativeFillColor rgb="FFFF0000"/>
              <x14:negativeBorderColor rgb="FFFF0000"/>
              <x14:axisColor rgb="FF000000"/>
            </x14:dataBar>
          </x14:cfRule>
          <xm:sqref>AF158</xm:sqref>
        </x14:conditionalFormatting>
        <x14:conditionalFormatting xmlns:xm="http://schemas.microsoft.com/office/excel/2006/main">
          <x14:cfRule type="dataBar" id="{AD7A1E3F-7CB0-4442-AFEA-BF08BA0CF301}">
            <x14:dataBar minLength="0" maxLength="100" border="1" negativeBarBorderColorSameAsPositive="0">
              <x14:cfvo type="autoMin"/>
              <x14:cfvo type="autoMax"/>
              <x14:borderColor rgb="FF63C384"/>
              <x14:negativeFillColor rgb="FFFF0000"/>
              <x14:negativeBorderColor rgb="FFFF0000"/>
              <x14:axisColor rgb="FF000000"/>
            </x14:dataBar>
          </x14:cfRule>
          <xm:sqref>AF158</xm:sqref>
        </x14:conditionalFormatting>
        <x14:conditionalFormatting xmlns:xm="http://schemas.microsoft.com/office/excel/2006/main">
          <x14:cfRule type="dataBar" id="{BEC15B69-CA5E-4069-8D75-DF35F561090B}">
            <x14:dataBar minLength="0" maxLength="100" border="1" negativeBarBorderColorSameAsPositive="0">
              <x14:cfvo type="autoMin"/>
              <x14:cfvo type="autoMax"/>
              <x14:borderColor rgb="FF63C384"/>
              <x14:negativeFillColor rgb="FFFF0000"/>
              <x14:negativeBorderColor rgb="FFFF0000"/>
              <x14:axisColor rgb="FF000000"/>
            </x14:dataBar>
          </x14:cfRule>
          <xm:sqref>AF158</xm:sqref>
        </x14:conditionalFormatting>
        <x14:conditionalFormatting xmlns:xm="http://schemas.microsoft.com/office/excel/2006/main">
          <x14:cfRule type="dataBar" id="{7E75FDF2-47BE-486E-ADA1-7350C21B5C08}">
            <x14:dataBar minLength="0" maxLength="100" border="1" negativeBarBorderColorSameAsPositive="0">
              <x14:cfvo type="autoMin"/>
              <x14:cfvo type="autoMax"/>
              <x14:borderColor rgb="FF63C384"/>
              <x14:negativeFillColor rgb="FFFF0000"/>
              <x14:negativeBorderColor rgb="FFFF0000"/>
              <x14:axisColor rgb="FF000000"/>
            </x14:dataBar>
          </x14:cfRule>
          <xm:sqref>AF159</xm:sqref>
        </x14:conditionalFormatting>
        <x14:conditionalFormatting xmlns:xm="http://schemas.microsoft.com/office/excel/2006/main">
          <x14:cfRule type="dataBar" id="{3946D9D4-103B-46F9-8155-115874F7A401}">
            <x14:dataBar minLength="0" maxLength="100" border="1" negativeBarBorderColorSameAsPositive="0">
              <x14:cfvo type="autoMin"/>
              <x14:cfvo type="autoMax"/>
              <x14:borderColor rgb="FF63C384"/>
              <x14:negativeFillColor rgb="FFFF0000"/>
              <x14:negativeBorderColor rgb="FFFF0000"/>
              <x14:axisColor rgb="FF000000"/>
            </x14:dataBar>
          </x14:cfRule>
          <xm:sqref>AF159</xm:sqref>
        </x14:conditionalFormatting>
        <x14:conditionalFormatting xmlns:xm="http://schemas.microsoft.com/office/excel/2006/main">
          <x14:cfRule type="dataBar" id="{6154DC26-4936-42D7-910D-A89C29F8EB81}">
            <x14:dataBar minLength="0" maxLength="100" border="1" negativeBarBorderColorSameAsPositive="0">
              <x14:cfvo type="autoMin"/>
              <x14:cfvo type="autoMax"/>
              <x14:borderColor rgb="FF63C384"/>
              <x14:negativeFillColor rgb="FFFF0000"/>
              <x14:negativeBorderColor rgb="FFFF0000"/>
              <x14:axisColor rgb="FF000000"/>
            </x14:dataBar>
          </x14:cfRule>
          <xm:sqref>AF160</xm:sqref>
        </x14:conditionalFormatting>
        <x14:conditionalFormatting xmlns:xm="http://schemas.microsoft.com/office/excel/2006/main">
          <x14:cfRule type="dataBar" id="{263A2004-092A-4A71-A58A-6993DDE7AE32}">
            <x14:dataBar minLength="0" maxLength="100" border="1" negativeBarBorderColorSameAsPositive="0">
              <x14:cfvo type="autoMin"/>
              <x14:cfvo type="autoMax"/>
              <x14:borderColor rgb="FF63C384"/>
              <x14:negativeFillColor rgb="FFFF0000"/>
              <x14:negativeBorderColor rgb="FFFF0000"/>
              <x14:axisColor rgb="FF000000"/>
            </x14:dataBar>
          </x14:cfRule>
          <xm:sqref>AF160</xm:sqref>
        </x14:conditionalFormatting>
        <x14:conditionalFormatting xmlns:xm="http://schemas.microsoft.com/office/excel/2006/main">
          <x14:cfRule type="dataBar" id="{D22291BA-EE53-47AC-BAAD-6BEAF3594A5B}">
            <x14:dataBar minLength="0" maxLength="100" border="1" negativeBarBorderColorSameAsPositive="0">
              <x14:cfvo type="autoMin"/>
              <x14:cfvo type="autoMax"/>
              <x14:borderColor rgb="FF63C384"/>
              <x14:negativeFillColor rgb="FFFF0000"/>
              <x14:negativeBorderColor rgb="FFFF0000"/>
              <x14:axisColor rgb="FF000000"/>
            </x14:dataBar>
          </x14:cfRule>
          <xm:sqref>AF160</xm:sqref>
        </x14:conditionalFormatting>
        <x14:conditionalFormatting xmlns:xm="http://schemas.microsoft.com/office/excel/2006/main">
          <x14:cfRule type="dataBar" id="{6595DF2F-F5CC-4357-88DB-B44AB5B7C8EA}">
            <x14:dataBar minLength="0" maxLength="100" border="1" negativeBarBorderColorSameAsPositive="0">
              <x14:cfvo type="autoMin"/>
              <x14:cfvo type="autoMax"/>
              <x14:borderColor rgb="FF63C384"/>
              <x14:negativeFillColor rgb="FFFF0000"/>
              <x14:negativeBorderColor rgb="FFFF0000"/>
              <x14:axisColor rgb="FF000000"/>
            </x14:dataBar>
          </x14:cfRule>
          <xm:sqref>AF160</xm:sqref>
        </x14:conditionalFormatting>
        <x14:conditionalFormatting xmlns:xm="http://schemas.microsoft.com/office/excel/2006/main">
          <x14:cfRule type="dataBar" id="{9DCD9DBB-788A-4391-AEB4-9922BF92C569}">
            <x14:dataBar minLength="0" maxLength="100" border="1" negativeBarBorderColorSameAsPositive="0">
              <x14:cfvo type="autoMin"/>
              <x14:cfvo type="autoMax"/>
              <x14:borderColor rgb="FF63C384"/>
              <x14:negativeFillColor rgb="FFFF0000"/>
              <x14:negativeBorderColor rgb="FFFF0000"/>
              <x14:axisColor rgb="FF000000"/>
            </x14:dataBar>
          </x14:cfRule>
          <xm:sqref>AF161</xm:sqref>
        </x14:conditionalFormatting>
        <x14:conditionalFormatting xmlns:xm="http://schemas.microsoft.com/office/excel/2006/main">
          <x14:cfRule type="dataBar" id="{536A63D2-8B16-4B40-9EA3-1A2050900553}">
            <x14:dataBar minLength="0" maxLength="100" border="1" negativeBarBorderColorSameAsPositive="0">
              <x14:cfvo type="autoMin"/>
              <x14:cfvo type="autoMax"/>
              <x14:borderColor rgb="FF63C384"/>
              <x14:negativeFillColor rgb="FFFF0000"/>
              <x14:negativeBorderColor rgb="FFFF0000"/>
              <x14:axisColor rgb="FF000000"/>
            </x14:dataBar>
          </x14:cfRule>
          <xm:sqref>AF161</xm:sqref>
        </x14:conditionalFormatting>
        <x14:conditionalFormatting xmlns:xm="http://schemas.microsoft.com/office/excel/2006/main">
          <x14:cfRule type="dataBar" id="{8D4D7771-5EC9-450E-ACB9-12B110912F4E}">
            <x14:dataBar minLength="0" maxLength="100" border="1" negativeBarBorderColorSameAsPositive="0">
              <x14:cfvo type="autoMin"/>
              <x14:cfvo type="autoMax"/>
              <x14:borderColor rgb="FF63C384"/>
              <x14:negativeFillColor rgb="FFFF0000"/>
              <x14:negativeBorderColor rgb="FFFF0000"/>
              <x14:axisColor rgb="FF000000"/>
            </x14:dataBar>
          </x14:cfRule>
          <xm:sqref>AF161</xm:sqref>
        </x14:conditionalFormatting>
        <x14:conditionalFormatting xmlns:xm="http://schemas.microsoft.com/office/excel/2006/main">
          <x14:cfRule type="dataBar" id="{84FBDA09-336B-4E69-A02C-7F2F683F9737}">
            <x14:dataBar minLength="0" maxLength="100" border="1" negativeBarBorderColorSameAsPositive="0">
              <x14:cfvo type="autoMin"/>
              <x14:cfvo type="autoMax"/>
              <x14:borderColor rgb="FF63C384"/>
              <x14:negativeFillColor rgb="FFFF0000"/>
              <x14:negativeBorderColor rgb="FFFF0000"/>
              <x14:axisColor rgb="FF000000"/>
            </x14:dataBar>
          </x14:cfRule>
          <xm:sqref>AF161</xm:sqref>
        </x14:conditionalFormatting>
        <x14:conditionalFormatting xmlns:xm="http://schemas.microsoft.com/office/excel/2006/main">
          <x14:cfRule type="dataBar" id="{ADA1E624-2527-41CA-9CA1-FBBBE4854D30}">
            <x14:dataBar minLength="0" maxLength="100" border="1" negativeBarBorderColorSameAsPositive="0">
              <x14:cfvo type="autoMin"/>
              <x14:cfvo type="autoMax"/>
              <x14:borderColor rgb="FF63C384"/>
              <x14:negativeFillColor rgb="FFFF0000"/>
              <x14:negativeBorderColor rgb="FFFF0000"/>
              <x14:axisColor rgb="FF000000"/>
            </x14:dataBar>
          </x14:cfRule>
          <xm:sqref>AF162</xm:sqref>
        </x14:conditionalFormatting>
        <x14:conditionalFormatting xmlns:xm="http://schemas.microsoft.com/office/excel/2006/main">
          <x14:cfRule type="dataBar" id="{F68600DA-5302-4875-ADBA-697464EE51A0}">
            <x14:dataBar minLength="0" maxLength="100" border="1" negativeBarBorderColorSameAsPositive="0">
              <x14:cfvo type="autoMin"/>
              <x14:cfvo type="autoMax"/>
              <x14:borderColor rgb="FF63C384"/>
              <x14:negativeFillColor rgb="FFFF0000"/>
              <x14:negativeBorderColor rgb="FFFF0000"/>
              <x14:axisColor rgb="FF000000"/>
            </x14:dataBar>
          </x14:cfRule>
          <xm:sqref>AF162</xm:sqref>
        </x14:conditionalFormatting>
        <x14:conditionalFormatting xmlns:xm="http://schemas.microsoft.com/office/excel/2006/main">
          <x14:cfRule type="dataBar" id="{1BECC641-BBB1-4006-98B3-47C63D476BB0}">
            <x14:dataBar minLength="0" maxLength="100" border="1" negativeBarBorderColorSameAsPositive="0">
              <x14:cfvo type="autoMin"/>
              <x14:cfvo type="autoMax"/>
              <x14:borderColor rgb="FF63C384"/>
              <x14:negativeFillColor rgb="FFFF0000"/>
              <x14:negativeBorderColor rgb="FFFF0000"/>
              <x14:axisColor rgb="FF000000"/>
            </x14:dataBar>
          </x14:cfRule>
          <xm:sqref>AF163</xm:sqref>
        </x14:conditionalFormatting>
        <x14:conditionalFormatting xmlns:xm="http://schemas.microsoft.com/office/excel/2006/main">
          <x14:cfRule type="dataBar" id="{BE61BEE2-31B3-4C49-8D55-088D336289CA}">
            <x14:dataBar minLength="0" maxLength="100" border="1" negativeBarBorderColorSameAsPositive="0">
              <x14:cfvo type="autoMin"/>
              <x14:cfvo type="autoMax"/>
              <x14:borderColor rgb="FF63C384"/>
              <x14:negativeFillColor rgb="FFFF0000"/>
              <x14:negativeBorderColor rgb="FFFF0000"/>
              <x14:axisColor rgb="FF000000"/>
            </x14:dataBar>
          </x14:cfRule>
          <xm:sqref>AF163</xm:sqref>
        </x14:conditionalFormatting>
        <x14:conditionalFormatting xmlns:xm="http://schemas.microsoft.com/office/excel/2006/main">
          <x14:cfRule type="dataBar" id="{B41FD476-222E-4F8F-8ABB-3EE14EF06128}">
            <x14:dataBar minLength="0" maxLength="100" border="1" negativeBarBorderColorSameAsPositive="0">
              <x14:cfvo type="autoMin"/>
              <x14:cfvo type="autoMax"/>
              <x14:borderColor rgb="FF63C384"/>
              <x14:negativeFillColor rgb="FFFF0000"/>
              <x14:negativeBorderColor rgb="FFFF0000"/>
              <x14:axisColor rgb="FF000000"/>
            </x14:dataBar>
          </x14:cfRule>
          <xm:sqref>AF163</xm:sqref>
        </x14:conditionalFormatting>
        <x14:conditionalFormatting xmlns:xm="http://schemas.microsoft.com/office/excel/2006/main">
          <x14:cfRule type="dataBar" id="{7605A097-7CDB-4556-8854-09BE5AD94265}">
            <x14:dataBar minLength="0" maxLength="100" border="1" negativeBarBorderColorSameAsPositive="0">
              <x14:cfvo type="autoMin"/>
              <x14:cfvo type="autoMax"/>
              <x14:borderColor rgb="FF63C384"/>
              <x14:negativeFillColor rgb="FFFF0000"/>
              <x14:negativeBorderColor rgb="FFFF0000"/>
              <x14:axisColor rgb="FF000000"/>
            </x14:dataBar>
          </x14:cfRule>
          <xm:sqref>AF163</xm:sqref>
        </x14:conditionalFormatting>
        <x14:conditionalFormatting xmlns:xm="http://schemas.microsoft.com/office/excel/2006/main">
          <x14:cfRule type="dataBar" id="{9B6A6F64-6506-4EEE-B42B-A01A8ED733C7}">
            <x14:dataBar minLength="0" maxLength="100" border="1" negativeBarBorderColorSameAsPositive="0">
              <x14:cfvo type="autoMin"/>
              <x14:cfvo type="autoMax"/>
              <x14:borderColor rgb="FF63C384"/>
              <x14:negativeFillColor rgb="FFFF0000"/>
              <x14:negativeBorderColor rgb="FFFF0000"/>
              <x14:axisColor rgb="FF000000"/>
            </x14:dataBar>
          </x14:cfRule>
          <xm:sqref>AF164</xm:sqref>
        </x14:conditionalFormatting>
        <x14:conditionalFormatting xmlns:xm="http://schemas.microsoft.com/office/excel/2006/main">
          <x14:cfRule type="dataBar" id="{16A1EA2F-03B4-4191-999D-E16B9023F541}">
            <x14:dataBar minLength="0" maxLength="100" border="1" negativeBarBorderColorSameAsPositive="0">
              <x14:cfvo type="autoMin"/>
              <x14:cfvo type="autoMax"/>
              <x14:borderColor rgb="FF63C384"/>
              <x14:negativeFillColor rgb="FFFF0000"/>
              <x14:negativeBorderColor rgb="FFFF0000"/>
              <x14:axisColor rgb="FF000000"/>
            </x14:dataBar>
          </x14:cfRule>
          <xm:sqref>AF165:AF166</xm:sqref>
        </x14:conditionalFormatting>
        <x14:conditionalFormatting xmlns:xm="http://schemas.microsoft.com/office/excel/2006/main">
          <x14:cfRule type="dataBar" id="{A32A8748-9FF5-45C9-A8D0-EDF35DBFCDD2}">
            <x14:dataBar minLength="0" maxLength="100" border="1" negativeBarBorderColorSameAsPositive="0">
              <x14:cfvo type="autoMin"/>
              <x14:cfvo type="autoMax"/>
              <x14:borderColor rgb="FF63C384"/>
              <x14:negativeFillColor rgb="FFFF0000"/>
              <x14:negativeBorderColor rgb="FFFF0000"/>
              <x14:axisColor rgb="FF000000"/>
            </x14:dataBar>
          </x14:cfRule>
          <xm:sqref>AF165:AF166</xm:sqref>
        </x14:conditionalFormatting>
        <x14:conditionalFormatting xmlns:xm="http://schemas.microsoft.com/office/excel/2006/main">
          <x14:cfRule type="dataBar" id="{1F021488-0CA8-4F2B-BEB9-7D3D9A3D4D13}">
            <x14:dataBar minLength="0" maxLength="100" border="1" negativeBarBorderColorSameAsPositive="0">
              <x14:cfvo type="autoMin"/>
              <x14:cfvo type="autoMax"/>
              <x14:borderColor rgb="FF63C384"/>
              <x14:negativeFillColor rgb="FFFF0000"/>
              <x14:negativeBorderColor rgb="FFFF0000"/>
              <x14:axisColor rgb="FF000000"/>
            </x14:dataBar>
          </x14:cfRule>
          <xm:sqref>AF167</xm:sqref>
        </x14:conditionalFormatting>
        <x14:conditionalFormatting xmlns:xm="http://schemas.microsoft.com/office/excel/2006/main">
          <x14:cfRule type="dataBar" id="{CFD27964-44CE-42C6-AF1A-823ABBDBD848}">
            <x14:dataBar minLength="0" maxLength="100" border="1" negativeBarBorderColorSameAsPositive="0">
              <x14:cfvo type="autoMin"/>
              <x14:cfvo type="autoMax"/>
              <x14:borderColor rgb="FF63C384"/>
              <x14:negativeFillColor rgb="FFFF0000"/>
              <x14:negativeBorderColor rgb="FFFF0000"/>
              <x14:axisColor rgb="FF000000"/>
            </x14:dataBar>
          </x14:cfRule>
          <xm:sqref>AF167</xm:sqref>
        </x14:conditionalFormatting>
        <x14:conditionalFormatting xmlns:xm="http://schemas.microsoft.com/office/excel/2006/main">
          <x14:cfRule type="dataBar" id="{2904055B-22C6-497E-8A97-9682ACDAC33E}">
            <x14:dataBar minLength="0" maxLength="100" border="1" negativeBarBorderColorSameAsPositive="0">
              <x14:cfvo type="autoMin"/>
              <x14:cfvo type="autoMax"/>
              <x14:borderColor rgb="FF63C384"/>
              <x14:negativeFillColor rgb="FFFF0000"/>
              <x14:negativeBorderColor rgb="FFFF0000"/>
              <x14:axisColor rgb="FF000000"/>
            </x14:dataBar>
          </x14:cfRule>
          <xm:sqref>AF169</xm:sqref>
        </x14:conditionalFormatting>
        <x14:conditionalFormatting xmlns:xm="http://schemas.microsoft.com/office/excel/2006/main">
          <x14:cfRule type="dataBar" id="{908A4CD5-A6E1-4459-BFCC-655002B869DF}">
            <x14:dataBar minLength="0" maxLength="100" border="1" negativeBarBorderColorSameAsPositive="0">
              <x14:cfvo type="autoMin"/>
              <x14:cfvo type="autoMax"/>
              <x14:borderColor rgb="FF63C384"/>
              <x14:negativeFillColor rgb="FFFF0000"/>
              <x14:negativeBorderColor rgb="FFFF0000"/>
              <x14:axisColor rgb="FF000000"/>
            </x14:dataBar>
          </x14:cfRule>
          <xm:sqref>AF169</xm:sqref>
        </x14:conditionalFormatting>
        <x14:conditionalFormatting xmlns:xm="http://schemas.microsoft.com/office/excel/2006/main">
          <x14:cfRule type="dataBar" id="{6446F786-6D62-46AB-8969-71A2BCA6D5B4}">
            <x14:dataBar minLength="0" maxLength="100" border="1" negativeBarBorderColorSameAsPositive="0">
              <x14:cfvo type="autoMin"/>
              <x14:cfvo type="autoMax"/>
              <x14:borderColor rgb="FF63C384"/>
              <x14:negativeFillColor rgb="FFFF0000"/>
              <x14:negativeBorderColor rgb="FFFF0000"/>
              <x14:axisColor rgb="FF000000"/>
            </x14:dataBar>
          </x14:cfRule>
          <xm:sqref>AF169:AF170</xm:sqref>
        </x14:conditionalFormatting>
        <x14:conditionalFormatting xmlns:xm="http://schemas.microsoft.com/office/excel/2006/main">
          <x14:cfRule type="dataBar" id="{287225B5-0D15-4945-BA2C-2D15D8DD1445}">
            <x14:dataBar minLength="0" maxLength="100" border="1" negativeBarBorderColorSameAsPositive="0">
              <x14:cfvo type="autoMin"/>
              <x14:cfvo type="autoMax"/>
              <x14:borderColor rgb="FF63C384"/>
              <x14:negativeFillColor rgb="FFFF0000"/>
              <x14:negativeBorderColor rgb="FFFF0000"/>
              <x14:axisColor rgb="FF000000"/>
            </x14:dataBar>
          </x14:cfRule>
          <xm:sqref>AF170:AF171</xm:sqref>
        </x14:conditionalFormatting>
        <x14:conditionalFormatting xmlns:xm="http://schemas.microsoft.com/office/excel/2006/main">
          <x14:cfRule type="dataBar" id="{B0B4B034-A10F-4A2A-B351-0EBBC176D4A5}">
            <x14:dataBar minLength="0" maxLength="100" border="1" negativeBarBorderColorSameAsPositive="0">
              <x14:cfvo type="autoMin"/>
              <x14:cfvo type="autoMax"/>
              <x14:borderColor rgb="FF63C384"/>
              <x14:negativeFillColor rgb="FFFF0000"/>
              <x14:negativeBorderColor rgb="FFFF0000"/>
              <x14:axisColor rgb="FF000000"/>
            </x14:dataBar>
          </x14:cfRule>
          <xm:sqref>AF168</xm:sqref>
        </x14:conditionalFormatting>
        <x14:conditionalFormatting xmlns:xm="http://schemas.microsoft.com/office/excel/2006/main">
          <x14:cfRule type="dataBar" id="{0D580D03-0EAE-4AEA-BC2C-71D49AE8C23E}">
            <x14:dataBar minLength="0" maxLength="100" border="1" negativeBarBorderColorSameAsPositive="0">
              <x14:cfvo type="autoMin"/>
              <x14:cfvo type="autoMax"/>
              <x14:borderColor rgb="FF63C384"/>
              <x14:negativeFillColor rgb="FFFF0000"/>
              <x14:negativeBorderColor rgb="FFFF0000"/>
              <x14:axisColor rgb="FF000000"/>
            </x14:dataBar>
          </x14:cfRule>
          <xm:sqref>AF168</xm:sqref>
        </x14:conditionalFormatting>
        <x14:conditionalFormatting xmlns:xm="http://schemas.microsoft.com/office/excel/2006/main">
          <x14:cfRule type="dataBar" id="{54C6A877-154F-4C7A-B311-8A668F1CF0DF}">
            <x14:dataBar minLength="0" maxLength="100" border="1" negativeBarBorderColorSameAsPositive="0">
              <x14:cfvo type="autoMin"/>
              <x14:cfvo type="autoMax"/>
              <x14:borderColor rgb="FF63C384"/>
              <x14:negativeFillColor rgb="FFFF0000"/>
              <x14:negativeBorderColor rgb="FFFF0000"/>
              <x14:axisColor rgb="FF000000"/>
            </x14:dataBar>
          </x14:cfRule>
          <xm:sqref>AF172</xm:sqref>
        </x14:conditionalFormatting>
        <x14:conditionalFormatting xmlns:xm="http://schemas.microsoft.com/office/excel/2006/main">
          <x14:cfRule type="dataBar" id="{A5D8583A-9124-4D6D-AB38-7C7B0639AE24}">
            <x14:dataBar minLength="0" maxLength="100" border="1" negativeBarBorderColorSameAsPositive="0">
              <x14:cfvo type="autoMin"/>
              <x14:cfvo type="autoMax"/>
              <x14:borderColor rgb="FF63C384"/>
              <x14:negativeFillColor rgb="FFFF0000"/>
              <x14:negativeBorderColor rgb="FFFF0000"/>
              <x14:axisColor rgb="FF000000"/>
            </x14:dataBar>
          </x14:cfRule>
          <xm:sqref>AF172</xm:sqref>
        </x14:conditionalFormatting>
        <x14:conditionalFormatting xmlns:xm="http://schemas.microsoft.com/office/excel/2006/main">
          <x14:cfRule type="dataBar" id="{29422A70-CDC0-47BD-93AB-BCD3EFBF0F62}">
            <x14:dataBar minLength="0" maxLength="100" border="1" negativeBarBorderColorSameAsPositive="0">
              <x14:cfvo type="autoMin"/>
              <x14:cfvo type="autoMax"/>
              <x14:borderColor rgb="FF63C384"/>
              <x14:negativeFillColor rgb="FFFF0000"/>
              <x14:negativeBorderColor rgb="FFFF0000"/>
              <x14:axisColor rgb="FF000000"/>
            </x14:dataBar>
          </x14:cfRule>
          <xm:sqref>AF172</xm:sqref>
        </x14:conditionalFormatting>
        <x14:conditionalFormatting xmlns:xm="http://schemas.microsoft.com/office/excel/2006/main">
          <x14:cfRule type="dataBar" id="{035818E3-7B17-47D7-9C89-EF2928F6D6FE}">
            <x14:dataBar minLength="0" maxLength="100" border="1" negativeBarBorderColorSameAsPositive="0">
              <x14:cfvo type="autoMin"/>
              <x14:cfvo type="autoMax"/>
              <x14:borderColor rgb="FF63C384"/>
              <x14:negativeFillColor rgb="FFFF0000"/>
              <x14:negativeBorderColor rgb="FFFF0000"/>
              <x14:axisColor rgb="FF000000"/>
            </x14:dataBar>
          </x14:cfRule>
          <xm:sqref>AF172</xm:sqref>
        </x14:conditionalFormatting>
        <x14:conditionalFormatting xmlns:xm="http://schemas.microsoft.com/office/excel/2006/main">
          <x14:cfRule type="dataBar" id="{F130376C-A7E8-4A28-BE14-59C10A9F5E71}">
            <x14:dataBar minLength="0" maxLength="100" border="1" negativeBarBorderColorSameAsPositive="0">
              <x14:cfvo type="autoMin"/>
              <x14:cfvo type="autoMax"/>
              <x14:borderColor rgb="FF63C384"/>
              <x14:negativeFillColor rgb="FFFF0000"/>
              <x14:negativeBorderColor rgb="FFFF0000"/>
              <x14:axisColor rgb="FF000000"/>
            </x14:dataBar>
          </x14:cfRule>
          <xm:sqref>AF172</xm:sqref>
        </x14:conditionalFormatting>
        <x14:conditionalFormatting xmlns:xm="http://schemas.microsoft.com/office/excel/2006/main">
          <x14:cfRule type="dataBar" id="{1F2D7CA5-B6BA-4CEE-9CE4-E78E433EED87}">
            <x14:dataBar minLength="0" maxLength="100" border="1" negativeBarBorderColorSameAsPositive="0">
              <x14:cfvo type="autoMin"/>
              <x14:cfvo type="autoMax"/>
              <x14:borderColor rgb="FF63C384"/>
              <x14:negativeFillColor rgb="FFFF0000"/>
              <x14:negativeBorderColor rgb="FFFF0000"/>
              <x14:axisColor rgb="FF000000"/>
            </x14:dataBar>
          </x14:cfRule>
          <xm:sqref>AF172</xm:sqref>
        </x14:conditionalFormatting>
        <x14:conditionalFormatting xmlns:xm="http://schemas.microsoft.com/office/excel/2006/main">
          <x14:cfRule type="dataBar" id="{B6FB12C2-2B1E-416E-8F9D-3E23AE1CCF17}">
            <x14:dataBar minLength="0" maxLength="100" border="1" negativeBarBorderColorSameAsPositive="0">
              <x14:cfvo type="autoMin"/>
              <x14:cfvo type="autoMax"/>
              <x14:borderColor rgb="FF63C384"/>
              <x14:negativeFillColor rgb="FFFF0000"/>
              <x14:negativeBorderColor rgb="FFFF0000"/>
              <x14:axisColor rgb="FF000000"/>
            </x14:dataBar>
          </x14:cfRule>
          <xm:sqref>AF172</xm:sqref>
        </x14:conditionalFormatting>
        <x14:conditionalFormatting xmlns:xm="http://schemas.microsoft.com/office/excel/2006/main">
          <x14:cfRule type="dataBar" id="{B348DBA4-93C0-48B1-9C0C-71D2910E84EB}">
            <x14:dataBar minLength="0" maxLength="100" border="1" negativeBarBorderColorSameAsPositive="0">
              <x14:cfvo type="autoMin"/>
              <x14:cfvo type="autoMax"/>
              <x14:borderColor rgb="FF63C384"/>
              <x14:negativeFillColor rgb="FFFF0000"/>
              <x14:negativeBorderColor rgb="FFFF0000"/>
              <x14:axisColor rgb="FF000000"/>
            </x14:dataBar>
          </x14:cfRule>
          <xm:sqref>AF172</xm:sqref>
        </x14:conditionalFormatting>
        <x14:conditionalFormatting xmlns:xm="http://schemas.microsoft.com/office/excel/2006/main">
          <x14:cfRule type="dataBar" id="{B0FFE3DE-D229-4706-B6E5-F97EF0A2BC3C}">
            <x14:dataBar minLength="0" maxLength="100" border="1" negativeBarBorderColorSameAsPositive="0">
              <x14:cfvo type="autoMin"/>
              <x14:cfvo type="autoMax"/>
              <x14:borderColor rgb="FF63C384"/>
              <x14:negativeFillColor rgb="FFFF0000"/>
              <x14:negativeBorderColor rgb="FFFF0000"/>
              <x14:axisColor rgb="FF000000"/>
            </x14:dataBar>
          </x14:cfRule>
          <xm:sqref>AF173:AF175</xm:sqref>
        </x14:conditionalFormatting>
        <x14:conditionalFormatting xmlns:xm="http://schemas.microsoft.com/office/excel/2006/main">
          <x14:cfRule type="dataBar" id="{6CC15969-E6AC-4D1B-B103-2796226AC57A}">
            <x14:dataBar minLength="0" maxLength="100" border="1" negativeBarBorderColorSameAsPositive="0">
              <x14:cfvo type="autoMin"/>
              <x14:cfvo type="autoMax"/>
              <x14:borderColor rgb="FF63C384"/>
              <x14:negativeFillColor rgb="FFFF0000"/>
              <x14:negativeBorderColor rgb="FFFF0000"/>
              <x14:axisColor rgb="FF000000"/>
            </x14:dataBar>
          </x14:cfRule>
          <xm:sqref>AF176</xm:sqref>
        </x14:conditionalFormatting>
        <x14:conditionalFormatting xmlns:xm="http://schemas.microsoft.com/office/excel/2006/main">
          <x14:cfRule type="dataBar" id="{A105375F-7ADF-4400-9E9F-A5B72EF82893}">
            <x14:dataBar minLength="0" maxLength="100" border="1" negativeBarBorderColorSameAsPositive="0">
              <x14:cfvo type="autoMin"/>
              <x14:cfvo type="autoMax"/>
              <x14:borderColor rgb="FF63C384"/>
              <x14:negativeFillColor rgb="FFFF0000"/>
              <x14:negativeBorderColor rgb="FFFF0000"/>
              <x14:axisColor rgb="FF000000"/>
            </x14:dataBar>
          </x14:cfRule>
          <xm:sqref>AF176</xm:sqref>
        </x14:conditionalFormatting>
        <x14:conditionalFormatting xmlns:xm="http://schemas.microsoft.com/office/excel/2006/main">
          <x14:cfRule type="dataBar" id="{EDC338B5-72DF-4D91-9F98-A12324A9DBC0}">
            <x14:dataBar minLength="0" maxLength="100" border="1" negativeBarBorderColorSameAsPositive="0">
              <x14:cfvo type="autoMin"/>
              <x14:cfvo type="autoMax"/>
              <x14:borderColor rgb="FF63C384"/>
              <x14:negativeFillColor rgb="FFFF0000"/>
              <x14:negativeBorderColor rgb="FFFF0000"/>
              <x14:axisColor rgb="FF000000"/>
            </x14:dataBar>
          </x14:cfRule>
          <xm:sqref>AF176</xm:sqref>
        </x14:conditionalFormatting>
        <x14:conditionalFormatting xmlns:xm="http://schemas.microsoft.com/office/excel/2006/main">
          <x14:cfRule type="dataBar" id="{BC8819B3-F0B8-417C-A102-5C9614786A51}">
            <x14:dataBar minLength="0" maxLength="100" border="1" negativeBarBorderColorSameAsPositive="0">
              <x14:cfvo type="autoMin"/>
              <x14:cfvo type="autoMax"/>
              <x14:borderColor rgb="FF63C384"/>
              <x14:negativeFillColor rgb="FFFF0000"/>
              <x14:negativeBorderColor rgb="FFFF0000"/>
              <x14:axisColor rgb="FF000000"/>
            </x14:dataBar>
          </x14:cfRule>
          <xm:sqref>AF176</xm:sqref>
        </x14:conditionalFormatting>
        <x14:conditionalFormatting xmlns:xm="http://schemas.microsoft.com/office/excel/2006/main">
          <x14:cfRule type="dataBar" id="{6500E2EA-F625-4971-B854-A9B487FAE5DF}">
            <x14:dataBar minLength="0" maxLength="100" border="1" negativeBarBorderColorSameAsPositive="0">
              <x14:cfvo type="autoMin"/>
              <x14:cfvo type="autoMax"/>
              <x14:borderColor rgb="FF63C384"/>
              <x14:negativeFillColor rgb="FFFF0000"/>
              <x14:negativeBorderColor rgb="FFFF0000"/>
              <x14:axisColor rgb="FF000000"/>
            </x14:dataBar>
          </x14:cfRule>
          <xm:sqref>AF177:AF178</xm:sqref>
        </x14:conditionalFormatting>
        <x14:conditionalFormatting xmlns:xm="http://schemas.microsoft.com/office/excel/2006/main">
          <x14:cfRule type="dataBar" id="{11CF0BCD-0CA0-46D5-BDB7-A9DEB2F2A233}">
            <x14:dataBar minLength="0" maxLength="100" border="1" negativeBarBorderColorSameAsPositive="0">
              <x14:cfvo type="autoMin"/>
              <x14:cfvo type="autoMax"/>
              <x14:borderColor rgb="FF63C384"/>
              <x14:negativeFillColor rgb="FFFF0000"/>
              <x14:negativeBorderColor rgb="FFFF0000"/>
              <x14:axisColor rgb="FF000000"/>
            </x14:dataBar>
          </x14:cfRule>
          <xm:sqref>AF179</xm:sqref>
        </x14:conditionalFormatting>
        <x14:conditionalFormatting xmlns:xm="http://schemas.microsoft.com/office/excel/2006/main">
          <x14:cfRule type="dataBar" id="{37C4B500-BBCE-4918-9AE8-C9457699F357}">
            <x14:dataBar minLength="0" maxLength="100" border="1" negativeBarBorderColorSameAsPositive="0">
              <x14:cfvo type="autoMin"/>
              <x14:cfvo type="autoMax"/>
              <x14:borderColor rgb="FF63C384"/>
              <x14:negativeFillColor rgb="FFFF0000"/>
              <x14:negativeBorderColor rgb="FFFF0000"/>
              <x14:axisColor rgb="FF000000"/>
            </x14:dataBar>
          </x14:cfRule>
          <xm:sqref>AF179</xm:sqref>
        </x14:conditionalFormatting>
        <x14:conditionalFormatting xmlns:xm="http://schemas.microsoft.com/office/excel/2006/main">
          <x14:cfRule type="dataBar" id="{5DD4D330-106A-42AB-995C-2ABFCF24D46B}">
            <x14:dataBar minLength="0" maxLength="100" border="1" negativeBarBorderColorSameAsPositive="0">
              <x14:cfvo type="autoMin"/>
              <x14:cfvo type="autoMax"/>
              <x14:borderColor rgb="FF63C384"/>
              <x14:negativeFillColor rgb="FFFF0000"/>
              <x14:negativeBorderColor rgb="FFFF0000"/>
              <x14:axisColor rgb="FF000000"/>
            </x14:dataBar>
          </x14:cfRule>
          <xm:sqref>AF180:AF181</xm:sqref>
        </x14:conditionalFormatting>
        <x14:conditionalFormatting xmlns:xm="http://schemas.microsoft.com/office/excel/2006/main">
          <x14:cfRule type="dataBar" id="{CC0A31C4-9CE2-43C8-80A5-9B3476864934}">
            <x14:dataBar minLength="0" maxLength="100" border="1" negativeBarBorderColorSameAsPositive="0">
              <x14:cfvo type="autoMin"/>
              <x14:cfvo type="autoMax"/>
              <x14:borderColor rgb="FF63C384"/>
              <x14:negativeFillColor rgb="FFFF0000"/>
              <x14:negativeBorderColor rgb="FFFF0000"/>
              <x14:axisColor rgb="FF000000"/>
            </x14:dataBar>
          </x14:cfRule>
          <xm:sqref>AF183:AF184</xm:sqref>
        </x14:conditionalFormatting>
        <x14:conditionalFormatting xmlns:xm="http://schemas.microsoft.com/office/excel/2006/main">
          <x14:cfRule type="dataBar" id="{4654BC78-7F3A-4B5F-8B8A-6D429D5E631F}">
            <x14:dataBar minLength="0" maxLength="100" border="1" negativeBarBorderColorSameAsPositive="0">
              <x14:cfvo type="autoMin"/>
              <x14:cfvo type="autoMax"/>
              <x14:borderColor rgb="FF63C384"/>
              <x14:negativeFillColor rgb="FFFF0000"/>
              <x14:negativeBorderColor rgb="FFFF0000"/>
              <x14:axisColor rgb="FF000000"/>
            </x14:dataBar>
          </x14:cfRule>
          <xm:sqref>AF183:AF184</xm:sqref>
        </x14:conditionalFormatting>
        <x14:conditionalFormatting xmlns:xm="http://schemas.microsoft.com/office/excel/2006/main">
          <x14:cfRule type="dataBar" id="{21ED9840-C3C2-4A82-B016-DB6C1C269D9B}">
            <x14:dataBar minLength="0" maxLength="100" border="1" negativeBarBorderColorSameAsPositive="0">
              <x14:cfvo type="autoMin"/>
              <x14:cfvo type="autoMax"/>
              <x14:borderColor rgb="FF63C384"/>
              <x14:negativeFillColor rgb="FFFF0000"/>
              <x14:negativeBorderColor rgb="FFFF0000"/>
              <x14:axisColor rgb="FF000000"/>
            </x14:dataBar>
          </x14:cfRule>
          <xm:sqref>AF185</xm:sqref>
        </x14:conditionalFormatting>
        <x14:conditionalFormatting xmlns:xm="http://schemas.microsoft.com/office/excel/2006/main">
          <x14:cfRule type="dataBar" id="{E582A06A-3114-4626-A85B-E0FE333D9707}">
            <x14:dataBar minLength="0" maxLength="100" border="1" negativeBarBorderColorSameAsPositive="0">
              <x14:cfvo type="autoMin"/>
              <x14:cfvo type="autoMax"/>
              <x14:borderColor rgb="FF63C384"/>
              <x14:negativeFillColor rgb="FFFF0000"/>
              <x14:negativeBorderColor rgb="FFFF0000"/>
              <x14:axisColor rgb="FF000000"/>
            </x14:dataBar>
          </x14:cfRule>
          <xm:sqref>AF185</xm:sqref>
        </x14:conditionalFormatting>
        <x14:conditionalFormatting xmlns:xm="http://schemas.microsoft.com/office/excel/2006/main">
          <x14:cfRule type="dataBar" id="{E03DAA46-B586-421F-A477-96CE811F01E3}">
            <x14:dataBar minLength="0" maxLength="100" border="1" negativeBarBorderColorSameAsPositive="0">
              <x14:cfvo type="autoMin"/>
              <x14:cfvo type="autoMax"/>
              <x14:borderColor rgb="FF63C384"/>
              <x14:negativeFillColor rgb="FFFF0000"/>
              <x14:negativeBorderColor rgb="FFFF0000"/>
              <x14:axisColor rgb="FF000000"/>
            </x14:dataBar>
          </x14:cfRule>
          <xm:sqref>AF186</xm:sqref>
        </x14:conditionalFormatting>
        <x14:conditionalFormatting xmlns:xm="http://schemas.microsoft.com/office/excel/2006/main">
          <x14:cfRule type="dataBar" id="{E4766235-9EEC-45E8-BA00-5D3FB899C513}">
            <x14:dataBar minLength="0" maxLength="100" border="1" negativeBarBorderColorSameAsPositive="0">
              <x14:cfvo type="autoMin"/>
              <x14:cfvo type="autoMax"/>
              <x14:borderColor rgb="FF63C384"/>
              <x14:negativeFillColor rgb="FFFF0000"/>
              <x14:negativeBorderColor rgb="FFFF0000"/>
              <x14:axisColor rgb="FF000000"/>
            </x14:dataBar>
          </x14:cfRule>
          <xm:sqref>AF186</xm:sqref>
        </x14:conditionalFormatting>
        <x14:conditionalFormatting xmlns:xm="http://schemas.microsoft.com/office/excel/2006/main">
          <x14:cfRule type="dataBar" id="{645B6ACC-744F-4DD1-8C50-76960671CD96}">
            <x14:dataBar minLength="0" maxLength="100" border="1" negativeBarBorderColorSameAsPositive="0">
              <x14:cfvo type="autoMin"/>
              <x14:cfvo type="autoMax"/>
              <x14:borderColor rgb="FF63C384"/>
              <x14:negativeFillColor rgb="FFFF0000"/>
              <x14:negativeBorderColor rgb="FFFF0000"/>
              <x14:axisColor rgb="FF000000"/>
            </x14:dataBar>
          </x14:cfRule>
          <xm:sqref>AF187:AF188</xm:sqref>
        </x14:conditionalFormatting>
        <x14:conditionalFormatting xmlns:xm="http://schemas.microsoft.com/office/excel/2006/main">
          <x14:cfRule type="dataBar" id="{42D691D8-B045-4C79-9D25-D3866982AD3D}">
            <x14:dataBar minLength="0" maxLength="100" border="1" negativeBarBorderColorSameAsPositive="0">
              <x14:cfvo type="autoMin"/>
              <x14:cfvo type="autoMax"/>
              <x14:borderColor rgb="FF63C384"/>
              <x14:negativeFillColor rgb="FFFF0000"/>
              <x14:negativeBorderColor rgb="FFFF0000"/>
              <x14:axisColor rgb="FF000000"/>
            </x14:dataBar>
          </x14:cfRule>
          <xm:sqref>AF187:AF188</xm:sqref>
        </x14:conditionalFormatting>
        <x14:conditionalFormatting xmlns:xm="http://schemas.microsoft.com/office/excel/2006/main">
          <x14:cfRule type="dataBar" id="{EFA8DE13-02C3-4CAA-A7DC-C138C00905C7}">
            <x14:dataBar minLength="0" maxLength="100" border="1" negativeBarBorderColorSameAsPositive="0">
              <x14:cfvo type="autoMin"/>
              <x14:cfvo type="autoMax"/>
              <x14:borderColor rgb="FF63C384"/>
              <x14:negativeFillColor rgb="FFFF0000"/>
              <x14:negativeBorderColor rgb="FFFF0000"/>
              <x14:axisColor rgb="FF000000"/>
            </x14:dataBar>
          </x14:cfRule>
          <xm:sqref>AF187:AF188</xm:sqref>
        </x14:conditionalFormatting>
        <x14:conditionalFormatting xmlns:xm="http://schemas.microsoft.com/office/excel/2006/main">
          <x14:cfRule type="dataBar" id="{BC5C01DA-0F54-45B6-BC48-F7B0F029C5CA}">
            <x14:dataBar minLength="0" maxLength="100" border="1" negativeBarBorderColorSameAsPositive="0">
              <x14:cfvo type="autoMin"/>
              <x14:cfvo type="autoMax"/>
              <x14:borderColor rgb="FF63C384"/>
              <x14:negativeFillColor rgb="FFFF0000"/>
              <x14:negativeBorderColor rgb="FFFF0000"/>
              <x14:axisColor rgb="FF000000"/>
            </x14:dataBar>
          </x14:cfRule>
          <xm:sqref>AF189</xm:sqref>
        </x14:conditionalFormatting>
        <x14:conditionalFormatting xmlns:xm="http://schemas.microsoft.com/office/excel/2006/main">
          <x14:cfRule type="dataBar" id="{0D78E1B3-5F46-431E-8933-A3A8BF9882A7}">
            <x14:dataBar minLength="0" maxLength="100" border="1" negativeBarBorderColorSameAsPositive="0">
              <x14:cfvo type="autoMin"/>
              <x14:cfvo type="autoMax"/>
              <x14:borderColor rgb="FF63C384"/>
              <x14:negativeFillColor rgb="FFFF0000"/>
              <x14:negativeBorderColor rgb="FFFF0000"/>
              <x14:axisColor rgb="FF000000"/>
            </x14:dataBar>
          </x14:cfRule>
          <xm:sqref>AF191</xm:sqref>
        </x14:conditionalFormatting>
        <x14:conditionalFormatting xmlns:xm="http://schemas.microsoft.com/office/excel/2006/main">
          <x14:cfRule type="dataBar" id="{A4A35816-CEAA-4292-90F7-ED6C096E6DC7}">
            <x14:dataBar minLength="0" maxLength="100" border="1" negativeBarBorderColorSameAsPositive="0">
              <x14:cfvo type="autoMin"/>
              <x14:cfvo type="autoMax"/>
              <x14:borderColor rgb="FF63C384"/>
              <x14:negativeFillColor rgb="FFFF0000"/>
              <x14:negativeBorderColor rgb="FFFF0000"/>
              <x14:axisColor rgb="FF000000"/>
            </x14:dataBar>
          </x14:cfRule>
          <xm:sqref>AF192</xm:sqref>
        </x14:conditionalFormatting>
        <x14:conditionalFormatting xmlns:xm="http://schemas.microsoft.com/office/excel/2006/main">
          <x14:cfRule type="dataBar" id="{EC6A9447-1347-4960-AD55-7F87F83E7D96}">
            <x14:dataBar minLength="0" maxLength="100" border="1" negativeBarBorderColorSameAsPositive="0">
              <x14:cfvo type="autoMin"/>
              <x14:cfvo type="autoMax"/>
              <x14:borderColor rgb="FF63C384"/>
              <x14:negativeFillColor rgb="FFFF0000"/>
              <x14:negativeBorderColor rgb="FFFF0000"/>
              <x14:axisColor rgb="FF000000"/>
            </x14:dataBar>
          </x14:cfRule>
          <xm:sqref>AF192</xm:sqref>
        </x14:conditionalFormatting>
        <x14:conditionalFormatting xmlns:xm="http://schemas.microsoft.com/office/excel/2006/main">
          <x14:cfRule type="dataBar" id="{489663CE-9F5A-4237-8F51-22640BB97D7F}">
            <x14:dataBar minLength="0" maxLength="100" border="1" negativeBarBorderColorSameAsPositive="0">
              <x14:cfvo type="autoMin"/>
              <x14:cfvo type="autoMax"/>
              <x14:borderColor rgb="FF63C384"/>
              <x14:negativeFillColor rgb="FFFF0000"/>
              <x14:negativeBorderColor rgb="FFFF0000"/>
              <x14:axisColor rgb="FF000000"/>
            </x14:dataBar>
          </x14:cfRule>
          <xm:sqref>AF193</xm:sqref>
        </x14:conditionalFormatting>
        <x14:conditionalFormatting xmlns:xm="http://schemas.microsoft.com/office/excel/2006/main">
          <x14:cfRule type="dataBar" id="{CA2B7026-9233-4DA7-A639-EBA829F6E3C6}">
            <x14:dataBar minLength="0" maxLength="100" border="1" negativeBarBorderColorSameAsPositive="0">
              <x14:cfvo type="autoMin"/>
              <x14:cfvo type="autoMax"/>
              <x14:borderColor rgb="FF63C384"/>
              <x14:negativeFillColor rgb="FFFF0000"/>
              <x14:negativeBorderColor rgb="FFFF0000"/>
              <x14:axisColor rgb="FF000000"/>
            </x14:dataBar>
          </x14:cfRule>
          <xm:sqref>AF194</xm:sqref>
        </x14:conditionalFormatting>
        <x14:conditionalFormatting xmlns:xm="http://schemas.microsoft.com/office/excel/2006/main">
          <x14:cfRule type="dataBar" id="{8E62FF3D-54AB-4F84-A199-DE2AA24146C7}">
            <x14:dataBar minLength="0" maxLength="100" border="1" negativeBarBorderColorSameAsPositive="0">
              <x14:cfvo type="autoMin"/>
              <x14:cfvo type="autoMax"/>
              <x14:borderColor rgb="FF63C384"/>
              <x14:negativeFillColor rgb="FFFF0000"/>
              <x14:negativeBorderColor rgb="FFFF0000"/>
              <x14:axisColor rgb="FF000000"/>
            </x14:dataBar>
          </x14:cfRule>
          <xm:sqref>AF194</xm:sqref>
        </x14:conditionalFormatting>
        <x14:conditionalFormatting xmlns:xm="http://schemas.microsoft.com/office/excel/2006/main">
          <x14:cfRule type="dataBar" id="{0625F8D1-026C-4C81-9B1F-3568F18BA9D9}">
            <x14:dataBar minLength="0" maxLength="100" border="1" negativeBarBorderColorSameAsPositive="0">
              <x14:cfvo type="autoMin"/>
              <x14:cfvo type="autoMax"/>
              <x14:borderColor rgb="FF63C384"/>
              <x14:negativeFillColor rgb="FFFF0000"/>
              <x14:negativeBorderColor rgb="FFFF0000"/>
              <x14:axisColor rgb="FF000000"/>
            </x14:dataBar>
          </x14:cfRule>
          <xm:sqref>AF194</xm:sqref>
        </x14:conditionalFormatting>
        <x14:conditionalFormatting xmlns:xm="http://schemas.microsoft.com/office/excel/2006/main">
          <x14:cfRule type="dataBar" id="{E3D00D61-7F39-4ECF-8515-41218FC0F79B}">
            <x14:dataBar minLength="0" maxLength="100" border="1" negativeBarBorderColorSameAsPositive="0">
              <x14:cfvo type="autoMin"/>
              <x14:cfvo type="autoMax"/>
              <x14:borderColor rgb="FF63C384"/>
              <x14:negativeFillColor rgb="FFFF0000"/>
              <x14:negativeBorderColor rgb="FFFF0000"/>
              <x14:axisColor rgb="FF000000"/>
            </x14:dataBar>
          </x14:cfRule>
          <xm:sqref>AF194</xm:sqref>
        </x14:conditionalFormatting>
        <x14:conditionalFormatting xmlns:xm="http://schemas.microsoft.com/office/excel/2006/main">
          <x14:cfRule type="dataBar" id="{9EF47AF1-6931-46E5-A7A5-24A0801A6B54}">
            <x14:dataBar minLength="0" maxLength="100" border="1" negativeBarBorderColorSameAsPositive="0">
              <x14:cfvo type="autoMin"/>
              <x14:cfvo type="autoMax"/>
              <x14:borderColor rgb="FF63C384"/>
              <x14:negativeFillColor rgb="FFFF0000"/>
              <x14:negativeBorderColor rgb="FFFF0000"/>
              <x14:axisColor rgb="FF000000"/>
            </x14:dataBar>
          </x14:cfRule>
          <xm:sqref>AF195</xm:sqref>
        </x14:conditionalFormatting>
        <x14:conditionalFormatting xmlns:xm="http://schemas.microsoft.com/office/excel/2006/main">
          <x14:cfRule type="dataBar" id="{2675F625-06DF-47D6-80BA-7CCA4DB30534}">
            <x14:dataBar minLength="0" maxLength="100" border="1" negativeBarBorderColorSameAsPositive="0">
              <x14:cfvo type="autoMin"/>
              <x14:cfvo type="autoMax"/>
              <x14:borderColor rgb="FF63C384"/>
              <x14:negativeFillColor rgb="FFFF0000"/>
              <x14:negativeBorderColor rgb="FFFF0000"/>
              <x14:axisColor rgb="FF000000"/>
            </x14:dataBar>
          </x14:cfRule>
          <xm:sqref>AF195</xm:sqref>
        </x14:conditionalFormatting>
        <x14:conditionalFormatting xmlns:xm="http://schemas.microsoft.com/office/excel/2006/main">
          <x14:cfRule type="dataBar" id="{30C6C6F8-4BD2-494E-8F1D-DD6DB0231945}">
            <x14:dataBar minLength="0" maxLength="100" border="1" negativeBarBorderColorSameAsPositive="0">
              <x14:cfvo type="autoMin"/>
              <x14:cfvo type="autoMax"/>
              <x14:borderColor rgb="FF63C384"/>
              <x14:negativeFillColor rgb="FFFF0000"/>
              <x14:negativeBorderColor rgb="FFFF0000"/>
              <x14:axisColor rgb="FF000000"/>
            </x14:dataBar>
          </x14:cfRule>
          <xm:sqref>AF195</xm:sqref>
        </x14:conditionalFormatting>
        <x14:conditionalFormatting xmlns:xm="http://schemas.microsoft.com/office/excel/2006/main">
          <x14:cfRule type="dataBar" id="{55E07F70-49B2-417D-92C0-2491399C6B16}">
            <x14:dataBar minLength="0" maxLength="100" border="1" negativeBarBorderColorSameAsPositive="0">
              <x14:cfvo type="autoMin"/>
              <x14:cfvo type="autoMax"/>
              <x14:borderColor rgb="FF63C384"/>
              <x14:negativeFillColor rgb="FFFF0000"/>
              <x14:negativeBorderColor rgb="FFFF0000"/>
              <x14:axisColor rgb="FF000000"/>
            </x14:dataBar>
          </x14:cfRule>
          <xm:sqref>AF195</xm:sqref>
        </x14:conditionalFormatting>
        <x14:conditionalFormatting xmlns:xm="http://schemas.microsoft.com/office/excel/2006/main">
          <x14:cfRule type="dataBar" id="{C1062737-7FD6-4C2D-8857-E1E81D4D6767}">
            <x14:dataBar minLength="0" maxLength="100" border="1" negativeBarBorderColorSameAsPositive="0">
              <x14:cfvo type="autoMin"/>
              <x14:cfvo type="autoMax"/>
              <x14:borderColor rgb="FF63C384"/>
              <x14:negativeFillColor rgb="FFFF0000"/>
              <x14:negativeBorderColor rgb="FFFF0000"/>
              <x14:axisColor rgb="FF000000"/>
            </x14:dataBar>
          </x14:cfRule>
          <xm:sqref>AF196</xm:sqref>
        </x14:conditionalFormatting>
        <x14:conditionalFormatting xmlns:xm="http://schemas.microsoft.com/office/excel/2006/main">
          <x14:cfRule type="dataBar" id="{396A7C01-E434-4C3E-991F-6E4ECECABC04}">
            <x14:dataBar minLength="0" maxLength="100" border="1" negativeBarBorderColorSameAsPositive="0">
              <x14:cfvo type="autoMin"/>
              <x14:cfvo type="autoMax"/>
              <x14:borderColor rgb="FF63C384"/>
              <x14:negativeFillColor rgb="FFFF0000"/>
              <x14:negativeBorderColor rgb="FFFF0000"/>
              <x14:axisColor rgb="FF000000"/>
            </x14:dataBar>
          </x14:cfRule>
          <xm:sqref>AF196</xm:sqref>
        </x14:conditionalFormatting>
        <x14:conditionalFormatting xmlns:xm="http://schemas.microsoft.com/office/excel/2006/main">
          <x14:cfRule type="dataBar" id="{5990ED5F-0544-4EBD-A0B3-E0846ECB4497}">
            <x14:dataBar minLength="0" maxLength="100" border="1" negativeBarBorderColorSameAsPositive="0">
              <x14:cfvo type="autoMin"/>
              <x14:cfvo type="autoMax"/>
              <x14:borderColor rgb="FF63C384"/>
              <x14:negativeFillColor rgb="FFFF0000"/>
              <x14:negativeBorderColor rgb="FFFF0000"/>
              <x14:axisColor rgb="FF000000"/>
            </x14:dataBar>
          </x14:cfRule>
          <xm:sqref>AF197</xm:sqref>
        </x14:conditionalFormatting>
        <x14:conditionalFormatting xmlns:xm="http://schemas.microsoft.com/office/excel/2006/main">
          <x14:cfRule type="dataBar" id="{67A3200C-2501-42D1-B7D4-E4E1B54A2B8D}">
            <x14:dataBar minLength="0" maxLength="100" border="1" negativeBarBorderColorSameAsPositive="0">
              <x14:cfvo type="autoMin"/>
              <x14:cfvo type="autoMax"/>
              <x14:borderColor rgb="FF63C384"/>
              <x14:negativeFillColor rgb="FFFF0000"/>
              <x14:negativeBorderColor rgb="FFFF0000"/>
              <x14:axisColor rgb="FF000000"/>
            </x14:dataBar>
          </x14:cfRule>
          <xm:sqref>AF198</xm:sqref>
        </x14:conditionalFormatting>
        <x14:conditionalFormatting xmlns:xm="http://schemas.microsoft.com/office/excel/2006/main">
          <x14:cfRule type="dataBar" id="{5BCB853E-71E9-4F22-94EA-71CF75ED36D7}">
            <x14:dataBar minLength="0" maxLength="100" border="1" negativeBarBorderColorSameAsPositive="0">
              <x14:cfvo type="autoMin"/>
              <x14:cfvo type="autoMax"/>
              <x14:borderColor rgb="FF63C384"/>
              <x14:negativeFillColor rgb="FFFF0000"/>
              <x14:negativeBorderColor rgb="FFFF0000"/>
              <x14:axisColor rgb="FF000000"/>
            </x14:dataBar>
          </x14:cfRule>
          <xm:sqref>AF199</xm:sqref>
        </x14:conditionalFormatting>
        <x14:conditionalFormatting xmlns:xm="http://schemas.microsoft.com/office/excel/2006/main">
          <x14:cfRule type="dataBar" id="{C77CBF12-D24E-46E2-AA90-C163D2A6662C}">
            <x14:dataBar minLength="0" maxLength="100" border="1" negativeBarBorderColorSameAsPositive="0">
              <x14:cfvo type="autoMin"/>
              <x14:cfvo type="autoMax"/>
              <x14:borderColor rgb="FF63C384"/>
              <x14:negativeFillColor rgb="FFFF0000"/>
              <x14:negativeBorderColor rgb="FFFF0000"/>
              <x14:axisColor rgb="FF000000"/>
            </x14:dataBar>
          </x14:cfRule>
          <xm:sqref>AF199</xm:sqref>
        </x14:conditionalFormatting>
        <x14:conditionalFormatting xmlns:xm="http://schemas.microsoft.com/office/excel/2006/main">
          <x14:cfRule type="dataBar" id="{812D59FD-01F2-4ABF-8316-C6AFD0D8537D}">
            <x14:dataBar minLength="0" maxLength="100" border="1" negativeBarBorderColorSameAsPositive="0">
              <x14:cfvo type="autoMin"/>
              <x14:cfvo type="autoMax"/>
              <x14:borderColor rgb="FF63C384"/>
              <x14:negativeFillColor rgb="FFFF0000"/>
              <x14:negativeBorderColor rgb="FFFF0000"/>
              <x14:axisColor rgb="FF000000"/>
            </x14:dataBar>
          </x14:cfRule>
          <xm:sqref>AF199</xm:sqref>
        </x14:conditionalFormatting>
        <x14:conditionalFormatting xmlns:xm="http://schemas.microsoft.com/office/excel/2006/main">
          <x14:cfRule type="dataBar" id="{407387F5-B11B-4F6B-8424-E78D8E49031E}">
            <x14:dataBar minLength="0" maxLength="100" border="1" negativeBarBorderColorSameAsPositive="0">
              <x14:cfvo type="autoMin"/>
              <x14:cfvo type="autoMax"/>
              <x14:borderColor rgb="FF63C384"/>
              <x14:negativeFillColor rgb="FFFF0000"/>
              <x14:negativeBorderColor rgb="FFFF0000"/>
              <x14:axisColor rgb="FF000000"/>
            </x14:dataBar>
          </x14:cfRule>
          <xm:sqref>AF199</xm:sqref>
        </x14:conditionalFormatting>
        <x14:conditionalFormatting xmlns:xm="http://schemas.microsoft.com/office/excel/2006/main">
          <x14:cfRule type="dataBar" id="{3B3E5BD5-5255-47E4-BBF9-5AE28405364B}">
            <x14:dataBar minLength="0" maxLength="100" border="1" negativeBarBorderColorSameAsPositive="0">
              <x14:cfvo type="autoMin"/>
              <x14:cfvo type="autoMax"/>
              <x14:borderColor rgb="FF63C384"/>
              <x14:negativeFillColor rgb="FFFF0000"/>
              <x14:negativeBorderColor rgb="FFFF0000"/>
              <x14:axisColor rgb="FF000000"/>
            </x14:dataBar>
          </x14:cfRule>
          <xm:sqref>AF200</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L9"/>
  <sheetViews>
    <sheetView workbookViewId="0">
      <selection activeCell="E8" sqref="E8"/>
    </sheetView>
  </sheetViews>
  <sheetFormatPr baseColWidth="10" defaultRowHeight="15" x14ac:dyDescent="0.25"/>
  <sheetData>
    <row r="1" spans="1:12" x14ac:dyDescent="0.25">
      <c r="A1" s="2" t="s">
        <v>12</v>
      </c>
      <c r="B1" s="2" t="s">
        <v>1329</v>
      </c>
      <c r="C1" s="2" t="s">
        <v>1</v>
      </c>
      <c r="D1" s="2" t="s">
        <v>13</v>
      </c>
      <c r="E1" s="20" t="s">
        <v>15</v>
      </c>
      <c r="F1" s="2" t="s">
        <v>30</v>
      </c>
      <c r="G1" s="17" t="s">
        <v>16</v>
      </c>
      <c r="H1" s="14" t="s">
        <v>1</v>
      </c>
      <c r="I1" s="14" t="s">
        <v>212</v>
      </c>
      <c r="J1" s="2" t="s">
        <v>1485</v>
      </c>
      <c r="K1" s="2" t="s">
        <v>1486</v>
      </c>
      <c r="L1" s="2" t="s">
        <v>1487</v>
      </c>
    </row>
    <row r="2" spans="1:12" x14ac:dyDescent="0.25">
      <c r="A2">
        <v>1</v>
      </c>
      <c r="B2">
        <v>1</v>
      </c>
      <c r="C2" s="6" t="str">
        <f>VLOOKUP($B2,Ausgaben_bis_2018!$A:$AA,7)</f>
        <v>A.P. Handelsges.m.b.H. - Amerlingstraße 13 - 1060 Wien: Haworth Comforto 62 Drehstuhl</v>
      </c>
      <c r="D2" s="1">
        <v>42144</v>
      </c>
      <c r="E2" s="19">
        <f>VLOOKUP($B2,Ausgaben_bis_2018!$A:$AA,15)</f>
        <v>600</v>
      </c>
      <c r="F2" s="6">
        <f>VLOOKUP($B2,Ausgaben_bis_2018!$A:$AA,5)</f>
        <v>42144</v>
      </c>
      <c r="G2" s="18">
        <v>5</v>
      </c>
      <c r="H2" s="13">
        <f>E2/G2</f>
        <v>120</v>
      </c>
      <c r="I2" s="13">
        <f>IF(MONTH(D2)&lt;6,E2-H2,E2-H2/2)</f>
        <v>480</v>
      </c>
      <c r="J2" s="1">
        <f>DATE(YEAR(D2)+G2,MONTH(D2),DAY(D2))</f>
        <v>43971</v>
      </c>
      <c r="K2" t="b">
        <f ca="1">YEAR(J2)&lt;YEAR(NOW())</f>
        <v>1</v>
      </c>
      <c r="L2" s="13">
        <f>IF(MONTH(D2)&lt;6,H2,H2/2)</f>
        <v>120</v>
      </c>
    </row>
    <row r="3" spans="1:12" x14ac:dyDescent="0.25">
      <c r="A3">
        <v>2</v>
      </c>
      <c r="B3">
        <v>80</v>
      </c>
      <c r="C3" s="6" t="str">
        <f>VLOOKUP($B3,Ausgaben_bis_2018!$A:$AA,7)</f>
        <v>Cyberport GmbH, Europaplatz 3, 1150 Wien: Lenovo Ideacentre Y900-34ISZ -90DD000QGE</v>
      </c>
      <c r="D3" s="1">
        <v>42411</v>
      </c>
      <c r="E3" s="19">
        <f>VLOOKUP($B3,Ausgaben_bis_2018!$A:$AA,15)</f>
        <v>1871.67</v>
      </c>
      <c r="F3" s="6">
        <f>VLOOKUP($B3,Ausgaben_bis_2018!$A:$AA,5)</f>
        <v>42409</v>
      </c>
      <c r="G3" s="18">
        <v>5</v>
      </c>
      <c r="H3" s="13">
        <f>E3/G3</f>
        <v>374.334</v>
      </c>
      <c r="I3" s="13">
        <f>IF(MONTH(D3)&lt;6,E3-H3,E3-H3/2)</f>
        <v>1497.336</v>
      </c>
      <c r="J3" s="1">
        <f>DATE(YEAR(D3)+G3,MONTH(D3),DAY(D3))</f>
        <v>44238</v>
      </c>
      <c r="K3" t="b">
        <f ca="1">YEAR(J3)&lt;YEAR(NOW())</f>
        <v>1</v>
      </c>
      <c r="L3" s="13">
        <f>IF(MONTH(D3)&lt;6,H3,H3/2)</f>
        <v>374.334</v>
      </c>
    </row>
    <row r="4" spans="1:12" x14ac:dyDescent="0.25">
      <c r="A4">
        <v>3</v>
      </c>
      <c r="C4" t="s">
        <v>1008</v>
      </c>
      <c r="D4" s="1">
        <v>43466</v>
      </c>
      <c r="E4" s="19">
        <v>1442.65</v>
      </c>
      <c r="G4" s="18">
        <v>3</v>
      </c>
      <c r="H4" s="13">
        <f>E4/G4</f>
        <v>480.88333333333338</v>
      </c>
      <c r="I4" s="13">
        <f>IF(MONTH(D4)&lt;6,E4-H4,E4-H4/2)</f>
        <v>961.76666666666665</v>
      </c>
      <c r="J4" s="1">
        <f>DATE(YEAR(D4)+G4,MONTH(D4),DAY(D4))</f>
        <v>44562</v>
      </c>
      <c r="K4" t="b">
        <f ca="1">YEAR(J4)&lt;YEAR(NOW())</f>
        <v>1</v>
      </c>
      <c r="L4" s="13">
        <f>IF(MONTH(D4)&lt;6,H4,H4/2)</f>
        <v>480.88333333333338</v>
      </c>
    </row>
    <row r="5" spans="1:12" x14ac:dyDescent="0.25">
      <c r="A5">
        <v>4</v>
      </c>
      <c r="B5" t="s">
        <v>1323</v>
      </c>
      <c r="C5" t="s">
        <v>922</v>
      </c>
      <c r="D5" s="1">
        <v>43472</v>
      </c>
      <c r="E5" s="73">
        <v>523.69000000000005</v>
      </c>
      <c r="G5" s="18">
        <v>3</v>
      </c>
      <c r="H5" s="13">
        <f>E5/G5</f>
        <v>174.56333333333336</v>
      </c>
      <c r="I5" s="13">
        <f>IF(MONTH(D5)&lt;6,E5-H5,E5-H5/2)</f>
        <v>349.12666666666667</v>
      </c>
      <c r="J5" s="1">
        <f>DATE(YEAR(D5)+G5,MONTH(D5),DAY(D5))</f>
        <v>44568</v>
      </c>
      <c r="K5" t="b">
        <f ca="1">YEAR(J5)&lt;YEAR(NOW())</f>
        <v>1</v>
      </c>
      <c r="L5" s="13">
        <f>IF(MONTH(D5)&lt;6,H5,H5/2)</f>
        <v>174.56333333333336</v>
      </c>
    </row>
    <row r="6" spans="1:12" x14ac:dyDescent="0.25">
      <c r="A6">
        <v>5</v>
      </c>
      <c r="B6" t="s">
        <v>1484</v>
      </c>
      <c r="C6" t="s">
        <v>1432</v>
      </c>
      <c r="D6" s="1">
        <v>44196</v>
      </c>
      <c r="E6" s="118">
        <v>2455.6559999999999</v>
      </c>
      <c r="G6" s="18">
        <v>3</v>
      </c>
      <c r="H6" s="13">
        <f>E6/G6</f>
        <v>818.55200000000002</v>
      </c>
      <c r="I6" s="13">
        <f>IF(MONTH(D6)&lt;6,E6-H6,E6-H6/2)</f>
        <v>2046.3799999999999</v>
      </c>
      <c r="J6" s="1">
        <f>DATE(YEAR(D6)+G6,MONTH(D6),DAY(D6))</f>
        <v>45291</v>
      </c>
      <c r="K6" t="b">
        <f ca="1">YEAR(J6)&lt;YEAR(NOW())</f>
        <v>1</v>
      </c>
      <c r="L6" s="13">
        <f>IF(MONTH(D6)&lt;6,H6,H6/2)</f>
        <v>409.27600000000001</v>
      </c>
    </row>
    <row r="7" spans="1:12" x14ac:dyDescent="0.25">
      <c r="C7" t="s">
        <v>1832</v>
      </c>
      <c r="D7" s="1">
        <v>44927</v>
      </c>
      <c r="E7" s="118"/>
      <c r="G7" s="18"/>
      <c r="H7" s="13"/>
      <c r="I7" s="13"/>
      <c r="J7" s="1"/>
      <c r="L7" s="13">
        <v>1233.5</v>
      </c>
    </row>
    <row r="8" spans="1:12" x14ac:dyDescent="0.25">
      <c r="C8" t="s">
        <v>1831</v>
      </c>
      <c r="D8" s="1">
        <v>45292</v>
      </c>
      <c r="E8" s="3">
        <v>6300</v>
      </c>
      <c r="G8" s="18">
        <v>67</v>
      </c>
      <c r="H8" s="13">
        <f>E8/G8</f>
        <v>94.02985074626865</v>
      </c>
      <c r="I8" s="13">
        <f>IF(MONTH(D8)&lt;6,E8-H8,E8-H8/2)</f>
        <v>6205.9701492537315</v>
      </c>
      <c r="J8" s="1">
        <f>DATE(YEAR(D8)+G8,MONTH(D8),DAY(D8))</f>
        <v>69764</v>
      </c>
      <c r="K8" t="b">
        <f ca="1">YEAR(J8)&lt;YEAR(NOW())</f>
        <v>0</v>
      </c>
      <c r="L8" s="13">
        <f>IF(MONTH(D8)&lt;6,H8,H8/2)</f>
        <v>94.02985074626865</v>
      </c>
    </row>
    <row r="9" spans="1:12" x14ac:dyDescent="0.25">
      <c r="L9" s="13"/>
    </row>
  </sheetData>
  <pageMargins left="0.7" right="0.7" top="0.78740157499999996" bottom="0.78740157499999996"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FF364-0057-442B-8712-6CD1C06F9C35}">
  <sheetPr codeName="Tabelle19"/>
  <dimension ref="A1:D9"/>
  <sheetViews>
    <sheetView workbookViewId="0"/>
  </sheetViews>
  <sheetFormatPr baseColWidth="10" defaultRowHeight="15" x14ac:dyDescent="0.25"/>
  <cols>
    <col min="2" max="3" width="23.7109375" customWidth="1"/>
  </cols>
  <sheetData>
    <row r="1" spans="1:4" x14ac:dyDescent="0.25">
      <c r="A1" s="2" t="s">
        <v>846</v>
      </c>
      <c r="B1" s="2" t="s">
        <v>1330</v>
      </c>
      <c r="C1" s="2" t="s">
        <v>1331</v>
      </c>
      <c r="D1" s="2" t="s">
        <v>1334</v>
      </c>
    </row>
    <row r="2" spans="1:4" x14ac:dyDescent="0.25">
      <c r="A2" s="1">
        <v>43521</v>
      </c>
      <c r="B2" t="s">
        <v>1332</v>
      </c>
      <c r="C2" t="s">
        <v>1336</v>
      </c>
      <c r="D2" s="97">
        <v>6.2</v>
      </c>
    </row>
    <row r="3" spans="1:4" x14ac:dyDescent="0.25">
      <c r="A3" s="1">
        <v>43521</v>
      </c>
      <c r="B3" t="s">
        <v>1336</v>
      </c>
      <c r="C3" t="s">
        <v>1332</v>
      </c>
      <c r="D3" s="97">
        <v>6.2</v>
      </c>
    </row>
    <row r="4" spans="1:4" x14ac:dyDescent="0.25">
      <c r="A4" s="1">
        <v>43532</v>
      </c>
      <c r="B4" t="s">
        <v>1332</v>
      </c>
      <c r="C4" t="s">
        <v>1336</v>
      </c>
      <c r="D4" s="97">
        <v>6.2</v>
      </c>
    </row>
    <row r="5" spans="1:4" x14ac:dyDescent="0.25">
      <c r="A5" s="1">
        <v>43532</v>
      </c>
      <c r="B5" t="s">
        <v>1336</v>
      </c>
      <c r="C5" t="s">
        <v>1332</v>
      </c>
      <c r="D5" s="97">
        <v>6.2</v>
      </c>
    </row>
    <row r="6" spans="1:4" x14ac:dyDescent="0.25">
      <c r="A6" s="1">
        <v>43591</v>
      </c>
      <c r="B6" t="s">
        <v>1332</v>
      </c>
      <c r="C6" t="s">
        <v>1333</v>
      </c>
      <c r="D6" s="97">
        <v>78.099999999999994</v>
      </c>
    </row>
    <row r="7" spans="1:4" x14ac:dyDescent="0.25">
      <c r="A7" s="1">
        <v>43591</v>
      </c>
      <c r="B7" t="s">
        <v>1333</v>
      </c>
      <c r="C7" t="s">
        <v>1332</v>
      </c>
      <c r="D7" s="97">
        <v>78.099999999999994</v>
      </c>
    </row>
    <row r="8" spans="1:4" x14ac:dyDescent="0.25">
      <c r="A8" s="1">
        <v>43607</v>
      </c>
      <c r="B8" t="s">
        <v>1332</v>
      </c>
      <c r="C8" t="s">
        <v>1335</v>
      </c>
      <c r="D8" s="97">
        <v>7.9</v>
      </c>
    </row>
    <row r="9" spans="1:4" x14ac:dyDescent="0.25">
      <c r="A9" s="1">
        <v>43607</v>
      </c>
      <c r="B9" t="s">
        <v>1335</v>
      </c>
      <c r="C9" t="s">
        <v>1332</v>
      </c>
      <c r="D9" s="97">
        <v>7.9</v>
      </c>
    </row>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7"/>
  <dimension ref="A1:O33"/>
  <sheetViews>
    <sheetView workbookViewId="0">
      <pane ySplit="1" topLeftCell="A8" activePane="bottomLeft" state="frozen"/>
      <selection pane="bottomLeft" activeCell="H33" sqref="H33"/>
    </sheetView>
  </sheetViews>
  <sheetFormatPr baseColWidth="10" defaultRowHeight="15" x14ac:dyDescent="0.25"/>
  <cols>
    <col min="2" max="2" width="7" customWidth="1"/>
    <col min="3" max="4" width="11.5703125" style="1"/>
    <col min="6" max="6" width="11.5703125" style="4"/>
    <col min="7" max="7" width="11" style="4" customWidth="1"/>
    <col min="8" max="8" width="10.5703125" style="4" customWidth="1"/>
    <col min="9" max="9" width="15.5703125" customWidth="1"/>
    <col min="10" max="10" width="19.28515625" customWidth="1"/>
    <col min="11" max="11" width="20.28515625" customWidth="1"/>
    <col min="12" max="12" width="17" customWidth="1"/>
    <col min="13" max="13" width="18.28515625" customWidth="1"/>
    <col min="14" max="14" width="18" bestFit="1" customWidth="1"/>
  </cols>
  <sheetData>
    <row r="1" spans="1:15" s="2" customFormat="1" x14ac:dyDescent="0.25">
      <c r="A1" s="2" t="s">
        <v>47</v>
      </c>
      <c r="B1" s="2" t="s">
        <v>48</v>
      </c>
      <c r="C1" s="5" t="s">
        <v>50</v>
      </c>
      <c r="D1" s="5" t="s">
        <v>49</v>
      </c>
      <c r="E1" s="2" t="s">
        <v>52</v>
      </c>
      <c r="F1" s="7" t="s">
        <v>51</v>
      </c>
      <c r="G1" s="7" t="s">
        <v>1528</v>
      </c>
      <c r="H1" s="7" t="s">
        <v>53</v>
      </c>
      <c r="I1" s="2" t="s">
        <v>155</v>
      </c>
      <c r="J1" s="11" t="s">
        <v>150</v>
      </c>
      <c r="K1" s="11" t="s">
        <v>210</v>
      </c>
      <c r="L1" s="12" t="s">
        <v>475</v>
      </c>
      <c r="M1" s="12" t="s">
        <v>151</v>
      </c>
      <c r="N1" s="12" t="s">
        <v>213</v>
      </c>
      <c r="O1" s="12" t="s">
        <v>360</v>
      </c>
    </row>
    <row r="2" spans="1:15" x14ac:dyDescent="0.25">
      <c r="A2">
        <v>2015</v>
      </c>
      <c r="B2">
        <v>1</v>
      </c>
      <c r="C2" s="1">
        <v>42005</v>
      </c>
      <c r="D2" s="1">
        <f>EDATE(C2,3)-1</f>
        <v>42094</v>
      </c>
      <c r="E2" s="1">
        <f t="shared" ref="E2:E17" si="0">voranmeldefrist_vierteljaehrlich(C2+1)</f>
        <v>42139</v>
      </c>
      <c r="F2" s="4">
        <f>SUMIFS(Rechnung_Ausgang!J:J,Rechnung_Ausgang!D:D,"&lt;=" &amp; UVA!D2,Rechnung_Ausgang!D:D,"&gt;=" &amp;UVA!C2)</f>
        <v>0</v>
      </c>
      <c r="G2" s="4">
        <f>SUMIFS(Ausgaben_bis_2018!S:S,Ausgaben_bis_2018!F:F,"&lt;=" &amp; UVA!D2,Ausgaben_bis_2018!F:F,"&gt;=" &amp;UVA!C2)</f>
        <v>33.181999999999995</v>
      </c>
      <c r="H2" s="4">
        <f>F2-G2</f>
        <v>-33.181999999999995</v>
      </c>
      <c r="I2" s="4">
        <f>SUMIFS(Rechnung_Ausgang!$H:$H,Rechnung_Ausgang!$D:$D,"&lt;=" &amp; UVA!$D2,Rechnung_Ausgang!$D:$D,"&gt;=" &amp;UVA!$C2)</f>
        <v>0</v>
      </c>
      <c r="J2" s="4">
        <f>SUMIFS(Rechnung_Ausgang!$H:$H,Rechnung_Ausgang!$D:$D,"&lt;=" &amp; UVA!$D2,Rechnung_Ausgang!$D:$D,"&gt;=" &amp;UVA!$C2)</f>
        <v>0</v>
      </c>
      <c r="K2" s="4">
        <f>SUMIFS(Rechnung_Ausgang!$H:$H,Rechnung_Ausgang!$D:$D,"&lt;=" &amp; UVA!$D2,Rechnung_Ausgang!$D:$D,"&gt;=" &amp;UVA!$C2,Rechnung_Ausgang!$I:$I,"=20")</f>
        <v>0</v>
      </c>
      <c r="L2" s="4">
        <f>SUMIFS(Ausgaben_bis_2018!$S:$S,Ausgaben_bis_2018!$F:$F,"&lt;=" &amp; UVA!$D2,Ausgaben_bis_2018!$F:$F,"&gt;=" &amp;UVA!$C2,Ausgaben_bis_2018!$Y:$Y,"&lt;&gt;ja")</f>
        <v>33.181999999999995</v>
      </c>
      <c r="M2" s="4">
        <f>SUMIFS(Ausgaben_bis_2018!$AA:$AA,Ausgaben_bis_2018!$F:$F,"&lt;=" &amp; UVA!$D2,Ausgaben_bis_2018!$F:$F,"&gt;=" &amp;UVA!$C2,Ausgaben_bis_2018!$Y:$Y,"&gt;0")</f>
        <v>0</v>
      </c>
      <c r="N2" s="4">
        <f>SUMIFS(Ausgaben_bis_2018!$T:$T,Ausgaben_bis_2018!$F:$F,"&lt;=" &amp; UVA!$D2,Ausgaben_bis_2018!$F:$F,"&gt;=" &amp;UVA!$C2,Ausgaben_bis_2018!$Y:$Y,"&gt;0")</f>
        <v>0</v>
      </c>
      <c r="O2" s="4">
        <f>SUMIFS(Ausgaben_bis_2018!$T:$T,Ausgaben_bis_2018!$F:$F,"&lt;=" &amp; UVA!$D2,Ausgaben_bis_2018!$F:$F,"&gt;=" &amp;UVA!$C2,Ausgaben_bis_2018!$Y:$Y,"=20")</f>
        <v>0</v>
      </c>
    </row>
    <row r="3" spans="1:15" x14ac:dyDescent="0.25">
      <c r="A3">
        <v>2015</v>
      </c>
      <c r="B3">
        <f>MOD(B2,4)+1</f>
        <v>2</v>
      </c>
      <c r="C3" s="1">
        <f>EDATE(C2,3)</f>
        <v>42095</v>
      </c>
      <c r="D3" s="1">
        <f>EDATE(C3,3)-1</f>
        <v>42185</v>
      </c>
      <c r="E3" s="1">
        <f t="shared" si="0"/>
        <v>42231</v>
      </c>
      <c r="F3" s="4">
        <f>SUMIFS(Rechnung_Ausgang!J:J,Rechnung_Ausgang!D:D,"&lt;=" &amp; UVA!D3,Rechnung_Ausgang!D:D,"&gt;=" &amp;UVA!C3)</f>
        <v>0</v>
      </c>
      <c r="G3" s="4">
        <f>SUMIFS(Ausgaben_bis_2018!S:S,Ausgaben_bis_2018!F:F,"&lt;=" &amp; UVA!D3,Ausgaben_bis_2018!F:F,"&gt;=" &amp;UVA!C3)</f>
        <v>172.12085221171057</v>
      </c>
      <c r="H3" s="4">
        <f t="shared" ref="H3:H17" si="1">F3-G3</f>
        <v>-172.12085221171057</v>
      </c>
      <c r="I3" s="4">
        <f>SUMIFS(Rechnung_Ausgang!$H:$H,Rechnung_Ausgang!$D:$D,"&lt;=" &amp; UVA!$D3,Rechnung_Ausgang!$D:$D,"&gt;=" &amp;UVA!$C3)</f>
        <v>0</v>
      </c>
      <c r="J3" s="4">
        <f>SUMIFS(Rechnung_Ausgang!$H:$H,Rechnung_Ausgang!$D:$D,"&lt;=" &amp; UVA!$D3,Rechnung_Ausgang!$D:$D,"&gt;=" &amp;UVA!$C3)</f>
        <v>0</v>
      </c>
      <c r="K3" s="4">
        <f>SUMIFS(Rechnung_Ausgang!$H:$H,Rechnung_Ausgang!$D:$D,"&lt;=" &amp; UVA!$D3,Rechnung_Ausgang!$D:$D,"&gt;=" &amp;UVA!$C3,Rechnung_Ausgang!$I:$I,"=20")</f>
        <v>0</v>
      </c>
      <c r="L3" s="4">
        <f>SUMIFS(Ausgaben_bis_2018!$S:$S,Ausgaben_bis_2018!$F:$F,"&lt;=" &amp; UVA!$D3,Ausgaben_bis_2018!$F:$F,"&gt;=" &amp;UVA!$C3,Ausgaben_bis_2018!$Y:$Y,"&lt;&gt;ja")</f>
        <v>172.12085221171057</v>
      </c>
      <c r="M3" s="4">
        <f>SUMIFS(Ausgaben_bis_2018!$AA:$AA,Ausgaben_bis_2018!$F:$F,"&lt;=" &amp; UVA!$D3,Ausgaben_bis_2018!$F:$F,"&gt;=" &amp;UVA!$C3,Ausgaben_bis_2018!$Y:$Y,"&gt;0")</f>
        <v>0</v>
      </c>
      <c r="N3" s="4">
        <f>SUMIFS(Ausgaben_bis_2018!$T:$T,Ausgaben_bis_2018!$F:$F,"&lt;=" &amp; UVA!$D3,Ausgaben_bis_2018!$F:$F,"&gt;=" &amp;UVA!$C3,Ausgaben_bis_2018!$Y:$Y,"&gt;0")</f>
        <v>0</v>
      </c>
      <c r="O3" s="4">
        <f>SUMIFS(Ausgaben_bis_2018!$T:$T,Ausgaben_bis_2018!$F:$F,"&lt;=" &amp; UVA!$D3,Ausgaben_bis_2018!$F:$F,"&gt;=" &amp;UVA!$C3,Ausgaben_bis_2018!$Y:$Y,"=20")</f>
        <v>0</v>
      </c>
    </row>
    <row r="4" spans="1:15" x14ac:dyDescent="0.25">
      <c r="A4">
        <v>2015</v>
      </c>
      <c r="B4">
        <f t="shared" ref="B4:B17" si="2">MOD(B3,4)+1</f>
        <v>3</v>
      </c>
      <c r="C4" s="1">
        <f t="shared" ref="C4:C17" si="3">EDATE(C3,3)</f>
        <v>42186</v>
      </c>
      <c r="D4" s="1">
        <f t="shared" ref="D4:D17" si="4">EDATE(C4,3)-1</f>
        <v>42277</v>
      </c>
      <c r="E4" s="1">
        <f t="shared" si="0"/>
        <v>42323</v>
      </c>
      <c r="F4" s="4">
        <f>SUMIFS(Rechnung_Ausgang!J:J,Rechnung_Ausgang!D:D,"&lt;=" &amp; UVA!D4,Rechnung_Ausgang!D:D,"&gt;=" &amp;UVA!C4)</f>
        <v>2428.0620000000004</v>
      </c>
      <c r="G4" s="4">
        <f>SUMIFS(Ausgaben_bis_2018!S:S,Ausgaben_bis_2018!F:F,"&lt;=" &amp; UVA!D4,Ausgaben_bis_2018!F:F,"&gt;=" &amp;UVA!C4)</f>
        <v>416.66034223983633</v>
      </c>
      <c r="H4" s="4">
        <f>F4-G4</f>
        <v>2011.401657760164</v>
      </c>
      <c r="I4" s="4">
        <f>SUMIFS(Rechnung_Ausgang!$H:$H,Rechnung_Ausgang!$D:$D,"&lt;=" &amp; UVA!$D4,Rechnung_Ausgang!$D:$D,"&gt;=" &amp;UVA!$C4)</f>
        <v>12140.31</v>
      </c>
      <c r="J4" s="4">
        <f>SUMIFS(Rechnung_Ausgang!$H:$H,Rechnung_Ausgang!$D:$D,"&lt;=" &amp; UVA!$D4,Rechnung_Ausgang!$D:$D,"&gt;=" &amp;UVA!$C4)</f>
        <v>12140.31</v>
      </c>
      <c r="K4" s="4">
        <f>SUMIFS(Rechnung_Ausgang!$H:$H,Rechnung_Ausgang!$D:$D,"&lt;=" &amp; UVA!$D4,Rechnung_Ausgang!$D:$D,"&gt;=" &amp;UVA!$C4,Rechnung_Ausgang!$I:$I,"=20")</f>
        <v>12140.31</v>
      </c>
      <c r="L4" s="4">
        <f>SUMIFS(Ausgaben_bis_2018!$S:$S,Ausgaben_bis_2018!$F:$F,"&lt;=" &amp; UVA!$D4,Ausgaben_bis_2018!$F:$F,"&gt;=" &amp;UVA!$C4,Ausgaben_bis_2018!$Y:$Y,"&lt;&gt;ja")</f>
        <v>416.66034223983633</v>
      </c>
      <c r="M4" s="4">
        <f>SUMIFS(Ausgaben_bis_2018!$AA:$AA,Ausgaben_bis_2018!$F:$F,"&lt;=" &amp; UVA!$D4,Ausgaben_bis_2018!$F:$F,"&gt;=" &amp;UVA!$C4,Ausgaben_bis_2018!$Y:$Y,"&gt;0")</f>
        <v>0</v>
      </c>
      <c r="N4" s="4">
        <f>SUMIFS(Ausgaben_bis_2018!$T:$T,Ausgaben_bis_2018!$F:$F,"&lt;=" &amp; UVA!$D4,Ausgaben_bis_2018!$F:$F,"&gt;=" &amp;UVA!$C4,Ausgaben_bis_2018!$Y:$Y,"&gt;0")</f>
        <v>0</v>
      </c>
      <c r="O4" s="4">
        <f>SUMIFS(Ausgaben_bis_2018!$T:$T,Ausgaben_bis_2018!$F:$F,"&lt;=" &amp; UVA!$D4,Ausgaben_bis_2018!$F:$F,"&gt;=" &amp;UVA!$C4,Ausgaben_bis_2018!$Y:$Y,"=20")</f>
        <v>0</v>
      </c>
    </row>
    <row r="5" spans="1:15" x14ac:dyDescent="0.25">
      <c r="A5">
        <v>2015</v>
      </c>
      <c r="B5">
        <f t="shared" si="2"/>
        <v>4</v>
      </c>
      <c r="C5" s="1">
        <f t="shared" si="3"/>
        <v>42278</v>
      </c>
      <c r="D5" s="1">
        <f t="shared" si="4"/>
        <v>42369</v>
      </c>
      <c r="E5" s="1">
        <f t="shared" si="0"/>
        <v>42415</v>
      </c>
      <c r="F5" s="4">
        <f>SUMIFS(Rechnung_Ausgang!J:J,Rechnung_Ausgang!D:D,"&lt;=" &amp; UVA!D5,Rechnung_Ausgang!D:D,"&gt;=" &amp;UVA!C5)</f>
        <v>1402.4740000000002</v>
      </c>
      <c r="G5" s="4">
        <f>SUMIFS(Ausgaben_bis_2018!S:S,Ausgaben_bis_2018!F:F,"&lt;=" &amp; UVA!D5,Ausgaben_bis_2018!F:F,"&gt;=" &amp;UVA!C5)</f>
        <v>107.53771020199439</v>
      </c>
      <c r="H5" s="4">
        <f>F5-G5</f>
        <v>1294.9362897980059</v>
      </c>
      <c r="I5" s="4">
        <f>SUMIFS(Rechnung_Ausgang!$H:$H,Rechnung_Ausgang!$D:$D,"&lt;=" &amp; UVA!$D5,Rechnung_Ausgang!$D:$D,"&gt;=" &amp;UVA!$C5)</f>
        <v>7012.37</v>
      </c>
      <c r="J5" s="4">
        <f>SUMIFS(Rechnung_Ausgang!$H:$H,Rechnung_Ausgang!$D:$D,"&lt;=" &amp; UVA!$D5,Rechnung_Ausgang!$D:$D,"&gt;=" &amp;UVA!$C5)</f>
        <v>7012.37</v>
      </c>
      <c r="K5" s="4">
        <f>SUMIFS(Rechnung_Ausgang!$H:$H,Rechnung_Ausgang!$D:$D,"&lt;=" &amp; UVA!$D5,Rechnung_Ausgang!$D:$D,"&gt;=" &amp;UVA!$C5,Rechnung_Ausgang!$I:$I,"=20")</f>
        <v>7012.37</v>
      </c>
      <c r="L5" s="4">
        <f>SUMIFS(Ausgaben_bis_2018!$S:$S,Ausgaben_bis_2018!$F:$F,"&lt;=" &amp; UVA!$D5,Ausgaben_bis_2018!$F:$F,"&gt;=" &amp;UVA!$C5,Ausgaben_bis_2018!$Y:$Y,"&lt;&gt;ja")</f>
        <v>107.53771020199439</v>
      </c>
      <c r="M5" s="4">
        <f>SUMIFS(Ausgaben_bis_2018!$AA:$AA,Ausgaben_bis_2018!$F:$F,"&lt;=" &amp; UVA!$D5,Ausgaben_bis_2018!$F:$F,"&gt;=" &amp;UVA!$C5,Ausgaben_bis_2018!$Y:$Y,"&gt;0")</f>
        <v>432.57000000000005</v>
      </c>
      <c r="N5" s="4">
        <f>SUMIFS(Ausgaben_bis_2018!$T:$T,Ausgaben_bis_2018!$F:$F,"&lt;=" &amp; UVA!$D5,Ausgaben_bis_2018!$F:$F,"&gt;=" &amp;UVA!$C5,Ausgaben_bis_2018!$Y:$Y,"&gt;0")</f>
        <v>2162.85</v>
      </c>
      <c r="O5" s="4">
        <f>SUMIFS(Ausgaben_bis_2018!$T:$T,Ausgaben_bis_2018!$F:$F,"&lt;=" &amp; UVA!$D5,Ausgaben_bis_2018!$F:$F,"&gt;=" &amp;UVA!$C5,Ausgaben_bis_2018!$Y:$Y,"=20")</f>
        <v>2162.85</v>
      </c>
    </row>
    <row r="6" spans="1:15" x14ac:dyDescent="0.25">
      <c r="A6">
        <v>2016</v>
      </c>
      <c r="B6">
        <f t="shared" si="2"/>
        <v>1</v>
      </c>
      <c r="C6" s="1">
        <f t="shared" si="3"/>
        <v>42370</v>
      </c>
      <c r="D6" s="1">
        <f t="shared" si="4"/>
        <v>42460</v>
      </c>
      <c r="E6" s="1">
        <f t="shared" si="0"/>
        <v>42505</v>
      </c>
      <c r="F6" s="4">
        <f>SUMIFS(Rechnung_Ausgang!J:J,Rechnung_Ausgang!D:D,"&lt;=" &amp; UVA!D6,Rechnung_Ausgang!D:D,"&gt;=" &amp;UVA!C6)</f>
        <v>6506.9</v>
      </c>
      <c r="G6" s="4">
        <f>SUMIFS(Ausgaben_bis_2018!S:S,Ausgaben_bis_2018!F:F,"&lt;=" &amp; UVA!D6,Ausgaben_bis_2018!F:F,"&gt;=" &amp;UVA!C6)</f>
        <v>178.78855914088464</v>
      </c>
      <c r="H6" s="4">
        <f t="shared" si="1"/>
        <v>6328.1114408591147</v>
      </c>
      <c r="I6" s="4">
        <f>SUMIFS(Rechnung_Ausgang!$H:$H,Rechnung_Ausgang!$D:$D,"&lt;=" &amp; UVA!$D6,Rechnung_Ausgang!$D:$D,"&gt;=" &amp;UVA!$C6)</f>
        <v>32534.5</v>
      </c>
      <c r="J6" s="4">
        <f>SUMIFS(Rechnung_Ausgang!$H:$H,Rechnung_Ausgang!$D:$D,"&lt;=" &amp; UVA!$D6,Rechnung_Ausgang!$D:$D,"&gt;=" &amp;UVA!$C6)</f>
        <v>32534.5</v>
      </c>
      <c r="K6" s="4">
        <f>SUMIFS(Rechnung_Ausgang!$H:$H,Rechnung_Ausgang!$D:$D,"&lt;=" &amp; UVA!$D6,Rechnung_Ausgang!$D:$D,"&gt;=" &amp;UVA!$C6,Rechnung_Ausgang!$I:$I,"=20")</f>
        <v>32534.5</v>
      </c>
      <c r="L6" s="4">
        <f>SUMIFS(Ausgaben_bis_2018!$S:$S,Ausgaben_bis_2018!$F:$F,"&lt;=" &amp; UVA!$D6,Ausgaben_bis_2018!$F:$F,"&gt;=" &amp;UVA!$C6,Ausgaben_bis_2018!$Y:$Y,"&lt;&gt;ja")</f>
        <v>178.78855914088464</v>
      </c>
      <c r="M6" s="4">
        <f>SUMIFS(Ausgaben_bis_2018!$AA:$AA,Ausgaben_bis_2018!$F:$F,"&lt;=" &amp; UVA!$D6,Ausgaben_bis_2018!$F:$F,"&gt;=" &amp;UVA!$C6,Ausgaben_bis_2018!$Y:$Y,"&gt;0")</f>
        <v>49.198</v>
      </c>
      <c r="N6" s="4">
        <f>SUMIFS(Ausgaben_bis_2018!$T:$T,Ausgaben_bis_2018!$F:$F,"&lt;=" &amp; UVA!$D6,Ausgaben_bis_2018!$F:$F,"&gt;=" &amp;UVA!$C6,Ausgaben_bis_2018!$Y:$Y,"&gt;0")</f>
        <v>245.98999999999998</v>
      </c>
      <c r="O6" s="4">
        <f>SUMIFS(Ausgaben_bis_2018!$T:$T,Ausgaben_bis_2018!$F:$F,"&lt;=" &amp; UVA!$D6,Ausgaben_bis_2018!$F:$F,"&gt;=" &amp;UVA!$C6,Ausgaben_bis_2018!$Y:$Y,"=20")</f>
        <v>245.98999999999998</v>
      </c>
    </row>
    <row r="7" spans="1:15" x14ac:dyDescent="0.25">
      <c r="A7">
        <v>2016</v>
      </c>
      <c r="B7">
        <f t="shared" si="2"/>
        <v>2</v>
      </c>
      <c r="C7" s="1">
        <f t="shared" si="3"/>
        <v>42461</v>
      </c>
      <c r="D7" s="1">
        <f t="shared" si="4"/>
        <v>42551</v>
      </c>
      <c r="E7" s="1">
        <f t="shared" si="0"/>
        <v>42597</v>
      </c>
      <c r="F7" s="4">
        <f>SUMIFS(Rechnung_Ausgang!J:J,Rechnung_Ausgang!D:D,"&lt;=" &amp; UVA!D7,Rechnung_Ausgang!D:D,"&gt;=" &amp;UVA!C7)</f>
        <v>7020.732</v>
      </c>
      <c r="G7" s="4">
        <f>SUMIFS(Ausgaben_bis_2018!S:S,Ausgaben_bis_2018!F:F,"&lt;=" &amp; UVA!D7,Ausgaben_bis_2018!F:F,"&gt;=" &amp;UVA!C7)</f>
        <v>1122.6216144464336</v>
      </c>
      <c r="H7" s="4">
        <f t="shared" si="1"/>
        <v>5898.1103855535666</v>
      </c>
      <c r="I7" s="4">
        <f>SUMIFS(Rechnung_Ausgang!$H:$H,Rechnung_Ausgang!$D:$D,"&lt;=" &amp; UVA!$D7,Rechnung_Ausgang!$D:$D,"&gt;=" &amp;UVA!$C7)</f>
        <v>35103.660000000003</v>
      </c>
      <c r="J7" s="4">
        <f>SUMIFS(Rechnung_Ausgang!$H:$H,Rechnung_Ausgang!$D:$D,"&lt;=" &amp; UVA!$D7,Rechnung_Ausgang!$D:$D,"&gt;=" &amp;UVA!$C7)</f>
        <v>35103.660000000003</v>
      </c>
      <c r="K7" s="4">
        <f>SUMIFS(Rechnung_Ausgang!$H:$H,Rechnung_Ausgang!$D:$D,"&lt;=" &amp; UVA!$D7,Rechnung_Ausgang!$D:$D,"&gt;=" &amp;UVA!$C7,Rechnung_Ausgang!$I:$I,"=20")</f>
        <v>35103.660000000003</v>
      </c>
      <c r="L7" s="4">
        <f>SUMIFS(Ausgaben_bis_2018!$S:$S,Ausgaben_bis_2018!$F:$F,"&lt;=" &amp; UVA!$D7,Ausgaben_bis_2018!$F:$F,"&gt;=" &amp;UVA!$C7,Ausgaben_bis_2018!$Y:$Y,"&lt;&gt;ja")</f>
        <v>1122.6216144464336</v>
      </c>
      <c r="M7" s="4">
        <f>SUMIFS(Ausgaben_bis_2018!$AA:$AA,Ausgaben_bis_2018!$F:$F,"&lt;=" &amp; UVA!$D7,Ausgaben_bis_2018!$F:$F,"&gt;=" &amp;UVA!$C7,Ausgaben_bis_2018!$Y:$Y,"&gt;0")</f>
        <v>25.044000000000004</v>
      </c>
      <c r="N7" s="4">
        <f>SUMIFS(Ausgaben_bis_2018!$T:$T,Ausgaben_bis_2018!$F:$F,"&lt;=" &amp; UVA!$D7,Ausgaben_bis_2018!$F:$F,"&gt;=" &amp;UVA!$C7,Ausgaben_bis_2018!$Y:$Y,"&gt;0")</f>
        <v>125.22</v>
      </c>
      <c r="O7" s="4">
        <f>SUMIFS(Ausgaben_bis_2018!$T:$T,Ausgaben_bis_2018!$F:$F,"&lt;=" &amp; UVA!$D7,Ausgaben_bis_2018!$F:$F,"&gt;=" &amp;UVA!$C7,Ausgaben_bis_2018!$Y:$Y,"=20")</f>
        <v>125.22</v>
      </c>
    </row>
    <row r="8" spans="1:15" x14ac:dyDescent="0.25">
      <c r="A8">
        <v>2016</v>
      </c>
      <c r="B8">
        <f t="shared" si="2"/>
        <v>3</v>
      </c>
      <c r="C8" s="1">
        <f t="shared" si="3"/>
        <v>42552</v>
      </c>
      <c r="D8" s="1">
        <f t="shared" si="4"/>
        <v>42643</v>
      </c>
      <c r="E8" s="1">
        <f t="shared" si="0"/>
        <v>42689</v>
      </c>
      <c r="F8" s="4">
        <f>SUMIFS(Rechnung_Ausgang!J:J,Rechnung_Ausgang!D:D,"&lt;=" &amp; UVA!D8,Rechnung_Ausgang!D:D,"&gt;=" &amp;UVA!C8)</f>
        <v>1575.1320000000003</v>
      </c>
      <c r="G8" s="4">
        <f>SUMIFS(Ausgaben_bis_2018!S:S,Ausgaben_bis_2018!F:F,"&lt;=" &amp; UVA!D8,Ausgaben_bis_2018!F:F,"&gt;=" &amp;UVA!C8)</f>
        <v>256.96901157078321</v>
      </c>
      <c r="H8" s="4">
        <f t="shared" si="1"/>
        <v>1318.162988429217</v>
      </c>
      <c r="I8" s="4">
        <f>SUMIFS(Rechnung_Ausgang!$H:$H,Rechnung_Ausgang!$D:$D,"&lt;=" &amp; UVA!$D8,Rechnung_Ausgang!$D:$D,"&gt;=" &amp;UVA!$C8)</f>
        <v>7875.6600000000008</v>
      </c>
      <c r="J8" s="4">
        <f>SUMIFS(Rechnung_Ausgang!$H:$H,Rechnung_Ausgang!$D:$D,"&lt;=" &amp; UVA!$D8,Rechnung_Ausgang!$D:$D,"&gt;=" &amp;UVA!$C8)</f>
        <v>7875.6600000000008</v>
      </c>
      <c r="K8" s="4">
        <f>SUMIFS(Rechnung_Ausgang!$H:$H,Rechnung_Ausgang!$D:$D,"&lt;=" &amp; UVA!$D8,Rechnung_Ausgang!$D:$D,"&gt;=" &amp;UVA!$C8,Rechnung_Ausgang!$I:$I,"=20")</f>
        <v>7875.6600000000008</v>
      </c>
      <c r="L8" s="4">
        <f>SUMIFS(Ausgaben_bis_2018!$S:$S,Ausgaben_bis_2018!$F:$F,"&lt;=" &amp; UVA!$D8,Ausgaben_bis_2018!$F:$F,"&gt;=" &amp;UVA!$C8,Ausgaben_bis_2018!$Y:$Y,"&lt;&gt;ja")</f>
        <v>256.96901157078321</v>
      </c>
      <c r="M8" s="4">
        <f>SUMIFS(Ausgaben_bis_2018!$AA:$AA,Ausgaben_bis_2018!$F:$F,"&lt;=" &amp; UVA!$D8,Ausgaben_bis_2018!$F:$F,"&gt;=" &amp;UVA!$C8,Ausgaben_bis_2018!$Y:$Y,"&gt;0")</f>
        <v>25.212000000000003</v>
      </c>
      <c r="N8" s="4">
        <f>SUMIFS(Ausgaben_bis_2018!$T:$T,Ausgaben_bis_2018!$F:$F,"&lt;=" &amp; UVA!$D8,Ausgaben_bis_2018!$F:$F,"&gt;=" &amp;UVA!$C8,Ausgaben_bis_2018!$Y:$Y,"&gt;0")</f>
        <v>126.06</v>
      </c>
      <c r="O8" s="4">
        <f>SUMIFS(Ausgaben_bis_2018!$T:$T,Ausgaben_bis_2018!$F:$F,"&lt;=" &amp; UVA!$D8,Ausgaben_bis_2018!$F:$F,"&gt;=" &amp;UVA!$C8,Ausgaben_bis_2018!$Y:$Y,"=20")</f>
        <v>126.06</v>
      </c>
    </row>
    <row r="9" spans="1:15" x14ac:dyDescent="0.25">
      <c r="A9">
        <v>2016</v>
      </c>
      <c r="B9">
        <f t="shared" si="2"/>
        <v>4</v>
      </c>
      <c r="C9" s="1">
        <f t="shared" si="3"/>
        <v>42644</v>
      </c>
      <c r="D9" s="1">
        <f t="shared" si="4"/>
        <v>42735</v>
      </c>
      <c r="E9" s="1">
        <f t="shared" si="0"/>
        <v>42781</v>
      </c>
      <c r="F9" s="4">
        <f>SUMIFS(Rechnung_Ausgang!J:J,Rechnung_Ausgang!D:D,"&lt;=" &amp; UVA!D9,Rechnung_Ausgang!D:D,"&gt;=" &amp;UVA!C9)</f>
        <v>916.44399999999996</v>
      </c>
      <c r="G9" s="4">
        <f>SUMIFS(Ausgaben_bis_2018!S:S,Ausgaben_bis_2018!F:F,"&lt;=" &amp; UVA!D9,Ausgaben_bis_2018!F:F,"&gt;=" &amp;UVA!C9)</f>
        <v>204.77970979289185</v>
      </c>
      <c r="H9" s="4">
        <f t="shared" si="1"/>
        <v>711.66429020710814</v>
      </c>
      <c r="I9" s="4">
        <f>SUMIFS(Rechnung_Ausgang!$H:$H,Rechnung_Ausgang!$D:$D,"&lt;=" &amp; UVA!$D9,Rechnung_Ausgang!$D:$D,"&gt;=" &amp;UVA!$C9)</f>
        <v>4582.2199999999993</v>
      </c>
      <c r="J9" s="4">
        <f>SUMIFS(Rechnung_Ausgang!$H:$H,Rechnung_Ausgang!$D:$D,"&lt;=" &amp; UVA!$D9,Rechnung_Ausgang!$D:$D,"&gt;=" &amp;UVA!$C9)</f>
        <v>4582.2199999999993</v>
      </c>
      <c r="K9" s="4">
        <f>SUMIFS(Rechnung_Ausgang!$H:$H,Rechnung_Ausgang!$D:$D,"&lt;=" &amp; UVA!$D9,Rechnung_Ausgang!$D:$D,"&gt;=" &amp;UVA!$C9,Rechnung_Ausgang!$I:$I,"=20")</f>
        <v>4582.2199999999993</v>
      </c>
      <c r="L9" s="4">
        <f>SUMIFS(Ausgaben_bis_2018!$S:$S,Ausgaben_bis_2018!$F:$F,"&lt;=" &amp; UVA!$D9,Ausgaben_bis_2018!$F:$F,"&gt;=" &amp;UVA!$C9,Ausgaben_bis_2018!$Y:$Y,"&lt;&gt;ja")</f>
        <v>204.77970979289185</v>
      </c>
      <c r="M9" s="4">
        <f>SUMIFS(Ausgaben_bis_2018!$AA:$AA,Ausgaben_bis_2018!$F:$F,"&lt;=" &amp; UVA!$D9,Ausgaben_bis_2018!$F:$F,"&gt;=" &amp;UVA!$C9,Ausgaben_bis_2018!$Y:$Y,"&gt;0")</f>
        <v>25.212000000000003</v>
      </c>
      <c r="N9" s="4">
        <f>SUMIFS(Ausgaben_bis_2018!$T:$T,Ausgaben_bis_2018!$F:$F,"&lt;=" &amp; UVA!$D9,Ausgaben_bis_2018!$F:$F,"&gt;=" &amp;UVA!$C9,Ausgaben_bis_2018!$Y:$Y,"&gt;0")</f>
        <v>126.06</v>
      </c>
      <c r="O9" s="4">
        <f>SUMIFS(Ausgaben_bis_2018!$T:$T,Ausgaben_bis_2018!$F:$F,"&lt;=" &amp; UVA!$D9,Ausgaben_bis_2018!$F:$F,"&gt;=" &amp;UVA!$C9,Ausgaben_bis_2018!$Y:$Y,"=20")</f>
        <v>126.06</v>
      </c>
    </row>
    <row r="10" spans="1:15" x14ac:dyDescent="0.25">
      <c r="A10">
        <v>2017</v>
      </c>
      <c r="B10">
        <f t="shared" si="2"/>
        <v>1</v>
      </c>
      <c r="C10" s="1">
        <f t="shared" si="3"/>
        <v>42736</v>
      </c>
      <c r="D10" s="1">
        <f t="shared" si="4"/>
        <v>42825</v>
      </c>
      <c r="E10" s="1">
        <f t="shared" si="0"/>
        <v>42870</v>
      </c>
      <c r="F10" s="4">
        <f>SUMIFS(Rechnung_Ausgang!J:J,Rechnung_Ausgang!D:D,"&lt;=" &amp; UVA!D10,Rechnung_Ausgang!D:D,"&gt;=" &amp;UVA!C10)</f>
        <v>8.4</v>
      </c>
      <c r="G10" s="4">
        <f>SUMIFS(Ausgaben_bis_2018!S:S,Ausgaben_bis_2018!F:F,"&lt;=" &amp; UVA!D10,Ausgaben_bis_2018!F:F,"&gt;=" &amp;UVA!C10)</f>
        <v>192.24872871388391</v>
      </c>
      <c r="H10" s="4">
        <f t="shared" si="1"/>
        <v>-183.8487287138839</v>
      </c>
      <c r="I10" s="4">
        <f>SUMIFS(Rechnung_Ausgang!$H:$H,Rechnung_Ausgang!$D:$D,"&lt;=" &amp; UVA!$D10,Rechnung_Ausgang!$D:$D,"&gt;=" &amp;UVA!$C10)</f>
        <v>42</v>
      </c>
      <c r="J10" s="4">
        <f>SUMIFS(Rechnung_Ausgang!$H:$H,Rechnung_Ausgang!$D:$D,"&lt;=" &amp; UVA!$D10,Rechnung_Ausgang!$D:$D,"&gt;=" &amp;UVA!$C10)</f>
        <v>42</v>
      </c>
      <c r="K10" s="4">
        <f>SUMIFS(Rechnung_Ausgang!$H:$H,Rechnung_Ausgang!$D:$D,"&lt;=" &amp; UVA!$D10,Rechnung_Ausgang!$D:$D,"&gt;=" &amp;UVA!$C10,Rechnung_Ausgang!$I:$I,"=20")</f>
        <v>42</v>
      </c>
      <c r="L10" s="4">
        <f>SUMIFS(Ausgaben_bis_2018!$S:$S,Ausgaben_bis_2018!$F:$F,"&lt;=" &amp; UVA!$D10,Ausgaben_bis_2018!$F:$F,"&gt;=" &amp;UVA!$C10,Ausgaben_bis_2018!$Y:$Y,"&lt;&gt;ja")</f>
        <v>192.24872871388391</v>
      </c>
      <c r="M10" s="4">
        <f>SUMIFS(Ausgaben_bis_2018!$AA:$AA,Ausgaben_bis_2018!$F:$F,"&lt;=" &amp; UVA!$D10,Ausgaben_bis_2018!$F:$F,"&gt;=" &amp;UVA!$C10,Ausgaben_bis_2018!$Y:$Y,"&gt;0")</f>
        <v>83.308000000000007</v>
      </c>
      <c r="N10" s="4">
        <f>SUMIFS(Ausgaben_bis_2018!$T:$T,Ausgaben_bis_2018!$F:$F,"&lt;=" &amp; UVA!$D10,Ausgaben_bis_2018!$F:$F,"&gt;=" &amp;UVA!$C10,Ausgaben_bis_2018!$Y:$Y,"&gt;0")</f>
        <v>416.54</v>
      </c>
      <c r="O10" s="4">
        <f>SUMIFS(Ausgaben_bis_2018!$T:$T,Ausgaben_bis_2018!$F:$F,"&lt;=" &amp; UVA!$D10,Ausgaben_bis_2018!$F:$F,"&gt;=" &amp;UVA!$C10,Ausgaben_bis_2018!$Y:$Y,"=20")</f>
        <v>416.54</v>
      </c>
    </row>
    <row r="11" spans="1:15" x14ac:dyDescent="0.25">
      <c r="A11">
        <v>2017</v>
      </c>
      <c r="B11">
        <f t="shared" si="2"/>
        <v>2</v>
      </c>
      <c r="C11" s="1">
        <f t="shared" si="3"/>
        <v>42826</v>
      </c>
      <c r="D11" s="1">
        <f t="shared" si="4"/>
        <v>42916</v>
      </c>
      <c r="E11" s="1">
        <f t="shared" si="0"/>
        <v>42962</v>
      </c>
      <c r="F11" s="4">
        <f>SUMIFS(Rechnung_Ausgang!J:J,Rechnung_Ausgang!D:D,"&lt;=" &amp; UVA!D11,Rechnung_Ausgang!D:D,"&gt;=" &amp;UVA!C11)</f>
        <v>674.5</v>
      </c>
      <c r="G11" s="4">
        <f>SUMIFS(Ausgaben_bis_2018!S:S,Ausgaben_bis_2018!F:F,"&lt;=" &amp; UVA!D11,Ausgaben_bis_2018!F:F,"&gt;=" &amp;UVA!C11)</f>
        <v>119.68806890820763</v>
      </c>
      <c r="H11" s="4">
        <f t="shared" si="1"/>
        <v>554.81193109179242</v>
      </c>
      <c r="I11" s="4">
        <f>SUMIFS(Rechnung_Ausgang!$H:$H,Rechnung_Ausgang!$D:$D,"&lt;=" &amp; UVA!$D11,Rechnung_Ausgang!$D:$D,"&gt;=" &amp;UVA!$C11)</f>
        <v>3372.5</v>
      </c>
      <c r="J11" s="4">
        <f>SUMIFS(Rechnung_Ausgang!$H:$H,Rechnung_Ausgang!$D:$D,"&lt;=" &amp; UVA!$D11,Rechnung_Ausgang!$D:$D,"&gt;=" &amp;UVA!$C11)</f>
        <v>3372.5</v>
      </c>
      <c r="K11" s="4">
        <f>SUMIFS(Rechnung_Ausgang!$H:$H,Rechnung_Ausgang!$D:$D,"&lt;=" &amp; UVA!$D11,Rechnung_Ausgang!$D:$D,"&gt;=" &amp;UVA!$C11,Rechnung_Ausgang!$I:$I,"=20")</f>
        <v>3372.5</v>
      </c>
      <c r="L11" s="4">
        <f>SUMIFS(Ausgaben_bis_2018!$S:$S,Ausgaben_bis_2018!$F:$F,"&lt;=" &amp; UVA!$D11,Ausgaben_bis_2018!$F:$F,"&gt;=" &amp;UVA!$C11,Ausgaben_bis_2018!$Y:$Y,"&lt;&gt;ja")</f>
        <v>119.68806890820763</v>
      </c>
      <c r="M11" s="4">
        <f>SUMIFS(Ausgaben_bis_2018!$AA:$AA,Ausgaben_bis_2018!$F:$F,"&lt;=" &amp; UVA!$D11,Ausgaben_bis_2018!$F:$F,"&gt;=" &amp;UVA!$C11,Ausgaben_bis_2018!$Y:$Y,"&gt;0")</f>
        <v>0</v>
      </c>
      <c r="N11" s="4">
        <f>SUMIFS(Ausgaben_bis_2018!$T:$T,Ausgaben_bis_2018!$F:$F,"&lt;=" &amp; UVA!$D11,Ausgaben_bis_2018!$F:$F,"&gt;=" &amp;UVA!$C11,Ausgaben_bis_2018!$Y:$Y,"&gt;0")</f>
        <v>0</v>
      </c>
      <c r="O11" s="4">
        <f>SUMIFS(Ausgaben_bis_2018!$T:$T,Ausgaben_bis_2018!$F:$F,"&lt;=" &amp; UVA!$D11,Ausgaben_bis_2018!$F:$F,"&gt;=" &amp;UVA!$C11,Ausgaben_bis_2018!$Y:$Y,"=20")</f>
        <v>0</v>
      </c>
    </row>
    <row r="12" spans="1:15" x14ac:dyDescent="0.25">
      <c r="A12">
        <v>2017</v>
      </c>
      <c r="B12">
        <f t="shared" si="2"/>
        <v>3</v>
      </c>
      <c r="C12" s="1">
        <f t="shared" si="3"/>
        <v>42917</v>
      </c>
      <c r="D12" s="1">
        <f t="shared" si="4"/>
        <v>43008</v>
      </c>
      <c r="E12" s="1">
        <f t="shared" si="0"/>
        <v>43054</v>
      </c>
      <c r="F12" s="4">
        <f>SUMIFS(Rechnung_Ausgang!J:J,Rechnung_Ausgang!D:D,"&lt;=" &amp; UVA!D12,Rechnung_Ausgang!D:D,"&gt;=" &amp;UVA!C12)</f>
        <v>5.82</v>
      </c>
      <c r="G12" s="4">
        <f>SUMIFS(Ausgaben_bis_2018!S:S,Ausgaben_bis_2018!F:F,"&lt;=" &amp; UVA!D12,Ausgaben_bis_2018!F:F,"&gt;=" &amp;UVA!C12)</f>
        <v>96.353618000511389</v>
      </c>
      <c r="H12" s="4">
        <f t="shared" si="1"/>
        <v>-90.533618000511382</v>
      </c>
      <c r="I12" s="4">
        <f>SUMIFS(Rechnung_Ausgang!$H:$H,Rechnung_Ausgang!$D:$D,"&lt;=" &amp; UVA!$D12,Rechnung_Ausgang!$D:$D,"&gt;=" &amp;UVA!$C12)</f>
        <v>29.1</v>
      </c>
      <c r="J12" s="4">
        <f>SUMIFS(Rechnung_Ausgang!$H:$H,Rechnung_Ausgang!$D:$D,"&lt;=" &amp; UVA!$D12,Rechnung_Ausgang!$D:$D,"&gt;=" &amp;UVA!$C12)</f>
        <v>29.1</v>
      </c>
      <c r="K12" s="4">
        <f>SUMIFS(Rechnung_Ausgang!$H:$H,Rechnung_Ausgang!$D:$D,"&lt;=" &amp; UVA!$D12,Rechnung_Ausgang!$D:$D,"&gt;=" &amp;UVA!$C12,Rechnung_Ausgang!$I:$I,"=20")</f>
        <v>29.1</v>
      </c>
      <c r="L12" s="4">
        <f>SUMIFS(Ausgaben_bis_2018!$S:$S,Ausgaben_bis_2018!$F:$F,"&lt;=" &amp; UVA!$D12,Ausgaben_bis_2018!$F:$F,"&gt;=" &amp;UVA!$C12,Ausgaben_bis_2018!$Y:$Y,"&lt;&gt;ja")</f>
        <v>96.353618000511389</v>
      </c>
      <c r="M12" s="4">
        <f>SUMIFS(Ausgaben_bis_2018!$AA:$AA,Ausgaben_bis_2018!$F:$F,"&lt;=" &amp; UVA!$D12,Ausgaben_bis_2018!$F:$F,"&gt;=" &amp;UVA!$C12,Ausgaben_bis_2018!$Y:$Y,"&gt;0")</f>
        <v>0</v>
      </c>
      <c r="N12" s="4">
        <f>SUMIFS(Ausgaben_bis_2018!$T:$T,Ausgaben_bis_2018!$F:$F,"&lt;=" &amp; UVA!$D12,Ausgaben_bis_2018!$F:$F,"&gt;=" &amp;UVA!$C12,Ausgaben_bis_2018!$Y:$Y,"&gt;0")</f>
        <v>0</v>
      </c>
      <c r="O12" s="4">
        <f>SUMIFS(Ausgaben_bis_2018!$T:$T,Ausgaben_bis_2018!$F:$F,"&lt;=" &amp; UVA!$D12,Ausgaben_bis_2018!$F:$F,"&gt;=" &amp;UVA!$C12,Ausgaben_bis_2018!$Y:$Y,"=20")</f>
        <v>0</v>
      </c>
    </row>
    <row r="13" spans="1:15" x14ac:dyDescent="0.25">
      <c r="A13">
        <v>2017</v>
      </c>
      <c r="B13">
        <f t="shared" si="2"/>
        <v>4</v>
      </c>
      <c r="C13" s="1">
        <f t="shared" si="3"/>
        <v>43009</v>
      </c>
      <c r="D13" s="1">
        <f t="shared" si="4"/>
        <v>43100</v>
      </c>
      <c r="E13" s="1">
        <f t="shared" si="0"/>
        <v>43146</v>
      </c>
      <c r="F13" s="4">
        <f>SUMIFS(Rechnung_Ausgang!J:J,Rechnung_Ausgang!D:D,"&lt;=" &amp; UVA!D13,Rechnung_Ausgang!D:D,"&gt;=" &amp;UVA!C13)</f>
        <v>4414.2219999999998</v>
      </c>
      <c r="G13" s="4">
        <f>SUMIFS(Ausgaben_bis_2018!S:S,Ausgaben_bis_2018!F:F,"&lt;=" &amp; UVA!D13,Ausgaben_bis_2018!F:F,"&gt;=" &amp;UVA!C13)</f>
        <v>1439.8476239665908</v>
      </c>
      <c r="H13" s="4">
        <f t="shared" si="1"/>
        <v>2974.3743760334091</v>
      </c>
      <c r="I13" s="4">
        <f>SUMIFS(Rechnung_Ausgang!$H:$H,Rechnung_Ausgang!$D:$D,"&lt;=" &amp; UVA!$D13,Rechnung_Ausgang!$D:$D,"&gt;=" &amp;UVA!$C13)</f>
        <v>22071.11</v>
      </c>
      <c r="J13" s="4">
        <f>SUMIFS(Rechnung_Ausgang!$H:$H,Rechnung_Ausgang!$D:$D,"&lt;=" &amp; UVA!$D13,Rechnung_Ausgang!$D:$D,"&gt;=" &amp;UVA!$C13)</f>
        <v>22071.11</v>
      </c>
      <c r="K13" s="4">
        <f>SUMIFS(Rechnung_Ausgang!$H:$H,Rechnung_Ausgang!$D:$D,"&lt;=" &amp; UVA!$D13,Rechnung_Ausgang!$D:$D,"&gt;=" &amp;UVA!$C13,Rechnung_Ausgang!$I:$I,"=20")</f>
        <v>22071.11</v>
      </c>
      <c r="L13" s="4">
        <f>SUMIFS(Ausgaben_bis_2018!$S:$S,Ausgaben_bis_2018!$F:$F,"&lt;=" &amp; UVA!$D13,Ausgaben_bis_2018!$F:$F,"&gt;=" &amp;UVA!$C13,Ausgaben_bis_2018!$Y:$Y,"&lt;&gt;ja")</f>
        <v>1439.8476239665908</v>
      </c>
      <c r="M13" s="4">
        <f>SUMIFS(Ausgaben_bis_2018!$AA:$AA,Ausgaben_bis_2018!$F:$F,"&lt;=" &amp; UVA!$D13,Ausgaben_bis_2018!$F:$F,"&gt;=" &amp;UVA!$C13,Ausgaben_bis_2018!$Y:$Y,"&gt;0")</f>
        <v>1.83</v>
      </c>
      <c r="N13" s="4">
        <f>SUMIFS(Ausgaben_bis_2018!$T:$T,Ausgaben_bis_2018!$F:$F,"&lt;=" &amp; UVA!$D13,Ausgaben_bis_2018!$F:$F,"&gt;=" &amp;UVA!$C13,Ausgaben_bis_2018!$Y:$Y,"&gt;0")</f>
        <v>9.15</v>
      </c>
      <c r="O13" s="4">
        <f>SUMIFS(Ausgaben_bis_2018!$T:$T,Ausgaben_bis_2018!$F:$F,"&lt;=" &amp; UVA!$D13,Ausgaben_bis_2018!$F:$F,"&gt;=" &amp;UVA!$C13,Ausgaben_bis_2018!$Y:$Y,"=20")</f>
        <v>9.15</v>
      </c>
    </row>
    <row r="14" spans="1:15" x14ac:dyDescent="0.25">
      <c r="A14">
        <v>2018</v>
      </c>
      <c r="B14">
        <f t="shared" si="2"/>
        <v>1</v>
      </c>
      <c r="C14" s="1">
        <f t="shared" si="3"/>
        <v>43101</v>
      </c>
      <c r="D14" s="1">
        <f t="shared" si="4"/>
        <v>43190</v>
      </c>
      <c r="E14" s="1">
        <f t="shared" si="0"/>
        <v>43235</v>
      </c>
      <c r="F14" s="4">
        <f>SUMIFS(Rechnung_Ausgang!J:J,Rechnung_Ausgang!D:D,"&lt;=" &amp; UVA!D14,Rechnung_Ausgang!D:D,"&gt;=" &amp;UVA!C14)</f>
        <v>0</v>
      </c>
      <c r="G14" s="4">
        <f>SUMIFS(Ausgaben_bis_2018!S:S,Ausgaben_bis_2018!F:F,"&lt;=" &amp; UVA!D14,Ausgaben_bis_2018!F:F,"&gt;=" &amp;UVA!C14)</f>
        <v>274.93775985681418</v>
      </c>
      <c r="H14" s="4">
        <f t="shared" si="1"/>
        <v>-274.93775985681418</v>
      </c>
      <c r="I14" s="4">
        <f>SUMIFS(Rechnung_Ausgang!$H:$H,Rechnung_Ausgang!$D:$D,"&lt;=" &amp; UVA!$D14,Rechnung_Ausgang!$D:$D,"&gt;=" &amp;UVA!$C14)</f>
        <v>0</v>
      </c>
      <c r="J14" s="4">
        <f>SUMIFS(Rechnung_Ausgang!$H:$H,Rechnung_Ausgang!$D:$D,"&lt;=" &amp; UVA!$D14,Rechnung_Ausgang!$D:$D,"&gt;=" &amp;UVA!$C14)</f>
        <v>0</v>
      </c>
      <c r="K14" s="4">
        <f>SUMIFS(Rechnung_Ausgang!$H:$H,Rechnung_Ausgang!$D:$D,"&lt;=" &amp; UVA!$D14,Rechnung_Ausgang!$D:$D,"&gt;=" &amp;UVA!$C14,Rechnung_Ausgang!$I:$I,"=20")</f>
        <v>0</v>
      </c>
      <c r="L14" s="4">
        <f>SUMIFS(Ausgaben_bis_2018!$S:$S,Ausgaben_bis_2018!$F:$F,"&lt;=" &amp; UVA!$D14,Ausgaben_bis_2018!$F:$F,"&gt;=" &amp;UVA!$C14,Ausgaben_bis_2018!$Y:$Y,"&lt;&gt;ja")</f>
        <v>274.93775985681418</v>
      </c>
      <c r="M14" s="4">
        <f>SUMIFS(Ausgaben_bis_2018!$AA:$AA,Ausgaben_bis_2018!$F:$F,"&lt;=" &amp; UVA!$D14,Ausgaben_bis_2018!$F:$F,"&gt;=" &amp;UVA!$C14,Ausgaben_bis_2018!$Y:$Y,"&gt;0")</f>
        <v>0</v>
      </c>
      <c r="N14" s="4">
        <f>SUMIFS(Ausgaben_bis_2018!$T:$T,Ausgaben_bis_2018!$F:$F,"&lt;=" &amp; UVA!$D14,Ausgaben_bis_2018!$F:$F,"&gt;=" &amp;UVA!$C14,Ausgaben_bis_2018!$Y:$Y,"&gt;0")</f>
        <v>0</v>
      </c>
      <c r="O14" s="4">
        <f>SUMIFS(Ausgaben_bis_2018!$T:$T,Ausgaben_bis_2018!$F:$F,"&lt;=" &amp; UVA!$D14,Ausgaben_bis_2018!$F:$F,"&gt;=" &amp;UVA!$C14,Ausgaben_bis_2018!$Y:$Y,"=20")</f>
        <v>0</v>
      </c>
    </row>
    <row r="15" spans="1:15" x14ac:dyDescent="0.25">
      <c r="A15">
        <v>2018</v>
      </c>
      <c r="B15">
        <f t="shared" si="2"/>
        <v>2</v>
      </c>
      <c r="C15" s="1">
        <f t="shared" si="3"/>
        <v>43191</v>
      </c>
      <c r="D15" s="1">
        <f t="shared" si="4"/>
        <v>43281</v>
      </c>
      <c r="E15" s="1">
        <f t="shared" si="0"/>
        <v>43327</v>
      </c>
      <c r="F15" s="4">
        <f>SUMIFS(Rechnung_Ausgang!J:J,Rechnung_Ausgang!D:D,"&lt;=" &amp; UVA!D15,Rechnung_Ausgang!D:D,"&gt;=" &amp;UVA!C15)</f>
        <v>237.33599999999998</v>
      </c>
      <c r="G15" s="4">
        <f>SUMIFS(Ausgaben_bis_2018!S:S,Ausgaben_bis_2018!F:F,"&lt;=" &amp; UVA!D15,Ausgaben_bis_2018!F:F,"&gt;=" &amp;UVA!C15)</f>
        <v>922.74831414761638</v>
      </c>
      <c r="H15" s="4">
        <f t="shared" si="1"/>
        <v>-685.41231414761637</v>
      </c>
      <c r="I15" s="4">
        <f>SUMIFS(Rechnung_Ausgang!$H:$H,Rechnung_Ausgang!$D:$D,"&lt;=" &amp; UVA!$D15,Rechnung_Ausgang!$D:$D,"&gt;=" &amp;UVA!$C15)</f>
        <v>1186.6799999999998</v>
      </c>
      <c r="J15" s="4">
        <f>SUMIFS(Rechnung_Ausgang!$H:$H,Rechnung_Ausgang!$D:$D,"&lt;=" &amp; UVA!$D15,Rechnung_Ausgang!$D:$D,"&gt;=" &amp;UVA!$C15)</f>
        <v>1186.6799999999998</v>
      </c>
      <c r="K15" s="4">
        <f>SUMIFS(Rechnung_Ausgang!$H:$H,Rechnung_Ausgang!$D:$D,"&lt;=" &amp; UVA!$D15,Rechnung_Ausgang!$D:$D,"&gt;=" &amp;UVA!$C15,Rechnung_Ausgang!$I:$I,"=20")</f>
        <v>1186.6799999999998</v>
      </c>
      <c r="L15" s="4">
        <f>SUMIFS(Ausgaben_bis_2018!$S:$S,Ausgaben_bis_2018!$F:$F,"&lt;=" &amp; UVA!$D15,Ausgaben_bis_2018!$F:$F,"&gt;=" &amp;UVA!$C15,Ausgaben_bis_2018!$Y:$Y,"&lt;&gt;ja")</f>
        <v>922.74831414761638</v>
      </c>
      <c r="M15" s="4">
        <f>SUMIFS(Ausgaben_bis_2018!$AA:$AA,Ausgaben_bis_2018!$F:$F,"&lt;=" &amp; UVA!$D15,Ausgaben_bis_2018!$F:$F,"&gt;=" &amp;UVA!$C15,Ausgaben_bis_2018!$Y:$Y,"&gt;0")</f>
        <v>0.46399999999999997</v>
      </c>
      <c r="N15" s="4">
        <f>SUMIFS(Ausgaben_bis_2018!$T:$T,Ausgaben_bis_2018!$F:$F,"&lt;=" &amp; UVA!$D15,Ausgaben_bis_2018!$F:$F,"&gt;=" &amp;UVA!$C15,Ausgaben_bis_2018!$Y:$Y,"&gt;0")</f>
        <v>2.3199999999999998</v>
      </c>
      <c r="O15" s="4">
        <f>SUMIFS(Ausgaben_bis_2018!$T:$T,Ausgaben_bis_2018!$F:$F,"&lt;=" &amp; UVA!$D15,Ausgaben_bis_2018!$F:$F,"&gt;=" &amp;UVA!$C15,Ausgaben_bis_2018!$Y:$Y,"=20")</f>
        <v>2.3199999999999998</v>
      </c>
    </row>
    <row r="16" spans="1:15" x14ac:dyDescent="0.25">
      <c r="A16">
        <v>2018</v>
      </c>
      <c r="B16">
        <f t="shared" si="2"/>
        <v>3</v>
      </c>
      <c r="C16" s="1">
        <f t="shared" si="3"/>
        <v>43282</v>
      </c>
      <c r="D16" s="1">
        <f t="shared" si="4"/>
        <v>43373</v>
      </c>
      <c r="E16" s="1">
        <f t="shared" si="0"/>
        <v>43419</v>
      </c>
      <c r="F16" s="4">
        <f>SUMIFS(Rechnung_Ausgang!J:J,Rechnung_Ausgang!D:D,"&lt;=" &amp; UVA!D16,Rechnung_Ausgang!D:D,"&gt;=" &amp;UVA!C16)</f>
        <v>3097.694</v>
      </c>
      <c r="G16" s="4">
        <f>SUMIFS(Ausgaben_bis_2018!S:S,Ausgaben_bis_2018!F:F,"&lt;=" &amp; UVA!D16,Ausgaben_bis_2018!F:F,"&gt;=" &amp;UVA!C16)</f>
        <v>160.30569833344907</v>
      </c>
      <c r="H16" s="4">
        <f t="shared" si="1"/>
        <v>2937.3883016665509</v>
      </c>
      <c r="I16" s="4">
        <f>SUMIFS(Rechnung_Ausgang!$H:$H,Rechnung_Ausgang!$D:$D,"&lt;=" &amp; UVA!$D16,Rechnung_Ausgang!$D:$D,"&gt;=" &amp;UVA!$C16)</f>
        <v>15488.47</v>
      </c>
      <c r="J16" s="4">
        <f>SUMIFS(Rechnung_Ausgang!$H:$H,Rechnung_Ausgang!$D:$D,"&lt;=" &amp; UVA!$D16,Rechnung_Ausgang!$D:$D,"&gt;=" &amp;UVA!$C16)</f>
        <v>15488.47</v>
      </c>
      <c r="K16" s="4">
        <f>SUMIFS(Rechnung_Ausgang!$H:$H,Rechnung_Ausgang!$D:$D,"&lt;=" &amp; UVA!$D16,Rechnung_Ausgang!$D:$D,"&gt;=" &amp;UVA!$C16,Rechnung_Ausgang!$I:$I,"=20")</f>
        <v>15488.47</v>
      </c>
      <c r="L16" s="4">
        <f>SUMIFS(Ausgaben_bis_2018!$S:$S,Ausgaben_bis_2018!$F:$F,"&lt;=" &amp; UVA!$D16,Ausgaben_bis_2018!$F:$F,"&gt;=" &amp;UVA!$C16,Ausgaben_bis_2018!$Y:$Y,"&lt;&gt;ja")</f>
        <v>160.30569833344907</v>
      </c>
      <c r="M16" s="4">
        <f>SUMIFS(Ausgaben_bis_2018!$AA:$AA,Ausgaben_bis_2018!$F:$F,"&lt;=" &amp; UVA!$D16,Ausgaben_bis_2018!$F:$F,"&gt;=" &amp;UVA!$C16,Ausgaben_bis_2018!$Y:$Y,"&gt;0")</f>
        <v>0</v>
      </c>
      <c r="N16" s="4">
        <f>SUMIFS(Ausgaben_bis_2018!$T:$T,Ausgaben_bis_2018!$F:$F,"&lt;=" &amp; UVA!$D16,Ausgaben_bis_2018!$F:$F,"&gt;=" &amp;UVA!$C16,Ausgaben_bis_2018!$Y:$Y,"&gt;0")</f>
        <v>0</v>
      </c>
      <c r="O16" s="4">
        <f>SUMIFS(Ausgaben_bis_2018!$T:$T,Ausgaben_bis_2018!$F:$F,"&lt;=" &amp; UVA!$D16,Ausgaben_bis_2018!$F:$F,"&gt;=" &amp;UVA!$C16,Ausgaben_bis_2018!$Y:$Y,"=20")</f>
        <v>0</v>
      </c>
    </row>
    <row r="17" spans="1:15" x14ac:dyDescent="0.25">
      <c r="A17">
        <v>2018</v>
      </c>
      <c r="B17">
        <f t="shared" si="2"/>
        <v>4</v>
      </c>
      <c r="C17" s="1">
        <f t="shared" si="3"/>
        <v>43374</v>
      </c>
      <c r="D17" s="1">
        <f t="shared" si="4"/>
        <v>43465</v>
      </c>
      <c r="E17" s="1">
        <f t="shared" si="0"/>
        <v>43511</v>
      </c>
      <c r="F17" s="4">
        <f>SUMIFS(Rechnung_Ausgang!J:J,Rechnung_Ausgang!D:D,"&lt;=" &amp; UVA!D17,Rechnung_Ausgang!D:D,"&gt;=" &amp;UVA!C17)</f>
        <v>2005.7179999999998</v>
      </c>
      <c r="G17" s="4">
        <f>SUMIFS(Ausgaben_bis_2018!S:S,Ausgaben_bis_2018!F:F,"&lt;=" &amp; UVA!D17,Ausgaben_bis_2018!F:F,"&gt;=" &amp;UVA!C17)</f>
        <v>442.57129523961117</v>
      </c>
      <c r="H17" s="4">
        <f t="shared" si="1"/>
        <v>1563.1467047603887</v>
      </c>
      <c r="I17" s="4">
        <f>SUMIFS(Rechnung_Ausgang!$H:$H,Rechnung_Ausgang!$D:$D,"&lt;=" &amp; UVA!$D17,Rechnung_Ausgang!$D:$D,"&gt;=" &amp;UVA!$C17)</f>
        <v>10028.59</v>
      </c>
      <c r="J17" s="16">
        <f>SUMIFS(Rechnung_Ausgang!$H:$H,Rechnung_Ausgang!$D:$D,"&lt;=" &amp; UVA!$D17,Rechnung_Ausgang!$D:$D,"&gt;=" &amp;UVA!$C17)</f>
        <v>10028.59</v>
      </c>
      <c r="K17" s="16">
        <f>SUMIFS(Rechnung_Ausgang!$H:$H,Rechnung_Ausgang!$D:$D,"&lt;=" &amp; UVA!$D17,Rechnung_Ausgang!$D:$D,"&gt;=" &amp;UVA!$C17,Rechnung_Ausgang!$I:$I,"=20")</f>
        <v>10028.59</v>
      </c>
      <c r="L17" s="16">
        <f>SUMIFS(Ausgaben_bis_2018!$S:$S,Ausgaben_bis_2018!$F:$F,"&lt;=" &amp; UVA!$D17,Ausgaben_bis_2018!$F:$F,"&gt;=" &amp;UVA!$C17,Ausgaben_bis_2018!$Y:$Y,"&lt;&gt;ja")</f>
        <v>442.57129523961117</v>
      </c>
      <c r="M17" s="16">
        <f>SUMIFS(Ausgaben_bis_2018!$AA:$AA,Ausgaben_bis_2018!$F:$F,"&lt;=" &amp; UVA!$D17,Ausgaben_bis_2018!$F:$F,"&gt;=" &amp;UVA!$C17,Ausgaben_bis_2018!$Y:$Y,"&gt;0")</f>
        <v>27.486000000000001</v>
      </c>
      <c r="N17" s="16">
        <f>SUMIFS(Ausgaben_bis_2018!$T:$T,Ausgaben_bis_2018!$F:$F,"&lt;=" &amp; UVA!$D17,Ausgaben_bis_2018!$F:$F,"&gt;=" &amp;UVA!$C17,Ausgaben_bis_2018!$Y:$Y,"&gt;0")</f>
        <v>137.43</v>
      </c>
      <c r="O17" s="16">
        <f>SUMIFS(Ausgaben_bis_2018!$T:$T,Ausgaben_bis_2018!$F:$F,"&lt;=" &amp; UVA!$D17,Ausgaben_bis_2018!$F:$F,"&gt;=" &amp;UVA!$C17,Ausgaben_bis_2018!$Y:$Y,"=20")</f>
        <v>137.43</v>
      </c>
    </row>
    <row r="18" spans="1:15" x14ac:dyDescent="0.25">
      <c r="A18">
        <v>2019</v>
      </c>
      <c r="B18">
        <v>1</v>
      </c>
      <c r="C18" s="1">
        <f t="shared" ref="C18:C33" si="5">EDATE(C17,3)</f>
        <v>43466</v>
      </c>
      <c r="D18" s="1">
        <f t="shared" ref="D18:D23" si="6">EDATE(C18,3)-1</f>
        <v>43555</v>
      </c>
      <c r="E18" s="1">
        <f t="shared" ref="E18:E33" si="7">voranmeldefrist_vierteljaehrlich(C18+1)</f>
        <v>43600</v>
      </c>
      <c r="F18" s="4">
        <f>SUMIFS(Journal_ab_2019!P:P,Journal_ab_2019!G:G,"&lt;=" &amp; UVA!D18,Journal_ab_2019!G:G,"&gt;=" &amp;UVA!C18,Journal_ab_2019!C:C,"="&amp;"Einnahmen")</f>
        <v>1755.4140000000002</v>
      </c>
      <c r="G18" s="4">
        <f>SUMIFS(Journal_ab_2019!P:P,Journal_ab_2019!G:G,"&lt;=" &amp; UVA!D18,Journal_ab_2019!G:G,"&gt;=" &amp;UVA!C18,Journal_ab_2019!C:C,"="&amp;"Ausgaben")</f>
        <v>995.59553558339735</v>
      </c>
      <c r="H18" s="4">
        <f t="shared" ref="H18:H23" si="8">F18-G18</f>
        <v>759.81846441660286</v>
      </c>
      <c r="I18" s="4">
        <f>SUMIFS(Journal_ab_2019!$Q:$Q,Journal_ab_2019!$G:$G,"&lt;=" &amp; UVA!$D18,Journal_ab_2019!$G:$G,"&gt;=" &amp;UVA!$C18,Journal_ab_2019!C:C,"="&amp;"Einnahmen")</f>
        <v>8777.07</v>
      </c>
      <c r="J18" s="16">
        <f>SUMIFS(Journal_ab_2019!$Q:$Q,Journal_ab_2019!$G:$G,"&lt;=" &amp; UVA!$D18,Journal_ab_2019!$G:$G,"&gt;=" &amp;UVA!$C18,Journal_ab_2019!C:C,"="&amp;"Einnahmen")</f>
        <v>8777.07</v>
      </c>
      <c r="K18" s="16">
        <f>SUMIFS(Journal_ab_2019!$Q:$Q,Journal_ab_2019!$G:$G,"&lt;=" &amp; UVA!$D18,Journal_ab_2019!$G:$G,"&gt;=" &amp;UVA!$C18,Journal_ab_2019!$N:$N,"=20",Journal_ab_2019!C:C,"="&amp;"Einnahmen")</f>
        <v>8777.07</v>
      </c>
      <c r="L18" s="16">
        <f>SUMIFS(Journal_ab_2019!$P:$P,Journal_ab_2019!$G:$G,"&lt;=" &amp; UVA!$D18,Journal_ab_2019!$G:$G,"&gt;=" &amp;UVA!$C18,Journal_ab_2019!$V:$V,"&lt;&gt;ja",Journal_ab_2019!C:C,"="&amp;"Ausgaben")</f>
        <v>995.59553558339735</v>
      </c>
      <c r="M18" s="16">
        <f>SUMIFS(Journal_ab_2019!$X:$X,Journal_ab_2019!$G:$G,"&lt;=" &amp; UVA!$D18,Journal_ab_2019!$G:$G,"&gt;=" &amp;UVA!$C18,Journal_ab_2019!$V:$V,"&gt;0",Journal_ab_2019!C:C,"="&amp;"Ausgaben")</f>
        <v>33.128</v>
      </c>
      <c r="N18" s="16">
        <f>SUMIFS(Journal_ab_2019!$Q:$Q,Journal_ab_2019!$G:$G,"&lt;=" &amp; UVA!$D18,Journal_ab_2019!$G:$G,"&gt;=" &amp;UVA!$C18,Journal_ab_2019!$V:$V,"&gt;0",Journal_ab_2019!C:C,"="&amp;"Ausgaben")</f>
        <v>165.64</v>
      </c>
      <c r="O18" s="16">
        <f>SUMIFS(Journal_ab_2019!$Q:$Q,Journal_ab_2019!$G:$G,"&lt;=" &amp; UVA!$D18,Journal_ab_2019!$G:$G,"&gt;=" &amp;UVA!$C18,Journal_ab_2019!$V:$V,"=20",Journal_ab_2019!C:C,"="&amp;"Ausgaben")</f>
        <v>165.64</v>
      </c>
    </row>
    <row r="19" spans="1:15" x14ac:dyDescent="0.25">
      <c r="A19">
        <v>2019</v>
      </c>
      <c r="B19">
        <v>2</v>
      </c>
      <c r="C19" s="1">
        <f t="shared" si="5"/>
        <v>43556</v>
      </c>
      <c r="D19" s="1">
        <f t="shared" si="6"/>
        <v>43646</v>
      </c>
      <c r="E19" s="1">
        <f t="shared" si="7"/>
        <v>43692</v>
      </c>
      <c r="F19" s="4">
        <f>SUMIFS(Journal_ab_2019!P:P,Journal_ab_2019!G:G,"&lt;=" &amp; UVA!D19,Journal_ab_2019!G:G,"&gt;=" &amp;UVA!C19,Journal_ab_2019!C:C,"="&amp;"Einnahmen")</f>
        <v>2355.9920000000002</v>
      </c>
      <c r="G19" s="4">
        <f>SUMIFS(Journal_ab_2019!P:P,Journal_ab_2019!G:G,"&lt;=" &amp; UVA!D19,Journal_ab_2019!G:G,"&gt;=" &amp;UVA!C19,Journal_ab_2019!C:C,"="&amp;"Ausgaben")</f>
        <v>297.23717691360031</v>
      </c>
      <c r="H19" s="4">
        <f t="shared" si="8"/>
        <v>2058.7548230863999</v>
      </c>
      <c r="I19" s="4">
        <f>SUMIFS(Journal_ab_2019!$Q:$Q,Journal_ab_2019!$G:$G,"&lt;=" &amp; UVA!$D19,Journal_ab_2019!$G:$G,"&gt;=" &amp;UVA!$C19,Journal_ab_2019!C:C,"="&amp;"Einnahmen")</f>
        <v>11779.96</v>
      </c>
      <c r="J19" s="16">
        <f>SUMIFS(Journal_ab_2019!$Q:$Q,Journal_ab_2019!$G:$G,"&lt;=" &amp; UVA!$D19,Journal_ab_2019!$G:$G,"&gt;=" &amp;UVA!$C19,Journal_ab_2019!C:C,"="&amp;"Einnahmen")</f>
        <v>11779.96</v>
      </c>
      <c r="K19" s="16">
        <f>SUMIFS(Journal_ab_2019!$Q:$Q,Journal_ab_2019!$G:$G,"&lt;=" &amp; UVA!$D19,Journal_ab_2019!$G:$G,"&gt;=" &amp;UVA!$C19,Journal_ab_2019!$N:$N,"=20",Journal_ab_2019!$C:$C,"="&amp;"Einnahmen")</f>
        <v>11779.96</v>
      </c>
      <c r="L19" s="16">
        <f>SUMIFS(Journal_ab_2019!$P:$P,Journal_ab_2019!$G:$G,"&lt;=" &amp; UVA!$D19,Journal_ab_2019!$G:$G,"&gt;=" &amp;UVA!$C19,Journal_ab_2019!$V:$V,"&lt;&gt;ja",Journal_ab_2019!C:C,"="&amp;"Ausgaben")</f>
        <v>297.23717691360031</v>
      </c>
      <c r="M19" s="16">
        <f>SUMIFS(Journal_ab_2019!$X:$X,Journal_ab_2019!$G:$G,"&lt;=" &amp; UVA!$D19,Journal_ab_2019!$G:$G,"&gt;=" &amp;UVA!$C19,Journal_ab_2019!$V:$V,"&gt;0",Journal_ab_2019!C:C,"="&amp;"Ausgaben")</f>
        <v>33.128</v>
      </c>
      <c r="N19" s="16">
        <f>SUMIFS(Journal_ab_2019!$Q:$Q,Journal_ab_2019!$G:$G,"&lt;=" &amp; UVA!$D19,Journal_ab_2019!$G:$G,"&gt;=" &amp;UVA!$C19,Journal_ab_2019!$V:$V,"&gt;0",Journal_ab_2019!C:C,"="&amp;"Ausgaben")</f>
        <v>165.64</v>
      </c>
      <c r="O19" s="16">
        <f>SUMIFS(Journal_ab_2019!$Q:$Q,Journal_ab_2019!$G:$G,"&lt;=" &amp; UVA!$D19,Journal_ab_2019!$G:$G,"&gt;=" &amp;UVA!$C19,Journal_ab_2019!$V:$V,"=20",Journal_ab_2019!C:C,"="&amp;"Ausgaben")</f>
        <v>165.64</v>
      </c>
    </row>
    <row r="20" spans="1:15" x14ac:dyDescent="0.25">
      <c r="A20">
        <v>2019</v>
      </c>
      <c r="B20">
        <v>3</v>
      </c>
      <c r="C20" s="1">
        <f t="shared" si="5"/>
        <v>43647</v>
      </c>
      <c r="D20" s="1">
        <f t="shared" si="6"/>
        <v>43738</v>
      </c>
      <c r="E20" s="1">
        <f t="shared" si="7"/>
        <v>43784</v>
      </c>
      <c r="F20" s="4">
        <f>SUMIFS(Journal_ab_2019!P:P,Journal_ab_2019!G:G,"&lt;=" &amp; UVA!D20,Journal_ab_2019!G:G,"&gt;=" &amp;UVA!C20,Journal_ab_2019!C:C,"="&amp;"Einnahmen")</f>
        <v>2756.0050000000001</v>
      </c>
      <c r="G20" s="4">
        <f>SUMIFS(Journal_ab_2019!P:P,Journal_ab_2019!G:G,"&lt;=" &amp; UVA!D20,Journal_ab_2019!G:G,"&gt;=" &amp;UVA!C20,Journal_ab_2019!C:C,"="&amp;"Ausgaben")</f>
        <v>841.15833077644265</v>
      </c>
      <c r="H20" s="4">
        <f t="shared" si="8"/>
        <v>1914.8466692235575</v>
      </c>
      <c r="I20" s="4">
        <f>SUMIFS(Journal_ab_2019!$Q:$Q,Journal_ab_2019!$G:$G,"&lt;=" &amp; UVA!$D20,Journal_ab_2019!$G:$G,"&gt;=" &amp;UVA!$C20,Journal_ab_2019!C:C,"="&amp;"Einnahmen")</f>
        <v>13780.025</v>
      </c>
      <c r="J20" s="16">
        <f>SUMIFS(Journal_ab_2019!$Q:$Q,Journal_ab_2019!$G:$G,"&lt;=" &amp; UVA!$D20,Journal_ab_2019!$G:$G,"&gt;=" &amp;UVA!$C20,Journal_ab_2019!C:C,"="&amp;"Einnahmen")</f>
        <v>13780.025</v>
      </c>
      <c r="K20" s="16">
        <f>SUMIFS(Journal_ab_2019!$Q:$Q,Journal_ab_2019!$G:$G,"&lt;=" &amp; UVA!$D20,Journal_ab_2019!$G:$G,"&gt;=" &amp;UVA!$C20,Journal_ab_2019!$N:$N,"=20",Journal_ab_2019!C:C,"="&amp;"Einnahmen")</f>
        <v>13780.025</v>
      </c>
      <c r="L20" s="16">
        <f>SUMIFS(Journal_ab_2019!$P:$P,Journal_ab_2019!$G:$G,"&lt;=" &amp; UVA!$D20,Journal_ab_2019!$G:$G,"&gt;=" &amp;UVA!$C20,Journal_ab_2019!$V:$V,"&lt;&gt;ja",Journal_ab_2019!C:C,"="&amp;"Ausgaben")</f>
        <v>841.15833077644265</v>
      </c>
      <c r="M20" s="16">
        <f>SUMIFS(Journal_ab_2019!$X:$X,Journal_ab_2019!$G:$G,"&lt;=" &amp; UVA!$D20,Journal_ab_2019!$G:$G,"&gt;=" &amp;UVA!$C20,Journal_ab_2019!$V:$V,"&gt;0",Journal_ab_2019!C:C,"="&amp;"Ausgaben")</f>
        <v>81.548000000000002</v>
      </c>
      <c r="N20" s="16">
        <f>SUMIFS(Journal_ab_2019!$Q:$Q,Journal_ab_2019!$G:$G,"&lt;=" &amp; UVA!$D20,Journal_ab_2019!$G:$G,"&gt;=" &amp;UVA!$C20,Journal_ab_2019!$V:$V,"&gt;0",Journal_ab_2019!C:C,"="&amp;"Ausgaben")</f>
        <v>407.74</v>
      </c>
      <c r="O20" s="16">
        <f>SUMIFS(Journal_ab_2019!$Q:$Q,Journal_ab_2019!$G:$G,"&lt;=" &amp; UVA!$D20,Journal_ab_2019!$G:$G,"&gt;=" &amp;UVA!$C20,Journal_ab_2019!$V:$V,"=20",Journal_ab_2019!C:C,"="&amp;"Ausgaben")</f>
        <v>407.74</v>
      </c>
    </row>
    <row r="21" spans="1:15" x14ac:dyDescent="0.25">
      <c r="A21">
        <v>2019</v>
      </c>
      <c r="B21">
        <v>4</v>
      </c>
      <c r="C21" s="1">
        <f t="shared" si="5"/>
        <v>43739</v>
      </c>
      <c r="D21" s="1">
        <f t="shared" si="6"/>
        <v>43830</v>
      </c>
      <c r="E21" s="1">
        <f t="shared" si="7"/>
        <v>43876</v>
      </c>
      <c r="F21" s="4">
        <f>SUMIFS(Journal_ab_2019!P:P,Journal_ab_2019!G:G,"&lt;=" &amp; UVA!D21,Journal_ab_2019!G:G,"&gt;=" &amp;UVA!C21,Journal_ab_2019!C:C,"="&amp;"Einnahmen")</f>
        <v>4091.6659999999997</v>
      </c>
      <c r="G21" s="4">
        <f>SUMIFS(Journal_ab_2019!P:P,Journal_ab_2019!G:G,"&lt;=" &amp; UVA!D21,Journal_ab_2019!G:G,"&gt;=" &amp;UVA!C21,Journal_ab_2019!C:C,"="&amp;"Ausgaben")</f>
        <v>429.0681465950737</v>
      </c>
      <c r="H21" s="4">
        <f t="shared" si="8"/>
        <v>3662.5978534049259</v>
      </c>
      <c r="I21" s="4">
        <f>SUMIFS(Journal_ab_2019!$Q:$Q,Journal_ab_2019!$G:$G,"&lt;=" &amp; UVA!$D21,Journal_ab_2019!$G:$G,"&gt;=" &amp;UVA!$C21,Journal_ab_2019!C:C,"="&amp;"Einnahmen")</f>
        <v>20458.330000000002</v>
      </c>
      <c r="J21" s="16">
        <f>SUMIFS(Journal_ab_2019!$Q:$Q,Journal_ab_2019!$G:$G,"&lt;=" &amp; UVA!$D21,Journal_ab_2019!$G:$G,"&gt;=" &amp;UVA!$C21,Journal_ab_2019!C:C,"="&amp;"Einnahmen")</f>
        <v>20458.330000000002</v>
      </c>
      <c r="K21" s="16">
        <f>SUMIFS(Journal_ab_2019!$Q:$Q,Journal_ab_2019!$G:$G,"&lt;=" &amp; UVA!$D21,Journal_ab_2019!$G:$G,"&gt;=" &amp;UVA!$C21,Journal_ab_2019!$N:$N,"=20",Journal_ab_2019!$C:$C,"="&amp;"Einnahmen")</f>
        <v>20458.330000000002</v>
      </c>
      <c r="L21" s="16">
        <f>SUMIFS(Journal_ab_2019!$P:$P,Journal_ab_2019!$G:$G,"&lt;=" &amp; UVA!$D21,Journal_ab_2019!$G:$G,"&gt;=" &amp;UVA!$C21,Journal_ab_2019!$V:$V,"&lt;&gt;ja",Journal_ab_2019!C:C,"="&amp;"Ausgaben")</f>
        <v>429.0681465950737</v>
      </c>
      <c r="M21" s="16">
        <f>SUMIFS(Journal_ab_2019!$X:$X,Journal_ab_2019!$G:$G,"&lt;=" &amp; UVA!$D21,Journal_ab_2019!$G:$G,"&gt;=" &amp;UVA!$C21,Journal_ab_2019!$V:$V,"&gt;0",Journal_ab_2019!C:C,"="&amp;"Ausgaben")</f>
        <v>91.108000000000004</v>
      </c>
      <c r="N21" s="16">
        <f>SUMIFS(Journal_ab_2019!$Q:$Q,Journal_ab_2019!$G:$G,"&lt;=" &amp; UVA!$D21,Journal_ab_2019!$G:$G,"&gt;=" &amp;UVA!$C21,Journal_ab_2019!$V:$V,"&gt;0",Journal_ab_2019!C:C,"="&amp;"Ausgaben")</f>
        <v>455.54</v>
      </c>
      <c r="O21" s="16">
        <f>SUMIFS(Journal_ab_2019!$Q:$Q,Journal_ab_2019!$G:$G,"&lt;=" &amp; UVA!$D21,Journal_ab_2019!$G:$G,"&gt;=" &amp;UVA!$C21,Journal_ab_2019!$V:$V,"=20",Journal_ab_2019!C:C,"="&amp;"Ausgaben")</f>
        <v>455.54</v>
      </c>
    </row>
    <row r="22" spans="1:15" x14ac:dyDescent="0.25">
      <c r="A22">
        <v>2020</v>
      </c>
      <c r="B22">
        <v>1</v>
      </c>
      <c r="C22" s="1">
        <f t="shared" si="5"/>
        <v>43831</v>
      </c>
      <c r="D22" s="1">
        <f t="shared" si="6"/>
        <v>43921</v>
      </c>
      <c r="E22" s="1">
        <f t="shared" si="7"/>
        <v>43966</v>
      </c>
      <c r="F22" s="4">
        <f>SUMIFS(Journal_ab_2019!P:P,Journal_ab_2019!G:G,"&lt;=" &amp; UVA!D22,Journal_ab_2019!G:G,"&gt;=" &amp;UVA!C22,Journal_ab_2019!C:C,"="&amp;"Einnahmen")</f>
        <v>3295.45</v>
      </c>
      <c r="G22" s="4">
        <f>SUMIFS(Journal_ab_2019!P:P,Journal_ab_2019!G:G,"&lt;=" &amp; UVA!D22,Journal_ab_2019!G:G,"&gt;=" &amp;UVA!C22,Journal_ab_2019!C:C,"="&amp;"Ausgaben")</f>
        <v>673.57933333333369</v>
      </c>
      <c r="H22" s="4">
        <f t="shared" si="8"/>
        <v>2621.8706666666662</v>
      </c>
      <c r="I22" s="4">
        <f>SUMIFS(Journal_ab_2019!$Q:$Q,Journal_ab_2019!$G:$G,"&lt;=" &amp; UVA!$D22,Journal_ab_2019!$G:$G,"&gt;=" &amp;UVA!$C22,Journal_ab_2019!C:C,"="&amp;"Einnahmen")</f>
        <v>16477.25</v>
      </c>
      <c r="J22" s="16">
        <f>SUMIFS(Journal_ab_2019!$Q:$Q,Journal_ab_2019!$G:$G,"&lt;=" &amp; UVA!$D22,Journal_ab_2019!$G:$G,"&gt;=" &amp;UVA!$C22,Journal_ab_2019!C:C,"="&amp;"Einnahmen")</f>
        <v>16477.25</v>
      </c>
      <c r="K22" s="16">
        <f>SUMIFS(Journal_ab_2019!$Q:$Q,Journal_ab_2019!$G:$G,"&lt;=" &amp; UVA!$D22,Journal_ab_2019!$G:$G,"&gt;=" &amp;UVA!$C22,Journal_ab_2019!$N:$N,"=20",Journal_ab_2019!$C:$C,"="&amp;"Einnahmen")</f>
        <v>16477.25</v>
      </c>
      <c r="L22" s="16">
        <f>SUMIFS(Journal_ab_2019!$P:$P,Journal_ab_2019!$G:$G,"&lt;=" &amp; UVA!$D22,Journal_ab_2019!$G:$G,"&gt;=" &amp;UVA!$C22,Journal_ab_2019!$V:$V,"&lt;&gt;ja",Journal_ab_2019!C:C,"="&amp;"Ausgaben")</f>
        <v>673.57933333333369</v>
      </c>
      <c r="M22" s="16">
        <f>SUMIFS(Journal_ab_2019!$X:$X,Journal_ab_2019!$G:$G,"&lt;=" &amp; UVA!$D22,Journal_ab_2019!$G:$G,"&gt;=" &amp;UVA!$C22,Journal_ab_2019!$V:$V,"&gt;0",Journal_ab_2019!C:C,"="&amp;"Ausgaben")</f>
        <v>52.417999999999999</v>
      </c>
      <c r="N22" s="16">
        <f>SUMIFS(Journal_ab_2019!$Q:$Q,Journal_ab_2019!$G:$G,"&lt;=" &amp; UVA!$D22,Journal_ab_2019!$G:$G,"&gt;=" &amp;UVA!$C22,Journal_ab_2019!$V:$V,"&gt;0",Journal_ab_2019!C:C,"="&amp;"Ausgaben")</f>
        <v>262.08999999999997</v>
      </c>
      <c r="O22" s="16">
        <f>SUMIFS(Journal_ab_2019!$Q:$Q,Journal_ab_2019!$G:$G,"&lt;=" &amp; UVA!$D22,Journal_ab_2019!$G:$G,"&gt;=" &amp;UVA!$C22,Journal_ab_2019!$V:$V,"=20",Journal_ab_2019!C:C,"="&amp;"Ausgaben")</f>
        <v>262.08999999999997</v>
      </c>
    </row>
    <row r="23" spans="1:15" x14ac:dyDescent="0.25">
      <c r="A23">
        <v>2020</v>
      </c>
      <c r="B23">
        <v>2</v>
      </c>
      <c r="C23" s="1">
        <f t="shared" si="5"/>
        <v>43922</v>
      </c>
      <c r="D23" s="1">
        <f t="shared" si="6"/>
        <v>44012</v>
      </c>
      <c r="E23" s="1">
        <f t="shared" si="7"/>
        <v>44058</v>
      </c>
      <c r="F23" s="4">
        <f>SUMIFS(Journal_ab_2019!P:P,Journal_ab_2019!G:G,"&lt;=" &amp; UVA!D23,Journal_ab_2019!G:G,"&gt;=" &amp;UVA!C23,Journal_ab_2019!C:C,"="&amp;"Einnahmen")</f>
        <v>5726.7759999999998</v>
      </c>
      <c r="G23" s="4">
        <f>SUMIFS(Journal_ab_2019!P:P,Journal_ab_2019!G:G,"&lt;=" &amp; UVA!D23,Journal_ab_2019!G:G,"&gt;=" &amp;UVA!C23,Journal_ab_2019!C:C,"="&amp;"Ausgaben")</f>
        <v>539.08733333333339</v>
      </c>
      <c r="H23" s="4">
        <f t="shared" si="8"/>
        <v>5187.6886666666669</v>
      </c>
      <c r="I23" s="4">
        <f>SUMIFS(Journal_ab_2019!$Q:$Q,Journal_ab_2019!$G:$G,"&lt;=" &amp; UVA!$D23,Journal_ab_2019!$G:$G,"&gt;=" &amp;UVA!$C23,Journal_ab_2019!C:C,"="&amp;"Einnahmen")</f>
        <v>28633.879999999997</v>
      </c>
      <c r="J23" s="16">
        <f>SUMIFS(Journal_ab_2019!$Q:$Q,Journal_ab_2019!$G:$G,"&lt;=" &amp; UVA!$D23,Journal_ab_2019!$G:$G,"&gt;=" &amp;UVA!$C23,Journal_ab_2019!C:C,"="&amp;"Einnahmen")</f>
        <v>28633.879999999997</v>
      </c>
      <c r="K23" s="16">
        <f>SUMIFS(Journal_ab_2019!$Q:$Q,Journal_ab_2019!$G:$G,"&lt;=" &amp; UVA!$D23,Journal_ab_2019!$G:$G,"&gt;=" &amp;UVA!$C23,Journal_ab_2019!$N:$N,"=20",Journal_ab_2019!$C:$C,"="&amp;"Einnahmen")</f>
        <v>28633.879999999997</v>
      </c>
      <c r="L23" s="16">
        <f>SUMIFS(Journal_ab_2019!$P:$P,Journal_ab_2019!$G:$G,"&lt;=" &amp; UVA!$D23,Journal_ab_2019!$G:$G,"&gt;=" &amp;UVA!$C23,Journal_ab_2019!$V:$V,"&lt;&gt;ja",Journal_ab_2019!C:C,"="&amp;"Ausgaben")</f>
        <v>539.08733333333339</v>
      </c>
      <c r="M23" s="16">
        <f>SUMIFS(Journal_ab_2019!$X:$X,Journal_ab_2019!$G:$G,"&lt;=" &amp; UVA!$D23,Journal_ab_2019!$G:$G,"&gt;=" &amp;UVA!$C23,Journal_ab_2019!$V:$V,"&gt;0",Journal_ab_2019!C:C,"="&amp;"Ausgaben")</f>
        <v>98.591999999999999</v>
      </c>
      <c r="N23" s="16">
        <f>SUMIFS(Journal_ab_2019!$Q:$Q,Journal_ab_2019!$G:$G,"&lt;=" &amp; UVA!$D23,Journal_ab_2019!$G:$G,"&gt;=" &amp;UVA!$C23,Journal_ab_2019!$V:$V,"&gt;0",Journal_ab_2019!C:C,"="&amp;"Ausgaben")</f>
        <v>492.96000000000004</v>
      </c>
      <c r="O23" s="16">
        <f>SUMIFS(Journal_ab_2019!$Q:$Q,Journal_ab_2019!$G:$G,"&lt;=" &amp; UVA!$D23,Journal_ab_2019!$G:$G,"&gt;=" &amp;UVA!$C23,Journal_ab_2019!$V:$V,"=20",Journal_ab_2019!C:C,"="&amp;"Ausgaben")</f>
        <v>492.96000000000004</v>
      </c>
    </row>
    <row r="24" spans="1:15" x14ac:dyDescent="0.25">
      <c r="A24">
        <v>2020</v>
      </c>
      <c r="B24">
        <v>3</v>
      </c>
      <c r="C24" s="1">
        <f t="shared" si="5"/>
        <v>44013</v>
      </c>
      <c r="D24" s="1">
        <f t="shared" ref="D24:D33" si="9">EDATE(C24,3)-1</f>
        <v>44104</v>
      </c>
      <c r="E24" s="1">
        <f t="shared" si="7"/>
        <v>44150</v>
      </c>
      <c r="F24" s="4">
        <f>SUMIFS(Journal_ab_2019!P:P,Journal_ab_2019!G:G,"&lt;=" &amp; UVA!D24,Journal_ab_2019!G:G,"&gt;=" &amp;UVA!C24,Journal_ab_2019!C:C,"="&amp;"Einnahmen")</f>
        <v>6332.5259999999998</v>
      </c>
      <c r="G24" s="4">
        <f>SUMIFS(Journal_ab_2019!P:P,Journal_ab_2019!G:G,"&lt;=" &amp; UVA!D24,Journal_ab_2019!G:G,"&gt;=" &amp;UVA!C24,Journal_ab_2019!C:C,"="&amp;"Ausgaben")</f>
        <v>343.48442857142857</v>
      </c>
      <c r="H24" s="4">
        <f t="shared" ref="H24:H29" si="10">F24-G24</f>
        <v>5989.0415714285709</v>
      </c>
      <c r="I24" s="4">
        <f>SUMIFS(Journal_ab_2019!$Q:$Q,Journal_ab_2019!$G:$G,"&lt;=" &amp; UVA!$D24,Journal_ab_2019!$G:$G,"&gt;=" &amp;UVA!$C24,Journal_ab_2019!C:C,"="&amp;"Einnahmen")</f>
        <v>31662.63</v>
      </c>
      <c r="J24" s="16">
        <f>SUMIFS(Journal_ab_2019!$Q:$Q,Journal_ab_2019!$G:$G,"&lt;=" &amp; UVA!$D24,Journal_ab_2019!$G:$G,"&gt;=" &amp;UVA!$C24,Journal_ab_2019!C:C,"="&amp;"Einnahmen")</f>
        <v>31662.63</v>
      </c>
      <c r="K24" s="16">
        <f>SUMIFS(Journal_ab_2019!$Q:$Q,Journal_ab_2019!$G:$G,"&lt;=" &amp; UVA!$D24,Journal_ab_2019!$G:$G,"&gt;=" &amp;UVA!$C24,Journal_ab_2019!$N:$N,"=20",Journal_ab_2019!$C:$C,"="&amp;"Einnahmen")</f>
        <v>31662.63</v>
      </c>
      <c r="L24" s="16">
        <f>SUMIFS(Journal_ab_2019!$P:$P,Journal_ab_2019!$G:$G,"&lt;=" &amp; UVA!$D24,Journal_ab_2019!$G:$G,"&gt;=" &amp;UVA!$C24,Journal_ab_2019!$V:$V,"&lt;&gt;ja",Journal_ab_2019!C:C,"="&amp;"Ausgaben")</f>
        <v>343.48442857142857</v>
      </c>
      <c r="M24" s="16">
        <f>SUMIFS(Journal_ab_2019!$X:$X,Journal_ab_2019!$G:$G,"&lt;=" &amp; UVA!$D24,Journal_ab_2019!$G:$G,"&gt;=" &amp;UVA!$C24,Journal_ab_2019!$V:$V,"&gt;0",Journal_ab_2019!C:C,"="&amp;"Ausgaben")</f>
        <v>36.494</v>
      </c>
      <c r="N24" s="16">
        <f>SUMIFS(Journal_ab_2019!$Q:$Q,Journal_ab_2019!$G:$G,"&lt;=" &amp; UVA!$D24,Journal_ab_2019!$G:$G,"&gt;=" &amp;UVA!$C24,Journal_ab_2019!$V:$V,"&gt;0",Journal_ab_2019!C:C,"="&amp;"Ausgaben")</f>
        <v>182.47000000000003</v>
      </c>
      <c r="O24" s="16">
        <f>SUMIFS(Journal_ab_2019!$Q:$Q,Journal_ab_2019!$G:$G,"&lt;=" &amp; UVA!$D24,Journal_ab_2019!$G:$G,"&gt;=" &amp;UVA!$C24,Journal_ab_2019!$V:$V,"=20",Journal_ab_2019!C:C,"="&amp;"Ausgaben")</f>
        <v>182.47000000000003</v>
      </c>
    </row>
    <row r="25" spans="1:15" x14ac:dyDescent="0.25">
      <c r="A25">
        <v>2020</v>
      </c>
      <c r="B25">
        <v>4</v>
      </c>
      <c r="C25" s="1">
        <f t="shared" si="5"/>
        <v>44105</v>
      </c>
      <c r="D25" s="1">
        <f t="shared" si="9"/>
        <v>44196</v>
      </c>
      <c r="E25" s="1">
        <f t="shared" si="7"/>
        <v>44242</v>
      </c>
      <c r="F25" s="4">
        <f>SUMIFS(Journal_ab_2019!P:P,Journal_ab_2019!G:G,"&lt;=" &amp; UVA!D25,Journal_ab_2019!G:G,"&gt;=" &amp;UVA!C25,Journal_ab_2019!C:C,"="&amp;"Einnahmen")</f>
        <v>3602.9879999999998</v>
      </c>
      <c r="G25" s="4">
        <f>SUMIFS(Journal_ab_2019!P:P,Journal_ab_2019!G:G,"&lt;=" &amp; UVA!D25,Journal_ab_2019!G:G,"&gt;=" &amp;UVA!C25,Journal_ab_2019!C:C,"="&amp;"Ausgaben")</f>
        <v>934.56799999999998</v>
      </c>
      <c r="H25" s="4">
        <f t="shared" si="10"/>
        <v>2668.42</v>
      </c>
      <c r="I25" s="4">
        <f>SUMIFS(Journal_ab_2019!$Q:$Q,Journal_ab_2019!$G:$G,"&lt;=" &amp; UVA!$D25,Journal_ab_2019!$G:$G,"&gt;=" &amp;UVA!$C25,Journal_ab_2019!C:C,"="&amp;"Einnahmen")</f>
        <v>18014.940000000002</v>
      </c>
      <c r="J25" s="16">
        <f>SUMIFS(Journal_ab_2019!$Q:$Q,Journal_ab_2019!$G:$G,"&lt;=" &amp; UVA!$D25,Journal_ab_2019!$G:$G,"&gt;=" &amp;UVA!$C25,Journal_ab_2019!C:C,"="&amp;"Einnahmen")</f>
        <v>18014.940000000002</v>
      </c>
      <c r="K25" s="16">
        <f>SUMIFS(Journal_ab_2019!$Q:$Q,Journal_ab_2019!$G:$G,"&lt;=" &amp; UVA!$D25,Journal_ab_2019!$G:$G,"&gt;=" &amp;UVA!$C25,Journal_ab_2019!$N:$N,"=20",Journal_ab_2019!$C:$C,"="&amp;"Einnahmen")</f>
        <v>18014.940000000002</v>
      </c>
      <c r="L25" s="16">
        <f>SUMIFS(Journal_ab_2019!$P:$P,Journal_ab_2019!$G:$G,"&lt;=" &amp; UVA!$D25,Journal_ab_2019!$G:$G,"&gt;=" &amp;UVA!$C25,Journal_ab_2019!$V:$V,"&lt;&gt;ja",Journal_ab_2019!C:C,"="&amp;"Ausgaben")</f>
        <v>934.56799999999998</v>
      </c>
      <c r="M25" s="16">
        <f>SUMIFS(Journal_ab_2019!$X:$X,Journal_ab_2019!$G:$G,"&lt;=" &amp; UVA!$D25,Journal_ab_2019!$G:$G,"&gt;=" &amp;UVA!$C25,Journal_ab_2019!$V:$V,"&gt;0",Journal_ab_2019!C:C,"="&amp;"Ausgaben")</f>
        <v>43.594000000000001</v>
      </c>
      <c r="N25" s="16">
        <f>SUMIFS(Journal_ab_2019!$Q:$Q,Journal_ab_2019!$G:$G,"&lt;=" &amp; UVA!$D25,Journal_ab_2019!$G:$G,"&gt;=" &amp;UVA!$C25,Journal_ab_2019!$V:$V,"&gt;0",Journal_ab_2019!C:C,"="&amp;"Ausgaben")</f>
        <v>217.97000000000003</v>
      </c>
      <c r="O25" s="16">
        <f>SUMIFS(Journal_ab_2019!$Q:$Q,Journal_ab_2019!$G:$G,"&lt;=" &amp; UVA!$D25,Journal_ab_2019!$G:$G,"&gt;=" &amp;UVA!$C25,Journal_ab_2019!$V:$V,"=20",Journal_ab_2019!C:C,"="&amp;"Ausgaben")</f>
        <v>217.97000000000003</v>
      </c>
    </row>
    <row r="26" spans="1:15" x14ac:dyDescent="0.25">
      <c r="A26">
        <v>2021</v>
      </c>
      <c r="B26">
        <v>1</v>
      </c>
      <c r="C26" s="1">
        <f t="shared" si="5"/>
        <v>44197</v>
      </c>
      <c r="D26" s="1">
        <f t="shared" si="9"/>
        <v>44286</v>
      </c>
      <c r="E26" s="1">
        <f t="shared" si="7"/>
        <v>44331</v>
      </c>
      <c r="F26" s="4">
        <f>SUMIFS(Journal_ab_2019!P:P,Journal_ab_2019!G:G,"&lt;=" &amp; UVA!D26,Journal_ab_2019!G:G,"&gt;=" &amp;UVA!C26,Journal_ab_2019!C:C,"="&amp;"Einnahmen")</f>
        <v>3807.174</v>
      </c>
      <c r="G26" s="4">
        <f>SUMIFS(Journal_ab_2019!P:P,Journal_ab_2019!G:G,"&lt;=" &amp; UVA!D26,Journal_ab_2019!G:G,"&gt;=" &amp;UVA!C26,Journal_ab_2019!C:C,"="&amp;"Ausgaben")</f>
        <v>583.66860606060618</v>
      </c>
      <c r="H26" s="4">
        <f t="shared" si="10"/>
        <v>3223.5053939393938</v>
      </c>
      <c r="I26" s="4">
        <f>SUMIFS(Journal_ab_2019!$Q:$Q,Journal_ab_2019!$G:$G,"&lt;=" &amp; UVA!$D26,Journal_ab_2019!$G:$G,"&gt;=" &amp;UVA!$C26,Journal_ab_2019!C:C,"="&amp;"Einnahmen")</f>
        <v>19035.87</v>
      </c>
      <c r="J26" s="16">
        <f>SUMIFS(Journal_ab_2019!$Q:$Q,Journal_ab_2019!$G:$G,"&lt;=" &amp; UVA!$D26,Journal_ab_2019!$G:$G,"&gt;=" &amp;UVA!$C26,Journal_ab_2019!C:C,"="&amp;"Einnahmen")</f>
        <v>19035.87</v>
      </c>
      <c r="K26" s="16">
        <f>SUMIFS(Journal_ab_2019!$Q:$Q,Journal_ab_2019!$G:$G,"&lt;=" &amp; UVA!$D26,Journal_ab_2019!$G:$G,"&gt;=" &amp;UVA!$C26,Journal_ab_2019!$N:$N,"=20",Journal_ab_2019!$C:$C,"="&amp;"Einnahmen")</f>
        <v>19035.87</v>
      </c>
      <c r="L26" s="16">
        <f>SUMIFS(Journal_ab_2019!$P:$P,Journal_ab_2019!$G:$G,"&lt;=" &amp; UVA!$D26,Journal_ab_2019!$G:$G,"&gt;=" &amp;UVA!$C26,Journal_ab_2019!$V:$V,"&lt;&gt;ja",Journal_ab_2019!C:C,"="&amp;"Ausgaben")</f>
        <v>583.66860606060618</v>
      </c>
      <c r="M26" s="16">
        <f>SUMIFS(Journal_ab_2019!$X:$X,Journal_ab_2019!$G:$G,"&lt;=" &amp; UVA!$D26,Journal_ab_2019!$G:$G,"&gt;=" &amp;UVA!$C26,Journal_ab_2019!$V:$V,"&gt;0",Journal_ab_2019!C:C,"="&amp;"Ausgaben")</f>
        <v>34.620719999999999</v>
      </c>
      <c r="N26" s="16">
        <f>SUMIFS(Journal_ab_2019!$Q:$Q,Journal_ab_2019!$G:$G,"&lt;=" &amp; UVA!$D26,Journal_ab_2019!$G:$G,"&gt;=" &amp;UVA!$C26,Journal_ab_2019!$V:$V,"&gt;0",Journal_ab_2019!C:C,"="&amp;"Ausgaben")</f>
        <v>173.1036</v>
      </c>
      <c r="O26" s="16">
        <f>SUMIFS(Journal_ab_2019!$Q:$Q,Journal_ab_2019!$G:$G,"&lt;=" &amp; UVA!$D26,Journal_ab_2019!$G:$G,"&gt;=" &amp;UVA!$C26,Journal_ab_2019!$V:$V,"=20",Journal_ab_2019!C:C,"="&amp;"Ausgaben")</f>
        <v>173.1036</v>
      </c>
    </row>
    <row r="27" spans="1:15" x14ac:dyDescent="0.25">
      <c r="A27">
        <v>2021</v>
      </c>
      <c r="B27">
        <v>2</v>
      </c>
      <c r="C27" s="1">
        <f t="shared" si="5"/>
        <v>44287</v>
      </c>
      <c r="D27" s="1">
        <f t="shared" si="9"/>
        <v>44377</v>
      </c>
      <c r="E27" s="1">
        <f t="shared" si="7"/>
        <v>44423</v>
      </c>
      <c r="F27" s="4">
        <f>SUMIFS(Journal_ab_2019!P:P,Journal_ab_2019!G:G,"&lt;=" &amp; UVA!D27,Journal_ab_2019!G:G,"&gt;=" &amp;UVA!C27,Journal_ab_2019!C:C,"="&amp;"Einnahmen")</f>
        <v>2289.9739999999997</v>
      </c>
      <c r="G27" s="4">
        <f>SUMIFS(Journal_ab_2019!P:P,Journal_ab_2019!G:G,"&lt;=" &amp; UVA!D27,Journal_ab_2019!G:G,"&gt;=" &amp;UVA!C27,Journal_ab_2019!C:C,"="&amp;"Ausgaben")</f>
        <v>559.49384848484863</v>
      </c>
      <c r="H27" s="4">
        <f t="shared" si="10"/>
        <v>1730.4801515151512</v>
      </c>
      <c r="I27" s="4">
        <f>SUMIFS(Journal_ab_2019!$Q:$Q,Journal_ab_2019!$G:$G,"&lt;=" &amp; UVA!$D27,Journal_ab_2019!$G:$G,"&gt;=" &amp;UVA!$C27,Journal_ab_2019!C:C,"="&amp;"Einnahmen")</f>
        <v>11449.869999999999</v>
      </c>
      <c r="J27" s="16">
        <f>SUMIFS(Journal_ab_2019!$Q:$Q,Journal_ab_2019!$G:$G,"&lt;=" &amp; UVA!$D27,Journal_ab_2019!$G:$G,"&gt;=" &amp;UVA!$C27,Journal_ab_2019!C:C,"="&amp;"Einnahmen")</f>
        <v>11449.869999999999</v>
      </c>
      <c r="K27" s="16">
        <f>SUMIFS(Journal_ab_2019!$Q:$Q,Journal_ab_2019!$G:$G,"&lt;=" &amp; UVA!$D27,Journal_ab_2019!$G:$G,"&gt;=" &amp;UVA!$C27,Journal_ab_2019!$N:$N,"=20",Journal_ab_2019!$C:$C,"="&amp;"Einnahmen")</f>
        <v>11449.869999999999</v>
      </c>
      <c r="L27" s="16">
        <f>SUMIFS(Journal_ab_2019!$P:$P,Journal_ab_2019!$G:$G,"&lt;=" &amp; UVA!$D27,Journal_ab_2019!$G:$G,"&gt;=" &amp;UVA!$C27,Journal_ab_2019!$V:$V,"&lt;&gt;ja",Journal_ab_2019!C:C,"="&amp;"Ausgaben")</f>
        <v>559.49384848484863</v>
      </c>
      <c r="M27" s="16">
        <f>SUMIFS(Journal_ab_2019!$X:$X,Journal_ab_2019!$G:$G,"&lt;=" &amp; UVA!$D27,Journal_ab_2019!$G:$G,"&gt;=" &amp;UVA!$C27,Journal_ab_2019!$V:$V,"&gt;0",Journal_ab_2019!C:C,"="&amp;"Ausgaben")</f>
        <v>140.19808</v>
      </c>
      <c r="N27" s="16">
        <f>SUMIFS(Journal_ab_2019!$Q:$Q,Journal_ab_2019!$G:$G,"&lt;=" &amp; UVA!$D27,Journal_ab_2019!$G:$G,"&gt;=" &amp;UVA!$C27,Journal_ab_2019!$V:$V,"&gt;0",Journal_ab_2019!C:C,"="&amp;"Ausgaben")</f>
        <v>700.99040000000014</v>
      </c>
      <c r="O27" s="16">
        <f>SUMIFS(Journal_ab_2019!$Q:$Q,Journal_ab_2019!$G:$G,"&lt;=" &amp; UVA!$D27,Journal_ab_2019!$G:$G,"&gt;=" &amp;UVA!$C27,Journal_ab_2019!$V:$V,"=20",Journal_ab_2019!C:C,"="&amp;"Ausgaben")</f>
        <v>700.99040000000014</v>
      </c>
    </row>
    <row r="28" spans="1:15" x14ac:dyDescent="0.25">
      <c r="A28">
        <v>2021</v>
      </c>
      <c r="B28">
        <v>3</v>
      </c>
      <c r="C28" s="1">
        <f t="shared" si="5"/>
        <v>44378</v>
      </c>
      <c r="D28" s="1">
        <f t="shared" si="9"/>
        <v>44469</v>
      </c>
      <c r="E28" s="1">
        <f t="shared" si="7"/>
        <v>44515</v>
      </c>
      <c r="F28" s="4">
        <f>SUMIFS(Journal_ab_2019!P:P,Journal_ab_2019!G:G,"&lt;=" &amp; UVA!D28,Journal_ab_2019!G:G,"&gt;=" &amp;UVA!C28,Journal_ab_2019!C:C,"="&amp;"Einnahmen")</f>
        <v>4242.83</v>
      </c>
      <c r="G28" s="4">
        <f>SUMIFS(Journal_ab_2019!P:P,Journal_ab_2019!G:G,"&lt;=" &amp; UVA!D28,Journal_ab_2019!G:G,"&gt;=" &amp;UVA!C28,Journal_ab_2019!C:C,"="&amp;"Ausgaben")</f>
        <v>1091.2036666666663</v>
      </c>
      <c r="H28" s="4">
        <f t="shared" si="10"/>
        <v>3151.6263333333336</v>
      </c>
      <c r="I28" s="4">
        <f>SUMIFS(Journal_ab_2019!$Q:$Q,Journal_ab_2019!$G:$G,"&lt;=" &amp; UVA!$D28,Journal_ab_2019!$G:$G,"&gt;=" &amp;UVA!$C28,Journal_ab_2019!C:C,"="&amp;"Einnahmen")</f>
        <v>21214.15</v>
      </c>
      <c r="J28" s="16">
        <f>SUMIFS(Journal_ab_2019!$Q:$Q,Journal_ab_2019!$G:$G,"&lt;=" &amp; UVA!$D28,Journal_ab_2019!$G:$G,"&gt;=" &amp;UVA!$C28,Journal_ab_2019!C:C,"="&amp;"Einnahmen")</f>
        <v>21214.15</v>
      </c>
      <c r="K28" s="16">
        <f>SUMIFS(Journal_ab_2019!$Q:$Q,Journal_ab_2019!$G:$G,"&lt;=" &amp; UVA!$D28,Journal_ab_2019!$G:$G,"&gt;=" &amp;UVA!$C28,Journal_ab_2019!$N:$N,"=20",Journal_ab_2019!$C:$C,"="&amp;"Einnahmen")</f>
        <v>21214.15</v>
      </c>
      <c r="L28" s="16">
        <f>SUMIFS(Journal_ab_2019!$P:$P,Journal_ab_2019!$G:$G,"&lt;=" &amp; UVA!$D28,Journal_ab_2019!$G:$G,"&gt;=" &amp;UVA!$C28,Journal_ab_2019!$V:$V,"&lt;&gt;ja",Journal_ab_2019!C:C,"="&amp;"Ausgaben")</f>
        <v>1091.2036666666663</v>
      </c>
      <c r="M28" s="16">
        <f>SUMIFS(Journal_ab_2019!$X:$X,Journal_ab_2019!$G:$G,"&lt;=" &amp; UVA!$D28,Journal_ab_2019!$G:$G,"&gt;=" &amp;UVA!$C28,Journal_ab_2019!$V:$V,"&gt;0",Journal_ab_2019!C:C,"="&amp;"Ausgaben")</f>
        <v>38.500080000000004</v>
      </c>
      <c r="N28" s="16">
        <f>SUMIFS(Journal_ab_2019!$Q:$Q,Journal_ab_2019!$G:$G,"&lt;=" &amp; UVA!$D28,Journal_ab_2019!$G:$G,"&gt;=" &amp;UVA!$C28,Journal_ab_2019!$V:$V,"&gt;0",Journal_ab_2019!C:C,"="&amp;"Ausgaben")</f>
        <v>192.50040000000001</v>
      </c>
      <c r="O28" s="16">
        <f>SUMIFS(Journal_ab_2019!$Q:$Q,Journal_ab_2019!$G:$G,"&lt;=" &amp; UVA!$D28,Journal_ab_2019!$G:$G,"&gt;=" &amp;UVA!$C28,Journal_ab_2019!$V:$V,"=20",Journal_ab_2019!C:C,"="&amp;"Ausgaben")</f>
        <v>192.50040000000001</v>
      </c>
    </row>
    <row r="29" spans="1:15" x14ac:dyDescent="0.25">
      <c r="A29">
        <v>2021</v>
      </c>
      <c r="B29">
        <v>4</v>
      </c>
      <c r="C29" s="1">
        <f t="shared" si="5"/>
        <v>44470</v>
      </c>
      <c r="D29" s="1">
        <f t="shared" si="9"/>
        <v>44561</v>
      </c>
      <c r="E29" s="1">
        <f t="shared" si="7"/>
        <v>44607</v>
      </c>
      <c r="F29" s="4">
        <f>SUMIFS(Journal_ab_2019!P:P,Journal_ab_2019!G:G,"&lt;=" &amp; UVA!D29,Journal_ab_2019!G:G,"&gt;=" &amp;UVA!C29,Journal_ab_2019!C:C,"="&amp;"Einnahmen")</f>
        <v>5611.7520000000004</v>
      </c>
      <c r="G29" s="4">
        <f>SUMIFS(Journal_ab_2019!P:P,Journal_ab_2019!G:G,"&lt;=" &amp; UVA!D29,Journal_ab_2019!G:G,"&gt;=" &amp;UVA!C29,Journal_ab_2019!C:C,"="&amp;"Ausgaben")</f>
        <v>396.87999999999994</v>
      </c>
      <c r="H29" s="4">
        <f t="shared" si="10"/>
        <v>5214.8720000000003</v>
      </c>
      <c r="I29" s="4">
        <f>SUMIFS(Journal_ab_2019!$Q:$Q,Journal_ab_2019!$G:$G,"&lt;=" &amp; UVA!$D29,Journal_ab_2019!$G:$G,"&gt;=" &amp;UVA!$C29,Journal_ab_2019!C:C,"="&amp;"Einnahmen")</f>
        <v>28058.76</v>
      </c>
      <c r="J29" s="16">
        <f>SUMIFS(Journal_ab_2019!$Q:$Q,Journal_ab_2019!$G:$G,"&lt;=" &amp; UVA!$D29,Journal_ab_2019!$G:$G,"&gt;=" &amp;UVA!$C29,Journal_ab_2019!C:C,"="&amp;"Einnahmen")</f>
        <v>28058.76</v>
      </c>
      <c r="K29" s="16">
        <f>SUMIFS(Journal_ab_2019!$Q:$Q,Journal_ab_2019!$G:$G,"&lt;=" &amp; UVA!$D29,Journal_ab_2019!$G:$G,"&gt;=" &amp;UVA!$C29,Journal_ab_2019!$N:$N,"=20",Journal_ab_2019!$C:$C,"="&amp;"Einnahmen")</f>
        <v>28058.76</v>
      </c>
      <c r="L29" s="16">
        <f>SUMIFS(Journal_ab_2019!$P:$P,Journal_ab_2019!$G:$G,"&lt;=" &amp; UVA!$D29,Journal_ab_2019!$G:$G,"&gt;=" &amp;UVA!$C29,Journal_ab_2019!$V:$V,"&lt;&gt;ja",Journal_ab_2019!C:C,"="&amp;"Ausgaben")</f>
        <v>396.87999999999994</v>
      </c>
      <c r="M29" s="16">
        <f>SUMIFS(Journal_ab_2019!$X:$X,Journal_ab_2019!$G:$G,"&lt;=" &amp; UVA!$D29,Journal_ab_2019!$G:$G,"&gt;=" &amp;UVA!$C29,Journal_ab_2019!$V:$V,"&gt;0",Journal_ab_2019!C:C,"="&amp;"Ausgaben")</f>
        <v>44.040080000000003</v>
      </c>
      <c r="N29" s="16">
        <f>SUMIFS(Journal_ab_2019!$Q:$Q,Journal_ab_2019!$G:$G,"&lt;=" &amp; UVA!$D29,Journal_ab_2019!$G:$G,"&gt;=" &amp;UVA!$C29,Journal_ab_2019!$V:$V,"&gt;0",Journal_ab_2019!C:C,"="&amp;"Ausgaben")</f>
        <v>220.20040000000003</v>
      </c>
      <c r="O29" s="16">
        <f>SUMIFS(Journal_ab_2019!$Q:$Q,Journal_ab_2019!$G:$G,"&lt;=" &amp; UVA!$D29,Journal_ab_2019!$G:$G,"&gt;=" &amp;UVA!$C29,Journal_ab_2019!$V:$V,"=20",Journal_ab_2019!C:C,"="&amp;"Ausgaben")</f>
        <v>220.20040000000003</v>
      </c>
    </row>
    <row r="30" spans="1:15" x14ac:dyDescent="0.25">
      <c r="A30">
        <v>2022</v>
      </c>
      <c r="B30">
        <v>1</v>
      </c>
      <c r="C30" s="1">
        <f t="shared" si="5"/>
        <v>44562</v>
      </c>
      <c r="D30" s="1">
        <f t="shared" si="9"/>
        <v>44651</v>
      </c>
      <c r="E30" s="1">
        <f t="shared" si="7"/>
        <v>44696</v>
      </c>
      <c r="F30" s="4">
        <f>SUMIFS(Journal_ab_2019!P:P,Journal_ab_2019!G:G,"&lt;=" &amp; UVA!D30,Journal_ab_2019!G:G,"&gt;=" &amp;UVA!C30,Journal_ab_2019!C:C,"="&amp;"Einnahmen")</f>
        <v>4881.0079999999998</v>
      </c>
      <c r="G30" s="4">
        <f>SUMIFS(Journal_ab_2019!P:P,Journal_ab_2019!G:G,"&lt;=" &amp; UVA!D30,Journal_ab_2019!G:G,"&gt;=" &amp;UVA!C30,Journal_ab_2019!C:C,"="&amp;"Ausgaben")</f>
        <v>871.80833333333339</v>
      </c>
      <c r="H30" s="4">
        <f>F30-G30</f>
        <v>4009.1996666666664</v>
      </c>
      <c r="I30" s="4">
        <f>SUMIFS(Journal_ab_2019!$Q:$Q,Journal_ab_2019!$G:$G,"&lt;=" &amp; UVA!$D30,Journal_ab_2019!$G:$G,"&gt;=" &amp;UVA!$C30,Journal_ab_2019!C:C,"="&amp;"Einnahmen")</f>
        <v>24405.040000000001</v>
      </c>
      <c r="J30" s="16">
        <f>SUMIFS(Journal_ab_2019!$Q:$Q,Journal_ab_2019!$G:$G,"&lt;=" &amp; UVA!$D30,Journal_ab_2019!$G:$G,"&gt;=" &amp;UVA!$C30,Journal_ab_2019!C:C,"="&amp;"Einnahmen")</f>
        <v>24405.040000000001</v>
      </c>
      <c r="K30" s="16">
        <f>SUMIFS(Journal_ab_2019!$Q:$Q,Journal_ab_2019!$G:$G,"&lt;=" &amp; UVA!$D30,Journal_ab_2019!$G:$G,"&gt;=" &amp;UVA!$C30,Journal_ab_2019!$N:$N,"=20",Journal_ab_2019!$C:$C,"="&amp;"Einnahmen")</f>
        <v>24405.040000000001</v>
      </c>
      <c r="L30" s="16">
        <f>SUMIFS(Journal_ab_2019!$P:$P,Journal_ab_2019!$G:$G,"&lt;=" &amp; UVA!$D30,Journal_ab_2019!$G:$G,"&gt;=" &amp;UVA!$C30,Journal_ab_2019!$V:$V,"&lt;&gt;ja",Journal_ab_2019!C:C,"="&amp;"Ausgaben")</f>
        <v>871.80833333333339</v>
      </c>
      <c r="M30" s="16">
        <f>SUMIFS(Journal_ab_2019!$X:$X,Journal_ab_2019!$G:$G,"&lt;=" &amp; UVA!$D30,Journal_ab_2019!$G:$G,"&gt;=" &amp;UVA!$C30,Journal_ab_2019!$V:$V,"&gt;0",Journal_ab_2019!C:C,"="&amp;"Ausgaben")</f>
        <v>42.201900000000009</v>
      </c>
      <c r="N30" s="16">
        <f>SUMIFS(Journal_ab_2019!$Q:$Q,Journal_ab_2019!$G:$G,"&lt;=" &amp; UVA!$D30,Journal_ab_2019!$G:$G,"&gt;=" &amp;UVA!$C30,Journal_ab_2019!$V:$V,"&gt;0",Journal_ab_2019!C:C,"="&amp;"Ausgaben")</f>
        <v>211.0095</v>
      </c>
      <c r="O30" s="16">
        <f>SUMIFS(Journal_ab_2019!$Q:$Q,Journal_ab_2019!$G:$G,"&lt;=" &amp; UVA!$D30,Journal_ab_2019!$G:$G,"&gt;=" &amp;UVA!$C30,Journal_ab_2019!$V:$V,"=20",Journal_ab_2019!C:C,"="&amp;"Ausgaben")</f>
        <v>211.0095</v>
      </c>
    </row>
    <row r="31" spans="1:15" x14ac:dyDescent="0.25">
      <c r="A31">
        <v>2022</v>
      </c>
      <c r="B31">
        <v>2</v>
      </c>
      <c r="C31" s="1">
        <f t="shared" si="5"/>
        <v>44652</v>
      </c>
      <c r="D31" s="1">
        <f t="shared" si="9"/>
        <v>44742</v>
      </c>
      <c r="E31" s="1">
        <f t="shared" si="7"/>
        <v>44788</v>
      </c>
      <c r="F31" s="4">
        <f>SUMIFS(Journal_ab_2019!P:P,Journal_ab_2019!G:G,"&lt;=" &amp; UVA!D31,Journal_ab_2019!G:G,"&gt;=" &amp;UVA!C31,Journal_ab_2019!C:C,"="&amp;"Einnahmen")</f>
        <v>9613.5840000000007</v>
      </c>
      <c r="G31" s="4">
        <f>SUMIFS(Journal_ab_2019!P:P,Journal_ab_2019!G:G,"&lt;=" &amp; UVA!D31,Journal_ab_2019!G:G,"&gt;=" &amp;UVA!C31,Journal_ab_2019!C:C,"="&amp;"Ausgaben")</f>
        <v>509.64166666666671</v>
      </c>
      <c r="H31" s="4">
        <f>F31-G31</f>
        <v>9103.9423333333343</v>
      </c>
      <c r="I31" s="4">
        <f>SUMIFS(Journal_ab_2019!$Q:$Q,Journal_ab_2019!$G:$G,"&lt;=" &amp; UVA!$D31,Journal_ab_2019!$G:$G,"&gt;=" &amp;UVA!$C31,Journal_ab_2019!C:C,"="&amp;"Einnahmen")</f>
        <v>48067.92</v>
      </c>
      <c r="J31" s="16">
        <f>SUMIFS(Journal_ab_2019!$Q:$Q,Journal_ab_2019!$G:$G,"&lt;=" &amp; UVA!$D31,Journal_ab_2019!$G:$G,"&gt;=" &amp;UVA!$C31,Journal_ab_2019!C:C,"="&amp;"Einnahmen")</f>
        <v>48067.92</v>
      </c>
      <c r="K31" s="16">
        <f>SUMIFS(Journal_ab_2019!$Q:$Q,Journal_ab_2019!$G:$G,"&lt;=" &amp; UVA!$D31,Journal_ab_2019!$G:$G,"&gt;=" &amp;UVA!$C31,Journal_ab_2019!$N:$N,"=20",Journal_ab_2019!$C:$C,"="&amp;"Einnahmen")</f>
        <v>48067.92</v>
      </c>
      <c r="L31" s="16">
        <f>SUMIFS(Journal_ab_2019!$P:$P,Journal_ab_2019!$G:$G,"&lt;=" &amp; UVA!$D31,Journal_ab_2019!$G:$G,"&gt;=" &amp;UVA!$C31,Journal_ab_2019!$V:$V,"&lt;&gt;ja",Journal_ab_2019!C:C,"="&amp;"Ausgaben")</f>
        <v>509.64166666666671</v>
      </c>
      <c r="M31" s="16">
        <f>SUMIFS(Journal_ab_2019!$X:$X,Journal_ab_2019!$G:$G,"&lt;=" &amp; UVA!$D31,Journal_ab_2019!$G:$G,"&gt;=" &amp;UVA!$C31,Journal_ab_2019!$V:$V,"&gt;0",Journal_ab_2019!C:C,"="&amp;"Ausgaben")</f>
        <v>131.38990000000001</v>
      </c>
      <c r="N31" s="16">
        <f>SUMIFS(Journal_ab_2019!$Q:$Q,Journal_ab_2019!$G:$G,"&lt;=" &amp; UVA!$D31,Journal_ab_2019!$G:$G,"&gt;=" &amp;UVA!$C31,Journal_ab_2019!$V:$V,"&gt;0",Journal_ab_2019!C:C,"="&amp;"Ausgaben")</f>
        <v>656.94949999999994</v>
      </c>
      <c r="O31" s="16">
        <f>SUMIFS(Journal_ab_2019!$Q:$Q,Journal_ab_2019!$G:$G,"&lt;=" &amp; UVA!$D31,Journal_ab_2019!$G:$G,"&gt;=" &amp;UVA!$C31,Journal_ab_2019!$V:$V,"=20",Journal_ab_2019!C:C,"="&amp;"Ausgaben")</f>
        <v>656.94949999999994</v>
      </c>
    </row>
    <row r="32" spans="1:15" x14ac:dyDescent="0.25">
      <c r="A32">
        <v>2022</v>
      </c>
      <c r="B32">
        <v>3</v>
      </c>
      <c r="C32" s="1">
        <f t="shared" si="5"/>
        <v>44743</v>
      </c>
      <c r="D32" s="1">
        <f t="shared" si="9"/>
        <v>44834</v>
      </c>
      <c r="E32" s="1">
        <f t="shared" si="7"/>
        <v>44880</v>
      </c>
      <c r="F32" s="4">
        <f>SUMIFS(Journal_ab_2019!P:P,Journal_ab_2019!G:G,"&lt;=" &amp; UVA!D32,Journal_ab_2019!G:G,"&gt;=" &amp;UVA!C32,Journal_ab_2019!C:C,"="&amp;"Einnahmen")</f>
        <v>10168.11</v>
      </c>
      <c r="G32" s="4">
        <f>SUMIFS(Journal_ab_2019!P:P,Journal_ab_2019!G:G,"&lt;=" &amp; UVA!D32,Journal_ab_2019!G:G,"&gt;=" &amp;UVA!C32,Journal_ab_2019!C:C,"="&amp;"Ausgaben")</f>
        <v>455.76533333333339</v>
      </c>
      <c r="H32" s="4">
        <f>F32-G32</f>
        <v>9712.3446666666678</v>
      </c>
      <c r="I32" s="4">
        <f>SUMIFS(Journal_ab_2019!$Q:$Q,Journal_ab_2019!$G:$G,"&lt;=" &amp; UVA!$D32,Journal_ab_2019!$G:$G,"&gt;=" &amp;UVA!$C32,Journal_ab_2019!C:C,"="&amp;"Einnahmen")</f>
        <v>50840.55</v>
      </c>
      <c r="J32" s="16">
        <f>SUMIFS(Journal_ab_2019!$Q:$Q,Journal_ab_2019!$G:$G,"&lt;=" &amp; UVA!$D32,Journal_ab_2019!$G:$G,"&gt;=" &amp;UVA!$C32,Journal_ab_2019!C:C,"="&amp;"Einnahmen")</f>
        <v>50840.55</v>
      </c>
      <c r="K32" s="16">
        <f>SUMIFS(Journal_ab_2019!$Q:$Q,Journal_ab_2019!$G:$G,"&lt;=" &amp; UVA!$D32,Journal_ab_2019!$G:$G,"&gt;=" &amp;UVA!$C32,Journal_ab_2019!$N:$N,"=20",Journal_ab_2019!$C:$C,"="&amp;"Einnahmen")</f>
        <v>50840.55</v>
      </c>
      <c r="L32" s="16">
        <f>SUMIFS(Journal_ab_2019!$P:$P,Journal_ab_2019!$G:$G,"&lt;=" &amp; UVA!$D32,Journal_ab_2019!$G:$G,"&gt;=" &amp;UVA!$C32,Journal_ab_2019!$V:$V,"&lt;&gt;ja",Journal_ab_2019!C:C,"="&amp;"Ausgaben")</f>
        <v>455.76533333333339</v>
      </c>
      <c r="M32" s="16">
        <f>SUMIFS(Journal_ab_2019!$X:$X,Journal_ab_2019!$G:$G,"&lt;=" &amp; UVA!$D32,Journal_ab_2019!$G:$G,"&gt;=" &amp;UVA!$C32,Journal_ab_2019!$V:$V,"&gt;0",Journal_ab_2019!C:C,"="&amp;"Ausgaben")</f>
        <v>43.637900000000009</v>
      </c>
      <c r="N32" s="16">
        <f>SUMIFS(Journal_ab_2019!$Q:$Q,Journal_ab_2019!$G:$G,"&lt;=" &amp; UVA!$D32,Journal_ab_2019!$G:$G,"&gt;=" &amp;UVA!$C32,Journal_ab_2019!$V:$V,"&gt;0",Journal_ab_2019!C:C,"="&amp;"Ausgaben")</f>
        <v>218.18950000000001</v>
      </c>
      <c r="O32" s="16">
        <f>SUMIFS(Journal_ab_2019!$Q:$Q,Journal_ab_2019!$G:$G,"&lt;=" &amp; UVA!$D32,Journal_ab_2019!$G:$G,"&gt;=" &amp;UVA!$C32,Journal_ab_2019!$V:$V,"=20",Journal_ab_2019!C:C,"="&amp;"Ausgaben")</f>
        <v>218.18950000000001</v>
      </c>
    </row>
    <row r="33" spans="1:15" x14ac:dyDescent="0.25">
      <c r="A33">
        <v>2022</v>
      </c>
      <c r="B33">
        <v>4</v>
      </c>
      <c r="C33" s="1">
        <f t="shared" si="5"/>
        <v>44835</v>
      </c>
      <c r="D33" s="1">
        <f t="shared" si="9"/>
        <v>44926</v>
      </c>
      <c r="E33" s="1">
        <f t="shared" si="7"/>
        <v>44972</v>
      </c>
      <c r="F33" s="4">
        <f>SUMIFS(Journal_ab_2019!P:P,Journal_ab_2019!G:G,"&lt;=" &amp; UVA!D33,Journal_ab_2019!G:G,"&gt;=" &amp;UVA!C33,Journal_ab_2019!C:C,"="&amp;"Einnahmen")</f>
        <v>10071.806</v>
      </c>
      <c r="G33" s="4">
        <f>SUMIFS(Journal_ab_2019!P:P,Journal_ab_2019!G:G,"&lt;=" &amp; UVA!D33,Journal_ab_2019!G:G,"&gt;=" &amp;UVA!C33,Journal_ab_2019!C:C,"="&amp;"Ausgaben")</f>
        <v>457.67466666666672</v>
      </c>
      <c r="H33" s="4">
        <f>F33-G33</f>
        <v>9614.1313333333346</v>
      </c>
      <c r="I33" s="4">
        <f>SUMIFS(Journal_ab_2019!$Q:$Q,Journal_ab_2019!$G:$G,"&lt;=" &amp; UVA!$D33,Journal_ab_2019!$G:$G,"&gt;=" &amp;UVA!$C33,Journal_ab_2019!C:C,"="&amp;"Einnahmen")</f>
        <v>50359.03</v>
      </c>
      <c r="J33" s="16">
        <f>SUMIFS(Journal_ab_2019!$Q:$Q,Journal_ab_2019!$G:$G,"&lt;=" &amp; UVA!$D33,Journal_ab_2019!$G:$G,"&gt;=" &amp;UVA!$C33,Journal_ab_2019!C:C,"="&amp;"Einnahmen")</f>
        <v>50359.03</v>
      </c>
      <c r="K33" s="16">
        <f>SUMIFS(Journal_ab_2019!$Q:$Q,Journal_ab_2019!$G:$G,"&lt;=" &amp; UVA!$D33,Journal_ab_2019!$G:$G,"&gt;=" &amp;UVA!$C33,Journal_ab_2019!$N:$N,"=20",Journal_ab_2019!$C:$C,"="&amp;"Einnahmen")</f>
        <v>50359.03</v>
      </c>
      <c r="L33" s="16">
        <f>SUMIFS(Journal_ab_2019!$P:$P,Journal_ab_2019!$G:$G,"&lt;=" &amp; UVA!$D33,Journal_ab_2019!$G:$G,"&gt;=" &amp;UVA!$C33,Journal_ab_2019!$V:$V,"&lt;&gt;ja",Journal_ab_2019!C:C,"="&amp;"Ausgaben")</f>
        <v>457.67466666666672</v>
      </c>
      <c r="M33" s="16">
        <f>SUMIFS(Journal_ab_2019!$X:$X,Journal_ab_2019!$G:$G,"&lt;=" &amp; UVA!$D33,Journal_ab_2019!$G:$G,"&gt;=" &amp;UVA!$C33,Journal_ab_2019!$V:$V,"&gt;0",Journal_ab_2019!C:C,"="&amp;"Ausgaben")</f>
        <v>109.5659</v>
      </c>
      <c r="N33" s="16">
        <f>SUMIFS(Journal_ab_2019!$Q:$Q,Journal_ab_2019!$G:$G,"&lt;=" &amp; UVA!$D33,Journal_ab_2019!$G:$G,"&gt;=" &amp;UVA!$C33,Journal_ab_2019!$V:$V,"&gt;0",Journal_ab_2019!C:C,"="&amp;"Ausgaben")</f>
        <v>547.82950000000005</v>
      </c>
      <c r="O33" s="16">
        <f>SUMIFS(Journal_ab_2019!$Q:$Q,Journal_ab_2019!$G:$G,"&lt;=" &amp; UVA!$D33,Journal_ab_2019!$G:$G,"&gt;=" &amp;UVA!$C33,Journal_ab_2019!$V:$V,"=20",Journal_ab_2019!C:C,"="&amp;"Ausgaben")</f>
        <v>547.82950000000005</v>
      </c>
    </row>
  </sheetData>
  <dataConsolidate topLabels="1"/>
  <conditionalFormatting sqref="E2">
    <cfRule type="expression" dxfId="10294" priority="8">
      <formula>AND(AND($P2&lt;TODAY(),$P2&lt;&gt;""),$Q2="")</formula>
    </cfRule>
  </conditionalFormatting>
  <conditionalFormatting sqref="H1:H21 H34 H36:H1048576">
    <cfRule type="dataBar" priority="7">
      <dataBar>
        <cfvo type="min"/>
        <cfvo type="max"/>
        <color rgb="FFFF555A"/>
      </dataBar>
      <extLst>
        <ext xmlns:x14="http://schemas.microsoft.com/office/spreadsheetml/2009/9/main" uri="{B025F937-C7B1-47D3-B67F-A62EFF666E3E}">
          <x14:id>{FFECCDA1-691A-4004-A9E9-3EDF2BB1A92D}</x14:id>
        </ext>
      </extLst>
    </cfRule>
  </conditionalFormatting>
  <conditionalFormatting sqref="H22">
    <cfRule type="dataBar" priority="5">
      <dataBar>
        <cfvo type="min"/>
        <cfvo type="max"/>
        <color rgb="FFFF555A"/>
      </dataBar>
      <extLst>
        <ext xmlns:x14="http://schemas.microsoft.com/office/spreadsheetml/2009/9/main" uri="{B025F937-C7B1-47D3-B67F-A62EFF666E3E}">
          <x14:id>{674D64AB-E3F6-4487-B718-DD1745012FF6}</x14:id>
        </ext>
      </extLst>
    </cfRule>
  </conditionalFormatting>
  <conditionalFormatting sqref="H23">
    <cfRule type="dataBar" priority="4">
      <dataBar>
        <cfvo type="min"/>
        <cfvo type="max"/>
        <color rgb="FFFF555A"/>
      </dataBar>
      <extLst>
        <ext xmlns:x14="http://schemas.microsoft.com/office/spreadsheetml/2009/9/main" uri="{B025F937-C7B1-47D3-B67F-A62EFF666E3E}">
          <x14:id>{F7C8FEE4-0678-4A24-B550-3F47BDA7A016}</x14:id>
        </ext>
      </extLst>
    </cfRule>
  </conditionalFormatting>
  <conditionalFormatting sqref="H24">
    <cfRule type="dataBar" priority="3">
      <dataBar>
        <cfvo type="min"/>
        <cfvo type="max"/>
        <color rgb="FFFF555A"/>
      </dataBar>
      <extLst>
        <ext xmlns:x14="http://schemas.microsoft.com/office/spreadsheetml/2009/9/main" uri="{B025F937-C7B1-47D3-B67F-A62EFF666E3E}">
          <x14:id>{CA8369B7-94E1-40AF-9ED2-3F21DE9839F4}</x14:id>
        </ext>
      </extLst>
    </cfRule>
  </conditionalFormatting>
  <conditionalFormatting sqref="H25">
    <cfRule type="dataBar" priority="2">
      <dataBar>
        <cfvo type="min"/>
        <cfvo type="max"/>
        <color rgb="FFFF555A"/>
      </dataBar>
      <extLst>
        <ext xmlns:x14="http://schemas.microsoft.com/office/spreadsheetml/2009/9/main" uri="{B025F937-C7B1-47D3-B67F-A62EFF666E3E}">
          <x14:id>{9F42739F-C039-4838-B5BF-74E6855A6342}</x14:id>
        </ext>
      </extLst>
    </cfRule>
  </conditionalFormatting>
  <conditionalFormatting sqref="H26:H33">
    <cfRule type="dataBar" priority="1">
      <dataBar>
        <cfvo type="min"/>
        <cfvo type="max"/>
        <color rgb="FFFF555A"/>
      </dataBar>
      <extLst>
        <ext xmlns:x14="http://schemas.microsoft.com/office/spreadsheetml/2009/9/main" uri="{B025F937-C7B1-47D3-B67F-A62EFF666E3E}">
          <x14:id>{E68BC0B2-3676-49F0-B5C6-961995F6C6BC}</x14:id>
        </ext>
      </extLst>
    </cfRule>
  </conditionalFormatting>
  <pageMargins left="0.7" right="0.7" top="0.78740157499999996" bottom="0.78740157499999996" header="0.3" footer="0.3"/>
  <pageSetup paperSize="9"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FFECCDA1-691A-4004-A9E9-3EDF2BB1A92D}">
            <x14:dataBar minLength="0" maxLength="100" border="1" negativeBarBorderColorSameAsPositive="0">
              <x14:cfvo type="autoMin"/>
              <x14:cfvo type="autoMax"/>
              <x14:borderColor rgb="FFFF555A"/>
              <x14:negativeFillColor rgb="FFFF0000"/>
              <x14:negativeBorderColor rgb="FFFF0000"/>
              <x14:axisColor rgb="FF000000"/>
            </x14:dataBar>
          </x14:cfRule>
          <xm:sqref>H1:H21 H34 H36:H1048576</xm:sqref>
        </x14:conditionalFormatting>
        <x14:conditionalFormatting xmlns:xm="http://schemas.microsoft.com/office/excel/2006/main">
          <x14:cfRule type="dataBar" id="{674D64AB-E3F6-4487-B718-DD1745012FF6}">
            <x14:dataBar minLength="0" maxLength="100" border="1" negativeBarBorderColorSameAsPositive="0">
              <x14:cfvo type="autoMin"/>
              <x14:cfvo type="autoMax"/>
              <x14:borderColor rgb="FFFF555A"/>
              <x14:negativeFillColor rgb="FFFF0000"/>
              <x14:negativeBorderColor rgb="FFFF0000"/>
              <x14:axisColor rgb="FF000000"/>
            </x14:dataBar>
          </x14:cfRule>
          <xm:sqref>H22</xm:sqref>
        </x14:conditionalFormatting>
        <x14:conditionalFormatting xmlns:xm="http://schemas.microsoft.com/office/excel/2006/main">
          <x14:cfRule type="dataBar" id="{F7C8FEE4-0678-4A24-B550-3F47BDA7A016}">
            <x14:dataBar minLength="0" maxLength="100" border="1" negativeBarBorderColorSameAsPositive="0">
              <x14:cfvo type="autoMin"/>
              <x14:cfvo type="autoMax"/>
              <x14:borderColor rgb="FFFF555A"/>
              <x14:negativeFillColor rgb="FFFF0000"/>
              <x14:negativeBorderColor rgb="FFFF0000"/>
              <x14:axisColor rgb="FF000000"/>
            </x14:dataBar>
          </x14:cfRule>
          <xm:sqref>H23</xm:sqref>
        </x14:conditionalFormatting>
        <x14:conditionalFormatting xmlns:xm="http://schemas.microsoft.com/office/excel/2006/main">
          <x14:cfRule type="dataBar" id="{CA8369B7-94E1-40AF-9ED2-3F21DE9839F4}">
            <x14:dataBar minLength="0" maxLength="100" border="1" negativeBarBorderColorSameAsPositive="0">
              <x14:cfvo type="autoMin"/>
              <x14:cfvo type="autoMax"/>
              <x14:borderColor rgb="FFFF555A"/>
              <x14:negativeFillColor rgb="FFFF0000"/>
              <x14:negativeBorderColor rgb="FFFF0000"/>
              <x14:axisColor rgb="FF000000"/>
            </x14:dataBar>
          </x14:cfRule>
          <xm:sqref>H24</xm:sqref>
        </x14:conditionalFormatting>
        <x14:conditionalFormatting xmlns:xm="http://schemas.microsoft.com/office/excel/2006/main">
          <x14:cfRule type="dataBar" id="{9F42739F-C039-4838-B5BF-74E6855A6342}">
            <x14:dataBar minLength="0" maxLength="100" border="1" negativeBarBorderColorSameAsPositive="0">
              <x14:cfvo type="autoMin"/>
              <x14:cfvo type="autoMax"/>
              <x14:borderColor rgb="FFFF555A"/>
              <x14:negativeFillColor rgb="FFFF0000"/>
              <x14:negativeBorderColor rgb="FFFF0000"/>
              <x14:axisColor rgb="FF000000"/>
            </x14:dataBar>
          </x14:cfRule>
          <xm:sqref>H25</xm:sqref>
        </x14:conditionalFormatting>
        <x14:conditionalFormatting xmlns:xm="http://schemas.microsoft.com/office/excel/2006/main">
          <x14:cfRule type="dataBar" id="{E68BC0B2-3676-49F0-B5C6-961995F6C6BC}">
            <x14:dataBar minLength="0" maxLength="100" border="1" negativeBarBorderColorSameAsPositive="0">
              <x14:cfvo type="autoMin"/>
              <x14:cfvo type="autoMax"/>
              <x14:borderColor rgb="FFFF555A"/>
              <x14:negativeFillColor rgb="FFFF0000"/>
              <x14:negativeBorderColor rgb="FFFF0000"/>
              <x14:axisColor rgb="FF000000"/>
            </x14:dataBar>
          </x14:cfRule>
          <xm:sqref>H26:H33</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3AD72-CB12-4691-B56A-E80F36AD0875}">
  <sheetPr codeName="Tabelle9"/>
  <dimension ref="A1:E12"/>
  <sheetViews>
    <sheetView workbookViewId="0">
      <selection activeCell="A12" sqref="A12"/>
    </sheetView>
  </sheetViews>
  <sheetFormatPr baseColWidth="10" defaultRowHeight="15" x14ac:dyDescent="0.25"/>
  <sheetData>
    <row r="1" spans="1:5" x14ac:dyDescent="0.25">
      <c r="A1" s="180" t="s">
        <v>47</v>
      </c>
      <c r="B1" s="180" t="s">
        <v>1</v>
      </c>
      <c r="C1" s="180" t="s">
        <v>177</v>
      </c>
      <c r="D1" s="181"/>
      <c r="E1" s="181"/>
    </row>
    <row r="2" spans="1:5" x14ac:dyDescent="0.25">
      <c r="A2" s="181">
        <v>2015</v>
      </c>
      <c r="B2" s="181" t="str">
        <f t="shared" ref="B2:B8" si="0">"AfA " &amp;A2</f>
        <v>AfA 2015</v>
      </c>
      <c r="C2" s="181">
        <f>SUMPRODUCT((Ausgaben_bis_2018!$Z$2:$Z$100000)*(Ausgaben_bis_2018!$N$2:$N$100000=TRUE)*(YEAR(Ausgaben_bis_2018!$F$2:$F$100000)&lt;AfA!$A2)*(YEAR(Ausgaben_bis_2018!$F$2:$F$100000)+Ausgaben_bis_2018!$K$2:$K$100000&gt;=AfA!$A2))</f>
        <v>0</v>
      </c>
      <c r="D2" s="181"/>
      <c r="E2" s="182" t="s">
        <v>1641</v>
      </c>
    </row>
    <row r="3" spans="1:5" x14ac:dyDescent="0.25">
      <c r="A3" s="181">
        <v>2016</v>
      </c>
      <c r="B3" s="181" t="str">
        <f t="shared" si="0"/>
        <v>AfA 2016</v>
      </c>
      <c r="C3" s="181">
        <f>SUMPRODUCT((Ausgaben_bis_2018!$Z$2:$Z$100000)*(Ausgaben_bis_2018!$N$2:$N$100000=TRUE)*(YEAR(Ausgaben_bis_2018!$F$2:$F$100000)&lt;AfA!$A3)*(YEAR(Ausgaben_bis_2018!$F$2:$F$100000)+Ausgaben_bis_2018!$K$2:$K$100000&gt;=AfA!$A3))</f>
        <v>120</v>
      </c>
      <c r="D3" s="181"/>
      <c r="E3" s="181"/>
    </row>
    <row r="4" spans="1:5" x14ac:dyDescent="0.25">
      <c r="A4" s="181">
        <v>2017</v>
      </c>
      <c r="B4" s="181" t="str">
        <f t="shared" si="0"/>
        <v>AfA 2017</v>
      </c>
      <c r="C4" s="181">
        <f>SUMPRODUCT((Ausgaben_bis_2018!$Z$2:$Z$100000)*(Ausgaben_bis_2018!$N$2:$N$100000=TRUE)*(YEAR(Ausgaben_bis_2018!$F$2:$F$100000)&lt;AfA!$A4)*(YEAR(Ausgaben_bis_2018!$F$2:$F$100000)+Ausgaben_bis_2018!$K$2:$K$100000&gt;=AfA!$A4))</f>
        <v>494.334</v>
      </c>
      <c r="D4" s="181"/>
      <c r="E4" s="181"/>
    </row>
    <row r="5" spans="1:5" x14ac:dyDescent="0.25">
      <c r="A5" s="181">
        <v>2018</v>
      </c>
      <c r="B5" s="181" t="str">
        <f t="shared" si="0"/>
        <v>AfA 2018</v>
      </c>
      <c r="C5" s="181">
        <f>SUMPRODUCT((Ausgaben_bis_2018!$Z$2:$Z$100000)*(Ausgaben_bis_2018!$N$2:$N$100000=TRUE)*(YEAR(Ausgaben_bis_2018!$F$2:$F$100000)&lt;AfA!$A5)*(YEAR(Ausgaben_bis_2018!$F$2:$F$100000)+Ausgaben_bis_2018!$K$2:$K$100000&gt;=AfA!$A5))</f>
        <v>494.334</v>
      </c>
      <c r="D5" s="181"/>
      <c r="E5" s="181"/>
    </row>
    <row r="6" spans="1:5" x14ac:dyDescent="0.25">
      <c r="A6" s="181">
        <v>2019</v>
      </c>
      <c r="B6" s="181" t="str">
        <f t="shared" si="0"/>
        <v>AfA 2019</v>
      </c>
      <c r="C6" s="181">
        <f>SUMPRODUCT((Ausgaben_bis_2018!$Z$2:$Z$100000)*(Ausgaben_bis_2018!$N$2:$N$100000=TRUE)*(YEAR(Ausgaben_bis_2018!$F$2:$F$100000)&lt;AfA!$A6)*(YEAR(Ausgaben_bis_2018!$F$2:$F$100000)+Ausgaben_bis_2018!$K$2:$K$100000&gt;=AfA!$A6))</f>
        <v>494.334</v>
      </c>
      <c r="D6" s="181"/>
      <c r="E6" s="181"/>
    </row>
    <row r="7" spans="1:5" x14ac:dyDescent="0.25">
      <c r="A7" s="181">
        <v>2020</v>
      </c>
      <c r="B7" s="181" t="str">
        <f t="shared" si="0"/>
        <v>AfA 2020</v>
      </c>
      <c r="C7" s="181">
        <f>SUMPRODUCT((Ausgaben_bis_2018!$Z$2:$Z$100000)*(Ausgaben_bis_2018!$N$2:$N$100000=TRUE)*(YEAR(Ausgaben_bis_2018!$F$2:$F$100000)&lt;AfA!$A7)*(YEAR(Ausgaben_bis_2018!$F$2:$F$100000)+Ausgaben_bis_2018!$K$2:$K$100000&gt;=AfA!$A7))</f>
        <v>494.334</v>
      </c>
      <c r="D7" s="181"/>
      <c r="E7" s="181"/>
    </row>
    <row r="8" spans="1:5" x14ac:dyDescent="0.25">
      <c r="A8" s="181">
        <v>2021</v>
      </c>
      <c r="B8" s="181" t="str">
        <f t="shared" si="0"/>
        <v>AfA 2021</v>
      </c>
      <c r="C8" s="181">
        <f>SUMPRODUCT((Ausgaben_bis_2018!$Z$2:$Z$100000)*(Ausgaben_bis_2018!$N$2:$N$100000=TRUE)*(YEAR(Ausgaben_bis_2018!$F$2:$F$100000)&lt;AfA!$A8)*(YEAR(Ausgaben_bis_2018!$F$2:$F$100000)+Ausgaben_bis_2018!$K$2:$K$100000&gt;=AfA!$A8))</f>
        <v>374.334</v>
      </c>
      <c r="D8" s="181"/>
      <c r="E8" s="181"/>
    </row>
    <row r="12" spans="1:5" x14ac:dyDescent="0.25">
      <c r="C12" t="s">
        <v>1774</v>
      </c>
    </row>
  </sheetData>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DF5A8-213B-4580-9586-B6C7E393DC5D}">
  <sheetPr codeName="Tabelle26"/>
  <dimension ref="A1:W19"/>
  <sheetViews>
    <sheetView workbookViewId="0">
      <pane xSplit="1" ySplit="1" topLeftCell="E2" activePane="bottomRight" state="frozen"/>
      <selection pane="topRight" activeCell="B1" sqref="B1"/>
      <selection pane="bottomLeft" activeCell="A2" sqref="A2"/>
      <selection pane="bottomRight" activeCell="I9" sqref="I9"/>
    </sheetView>
  </sheetViews>
  <sheetFormatPr baseColWidth="10" defaultRowHeight="15" x14ac:dyDescent="0.25"/>
  <cols>
    <col min="1" max="1" width="5" style="141" bestFit="1" customWidth="1"/>
    <col min="2" max="2" width="8.28515625" customWidth="1"/>
    <col min="3" max="3" width="11.85546875" style="48" bestFit="1" customWidth="1"/>
    <col min="4" max="7" width="11.85546875" style="48" customWidth="1"/>
    <col min="8" max="8" width="11.85546875" style="48" bestFit="1" customWidth="1"/>
    <col min="9" max="10" width="11.85546875" style="48" customWidth="1"/>
    <col min="12" max="12" width="11.85546875" bestFit="1" customWidth="1"/>
    <col min="13" max="13" width="11.85546875" customWidth="1"/>
    <col min="14" max="14" width="11.85546875" bestFit="1" customWidth="1"/>
    <col min="16" max="16" width="14.140625" bestFit="1" customWidth="1"/>
  </cols>
  <sheetData>
    <row r="1" spans="1:23" s="2" customFormat="1" x14ac:dyDescent="0.25">
      <c r="A1" s="141" t="s">
        <v>47</v>
      </c>
      <c r="B1" s="2" t="s">
        <v>1338</v>
      </c>
      <c r="C1" s="99" t="s">
        <v>1337</v>
      </c>
      <c r="D1" s="99" t="s">
        <v>1630</v>
      </c>
      <c r="E1" s="99" t="s">
        <v>1631</v>
      </c>
      <c r="F1" s="99" t="s">
        <v>1632</v>
      </c>
      <c r="G1" s="99" t="s">
        <v>1633</v>
      </c>
      <c r="H1" s="142" t="s">
        <v>1529</v>
      </c>
      <c r="I1" s="140" t="s">
        <v>1628</v>
      </c>
      <c r="J1" s="140" t="s">
        <v>1634</v>
      </c>
      <c r="K1" s="2" t="s">
        <v>1343</v>
      </c>
      <c r="L1" s="2" t="s">
        <v>1627</v>
      </c>
      <c r="N1" s="64" t="s">
        <v>1345</v>
      </c>
      <c r="O1" s="99" t="s">
        <v>1350</v>
      </c>
      <c r="P1" s="99" t="s">
        <v>1344</v>
      </c>
      <c r="Q1" s="64" t="s">
        <v>1346</v>
      </c>
      <c r="R1" s="99" t="s">
        <v>1351</v>
      </c>
      <c r="S1" s="99" t="s">
        <v>1347</v>
      </c>
      <c r="T1" s="99" t="s">
        <v>611</v>
      </c>
      <c r="U1" s="99" t="s">
        <v>1353</v>
      </c>
      <c r="V1" s="99" t="s">
        <v>1352</v>
      </c>
      <c r="W1" s="99" t="s">
        <v>1348</v>
      </c>
    </row>
    <row r="2" spans="1:23" s="2" customFormat="1" x14ac:dyDescent="0.25">
      <c r="A2" s="141">
        <v>2014</v>
      </c>
      <c r="C2" s="99"/>
      <c r="D2" s="99"/>
      <c r="E2" s="99"/>
      <c r="F2" s="99"/>
      <c r="G2" s="99"/>
      <c r="H2" s="140"/>
      <c r="I2" s="140"/>
      <c r="J2" s="140"/>
      <c r="N2"/>
      <c r="O2" s="48"/>
      <c r="P2" s="48"/>
      <c r="Q2"/>
      <c r="R2" s="48"/>
      <c r="S2" s="48"/>
      <c r="T2" s="48"/>
      <c r="U2" s="48"/>
      <c r="V2" s="48"/>
      <c r="W2" s="48"/>
    </row>
    <row r="3" spans="1:23" x14ac:dyDescent="0.25">
      <c r="A3" s="141">
        <v>2015</v>
      </c>
      <c r="B3">
        <v>6</v>
      </c>
      <c r="C3" s="48">
        <v>11077.72</v>
      </c>
      <c r="H3" s="90">
        <v>984.41</v>
      </c>
      <c r="I3" s="90"/>
      <c r="J3" s="90">
        <f>H3+I3</f>
        <v>984.41</v>
      </c>
      <c r="K3" s="70">
        <f t="shared" ref="K3:K10" si="0">(C3+H3)/B3</f>
        <v>2010.3549999999998</v>
      </c>
      <c r="L3" s="48">
        <f>SUMIFS(Ausgaben_bis_2018!$T:$T,Ausgaben_bis_2018!$F:$F,"&gt;=01.01."&amp;$A3,Ausgaben_bis_2018!$F:$F,"&lt;=31.12."&amp;$A3, Ausgaben_bis_2018!$H:$H,"=Sozialversicherungsanstalt der gewerblichen Wirtschaft, Landesstelle Wien, Wiedner Hauptstraße 84-86, A-1051 Wien")</f>
        <v>1135.32</v>
      </c>
      <c r="M3" s="48">
        <f>L3-I3-H3</f>
        <v>150.90999999999997</v>
      </c>
      <c r="N3" s="98">
        <v>0.185</v>
      </c>
      <c r="O3" s="90">
        <v>106.26</v>
      </c>
      <c r="P3" s="48">
        <f t="shared" ref="P3:P8" si="1">MAX(106.26,N3*L3)</f>
        <v>210.0342</v>
      </c>
      <c r="Q3" s="98">
        <v>0</v>
      </c>
      <c r="R3" s="90">
        <v>31.32</v>
      </c>
      <c r="S3" s="48">
        <f t="shared" ref="S3:S8" si="2">MAX(31.32,Q3*L3)</f>
        <v>31.32</v>
      </c>
      <c r="T3" s="90">
        <v>10.09</v>
      </c>
      <c r="U3" s="98">
        <v>1.5299999999999999E-2</v>
      </c>
      <c r="V3" s="90">
        <v>7.05</v>
      </c>
      <c r="W3" s="48">
        <f t="shared" ref="W3:W8" si="3">U3*L3</f>
        <v>17.370396</v>
      </c>
    </row>
    <row r="4" spans="1:23" x14ac:dyDescent="0.25">
      <c r="A4" s="141">
        <v>2016</v>
      </c>
      <c r="B4">
        <v>12</v>
      </c>
      <c r="C4" s="48">
        <v>46312.91</v>
      </c>
      <c r="H4" s="90">
        <v>1987.8</v>
      </c>
      <c r="I4" s="90"/>
      <c r="J4" s="90">
        <f t="shared" ref="J4:J9" si="4">H4+I4</f>
        <v>1987.8</v>
      </c>
      <c r="K4" s="70">
        <f t="shared" si="0"/>
        <v>4025.0591666666674</v>
      </c>
      <c r="L4" s="48">
        <f>SUMIFS(Ausgaben_bis_2018!$T:$T,Ausgaben_bis_2018!$F:$F,"&gt;=01.01."&amp;$A4,Ausgaben_bis_2018!$F:$F,"&lt;=31.12."&amp;$A4, Ausgaben_bis_2018!$H:$H,"=Sozialversicherungsanstalt der gewerblichen Wirtschaft, Landesstelle Wien, Wiedner Hauptstraße 84-86, A-1051 Wien")</f>
        <v>13336.9</v>
      </c>
      <c r="M4" s="48">
        <f>M3+L4-I4-H4</f>
        <v>11500.01</v>
      </c>
      <c r="N4" s="98">
        <v>0.185</v>
      </c>
      <c r="O4" s="90">
        <v>106.26</v>
      </c>
      <c r="P4" s="48">
        <f t="shared" si="1"/>
        <v>2467.3265000000001</v>
      </c>
      <c r="Q4" s="98">
        <v>0</v>
      </c>
      <c r="R4" s="90">
        <v>31.32</v>
      </c>
      <c r="S4" s="48">
        <f t="shared" si="2"/>
        <v>31.32</v>
      </c>
      <c r="T4" s="90">
        <v>10.09</v>
      </c>
      <c r="U4" s="98">
        <v>1.5299999999999999E-2</v>
      </c>
      <c r="V4" s="90">
        <v>7.05</v>
      </c>
      <c r="W4" s="48">
        <f t="shared" si="3"/>
        <v>204.05456999999998</v>
      </c>
    </row>
    <row r="5" spans="1:23" x14ac:dyDescent="0.25">
      <c r="A5" s="141">
        <v>2017</v>
      </c>
      <c r="B5">
        <v>12</v>
      </c>
      <c r="C5" s="48">
        <v>10334.34</v>
      </c>
      <c r="H5" s="90">
        <v>1997.04</v>
      </c>
      <c r="I5" s="48">
        <v>1227.5999999999999</v>
      </c>
      <c r="J5" s="90">
        <f t="shared" si="4"/>
        <v>3224.64</v>
      </c>
      <c r="K5" s="70">
        <f t="shared" si="0"/>
        <v>1027.615</v>
      </c>
      <c r="L5" s="48">
        <f>SUMIFS(Ausgaben_bis_2018!$T:$T,Ausgaben_bis_2018!$F:$F,"&gt;=01.01."&amp;$A5,Ausgaben_bis_2018!$F:$F,"&lt;=31.12."&amp;$A5, Ausgaben_bis_2018!$H:$H,"=Sozialversicherungsanstalt der gewerblichen Wirtschaft, Landesstelle Wien, Wiedner Hauptstraße 84-86, A-1051 Wien")</f>
        <v>0</v>
      </c>
      <c r="M5" s="48">
        <f t="shared" ref="M5:M10" si="5">M4+L5-I5-H5</f>
        <v>8275.369999999999</v>
      </c>
      <c r="N5" s="98">
        <v>0.185</v>
      </c>
      <c r="O5" s="90">
        <v>106.26</v>
      </c>
      <c r="P5" s="48">
        <f t="shared" si="1"/>
        <v>106.26</v>
      </c>
      <c r="Q5" s="98">
        <v>7.6499999999999999E-2</v>
      </c>
      <c r="R5" s="90">
        <v>31.32</v>
      </c>
      <c r="S5" s="48">
        <f t="shared" si="2"/>
        <v>31.32</v>
      </c>
      <c r="T5" s="90">
        <v>10.09</v>
      </c>
      <c r="U5" s="98">
        <v>1.5299999999999999E-2</v>
      </c>
      <c r="V5" s="90">
        <v>7.05</v>
      </c>
      <c r="W5" s="48">
        <f t="shared" si="3"/>
        <v>0</v>
      </c>
    </row>
    <row r="6" spans="1:23" x14ac:dyDescent="0.25">
      <c r="A6" s="141">
        <v>2018</v>
      </c>
      <c r="B6">
        <v>12</v>
      </c>
      <c r="C6" s="48">
        <v>21674</v>
      </c>
      <c r="H6" s="90">
        <v>7369.55</v>
      </c>
      <c r="I6" s="48">
        <v>1760.4</v>
      </c>
      <c r="J6" s="90">
        <f t="shared" si="4"/>
        <v>9129.9500000000007</v>
      </c>
      <c r="K6" s="70">
        <f t="shared" si="0"/>
        <v>2420.2958333333331</v>
      </c>
      <c r="L6" s="48">
        <f>SUMIFS(Ausgaben_bis_2018!$T:$T,Ausgaben_bis_2018!$F:$F,"&gt;=01.01."&amp;$A6,Ausgaben_bis_2018!$F:$F,"&lt;=31.12."&amp;$A6, Ausgaben_bis_2018!$H:$H,"=Sozialversicherungsanstalt der gewerblichen Wirtschaft, Landesstelle Wien, Wiedner Hauptstraße 84-86, A-1051 Wien")</f>
        <v>0</v>
      </c>
      <c r="M6" s="48">
        <f t="shared" si="5"/>
        <v>-854.58000000000084</v>
      </c>
      <c r="N6" s="98">
        <v>0.185</v>
      </c>
      <c r="O6" s="90">
        <v>106.26</v>
      </c>
      <c r="P6" s="48">
        <f t="shared" si="1"/>
        <v>106.26</v>
      </c>
      <c r="Q6" s="98">
        <v>7.6499999999999999E-2</v>
      </c>
      <c r="R6" s="90">
        <v>31.32</v>
      </c>
      <c r="S6" s="48">
        <f t="shared" si="2"/>
        <v>31.32</v>
      </c>
      <c r="T6" s="90">
        <v>10.09</v>
      </c>
      <c r="U6" s="98">
        <v>1.5299999999999999E-2</v>
      </c>
      <c r="V6" s="90">
        <v>7.05</v>
      </c>
      <c r="W6" s="48">
        <f t="shared" si="3"/>
        <v>0</v>
      </c>
    </row>
    <row r="7" spans="1:23" x14ac:dyDescent="0.25">
      <c r="A7" s="141">
        <v>2019</v>
      </c>
      <c r="B7">
        <v>12</v>
      </c>
      <c r="C7" s="48">
        <v>19046.14</v>
      </c>
      <c r="D7" s="48">
        <v>3622.44</v>
      </c>
      <c r="E7" s="48">
        <v>3622.44</v>
      </c>
      <c r="F7" s="48">
        <v>2451.36</v>
      </c>
      <c r="G7" s="48">
        <v>2451.36</v>
      </c>
      <c r="H7" s="48">
        <f>SUM(D7:G7)</f>
        <v>12147.6</v>
      </c>
      <c r="I7" s="48">
        <v>138.12</v>
      </c>
      <c r="J7" s="90">
        <f t="shared" si="4"/>
        <v>12285.720000000001</v>
      </c>
      <c r="K7" s="70">
        <f t="shared" si="0"/>
        <v>2599.478333333333</v>
      </c>
      <c r="L7" s="48">
        <f>SUMIFS(Journal_ab_2019!$Q:$Q,Journal_ab_2019!$G:$G,"&gt;=01.01."&amp;$A7,Journal_ab_2019!$G:$G,"&lt;=31.12."&amp;$A7, Journal_ab_2019!$H:$H,"=Sozialversicherung der gewerblichen Wirtshaft")</f>
        <v>17868.990000000002</v>
      </c>
      <c r="M7" s="48">
        <f t="shared" si="5"/>
        <v>4728.6900000000005</v>
      </c>
      <c r="N7" s="98">
        <v>0.185</v>
      </c>
      <c r="O7" s="90">
        <v>106.26</v>
      </c>
      <c r="P7" s="48">
        <f t="shared" si="1"/>
        <v>3305.7631500000002</v>
      </c>
      <c r="Q7" s="98">
        <v>7.6499999999999999E-2</v>
      </c>
      <c r="R7" s="90">
        <v>31.32</v>
      </c>
      <c r="S7" s="48">
        <f t="shared" si="2"/>
        <v>1366.9777350000002</v>
      </c>
      <c r="T7" s="90">
        <v>10.09</v>
      </c>
      <c r="U7" s="98">
        <v>1.5299999999999999E-2</v>
      </c>
      <c r="V7" s="90">
        <v>7.05</v>
      </c>
      <c r="W7" s="48">
        <f t="shared" si="3"/>
        <v>273.39554700000002</v>
      </c>
    </row>
    <row r="8" spans="1:23" x14ac:dyDescent="0.25">
      <c r="A8" s="141">
        <v>2020</v>
      </c>
      <c r="B8">
        <v>12</v>
      </c>
      <c r="C8" s="48">
        <v>54845.94</v>
      </c>
      <c r="D8" s="48">
        <v>925.23</v>
      </c>
      <c r="E8" s="48">
        <v>925.23</v>
      </c>
      <c r="F8" s="48">
        <v>925.23</v>
      </c>
      <c r="G8" s="48">
        <v>925.23</v>
      </c>
      <c r="H8" s="48">
        <f>SUM(D8:G8)</f>
        <v>3700.92</v>
      </c>
      <c r="I8" s="48">
        <v>12110.28</v>
      </c>
      <c r="J8" s="90">
        <f t="shared" si="4"/>
        <v>15811.2</v>
      </c>
      <c r="K8" s="70">
        <f t="shared" si="0"/>
        <v>4878.9049999999997</v>
      </c>
      <c r="L8" s="48">
        <f>SUMIFS(Journal_ab_2019!$Q:$Q,Journal_ab_2019!$G:$G,"&gt;=01.01."&amp;$A8,Journal_ab_2019!$G:$G,"&lt;=31.12."&amp;$A8, Journal_ab_2019!$H:$H,"=Sozialversicherung der gewerblichen Wirtshaft")</f>
        <v>19889.41</v>
      </c>
      <c r="M8" s="48">
        <f t="shared" si="5"/>
        <v>8806.8999999999978</v>
      </c>
      <c r="N8" s="98">
        <v>0.185</v>
      </c>
      <c r="O8" s="48">
        <v>106.26</v>
      </c>
      <c r="P8" s="48">
        <f t="shared" si="1"/>
        <v>3679.5408499999999</v>
      </c>
      <c r="Q8" s="98">
        <v>7.6499999999999999E-2</v>
      </c>
      <c r="R8" s="48">
        <v>31.32</v>
      </c>
      <c r="S8" s="48">
        <f t="shared" si="2"/>
        <v>1521.539865</v>
      </c>
      <c r="T8" s="48">
        <v>10.09</v>
      </c>
      <c r="U8" s="98">
        <v>1.5299999999999999E-2</v>
      </c>
      <c r="V8" s="48">
        <v>7.05</v>
      </c>
      <c r="W8" s="48">
        <f t="shared" si="3"/>
        <v>304.307973</v>
      </c>
    </row>
    <row r="9" spans="1:23" x14ac:dyDescent="0.25">
      <c r="A9" s="141">
        <v>2021</v>
      </c>
      <c r="B9">
        <v>12</v>
      </c>
      <c r="D9" s="48">
        <v>2146.89</v>
      </c>
      <c r="E9" s="48">
        <v>2146.89</v>
      </c>
      <c r="F9" s="48">
        <v>2146.89</v>
      </c>
      <c r="G9" s="48">
        <v>2146.89</v>
      </c>
      <c r="H9" s="48">
        <f>SUM(D9:G9)</f>
        <v>8587.56</v>
      </c>
      <c r="I9" s="90">
        <v>7230</v>
      </c>
      <c r="J9" s="90">
        <f t="shared" si="4"/>
        <v>15817.56</v>
      </c>
      <c r="K9" s="70">
        <f t="shared" si="0"/>
        <v>715.63</v>
      </c>
      <c r="L9" s="48">
        <f>SUMIFS(Journal_ab_2019!$Q:$Q,Journal_ab_2019!$G:$G,"&gt;=01.01."&amp;$A9,Journal_ab_2019!$G:$G,"&lt;=31.12."&amp;$A9, Journal_ab_2019!$H:$H,"=Sozialversicherung der gewerblichen Wirtshaft")</f>
        <v>0</v>
      </c>
      <c r="M9" s="48">
        <f t="shared" si="5"/>
        <v>-7010.6600000000017</v>
      </c>
      <c r="N9" s="98">
        <v>0.185</v>
      </c>
      <c r="O9" s="48">
        <v>106.26</v>
      </c>
      <c r="P9" s="48">
        <f>MAX(106.26,N9*L9)</f>
        <v>106.26</v>
      </c>
      <c r="Q9" s="98">
        <v>7.6499999999999999E-2</v>
      </c>
      <c r="R9" s="48">
        <v>31.32</v>
      </c>
      <c r="S9" s="48">
        <f>MAX(31.32,Q9*L9)</f>
        <v>31.32</v>
      </c>
      <c r="T9" s="48">
        <v>10.09</v>
      </c>
      <c r="U9" s="98">
        <v>1.5299999999999999E-2</v>
      </c>
      <c r="V9" s="48">
        <v>7.05</v>
      </c>
      <c r="W9" s="48">
        <f>U9*L9</f>
        <v>0</v>
      </c>
    </row>
    <row r="10" spans="1:23" x14ac:dyDescent="0.25">
      <c r="A10" s="141">
        <v>2022</v>
      </c>
      <c r="B10">
        <v>12</v>
      </c>
      <c r="K10" s="70">
        <f t="shared" si="0"/>
        <v>0</v>
      </c>
      <c r="L10" s="48">
        <f>SUMIFS(Journal_ab_2019!$Q:$Q,Journal_ab_2019!$G:$G,"&gt;=01.01."&amp;$A10,Journal_ab_2019!$G:$G,"&lt;=31.12."&amp;$A10, Journal_ab_2019!$H:$H,"=Sozialversicherung der gewerblichen Wirtshaft")</f>
        <v>33250.11</v>
      </c>
      <c r="M10" s="48">
        <f t="shared" si="5"/>
        <v>26239.449999999997</v>
      </c>
    </row>
    <row r="14" spans="1:23" x14ac:dyDescent="0.25">
      <c r="H14" s="48">
        <f>2451.36*2+3622.44*2</f>
        <v>12147.6</v>
      </c>
    </row>
    <row r="19" spans="1:13" x14ac:dyDescent="0.25">
      <c r="A19" s="141" t="s">
        <v>1629</v>
      </c>
      <c r="H19">
        <f>SUM(H2:H18)</f>
        <v>48922.479999999996</v>
      </c>
      <c r="I19">
        <f>SUM(I2:I18)</f>
        <v>22466.400000000001</v>
      </c>
      <c r="J19">
        <f>SUM(J2:J18)</f>
        <v>59241.279999999999</v>
      </c>
      <c r="L19">
        <f>SUM(L2:L18)</f>
        <v>85480.73</v>
      </c>
      <c r="M19">
        <f>L19-J19</f>
        <v>26239.449999999997</v>
      </c>
    </row>
  </sheetData>
  <pageMargins left="0.7" right="0.7" top="0.78740157499999996" bottom="0.78740157499999996" header="0.3" footer="0.3"/>
  <pageSetup paperSize="9" orientation="portrait"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03AE7-B875-4F35-8D59-072AF63E29A4}">
  <sheetPr codeName="Tabelle20"/>
  <dimension ref="A1:T9"/>
  <sheetViews>
    <sheetView workbookViewId="0">
      <pane xSplit="1" ySplit="1" topLeftCell="B2" activePane="bottomRight" state="frozen"/>
      <selection pane="topRight" activeCell="B1" sqref="B1"/>
      <selection pane="bottomLeft" activeCell="A2" sqref="A2"/>
      <selection pane="bottomRight" activeCell="B9" sqref="B9"/>
    </sheetView>
  </sheetViews>
  <sheetFormatPr baseColWidth="10" defaultRowHeight="15" x14ac:dyDescent="0.25"/>
  <cols>
    <col min="2" max="3" width="11.85546875" style="48" bestFit="1" customWidth="1"/>
    <col min="5" max="5" width="16.28515625" style="48" bestFit="1" customWidth="1"/>
    <col min="6" max="6" width="11.85546875" style="48" customWidth="1"/>
    <col min="7" max="7" width="11.85546875" style="48" bestFit="1" customWidth="1"/>
    <col min="8" max="8" width="11.5703125" style="48" bestFit="1" customWidth="1"/>
    <col min="9" max="9" width="11.85546875" bestFit="1" customWidth="1"/>
    <col min="11" max="11" width="11.85546875" bestFit="1" customWidth="1"/>
    <col min="12" max="12" width="11.85546875" style="48" customWidth="1"/>
    <col min="13" max="13" width="11.42578125" style="48"/>
    <col min="15" max="20" width="11.42578125" style="48"/>
  </cols>
  <sheetData>
    <row r="1" spans="1:20" s="64" customFormat="1" x14ac:dyDescent="0.25">
      <c r="A1" s="64" t="s">
        <v>47</v>
      </c>
      <c r="B1" s="99" t="s">
        <v>1337</v>
      </c>
      <c r="C1" s="99" t="s">
        <v>1339</v>
      </c>
      <c r="D1" s="64" t="s">
        <v>1338</v>
      </c>
      <c r="E1" s="99" t="s">
        <v>1529</v>
      </c>
      <c r="F1" s="99" t="s">
        <v>1342</v>
      </c>
      <c r="G1" s="99" t="s">
        <v>1340</v>
      </c>
      <c r="H1" s="99" t="s">
        <v>1341</v>
      </c>
      <c r="I1" s="64" t="s">
        <v>1349</v>
      </c>
      <c r="J1" s="64" t="s">
        <v>1343</v>
      </c>
      <c r="K1" s="64" t="s">
        <v>1345</v>
      </c>
      <c r="L1" s="99" t="s">
        <v>1350</v>
      </c>
      <c r="M1" s="99" t="s">
        <v>1344</v>
      </c>
      <c r="N1" s="64" t="s">
        <v>1346</v>
      </c>
      <c r="O1" s="99" t="s">
        <v>1351</v>
      </c>
      <c r="P1" s="99" t="s">
        <v>1347</v>
      </c>
      <c r="Q1" s="99" t="s">
        <v>611</v>
      </c>
      <c r="R1" s="99" t="s">
        <v>1353</v>
      </c>
      <c r="S1" s="99" t="s">
        <v>1352</v>
      </c>
      <c r="T1" s="99" t="s">
        <v>1348</v>
      </c>
    </row>
    <row r="2" spans="1:20" x14ac:dyDescent="0.25">
      <c r="A2">
        <v>2014</v>
      </c>
      <c r="B2" s="48">
        <v>27503</v>
      </c>
      <c r="C2" s="48">
        <v>-99</v>
      </c>
      <c r="D2">
        <v>0</v>
      </c>
    </row>
    <row r="3" spans="1:20" x14ac:dyDescent="0.25">
      <c r="A3">
        <v>2015</v>
      </c>
      <c r="B3" s="48">
        <v>11017.72</v>
      </c>
      <c r="C3" s="48">
        <v>1828</v>
      </c>
      <c r="D3">
        <v>7</v>
      </c>
      <c r="E3" s="48">
        <v>984.41</v>
      </c>
      <c r="F3" s="48">
        <f>SUMIFS(Ausgaben_bis_2018!$T:$T,Ausgaben_bis_2018!$F:$F,"&gt;=01.01."&amp;$A3,Ausgaben_bis_2018!$F:$F,"&lt;=31.12."&amp;$A3, Ausgaben_bis_2018!$H:$H,"=Sozialversicherungsanstalt der gewerblichen Wirtschaft, Landesstelle Wien, Wiedner Hauptstraße 84-86, A-1051 Wien")</f>
        <v>1135.32</v>
      </c>
      <c r="G3" s="48">
        <v>2231.46</v>
      </c>
      <c r="H3" s="48">
        <f>F3-G3</f>
        <v>-1096.1400000000001</v>
      </c>
      <c r="I3" s="70">
        <f t="shared" ref="I3:I8" si="0">D3*(M3+P3+Q3+T3)</f>
        <v>2496.7193159999997</v>
      </c>
      <c r="J3" s="70">
        <f t="shared" ref="J3:J9" si="1">B3/D3</f>
        <v>1573.9599999999998</v>
      </c>
      <c r="K3" s="98">
        <v>0.185</v>
      </c>
      <c r="L3" s="90">
        <v>106.26</v>
      </c>
      <c r="M3" s="48">
        <f t="shared" ref="M3:M8" si="2">MAX(106.26,K3*J3)</f>
        <v>291.18259999999998</v>
      </c>
      <c r="N3" s="98">
        <v>0</v>
      </c>
      <c r="O3" s="90">
        <v>31.32</v>
      </c>
      <c r="P3" s="48">
        <f t="shared" ref="P3:P8" si="3">MAX(31.32,N3*J3)</f>
        <v>31.32</v>
      </c>
      <c r="Q3" s="90">
        <v>10.09</v>
      </c>
      <c r="R3" s="98">
        <v>1.5299999999999999E-2</v>
      </c>
      <c r="S3" s="90">
        <v>7.05</v>
      </c>
      <c r="T3" s="48">
        <f t="shared" ref="T3:T8" si="4">R3*J3</f>
        <v>24.081587999999996</v>
      </c>
    </row>
    <row r="4" spans="1:20" x14ac:dyDescent="0.25">
      <c r="A4">
        <v>2016</v>
      </c>
      <c r="B4" s="48">
        <v>46252.91</v>
      </c>
      <c r="C4" s="48">
        <v>12748</v>
      </c>
      <c r="D4">
        <v>12</v>
      </c>
      <c r="E4" s="48">
        <v>1987.8</v>
      </c>
      <c r="F4" s="48">
        <f>SUMIFS(Ausgaben_bis_2018!$T:$T,Ausgaben_bis_2018!$F:$F,"&gt;=01.01."&amp;$A4,Ausgaben_bis_2018!$F:$F,"&lt;=31.12."&amp;$A4, Ausgaben_bis_2018!$H:$H,"=Sozialversicherungsanstalt der gewerblichen Wirtschaft, Landesstelle Wien, Wiedner Hauptstraße 84-86, A-1051 Wien")</f>
        <v>13336.9</v>
      </c>
      <c r="G4" s="48">
        <v>9502.92</v>
      </c>
      <c r="H4" s="48">
        <f t="shared" ref="H4:H9" si="5">F4-G4+H3</f>
        <v>2737.8399999999992</v>
      </c>
      <c r="I4" s="70">
        <f t="shared" si="0"/>
        <v>9761.3778730000013</v>
      </c>
      <c r="J4" s="70">
        <f t="shared" si="1"/>
        <v>3854.4091666666668</v>
      </c>
      <c r="K4" s="98">
        <v>0.185</v>
      </c>
      <c r="L4" s="90">
        <v>106.26</v>
      </c>
      <c r="M4" s="48">
        <f t="shared" si="2"/>
        <v>713.06569583333339</v>
      </c>
      <c r="N4" s="98">
        <v>0</v>
      </c>
      <c r="O4" s="90">
        <v>31.32</v>
      </c>
      <c r="P4" s="48">
        <f t="shared" si="3"/>
        <v>31.32</v>
      </c>
      <c r="Q4" s="90">
        <v>10.09</v>
      </c>
      <c r="R4" s="98">
        <v>1.5299999999999999E-2</v>
      </c>
      <c r="S4" s="90">
        <v>7.05</v>
      </c>
      <c r="T4" s="48">
        <f t="shared" si="4"/>
        <v>58.972460249999997</v>
      </c>
    </row>
    <row r="5" spans="1:20" x14ac:dyDescent="0.25">
      <c r="A5">
        <v>2017</v>
      </c>
      <c r="B5" s="48">
        <v>10334.34</v>
      </c>
      <c r="C5" s="48">
        <v>0</v>
      </c>
      <c r="D5">
        <v>12</v>
      </c>
      <c r="E5" s="48">
        <f>586.96+556.5+603.64+620.99</f>
        <v>2368.09</v>
      </c>
      <c r="F5" s="48">
        <f>SUMIFS(Ausgaben_bis_2018!$T:$T,Ausgaben_bis_2018!$F:$F,"&gt;=01.01."&amp;$A5,Ausgaben_bis_2018!$F:$F,"&lt;=31.12."&amp;$A5, Ausgaben_bis_2018!$H:$H,"=Sozialversicherungsanstalt der gewerblichen Wirtschaft, Landesstelle Wien, Wiedner Hauptstraße 84-86, A-1051 Wien")</f>
        <v>0</v>
      </c>
      <c r="G5" s="48">
        <v>3414.72</v>
      </c>
      <c r="H5" s="48">
        <f t="shared" si="5"/>
        <v>-676.88000000000056</v>
      </c>
      <c r="I5" s="70">
        <f t="shared" si="0"/>
        <v>2981.6253120000001</v>
      </c>
      <c r="J5" s="70">
        <f t="shared" si="1"/>
        <v>861.19500000000005</v>
      </c>
      <c r="K5" s="98">
        <v>0.185</v>
      </c>
      <c r="L5" s="90">
        <v>106.26</v>
      </c>
      <c r="M5" s="48">
        <f t="shared" si="2"/>
        <v>159.32107500000001</v>
      </c>
      <c r="N5" s="98">
        <v>7.6499999999999999E-2</v>
      </c>
      <c r="O5" s="90">
        <v>31.32</v>
      </c>
      <c r="P5" s="48">
        <f t="shared" si="3"/>
        <v>65.881417499999998</v>
      </c>
      <c r="Q5" s="90">
        <v>10.09</v>
      </c>
      <c r="R5" s="98">
        <v>1.5299999999999999E-2</v>
      </c>
      <c r="S5" s="90">
        <v>7.05</v>
      </c>
      <c r="T5" s="48">
        <f t="shared" si="4"/>
        <v>13.1762835</v>
      </c>
    </row>
    <row r="6" spans="1:20" x14ac:dyDescent="0.25">
      <c r="A6">
        <v>2018</v>
      </c>
      <c r="B6" s="48">
        <v>21674</v>
      </c>
      <c r="C6" s="48">
        <v>3131</v>
      </c>
      <c r="D6">
        <v>12</v>
      </c>
      <c r="E6" s="48">
        <f>1956.52+1959.02+2000.6+1986.5</f>
        <v>7902.6399999999994</v>
      </c>
      <c r="F6" s="48">
        <f>SUMIFS(Ausgaben_bis_2018!$T:$T,Ausgaben_bis_2018!$F:$F,"&gt;=01.01."&amp;$A6,Ausgaben_bis_2018!$F:$F,"&lt;=31.12."&amp;$A6, Ausgaben_bis_2018!$H:$H,"=Sozialversicherungsanstalt der gewerblichen Wirtschaft, Landesstelle Wien, Wiedner Hauptstraße 84-86, A-1051 Wien")</f>
        <v>0</v>
      </c>
      <c r="G6" s="48">
        <v>2420.3000000000002</v>
      </c>
      <c r="H6" s="48">
        <f t="shared" si="5"/>
        <v>-3097.1800000000007</v>
      </c>
      <c r="I6" s="70">
        <f t="shared" si="0"/>
        <v>6120.4431999999997</v>
      </c>
      <c r="J6" s="70">
        <f t="shared" si="1"/>
        <v>1806.1666666666667</v>
      </c>
      <c r="K6" s="98">
        <v>0.185</v>
      </c>
      <c r="L6" s="90">
        <v>106.26</v>
      </c>
      <c r="M6" s="48">
        <f t="shared" si="2"/>
        <v>334.14083333333332</v>
      </c>
      <c r="N6" s="98">
        <v>7.6499999999999999E-2</v>
      </c>
      <c r="O6" s="90">
        <v>31.32</v>
      </c>
      <c r="P6" s="48">
        <f t="shared" si="3"/>
        <v>138.17175</v>
      </c>
      <c r="Q6" s="90">
        <v>10.09</v>
      </c>
      <c r="R6" s="98">
        <v>1.5299999999999999E-2</v>
      </c>
      <c r="S6" s="90">
        <v>7.05</v>
      </c>
      <c r="T6" s="48">
        <f t="shared" si="4"/>
        <v>27.634350000000001</v>
      </c>
    </row>
    <row r="7" spans="1:20" x14ac:dyDescent="0.25">
      <c r="A7">
        <v>2019</v>
      </c>
      <c r="B7" s="48">
        <v>18986.14</v>
      </c>
      <c r="C7" s="48">
        <v>1618</v>
      </c>
      <c r="D7">
        <v>12</v>
      </c>
      <c r="E7" s="48">
        <f>4752.06+5458.62+4286.3+4296.6</f>
        <v>18793.580000000002</v>
      </c>
      <c r="F7" s="48">
        <f>SUMIFS(Journal_ab_2019!$Q:$Q,Journal_ab_2019!$G:$G,"&gt;=01.01."&amp;$A7,Journal_ab_2019!$G:$G,"&lt;=31.12."&amp;$A7, Journal_ab_2019!$H:$H,"=Sozialversicherung der gewerblichen Wirtshaft")</f>
        <v>17868.990000000002</v>
      </c>
      <c r="G7" s="48">
        <v>2960.67</v>
      </c>
      <c r="H7" s="48">
        <f t="shared" si="5"/>
        <v>11811.140000000001</v>
      </c>
      <c r="I7" s="70">
        <f t="shared" si="0"/>
        <v>5376.4435519999997</v>
      </c>
      <c r="J7" s="70">
        <f t="shared" si="1"/>
        <v>1582.1783333333333</v>
      </c>
      <c r="K7" s="98">
        <v>0.185</v>
      </c>
      <c r="L7" s="90">
        <v>106.26</v>
      </c>
      <c r="M7" s="48">
        <f t="shared" si="2"/>
        <v>292.70299166666666</v>
      </c>
      <c r="N7" s="98">
        <v>7.6499999999999999E-2</v>
      </c>
      <c r="O7" s="90">
        <v>31.32</v>
      </c>
      <c r="P7" s="48">
        <f t="shared" si="3"/>
        <v>121.0366425</v>
      </c>
      <c r="Q7" s="90">
        <v>10.09</v>
      </c>
      <c r="R7" s="98">
        <v>1.5299999999999999E-2</v>
      </c>
      <c r="S7" s="90">
        <v>7.05</v>
      </c>
      <c r="T7" s="48">
        <f t="shared" si="4"/>
        <v>24.207328499999999</v>
      </c>
    </row>
    <row r="8" spans="1:20" x14ac:dyDescent="0.25">
      <c r="A8">
        <v>2020</v>
      </c>
      <c r="B8" s="48">
        <v>59743.02</v>
      </c>
      <c r="C8" s="48">
        <v>16522</v>
      </c>
      <c r="D8">
        <v>12</v>
      </c>
      <c r="E8" s="90">
        <f>1676.19+1678.77</f>
        <v>3354.96</v>
      </c>
      <c r="F8" s="48">
        <f>SUMIFS(Journal_ab_2019!$Q:$Q,Journal_ab_2019!$G:$G,"&gt;=01.01."&amp;$A8,Journal_ab_2019!$G:$G,"&lt;=31.12."&amp;$A8, Journal_ab_2019!$H:$H,"=Sozialversicherung der gewerblichen Wirtshaft")</f>
        <v>19889.41</v>
      </c>
      <c r="G8" s="48">
        <v>5100.8100000000004</v>
      </c>
      <c r="H8" s="48">
        <f t="shared" si="5"/>
        <v>26599.739999999998</v>
      </c>
      <c r="I8" s="70">
        <f t="shared" si="0"/>
        <v>16657.947935999997</v>
      </c>
      <c r="J8" s="70">
        <f t="shared" si="1"/>
        <v>4978.585</v>
      </c>
      <c r="K8" s="98">
        <v>0.185</v>
      </c>
      <c r="L8" s="48">
        <v>106.26</v>
      </c>
      <c r="M8" s="48">
        <f t="shared" si="2"/>
        <v>921.03822500000001</v>
      </c>
      <c r="N8" s="98">
        <v>7.6499999999999999E-2</v>
      </c>
      <c r="O8" s="48">
        <v>31.32</v>
      </c>
      <c r="P8" s="48">
        <f t="shared" si="3"/>
        <v>380.86175250000002</v>
      </c>
      <c r="Q8" s="48">
        <v>10.09</v>
      </c>
      <c r="R8" s="98">
        <v>1.5299999999999999E-2</v>
      </c>
      <c r="S8" s="48">
        <v>7.05</v>
      </c>
      <c r="T8" s="48">
        <f t="shared" si="4"/>
        <v>76.172350499999993</v>
      </c>
    </row>
    <row r="9" spans="1:20" x14ac:dyDescent="0.25">
      <c r="A9">
        <v>2021</v>
      </c>
      <c r="D9">
        <v>12</v>
      </c>
      <c r="E9" s="90">
        <f>1676.19+1678.77</f>
        <v>3354.96</v>
      </c>
      <c r="F9" s="48">
        <f>SUMIFS(Journal_ab_2019!$Q:$Q,Journal_ab_2019!$G:$G,"&gt;=01.01."&amp;$A9,Journal_ab_2019!$G:$G,"&lt;=31.12."&amp;$A9, Journal_ab_2019!$H:$H,"=Sozialversicherung der gewerblichen Wirtshaft")</f>
        <v>0</v>
      </c>
      <c r="H9" s="48">
        <f t="shared" si="5"/>
        <v>26599.739999999998</v>
      </c>
      <c r="I9" s="70">
        <f>D9*(M9+P9+Q9+T9)</f>
        <v>1772.0400000000002</v>
      </c>
      <c r="J9" s="70">
        <f t="shared" si="1"/>
        <v>0</v>
      </c>
      <c r="K9" s="98">
        <v>0.185</v>
      </c>
      <c r="L9" s="48">
        <v>106.26</v>
      </c>
      <c r="M9" s="48">
        <f>MAX(106.26,K9*J9)</f>
        <v>106.26</v>
      </c>
      <c r="N9" s="98">
        <v>7.6499999999999999E-2</v>
      </c>
      <c r="O9" s="48">
        <v>31.32</v>
      </c>
      <c r="P9" s="48">
        <f>MAX(31.32,N9*J9)</f>
        <v>31.32</v>
      </c>
      <c r="Q9" s="48">
        <v>10.09</v>
      </c>
      <c r="R9" s="98">
        <v>1.5299999999999999E-2</v>
      </c>
      <c r="S9" s="48">
        <v>7.05</v>
      </c>
      <c r="T9" s="48">
        <f>R9*J9</f>
        <v>0</v>
      </c>
    </row>
  </sheetData>
  <conditionalFormatting sqref="B2:B8 B10:B1048576">
    <cfRule type="cellIs" dxfId="10293" priority="4" operator="greaterThan">
      <formula>0</formula>
    </cfRule>
  </conditionalFormatting>
  <conditionalFormatting sqref="G2:G8 G10:G1048576">
    <cfRule type="cellIs" dxfId="10292" priority="3" operator="greaterThan">
      <formula>0</formula>
    </cfRule>
  </conditionalFormatting>
  <conditionalFormatting sqref="B9">
    <cfRule type="cellIs" dxfId="10291" priority="2" operator="greaterThan">
      <formula>0</formula>
    </cfRule>
  </conditionalFormatting>
  <conditionalFormatting sqref="G9">
    <cfRule type="cellIs" dxfId="10290" priority="1" operator="greaterThan">
      <formula>0</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BD901-42D2-4492-BFD9-C8652B4F6E25}">
  <sheetPr codeName="Tabelle15"/>
  <dimension ref="A1:AS1225"/>
  <sheetViews>
    <sheetView zoomScale="115" zoomScaleNormal="115" workbookViewId="0">
      <pane xSplit="7" ySplit="1" topLeftCell="AF960" activePane="bottomRight" state="frozen"/>
      <selection activeCell="C2" sqref="C2"/>
      <selection pane="topRight" activeCell="C2" sqref="C2"/>
      <selection pane="bottomLeft" activeCell="C2" sqref="C2"/>
      <selection pane="bottomRight" activeCell="AS997" sqref="AS997"/>
    </sheetView>
  </sheetViews>
  <sheetFormatPr baseColWidth="10" defaultRowHeight="15" x14ac:dyDescent="0.25"/>
  <cols>
    <col min="1" max="1" width="7.140625" bestFit="1" customWidth="1"/>
    <col min="2" max="2" width="4.5703125" customWidth="1"/>
    <col min="3" max="3" width="9.85546875" customWidth="1"/>
    <col min="4" max="4" width="18.7109375" customWidth="1"/>
    <col min="5" max="5" width="17.5703125" style="9" customWidth="1"/>
    <col min="6" max="6" width="15.140625" hidden="1" customWidth="1"/>
    <col min="8" max="8" width="17.85546875" customWidth="1"/>
    <col min="9" max="9" width="5" customWidth="1"/>
    <col min="10" max="10" width="11.42578125" style="76"/>
    <col min="12" max="12" width="14.5703125" style="48" bestFit="1" customWidth="1"/>
    <col min="13" max="13" width="6.42578125" style="72" customWidth="1"/>
    <col min="14" max="14" width="4.28515625" customWidth="1"/>
    <col min="20" max="20" width="10.7109375" customWidth="1"/>
    <col min="21" max="21" width="7.28515625" customWidth="1"/>
    <col min="22" max="22" width="8.7109375" customWidth="1"/>
    <col min="23" max="23" width="14.5703125" customWidth="1"/>
    <col min="24" max="24" width="11.42578125" customWidth="1"/>
    <col min="25" max="25" width="9" customWidth="1"/>
    <col min="26" max="26" width="12.140625" style="78" customWidth="1"/>
  </cols>
  <sheetData>
    <row r="1" spans="1:45" s="87" customFormat="1" x14ac:dyDescent="0.25">
      <c r="A1" s="79" t="s">
        <v>47</v>
      </c>
      <c r="B1" s="79" t="s">
        <v>681</v>
      </c>
      <c r="C1" s="79" t="s">
        <v>706</v>
      </c>
      <c r="D1" s="80" t="s">
        <v>682</v>
      </c>
      <c r="E1" s="81" t="s">
        <v>0</v>
      </c>
      <c r="F1" s="79" t="s">
        <v>6</v>
      </c>
      <c r="G1" s="79" t="s">
        <v>7</v>
      </c>
      <c r="H1" s="79" t="s">
        <v>1</v>
      </c>
      <c r="I1" s="80" t="s">
        <v>180</v>
      </c>
      <c r="J1" s="82" t="s">
        <v>540</v>
      </c>
      <c r="K1" s="79" t="s">
        <v>177</v>
      </c>
      <c r="L1" s="86" t="s">
        <v>219</v>
      </c>
      <c r="M1" s="83" t="s">
        <v>938</v>
      </c>
      <c r="N1" s="79" t="s">
        <v>9</v>
      </c>
      <c r="O1" s="84" t="s">
        <v>25</v>
      </c>
      <c r="P1" s="84" t="s">
        <v>216</v>
      </c>
      <c r="Q1" s="84" t="s">
        <v>217</v>
      </c>
      <c r="R1" s="84" t="s">
        <v>419</v>
      </c>
      <c r="S1" s="84" t="s">
        <v>218</v>
      </c>
      <c r="T1" s="85" t="s">
        <v>46</v>
      </c>
      <c r="U1" s="79" t="s">
        <v>45</v>
      </c>
      <c r="V1" s="79" t="s">
        <v>211</v>
      </c>
      <c r="W1" s="86" t="s">
        <v>215</v>
      </c>
      <c r="X1" t="s">
        <v>692</v>
      </c>
      <c r="Y1" s="9" t="s">
        <v>1708</v>
      </c>
      <c r="Z1" s="1">
        <v>44886</v>
      </c>
      <c r="AA1" t="s">
        <v>1709</v>
      </c>
      <c r="AB1"/>
      <c r="AC1" s="76"/>
      <c r="AD1" t="b">
        <v>0</v>
      </c>
      <c r="AE1" s="48">
        <v>285</v>
      </c>
      <c r="AF1" s="72">
        <v>1</v>
      </c>
      <c r="AG1">
        <v>0</v>
      </c>
      <c r="AH1" s="31">
        <v>0</v>
      </c>
      <c r="AI1" s="31">
        <v>0</v>
      </c>
      <c r="AJ1" s="33">
        <v>285</v>
      </c>
      <c r="AK1" s="29">
        <v>285</v>
      </c>
      <c r="AL1" s="29">
        <v>285</v>
      </c>
      <c r="AM1" s="35">
        <v>44972</v>
      </c>
      <c r="AN1" s="27"/>
      <c r="AO1" s="27">
        <v>20</v>
      </c>
      <c r="AP1" s="58">
        <v>285</v>
      </c>
      <c r="AQ1" s="31">
        <v>0</v>
      </c>
      <c r="AR1" t="b">
        <v>0</v>
      </c>
      <c r="AS1" s="78">
        <v>-285</v>
      </c>
    </row>
    <row r="2" spans="1:45" x14ac:dyDescent="0.25">
      <c r="A2" s="53">
        <v>2019</v>
      </c>
      <c r="B2" s="53">
        <v>1</v>
      </c>
      <c r="C2" s="71" t="s">
        <v>105</v>
      </c>
      <c r="D2" t="s">
        <v>703</v>
      </c>
      <c r="E2" s="9">
        <v>6169844854</v>
      </c>
      <c r="G2" s="1">
        <v>43472</v>
      </c>
      <c r="H2" t="s">
        <v>34</v>
      </c>
      <c r="K2" t="b">
        <f>(IF(AND(I2&lt;&gt;"",AND(J2="",ABS(Q2)&gt;400)),TRUE,FALSE))</f>
        <v>0</v>
      </c>
      <c r="L2" s="48">
        <f>18.35/1.2</f>
        <v>15.291666666666668</v>
      </c>
      <c r="M2" s="72">
        <v>1</v>
      </c>
      <c r="N2">
        <v>20</v>
      </c>
      <c r="O2" s="31">
        <f>L2*N2/100</f>
        <v>3.0583333333333336</v>
      </c>
      <c r="P2" s="31">
        <f>M2*O2</f>
        <v>3.0583333333333336</v>
      </c>
      <c r="Q2" s="33">
        <f>L2*M2</f>
        <v>15.291666666666668</v>
      </c>
      <c r="R2" s="29">
        <f>L2+O2</f>
        <v>18.350000000000001</v>
      </c>
      <c r="S2" s="29">
        <f>Q2+P2</f>
        <v>18.350000000000001</v>
      </c>
      <c r="T2" s="35">
        <f>voranmeldefrist_vierteljaehrlich(G2)</f>
        <v>43600</v>
      </c>
      <c r="U2" s="27"/>
      <c r="V2" s="27"/>
      <c r="W2" s="58">
        <f>IF(K2=TRUE,Q2/I2,Q2)</f>
        <v>15.291666666666668</v>
      </c>
      <c r="X2" s="31">
        <f>V2/100*S2</f>
        <v>0</v>
      </c>
      <c r="Y2" t="b">
        <f>IF(AND(V2&gt;0,N2=V2),TRUE,FALSE)</f>
        <v>0</v>
      </c>
      <c r="Z2" s="78">
        <f>IF(D2="Einnahmen",Q2,-Q2)</f>
        <v>-15.291666666666668</v>
      </c>
    </row>
    <row r="3" spans="1:45" x14ac:dyDescent="0.25">
      <c r="A3" s="53">
        <v>2019</v>
      </c>
      <c r="B3" s="53">
        <v>2</v>
      </c>
      <c r="C3" s="71" t="s">
        <v>105</v>
      </c>
      <c r="D3" t="s">
        <v>705</v>
      </c>
      <c r="E3" s="9">
        <v>712410</v>
      </c>
      <c r="G3" s="1">
        <v>43472</v>
      </c>
      <c r="H3" t="s">
        <v>922</v>
      </c>
      <c r="I3">
        <v>3</v>
      </c>
      <c r="K3" t="b">
        <f>(IF(AND(I3&lt;&gt;"",AND(J3="",ABS(Q3)&gt;400)),TRUE,FALSE))</f>
        <v>1</v>
      </c>
      <c r="L3" s="48">
        <v>523.69000000000005</v>
      </c>
      <c r="M3" s="72">
        <v>1</v>
      </c>
      <c r="N3">
        <v>20</v>
      </c>
      <c r="O3" s="31">
        <f>L3*N3/100</f>
        <v>104.73800000000001</v>
      </c>
      <c r="P3" s="31">
        <f>M3*O3</f>
        <v>104.73800000000001</v>
      </c>
      <c r="Q3" s="33">
        <f>L3*M3</f>
        <v>523.69000000000005</v>
      </c>
      <c r="R3" s="29">
        <f>L3+O3</f>
        <v>628.42800000000011</v>
      </c>
      <c r="S3" s="29">
        <f>Q3+P3</f>
        <v>628.42800000000011</v>
      </c>
      <c r="T3" s="35">
        <f>voranmeldefrist_vierteljaehrlich(G3)</f>
        <v>43600</v>
      </c>
      <c r="U3" s="27"/>
      <c r="V3" s="27"/>
      <c r="W3" s="58">
        <f>IF(K3=TRUE,Q3/I3,Q3)</f>
        <v>174.56333333333336</v>
      </c>
      <c r="X3" s="31">
        <f>V3/100*S3</f>
        <v>0</v>
      </c>
      <c r="Y3" t="b">
        <f>IF(AND(V3&gt;0,N3=V3),TRUE,FALSE)</f>
        <v>0</v>
      </c>
      <c r="Z3" s="78">
        <f t="shared" ref="Z3:Z66" si="0">IF(C3="Einnahmen",Q3,-Q3)</f>
        <v>-523.69000000000005</v>
      </c>
    </row>
    <row r="4" spans="1:45" x14ac:dyDescent="0.25">
      <c r="A4" s="53">
        <v>2019</v>
      </c>
      <c r="B4" s="53">
        <v>3</v>
      </c>
      <c r="C4" s="71" t="s">
        <v>708</v>
      </c>
      <c r="D4" t="s">
        <v>709</v>
      </c>
      <c r="E4" s="9">
        <v>12018015</v>
      </c>
      <c r="G4" s="1">
        <v>43474</v>
      </c>
      <c r="H4" t="s">
        <v>923</v>
      </c>
      <c r="K4" t="b">
        <f t="shared" ref="K4:K41" si="1">(IF(AND(I4&lt;&gt;"",AND(J4="",ABS(Q4)&gt;400)),TRUE,FALSE))</f>
        <v>0</v>
      </c>
      <c r="L4" s="48">
        <v>561.84</v>
      </c>
      <c r="M4" s="72">
        <v>1</v>
      </c>
      <c r="N4">
        <v>20</v>
      </c>
      <c r="O4" s="31">
        <f>L4*N4/100</f>
        <v>112.36800000000001</v>
      </c>
      <c r="P4" s="31">
        <f>M4*O4</f>
        <v>112.36800000000001</v>
      </c>
      <c r="Q4" s="33">
        <f>L4*M4</f>
        <v>561.84</v>
      </c>
      <c r="R4" s="29">
        <f>L4+O4</f>
        <v>674.20800000000008</v>
      </c>
      <c r="S4" s="29">
        <f>Q4+P4</f>
        <v>674.20800000000008</v>
      </c>
      <c r="T4" s="35">
        <f>voranmeldefrist_vierteljaehrlich(G4)</f>
        <v>43600</v>
      </c>
      <c r="U4" s="27"/>
      <c r="V4" s="27"/>
      <c r="W4" s="58">
        <f>IF(K4=TRUE,Q4/J4,Q4)</f>
        <v>561.84</v>
      </c>
      <c r="X4" s="31">
        <f>V4/100*S4</f>
        <v>0</v>
      </c>
      <c r="Y4" t="b">
        <f>IF(AND(V4&gt;0,N4=V4),TRUE,FALSE)</f>
        <v>0</v>
      </c>
      <c r="Z4" s="78">
        <f t="shared" si="0"/>
        <v>561.84</v>
      </c>
    </row>
    <row r="5" spans="1:45" x14ac:dyDescent="0.25">
      <c r="A5" s="53">
        <v>2019</v>
      </c>
      <c r="B5" s="53">
        <v>4</v>
      </c>
      <c r="C5" s="71" t="s">
        <v>105</v>
      </c>
      <c r="D5" t="s">
        <v>339</v>
      </c>
      <c r="E5" s="9" t="s">
        <v>937</v>
      </c>
      <c r="G5" s="1">
        <v>43474</v>
      </c>
      <c r="H5" t="s">
        <v>924</v>
      </c>
      <c r="K5" t="b">
        <f t="shared" si="1"/>
        <v>0</v>
      </c>
      <c r="L5" s="48">
        <f>14.14/1.2</f>
        <v>11.783333333333335</v>
      </c>
      <c r="M5" s="72">
        <v>1</v>
      </c>
      <c r="N5">
        <v>20</v>
      </c>
      <c r="O5" s="31">
        <f t="shared" ref="O5:O27" si="2">L5*N5/100</f>
        <v>2.3566666666666669</v>
      </c>
      <c r="P5" s="31">
        <f t="shared" ref="P5:P27" si="3">M5*O5</f>
        <v>2.3566666666666669</v>
      </c>
      <c r="Q5" s="33">
        <f t="shared" ref="Q5:Q27" si="4">L5*M5</f>
        <v>11.783333333333335</v>
      </c>
      <c r="R5" s="29">
        <f t="shared" ref="R5:R27" si="5">L5+O5</f>
        <v>14.140000000000002</v>
      </c>
      <c r="S5" s="29">
        <f t="shared" ref="S5:S27" si="6">Q5+P5</f>
        <v>14.140000000000002</v>
      </c>
      <c r="T5" s="35">
        <f t="shared" ref="T5:T27" si="7">voranmeldefrist_vierteljaehrlich(G5)</f>
        <v>43600</v>
      </c>
      <c r="U5" s="27"/>
      <c r="V5" s="27"/>
      <c r="W5" s="58">
        <f t="shared" ref="W5:W27" si="8">IF(K5=TRUE,Q5/J5,Q5)</f>
        <v>11.783333333333335</v>
      </c>
      <c r="X5" s="31">
        <f t="shared" ref="X5:X27" si="9">V5/100*S5</f>
        <v>0</v>
      </c>
      <c r="Y5" t="b">
        <f t="shared" ref="Y5:Y27" si="10">IF(AND(V5&gt;0,N5=V5),TRUE,FALSE)</f>
        <v>0</v>
      </c>
      <c r="Z5" s="78">
        <f t="shared" si="0"/>
        <v>-11.783333333333335</v>
      </c>
    </row>
    <row r="6" spans="1:45" x14ac:dyDescent="0.25">
      <c r="A6" s="53">
        <v>2019</v>
      </c>
      <c r="B6" s="53">
        <v>5</v>
      </c>
      <c r="C6" s="71" t="s">
        <v>105</v>
      </c>
      <c r="D6" t="s">
        <v>703</v>
      </c>
      <c r="E6" s="9">
        <v>172835870</v>
      </c>
      <c r="G6" s="1">
        <v>43475</v>
      </c>
      <c r="H6" t="s">
        <v>925</v>
      </c>
      <c r="K6" t="b">
        <f t="shared" si="1"/>
        <v>0</v>
      </c>
      <c r="L6" s="48">
        <f>27.82+1.04</f>
        <v>28.86</v>
      </c>
      <c r="M6" s="72">
        <f>2/3</f>
        <v>0.66666666666666663</v>
      </c>
      <c r="N6">
        <v>20</v>
      </c>
      <c r="O6" s="31">
        <f t="shared" si="2"/>
        <v>5.7720000000000002</v>
      </c>
      <c r="P6" s="31">
        <f t="shared" si="3"/>
        <v>3.8479999999999999</v>
      </c>
      <c r="Q6" s="33">
        <f t="shared" si="4"/>
        <v>19.239999999999998</v>
      </c>
      <c r="R6" s="29">
        <f t="shared" si="5"/>
        <v>34.631999999999998</v>
      </c>
      <c r="S6" s="29">
        <f t="shared" si="6"/>
        <v>23.087999999999997</v>
      </c>
      <c r="T6" s="35">
        <f t="shared" si="7"/>
        <v>43600</v>
      </c>
      <c r="U6" s="27"/>
      <c r="V6" s="27"/>
      <c r="W6" s="58">
        <f t="shared" si="8"/>
        <v>19.239999999999998</v>
      </c>
      <c r="X6" s="31">
        <f t="shared" si="9"/>
        <v>0</v>
      </c>
      <c r="Y6" t="b">
        <f t="shared" si="10"/>
        <v>0</v>
      </c>
      <c r="Z6" s="78">
        <f t="shared" si="0"/>
        <v>-19.239999999999998</v>
      </c>
    </row>
    <row r="7" spans="1:45" x14ac:dyDescent="0.25">
      <c r="A7" s="53">
        <v>2019</v>
      </c>
      <c r="B7" s="53">
        <v>6</v>
      </c>
      <c r="C7" s="71" t="s">
        <v>708</v>
      </c>
      <c r="D7" t="s">
        <v>709</v>
      </c>
      <c r="E7" s="9">
        <v>12018012</v>
      </c>
      <c r="G7" s="1">
        <v>43476</v>
      </c>
      <c r="H7" t="s">
        <v>926</v>
      </c>
      <c r="K7" t="b">
        <f t="shared" si="1"/>
        <v>0</v>
      </c>
      <c r="L7" s="48">
        <v>1704.88</v>
      </c>
      <c r="M7" s="72">
        <v>1</v>
      </c>
      <c r="N7">
        <v>20</v>
      </c>
      <c r="O7" s="31">
        <f t="shared" si="2"/>
        <v>340.97600000000006</v>
      </c>
      <c r="P7" s="31">
        <f t="shared" si="3"/>
        <v>340.97600000000006</v>
      </c>
      <c r="Q7" s="33">
        <f>L7*M7</f>
        <v>1704.88</v>
      </c>
      <c r="R7" s="29">
        <f t="shared" si="5"/>
        <v>2045.8560000000002</v>
      </c>
      <c r="S7" s="29">
        <f t="shared" si="6"/>
        <v>2045.8560000000002</v>
      </c>
      <c r="T7" s="35">
        <f t="shared" si="7"/>
        <v>43600</v>
      </c>
      <c r="U7" s="27"/>
      <c r="V7" s="27"/>
      <c r="W7" s="58">
        <f t="shared" si="8"/>
        <v>1704.88</v>
      </c>
      <c r="X7" s="31">
        <f t="shared" si="9"/>
        <v>0</v>
      </c>
      <c r="Y7" t="b">
        <f t="shared" si="10"/>
        <v>0</v>
      </c>
      <c r="Z7" s="78">
        <f t="shared" si="0"/>
        <v>1704.88</v>
      </c>
    </row>
    <row r="8" spans="1:45" x14ac:dyDescent="0.25">
      <c r="A8" s="53">
        <v>2019</v>
      </c>
      <c r="B8" s="53">
        <v>7</v>
      </c>
      <c r="C8" s="71" t="s">
        <v>105</v>
      </c>
      <c r="D8" t="s">
        <v>705</v>
      </c>
      <c r="E8" s="9" t="s">
        <v>928</v>
      </c>
      <c r="G8" s="1">
        <v>43476</v>
      </c>
      <c r="H8" t="s">
        <v>927</v>
      </c>
      <c r="K8" t="b">
        <f t="shared" si="1"/>
        <v>0</v>
      </c>
      <c r="L8" s="48">
        <v>46.92</v>
      </c>
      <c r="M8" s="72">
        <v>1</v>
      </c>
      <c r="N8">
        <v>0</v>
      </c>
      <c r="O8" s="31">
        <f t="shared" si="2"/>
        <v>0</v>
      </c>
      <c r="P8" s="31">
        <f t="shared" si="3"/>
        <v>0</v>
      </c>
      <c r="Q8" s="33">
        <f t="shared" si="4"/>
        <v>46.92</v>
      </c>
      <c r="R8" s="29">
        <f t="shared" si="5"/>
        <v>46.92</v>
      </c>
      <c r="S8" s="29">
        <f t="shared" si="6"/>
        <v>46.92</v>
      </c>
      <c r="T8" s="35">
        <f t="shared" si="7"/>
        <v>43600</v>
      </c>
      <c r="U8" s="27"/>
      <c r="V8" s="27">
        <v>20</v>
      </c>
      <c r="W8" s="58">
        <f t="shared" si="8"/>
        <v>46.92</v>
      </c>
      <c r="X8" s="31">
        <f t="shared" si="9"/>
        <v>9.3840000000000003</v>
      </c>
      <c r="Y8" t="b">
        <f t="shared" si="10"/>
        <v>0</v>
      </c>
      <c r="Z8" s="78">
        <f t="shared" si="0"/>
        <v>-46.92</v>
      </c>
    </row>
    <row r="9" spans="1:45" x14ac:dyDescent="0.25">
      <c r="A9" s="53">
        <v>2019</v>
      </c>
      <c r="B9" s="53">
        <v>8</v>
      </c>
      <c r="C9" s="71" t="s">
        <v>105</v>
      </c>
      <c r="D9" t="s">
        <v>705</v>
      </c>
      <c r="E9" s="9" t="s">
        <v>931</v>
      </c>
      <c r="G9" s="1">
        <v>43480</v>
      </c>
      <c r="H9" t="s">
        <v>929</v>
      </c>
      <c r="K9" t="b">
        <f t="shared" si="1"/>
        <v>0</v>
      </c>
      <c r="L9" s="48">
        <v>78.33</v>
      </c>
      <c r="M9" s="72">
        <f>Arbeitszimmer!$B$3</f>
        <v>0.27320378419841473</v>
      </c>
      <c r="N9">
        <v>20</v>
      </c>
      <c r="O9" s="31">
        <f t="shared" si="2"/>
        <v>15.665999999999999</v>
      </c>
      <c r="P9" s="31">
        <f t="shared" si="3"/>
        <v>4.2800104832523651</v>
      </c>
      <c r="Q9" s="33">
        <f t="shared" si="4"/>
        <v>21.400052416261826</v>
      </c>
      <c r="R9" s="29">
        <f t="shared" si="5"/>
        <v>93.995999999999995</v>
      </c>
      <c r="S9" s="29">
        <f t="shared" si="6"/>
        <v>25.680062899514191</v>
      </c>
      <c r="T9" s="35">
        <f t="shared" si="7"/>
        <v>43600</v>
      </c>
      <c r="U9" s="27"/>
      <c r="V9" s="27"/>
      <c r="W9" s="58">
        <f t="shared" si="8"/>
        <v>21.400052416261826</v>
      </c>
      <c r="X9" s="31">
        <f t="shared" si="9"/>
        <v>0</v>
      </c>
      <c r="Y9" t="b">
        <f t="shared" si="10"/>
        <v>0</v>
      </c>
      <c r="Z9" s="78">
        <f t="shared" si="0"/>
        <v>-21.400052416261826</v>
      </c>
    </row>
    <row r="10" spans="1:45" x14ac:dyDescent="0.25">
      <c r="A10" s="53">
        <v>2019</v>
      </c>
      <c r="B10" s="53">
        <v>9</v>
      </c>
      <c r="C10" s="71" t="s">
        <v>708</v>
      </c>
      <c r="D10" t="s">
        <v>709</v>
      </c>
      <c r="E10" s="9" t="s">
        <v>936</v>
      </c>
      <c r="G10" s="1">
        <v>43481</v>
      </c>
      <c r="H10" t="s">
        <v>932</v>
      </c>
      <c r="K10" t="b">
        <f t="shared" si="1"/>
        <v>0</v>
      </c>
      <c r="L10" s="48">
        <f>1805.4/1.2</f>
        <v>1504.5000000000002</v>
      </c>
      <c r="M10" s="72">
        <v>1</v>
      </c>
      <c r="N10">
        <v>20</v>
      </c>
      <c r="O10" s="31">
        <f t="shared" si="2"/>
        <v>300.90000000000003</v>
      </c>
      <c r="P10" s="31">
        <f t="shared" si="3"/>
        <v>300.90000000000003</v>
      </c>
      <c r="Q10" s="33">
        <f t="shared" si="4"/>
        <v>1504.5000000000002</v>
      </c>
      <c r="R10" s="29">
        <f t="shared" si="5"/>
        <v>1805.4000000000003</v>
      </c>
      <c r="S10" s="29">
        <f t="shared" si="6"/>
        <v>1805.4000000000003</v>
      </c>
      <c r="T10" s="35">
        <f t="shared" si="7"/>
        <v>43600</v>
      </c>
      <c r="U10" s="27"/>
      <c r="V10" s="27"/>
      <c r="W10" s="58">
        <f t="shared" si="8"/>
        <v>1504.5000000000002</v>
      </c>
      <c r="X10" s="31">
        <f t="shared" si="9"/>
        <v>0</v>
      </c>
      <c r="Y10" t="b">
        <f t="shared" si="10"/>
        <v>0</v>
      </c>
      <c r="Z10" s="78">
        <f t="shared" si="0"/>
        <v>1504.5000000000002</v>
      </c>
    </row>
    <row r="11" spans="1:45" x14ac:dyDescent="0.25">
      <c r="A11" s="53">
        <v>2019</v>
      </c>
      <c r="B11" s="53">
        <v>10</v>
      </c>
      <c r="C11" s="71" t="s">
        <v>708</v>
      </c>
      <c r="D11" t="s">
        <v>709</v>
      </c>
      <c r="E11" s="9">
        <v>12018011</v>
      </c>
      <c r="G11" s="1">
        <v>43482</v>
      </c>
      <c r="H11" t="s">
        <v>933</v>
      </c>
      <c r="K11" t="b">
        <f t="shared" si="1"/>
        <v>0</v>
      </c>
      <c r="L11" s="48">
        <f>2035.92/1.2</f>
        <v>1696.6000000000001</v>
      </c>
      <c r="M11" s="72">
        <v>1</v>
      </c>
      <c r="N11">
        <v>20</v>
      </c>
      <c r="O11" s="31">
        <f t="shared" si="2"/>
        <v>339.32</v>
      </c>
      <c r="P11" s="31">
        <f t="shared" si="3"/>
        <v>339.32</v>
      </c>
      <c r="Q11" s="33">
        <f t="shared" si="4"/>
        <v>1696.6000000000001</v>
      </c>
      <c r="R11" s="29">
        <f t="shared" si="5"/>
        <v>2035.92</v>
      </c>
      <c r="S11" s="29">
        <f t="shared" si="6"/>
        <v>2035.92</v>
      </c>
      <c r="T11" s="35">
        <f t="shared" si="7"/>
        <v>43600</v>
      </c>
      <c r="U11" s="27"/>
      <c r="V11" s="27"/>
      <c r="W11" s="58">
        <f t="shared" si="8"/>
        <v>1696.6000000000001</v>
      </c>
      <c r="X11" s="31">
        <f t="shared" si="9"/>
        <v>0</v>
      </c>
      <c r="Y11" t="b">
        <f t="shared" si="10"/>
        <v>0</v>
      </c>
      <c r="Z11" s="78">
        <f t="shared" si="0"/>
        <v>1696.6000000000001</v>
      </c>
    </row>
    <row r="12" spans="1:45" x14ac:dyDescent="0.25">
      <c r="A12" s="53">
        <v>2019</v>
      </c>
      <c r="B12" s="53">
        <v>11</v>
      </c>
      <c r="C12" s="71" t="s">
        <v>105</v>
      </c>
      <c r="D12" t="s">
        <v>705</v>
      </c>
      <c r="E12" s="9" t="s">
        <v>935</v>
      </c>
      <c r="G12" s="1">
        <v>43482</v>
      </c>
      <c r="H12" t="s">
        <v>934</v>
      </c>
      <c r="K12" t="b">
        <f t="shared" si="1"/>
        <v>0</v>
      </c>
      <c r="L12" s="48">
        <v>235.6</v>
      </c>
      <c r="M12" s="72">
        <v>1</v>
      </c>
      <c r="N12">
        <v>20</v>
      </c>
      <c r="O12" s="31">
        <f t="shared" si="2"/>
        <v>47.12</v>
      </c>
      <c r="P12" s="31">
        <f t="shared" si="3"/>
        <v>47.12</v>
      </c>
      <c r="Q12" s="33">
        <f t="shared" si="4"/>
        <v>235.6</v>
      </c>
      <c r="R12" s="29">
        <f t="shared" si="5"/>
        <v>282.71999999999997</v>
      </c>
      <c r="S12" s="29">
        <f t="shared" si="6"/>
        <v>282.71999999999997</v>
      </c>
      <c r="T12" s="35">
        <f t="shared" si="7"/>
        <v>43600</v>
      </c>
      <c r="U12" s="27"/>
      <c r="V12" s="27"/>
      <c r="W12" s="58">
        <f t="shared" si="8"/>
        <v>235.6</v>
      </c>
      <c r="X12" s="31">
        <f t="shared" si="9"/>
        <v>0</v>
      </c>
      <c r="Y12" t="b">
        <f t="shared" si="10"/>
        <v>0</v>
      </c>
      <c r="Z12" s="78">
        <f t="shared" si="0"/>
        <v>-235.6</v>
      </c>
    </row>
    <row r="13" spans="1:45" x14ac:dyDescent="0.25">
      <c r="A13" s="53">
        <v>2019</v>
      </c>
      <c r="B13" s="53">
        <v>12</v>
      </c>
      <c r="C13" s="71" t="s">
        <v>708</v>
      </c>
      <c r="D13" t="s">
        <v>709</v>
      </c>
      <c r="E13" s="9" t="s">
        <v>939</v>
      </c>
      <c r="G13" s="1">
        <v>43490</v>
      </c>
      <c r="H13" t="s">
        <v>932</v>
      </c>
      <c r="K13" t="b">
        <f t="shared" si="1"/>
        <v>0</v>
      </c>
      <c r="L13" s="48">
        <f>3858.6/1.2</f>
        <v>3215.5</v>
      </c>
      <c r="M13" s="72">
        <v>1</v>
      </c>
      <c r="N13">
        <v>20</v>
      </c>
      <c r="O13" s="31">
        <f t="shared" si="2"/>
        <v>643.1</v>
      </c>
      <c r="P13" s="31">
        <f t="shared" si="3"/>
        <v>643.1</v>
      </c>
      <c r="Q13" s="33">
        <f t="shared" si="4"/>
        <v>3215.5</v>
      </c>
      <c r="R13" s="29">
        <f t="shared" si="5"/>
        <v>3858.6</v>
      </c>
      <c r="S13" s="29">
        <f t="shared" si="6"/>
        <v>3858.6</v>
      </c>
      <c r="T13" s="35">
        <f t="shared" si="7"/>
        <v>43600</v>
      </c>
      <c r="U13" s="27"/>
      <c r="V13" s="27"/>
      <c r="W13" s="58">
        <f t="shared" si="8"/>
        <v>3215.5</v>
      </c>
      <c r="X13" s="31">
        <f t="shared" si="9"/>
        <v>0</v>
      </c>
      <c r="Y13" t="b">
        <f t="shared" si="10"/>
        <v>0</v>
      </c>
      <c r="Z13" s="78">
        <f t="shared" si="0"/>
        <v>3215.5</v>
      </c>
    </row>
    <row r="14" spans="1:45" x14ac:dyDescent="0.25">
      <c r="A14" s="53">
        <v>2019</v>
      </c>
      <c r="B14" s="53">
        <v>13</v>
      </c>
      <c r="C14" s="71" t="s">
        <v>105</v>
      </c>
      <c r="D14" t="s">
        <v>703</v>
      </c>
      <c r="E14" s="9">
        <v>6171691720</v>
      </c>
      <c r="G14" s="1">
        <v>43497</v>
      </c>
      <c r="H14" t="s">
        <v>34</v>
      </c>
      <c r="K14" t="b">
        <f t="shared" si="1"/>
        <v>0</v>
      </c>
      <c r="L14" s="48">
        <f>18/1.2</f>
        <v>15</v>
      </c>
      <c r="M14" s="72">
        <v>1</v>
      </c>
      <c r="N14">
        <v>20</v>
      </c>
      <c r="O14" s="31">
        <f t="shared" si="2"/>
        <v>3</v>
      </c>
      <c r="P14" s="31">
        <f t="shared" si="3"/>
        <v>3</v>
      </c>
      <c r="Q14" s="33">
        <f t="shared" si="4"/>
        <v>15</v>
      </c>
      <c r="R14" s="29">
        <f t="shared" si="5"/>
        <v>18</v>
      </c>
      <c r="S14" s="29">
        <f t="shared" si="6"/>
        <v>18</v>
      </c>
      <c r="T14" s="35">
        <f>voranmeldefrist_vierteljaehrlich(G14)</f>
        <v>43600</v>
      </c>
      <c r="U14" s="27"/>
      <c r="V14" s="27"/>
      <c r="W14" s="58">
        <f>IF(K14=TRUE,Q14/I14,Q14)</f>
        <v>15</v>
      </c>
      <c r="X14" s="31">
        <f t="shared" si="9"/>
        <v>0</v>
      </c>
      <c r="Y14" t="b">
        <f t="shared" si="10"/>
        <v>0</v>
      </c>
      <c r="Z14" s="78">
        <f t="shared" si="0"/>
        <v>-15</v>
      </c>
    </row>
    <row r="15" spans="1:45" x14ac:dyDescent="0.25">
      <c r="A15" s="53">
        <v>2019</v>
      </c>
      <c r="B15" s="53">
        <v>14</v>
      </c>
      <c r="C15" s="71" t="s">
        <v>105</v>
      </c>
      <c r="D15" t="s">
        <v>703</v>
      </c>
      <c r="E15" s="9" t="s">
        <v>940</v>
      </c>
      <c r="G15" s="1">
        <v>43502</v>
      </c>
      <c r="H15" t="s">
        <v>925</v>
      </c>
      <c r="K15" t="b">
        <f t="shared" si="1"/>
        <v>0</v>
      </c>
      <c r="L15" s="48">
        <f>27.82+1.04</f>
        <v>28.86</v>
      </c>
      <c r="M15" s="72">
        <f>2/3</f>
        <v>0.66666666666666663</v>
      </c>
      <c r="N15">
        <v>20</v>
      </c>
      <c r="O15" s="31">
        <f>L15*N15/100</f>
        <v>5.7720000000000002</v>
      </c>
      <c r="P15" s="31">
        <f>M15*O15</f>
        <v>3.8479999999999999</v>
      </c>
      <c r="Q15" s="33">
        <f>L15*M15</f>
        <v>19.239999999999998</v>
      </c>
      <c r="R15" s="29">
        <f>L15+O15</f>
        <v>34.631999999999998</v>
      </c>
      <c r="S15" s="29">
        <f>Q15+P15</f>
        <v>23.087999999999997</v>
      </c>
      <c r="T15" s="35">
        <f>voranmeldefrist_vierteljaehrlich(G15)</f>
        <v>43600</v>
      </c>
      <c r="U15" s="27"/>
      <c r="V15" s="27"/>
      <c r="W15" s="58">
        <f>IF(K15=TRUE,Q15/J15,Q15)</f>
        <v>19.239999999999998</v>
      </c>
      <c r="X15" s="31">
        <f>V15/100*S15</f>
        <v>0</v>
      </c>
      <c r="Y15" t="b">
        <f>IF(AND(V15&gt;0,N15=V15),TRUE,FALSE)</f>
        <v>0</v>
      </c>
      <c r="Z15" s="78">
        <f t="shared" si="0"/>
        <v>-19.239999999999998</v>
      </c>
    </row>
    <row r="16" spans="1:45" x14ac:dyDescent="0.25">
      <c r="A16" s="53">
        <v>2019</v>
      </c>
      <c r="B16" s="53">
        <v>15</v>
      </c>
      <c r="C16" s="71" t="s">
        <v>105</v>
      </c>
      <c r="D16" t="s">
        <v>705</v>
      </c>
      <c r="E16" s="9" t="s">
        <v>942</v>
      </c>
      <c r="G16" s="1">
        <v>43490</v>
      </c>
      <c r="H16" t="s">
        <v>941</v>
      </c>
      <c r="K16" t="b">
        <f t="shared" si="1"/>
        <v>0</v>
      </c>
      <c r="L16" s="48">
        <v>12.42</v>
      </c>
      <c r="M16" s="72">
        <v>1</v>
      </c>
      <c r="N16">
        <v>20</v>
      </c>
      <c r="O16" s="31">
        <f t="shared" si="2"/>
        <v>2.484</v>
      </c>
      <c r="P16" s="31">
        <f t="shared" si="3"/>
        <v>2.484</v>
      </c>
      <c r="Q16" s="33">
        <f t="shared" si="4"/>
        <v>12.42</v>
      </c>
      <c r="R16" s="29">
        <f t="shared" si="5"/>
        <v>14.904</v>
      </c>
      <c r="S16" s="29">
        <f t="shared" si="6"/>
        <v>14.904</v>
      </c>
      <c r="T16" s="35">
        <f t="shared" si="7"/>
        <v>43600</v>
      </c>
      <c r="U16" s="27"/>
      <c r="V16" s="27"/>
      <c r="W16" s="58">
        <f t="shared" si="8"/>
        <v>12.42</v>
      </c>
      <c r="X16" s="31">
        <f t="shared" si="9"/>
        <v>0</v>
      </c>
      <c r="Y16" t="b">
        <f t="shared" si="10"/>
        <v>0</v>
      </c>
      <c r="Z16" s="78">
        <f t="shared" si="0"/>
        <v>-12.42</v>
      </c>
    </row>
    <row r="17" spans="1:27" x14ac:dyDescent="0.25">
      <c r="A17" s="53">
        <v>2019</v>
      </c>
      <c r="B17" s="53">
        <v>16</v>
      </c>
      <c r="C17" s="71" t="s">
        <v>105</v>
      </c>
      <c r="D17" t="s">
        <v>705</v>
      </c>
      <c r="E17" s="9" t="s">
        <v>944</v>
      </c>
      <c r="G17" s="1">
        <v>43497</v>
      </c>
      <c r="H17" t="s">
        <v>943</v>
      </c>
      <c r="K17" t="b">
        <f t="shared" si="1"/>
        <v>0</v>
      </c>
      <c r="L17" s="48">
        <f>(68+48)/1.2</f>
        <v>96.666666666666671</v>
      </c>
      <c r="M17" s="72">
        <v>1</v>
      </c>
      <c r="N17">
        <v>20</v>
      </c>
      <c r="O17" s="31">
        <f t="shared" si="2"/>
        <v>19.333333333333336</v>
      </c>
      <c r="P17" s="31">
        <f t="shared" si="3"/>
        <v>19.333333333333336</v>
      </c>
      <c r="Q17" s="33">
        <f t="shared" si="4"/>
        <v>96.666666666666671</v>
      </c>
      <c r="R17" s="29">
        <f t="shared" si="5"/>
        <v>116</v>
      </c>
      <c r="S17" s="29">
        <f t="shared" si="6"/>
        <v>116</v>
      </c>
      <c r="T17" s="35">
        <f t="shared" si="7"/>
        <v>43600</v>
      </c>
      <c r="U17" s="27"/>
      <c r="V17" s="27"/>
      <c r="W17" s="58">
        <f t="shared" si="8"/>
        <v>96.666666666666671</v>
      </c>
      <c r="X17" s="31">
        <f t="shared" si="9"/>
        <v>0</v>
      </c>
      <c r="Y17" t="b">
        <f t="shared" si="10"/>
        <v>0</v>
      </c>
      <c r="Z17" s="78">
        <f t="shared" si="0"/>
        <v>-96.666666666666671</v>
      </c>
    </row>
    <row r="18" spans="1:27" x14ac:dyDescent="0.25">
      <c r="A18" s="53">
        <v>2019</v>
      </c>
      <c r="B18" s="53">
        <v>17</v>
      </c>
      <c r="C18" s="71" t="s">
        <v>708</v>
      </c>
      <c r="D18" t="s">
        <v>709</v>
      </c>
      <c r="E18" s="9">
        <v>12018013</v>
      </c>
      <c r="G18" s="1">
        <v>43509</v>
      </c>
      <c r="H18" t="s">
        <v>945</v>
      </c>
      <c r="K18" t="b">
        <f t="shared" si="1"/>
        <v>0</v>
      </c>
      <c r="L18" s="48">
        <v>93.75</v>
      </c>
      <c r="M18" s="72">
        <v>1</v>
      </c>
      <c r="N18">
        <v>20</v>
      </c>
      <c r="O18" s="31">
        <f t="shared" si="2"/>
        <v>18.75</v>
      </c>
      <c r="P18" s="31">
        <f t="shared" si="3"/>
        <v>18.75</v>
      </c>
      <c r="Q18" s="33">
        <f t="shared" si="4"/>
        <v>93.75</v>
      </c>
      <c r="R18" s="29">
        <f t="shared" si="5"/>
        <v>112.5</v>
      </c>
      <c r="S18" s="29">
        <f t="shared" si="6"/>
        <v>112.5</v>
      </c>
      <c r="T18" s="35">
        <f t="shared" si="7"/>
        <v>43600</v>
      </c>
      <c r="U18" s="27"/>
      <c r="V18" s="27"/>
      <c r="W18" s="58">
        <f t="shared" si="8"/>
        <v>93.75</v>
      </c>
      <c r="X18" s="31">
        <f t="shared" si="9"/>
        <v>0</v>
      </c>
      <c r="Y18" t="b">
        <f t="shared" si="10"/>
        <v>0</v>
      </c>
      <c r="Z18" s="78">
        <f t="shared" si="0"/>
        <v>93.75</v>
      </c>
      <c r="AA18">
        <v>0</v>
      </c>
    </row>
    <row r="19" spans="1:27" x14ac:dyDescent="0.25">
      <c r="A19" s="53">
        <v>2019</v>
      </c>
      <c r="B19" s="53">
        <v>18</v>
      </c>
      <c r="C19" s="71" t="s">
        <v>105</v>
      </c>
      <c r="D19" t="s">
        <v>705</v>
      </c>
      <c r="E19" s="9" t="s">
        <v>946</v>
      </c>
      <c r="G19" s="1">
        <v>43509</v>
      </c>
      <c r="H19" t="s">
        <v>927</v>
      </c>
      <c r="K19" t="b">
        <f t="shared" si="1"/>
        <v>0</v>
      </c>
      <c r="L19" s="48">
        <v>46.92</v>
      </c>
      <c r="M19" s="72">
        <v>1</v>
      </c>
      <c r="N19">
        <v>0</v>
      </c>
      <c r="O19" s="31">
        <f>L19*N19/100</f>
        <v>0</v>
      </c>
      <c r="P19" s="31">
        <f>M19*O19</f>
        <v>0</v>
      </c>
      <c r="Q19" s="33">
        <f>L19*M19</f>
        <v>46.92</v>
      </c>
      <c r="R19" s="29">
        <f>L19+O19</f>
        <v>46.92</v>
      </c>
      <c r="S19" s="29">
        <f>Q19+P19</f>
        <v>46.92</v>
      </c>
      <c r="T19" s="35">
        <f>voranmeldefrist_vierteljaehrlich(G19)</f>
        <v>43600</v>
      </c>
      <c r="U19" s="27"/>
      <c r="V19" s="27">
        <v>20</v>
      </c>
      <c r="W19" s="58">
        <f>IF(K19=TRUE,Q19/J19,Q19)</f>
        <v>46.92</v>
      </c>
      <c r="X19" s="31">
        <f>V19/100*S19</f>
        <v>9.3840000000000003</v>
      </c>
      <c r="Y19" t="b">
        <f>IF(AND(V19&gt;0,N19=V19),TRUE,FALSE)</f>
        <v>0</v>
      </c>
      <c r="Z19" s="78">
        <f t="shared" si="0"/>
        <v>-46.92</v>
      </c>
    </row>
    <row r="20" spans="1:27" x14ac:dyDescent="0.25">
      <c r="A20" s="53">
        <v>2019</v>
      </c>
      <c r="B20" s="53">
        <v>19</v>
      </c>
      <c r="C20" s="71" t="s">
        <v>105</v>
      </c>
      <c r="D20" t="s">
        <v>705</v>
      </c>
      <c r="E20" s="9" t="s">
        <v>947</v>
      </c>
      <c r="G20" s="1">
        <v>43511</v>
      </c>
      <c r="H20" t="s">
        <v>929</v>
      </c>
      <c r="K20" t="b">
        <f t="shared" si="1"/>
        <v>0</v>
      </c>
      <c r="L20" s="48">
        <v>78.33</v>
      </c>
      <c r="M20" s="72">
        <f>Arbeitszimmer!$B$3</f>
        <v>0.27320378419841473</v>
      </c>
      <c r="N20">
        <v>20</v>
      </c>
      <c r="O20" s="31">
        <f>L20*N20/100</f>
        <v>15.665999999999999</v>
      </c>
      <c r="P20" s="31">
        <f>M20*O20</f>
        <v>4.2800104832523651</v>
      </c>
      <c r="Q20" s="33">
        <f>L20*M20</f>
        <v>21.400052416261826</v>
      </c>
      <c r="R20" s="29">
        <f>L20+O20</f>
        <v>93.995999999999995</v>
      </c>
      <c r="S20" s="29">
        <f>Q20+P20</f>
        <v>25.680062899514191</v>
      </c>
      <c r="T20" s="35">
        <f>voranmeldefrist_vierteljaehrlich(G20)</f>
        <v>43600</v>
      </c>
      <c r="U20" s="27"/>
      <c r="V20" s="27"/>
      <c r="W20" s="58">
        <f>IF(K20=TRUE,Q20/J20,Q20)</f>
        <v>21.400052416261826</v>
      </c>
      <c r="X20" s="31">
        <f>V20/100*S20</f>
        <v>0</v>
      </c>
      <c r="Y20" t="b">
        <f>IF(AND(V20&gt;0,N20=V20),TRUE,FALSE)</f>
        <v>0</v>
      </c>
      <c r="Z20" s="78">
        <f t="shared" si="0"/>
        <v>-21.400052416261826</v>
      </c>
    </row>
    <row r="21" spans="1:27" x14ac:dyDescent="0.25">
      <c r="A21" s="53">
        <v>2019</v>
      </c>
      <c r="B21" s="53">
        <v>20</v>
      </c>
      <c r="C21" s="71" t="s">
        <v>105</v>
      </c>
      <c r="D21" t="s">
        <v>704</v>
      </c>
      <c r="E21" s="131" t="s">
        <v>949</v>
      </c>
      <c r="G21" s="1">
        <v>43518</v>
      </c>
      <c r="H21" t="s">
        <v>948</v>
      </c>
      <c r="K21" t="b">
        <f t="shared" si="1"/>
        <v>0</v>
      </c>
      <c r="L21" s="48">
        <v>16.2</v>
      </c>
      <c r="M21" s="72">
        <v>1</v>
      </c>
      <c r="N21">
        <v>0</v>
      </c>
      <c r="O21" s="31">
        <f t="shared" si="2"/>
        <v>0</v>
      </c>
      <c r="P21" s="31">
        <f t="shared" si="3"/>
        <v>0</v>
      </c>
      <c r="Q21" s="33">
        <f t="shared" si="4"/>
        <v>16.2</v>
      </c>
      <c r="R21" s="29">
        <f t="shared" si="5"/>
        <v>16.2</v>
      </c>
      <c r="S21" s="29">
        <f t="shared" si="6"/>
        <v>16.2</v>
      </c>
      <c r="T21" s="35">
        <f t="shared" si="7"/>
        <v>43600</v>
      </c>
      <c r="U21" s="27"/>
      <c r="V21" s="27"/>
      <c r="W21" s="58">
        <f t="shared" si="8"/>
        <v>16.2</v>
      </c>
      <c r="X21" s="31">
        <f t="shared" si="9"/>
        <v>0</v>
      </c>
      <c r="Y21" t="b">
        <f t="shared" si="10"/>
        <v>0</v>
      </c>
      <c r="Z21" s="78">
        <f t="shared" si="0"/>
        <v>-16.2</v>
      </c>
    </row>
    <row r="22" spans="1:27" x14ac:dyDescent="0.25">
      <c r="A22" s="53">
        <v>2019</v>
      </c>
      <c r="B22" s="53">
        <v>21</v>
      </c>
      <c r="C22" s="71" t="s">
        <v>105</v>
      </c>
      <c r="D22" t="s">
        <v>691</v>
      </c>
      <c r="E22" s="9" t="s">
        <v>950</v>
      </c>
      <c r="G22" s="1">
        <v>43490</v>
      </c>
      <c r="H22" t="s">
        <v>951</v>
      </c>
      <c r="K22" t="b">
        <f t="shared" si="1"/>
        <v>0</v>
      </c>
      <c r="L22" s="48">
        <v>763.44</v>
      </c>
      <c r="M22" s="72">
        <f>Arbeitszimmer!$B$3</f>
        <v>0.27320378419841473</v>
      </c>
      <c r="N22">
        <v>10</v>
      </c>
      <c r="O22" s="31">
        <f t="shared" si="2"/>
        <v>76.344000000000008</v>
      </c>
      <c r="P22" s="31">
        <f t="shared" si="3"/>
        <v>20.857469700843776</v>
      </c>
      <c r="Q22" s="33">
        <f t="shared" si="4"/>
        <v>208.57469700843777</v>
      </c>
      <c r="R22" s="29">
        <f t="shared" si="5"/>
        <v>839.78400000000011</v>
      </c>
      <c r="S22" s="29">
        <f t="shared" si="6"/>
        <v>229.43216670928155</v>
      </c>
      <c r="T22" s="35">
        <f t="shared" si="7"/>
        <v>43600</v>
      </c>
      <c r="U22" s="27"/>
      <c r="V22" s="27"/>
      <c r="W22" s="58">
        <f t="shared" si="8"/>
        <v>208.57469700843777</v>
      </c>
      <c r="X22" s="31">
        <f t="shared" si="9"/>
        <v>0</v>
      </c>
      <c r="Y22" t="b">
        <f t="shared" si="10"/>
        <v>0</v>
      </c>
      <c r="Z22" s="78">
        <f t="shared" si="0"/>
        <v>-208.57469700843777</v>
      </c>
    </row>
    <row r="23" spans="1:27" x14ac:dyDescent="0.25">
      <c r="A23" s="53">
        <v>2019</v>
      </c>
      <c r="B23" s="53">
        <v>22</v>
      </c>
      <c r="C23" s="71" t="s">
        <v>105</v>
      </c>
      <c r="D23" t="s">
        <v>691</v>
      </c>
      <c r="E23" s="9" t="s">
        <v>950</v>
      </c>
      <c r="G23" s="1">
        <v>43521</v>
      </c>
      <c r="H23" t="s">
        <v>951</v>
      </c>
      <c r="K23" t="b">
        <f t="shared" si="1"/>
        <v>0</v>
      </c>
      <c r="L23" s="48">
        <v>763.44</v>
      </c>
      <c r="M23" s="72">
        <f>Arbeitszimmer!$B$3</f>
        <v>0.27320378419841473</v>
      </c>
      <c r="N23">
        <v>10</v>
      </c>
      <c r="O23" s="31">
        <f>L23*N23/100</f>
        <v>76.344000000000008</v>
      </c>
      <c r="P23" s="31">
        <f>M23*O23</f>
        <v>20.857469700843776</v>
      </c>
      <c r="Q23" s="33">
        <f>L23*M23</f>
        <v>208.57469700843777</v>
      </c>
      <c r="R23" s="29">
        <f>L23+O23</f>
        <v>839.78400000000011</v>
      </c>
      <c r="S23" s="29">
        <f>Q23+P23</f>
        <v>229.43216670928155</v>
      </c>
      <c r="T23" s="35">
        <f t="shared" si="7"/>
        <v>43600</v>
      </c>
      <c r="U23" s="27"/>
      <c r="V23" s="27"/>
      <c r="W23" s="58">
        <f t="shared" si="8"/>
        <v>208.57469700843777</v>
      </c>
      <c r="X23" s="31">
        <f t="shared" si="9"/>
        <v>0</v>
      </c>
      <c r="Y23" t="b">
        <f t="shared" si="10"/>
        <v>0</v>
      </c>
      <c r="Z23" s="78">
        <f t="shared" si="0"/>
        <v>-208.57469700843777</v>
      </c>
    </row>
    <row r="24" spans="1:27" x14ac:dyDescent="0.25">
      <c r="A24" s="53">
        <v>2019</v>
      </c>
      <c r="B24" s="53">
        <v>23</v>
      </c>
      <c r="C24" s="71" t="s">
        <v>105</v>
      </c>
      <c r="D24" t="s">
        <v>695</v>
      </c>
      <c r="E24" s="9">
        <v>11561270283</v>
      </c>
      <c r="G24" s="1">
        <v>43522</v>
      </c>
      <c r="H24" t="s">
        <v>952</v>
      </c>
      <c r="K24" t="b">
        <f t="shared" si="1"/>
        <v>0</v>
      </c>
      <c r="L24" s="48">
        <v>4752.0600000000004</v>
      </c>
      <c r="M24" s="72">
        <v>1</v>
      </c>
      <c r="N24">
        <v>0</v>
      </c>
      <c r="O24" s="31">
        <f t="shared" si="2"/>
        <v>0</v>
      </c>
      <c r="P24" s="31">
        <f t="shared" si="3"/>
        <v>0</v>
      </c>
      <c r="Q24" s="33">
        <f t="shared" si="4"/>
        <v>4752.0600000000004</v>
      </c>
      <c r="R24" s="29">
        <f t="shared" si="5"/>
        <v>4752.0600000000004</v>
      </c>
      <c r="S24" s="29">
        <f t="shared" si="6"/>
        <v>4752.0600000000004</v>
      </c>
      <c r="T24" s="35">
        <f t="shared" si="7"/>
        <v>43600</v>
      </c>
      <c r="U24" s="27"/>
      <c r="V24" s="27"/>
      <c r="W24" s="58">
        <f t="shared" si="8"/>
        <v>4752.0600000000004</v>
      </c>
      <c r="X24" s="31">
        <f t="shared" si="9"/>
        <v>0</v>
      </c>
      <c r="Y24" t="b">
        <f t="shared" si="10"/>
        <v>0</v>
      </c>
      <c r="Z24" s="78">
        <f t="shared" si="0"/>
        <v>-4752.0600000000004</v>
      </c>
    </row>
    <row r="25" spans="1:27" x14ac:dyDescent="0.25">
      <c r="A25" s="53">
        <v>2019</v>
      </c>
      <c r="B25" s="53">
        <v>24</v>
      </c>
      <c r="C25" s="71" t="s">
        <v>105</v>
      </c>
      <c r="D25" t="s">
        <v>705</v>
      </c>
      <c r="E25" s="9" t="s">
        <v>954</v>
      </c>
      <c r="G25" s="1">
        <v>43528</v>
      </c>
      <c r="H25" t="s">
        <v>953</v>
      </c>
      <c r="K25" t="b">
        <f t="shared" si="1"/>
        <v>0</v>
      </c>
      <c r="L25" s="48">
        <v>149.16999999999999</v>
      </c>
      <c r="M25" s="72">
        <f>Arbeitszimmer!$B$3</f>
        <v>0.27320378419841473</v>
      </c>
      <c r="N25">
        <v>20</v>
      </c>
      <c r="O25" s="31">
        <f t="shared" si="2"/>
        <v>29.833999999999996</v>
      </c>
      <c r="P25" s="31">
        <f t="shared" si="3"/>
        <v>8.1507616977755042</v>
      </c>
      <c r="Q25" s="33">
        <f t="shared" si="4"/>
        <v>40.753808488877524</v>
      </c>
      <c r="R25" s="29">
        <f t="shared" si="5"/>
        <v>179.00399999999999</v>
      </c>
      <c r="S25" s="29">
        <f t="shared" si="6"/>
        <v>48.904570186653032</v>
      </c>
      <c r="T25" s="35">
        <f t="shared" si="7"/>
        <v>43600</v>
      </c>
      <c r="U25" s="27"/>
      <c r="V25" s="27"/>
      <c r="W25" s="58">
        <f t="shared" si="8"/>
        <v>40.753808488877524</v>
      </c>
      <c r="X25" s="31">
        <f t="shared" si="9"/>
        <v>0</v>
      </c>
      <c r="Y25" t="b">
        <f t="shared" si="10"/>
        <v>0</v>
      </c>
      <c r="Z25" s="78">
        <f t="shared" si="0"/>
        <v>-40.753808488877524</v>
      </c>
    </row>
    <row r="26" spans="1:27" x14ac:dyDescent="0.25">
      <c r="A26" s="53">
        <v>2019</v>
      </c>
      <c r="B26" s="53">
        <v>25</v>
      </c>
      <c r="C26" s="71" t="s">
        <v>105</v>
      </c>
      <c r="D26" t="s">
        <v>689</v>
      </c>
      <c r="E26" s="131" t="s">
        <v>956</v>
      </c>
      <c r="G26" s="1">
        <v>43523</v>
      </c>
      <c r="H26" t="s">
        <v>955</v>
      </c>
      <c r="K26" t="b">
        <f t="shared" si="1"/>
        <v>0</v>
      </c>
      <c r="L26" s="48">
        <v>21</v>
      </c>
      <c r="M26" s="72">
        <v>1</v>
      </c>
      <c r="N26">
        <v>0</v>
      </c>
      <c r="O26" s="31">
        <f t="shared" si="2"/>
        <v>0</v>
      </c>
      <c r="P26" s="31">
        <f t="shared" si="3"/>
        <v>0</v>
      </c>
      <c r="Q26" s="33">
        <f t="shared" si="4"/>
        <v>21</v>
      </c>
      <c r="R26" s="29">
        <f t="shared" si="5"/>
        <v>21</v>
      </c>
      <c r="S26" s="29">
        <f t="shared" si="6"/>
        <v>21</v>
      </c>
      <c r="T26" s="35">
        <f t="shared" si="7"/>
        <v>43600</v>
      </c>
      <c r="U26" s="27"/>
      <c r="V26" s="27"/>
      <c r="W26" s="58">
        <f t="shared" si="8"/>
        <v>21</v>
      </c>
      <c r="X26" s="31">
        <f t="shared" si="9"/>
        <v>0</v>
      </c>
      <c r="Y26" t="b">
        <f t="shared" si="10"/>
        <v>0</v>
      </c>
      <c r="Z26" s="78">
        <f t="shared" si="0"/>
        <v>-21</v>
      </c>
    </row>
    <row r="27" spans="1:27" x14ac:dyDescent="0.25">
      <c r="A27" s="53">
        <v>2019</v>
      </c>
      <c r="B27" s="53">
        <v>26</v>
      </c>
      <c r="C27" s="71" t="s">
        <v>105</v>
      </c>
      <c r="D27" t="s">
        <v>683</v>
      </c>
      <c r="E27" s="9" t="s">
        <v>957</v>
      </c>
      <c r="G27" s="1">
        <v>43528</v>
      </c>
      <c r="H27" t="s">
        <v>979</v>
      </c>
      <c r="J27" s="76" t="s">
        <v>958</v>
      </c>
      <c r="K27" t="b">
        <f t="shared" si="1"/>
        <v>0</v>
      </c>
      <c r="L27" s="48">
        <v>50.34</v>
      </c>
      <c r="M27" s="72">
        <v>1</v>
      </c>
      <c r="N27">
        <v>20</v>
      </c>
      <c r="O27" s="31">
        <f t="shared" si="2"/>
        <v>10.068000000000001</v>
      </c>
      <c r="P27" s="31">
        <f t="shared" si="3"/>
        <v>10.068000000000001</v>
      </c>
      <c r="Q27" s="33">
        <f t="shared" si="4"/>
        <v>50.34</v>
      </c>
      <c r="R27" s="29">
        <f t="shared" si="5"/>
        <v>60.408000000000001</v>
      </c>
      <c r="S27" s="29">
        <f t="shared" si="6"/>
        <v>60.408000000000001</v>
      </c>
      <c r="T27" s="35">
        <f t="shared" si="7"/>
        <v>43600</v>
      </c>
      <c r="U27" s="27"/>
      <c r="V27" s="27"/>
      <c r="W27" s="58">
        <f t="shared" si="8"/>
        <v>50.34</v>
      </c>
      <c r="X27" s="31">
        <f t="shared" si="9"/>
        <v>0</v>
      </c>
      <c r="Y27" t="b">
        <f t="shared" si="10"/>
        <v>0</v>
      </c>
      <c r="Z27" s="78">
        <f t="shared" si="0"/>
        <v>-50.34</v>
      </c>
    </row>
    <row r="28" spans="1:27" x14ac:dyDescent="0.25">
      <c r="A28" s="53">
        <v>2019</v>
      </c>
      <c r="B28" s="53">
        <v>27</v>
      </c>
      <c r="C28" s="71" t="s">
        <v>105</v>
      </c>
      <c r="D28" t="s">
        <v>703</v>
      </c>
      <c r="E28" s="9" t="s">
        <v>959</v>
      </c>
      <c r="G28" s="1">
        <v>43529</v>
      </c>
      <c r="H28" t="s">
        <v>34</v>
      </c>
      <c r="K28" t="b">
        <f t="shared" si="1"/>
        <v>0</v>
      </c>
      <c r="L28" s="48">
        <f>18/1.2</f>
        <v>15</v>
      </c>
      <c r="M28" s="72">
        <v>1</v>
      </c>
      <c r="N28">
        <v>20</v>
      </c>
      <c r="O28" s="31">
        <f t="shared" ref="O28:O33" si="11">L28*N28/100</f>
        <v>3</v>
      </c>
      <c r="P28" s="31">
        <f t="shared" ref="P28:P33" si="12">M28*O28</f>
        <v>3</v>
      </c>
      <c r="Q28" s="33">
        <f t="shared" ref="Q28:Q33" si="13">L28*M28</f>
        <v>15</v>
      </c>
      <c r="R28" s="29">
        <f t="shared" ref="R28:R33" si="14">L28+O28</f>
        <v>18</v>
      </c>
      <c r="S28" s="29">
        <f t="shared" ref="S28:S33" si="15">Q28+P28</f>
        <v>18</v>
      </c>
      <c r="T28" s="35">
        <f t="shared" ref="T28:T59" si="16">voranmeldefrist_vierteljaehrlich(G28)</f>
        <v>43600</v>
      </c>
      <c r="U28" s="27"/>
      <c r="V28" s="27"/>
      <c r="W28" s="58">
        <f>IF(K28=TRUE,Q28/I28,Q28)</f>
        <v>15</v>
      </c>
      <c r="X28" s="31">
        <f t="shared" ref="X28:X33" si="17">V28/100*S28</f>
        <v>0</v>
      </c>
      <c r="Y28" t="b">
        <f t="shared" ref="Y28:Y33" si="18">IF(AND(V28&gt;0,N28=V28),TRUE,FALSE)</f>
        <v>0</v>
      </c>
      <c r="Z28" s="78">
        <f t="shared" si="0"/>
        <v>-15</v>
      </c>
    </row>
    <row r="29" spans="1:27" x14ac:dyDescent="0.25">
      <c r="A29" s="53">
        <v>2019</v>
      </c>
      <c r="B29" s="53">
        <v>28</v>
      </c>
      <c r="C29" s="71" t="s">
        <v>105</v>
      </c>
      <c r="D29" t="s">
        <v>705</v>
      </c>
      <c r="E29" s="9" t="s">
        <v>960</v>
      </c>
      <c r="G29" s="1">
        <v>43525</v>
      </c>
      <c r="H29" t="s">
        <v>961</v>
      </c>
      <c r="K29" t="b">
        <f t="shared" si="1"/>
        <v>0</v>
      </c>
      <c r="L29" s="48">
        <v>24.88</v>
      </c>
      <c r="M29" s="72">
        <v>1</v>
      </c>
      <c r="N29">
        <v>0</v>
      </c>
      <c r="O29" s="31">
        <f t="shared" si="11"/>
        <v>0</v>
      </c>
      <c r="P29" s="31">
        <f t="shared" si="12"/>
        <v>0</v>
      </c>
      <c r="Q29" s="33">
        <f t="shared" si="13"/>
        <v>24.88</v>
      </c>
      <c r="R29" s="29">
        <f t="shared" si="14"/>
        <v>24.88</v>
      </c>
      <c r="S29" s="29">
        <f t="shared" si="15"/>
        <v>24.88</v>
      </c>
      <c r="T29" s="35">
        <f t="shared" si="16"/>
        <v>43600</v>
      </c>
      <c r="U29" s="27"/>
      <c r="V29" s="27">
        <v>20</v>
      </c>
      <c r="W29" s="58">
        <f>IF(K29=TRUE,Q29/I29,Q29)</f>
        <v>24.88</v>
      </c>
      <c r="X29" s="31">
        <f t="shared" si="17"/>
        <v>4.976</v>
      </c>
      <c r="Y29" t="b">
        <f t="shared" si="18"/>
        <v>0</v>
      </c>
      <c r="Z29" s="78">
        <f t="shared" si="0"/>
        <v>-24.88</v>
      </c>
    </row>
    <row r="30" spans="1:27" x14ac:dyDescent="0.25">
      <c r="A30" s="53">
        <v>2019</v>
      </c>
      <c r="B30" s="53">
        <v>29</v>
      </c>
      <c r="C30" s="71" t="s">
        <v>105</v>
      </c>
      <c r="D30" t="s">
        <v>689</v>
      </c>
      <c r="E30" s="9" t="s">
        <v>968</v>
      </c>
      <c r="G30" s="1">
        <v>43530</v>
      </c>
      <c r="H30" t="s">
        <v>962</v>
      </c>
      <c r="K30" t="b">
        <f t="shared" si="1"/>
        <v>0</v>
      </c>
      <c r="L30" s="48">
        <f>365-33.18</f>
        <v>331.82</v>
      </c>
      <c r="M30" s="72">
        <v>1</v>
      </c>
      <c r="N30">
        <v>10</v>
      </c>
      <c r="O30" s="31">
        <f t="shared" si="11"/>
        <v>33.181999999999995</v>
      </c>
      <c r="P30" s="31">
        <f t="shared" si="12"/>
        <v>33.181999999999995</v>
      </c>
      <c r="Q30" s="33">
        <f t="shared" si="13"/>
        <v>331.82</v>
      </c>
      <c r="R30" s="29">
        <f t="shared" si="14"/>
        <v>365.00200000000001</v>
      </c>
      <c r="S30" s="29">
        <f t="shared" si="15"/>
        <v>365.00200000000001</v>
      </c>
      <c r="T30" s="35">
        <f t="shared" si="16"/>
        <v>43600</v>
      </c>
      <c r="U30" s="27"/>
      <c r="V30" s="27"/>
      <c r="W30" s="58">
        <f>IF(K30=TRUE,Q30/I30,Q30)</f>
        <v>331.82</v>
      </c>
      <c r="X30" s="31">
        <f t="shared" si="17"/>
        <v>0</v>
      </c>
      <c r="Y30" t="b">
        <f t="shared" si="18"/>
        <v>0</v>
      </c>
      <c r="Z30" s="78">
        <f t="shared" si="0"/>
        <v>-331.82</v>
      </c>
    </row>
    <row r="31" spans="1:27" x14ac:dyDescent="0.25">
      <c r="A31" s="53">
        <v>2019</v>
      </c>
      <c r="B31" s="53">
        <v>30</v>
      </c>
      <c r="C31" s="71" t="s">
        <v>105</v>
      </c>
      <c r="D31" t="s">
        <v>703</v>
      </c>
      <c r="E31" s="9" t="s">
        <v>963</v>
      </c>
      <c r="G31" s="1">
        <v>43531</v>
      </c>
      <c r="H31" t="s">
        <v>925</v>
      </c>
      <c r="K31" t="b">
        <f t="shared" si="1"/>
        <v>0</v>
      </c>
      <c r="L31" s="48">
        <f>27.82+1.04</f>
        <v>28.86</v>
      </c>
      <c r="M31" s="72">
        <f>2/3</f>
        <v>0.66666666666666663</v>
      </c>
      <c r="N31">
        <v>20</v>
      </c>
      <c r="O31" s="31">
        <f t="shared" si="11"/>
        <v>5.7720000000000002</v>
      </c>
      <c r="P31" s="31">
        <f t="shared" si="12"/>
        <v>3.8479999999999999</v>
      </c>
      <c r="Q31" s="33">
        <f t="shared" si="13"/>
        <v>19.239999999999998</v>
      </c>
      <c r="R31" s="29">
        <f t="shared" si="14"/>
        <v>34.631999999999998</v>
      </c>
      <c r="S31" s="29">
        <f t="shared" si="15"/>
        <v>23.087999999999997</v>
      </c>
      <c r="T31" s="35">
        <f t="shared" si="16"/>
        <v>43600</v>
      </c>
      <c r="U31" s="27"/>
      <c r="V31" s="27"/>
      <c r="W31" s="58">
        <f>IF(K31=TRUE,Q31/J31,Q31)</f>
        <v>19.239999999999998</v>
      </c>
      <c r="X31" s="31">
        <f t="shared" si="17"/>
        <v>0</v>
      </c>
      <c r="Y31" t="b">
        <f t="shared" si="18"/>
        <v>0</v>
      </c>
      <c r="Z31" s="78">
        <f t="shared" si="0"/>
        <v>-19.239999999999998</v>
      </c>
    </row>
    <row r="32" spans="1:27" x14ac:dyDescent="0.25">
      <c r="A32" s="53">
        <v>2019</v>
      </c>
      <c r="B32" s="53">
        <v>31</v>
      </c>
      <c r="C32" s="71" t="s">
        <v>105</v>
      </c>
      <c r="D32" t="s">
        <v>683</v>
      </c>
      <c r="E32" s="9" t="s">
        <v>964</v>
      </c>
      <c r="G32" s="1">
        <v>43535</v>
      </c>
      <c r="H32" t="s">
        <v>977</v>
      </c>
      <c r="J32" s="76" t="s">
        <v>958</v>
      </c>
      <c r="K32" t="b">
        <f t="shared" si="1"/>
        <v>0</v>
      </c>
      <c r="L32" s="48">
        <v>373.24</v>
      </c>
      <c r="M32" s="72">
        <v>1</v>
      </c>
      <c r="N32">
        <v>20</v>
      </c>
      <c r="O32" s="31">
        <f t="shared" si="11"/>
        <v>74.647999999999996</v>
      </c>
      <c r="P32" s="31">
        <f t="shared" si="12"/>
        <v>74.647999999999996</v>
      </c>
      <c r="Q32" s="33">
        <f t="shared" si="13"/>
        <v>373.24</v>
      </c>
      <c r="R32" s="29">
        <f t="shared" si="14"/>
        <v>447.88800000000003</v>
      </c>
      <c r="S32" s="29">
        <f t="shared" si="15"/>
        <v>447.88800000000003</v>
      </c>
      <c r="T32" s="35">
        <f t="shared" si="16"/>
        <v>43600</v>
      </c>
      <c r="U32" s="27"/>
      <c r="V32" s="27"/>
      <c r="W32" s="58">
        <f>IF(K32=TRUE,Q32/J32,Q32)</f>
        <v>373.24</v>
      </c>
      <c r="X32" s="31">
        <f t="shared" si="17"/>
        <v>0</v>
      </c>
      <c r="Y32" t="b">
        <f t="shared" si="18"/>
        <v>0</v>
      </c>
      <c r="Z32" s="78">
        <f t="shared" si="0"/>
        <v>-373.24</v>
      </c>
    </row>
    <row r="33" spans="1:26" x14ac:dyDescent="0.25">
      <c r="A33" s="53">
        <v>2019</v>
      </c>
      <c r="B33" s="53">
        <v>32</v>
      </c>
      <c r="C33" s="71" t="s">
        <v>105</v>
      </c>
      <c r="D33" t="s">
        <v>705</v>
      </c>
      <c r="E33" s="9" t="s">
        <v>965</v>
      </c>
      <c r="G33" s="1">
        <v>43535</v>
      </c>
      <c r="H33" t="s">
        <v>927</v>
      </c>
      <c r="K33" t="b">
        <f t="shared" si="1"/>
        <v>0</v>
      </c>
      <c r="L33" s="48">
        <v>46.92</v>
      </c>
      <c r="M33" s="72">
        <v>1</v>
      </c>
      <c r="N33">
        <v>0</v>
      </c>
      <c r="O33" s="31">
        <f t="shared" si="11"/>
        <v>0</v>
      </c>
      <c r="P33" s="31">
        <f t="shared" si="12"/>
        <v>0</v>
      </c>
      <c r="Q33" s="33">
        <f t="shared" si="13"/>
        <v>46.92</v>
      </c>
      <c r="R33" s="29">
        <f t="shared" si="14"/>
        <v>46.92</v>
      </c>
      <c r="S33" s="29">
        <f t="shared" si="15"/>
        <v>46.92</v>
      </c>
      <c r="T33" s="35">
        <f t="shared" si="16"/>
        <v>43600</v>
      </c>
      <c r="U33" s="27"/>
      <c r="V33" s="27">
        <v>20</v>
      </c>
      <c r="W33" s="58">
        <f>IF(K33=TRUE,Q33/J33,Q33)</f>
        <v>46.92</v>
      </c>
      <c r="X33" s="31">
        <f t="shared" si="17"/>
        <v>9.3840000000000003</v>
      </c>
      <c r="Y33" t="b">
        <f t="shared" si="18"/>
        <v>0</v>
      </c>
      <c r="Z33" s="78">
        <f t="shared" si="0"/>
        <v>-46.92</v>
      </c>
    </row>
    <row r="34" spans="1:26" x14ac:dyDescent="0.25">
      <c r="A34" s="53">
        <v>2019</v>
      </c>
      <c r="B34" s="53">
        <v>33</v>
      </c>
      <c r="C34" s="71" t="s">
        <v>105</v>
      </c>
      <c r="D34" t="s">
        <v>683</v>
      </c>
      <c r="E34" s="9" t="s">
        <v>966</v>
      </c>
      <c r="G34" s="1">
        <v>43539</v>
      </c>
      <c r="H34" t="s">
        <v>978</v>
      </c>
      <c r="J34" s="76" t="s">
        <v>958</v>
      </c>
      <c r="K34" t="b">
        <f t="shared" si="1"/>
        <v>0</v>
      </c>
      <c r="L34" s="48">
        <v>24.99</v>
      </c>
      <c r="M34" s="72">
        <v>1</v>
      </c>
      <c r="N34">
        <v>20</v>
      </c>
      <c r="O34" s="31">
        <f t="shared" ref="O34:O41" si="19">L34*N34/100</f>
        <v>4.9979999999999993</v>
      </c>
      <c r="P34" s="31">
        <f t="shared" ref="P34:P41" si="20">M34*O34</f>
        <v>4.9979999999999993</v>
      </c>
      <c r="Q34" s="33">
        <f t="shared" ref="Q34:Q41" si="21">L34*M34</f>
        <v>24.99</v>
      </c>
      <c r="R34" s="29">
        <f t="shared" ref="R34:R41" si="22">L34+O34</f>
        <v>29.988</v>
      </c>
      <c r="S34" s="29">
        <f t="shared" ref="S34:S41" si="23">Q34+P34</f>
        <v>29.988</v>
      </c>
      <c r="T34" s="35">
        <f t="shared" si="16"/>
        <v>43600</v>
      </c>
      <c r="U34" s="27"/>
      <c r="V34" s="27"/>
      <c r="W34" s="58">
        <f t="shared" ref="W34:W41" si="24">IF(K34=TRUE,Q34/I34,Q34)</f>
        <v>24.99</v>
      </c>
      <c r="X34" s="31">
        <f t="shared" ref="X34:X41" si="25">V34/100*S34</f>
        <v>0</v>
      </c>
      <c r="Y34" t="b">
        <f t="shared" ref="Y34:Y41" si="26">IF(AND(V34&gt;0,N34=V34),TRUE,FALSE)</f>
        <v>0</v>
      </c>
      <c r="Z34" s="78">
        <f t="shared" si="0"/>
        <v>-24.99</v>
      </c>
    </row>
    <row r="35" spans="1:26" x14ac:dyDescent="0.25">
      <c r="A35" s="53">
        <v>2019</v>
      </c>
      <c r="B35" s="53">
        <v>34</v>
      </c>
      <c r="C35" s="71" t="s">
        <v>105</v>
      </c>
      <c r="D35" t="s">
        <v>705</v>
      </c>
      <c r="E35" s="9" t="s">
        <v>967</v>
      </c>
      <c r="G35" s="1">
        <v>43539</v>
      </c>
      <c r="H35" t="s">
        <v>929</v>
      </c>
      <c r="K35" t="b">
        <f t="shared" si="1"/>
        <v>0</v>
      </c>
      <c r="L35" s="48">
        <v>78.33</v>
      </c>
      <c r="M35" s="72">
        <f>Arbeitszimmer!$B$3</f>
        <v>0.27320378419841473</v>
      </c>
      <c r="N35">
        <v>20</v>
      </c>
      <c r="O35" s="31">
        <f t="shared" si="19"/>
        <v>15.665999999999999</v>
      </c>
      <c r="P35" s="31">
        <f t="shared" si="20"/>
        <v>4.2800104832523651</v>
      </c>
      <c r="Q35" s="33">
        <f t="shared" si="21"/>
        <v>21.400052416261826</v>
      </c>
      <c r="R35" s="29">
        <f t="shared" si="22"/>
        <v>93.995999999999995</v>
      </c>
      <c r="S35" s="29">
        <f t="shared" si="23"/>
        <v>25.680062899514191</v>
      </c>
      <c r="T35" s="35">
        <f t="shared" si="16"/>
        <v>43600</v>
      </c>
      <c r="U35" s="27"/>
      <c r="V35" s="27"/>
      <c r="W35" s="58">
        <f>IF(K35=TRUE,Q35/J35,Q35)</f>
        <v>21.400052416261826</v>
      </c>
      <c r="X35" s="31">
        <f t="shared" si="25"/>
        <v>0</v>
      </c>
      <c r="Y35" t="b">
        <f t="shared" si="26"/>
        <v>0</v>
      </c>
      <c r="Z35" s="78">
        <f t="shared" si="0"/>
        <v>-21.400052416261826</v>
      </c>
    </row>
    <row r="36" spans="1:26" x14ac:dyDescent="0.25">
      <c r="A36" s="53">
        <v>2019</v>
      </c>
      <c r="B36" s="53">
        <v>35</v>
      </c>
      <c r="C36" s="71" t="s">
        <v>105</v>
      </c>
      <c r="D36" t="s">
        <v>705</v>
      </c>
      <c r="E36" s="9" t="s">
        <v>969</v>
      </c>
      <c r="G36" s="1">
        <v>43549</v>
      </c>
      <c r="H36" t="s">
        <v>941</v>
      </c>
      <c r="K36" t="b">
        <f t="shared" si="1"/>
        <v>0</v>
      </c>
      <c r="L36" s="48">
        <v>12.42</v>
      </c>
      <c r="M36" s="72">
        <v>1</v>
      </c>
      <c r="N36">
        <v>20</v>
      </c>
      <c r="O36" s="31">
        <f t="shared" si="19"/>
        <v>2.484</v>
      </c>
      <c r="P36" s="31">
        <f t="shared" si="20"/>
        <v>2.484</v>
      </c>
      <c r="Q36" s="33">
        <f t="shared" si="21"/>
        <v>12.42</v>
      </c>
      <c r="R36" s="29">
        <f t="shared" si="22"/>
        <v>14.904</v>
      </c>
      <c r="S36" s="29">
        <f t="shared" si="23"/>
        <v>14.904</v>
      </c>
      <c r="T36" s="35">
        <f t="shared" si="16"/>
        <v>43600</v>
      </c>
      <c r="U36" s="27"/>
      <c r="V36" s="27"/>
      <c r="W36" s="58">
        <f>IF(K36=TRUE,Q36/J36,Q36)</f>
        <v>12.42</v>
      </c>
      <c r="X36" s="31">
        <f t="shared" si="25"/>
        <v>0</v>
      </c>
      <c r="Y36" t="b">
        <f t="shared" si="26"/>
        <v>0</v>
      </c>
      <c r="Z36" s="78">
        <f t="shared" si="0"/>
        <v>-12.42</v>
      </c>
    </row>
    <row r="37" spans="1:26" x14ac:dyDescent="0.25">
      <c r="A37" s="53">
        <v>2019</v>
      </c>
      <c r="B37" s="53">
        <v>36</v>
      </c>
      <c r="C37" s="71" t="s">
        <v>105</v>
      </c>
      <c r="D37" t="s">
        <v>683</v>
      </c>
      <c r="E37" s="9" t="s">
        <v>970</v>
      </c>
      <c r="G37" s="1">
        <v>43549</v>
      </c>
      <c r="H37" t="s">
        <v>971</v>
      </c>
      <c r="J37" s="76" t="s">
        <v>958</v>
      </c>
      <c r="K37" t="b">
        <f t="shared" si="1"/>
        <v>0</v>
      </c>
      <c r="L37" s="48">
        <f>3511.66/1.2</f>
        <v>2926.3833333333332</v>
      </c>
      <c r="M37" s="72">
        <v>1</v>
      </c>
      <c r="N37">
        <v>20</v>
      </c>
      <c r="O37" s="31">
        <f t="shared" si="19"/>
        <v>585.27666666666664</v>
      </c>
      <c r="P37" s="31">
        <f t="shared" si="20"/>
        <v>585.27666666666664</v>
      </c>
      <c r="Q37" s="33">
        <f t="shared" si="21"/>
        <v>2926.3833333333332</v>
      </c>
      <c r="R37" s="29">
        <f t="shared" si="22"/>
        <v>3511.66</v>
      </c>
      <c r="S37" s="29">
        <f t="shared" si="23"/>
        <v>3511.66</v>
      </c>
      <c r="T37" s="35">
        <f t="shared" si="16"/>
        <v>43600</v>
      </c>
      <c r="U37" s="27"/>
      <c r="V37" s="27"/>
      <c r="W37" s="58">
        <f t="shared" si="24"/>
        <v>2926.3833333333332</v>
      </c>
      <c r="X37" s="31">
        <f t="shared" si="25"/>
        <v>0</v>
      </c>
      <c r="Y37" t="b">
        <f t="shared" si="26"/>
        <v>0</v>
      </c>
      <c r="Z37" s="78">
        <f t="shared" si="0"/>
        <v>-2926.3833333333332</v>
      </c>
    </row>
    <row r="38" spans="1:26" x14ac:dyDescent="0.25">
      <c r="A38" s="53">
        <v>2019</v>
      </c>
      <c r="B38" s="53">
        <v>37</v>
      </c>
      <c r="C38" s="71" t="s">
        <v>105</v>
      </c>
      <c r="D38" t="s">
        <v>691</v>
      </c>
      <c r="E38" s="9" t="s">
        <v>950</v>
      </c>
      <c r="G38" s="1">
        <v>43549</v>
      </c>
      <c r="H38" t="s">
        <v>951</v>
      </c>
      <c r="K38" t="b">
        <f t="shared" si="1"/>
        <v>0</v>
      </c>
      <c r="L38" s="48">
        <v>763.44</v>
      </c>
      <c r="M38" s="72">
        <f>Arbeitszimmer!$B$3</f>
        <v>0.27320378419841473</v>
      </c>
      <c r="N38">
        <v>10</v>
      </c>
      <c r="O38" s="31">
        <f t="shared" si="19"/>
        <v>76.344000000000008</v>
      </c>
      <c r="P38" s="31">
        <f t="shared" si="20"/>
        <v>20.857469700843776</v>
      </c>
      <c r="Q38" s="33">
        <f t="shared" si="21"/>
        <v>208.57469700843777</v>
      </c>
      <c r="R38" s="29">
        <f t="shared" si="22"/>
        <v>839.78400000000011</v>
      </c>
      <c r="S38" s="29">
        <f t="shared" si="23"/>
        <v>229.43216670928155</v>
      </c>
      <c r="T38" s="35">
        <f t="shared" si="16"/>
        <v>43600</v>
      </c>
      <c r="U38" s="27"/>
      <c r="V38" s="27"/>
      <c r="W38" s="58">
        <f>IF(K38=TRUE,Q38/J38,Q38)</f>
        <v>208.57469700843777</v>
      </c>
      <c r="X38" s="31">
        <f t="shared" si="25"/>
        <v>0</v>
      </c>
      <c r="Y38" t="b">
        <f t="shared" si="26"/>
        <v>0</v>
      </c>
      <c r="Z38" s="78">
        <f t="shared" si="0"/>
        <v>-208.57469700843777</v>
      </c>
    </row>
    <row r="39" spans="1:26" x14ac:dyDescent="0.25">
      <c r="A39" s="53">
        <v>2019</v>
      </c>
      <c r="B39" s="53">
        <v>38</v>
      </c>
      <c r="C39" s="71" t="s">
        <v>105</v>
      </c>
      <c r="D39" t="s">
        <v>703</v>
      </c>
      <c r="E39" s="9" t="s">
        <v>972</v>
      </c>
      <c r="G39" s="1">
        <v>43556</v>
      </c>
      <c r="H39" t="s">
        <v>34</v>
      </c>
      <c r="K39" t="b">
        <f>(IF(AND(I39&lt;&gt;"",AND(J39="",ABS(Q39)&gt;400)),TRUE,FALSE))</f>
        <v>0</v>
      </c>
      <c r="L39" s="48">
        <v>17.03</v>
      </c>
      <c r="M39" s="72">
        <v>1</v>
      </c>
      <c r="N39">
        <v>20</v>
      </c>
      <c r="O39" s="31">
        <f t="shared" si="19"/>
        <v>3.4060000000000001</v>
      </c>
      <c r="P39" s="31">
        <f t="shared" si="20"/>
        <v>3.4060000000000001</v>
      </c>
      <c r="Q39" s="33">
        <f t="shared" si="21"/>
        <v>17.03</v>
      </c>
      <c r="R39" s="29">
        <f t="shared" si="22"/>
        <v>20.436</v>
      </c>
      <c r="S39" s="29">
        <f t="shared" si="23"/>
        <v>20.436</v>
      </c>
      <c r="T39" s="35">
        <f t="shared" si="16"/>
        <v>43692</v>
      </c>
      <c r="U39" s="27"/>
      <c r="V39" s="27"/>
      <c r="W39" s="58">
        <f>IF(K39=TRUE,Q39/I39,Q39)</f>
        <v>17.03</v>
      </c>
      <c r="X39" s="31">
        <f t="shared" si="25"/>
        <v>0</v>
      </c>
      <c r="Y39" t="b">
        <f t="shared" si="26"/>
        <v>0</v>
      </c>
      <c r="Z39" s="78">
        <f t="shared" si="0"/>
        <v>-17.03</v>
      </c>
    </row>
    <row r="40" spans="1:26" x14ac:dyDescent="0.25">
      <c r="A40" s="53">
        <v>2019</v>
      </c>
      <c r="B40" s="53">
        <v>39</v>
      </c>
      <c r="C40" s="71" t="s">
        <v>105</v>
      </c>
      <c r="D40" t="s">
        <v>689</v>
      </c>
      <c r="E40" s="9" t="s">
        <v>973</v>
      </c>
      <c r="G40" s="1">
        <v>43553</v>
      </c>
      <c r="H40" t="s">
        <v>974</v>
      </c>
      <c r="K40" t="b">
        <f t="shared" si="1"/>
        <v>0</v>
      </c>
      <c r="L40" s="48">
        <v>4.3899999999999997</v>
      </c>
      <c r="M40" s="72">
        <v>1</v>
      </c>
      <c r="N40">
        <v>20</v>
      </c>
      <c r="O40" s="31">
        <f t="shared" si="19"/>
        <v>0.878</v>
      </c>
      <c r="P40" s="31">
        <f t="shared" si="20"/>
        <v>0.878</v>
      </c>
      <c r="Q40" s="33">
        <f t="shared" si="21"/>
        <v>4.3899999999999997</v>
      </c>
      <c r="R40" s="29">
        <f t="shared" si="22"/>
        <v>5.2679999999999998</v>
      </c>
      <c r="S40" s="29">
        <f t="shared" si="23"/>
        <v>5.2679999999999998</v>
      </c>
      <c r="T40" s="35">
        <f t="shared" si="16"/>
        <v>43600</v>
      </c>
      <c r="U40" s="27"/>
      <c r="V40" s="27"/>
      <c r="W40" s="58">
        <f t="shared" si="24"/>
        <v>4.3899999999999997</v>
      </c>
      <c r="X40" s="31">
        <f t="shared" si="25"/>
        <v>0</v>
      </c>
      <c r="Y40" t="b">
        <f t="shared" si="26"/>
        <v>0</v>
      </c>
      <c r="Z40" s="78">
        <f t="shared" si="0"/>
        <v>-4.3899999999999997</v>
      </c>
    </row>
    <row r="41" spans="1:26" x14ac:dyDescent="0.25">
      <c r="A41" s="53">
        <v>2019</v>
      </c>
      <c r="B41" s="53">
        <v>40</v>
      </c>
      <c r="C41" s="71" t="s">
        <v>105</v>
      </c>
      <c r="D41" t="s">
        <v>339</v>
      </c>
      <c r="E41" s="9" t="s">
        <v>976</v>
      </c>
      <c r="G41" s="1">
        <v>43553</v>
      </c>
      <c r="H41" t="s">
        <v>975</v>
      </c>
      <c r="K41" t="b">
        <f t="shared" si="1"/>
        <v>0</v>
      </c>
      <c r="L41" s="48">
        <f>23.18/1.2</f>
        <v>19.316666666666666</v>
      </c>
      <c r="M41" s="72">
        <v>1</v>
      </c>
      <c r="N41">
        <v>20</v>
      </c>
      <c r="O41" s="31">
        <f t="shared" si="19"/>
        <v>3.8633333333333333</v>
      </c>
      <c r="P41" s="31">
        <f t="shared" si="20"/>
        <v>3.8633333333333333</v>
      </c>
      <c r="Q41" s="33">
        <f t="shared" si="21"/>
        <v>19.316666666666666</v>
      </c>
      <c r="R41" s="29">
        <f t="shared" si="22"/>
        <v>23.18</v>
      </c>
      <c r="S41" s="29">
        <f t="shared" si="23"/>
        <v>23.18</v>
      </c>
      <c r="T41" s="35">
        <f t="shared" si="16"/>
        <v>43600</v>
      </c>
      <c r="U41" s="27"/>
      <c r="V41" s="27"/>
      <c r="W41" s="58">
        <f t="shared" si="24"/>
        <v>19.316666666666666</v>
      </c>
      <c r="X41" s="31">
        <f t="shared" si="25"/>
        <v>0</v>
      </c>
      <c r="Y41" t="b">
        <f t="shared" si="26"/>
        <v>0</v>
      </c>
      <c r="Z41" s="78">
        <f t="shared" si="0"/>
        <v>-19.316666666666666</v>
      </c>
    </row>
    <row r="42" spans="1:26" x14ac:dyDescent="0.25">
      <c r="A42" s="53">
        <v>2019</v>
      </c>
      <c r="B42" s="53">
        <v>41</v>
      </c>
      <c r="C42" s="71" t="s">
        <v>105</v>
      </c>
      <c r="D42" t="s">
        <v>683</v>
      </c>
      <c r="E42" s="9" t="s">
        <v>980</v>
      </c>
      <c r="G42" s="1">
        <v>43558</v>
      </c>
      <c r="H42" t="s">
        <v>981</v>
      </c>
      <c r="J42" s="76" t="s">
        <v>958</v>
      </c>
      <c r="K42" t="b">
        <f t="shared" ref="K42:K62" si="27">(IF(AND(I42&lt;&gt;"",AND(J42="",ABS(Q42)&gt;400)),TRUE,FALSE))</f>
        <v>0</v>
      </c>
      <c r="L42" s="48">
        <v>13.42</v>
      </c>
      <c r="M42" s="72">
        <v>1</v>
      </c>
      <c r="N42">
        <v>20</v>
      </c>
      <c r="O42" s="31">
        <f t="shared" ref="O42:O49" si="28">L42*N42/100</f>
        <v>2.6839999999999997</v>
      </c>
      <c r="P42" s="31">
        <f t="shared" ref="P42:P49" si="29">M42*O42</f>
        <v>2.6839999999999997</v>
      </c>
      <c r="Q42" s="33">
        <f t="shared" ref="Q42:Q49" si="30">L42*M42</f>
        <v>13.42</v>
      </c>
      <c r="R42" s="29">
        <f t="shared" ref="R42:R49" si="31">L42+O42</f>
        <v>16.103999999999999</v>
      </c>
      <c r="S42" s="29">
        <f t="shared" ref="S42:S49" si="32">Q42+P42</f>
        <v>16.103999999999999</v>
      </c>
      <c r="T42" s="35">
        <f t="shared" si="16"/>
        <v>43692</v>
      </c>
      <c r="U42" s="27"/>
      <c r="V42" s="27"/>
      <c r="W42" s="58">
        <f>IF(K42=TRUE,Q42/I42,Q42)</f>
        <v>13.42</v>
      </c>
      <c r="X42" s="31">
        <f t="shared" ref="X42:X49" si="33">V42/100*S42</f>
        <v>0</v>
      </c>
      <c r="Y42" t="b">
        <f t="shared" ref="Y42:Y49" si="34">IF(AND(V42&gt;0,N42=V42),TRUE,FALSE)</f>
        <v>0</v>
      </c>
      <c r="Z42" s="78">
        <f t="shared" si="0"/>
        <v>-13.42</v>
      </c>
    </row>
    <row r="43" spans="1:26" x14ac:dyDescent="0.25">
      <c r="A43" s="53">
        <v>2019</v>
      </c>
      <c r="B43" s="53">
        <v>42</v>
      </c>
      <c r="C43" s="71" t="s">
        <v>105</v>
      </c>
      <c r="D43" t="s">
        <v>339</v>
      </c>
      <c r="E43" s="9" t="s">
        <v>968</v>
      </c>
      <c r="G43" s="1">
        <v>43558</v>
      </c>
      <c r="H43" t="s">
        <v>982</v>
      </c>
      <c r="K43" t="b">
        <f t="shared" si="27"/>
        <v>0</v>
      </c>
      <c r="L43" s="48">
        <v>18.989999999999998</v>
      </c>
      <c r="M43" s="72">
        <v>1</v>
      </c>
      <c r="N43">
        <v>0</v>
      </c>
      <c r="O43" s="31">
        <f t="shared" si="28"/>
        <v>0</v>
      </c>
      <c r="P43" s="31">
        <f t="shared" si="29"/>
        <v>0</v>
      </c>
      <c r="Q43" s="33">
        <f t="shared" si="30"/>
        <v>18.989999999999998</v>
      </c>
      <c r="R43" s="29">
        <f t="shared" si="31"/>
        <v>18.989999999999998</v>
      </c>
      <c r="S43" s="29">
        <f t="shared" si="32"/>
        <v>18.989999999999998</v>
      </c>
      <c r="T43" s="35">
        <f t="shared" si="16"/>
        <v>43692</v>
      </c>
      <c r="U43" s="27"/>
      <c r="V43" s="27"/>
      <c r="W43" s="58">
        <f>IF(K43=TRUE,Q43/I43,Q43)</f>
        <v>18.989999999999998</v>
      </c>
      <c r="X43" s="31">
        <f t="shared" si="33"/>
        <v>0</v>
      </c>
      <c r="Y43" t="b">
        <f t="shared" si="34"/>
        <v>0</v>
      </c>
      <c r="Z43" s="78">
        <f t="shared" si="0"/>
        <v>-18.989999999999998</v>
      </c>
    </row>
    <row r="44" spans="1:26" x14ac:dyDescent="0.25">
      <c r="A44" s="53">
        <v>2019</v>
      </c>
      <c r="B44" s="53">
        <v>43</v>
      </c>
      <c r="C44" s="71" t="s">
        <v>708</v>
      </c>
      <c r="D44" t="s">
        <v>709</v>
      </c>
      <c r="E44" s="9">
        <v>12019002</v>
      </c>
      <c r="G44" s="44">
        <v>43564</v>
      </c>
      <c r="H44" t="s">
        <v>536</v>
      </c>
      <c r="K44" t="b">
        <f t="shared" si="27"/>
        <v>0</v>
      </c>
      <c r="L44" s="48">
        <v>649.4</v>
      </c>
      <c r="M44" s="72">
        <v>1</v>
      </c>
      <c r="N44">
        <v>20</v>
      </c>
      <c r="O44" s="31">
        <f t="shared" si="28"/>
        <v>129.88</v>
      </c>
      <c r="P44" s="31">
        <f t="shared" si="29"/>
        <v>129.88</v>
      </c>
      <c r="Q44" s="33">
        <f t="shared" si="30"/>
        <v>649.4</v>
      </c>
      <c r="R44" s="29">
        <f t="shared" si="31"/>
        <v>779.28</v>
      </c>
      <c r="S44" s="29">
        <f t="shared" si="32"/>
        <v>779.28</v>
      </c>
      <c r="T44" s="35">
        <f t="shared" si="16"/>
        <v>43692</v>
      </c>
      <c r="U44" s="27"/>
      <c r="V44" s="27"/>
      <c r="W44" s="58">
        <f t="shared" ref="W44:W51" si="35">IF(K44=TRUE,Q44/J44,Q44)</f>
        <v>649.4</v>
      </c>
      <c r="X44" s="31">
        <f t="shared" si="33"/>
        <v>0</v>
      </c>
      <c r="Y44" t="b">
        <f t="shared" si="34"/>
        <v>0</v>
      </c>
      <c r="Z44" s="78">
        <f t="shared" si="0"/>
        <v>649.4</v>
      </c>
    </row>
    <row r="45" spans="1:26" x14ac:dyDescent="0.25">
      <c r="A45" s="53">
        <v>2019</v>
      </c>
      <c r="B45" s="53">
        <v>44</v>
      </c>
      <c r="C45" s="71" t="s">
        <v>708</v>
      </c>
      <c r="D45" t="s">
        <v>709</v>
      </c>
      <c r="E45" s="133">
        <v>12019003</v>
      </c>
      <c r="G45" s="44">
        <v>43571</v>
      </c>
      <c r="H45" t="s">
        <v>983</v>
      </c>
      <c r="K45" t="b">
        <f t="shared" si="27"/>
        <v>0</v>
      </c>
      <c r="L45" s="48">
        <v>700.75</v>
      </c>
      <c r="M45" s="72">
        <v>1</v>
      </c>
      <c r="N45">
        <v>20</v>
      </c>
      <c r="O45" s="31">
        <f t="shared" si="28"/>
        <v>140.15</v>
      </c>
      <c r="P45" s="31">
        <f t="shared" si="29"/>
        <v>140.15</v>
      </c>
      <c r="Q45" s="33">
        <f t="shared" si="30"/>
        <v>700.75</v>
      </c>
      <c r="R45" s="29">
        <f t="shared" si="31"/>
        <v>840.9</v>
      </c>
      <c r="S45" s="29">
        <f t="shared" si="32"/>
        <v>840.9</v>
      </c>
      <c r="T45" s="35">
        <f t="shared" si="16"/>
        <v>43692</v>
      </c>
      <c r="U45" s="27"/>
      <c r="V45" s="27"/>
      <c r="W45" s="58">
        <f t="shared" si="35"/>
        <v>700.75</v>
      </c>
      <c r="X45" s="31">
        <f t="shared" si="33"/>
        <v>0</v>
      </c>
      <c r="Y45" t="b">
        <f t="shared" si="34"/>
        <v>0</v>
      </c>
      <c r="Z45" s="78">
        <f t="shared" si="0"/>
        <v>700.75</v>
      </c>
    </row>
    <row r="46" spans="1:26" x14ac:dyDescent="0.25">
      <c r="A46" s="53">
        <v>2019</v>
      </c>
      <c r="B46" s="53">
        <v>45</v>
      </c>
      <c r="C46" s="71" t="s">
        <v>708</v>
      </c>
      <c r="D46" t="s">
        <v>709</v>
      </c>
      <c r="E46" s="9">
        <v>12019004</v>
      </c>
      <c r="G46" s="44">
        <v>43565</v>
      </c>
      <c r="H46" s="43" t="s">
        <v>90</v>
      </c>
      <c r="K46" t="b">
        <f t="shared" si="27"/>
        <v>0</v>
      </c>
      <c r="L46" s="48">
        <v>5101.16</v>
      </c>
      <c r="M46" s="72">
        <v>1</v>
      </c>
      <c r="N46">
        <v>20</v>
      </c>
      <c r="O46" s="31">
        <f t="shared" si="28"/>
        <v>1020.232</v>
      </c>
      <c r="P46" s="31">
        <f t="shared" si="29"/>
        <v>1020.232</v>
      </c>
      <c r="Q46" s="33">
        <f t="shared" si="30"/>
        <v>5101.16</v>
      </c>
      <c r="R46" s="29">
        <f t="shared" si="31"/>
        <v>6121.3919999999998</v>
      </c>
      <c r="S46" s="29">
        <f t="shared" si="32"/>
        <v>6121.3919999999998</v>
      </c>
      <c r="T46" s="35">
        <f t="shared" si="16"/>
        <v>43692</v>
      </c>
      <c r="U46" s="27"/>
      <c r="V46" s="27"/>
      <c r="W46" s="58">
        <f t="shared" si="35"/>
        <v>5101.16</v>
      </c>
      <c r="X46" s="31">
        <f t="shared" si="33"/>
        <v>0</v>
      </c>
      <c r="Y46" t="b">
        <f t="shared" si="34"/>
        <v>0</v>
      </c>
      <c r="Z46" s="78">
        <f t="shared" si="0"/>
        <v>5101.16</v>
      </c>
    </row>
    <row r="47" spans="1:26" x14ac:dyDescent="0.25">
      <c r="A47" s="53">
        <v>2019</v>
      </c>
      <c r="B47" s="53">
        <v>46</v>
      </c>
      <c r="C47" s="71" t="s">
        <v>105</v>
      </c>
      <c r="D47" t="s">
        <v>703</v>
      </c>
      <c r="E47" s="9" t="s">
        <v>991</v>
      </c>
      <c r="G47" s="1">
        <v>43565</v>
      </c>
      <c r="H47" t="s">
        <v>925</v>
      </c>
      <c r="K47" t="b">
        <f t="shared" si="27"/>
        <v>0</v>
      </c>
      <c r="L47" s="48">
        <f>27.82+1.04</f>
        <v>28.86</v>
      </c>
      <c r="M47" s="72">
        <f>2/3</f>
        <v>0.66666666666666663</v>
      </c>
      <c r="N47">
        <v>20</v>
      </c>
      <c r="O47" s="31">
        <f t="shared" si="28"/>
        <v>5.7720000000000002</v>
      </c>
      <c r="P47" s="31">
        <f t="shared" si="29"/>
        <v>3.8479999999999999</v>
      </c>
      <c r="Q47" s="33">
        <f t="shared" si="30"/>
        <v>19.239999999999998</v>
      </c>
      <c r="R47" s="29">
        <f t="shared" si="31"/>
        <v>34.631999999999998</v>
      </c>
      <c r="S47" s="29">
        <f t="shared" si="32"/>
        <v>23.087999999999997</v>
      </c>
      <c r="T47" s="35">
        <f t="shared" si="16"/>
        <v>43692</v>
      </c>
      <c r="U47" s="27"/>
      <c r="V47" s="27"/>
      <c r="W47" s="58">
        <f t="shared" si="35"/>
        <v>19.239999999999998</v>
      </c>
      <c r="X47" s="31">
        <f t="shared" si="33"/>
        <v>0</v>
      </c>
      <c r="Y47" t="b">
        <f t="shared" si="34"/>
        <v>0</v>
      </c>
      <c r="Z47" s="78">
        <f t="shared" si="0"/>
        <v>-19.239999999999998</v>
      </c>
    </row>
    <row r="48" spans="1:26" x14ac:dyDescent="0.25">
      <c r="A48" s="53">
        <v>2019</v>
      </c>
      <c r="B48" s="53">
        <v>47</v>
      </c>
      <c r="C48" s="71" t="s">
        <v>105</v>
      </c>
      <c r="D48" t="s">
        <v>705</v>
      </c>
      <c r="E48" s="9" t="s">
        <v>992</v>
      </c>
      <c r="G48" s="1">
        <v>43566</v>
      </c>
      <c r="H48" t="s">
        <v>927</v>
      </c>
      <c r="K48" t="b">
        <f t="shared" si="27"/>
        <v>0</v>
      </c>
      <c r="L48" s="48">
        <v>46.92</v>
      </c>
      <c r="M48" s="72">
        <v>1</v>
      </c>
      <c r="N48">
        <v>0</v>
      </c>
      <c r="O48" s="31">
        <f t="shared" si="28"/>
        <v>0</v>
      </c>
      <c r="P48" s="31">
        <f t="shared" si="29"/>
        <v>0</v>
      </c>
      <c r="Q48" s="33">
        <f t="shared" si="30"/>
        <v>46.92</v>
      </c>
      <c r="R48" s="29">
        <f t="shared" si="31"/>
        <v>46.92</v>
      </c>
      <c r="S48" s="29">
        <f t="shared" si="32"/>
        <v>46.92</v>
      </c>
      <c r="T48" s="35">
        <f t="shared" si="16"/>
        <v>43692</v>
      </c>
      <c r="U48" s="27"/>
      <c r="V48" s="27">
        <v>20</v>
      </c>
      <c r="W48" s="58">
        <f t="shared" si="35"/>
        <v>46.92</v>
      </c>
      <c r="X48" s="31">
        <f t="shared" si="33"/>
        <v>9.3840000000000003</v>
      </c>
      <c r="Y48" t="b">
        <f t="shared" si="34"/>
        <v>0</v>
      </c>
      <c r="Z48" s="78">
        <f t="shared" si="0"/>
        <v>-46.92</v>
      </c>
    </row>
    <row r="49" spans="1:26" x14ac:dyDescent="0.25">
      <c r="A49" s="53">
        <v>2019</v>
      </c>
      <c r="B49" s="53">
        <v>48</v>
      </c>
      <c r="C49" s="71" t="s">
        <v>105</v>
      </c>
      <c r="D49" t="s">
        <v>692</v>
      </c>
      <c r="E49" s="131" t="str">
        <f>"7188"</f>
        <v>7188</v>
      </c>
      <c r="G49" s="1">
        <v>43566</v>
      </c>
      <c r="H49" t="s">
        <v>993</v>
      </c>
      <c r="K49" t="b">
        <f t="shared" si="27"/>
        <v>0</v>
      </c>
      <c r="L49" s="48">
        <v>80.28</v>
      </c>
      <c r="M49" s="72">
        <v>1</v>
      </c>
      <c r="N49">
        <v>0</v>
      </c>
      <c r="O49" s="31">
        <f t="shared" si="28"/>
        <v>0</v>
      </c>
      <c r="P49" s="31">
        <f t="shared" si="29"/>
        <v>0</v>
      </c>
      <c r="Q49" s="33">
        <f t="shared" si="30"/>
        <v>80.28</v>
      </c>
      <c r="R49" s="29">
        <f t="shared" si="31"/>
        <v>80.28</v>
      </c>
      <c r="S49" s="29">
        <f t="shared" si="32"/>
        <v>80.28</v>
      </c>
      <c r="T49" s="35">
        <f t="shared" si="16"/>
        <v>43692</v>
      </c>
      <c r="U49" s="27"/>
      <c r="V49" s="27"/>
      <c r="W49" s="58">
        <f t="shared" si="35"/>
        <v>80.28</v>
      </c>
      <c r="X49" s="31">
        <f t="shared" si="33"/>
        <v>0</v>
      </c>
      <c r="Y49" t="b">
        <f t="shared" si="34"/>
        <v>0</v>
      </c>
      <c r="Z49" s="78">
        <f t="shared" si="0"/>
        <v>-80.28</v>
      </c>
    </row>
    <row r="50" spans="1:26" x14ac:dyDescent="0.25">
      <c r="A50" s="53">
        <v>2019</v>
      </c>
      <c r="B50" s="53">
        <v>49</v>
      </c>
      <c r="C50" s="71" t="s">
        <v>105</v>
      </c>
      <c r="D50" t="s">
        <v>705</v>
      </c>
      <c r="E50" s="9" t="s">
        <v>994</v>
      </c>
      <c r="G50" s="1">
        <v>43570</v>
      </c>
      <c r="H50" t="s">
        <v>929</v>
      </c>
      <c r="K50" t="b">
        <f t="shared" si="27"/>
        <v>0</v>
      </c>
      <c r="L50" s="48">
        <v>78.33</v>
      </c>
      <c r="M50" s="72">
        <f>Arbeitszimmer!$B$3</f>
        <v>0.27320378419841473</v>
      </c>
      <c r="N50">
        <v>20</v>
      </c>
      <c r="O50" s="31">
        <f t="shared" ref="O50:O55" si="36">L50*N50/100</f>
        <v>15.665999999999999</v>
      </c>
      <c r="P50" s="31">
        <f t="shared" ref="P50:P55" si="37">M50*O50</f>
        <v>4.2800104832523651</v>
      </c>
      <c r="Q50" s="33">
        <f t="shared" ref="Q50:Q55" si="38">L50*M50</f>
        <v>21.400052416261826</v>
      </c>
      <c r="R50" s="29">
        <f t="shared" ref="R50:R55" si="39">L50+O50</f>
        <v>93.995999999999995</v>
      </c>
      <c r="S50" s="29">
        <f t="shared" ref="S50:S55" si="40">Q50+P50</f>
        <v>25.680062899514191</v>
      </c>
      <c r="T50" s="35">
        <f t="shared" si="16"/>
        <v>43692</v>
      </c>
      <c r="U50" s="27"/>
      <c r="V50" s="27"/>
      <c r="W50" s="58">
        <f t="shared" si="35"/>
        <v>21.400052416261826</v>
      </c>
      <c r="X50" s="31">
        <f t="shared" ref="X50:X55" si="41">V50/100*S50</f>
        <v>0</v>
      </c>
      <c r="Y50" t="b">
        <f t="shared" ref="Y50:Y55" si="42">IF(AND(V50&gt;0,N50=V50),TRUE,FALSE)</f>
        <v>0</v>
      </c>
      <c r="Z50" s="78">
        <f t="shared" si="0"/>
        <v>-21.400052416261826</v>
      </c>
    </row>
    <row r="51" spans="1:26" x14ac:dyDescent="0.25">
      <c r="A51" s="53">
        <v>2019</v>
      </c>
      <c r="B51" s="53">
        <v>50</v>
      </c>
      <c r="C51" s="71" t="s">
        <v>105</v>
      </c>
      <c r="D51" t="s">
        <v>683</v>
      </c>
      <c r="E51" s="9" t="s">
        <v>995</v>
      </c>
      <c r="G51" s="1">
        <v>43584</v>
      </c>
      <c r="H51" t="s">
        <v>996</v>
      </c>
      <c r="J51" s="76" t="s">
        <v>958</v>
      </c>
      <c r="K51" t="b">
        <f t="shared" si="27"/>
        <v>0</v>
      </c>
      <c r="L51" s="48">
        <v>7.59</v>
      </c>
      <c r="M51" s="72">
        <v>1</v>
      </c>
      <c r="N51">
        <v>0</v>
      </c>
      <c r="O51" s="31">
        <f t="shared" si="36"/>
        <v>0</v>
      </c>
      <c r="P51" s="31">
        <f t="shared" si="37"/>
        <v>0</v>
      </c>
      <c r="Q51" s="33">
        <f t="shared" si="38"/>
        <v>7.59</v>
      </c>
      <c r="R51" s="29">
        <f t="shared" si="39"/>
        <v>7.59</v>
      </c>
      <c r="S51" s="29">
        <f t="shared" si="40"/>
        <v>7.59</v>
      </c>
      <c r="T51" s="35">
        <f t="shared" si="16"/>
        <v>43692</v>
      </c>
      <c r="U51" s="27"/>
      <c r="V51" s="27"/>
      <c r="W51" s="58">
        <f t="shared" si="35"/>
        <v>7.59</v>
      </c>
      <c r="X51" s="31">
        <f t="shared" si="41"/>
        <v>0</v>
      </c>
      <c r="Y51" t="b">
        <f t="shared" si="42"/>
        <v>0</v>
      </c>
      <c r="Z51" s="78">
        <f t="shared" si="0"/>
        <v>-7.59</v>
      </c>
    </row>
    <row r="52" spans="1:26" x14ac:dyDescent="0.25">
      <c r="A52" s="53">
        <v>2019</v>
      </c>
      <c r="B52" s="53">
        <v>51</v>
      </c>
      <c r="C52" s="71" t="s">
        <v>105</v>
      </c>
      <c r="D52" t="s">
        <v>683</v>
      </c>
      <c r="E52" s="9" t="s">
        <v>997</v>
      </c>
      <c r="G52" s="1">
        <v>43587</v>
      </c>
      <c r="H52" t="s">
        <v>981</v>
      </c>
      <c r="J52" s="76" t="s">
        <v>958</v>
      </c>
      <c r="K52" t="b">
        <f t="shared" si="27"/>
        <v>0</v>
      </c>
      <c r="L52" s="48">
        <v>39.07</v>
      </c>
      <c r="M52" s="72">
        <v>1</v>
      </c>
      <c r="N52">
        <v>20</v>
      </c>
      <c r="O52" s="31">
        <f t="shared" si="36"/>
        <v>7.8140000000000001</v>
      </c>
      <c r="P52" s="31">
        <f t="shared" si="37"/>
        <v>7.8140000000000001</v>
      </c>
      <c r="Q52" s="33">
        <f t="shared" si="38"/>
        <v>39.07</v>
      </c>
      <c r="R52" s="29">
        <f t="shared" si="39"/>
        <v>46.884</v>
      </c>
      <c r="S52" s="29">
        <f t="shared" si="40"/>
        <v>46.884</v>
      </c>
      <c r="T52" s="35">
        <f t="shared" si="16"/>
        <v>43692</v>
      </c>
      <c r="U52" s="27"/>
      <c r="V52" s="27"/>
      <c r="W52" s="58">
        <f t="shared" ref="W52:W57" si="43">IF(K52=TRUE,Q52/I52,Q52)</f>
        <v>39.07</v>
      </c>
      <c r="X52" s="31">
        <f t="shared" si="41"/>
        <v>0</v>
      </c>
      <c r="Y52" t="b">
        <f t="shared" si="42"/>
        <v>0</v>
      </c>
      <c r="Z52" s="78">
        <f t="shared" si="0"/>
        <v>-39.07</v>
      </c>
    </row>
    <row r="53" spans="1:26" x14ac:dyDescent="0.25">
      <c r="A53" s="53">
        <v>2019</v>
      </c>
      <c r="B53" s="53">
        <v>52</v>
      </c>
      <c r="C53" s="71" t="s">
        <v>105</v>
      </c>
      <c r="D53" t="s">
        <v>689</v>
      </c>
      <c r="E53" s="9" t="s">
        <v>998</v>
      </c>
      <c r="G53" s="1">
        <v>43591</v>
      </c>
      <c r="H53" t="s">
        <v>974</v>
      </c>
      <c r="K53" t="b">
        <f t="shared" si="27"/>
        <v>0</v>
      </c>
      <c r="L53" s="48">
        <f>8.74/1.2</f>
        <v>7.2833333333333341</v>
      </c>
      <c r="M53" s="72">
        <v>1</v>
      </c>
      <c r="N53">
        <v>20</v>
      </c>
      <c r="O53" s="31">
        <f t="shared" si="36"/>
        <v>1.4566666666666668</v>
      </c>
      <c r="P53" s="31">
        <f t="shared" si="37"/>
        <v>1.4566666666666668</v>
      </c>
      <c r="Q53" s="33">
        <f t="shared" si="38"/>
        <v>7.2833333333333341</v>
      </c>
      <c r="R53" s="29">
        <f t="shared" si="39"/>
        <v>8.74</v>
      </c>
      <c r="S53" s="29">
        <f t="shared" si="40"/>
        <v>8.74</v>
      </c>
      <c r="T53" s="35">
        <f t="shared" si="16"/>
        <v>43692</v>
      </c>
      <c r="U53" s="27"/>
      <c r="V53" s="27"/>
      <c r="W53" s="58">
        <f t="shared" si="43"/>
        <v>7.2833333333333341</v>
      </c>
      <c r="X53" s="31">
        <f t="shared" si="41"/>
        <v>0</v>
      </c>
      <c r="Y53" t="b">
        <f t="shared" si="42"/>
        <v>0</v>
      </c>
      <c r="Z53" s="78">
        <f t="shared" si="0"/>
        <v>-7.2833333333333341</v>
      </c>
    </row>
    <row r="54" spans="1:26" x14ac:dyDescent="0.25">
      <c r="A54" s="53">
        <v>2019</v>
      </c>
      <c r="B54" s="53">
        <v>53</v>
      </c>
      <c r="C54" s="71" t="s">
        <v>105</v>
      </c>
      <c r="D54" t="s">
        <v>689</v>
      </c>
      <c r="E54" s="9" t="s">
        <v>999</v>
      </c>
      <c r="G54" s="1">
        <v>43591</v>
      </c>
      <c r="H54" t="s">
        <v>974</v>
      </c>
      <c r="K54" t="b">
        <f t="shared" si="27"/>
        <v>0</v>
      </c>
      <c r="L54" s="48">
        <f>7.6/1.2</f>
        <v>6.333333333333333</v>
      </c>
      <c r="M54" s="72">
        <v>1</v>
      </c>
      <c r="N54">
        <v>20</v>
      </c>
      <c r="O54" s="31">
        <f t="shared" si="36"/>
        <v>1.2666666666666666</v>
      </c>
      <c r="P54" s="31">
        <f t="shared" si="37"/>
        <v>1.2666666666666666</v>
      </c>
      <c r="Q54" s="33">
        <f t="shared" si="38"/>
        <v>6.333333333333333</v>
      </c>
      <c r="R54" s="29">
        <f t="shared" si="39"/>
        <v>7.6</v>
      </c>
      <c r="S54" s="29">
        <f t="shared" si="40"/>
        <v>7.6</v>
      </c>
      <c r="T54" s="35">
        <f t="shared" si="16"/>
        <v>43692</v>
      </c>
      <c r="U54" s="27"/>
      <c r="V54" s="27"/>
      <c r="W54" s="58">
        <f t="shared" si="43"/>
        <v>6.333333333333333</v>
      </c>
      <c r="X54" s="31">
        <f t="shared" si="41"/>
        <v>0</v>
      </c>
      <c r="Y54" t="b">
        <f t="shared" si="42"/>
        <v>0</v>
      </c>
      <c r="Z54" s="78">
        <f t="shared" si="0"/>
        <v>-6.333333333333333</v>
      </c>
    </row>
    <row r="55" spans="1:26" x14ac:dyDescent="0.25">
      <c r="A55" s="53">
        <v>2019</v>
      </c>
      <c r="B55" s="53">
        <v>54</v>
      </c>
      <c r="C55" s="71" t="s">
        <v>105</v>
      </c>
      <c r="D55" t="s">
        <v>689</v>
      </c>
      <c r="E55" s="9" t="s">
        <v>1000</v>
      </c>
      <c r="G55" s="1">
        <v>43591</v>
      </c>
      <c r="H55" t="s">
        <v>974</v>
      </c>
      <c r="K55" t="b">
        <f t="shared" si="27"/>
        <v>0</v>
      </c>
      <c r="L55" s="48">
        <f>7/1.2</f>
        <v>5.8333333333333339</v>
      </c>
      <c r="M55" s="72">
        <v>1</v>
      </c>
      <c r="N55">
        <v>20</v>
      </c>
      <c r="O55" s="31">
        <f t="shared" si="36"/>
        <v>1.166666666666667</v>
      </c>
      <c r="P55" s="31">
        <f t="shared" si="37"/>
        <v>1.166666666666667</v>
      </c>
      <c r="Q55" s="33">
        <f t="shared" si="38"/>
        <v>5.8333333333333339</v>
      </c>
      <c r="R55" s="29">
        <f t="shared" si="39"/>
        <v>7.0000000000000009</v>
      </c>
      <c r="S55" s="29">
        <f t="shared" si="40"/>
        <v>7.0000000000000009</v>
      </c>
      <c r="T55" s="35">
        <f t="shared" si="16"/>
        <v>43692</v>
      </c>
      <c r="U55" s="27"/>
      <c r="V55" s="27"/>
      <c r="W55" s="58">
        <f t="shared" si="43"/>
        <v>5.8333333333333339</v>
      </c>
      <c r="X55" s="31">
        <f t="shared" si="41"/>
        <v>0</v>
      </c>
      <c r="Y55" t="b">
        <f t="shared" si="42"/>
        <v>0</v>
      </c>
      <c r="Z55" s="78">
        <f t="shared" si="0"/>
        <v>-5.8333333333333339</v>
      </c>
    </row>
    <row r="56" spans="1:26" x14ac:dyDescent="0.25">
      <c r="A56" s="53">
        <v>2019</v>
      </c>
      <c r="B56" s="53">
        <v>55</v>
      </c>
      <c r="C56" s="71" t="s">
        <v>105</v>
      </c>
      <c r="D56" t="s">
        <v>703</v>
      </c>
      <c r="E56" s="9" t="s">
        <v>1001</v>
      </c>
      <c r="G56" s="1">
        <v>43591</v>
      </c>
      <c r="H56" t="s">
        <v>34</v>
      </c>
      <c r="K56" t="b">
        <f t="shared" si="27"/>
        <v>0</v>
      </c>
      <c r="L56" s="48">
        <f>18/1.2</f>
        <v>15</v>
      </c>
      <c r="M56" s="72">
        <v>1</v>
      </c>
      <c r="N56">
        <v>20</v>
      </c>
      <c r="O56" s="31">
        <f t="shared" ref="O56:O80" si="44">L56*N56/100</f>
        <v>3</v>
      </c>
      <c r="P56" s="31">
        <f t="shared" ref="P56:P80" si="45">M56*O56</f>
        <v>3</v>
      </c>
      <c r="Q56" s="33">
        <f t="shared" ref="Q56:Q85" si="46">L56*M56</f>
        <v>15</v>
      </c>
      <c r="R56" s="29">
        <f t="shared" ref="R56:R85" si="47">L56+O56</f>
        <v>18</v>
      </c>
      <c r="S56" s="29">
        <f t="shared" ref="S56:S85" si="48">Q56+P56</f>
        <v>18</v>
      </c>
      <c r="T56" s="35">
        <f t="shared" si="16"/>
        <v>43692</v>
      </c>
      <c r="U56" s="27"/>
      <c r="V56" s="27"/>
      <c r="W56" s="58">
        <f t="shared" si="43"/>
        <v>15</v>
      </c>
      <c r="X56" s="31">
        <f t="shared" ref="X56:X85" si="49">V56/100*S56</f>
        <v>0</v>
      </c>
      <c r="Y56" t="b">
        <f t="shared" ref="Y56:Y85" si="50">IF(AND(V56&gt;0,N56=V56),TRUE,FALSE)</f>
        <v>0</v>
      </c>
      <c r="Z56" s="78">
        <f t="shared" si="0"/>
        <v>-15</v>
      </c>
    </row>
    <row r="57" spans="1:26" x14ac:dyDescent="0.25">
      <c r="A57" s="53">
        <v>2019</v>
      </c>
      <c r="B57" s="53">
        <v>56</v>
      </c>
      <c r="C57" s="71" t="s">
        <v>105</v>
      </c>
      <c r="D57" t="s">
        <v>689</v>
      </c>
      <c r="E57" s="9" t="s">
        <v>1002</v>
      </c>
      <c r="G57" s="1">
        <v>43594</v>
      </c>
      <c r="H57" t="s">
        <v>974</v>
      </c>
      <c r="K57" t="b">
        <f t="shared" si="27"/>
        <v>0</v>
      </c>
      <c r="L57" s="48">
        <f>4.34/1.2</f>
        <v>3.6166666666666667</v>
      </c>
      <c r="M57" s="72">
        <v>1</v>
      </c>
      <c r="N57">
        <v>20</v>
      </c>
      <c r="O57" s="31">
        <f t="shared" si="44"/>
        <v>0.72333333333333327</v>
      </c>
      <c r="P57" s="31">
        <f t="shared" si="45"/>
        <v>0.72333333333333327</v>
      </c>
      <c r="Q57" s="33">
        <f t="shared" si="46"/>
        <v>3.6166666666666667</v>
      </c>
      <c r="R57" s="29">
        <f t="shared" si="47"/>
        <v>4.34</v>
      </c>
      <c r="S57" s="29">
        <f t="shared" si="48"/>
        <v>4.34</v>
      </c>
      <c r="T57" s="35">
        <f t="shared" si="16"/>
        <v>43692</v>
      </c>
      <c r="U57" s="27"/>
      <c r="V57" s="27"/>
      <c r="W57" s="58">
        <f t="shared" si="43"/>
        <v>3.6166666666666667</v>
      </c>
      <c r="X57" s="31">
        <f t="shared" si="49"/>
        <v>0</v>
      </c>
      <c r="Y57" t="b">
        <f t="shared" si="50"/>
        <v>0</v>
      </c>
      <c r="Z57" s="78">
        <f t="shared" si="0"/>
        <v>-3.6166666666666667</v>
      </c>
    </row>
    <row r="58" spans="1:26" x14ac:dyDescent="0.25">
      <c r="A58" s="53">
        <v>2019</v>
      </c>
      <c r="B58" s="53">
        <v>57</v>
      </c>
      <c r="C58" s="71" t="s">
        <v>105</v>
      </c>
      <c r="D58" t="s">
        <v>703</v>
      </c>
      <c r="E58" s="9" t="s">
        <v>1003</v>
      </c>
      <c r="G58" s="1">
        <v>43595</v>
      </c>
      <c r="H58" t="s">
        <v>925</v>
      </c>
      <c r="K58" t="b">
        <f t="shared" si="27"/>
        <v>0</v>
      </c>
      <c r="L58" s="48">
        <f>27.82+1.04</f>
        <v>28.86</v>
      </c>
      <c r="M58" s="72">
        <f>2/3</f>
        <v>0.66666666666666663</v>
      </c>
      <c r="N58">
        <v>20</v>
      </c>
      <c r="O58" s="31">
        <f t="shared" si="44"/>
        <v>5.7720000000000002</v>
      </c>
      <c r="P58" s="31">
        <f t="shared" si="45"/>
        <v>3.8479999999999999</v>
      </c>
      <c r="Q58" s="33">
        <f t="shared" si="46"/>
        <v>19.239999999999998</v>
      </c>
      <c r="R58" s="29">
        <f t="shared" si="47"/>
        <v>34.631999999999998</v>
      </c>
      <c r="S58" s="29">
        <f t="shared" si="48"/>
        <v>23.087999999999997</v>
      </c>
      <c r="T58" s="35">
        <f t="shared" si="16"/>
        <v>43692</v>
      </c>
      <c r="U58" s="27"/>
      <c r="V58" s="27"/>
      <c r="W58" s="58">
        <f>IF(K58=TRUE,Q58/J58,Q58)</f>
        <v>19.239999999999998</v>
      </c>
      <c r="X58" s="31">
        <f t="shared" si="49"/>
        <v>0</v>
      </c>
      <c r="Y58" t="b">
        <f t="shared" si="50"/>
        <v>0</v>
      </c>
      <c r="Z58" s="78">
        <f t="shared" si="0"/>
        <v>-19.239999999999998</v>
      </c>
    </row>
    <row r="59" spans="1:26" x14ac:dyDescent="0.25">
      <c r="A59" s="53">
        <v>2019</v>
      </c>
      <c r="B59" s="53">
        <v>58</v>
      </c>
      <c r="C59" s="71" t="s">
        <v>105</v>
      </c>
      <c r="D59" t="s">
        <v>705</v>
      </c>
      <c r="E59" s="9" t="s">
        <v>1004</v>
      </c>
      <c r="G59" s="1">
        <v>43598</v>
      </c>
      <c r="H59" t="s">
        <v>927</v>
      </c>
      <c r="K59" t="b">
        <f t="shared" si="27"/>
        <v>0</v>
      </c>
      <c r="L59" s="48">
        <v>46.92</v>
      </c>
      <c r="M59" s="72">
        <v>1</v>
      </c>
      <c r="N59">
        <v>0</v>
      </c>
      <c r="O59" s="31">
        <f t="shared" si="44"/>
        <v>0</v>
      </c>
      <c r="P59" s="31">
        <f t="shared" si="45"/>
        <v>0</v>
      </c>
      <c r="Q59" s="33">
        <f t="shared" si="46"/>
        <v>46.92</v>
      </c>
      <c r="R59" s="29">
        <f t="shared" si="47"/>
        <v>46.92</v>
      </c>
      <c r="S59" s="29">
        <f t="shared" si="48"/>
        <v>46.92</v>
      </c>
      <c r="T59" s="35">
        <f t="shared" si="16"/>
        <v>43692</v>
      </c>
      <c r="U59" s="27"/>
      <c r="V59" s="27">
        <v>20</v>
      </c>
      <c r="W59" s="58">
        <f>IF(K59=TRUE,Q59/J59,Q59)</f>
        <v>46.92</v>
      </c>
      <c r="X59" s="31">
        <f t="shared" si="49"/>
        <v>9.3840000000000003</v>
      </c>
      <c r="Y59" t="b">
        <f t="shared" si="50"/>
        <v>0</v>
      </c>
      <c r="Z59" s="78">
        <f t="shared" si="0"/>
        <v>-46.92</v>
      </c>
    </row>
    <row r="60" spans="1:26" x14ac:dyDescent="0.25">
      <c r="A60" s="53">
        <v>2019</v>
      </c>
      <c r="B60" s="53">
        <v>59</v>
      </c>
      <c r="C60" s="71" t="s">
        <v>708</v>
      </c>
      <c r="D60" t="s">
        <v>709</v>
      </c>
      <c r="E60" s="9" t="s">
        <v>1005</v>
      </c>
      <c r="G60" s="1">
        <v>43598</v>
      </c>
      <c r="H60" t="s">
        <v>933</v>
      </c>
      <c r="K60" t="b">
        <f t="shared" si="27"/>
        <v>0</v>
      </c>
      <c r="L60" s="48">
        <v>3671.15</v>
      </c>
      <c r="M60" s="72">
        <v>1</v>
      </c>
      <c r="N60">
        <v>20</v>
      </c>
      <c r="O60" s="31">
        <f t="shared" si="44"/>
        <v>734.23</v>
      </c>
      <c r="P60" s="31">
        <f t="shared" si="45"/>
        <v>734.23</v>
      </c>
      <c r="Q60" s="33">
        <f t="shared" si="46"/>
        <v>3671.15</v>
      </c>
      <c r="R60" s="29">
        <f t="shared" si="47"/>
        <v>4405.38</v>
      </c>
      <c r="S60" s="29">
        <f t="shared" si="48"/>
        <v>4405.38</v>
      </c>
      <c r="T60" s="35">
        <f t="shared" ref="T60:T91" si="51">voranmeldefrist_vierteljaehrlich(G60)</f>
        <v>43692</v>
      </c>
      <c r="U60" s="27"/>
      <c r="V60" s="27"/>
      <c r="W60" s="58">
        <f>IF(K60=TRUE,Q60/J60,Q60)</f>
        <v>3671.15</v>
      </c>
      <c r="X60" s="31">
        <f t="shared" si="49"/>
        <v>0</v>
      </c>
      <c r="Y60" t="b">
        <f t="shared" si="50"/>
        <v>0</v>
      </c>
      <c r="Z60" s="78">
        <f t="shared" si="0"/>
        <v>3671.15</v>
      </c>
    </row>
    <row r="61" spans="1:26" x14ac:dyDescent="0.25">
      <c r="A61" s="53">
        <v>2019</v>
      </c>
      <c r="B61" s="53">
        <v>60</v>
      </c>
      <c r="C61" s="71" t="s">
        <v>105</v>
      </c>
      <c r="D61" t="s">
        <v>689</v>
      </c>
      <c r="E61" s="9" t="s">
        <v>1006</v>
      </c>
      <c r="G61" s="1">
        <v>43599</v>
      </c>
      <c r="H61" t="s">
        <v>974</v>
      </c>
      <c r="K61" t="b">
        <f t="shared" si="27"/>
        <v>0</v>
      </c>
      <c r="L61" s="48">
        <f>2.17/1.2</f>
        <v>1.8083333333333333</v>
      </c>
      <c r="M61" s="72">
        <v>1</v>
      </c>
      <c r="N61">
        <v>20</v>
      </c>
      <c r="O61" s="31">
        <f t="shared" si="44"/>
        <v>0.36166666666666664</v>
      </c>
      <c r="P61" s="31">
        <f t="shared" si="45"/>
        <v>0.36166666666666664</v>
      </c>
      <c r="Q61" s="33">
        <f t="shared" si="46"/>
        <v>1.8083333333333333</v>
      </c>
      <c r="R61" s="29">
        <f t="shared" si="47"/>
        <v>2.17</v>
      </c>
      <c r="S61" s="29">
        <f t="shared" si="48"/>
        <v>2.17</v>
      </c>
      <c r="T61" s="35">
        <f t="shared" si="51"/>
        <v>43692</v>
      </c>
      <c r="U61" s="27"/>
      <c r="V61" s="27"/>
      <c r="W61" s="58">
        <f>IF(K61=TRUE,Q61/I61,Q61)</f>
        <v>1.8083333333333333</v>
      </c>
      <c r="X61" s="31">
        <f t="shared" si="49"/>
        <v>0</v>
      </c>
      <c r="Y61" t="b">
        <f t="shared" si="50"/>
        <v>0</v>
      </c>
      <c r="Z61" s="78">
        <f t="shared" si="0"/>
        <v>-1.8083333333333333</v>
      </c>
    </row>
    <row r="62" spans="1:26" x14ac:dyDescent="0.25">
      <c r="A62" s="53">
        <v>2019</v>
      </c>
      <c r="B62" s="53">
        <v>61</v>
      </c>
      <c r="C62" s="71" t="s">
        <v>105</v>
      </c>
      <c r="D62" t="s">
        <v>705</v>
      </c>
      <c r="E62" s="9" t="s">
        <v>1007</v>
      </c>
      <c r="G62" s="1">
        <v>43600</v>
      </c>
      <c r="H62" t="s">
        <v>929</v>
      </c>
      <c r="K62" t="b">
        <f t="shared" si="27"/>
        <v>0</v>
      </c>
      <c r="L62" s="48">
        <v>78.33</v>
      </c>
      <c r="M62" s="72">
        <f>Arbeitszimmer!$B$3</f>
        <v>0.27320378419841473</v>
      </c>
      <c r="N62">
        <v>20</v>
      </c>
      <c r="O62" s="31">
        <f t="shared" si="44"/>
        <v>15.665999999999999</v>
      </c>
      <c r="P62" s="31">
        <f t="shared" si="45"/>
        <v>4.2800104832523651</v>
      </c>
      <c r="Q62" s="33">
        <f t="shared" si="46"/>
        <v>21.400052416261826</v>
      </c>
      <c r="R62" s="29">
        <f t="shared" si="47"/>
        <v>93.995999999999995</v>
      </c>
      <c r="S62" s="29">
        <f t="shared" si="48"/>
        <v>25.680062899514191</v>
      </c>
      <c r="T62" s="35">
        <f t="shared" si="51"/>
        <v>43692</v>
      </c>
      <c r="U62" s="27"/>
      <c r="V62" s="27"/>
      <c r="W62" s="58">
        <f>IF(K62=TRUE,Q62/J62,Q62)</f>
        <v>21.400052416261826</v>
      </c>
      <c r="X62" s="31">
        <f t="shared" si="49"/>
        <v>0</v>
      </c>
      <c r="Y62" t="b">
        <f t="shared" si="50"/>
        <v>0</v>
      </c>
      <c r="Z62" s="78">
        <f t="shared" si="0"/>
        <v>-21.400052416261826</v>
      </c>
    </row>
    <row r="63" spans="1:26" x14ac:dyDescent="0.25">
      <c r="A63" s="53">
        <v>2019</v>
      </c>
      <c r="B63" s="53">
        <v>62</v>
      </c>
      <c r="C63" s="71" t="s">
        <v>105</v>
      </c>
      <c r="D63" t="s">
        <v>683</v>
      </c>
      <c r="E63" s="9" t="s">
        <v>1009</v>
      </c>
      <c r="G63" s="1">
        <v>43605</v>
      </c>
      <c r="H63" t="s">
        <v>981</v>
      </c>
      <c r="J63" s="76" t="s">
        <v>958</v>
      </c>
      <c r="K63" t="b">
        <f t="shared" ref="K63:K69" si="52">(IF(AND(I63&lt;&gt;"",AND(J63="",ABS(Q63)&gt;400)),TRUE,FALSE))</f>
        <v>0</v>
      </c>
      <c r="L63" s="48">
        <v>28.56</v>
      </c>
      <c r="M63" s="72">
        <v>1</v>
      </c>
      <c r="N63">
        <v>20</v>
      </c>
      <c r="O63" s="31">
        <f t="shared" si="44"/>
        <v>5.7119999999999997</v>
      </c>
      <c r="P63" s="31">
        <f t="shared" si="45"/>
        <v>5.7119999999999997</v>
      </c>
      <c r="Q63" s="33">
        <f t="shared" si="46"/>
        <v>28.56</v>
      </c>
      <c r="R63" s="29">
        <f t="shared" si="47"/>
        <v>34.271999999999998</v>
      </c>
      <c r="S63" s="29">
        <f t="shared" si="48"/>
        <v>34.271999999999998</v>
      </c>
      <c r="T63" s="35">
        <f t="shared" si="51"/>
        <v>43692</v>
      </c>
      <c r="U63" s="27"/>
      <c r="V63" s="27"/>
      <c r="W63" s="58">
        <f>IF(K63=TRUE,Q63/J63,Q63)</f>
        <v>28.56</v>
      </c>
      <c r="X63" s="31">
        <f t="shared" si="49"/>
        <v>0</v>
      </c>
      <c r="Y63" t="b">
        <f t="shared" si="50"/>
        <v>0</v>
      </c>
      <c r="Z63" s="78">
        <f t="shared" si="0"/>
        <v>-28.56</v>
      </c>
    </row>
    <row r="64" spans="1:26" x14ac:dyDescent="0.25">
      <c r="A64" s="53">
        <v>2019</v>
      </c>
      <c r="B64" s="53">
        <v>63</v>
      </c>
      <c r="C64" s="71" t="s">
        <v>105</v>
      </c>
      <c r="D64" t="s">
        <v>695</v>
      </c>
      <c r="E64" s="9" t="s">
        <v>161</v>
      </c>
      <c r="G64" s="1">
        <v>43612</v>
      </c>
      <c r="H64" t="s">
        <v>952</v>
      </c>
      <c r="K64" t="b">
        <f t="shared" si="52"/>
        <v>0</v>
      </c>
      <c r="L64" s="48">
        <v>4752.0600000000004</v>
      </c>
      <c r="M64" s="72">
        <v>1</v>
      </c>
      <c r="N64">
        <v>0</v>
      </c>
      <c r="O64" s="31">
        <f t="shared" si="44"/>
        <v>0</v>
      </c>
      <c r="P64" s="31">
        <f t="shared" si="45"/>
        <v>0</v>
      </c>
      <c r="Q64" s="33">
        <f t="shared" si="46"/>
        <v>4752.0600000000004</v>
      </c>
      <c r="R64" s="29">
        <f t="shared" si="47"/>
        <v>4752.0600000000004</v>
      </c>
      <c r="S64" s="29">
        <f t="shared" si="48"/>
        <v>4752.0600000000004</v>
      </c>
      <c r="T64" s="35">
        <f t="shared" si="51"/>
        <v>43692</v>
      </c>
      <c r="U64" s="27"/>
      <c r="V64" s="27"/>
      <c r="W64" s="58">
        <f>IF(K64=TRUE,Q64/J64,Q64)</f>
        <v>4752.0600000000004</v>
      </c>
      <c r="X64" s="31">
        <f t="shared" si="49"/>
        <v>0</v>
      </c>
      <c r="Y64" t="b">
        <f t="shared" si="50"/>
        <v>0</v>
      </c>
      <c r="Z64" s="78">
        <f t="shared" si="0"/>
        <v>-4752.0600000000004</v>
      </c>
    </row>
    <row r="65" spans="1:26" x14ac:dyDescent="0.25">
      <c r="A65" s="53">
        <v>2019</v>
      </c>
      <c r="B65" s="53">
        <v>64</v>
      </c>
      <c r="C65" s="71" t="s">
        <v>105</v>
      </c>
      <c r="D65" t="s">
        <v>691</v>
      </c>
      <c r="E65" s="9" t="s">
        <v>950</v>
      </c>
      <c r="G65" s="1">
        <v>43612</v>
      </c>
      <c r="H65" t="s">
        <v>951</v>
      </c>
      <c r="K65" t="b">
        <f t="shared" si="52"/>
        <v>0</v>
      </c>
      <c r="L65" s="48">
        <v>763.44</v>
      </c>
      <c r="M65" s="72">
        <f>Arbeitszimmer!$B$3</f>
        <v>0.27320378419841473</v>
      </c>
      <c r="N65">
        <v>10</v>
      </c>
      <c r="O65" s="31">
        <f t="shared" si="44"/>
        <v>76.344000000000008</v>
      </c>
      <c r="P65" s="31">
        <f t="shared" si="45"/>
        <v>20.857469700843776</v>
      </c>
      <c r="Q65" s="33">
        <f t="shared" si="46"/>
        <v>208.57469700843777</v>
      </c>
      <c r="R65" s="29">
        <f t="shared" si="47"/>
        <v>839.78400000000011</v>
      </c>
      <c r="S65" s="29">
        <f t="shared" si="48"/>
        <v>229.43216670928155</v>
      </c>
      <c r="T65" s="35">
        <f t="shared" si="51"/>
        <v>43692</v>
      </c>
      <c r="U65" s="27"/>
      <c r="V65" s="27"/>
      <c r="W65" s="58">
        <f>IF(K65=TRUE,Q65/J65,Q65)</f>
        <v>208.57469700843777</v>
      </c>
      <c r="X65" s="31">
        <f t="shared" si="49"/>
        <v>0</v>
      </c>
      <c r="Y65" t="b">
        <f t="shared" si="50"/>
        <v>0</v>
      </c>
      <c r="Z65" s="78">
        <f t="shared" si="0"/>
        <v>-208.57469700843777</v>
      </c>
    </row>
    <row r="66" spans="1:26" x14ac:dyDescent="0.25">
      <c r="A66" s="53">
        <v>2019</v>
      </c>
      <c r="B66" s="53">
        <v>65</v>
      </c>
      <c r="C66" s="71" t="s">
        <v>105</v>
      </c>
      <c r="D66" t="s">
        <v>705</v>
      </c>
      <c r="E66" s="9" t="s">
        <v>1011</v>
      </c>
      <c r="G66" s="1">
        <v>43609</v>
      </c>
      <c r="H66" t="s">
        <v>941</v>
      </c>
      <c r="K66" t="b">
        <f t="shared" si="52"/>
        <v>0</v>
      </c>
      <c r="L66" s="48">
        <v>12.42</v>
      </c>
      <c r="M66" s="72">
        <v>1</v>
      </c>
      <c r="N66">
        <v>20</v>
      </c>
      <c r="O66" s="31">
        <f t="shared" si="44"/>
        <v>2.484</v>
      </c>
      <c r="P66" s="31">
        <f t="shared" si="45"/>
        <v>2.484</v>
      </c>
      <c r="Q66" s="33">
        <f t="shared" si="46"/>
        <v>12.42</v>
      </c>
      <c r="R66" s="29">
        <f t="shared" si="47"/>
        <v>14.904</v>
      </c>
      <c r="S66" s="29">
        <f t="shared" si="48"/>
        <v>14.904</v>
      </c>
      <c r="T66" s="35">
        <f t="shared" si="51"/>
        <v>43692</v>
      </c>
      <c r="U66" s="27"/>
      <c r="V66" s="27"/>
      <c r="W66" s="58">
        <f>IF(K66=TRUE,Q66/J66,Q66)</f>
        <v>12.42</v>
      </c>
      <c r="X66" s="31">
        <f t="shared" si="49"/>
        <v>0</v>
      </c>
      <c r="Y66" t="b">
        <f t="shared" si="50"/>
        <v>0</v>
      </c>
      <c r="Z66" s="78">
        <f t="shared" si="0"/>
        <v>-12.42</v>
      </c>
    </row>
    <row r="67" spans="1:26" x14ac:dyDescent="0.25">
      <c r="A67" s="53">
        <v>2019</v>
      </c>
      <c r="B67" s="53">
        <v>66</v>
      </c>
      <c r="C67" s="71" t="s">
        <v>105</v>
      </c>
      <c r="D67" t="s">
        <v>705</v>
      </c>
      <c r="E67" s="9" t="s">
        <v>1010</v>
      </c>
      <c r="G67" s="1">
        <v>43614</v>
      </c>
      <c r="H67" t="s">
        <v>961</v>
      </c>
      <c r="K67" t="b">
        <f t="shared" si="52"/>
        <v>0</v>
      </c>
      <c r="L67" s="48">
        <v>24.88</v>
      </c>
      <c r="M67" s="72">
        <v>1</v>
      </c>
      <c r="N67">
        <v>0</v>
      </c>
      <c r="O67" s="31">
        <f t="shared" si="44"/>
        <v>0</v>
      </c>
      <c r="P67" s="31">
        <f t="shared" si="45"/>
        <v>0</v>
      </c>
      <c r="Q67" s="33">
        <f t="shared" si="46"/>
        <v>24.88</v>
      </c>
      <c r="R67" s="29">
        <f t="shared" si="47"/>
        <v>24.88</v>
      </c>
      <c r="S67" s="29">
        <f t="shared" si="48"/>
        <v>24.88</v>
      </c>
      <c r="T67" s="35">
        <f t="shared" si="51"/>
        <v>43692</v>
      </c>
      <c r="U67" s="27"/>
      <c r="V67" s="27">
        <v>20</v>
      </c>
      <c r="W67" s="58">
        <f>IF(K67=TRUE,Q67/I67,Q67)</f>
        <v>24.88</v>
      </c>
      <c r="X67" s="31">
        <f t="shared" si="49"/>
        <v>4.976</v>
      </c>
      <c r="Y67" t="b">
        <f t="shared" si="50"/>
        <v>0</v>
      </c>
      <c r="Z67" s="78">
        <f t="shared" ref="Z67:Z109" si="53">IF(C67="Einnahmen",Q67,-Q67)</f>
        <v>-24.88</v>
      </c>
    </row>
    <row r="68" spans="1:26" x14ac:dyDescent="0.25">
      <c r="A68" s="53">
        <v>2019</v>
      </c>
      <c r="B68" s="53">
        <v>67</v>
      </c>
      <c r="C68" s="71" t="s">
        <v>105</v>
      </c>
      <c r="D68" t="s">
        <v>689</v>
      </c>
      <c r="E68" s="9" t="s">
        <v>1013</v>
      </c>
      <c r="G68" s="1">
        <v>43619</v>
      </c>
      <c r="H68" t="s">
        <v>974</v>
      </c>
      <c r="K68" t="b">
        <f t="shared" si="52"/>
        <v>0</v>
      </c>
      <c r="L68" s="48">
        <v>3.1</v>
      </c>
      <c r="M68" s="72">
        <v>1</v>
      </c>
      <c r="N68">
        <v>20</v>
      </c>
      <c r="O68" s="31">
        <f t="shared" si="44"/>
        <v>0.62</v>
      </c>
      <c r="P68" s="31">
        <f t="shared" si="45"/>
        <v>0.62</v>
      </c>
      <c r="Q68" s="33">
        <f t="shared" si="46"/>
        <v>3.1</v>
      </c>
      <c r="R68" s="29">
        <f t="shared" si="47"/>
        <v>3.72</v>
      </c>
      <c r="S68" s="29">
        <f t="shared" si="48"/>
        <v>3.72</v>
      </c>
      <c r="T68" s="35">
        <f t="shared" si="51"/>
        <v>43692</v>
      </c>
      <c r="U68" s="27"/>
      <c r="V68" s="27"/>
      <c r="W68" s="58">
        <f>IF(K68=TRUE,Q68/I68,Q68)</f>
        <v>3.1</v>
      </c>
      <c r="X68" s="31">
        <f t="shared" si="49"/>
        <v>0</v>
      </c>
      <c r="Y68" t="b">
        <f t="shared" si="50"/>
        <v>0</v>
      </c>
      <c r="Z68" s="78">
        <f t="shared" si="53"/>
        <v>-3.1</v>
      </c>
    </row>
    <row r="69" spans="1:26" x14ac:dyDescent="0.25">
      <c r="A69" s="53">
        <v>2019</v>
      </c>
      <c r="B69" s="53">
        <v>68</v>
      </c>
      <c r="C69" s="71" t="s">
        <v>105</v>
      </c>
      <c r="D69" t="s">
        <v>705</v>
      </c>
      <c r="E69" s="9" t="s">
        <v>1014</v>
      </c>
      <c r="G69" s="1">
        <v>43619</v>
      </c>
      <c r="H69" t="s">
        <v>953</v>
      </c>
      <c r="K69" t="b">
        <f t="shared" si="52"/>
        <v>0</v>
      </c>
      <c r="L69" s="48">
        <v>149.16999999999999</v>
      </c>
      <c r="M69" s="72">
        <f>Arbeitszimmer!$B$3</f>
        <v>0.27320378419841473</v>
      </c>
      <c r="N69">
        <v>20</v>
      </c>
      <c r="O69" s="31">
        <f t="shared" si="44"/>
        <v>29.833999999999996</v>
      </c>
      <c r="P69" s="31">
        <f t="shared" si="45"/>
        <v>8.1507616977755042</v>
      </c>
      <c r="Q69" s="33">
        <f t="shared" si="46"/>
        <v>40.753808488877524</v>
      </c>
      <c r="R69" s="29">
        <f t="shared" si="47"/>
        <v>179.00399999999999</v>
      </c>
      <c r="S69" s="29">
        <f t="shared" si="48"/>
        <v>48.904570186653032</v>
      </c>
      <c r="T69" s="35">
        <f t="shared" si="51"/>
        <v>43692</v>
      </c>
      <c r="U69" s="27"/>
      <c r="V69" s="27"/>
      <c r="W69" s="58">
        <f>IF(K69=TRUE,Q69/J69,Q69)</f>
        <v>40.753808488877524</v>
      </c>
      <c r="X69" s="31">
        <f t="shared" si="49"/>
        <v>0</v>
      </c>
      <c r="Y69" t="b">
        <f t="shared" si="50"/>
        <v>0</v>
      </c>
      <c r="Z69" s="78">
        <f t="shared" si="53"/>
        <v>-40.753808488877524</v>
      </c>
    </row>
    <row r="70" spans="1:26" x14ac:dyDescent="0.25">
      <c r="A70" s="53">
        <v>2019</v>
      </c>
      <c r="B70" s="53">
        <v>69</v>
      </c>
      <c r="C70" s="71" t="s">
        <v>105</v>
      </c>
      <c r="D70" t="s">
        <v>703</v>
      </c>
      <c r="E70" s="9" t="s">
        <v>1015</v>
      </c>
      <c r="G70" s="1">
        <v>43619</v>
      </c>
      <c r="H70" t="s">
        <v>34</v>
      </c>
      <c r="K70" t="b">
        <f>(IF(AND(I70&lt;&gt;"",AND(J70="",ABS(Q70)&gt;400)),TRUE,FALSE))</f>
        <v>0</v>
      </c>
      <c r="L70" s="48">
        <f>18/1.2</f>
        <v>15</v>
      </c>
      <c r="M70" s="72">
        <v>1</v>
      </c>
      <c r="N70">
        <v>20</v>
      </c>
      <c r="O70" s="31">
        <f t="shared" si="44"/>
        <v>3</v>
      </c>
      <c r="P70" s="31">
        <f t="shared" si="45"/>
        <v>3</v>
      </c>
      <c r="Q70" s="33">
        <f t="shared" si="46"/>
        <v>15</v>
      </c>
      <c r="R70" s="29">
        <f t="shared" si="47"/>
        <v>18</v>
      </c>
      <c r="S70" s="29">
        <f t="shared" si="48"/>
        <v>18</v>
      </c>
      <c r="T70" s="35">
        <f t="shared" si="51"/>
        <v>43692</v>
      </c>
      <c r="U70" s="27"/>
      <c r="V70" s="27"/>
      <c r="W70" s="58">
        <f>IF(K70=TRUE,Q70/I70,Q70)</f>
        <v>15</v>
      </c>
      <c r="X70" s="31">
        <f t="shared" si="49"/>
        <v>0</v>
      </c>
      <c r="Y70" t="b">
        <f t="shared" si="50"/>
        <v>0</v>
      </c>
      <c r="Z70" s="78">
        <f t="shared" si="53"/>
        <v>-15</v>
      </c>
    </row>
    <row r="71" spans="1:26" x14ac:dyDescent="0.25">
      <c r="A71" s="53">
        <v>2019</v>
      </c>
      <c r="B71" s="53">
        <v>70</v>
      </c>
      <c r="C71" s="71" t="s">
        <v>105</v>
      </c>
      <c r="D71" t="s">
        <v>689</v>
      </c>
      <c r="E71" s="9" t="s">
        <v>1016</v>
      </c>
      <c r="G71" s="1">
        <v>43627</v>
      </c>
      <c r="H71" t="s">
        <v>974</v>
      </c>
      <c r="K71" t="b">
        <f>(IF(AND(I71&lt;&gt;"",AND(J71="",ABS(Q71)&gt;400)),TRUE,FALSE))</f>
        <v>0</v>
      </c>
      <c r="L71" s="48">
        <v>4.13</v>
      </c>
      <c r="M71" s="72">
        <v>1</v>
      </c>
      <c r="N71">
        <v>20</v>
      </c>
      <c r="O71" s="31">
        <f t="shared" si="44"/>
        <v>0.82599999999999996</v>
      </c>
      <c r="P71" s="31">
        <f t="shared" si="45"/>
        <v>0.82599999999999996</v>
      </c>
      <c r="Q71" s="33">
        <f t="shared" si="46"/>
        <v>4.13</v>
      </c>
      <c r="R71" s="29">
        <f t="shared" si="47"/>
        <v>4.9559999999999995</v>
      </c>
      <c r="S71" s="29">
        <f t="shared" si="48"/>
        <v>4.9559999999999995</v>
      </c>
      <c r="T71" s="35">
        <f t="shared" si="51"/>
        <v>43692</v>
      </c>
      <c r="U71" s="27"/>
      <c r="V71" s="27"/>
      <c r="W71" s="58">
        <f>IF(K71=TRUE,Q71/I71,Q71)</f>
        <v>4.13</v>
      </c>
      <c r="X71" s="31">
        <f t="shared" si="49"/>
        <v>0</v>
      </c>
      <c r="Y71" t="b">
        <f t="shared" si="50"/>
        <v>0</v>
      </c>
      <c r="Z71" s="78">
        <f t="shared" si="53"/>
        <v>-4.13</v>
      </c>
    </row>
    <row r="72" spans="1:26" x14ac:dyDescent="0.25">
      <c r="A72" s="53">
        <v>2019</v>
      </c>
      <c r="B72" s="53">
        <v>71</v>
      </c>
      <c r="C72" s="71" t="s">
        <v>105</v>
      </c>
      <c r="D72" t="s">
        <v>703</v>
      </c>
      <c r="E72" s="9" t="s">
        <v>1018</v>
      </c>
      <c r="G72" s="1">
        <v>43623</v>
      </c>
      <c r="H72" t="s">
        <v>1017</v>
      </c>
      <c r="K72" t="b">
        <f>(IF(AND(I72&lt;&gt;"",AND(J72="",ABS(Q72)&gt;400)),TRUE,FALSE))</f>
        <v>0</v>
      </c>
      <c r="L72" s="48">
        <f>27.82+1.04</f>
        <v>28.86</v>
      </c>
      <c r="M72" s="72">
        <f>2/3</f>
        <v>0.66666666666666663</v>
      </c>
      <c r="N72">
        <v>20</v>
      </c>
      <c r="O72" s="31">
        <f t="shared" si="44"/>
        <v>5.7720000000000002</v>
      </c>
      <c r="P72" s="31">
        <f t="shared" si="45"/>
        <v>3.8479999999999999</v>
      </c>
      <c r="Q72" s="33">
        <f t="shared" si="46"/>
        <v>19.239999999999998</v>
      </c>
      <c r="R72" s="29">
        <f t="shared" si="47"/>
        <v>34.631999999999998</v>
      </c>
      <c r="S72" s="29">
        <f t="shared" si="48"/>
        <v>23.087999999999997</v>
      </c>
      <c r="T72" s="35">
        <f t="shared" si="51"/>
        <v>43692</v>
      </c>
      <c r="U72" s="27"/>
      <c r="V72" s="27"/>
      <c r="W72" s="58">
        <f>IF(K72=TRUE,Q72/J72,Q72)</f>
        <v>19.239999999999998</v>
      </c>
      <c r="X72" s="31">
        <f t="shared" si="49"/>
        <v>0</v>
      </c>
      <c r="Y72" t="b">
        <f t="shared" si="50"/>
        <v>0</v>
      </c>
      <c r="Z72" s="78">
        <f t="shared" si="53"/>
        <v>-19.239999999999998</v>
      </c>
    </row>
    <row r="73" spans="1:26" x14ac:dyDescent="0.25">
      <c r="A73" s="53">
        <v>2019</v>
      </c>
      <c r="B73" s="53">
        <v>72</v>
      </c>
      <c r="C73" s="71" t="s">
        <v>105</v>
      </c>
      <c r="D73" t="s">
        <v>692</v>
      </c>
      <c r="E73" s="9" t="s">
        <v>1019</v>
      </c>
      <c r="G73" s="1">
        <v>43627</v>
      </c>
      <c r="H73" t="s">
        <v>1020</v>
      </c>
      <c r="K73" t="b">
        <v>0</v>
      </c>
      <c r="L73" s="48">
        <v>8.7799999999999994</v>
      </c>
      <c r="M73" s="72">
        <v>1</v>
      </c>
      <c r="N73">
        <v>20</v>
      </c>
      <c r="O73" s="31">
        <f t="shared" si="44"/>
        <v>1.756</v>
      </c>
      <c r="P73" s="31">
        <f t="shared" si="45"/>
        <v>1.756</v>
      </c>
      <c r="Q73" s="33">
        <f t="shared" si="46"/>
        <v>8.7799999999999994</v>
      </c>
      <c r="R73" s="29">
        <f t="shared" si="47"/>
        <v>10.536</v>
      </c>
      <c r="S73" s="29">
        <f t="shared" si="48"/>
        <v>10.536</v>
      </c>
      <c r="T73" s="35">
        <f t="shared" si="51"/>
        <v>43692</v>
      </c>
      <c r="U73" s="27"/>
      <c r="V73" s="27"/>
      <c r="W73" s="58">
        <f>IF(K73=TRUE,Q73/I73,Q73)</f>
        <v>8.7799999999999994</v>
      </c>
      <c r="X73" s="31">
        <f t="shared" si="49"/>
        <v>0</v>
      </c>
      <c r="Y73" t="b">
        <f t="shared" si="50"/>
        <v>0</v>
      </c>
      <c r="Z73" s="78">
        <f t="shared" si="53"/>
        <v>-8.7799999999999994</v>
      </c>
    </row>
    <row r="74" spans="1:26" x14ac:dyDescent="0.25">
      <c r="A74" s="53">
        <v>2019</v>
      </c>
      <c r="B74" s="53">
        <v>73</v>
      </c>
      <c r="C74" s="71" t="s">
        <v>105</v>
      </c>
      <c r="D74" t="s">
        <v>705</v>
      </c>
      <c r="E74" s="9" t="s">
        <v>1022</v>
      </c>
      <c r="G74" s="1">
        <v>43627</v>
      </c>
      <c r="H74" t="s">
        <v>1021</v>
      </c>
      <c r="K74" t="b">
        <v>0</v>
      </c>
      <c r="L74" s="48">
        <v>65</v>
      </c>
      <c r="M74" s="72">
        <v>1</v>
      </c>
      <c r="N74">
        <v>0</v>
      </c>
      <c r="O74" s="31">
        <f t="shared" si="44"/>
        <v>0</v>
      </c>
      <c r="P74" s="31">
        <f t="shared" si="45"/>
        <v>0</v>
      </c>
      <c r="Q74" s="33">
        <f t="shared" si="46"/>
        <v>65</v>
      </c>
      <c r="R74" s="29">
        <f t="shared" si="47"/>
        <v>65</v>
      </c>
      <c r="S74" s="29">
        <f t="shared" si="48"/>
        <v>65</v>
      </c>
      <c r="T74" s="35">
        <f t="shared" si="51"/>
        <v>43692</v>
      </c>
      <c r="U74" s="27"/>
      <c r="V74" s="27"/>
      <c r="W74" s="58">
        <f>IF(K74=TRUE,Q74/I74,Q74)</f>
        <v>65</v>
      </c>
      <c r="X74" s="31">
        <f t="shared" si="49"/>
        <v>0</v>
      </c>
      <c r="Y74" t="b">
        <f t="shared" si="50"/>
        <v>0</v>
      </c>
      <c r="Z74" s="78">
        <f t="shared" si="53"/>
        <v>-65</v>
      </c>
    </row>
    <row r="75" spans="1:26" x14ac:dyDescent="0.25">
      <c r="A75" s="53">
        <v>2019</v>
      </c>
      <c r="B75" s="53">
        <v>74</v>
      </c>
      <c r="C75" s="71" t="s">
        <v>708</v>
      </c>
      <c r="D75" t="s">
        <v>709</v>
      </c>
      <c r="E75" s="9" t="s">
        <v>1023</v>
      </c>
      <c r="G75" s="1">
        <v>43629</v>
      </c>
      <c r="H75" s="43" t="s">
        <v>1012</v>
      </c>
      <c r="K75" t="b">
        <v>0</v>
      </c>
      <c r="L75" s="48">
        <v>1657.5</v>
      </c>
      <c r="M75" s="72">
        <v>1</v>
      </c>
      <c r="N75">
        <v>20</v>
      </c>
      <c r="O75" s="31">
        <f t="shared" si="44"/>
        <v>331.5</v>
      </c>
      <c r="P75" s="31">
        <f t="shared" si="45"/>
        <v>331.5</v>
      </c>
      <c r="Q75" s="33">
        <f t="shared" si="46"/>
        <v>1657.5</v>
      </c>
      <c r="R75" s="29">
        <f t="shared" si="47"/>
        <v>1989</v>
      </c>
      <c r="S75" s="29">
        <f t="shared" si="48"/>
        <v>1989</v>
      </c>
      <c r="T75" s="35">
        <f t="shared" si="51"/>
        <v>43692</v>
      </c>
      <c r="U75" s="27"/>
      <c r="V75" s="27"/>
      <c r="W75" s="58">
        <f>IF(K75=TRUE,Q75/I75,Q75)</f>
        <v>1657.5</v>
      </c>
      <c r="X75" s="31">
        <f t="shared" si="49"/>
        <v>0</v>
      </c>
      <c r="Y75" t="b">
        <f t="shared" si="50"/>
        <v>0</v>
      </c>
      <c r="Z75" s="78">
        <f t="shared" si="53"/>
        <v>1657.5</v>
      </c>
    </row>
    <row r="76" spans="1:26" x14ac:dyDescent="0.25">
      <c r="A76" s="53">
        <v>2019</v>
      </c>
      <c r="B76" s="53">
        <v>75</v>
      </c>
      <c r="C76" s="71" t="s">
        <v>105</v>
      </c>
      <c r="D76" t="s">
        <v>705</v>
      </c>
      <c r="E76" s="9" t="s">
        <v>1024</v>
      </c>
      <c r="G76" s="1">
        <v>43630</v>
      </c>
      <c r="H76" t="s">
        <v>927</v>
      </c>
      <c r="K76" t="b">
        <f>(IF(AND(I76&lt;&gt;"",AND(J76="",ABS(Q76)&gt;400)),TRUE,FALSE))</f>
        <v>0</v>
      </c>
      <c r="L76" s="48">
        <v>46.92</v>
      </c>
      <c r="M76" s="72">
        <v>1</v>
      </c>
      <c r="N76">
        <v>0</v>
      </c>
      <c r="O76" s="31">
        <f t="shared" si="44"/>
        <v>0</v>
      </c>
      <c r="P76" s="31">
        <f t="shared" si="45"/>
        <v>0</v>
      </c>
      <c r="Q76" s="33">
        <f t="shared" si="46"/>
        <v>46.92</v>
      </c>
      <c r="R76" s="29">
        <f t="shared" si="47"/>
        <v>46.92</v>
      </c>
      <c r="S76" s="29">
        <f t="shared" si="48"/>
        <v>46.92</v>
      </c>
      <c r="T76" s="35">
        <f t="shared" si="51"/>
        <v>43692</v>
      </c>
      <c r="U76" s="27"/>
      <c r="V76" s="27">
        <v>20</v>
      </c>
      <c r="W76" s="58">
        <f>IF(K76=TRUE,Q76/J76,Q76)</f>
        <v>46.92</v>
      </c>
      <c r="X76" s="31">
        <f t="shared" si="49"/>
        <v>9.3840000000000003</v>
      </c>
      <c r="Y76" t="b">
        <f t="shared" si="50"/>
        <v>0</v>
      </c>
      <c r="Z76" s="78">
        <f t="shared" si="53"/>
        <v>-46.92</v>
      </c>
    </row>
    <row r="77" spans="1:26" x14ac:dyDescent="0.25">
      <c r="A77" s="53">
        <v>2019</v>
      </c>
      <c r="B77" s="53">
        <v>76</v>
      </c>
      <c r="C77" s="71" t="s">
        <v>105</v>
      </c>
      <c r="D77" t="s">
        <v>705</v>
      </c>
      <c r="E77" s="9" t="s">
        <v>1025</v>
      </c>
      <c r="G77" s="1">
        <v>43633</v>
      </c>
      <c r="H77" t="s">
        <v>929</v>
      </c>
      <c r="K77" t="b">
        <f>(IF(AND(I77&lt;&gt;"",AND(J77="",ABS(Q77)&gt;400)),TRUE,FALSE))</f>
        <v>0</v>
      </c>
      <c r="L77" s="48">
        <v>78.33</v>
      </c>
      <c r="M77" s="72">
        <f>Arbeitszimmer!$B$3</f>
        <v>0.27320378419841473</v>
      </c>
      <c r="N77">
        <v>20</v>
      </c>
      <c r="O77" s="31">
        <f t="shared" si="44"/>
        <v>15.665999999999999</v>
      </c>
      <c r="P77" s="31">
        <f t="shared" si="45"/>
        <v>4.2800104832523651</v>
      </c>
      <c r="Q77" s="33">
        <f t="shared" si="46"/>
        <v>21.400052416261826</v>
      </c>
      <c r="R77" s="29">
        <f t="shared" si="47"/>
        <v>93.995999999999995</v>
      </c>
      <c r="S77" s="29">
        <f t="shared" si="48"/>
        <v>25.680062899514191</v>
      </c>
      <c r="T77" s="35">
        <f t="shared" si="51"/>
        <v>43692</v>
      </c>
      <c r="U77" s="27"/>
      <c r="V77" s="27"/>
      <c r="W77" s="58">
        <f>IF(K77=TRUE,Q77/J77,Q77)</f>
        <v>21.400052416261826</v>
      </c>
      <c r="X77" s="31">
        <f t="shared" si="49"/>
        <v>0</v>
      </c>
      <c r="Y77" t="b">
        <f t="shared" si="50"/>
        <v>0</v>
      </c>
      <c r="Z77" s="78">
        <f t="shared" si="53"/>
        <v>-21.400052416261826</v>
      </c>
    </row>
    <row r="78" spans="1:26" x14ac:dyDescent="0.25">
      <c r="A78" s="53">
        <v>2019</v>
      </c>
      <c r="B78" s="53">
        <v>77</v>
      </c>
      <c r="C78" s="71" t="s">
        <v>105</v>
      </c>
      <c r="D78" t="s">
        <v>705</v>
      </c>
      <c r="E78" s="9" t="s">
        <v>1026</v>
      </c>
      <c r="G78" s="1">
        <v>43633</v>
      </c>
      <c r="H78" t="s">
        <v>1027</v>
      </c>
      <c r="K78" t="b">
        <f>(IF(AND(I78&lt;&gt;"",AND(J78="",ABS(Q78)&gt;400)),TRUE,FALSE))</f>
        <v>0</v>
      </c>
      <c r="L78" s="48">
        <v>860</v>
      </c>
      <c r="M78" s="72">
        <v>1</v>
      </c>
      <c r="N78">
        <v>20</v>
      </c>
      <c r="O78" s="31">
        <f t="shared" si="44"/>
        <v>172</v>
      </c>
      <c r="P78" s="31">
        <f t="shared" si="45"/>
        <v>172</v>
      </c>
      <c r="Q78" s="33">
        <f t="shared" si="46"/>
        <v>860</v>
      </c>
      <c r="R78" s="29">
        <f t="shared" si="47"/>
        <v>1032</v>
      </c>
      <c r="S78" s="29">
        <f t="shared" si="48"/>
        <v>1032</v>
      </c>
      <c r="T78" s="35">
        <f t="shared" si="51"/>
        <v>43692</v>
      </c>
      <c r="U78" s="27"/>
      <c r="V78" s="27"/>
      <c r="W78" s="58">
        <f>IF(K78=TRUE,Q78/J78,Q78)</f>
        <v>860</v>
      </c>
      <c r="X78" s="31">
        <f t="shared" si="49"/>
        <v>0</v>
      </c>
      <c r="Y78" t="b">
        <f t="shared" si="50"/>
        <v>0</v>
      </c>
      <c r="Z78" s="78">
        <f t="shared" si="53"/>
        <v>-860</v>
      </c>
    </row>
    <row r="79" spans="1:26" x14ac:dyDescent="0.25">
      <c r="A79" s="53">
        <v>2019</v>
      </c>
      <c r="B79" s="53">
        <v>78</v>
      </c>
      <c r="C79" s="71" t="s">
        <v>105</v>
      </c>
      <c r="D79" t="s">
        <v>705</v>
      </c>
      <c r="E79" s="9" t="s">
        <v>1028</v>
      </c>
      <c r="G79" s="1">
        <v>43635</v>
      </c>
      <c r="H79" t="s">
        <v>951</v>
      </c>
      <c r="K79" t="b">
        <f>(IF(AND(I79&lt;&gt;"",AND(J79="",ABS(Q79)&gt;400)),TRUE,FALSE))</f>
        <v>0</v>
      </c>
      <c r="L79" s="48">
        <f>-162.78/1.1</f>
        <v>-147.98181818181817</v>
      </c>
      <c r="M79" s="72">
        <f>Arbeitszimmer!$B$3</f>
        <v>0.27320378419841473</v>
      </c>
      <c r="N79">
        <v>10</v>
      </c>
      <c r="O79" s="31">
        <f t="shared" si="44"/>
        <v>-14.798181818181817</v>
      </c>
      <c r="P79" s="31">
        <f t="shared" si="45"/>
        <v>-4.0429192719834495</v>
      </c>
      <c r="Q79" s="33">
        <f t="shared" si="46"/>
        <v>-40.429192719834496</v>
      </c>
      <c r="R79" s="29">
        <f t="shared" si="47"/>
        <v>-162.77999999999997</v>
      </c>
      <c r="S79" s="29">
        <f t="shared" si="48"/>
        <v>-44.472111991817947</v>
      </c>
      <c r="T79" s="35">
        <f t="shared" si="51"/>
        <v>43692</v>
      </c>
      <c r="U79" s="27"/>
      <c r="V79" s="27"/>
      <c r="W79" s="58">
        <f>IF(K79=TRUE,Q79/J79,Q79)</f>
        <v>-40.429192719834496</v>
      </c>
      <c r="X79" s="31">
        <f t="shared" si="49"/>
        <v>0</v>
      </c>
      <c r="Y79" t="b">
        <f t="shared" si="50"/>
        <v>0</v>
      </c>
      <c r="Z79" s="78">
        <f t="shared" si="53"/>
        <v>40.429192719834496</v>
      </c>
    </row>
    <row r="80" spans="1:26" x14ac:dyDescent="0.25">
      <c r="A80" s="53">
        <v>2019</v>
      </c>
      <c r="B80" s="53">
        <v>79</v>
      </c>
      <c r="C80" s="71" t="s">
        <v>105</v>
      </c>
      <c r="D80" t="s">
        <v>689</v>
      </c>
      <c r="E80" s="9" t="s">
        <v>1030</v>
      </c>
      <c r="G80" s="1">
        <v>43635</v>
      </c>
      <c r="H80" t="s">
        <v>1029</v>
      </c>
      <c r="K80" t="b">
        <v>0</v>
      </c>
      <c r="L80" s="48">
        <f>11.4/1.1</f>
        <v>10.363636363636363</v>
      </c>
      <c r="M80" s="72">
        <v>1</v>
      </c>
      <c r="N80">
        <v>10</v>
      </c>
      <c r="O80" s="31">
        <f t="shared" si="44"/>
        <v>1.0363636363636362</v>
      </c>
      <c r="P80" s="31">
        <f t="shared" si="45"/>
        <v>1.0363636363636362</v>
      </c>
      <c r="Q80" s="33">
        <f t="shared" si="46"/>
        <v>10.363636363636363</v>
      </c>
      <c r="R80" s="29">
        <f t="shared" si="47"/>
        <v>11.399999999999999</v>
      </c>
      <c r="S80" s="29">
        <f t="shared" si="48"/>
        <v>11.399999999999999</v>
      </c>
      <c r="T80" s="35">
        <f t="shared" si="51"/>
        <v>43692</v>
      </c>
      <c r="U80" s="27"/>
      <c r="V80" s="27"/>
      <c r="W80" s="58">
        <f>IF(K80=TRUE,Q80/J80,Q80)</f>
        <v>10.363636363636363</v>
      </c>
      <c r="X80" s="31">
        <f t="shared" si="49"/>
        <v>0</v>
      </c>
      <c r="Y80" t="b">
        <f t="shared" si="50"/>
        <v>0</v>
      </c>
      <c r="Z80" s="78">
        <f t="shared" si="53"/>
        <v>-10.363636363636363</v>
      </c>
    </row>
    <row r="81" spans="1:26" x14ac:dyDescent="0.25">
      <c r="A81" s="53">
        <v>2019</v>
      </c>
      <c r="B81" s="53">
        <v>80</v>
      </c>
      <c r="C81" s="71" t="s">
        <v>105</v>
      </c>
      <c r="D81" t="s">
        <v>689</v>
      </c>
      <c r="E81" s="9" t="s">
        <v>1031</v>
      </c>
      <c r="G81" s="1">
        <v>43637</v>
      </c>
      <c r="H81" t="s">
        <v>974</v>
      </c>
      <c r="K81" t="b">
        <f>(IF(AND(I81&lt;&gt;"",AND(J81="",ABS(Q81)&gt;400)),TRUE,FALSE))</f>
        <v>0</v>
      </c>
      <c r="L81" s="48">
        <v>2.3199999999999998</v>
      </c>
      <c r="M81" s="72">
        <v>1</v>
      </c>
      <c r="N81">
        <v>20</v>
      </c>
      <c r="O81" s="31">
        <v>0.47</v>
      </c>
      <c r="P81" s="31">
        <v>0.47</v>
      </c>
      <c r="Q81" s="33">
        <f t="shared" si="46"/>
        <v>2.3199999999999998</v>
      </c>
      <c r="R81" s="29">
        <f t="shared" si="47"/>
        <v>2.79</v>
      </c>
      <c r="S81" s="29">
        <f t="shared" si="48"/>
        <v>2.79</v>
      </c>
      <c r="T81" s="35">
        <f t="shared" si="51"/>
        <v>43692</v>
      </c>
      <c r="U81" s="27"/>
      <c r="V81" s="27"/>
      <c r="W81" s="58">
        <f>IF(K81=TRUE,Q81/I81,Q81)</f>
        <v>2.3199999999999998</v>
      </c>
      <c r="X81" s="31">
        <f t="shared" si="49"/>
        <v>0</v>
      </c>
      <c r="Y81" t="b">
        <f t="shared" si="50"/>
        <v>0</v>
      </c>
      <c r="Z81" s="78">
        <f t="shared" si="53"/>
        <v>-2.3199999999999998</v>
      </c>
    </row>
    <row r="82" spans="1:26" x14ac:dyDescent="0.25">
      <c r="A82" s="53">
        <v>2019</v>
      </c>
      <c r="B82" s="53">
        <v>81</v>
      </c>
      <c r="C82" s="71" t="s">
        <v>105</v>
      </c>
      <c r="D82" t="s">
        <v>689</v>
      </c>
      <c r="E82" s="9" t="s">
        <v>1034</v>
      </c>
      <c r="G82" s="1">
        <v>43637</v>
      </c>
      <c r="H82" t="s">
        <v>974</v>
      </c>
      <c r="K82" t="b">
        <f>(IF(AND(I82&lt;&gt;"",AND(J82="",ABS(Q82)&gt;400)),TRUE,FALSE))</f>
        <v>0</v>
      </c>
      <c r="L82" s="48">
        <v>6.97</v>
      </c>
      <c r="M82" s="72">
        <v>1</v>
      </c>
      <c r="N82">
        <v>20</v>
      </c>
      <c r="O82" s="31">
        <v>1.4</v>
      </c>
      <c r="P82" s="31">
        <v>1.4</v>
      </c>
      <c r="Q82" s="33">
        <f t="shared" si="46"/>
        <v>6.97</v>
      </c>
      <c r="R82" s="29">
        <f t="shared" si="47"/>
        <v>8.3699999999999992</v>
      </c>
      <c r="S82" s="29">
        <f t="shared" si="48"/>
        <v>8.3699999999999992</v>
      </c>
      <c r="T82" s="35">
        <f t="shared" si="51"/>
        <v>43692</v>
      </c>
      <c r="U82" s="27"/>
      <c r="V82" s="27"/>
      <c r="W82" s="58">
        <f>IF(K82=TRUE,Q82/I82,Q82)</f>
        <v>6.97</v>
      </c>
      <c r="X82" s="31">
        <f t="shared" si="49"/>
        <v>0</v>
      </c>
      <c r="Y82" t="b">
        <f t="shared" si="50"/>
        <v>0</v>
      </c>
      <c r="Z82" s="78">
        <f t="shared" si="53"/>
        <v>-6.97</v>
      </c>
    </row>
    <row r="83" spans="1:26" x14ac:dyDescent="0.25">
      <c r="A83" s="53">
        <v>2019</v>
      </c>
      <c r="B83" s="53">
        <v>82</v>
      </c>
      <c r="C83" s="71" t="s">
        <v>105</v>
      </c>
      <c r="D83" t="s">
        <v>692</v>
      </c>
      <c r="E83" s="9" t="s">
        <v>1033</v>
      </c>
      <c r="G83" s="1">
        <v>43640</v>
      </c>
      <c r="H83" t="s">
        <v>1032</v>
      </c>
      <c r="K83" t="b">
        <f>(IF(AND(I83&lt;&gt;"",AND(J83="",ABS(Q83)&gt;400)),TRUE,FALSE))</f>
        <v>0</v>
      </c>
      <c r="L83" s="48">
        <v>57.5</v>
      </c>
      <c r="M83" s="72">
        <v>1</v>
      </c>
      <c r="N83">
        <v>20</v>
      </c>
      <c r="O83" s="31">
        <f>L83*N83/100</f>
        <v>11.5</v>
      </c>
      <c r="P83" s="31">
        <f>M83*O83</f>
        <v>11.5</v>
      </c>
      <c r="Q83" s="33">
        <f t="shared" si="46"/>
        <v>57.5</v>
      </c>
      <c r="R83" s="29">
        <f t="shared" si="47"/>
        <v>69</v>
      </c>
      <c r="S83" s="29">
        <f t="shared" si="48"/>
        <v>69</v>
      </c>
      <c r="T83" s="35">
        <f t="shared" si="51"/>
        <v>43692</v>
      </c>
      <c r="U83" s="27"/>
      <c r="V83" s="27"/>
      <c r="W83" s="58">
        <f>IF(K83=TRUE,Q83/J83,Q83)</f>
        <v>57.5</v>
      </c>
      <c r="X83" s="31">
        <f t="shared" si="49"/>
        <v>0</v>
      </c>
      <c r="Y83" t="b">
        <f t="shared" si="50"/>
        <v>0</v>
      </c>
      <c r="Z83" s="78">
        <f t="shared" si="53"/>
        <v>-57.5</v>
      </c>
    </row>
    <row r="84" spans="1:26" x14ac:dyDescent="0.25">
      <c r="A84" s="53">
        <v>2019</v>
      </c>
      <c r="B84" s="53">
        <v>83</v>
      </c>
      <c r="C84" s="71" t="s">
        <v>105</v>
      </c>
      <c r="D84" t="s">
        <v>691</v>
      </c>
      <c r="E84" s="9" t="s">
        <v>950</v>
      </c>
      <c r="G84" s="1">
        <v>43641</v>
      </c>
      <c r="H84" t="s">
        <v>951</v>
      </c>
      <c r="K84" t="b">
        <f t="shared" ref="K84:K109" si="54">(IF(AND(I84&lt;&gt;"",AND(J84="",ABS(Q84)&gt;400)),TRUE,FALSE))</f>
        <v>0</v>
      </c>
      <c r="L84" s="48">
        <v>763.44</v>
      </c>
      <c r="M84" s="72">
        <f>Arbeitszimmer!$B$3</f>
        <v>0.27320378419841473</v>
      </c>
      <c r="N84">
        <v>10</v>
      </c>
      <c r="O84" s="31">
        <f>L84*N84/100</f>
        <v>76.344000000000008</v>
      </c>
      <c r="P84" s="31">
        <f>M84*O84</f>
        <v>20.857469700843776</v>
      </c>
      <c r="Q84" s="33">
        <f t="shared" si="46"/>
        <v>208.57469700843777</v>
      </c>
      <c r="R84" s="29">
        <f t="shared" si="47"/>
        <v>839.78400000000011</v>
      </c>
      <c r="S84" s="29">
        <f t="shared" si="48"/>
        <v>229.43216670928155</v>
      </c>
      <c r="T84" s="35">
        <f t="shared" si="51"/>
        <v>43692</v>
      </c>
      <c r="U84" s="27"/>
      <c r="V84" s="27"/>
      <c r="W84" s="58">
        <f>IF(K84=TRUE,Q84/J84,Q84)</f>
        <v>208.57469700843777</v>
      </c>
      <c r="X84" s="31">
        <f t="shared" si="49"/>
        <v>0</v>
      </c>
      <c r="Y84" t="b">
        <f t="shared" si="50"/>
        <v>0</v>
      </c>
      <c r="Z84" s="78">
        <f t="shared" si="53"/>
        <v>-208.57469700843777</v>
      </c>
    </row>
    <row r="85" spans="1:26" x14ac:dyDescent="0.25">
      <c r="A85" s="53">
        <v>2019</v>
      </c>
      <c r="B85" s="53">
        <v>84</v>
      </c>
      <c r="C85" s="71" t="s">
        <v>105</v>
      </c>
      <c r="D85" t="s">
        <v>689</v>
      </c>
      <c r="E85" s="9" t="s">
        <v>1035</v>
      </c>
      <c r="G85" s="1">
        <v>43643</v>
      </c>
      <c r="H85" t="s">
        <v>1036</v>
      </c>
      <c r="K85" t="b">
        <f t="shared" si="54"/>
        <v>0</v>
      </c>
      <c r="L85" s="48">
        <v>21</v>
      </c>
      <c r="M85" s="72">
        <v>1</v>
      </c>
      <c r="N85">
        <v>0</v>
      </c>
      <c r="O85" s="31">
        <f>L85*N85/100</f>
        <v>0</v>
      </c>
      <c r="P85" s="31">
        <f>M85*O85</f>
        <v>0</v>
      </c>
      <c r="Q85" s="33">
        <f t="shared" si="46"/>
        <v>21</v>
      </c>
      <c r="R85" s="29">
        <f t="shared" si="47"/>
        <v>21</v>
      </c>
      <c r="S85" s="29">
        <f t="shared" si="48"/>
        <v>21</v>
      </c>
      <c r="T85" s="35">
        <f t="shared" si="51"/>
        <v>43692</v>
      </c>
      <c r="U85" s="27"/>
      <c r="V85" s="27"/>
      <c r="W85" s="58">
        <f>IF(K85=TRUE,Q85/I85,Q85)</f>
        <v>21</v>
      </c>
      <c r="X85" s="31">
        <f t="shared" si="49"/>
        <v>0</v>
      </c>
      <c r="Y85" t="b">
        <f t="shared" si="50"/>
        <v>0</v>
      </c>
      <c r="Z85" s="78">
        <f t="shared" si="53"/>
        <v>-21</v>
      </c>
    </row>
    <row r="86" spans="1:26" x14ac:dyDescent="0.25">
      <c r="A86" s="53">
        <v>2019</v>
      </c>
      <c r="B86" s="53">
        <v>85</v>
      </c>
      <c r="C86" s="71" t="s">
        <v>708</v>
      </c>
      <c r="D86" t="s">
        <v>709</v>
      </c>
      <c r="E86" s="9" t="s">
        <v>1037</v>
      </c>
      <c r="G86" s="1">
        <v>43648</v>
      </c>
      <c r="H86" t="s">
        <v>1038</v>
      </c>
      <c r="K86" t="b">
        <f t="shared" si="54"/>
        <v>0</v>
      </c>
      <c r="L86" s="48">
        <v>12.42</v>
      </c>
      <c r="M86" s="72">
        <v>1</v>
      </c>
      <c r="N86">
        <v>20</v>
      </c>
      <c r="O86" s="31">
        <f t="shared" ref="O86:O98" si="55">L86*N86/100</f>
        <v>2.484</v>
      </c>
      <c r="P86" s="31">
        <f t="shared" ref="P86:P98" si="56">M86*O86</f>
        <v>2.484</v>
      </c>
      <c r="Q86" s="33">
        <f t="shared" ref="Q86:Q98" si="57">L86*M86</f>
        <v>12.42</v>
      </c>
      <c r="R86" s="29">
        <f t="shared" ref="R86:R98" si="58">L86+O86</f>
        <v>14.904</v>
      </c>
      <c r="S86" s="29">
        <f t="shared" ref="S86:S98" si="59">Q86+P86</f>
        <v>14.904</v>
      </c>
      <c r="T86" s="35">
        <f t="shared" si="51"/>
        <v>43784</v>
      </c>
      <c r="U86" s="27"/>
      <c r="V86" s="27"/>
      <c r="W86" s="58">
        <f t="shared" ref="W86:W98" si="60">IF(K86=TRUE,Q86/I86,Q86)</f>
        <v>12.42</v>
      </c>
      <c r="X86" s="31">
        <f t="shared" ref="X86:X98" si="61">V86/100*S86</f>
        <v>0</v>
      </c>
      <c r="Y86" t="b">
        <f t="shared" ref="Y86:Y98" si="62">IF(AND(V86&gt;0,N86=V86),TRUE,FALSE)</f>
        <v>0</v>
      </c>
      <c r="Z86" s="78">
        <f t="shared" si="53"/>
        <v>12.42</v>
      </c>
    </row>
    <row r="87" spans="1:26" x14ac:dyDescent="0.25">
      <c r="A87" s="53">
        <v>2019</v>
      </c>
      <c r="B87" s="53">
        <v>86</v>
      </c>
      <c r="C87" s="71" t="s">
        <v>708</v>
      </c>
      <c r="D87" t="s">
        <v>709</v>
      </c>
      <c r="E87" s="9" t="s">
        <v>1039</v>
      </c>
      <c r="G87" s="1">
        <v>43647</v>
      </c>
      <c r="H87" t="s">
        <v>933</v>
      </c>
      <c r="K87" t="b">
        <f t="shared" si="54"/>
        <v>0</v>
      </c>
      <c r="L87" s="48">
        <v>2502.5</v>
      </c>
      <c r="M87" s="72">
        <v>1</v>
      </c>
      <c r="N87">
        <v>20</v>
      </c>
      <c r="O87" s="31">
        <f t="shared" si="55"/>
        <v>500.5</v>
      </c>
      <c r="P87" s="31">
        <f t="shared" si="56"/>
        <v>500.5</v>
      </c>
      <c r="Q87" s="33">
        <f t="shared" si="57"/>
        <v>2502.5</v>
      </c>
      <c r="R87" s="29">
        <f t="shared" si="58"/>
        <v>3003</v>
      </c>
      <c r="S87" s="29">
        <f t="shared" si="59"/>
        <v>3003</v>
      </c>
      <c r="T87" s="35">
        <f t="shared" si="51"/>
        <v>43784</v>
      </c>
      <c r="U87" s="27"/>
      <c r="V87" s="27"/>
      <c r="W87" s="58">
        <f t="shared" si="60"/>
        <v>2502.5</v>
      </c>
      <c r="X87" s="31">
        <f t="shared" si="61"/>
        <v>0</v>
      </c>
      <c r="Y87" t="b">
        <f t="shared" si="62"/>
        <v>0</v>
      </c>
      <c r="Z87" s="78">
        <f t="shared" si="53"/>
        <v>2502.5</v>
      </c>
    </row>
    <row r="88" spans="1:26" x14ac:dyDescent="0.25">
      <c r="A88" s="53">
        <v>2019</v>
      </c>
      <c r="B88" s="53">
        <v>87</v>
      </c>
      <c r="C88" s="71" t="s">
        <v>708</v>
      </c>
      <c r="D88" t="s">
        <v>709</v>
      </c>
      <c r="E88" s="9" t="s">
        <v>1040</v>
      </c>
      <c r="G88" s="1">
        <v>43648</v>
      </c>
      <c r="H88" t="s">
        <v>1038</v>
      </c>
      <c r="K88" t="b">
        <f t="shared" si="54"/>
        <v>0</v>
      </c>
      <c r="L88" s="48">
        <v>134.6</v>
      </c>
      <c r="M88" s="72">
        <v>1</v>
      </c>
      <c r="N88">
        <v>20</v>
      </c>
      <c r="O88" s="31">
        <f t="shared" si="55"/>
        <v>26.92</v>
      </c>
      <c r="P88" s="31">
        <f t="shared" si="56"/>
        <v>26.92</v>
      </c>
      <c r="Q88" s="33">
        <f t="shared" si="57"/>
        <v>134.6</v>
      </c>
      <c r="R88" s="29">
        <f t="shared" si="58"/>
        <v>161.51999999999998</v>
      </c>
      <c r="S88" s="29">
        <f t="shared" si="59"/>
        <v>161.51999999999998</v>
      </c>
      <c r="T88" s="35">
        <f t="shared" si="51"/>
        <v>43784</v>
      </c>
      <c r="U88" s="27"/>
      <c r="V88" s="27"/>
      <c r="W88" s="58">
        <f t="shared" si="60"/>
        <v>134.6</v>
      </c>
      <c r="X88" s="31">
        <f t="shared" si="61"/>
        <v>0</v>
      </c>
      <c r="Y88" t="b">
        <f t="shared" si="62"/>
        <v>0</v>
      </c>
      <c r="Z88" s="78">
        <f t="shared" si="53"/>
        <v>134.6</v>
      </c>
    </row>
    <row r="89" spans="1:26" x14ac:dyDescent="0.25">
      <c r="A89" s="53">
        <v>2019</v>
      </c>
      <c r="B89" s="53">
        <v>88</v>
      </c>
      <c r="C89" s="71" t="s">
        <v>105</v>
      </c>
      <c r="D89" t="s">
        <v>689</v>
      </c>
      <c r="E89" s="9" t="s">
        <v>1042</v>
      </c>
      <c r="G89" s="1">
        <v>43651</v>
      </c>
      <c r="H89" t="s">
        <v>974</v>
      </c>
      <c r="K89" t="b">
        <f t="shared" si="54"/>
        <v>0</v>
      </c>
      <c r="L89" s="48">
        <v>5.7</v>
      </c>
      <c r="M89" s="72">
        <v>1</v>
      </c>
      <c r="N89">
        <v>20</v>
      </c>
      <c r="O89" s="31">
        <f t="shared" si="55"/>
        <v>1.1399999999999999</v>
      </c>
      <c r="P89" s="31">
        <f t="shared" si="56"/>
        <v>1.1399999999999999</v>
      </c>
      <c r="Q89" s="33">
        <f t="shared" si="57"/>
        <v>5.7</v>
      </c>
      <c r="R89" s="29">
        <f t="shared" si="58"/>
        <v>6.84</v>
      </c>
      <c r="S89" s="29">
        <f t="shared" si="59"/>
        <v>6.84</v>
      </c>
      <c r="T89" s="35">
        <f t="shared" si="51"/>
        <v>43784</v>
      </c>
      <c r="U89" s="27"/>
      <c r="V89" s="27"/>
      <c r="W89" s="58">
        <f t="shared" si="60"/>
        <v>5.7</v>
      </c>
      <c r="X89" s="31">
        <f t="shared" si="61"/>
        <v>0</v>
      </c>
      <c r="Y89" t="b">
        <f t="shared" si="62"/>
        <v>0</v>
      </c>
      <c r="Z89" s="78">
        <f t="shared" si="53"/>
        <v>-5.7</v>
      </c>
    </row>
    <row r="90" spans="1:26" x14ac:dyDescent="0.25">
      <c r="A90" s="53">
        <v>2019</v>
      </c>
      <c r="B90" s="53">
        <v>89</v>
      </c>
      <c r="C90" s="71" t="s">
        <v>105</v>
      </c>
      <c r="D90" t="s">
        <v>703</v>
      </c>
      <c r="E90" s="9" t="s">
        <v>1043</v>
      </c>
      <c r="G90" s="1">
        <v>43651</v>
      </c>
      <c r="H90" t="s">
        <v>34</v>
      </c>
      <c r="K90" t="b">
        <f>(IF(AND(I90&lt;&gt;"",AND(J90="",ABS(Q90)&gt;400)),TRUE,FALSE))</f>
        <v>0</v>
      </c>
      <c r="L90" s="48">
        <f>18/1.2</f>
        <v>15</v>
      </c>
      <c r="M90" s="72">
        <v>1</v>
      </c>
      <c r="N90">
        <v>20</v>
      </c>
      <c r="O90" s="31">
        <f t="shared" si="55"/>
        <v>3</v>
      </c>
      <c r="P90" s="31">
        <f t="shared" si="56"/>
        <v>3</v>
      </c>
      <c r="Q90" s="33">
        <f t="shared" si="57"/>
        <v>15</v>
      </c>
      <c r="R90" s="29">
        <f t="shared" si="58"/>
        <v>18</v>
      </c>
      <c r="S90" s="29">
        <f t="shared" si="59"/>
        <v>18</v>
      </c>
      <c r="T90" s="35">
        <f t="shared" si="51"/>
        <v>43784</v>
      </c>
      <c r="U90" s="27"/>
      <c r="V90" s="27"/>
      <c r="W90" s="58">
        <f t="shared" si="60"/>
        <v>15</v>
      </c>
      <c r="X90" s="31">
        <f t="shared" si="61"/>
        <v>0</v>
      </c>
      <c r="Y90" t="b">
        <f t="shared" si="62"/>
        <v>0</v>
      </c>
      <c r="Z90" s="78">
        <f t="shared" si="53"/>
        <v>-15</v>
      </c>
    </row>
    <row r="91" spans="1:26" x14ac:dyDescent="0.25">
      <c r="A91" s="53">
        <v>2019</v>
      </c>
      <c r="B91" s="53">
        <v>90</v>
      </c>
      <c r="C91" s="71" t="s">
        <v>708</v>
      </c>
      <c r="D91" t="s">
        <v>709</v>
      </c>
      <c r="E91" s="9" t="s">
        <v>1044</v>
      </c>
      <c r="G91" s="1">
        <v>43654</v>
      </c>
      <c r="H91" t="s">
        <v>1045</v>
      </c>
      <c r="K91" t="b">
        <f t="shared" si="54"/>
        <v>0</v>
      </c>
      <c r="L91" s="48">
        <v>170.63</v>
      </c>
      <c r="M91" s="72">
        <v>1</v>
      </c>
      <c r="N91">
        <v>20</v>
      </c>
      <c r="O91" s="31">
        <f t="shared" si="55"/>
        <v>34.125999999999998</v>
      </c>
      <c r="P91" s="31">
        <f t="shared" si="56"/>
        <v>34.125999999999998</v>
      </c>
      <c r="Q91" s="33">
        <f t="shared" si="57"/>
        <v>170.63</v>
      </c>
      <c r="R91" s="29">
        <f t="shared" si="58"/>
        <v>204.756</v>
      </c>
      <c r="S91" s="29">
        <f t="shared" si="59"/>
        <v>204.756</v>
      </c>
      <c r="T91" s="35">
        <f t="shared" si="51"/>
        <v>43784</v>
      </c>
      <c r="U91" s="27"/>
      <c r="V91" s="27"/>
      <c r="W91" s="58">
        <f t="shared" si="60"/>
        <v>170.63</v>
      </c>
      <c r="X91" s="31">
        <f t="shared" si="61"/>
        <v>0</v>
      </c>
      <c r="Y91" t="b">
        <f t="shared" si="62"/>
        <v>0</v>
      </c>
      <c r="Z91" s="78">
        <f t="shared" si="53"/>
        <v>170.63</v>
      </c>
    </row>
    <row r="92" spans="1:26" x14ac:dyDescent="0.25">
      <c r="A92" s="53">
        <v>2019</v>
      </c>
      <c r="B92" s="53">
        <v>91</v>
      </c>
      <c r="C92" s="71" t="s">
        <v>105</v>
      </c>
      <c r="D92" t="s">
        <v>703</v>
      </c>
      <c r="E92" s="9" t="s">
        <v>1046</v>
      </c>
      <c r="G92" s="1">
        <v>43656</v>
      </c>
      <c r="H92" t="s">
        <v>1017</v>
      </c>
      <c r="K92" t="b">
        <f t="shared" si="54"/>
        <v>0</v>
      </c>
      <c r="L92" s="48">
        <f>27.82+1.04</f>
        <v>28.86</v>
      </c>
      <c r="M92" s="72">
        <f>2/3</f>
        <v>0.66666666666666663</v>
      </c>
      <c r="N92">
        <v>20</v>
      </c>
      <c r="O92" s="31">
        <f t="shared" si="55"/>
        <v>5.7720000000000002</v>
      </c>
      <c r="P92" s="31">
        <f t="shared" si="56"/>
        <v>3.8479999999999999</v>
      </c>
      <c r="Q92" s="33">
        <f t="shared" si="57"/>
        <v>19.239999999999998</v>
      </c>
      <c r="R92" s="29">
        <f t="shared" si="58"/>
        <v>34.631999999999998</v>
      </c>
      <c r="S92" s="29">
        <f t="shared" si="59"/>
        <v>23.087999999999997</v>
      </c>
      <c r="T92" s="35">
        <f t="shared" ref="T92:T123" si="63">voranmeldefrist_vierteljaehrlich(G92)</f>
        <v>43784</v>
      </c>
      <c r="U92" s="27"/>
      <c r="V92" s="27"/>
      <c r="W92" s="58">
        <f>IF(K92=TRUE,Q92/J92,Q92)</f>
        <v>19.239999999999998</v>
      </c>
      <c r="X92" s="31">
        <f t="shared" si="61"/>
        <v>0</v>
      </c>
      <c r="Y92" t="b">
        <f t="shared" si="62"/>
        <v>0</v>
      </c>
      <c r="Z92" s="78">
        <f t="shared" si="53"/>
        <v>-19.239999999999998</v>
      </c>
    </row>
    <row r="93" spans="1:26" x14ac:dyDescent="0.25">
      <c r="A93" s="53">
        <v>2019</v>
      </c>
      <c r="B93" s="53">
        <v>92</v>
      </c>
      <c r="C93" s="71" t="s">
        <v>105</v>
      </c>
      <c r="D93" t="s">
        <v>705</v>
      </c>
      <c r="E93" s="9" t="s">
        <v>1047</v>
      </c>
      <c r="G93" s="1">
        <v>43654</v>
      </c>
      <c r="H93" t="s">
        <v>927</v>
      </c>
      <c r="K93" t="b">
        <f t="shared" si="54"/>
        <v>0</v>
      </c>
      <c r="L93" s="48">
        <v>46.92</v>
      </c>
      <c r="M93" s="72">
        <v>1</v>
      </c>
      <c r="N93">
        <v>0</v>
      </c>
      <c r="O93" s="31">
        <f t="shared" si="55"/>
        <v>0</v>
      </c>
      <c r="P93" s="31">
        <f t="shared" si="56"/>
        <v>0</v>
      </c>
      <c r="Q93" s="33">
        <f t="shared" si="57"/>
        <v>46.92</v>
      </c>
      <c r="R93" s="29">
        <f t="shared" si="58"/>
        <v>46.92</v>
      </c>
      <c r="S93" s="29">
        <f t="shared" si="59"/>
        <v>46.92</v>
      </c>
      <c r="T93" s="35">
        <f t="shared" si="63"/>
        <v>43784</v>
      </c>
      <c r="U93" s="27"/>
      <c r="V93" s="27">
        <v>20</v>
      </c>
      <c r="W93" s="58">
        <f>IF(K93=TRUE,Q93/J93,Q93)</f>
        <v>46.92</v>
      </c>
      <c r="X93" s="31">
        <f t="shared" si="61"/>
        <v>9.3840000000000003</v>
      </c>
      <c r="Y93" t="b">
        <f t="shared" si="62"/>
        <v>0</v>
      </c>
      <c r="Z93" s="78">
        <f t="shared" si="53"/>
        <v>-46.92</v>
      </c>
    </row>
    <row r="94" spans="1:26" x14ac:dyDescent="0.25">
      <c r="A94" s="53">
        <v>2019</v>
      </c>
      <c r="B94" s="53">
        <v>93</v>
      </c>
      <c r="C94" s="71" t="s">
        <v>105</v>
      </c>
      <c r="D94" t="s">
        <v>705</v>
      </c>
      <c r="E94" s="9" t="s">
        <v>1048</v>
      </c>
      <c r="G94" s="1">
        <v>43661</v>
      </c>
      <c r="H94" t="s">
        <v>929</v>
      </c>
      <c r="K94" t="b">
        <f t="shared" si="54"/>
        <v>0</v>
      </c>
      <c r="L94" s="48">
        <v>78.33</v>
      </c>
      <c r="M94" s="72">
        <f>Arbeitszimmer!$B$3</f>
        <v>0.27320378419841473</v>
      </c>
      <c r="N94">
        <v>20</v>
      </c>
      <c r="O94" s="31">
        <f t="shared" si="55"/>
        <v>15.665999999999999</v>
      </c>
      <c r="P94" s="31">
        <f t="shared" si="56"/>
        <v>4.2800104832523651</v>
      </c>
      <c r="Q94" s="33">
        <f t="shared" si="57"/>
        <v>21.400052416261826</v>
      </c>
      <c r="R94" s="29">
        <f t="shared" si="58"/>
        <v>93.995999999999995</v>
      </c>
      <c r="S94" s="29">
        <f t="shared" si="59"/>
        <v>25.680062899514191</v>
      </c>
      <c r="T94" s="35">
        <f t="shared" si="63"/>
        <v>43784</v>
      </c>
      <c r="U94" s="27"/>
      <c r="V94" s="27"/>
      <c r="W94" s="58">
        <f>IF(K94=TRUE,Q94/J94,Q94)</f>
        <v>21.400052416261826</v>
      </c>
      <c r="X94" s="31">
        <f t="shared" si="61"/>
        <v>0</v>
      </c>
      <c r="Y94" t="b">
        <f t="shared" si="62"/>
        <v>0</v>
      </c>
      <c r="Z94" s="78">
        <f t="shared" si="53"/>
        <v>-21.400052416261826</v>
      </c>
    </row>
    <row r="95" spans="1:26" x14ac:dyDescent="0.25">
      <c r="A95" s="53">
        <v>2019</v>
      </c>
      <c r="B95" s="53">
        <v>94</v>
      </c>
      <c r="C95" s="71" t="s">
        <v>105</v>
      </c>
      <c r="D95" t="s">
        <v>689</v>
      </c>
      <c r="E95" s="9" t="s">
        <v>1049</v>
      </c>
      <c r="G95" s="1">
        <v>43644</v>
      </c>
      <c r="H95" t="s">
        <v>974</v>
      </c>
      <c r="K95" t="b">
        <f>(IF(AND(I95&lt;&gt;"",AND(J95="",ABS(Q95)&gt;400)),TRUE,FALSE))</f>
        <v>0</v>
      </c>
      <c r="L95" s="48">
        <v>10.130000000000001</v>
      </c>
      <c r="M95" s="72">
        <v>1</v>
      </c>
      <c r="N95">
        <v>20</v>
      </c>
      <c r="O95" s="31">
        <f>L95*N95/100</f>
        <v>2.0260000000000002</v>
      </c>
      <c r="P95" s="31">
        <f>M95*O95</f>
        <v>2.0260000000000002</v>
      </c>
      <c r="Q95" s="33">
        <f>L95*M95</f>
        <v>10.130000000000001</v>
      </c>
      <c r="R95" s="29">
        <f>L95+O95</f>
        <v>12.156000000000001</v>
      </c>
      <c r="S95" s="29">
        <f>Q95+P95</f>
        <v>12.156000000000001</v>
      </c>
      <c r="T95" s="35">
        <f t="shared" si="63"/>
        <v>43692</v>
      </c>
      <c r="U95" s="27"/>
      <c r="V95" s="27"/>
      <c r="W95" s="58">
        <f>IF(K95=TRUE,Q95/I95,Q95)</f>
        <v>10.130000000000001</v>
      </c>
      <c r="X95" s="31">
        <f>V95/100*S95</f>
        <v>0</v>
      </c>
      <c r="Y95" t="b">
        <f>IF(AND(V95&gt;0,N95=V95),TRUE,FALSE)</f>
        <v>0</v>
      </c>
      <c r="Z95" s="78">
        <f t="shared" si="53"/>
        <v>-10.130000000000001</v>
      </c>
    </row>
    <row r="96" spans="1:26" x14ac:dyDescent="0.25">
      <c r="A96" s="53">
        <v>2019</v>
      </c>
      <c r="B96" s="53">
        <v>95</v>
      </c>
      <c r="C96" s="71" t="s">
        <v>708</v>
      </c>
      <c r="D96" t="s">
        <v>709</v>
      </c>
      <c r="E96" s="9" t="s">
        <v>1050</v>
      </c>
      <c r="G96" s="1">
        <v>43661</v>
      </c>
      <c r="H96" t="s">
        <v>983</v>
      </c>
      <c r="K96" t="b">
        <f t="shared" si="54"/>
        <v>0</v>
      </c>
      <c r="L96" s="48">
        <v>356.25</v>
      </c>
      <c r="M96" s="72">
        <v>1</v>
      </c>
      <c r="N96">
        <v>20</v>
      </c>
      <c r="O96" s="31">
        <f t="shared" si="55"/>
        <v>71.25</v>
      </c>
      <c r="P96" s="31">
        <f t="shared" si="56"/>
        <v>71.25</v>
      </c>
      <c r="Q96" s="33">
        <f t="shared" si="57"/>
        <v>356.25</v>
      </c>
      <c r="R96" s="29">
        <f t="shared" si="58"/>
        <v>427.5</v>
      </c>
      <c r="S96" s="29">
        <f t="shared" si="59"/>
        <v>427.5</v>
      </c>
      <c r="T96" s="35">
        <f t="shared" si="63"/>
        <v>43784</v>
      </c>
      <c r="U96" s="27"/>
      <c r="V96" s="27"/>
      <c r="W96" s="58">
        <f t="shared" si="60"/>
        <v>356.25</v>
      </c>
      <c r="X96" s="31">
        <f t="shared" si="61"/>
        <v>0</v>
      </c>
      <c r="Y96" t="b">
        <f t="shared" si="62"/>
        <v>0</v>
      </c>
      <c r="Z96" s="78">
        <f t="shared" si="53"/>
        <v>356.25</v>
      </c>
    </row>
    <row r="97" spans="1:26" x14ac:dyDescent="0.25">
      <c r="A97" s="53">
        <v>2019</v>
      </c>
      <c r="B97" s="53">
        <v>96</v>
      </c>
      <c r="C97" s="71" t="s">
        <v>708</v>
      </c>
      <c r="D97" t="s">
        <v>709</v>
      </c>
      <c r="E97" s="9" t="s">
        <v>1041</v>
      </c>
      <c r="G97" s="1">
        <v>43661</v>
      </c>
      <c r="H97" t="s">
        <v>933</v>
      </c>
      <c r="K97" t="b">
        <f t="shared" si="54"/>
        <v>0</v>
      </c>
      <c r="L97" s="48">
        <v>1805.6</v>
      </c>
      <c r="M97" s="72">
        <v>1</v>
      </c>
      <c r="N97">
        <v>20</v>
      </c>
      <c r="O97" s="31">
        <f t="shared" si="55"/>
        <v>361.12</v>
      </c>
      <c r="P97" s="31">
        <f t="shared" si="56"/>
        <v>361.12</v>
      </c>
      <c r="Q97" s="33">
        <f t="shared" si="57"/>
        <v>1805.6</v>
      </c>
      <c r="R97" s="29">
        <f t="shared" si="58"/>
        <v>2166.7199999999998</v>
      </c>
      <c r="S97" s="29">
        <f t="shared" si="59"/>
        <v>2166.7199999999998</v>
      </c>
      <c r="T97" s="35">
        <f t="shared" si="63"/>
        <v>43784</v>
      </c>
      <c r="U97" s="27"/>
      <c r="V97" s="27"/>
      <c r="W97" s="58">
        <f t="shared" si="60"/>
        <v>1805.6</v>
      </c>
      <c r="X97" s="31">
        <f t="shared" si="61"/>
        <v>0</v>
      </c>
      <c r="Y97" t="b">
        <f t="shared" si="62"/>
        <v>0</v>
      </c>
      <c r="Z97" s="78">
        <f t="shared" si="53"/>
        <v>1805.6</v>
      </c>
    </row>
    <row r="98" spans="1:26" x14ac:dyDescent="0.25">
      <c r="A98" s="53">
        <v>2019</v>
      </c>
      <c r="B98" s="53">
        <v>97</v>
      </c>
      <c r="C98" s="71" t="s">
        <v>105</v>
      </c>
      <c r="D98" t="s">
        <v>689</v>
      </c>
      <c r="E98" s="9" t="s">
        <v>1051</v>
      </c>
      <c r="G98" s="1">
        <v>43663</v>
      </c>
      <c r="H98" t="s">
        <v>974</v>
      </c>
      <c r="K98" t="b">
        <f t="shared" si="54"/>
        <v>0</v>
      </c>
      <c r="L98" s="48">
        <v>6</v>
      </c>
      <c r="M98" s="72">
        <v>1</v>
      </c>
      <c r="N98">
        <v>20</v>
      </c>
      <c r="O98" s="31">
        <f t="shared" si="55"/>
        <v>1.2</v>
      </c>
      <c r="P98" s="31">
        <f t="shared" si="56"/>
        <v>1.2</v>
      </c>
      <c r="Q98" s="33">
        <f t="shared" si="57"/>
        <v>6</v>
      </c>
      <c r="R98" s="29">
        <f t="shared" si="58"/>
        <v>7.2</v>
      </c>
      <c r="S98" s="29">
        <f t="shared" si="59"/>
        <v>7.2</v>
      </c>
      <c r="T98" s="35">
        <f t="shared" si="63"/>
        <v>43784</v>
      </c>
      <c r="U98" s="27"/>
      <c r="V98" s="27"/>
      <c r="W98" s="58">
        <f t="shared" si="60"/>
        <v>6</v>
      </c>
      <c r="X98" s="31">
        <f t="shared" si="61"/>
        <v>0</v>
      </c>
      <c r="Y98" t="b">
        <f t="shared" si="62"/>
        <v>0</v>
      </c>
      <c r="Z98" s="78">
        <f t="shared" si="53"/>
        <v>-6</v>
      </c>
    </row>
    <row r="99" spans="1:26" x14ac:dyDescent="0.25">
      <c r="A99" s="53">
        <v>2019</v>
      </c>
      <c r="B99" s="53">
        <v>98</v>
      </c>
      <c r="C99" s="71" t="s">
        <v>105</v>
      </c>
      <c r="D99" t="s">
        <v>689</v>
      </c>
      <c r="E99" s="9" t="s">
        <v>1052</v>
      </c>
      <c r="G99" s="1">
        <v>43663</v>
      </c>
      <c r="H99" t="s">
        <v>974</v>
      </c>
      <c r="K99" t="b">
        <f t="shared" si="54"/>
        <v>0</v>
      </c>
      <c r="L99" s="48">
        <v>2.3199999999999998</v>
      </c>
      <c r="M99" s="72">
        <v>1</v>
      </c>
      <c r="N99">
        <v>20</v>
      </c>
      <c r="O99" s="31">
        <f t="shared" ref="O99:O110" si="64">L99*N99/100</f>
        <v>0.46399999999999997</v>
      </c>
      <c r="P99" s="31">
        <f t="shared" ref="P99:P110" si="65">M99*O99</f>
        <v>0.46399999999999997</v>
      </c>
      <c r="Q99" s="33">
        <f t="shared" ref="Q99:Q110" si="66">L99*M99</f>
        <v>2.3199999999999998</v>
      </c>
      <c r="R99" s="29">
        <f t="shared" ref="R99:R110" si="67">L99+O99</f>
        <v>2.7839999999999998</v>
      </c>
      <c r="S99" s="29">
        <f t="shared" ref="S99:S110" si="68">Q99+P99</f>
        <v>2.7839999999999998</v>
      </c>
      <c r="T99" s="35">
        <f t="shared" si="63"/>
        <v>43784</v>
      </c>
      <c r="U99" s="27"/>
      <c r="V99" s="27"/>
      <c r="W99" s="58">
        <f t="shared" ref="W99:W110" si="69">IF(K99=TRUE,Q99/I99,Q99)</f>
        <v>2.3199999999999998</v>
      </c>
      <c r="X99" s="31">
        <f t="shared" ref="X99:X110" si="70">V99/100*S99</f>
        <v>0</v>
      </c>
      <c r="Y99" t="b">
        <f t="shared" ref="Y99:Y110" si="71">IF(AND(V99&gt;0,N99=V99),TRUE,FALSE)</f>
        <v>0</v>
      </c>
      <c r="Z99" s="78">
        <f t="shared" si="53"/>
        <v>-2.3199999999999998</v>
      </c>
    </row>
    <row r="100" spans="1:26" x14ac:dyDescent="0.25">
      <c r="A100" s="53">
        <v>2019</v>
      </c>
      <c r="B100" s="53">
        <v>99</v>
      </c>
      <c r="C100" s="71" t="s">
        <v>105</v>
      </c>
      <c r="D100" t="s">
        <v>689</v>
      </c>
      <c r="E100" s="9" t="s">
        <v>1053</v>
      </c>
      <c r="G100" s="1">
        <v>43668</v>
      </c>
      <c r="H100" t="s">
        <v>974</v>
      </c>
      <c r="K100" t="b">
        <f t="shared" si="54"/>
        <v>0</v>
      </c>
      <c r="L100" s="48">
        <v>5.0999999999999996</v>
      </c>
      <c r="M100" s="72">
        <v>1</v>
      </c>
      <c r="N100">
        <v>20</v>
      </c>
      <c r="O100" s="31">
        <f t="shared" si="64"/>
        <v>1.02</v>
      </c>
      <c r="P100" s="31">
        <f t="shared" si="65"/>
        <v>1.02</v>
      </c>
      <c r="Q100" s="33">
        <f t="shared" si="66"/>
        <v>5.0999999999999996</v>
      </c>
      <c r="R100" s="29">
        <f t="shared" si="67"/>
        <v>6.1199999999999992</v>
      </c>
      <c r="S100" s="29">
        <f t="shared" si="68"/>
        <v>6.1199999999999992</v>
      </c>
      <c r="T100" s="35">
        <f t="shared" si="63"/>
        <v>43784</v>
      </c>
      <c r="U100" s="27"/>
      <c r="V100" s="27"/>
      <c r="W100" s="58">
        <f t="shared" si="69"/>
        <v>5.0999999999999996</v>
      </c>
      <c r="X100" s="31">
        <f t="shared" si="70"/>
        <v>0</v>
      </c>
      <c r="Y100" t="b">
        <f t="shared" si="71"/>
        <v>0</v>
      </c>
      <c r="Z100" s="78">
        <f t="shared" si="53"/>
        <v>-5.0999999999999996</v>
      </c>
    </row>
    <row r="101" spans="1:26" x14ac:dyDescent="0.25">
      <c r="A101" s="53">
        <v>2019</v>
      </c>
      <c r="B101" s="53">
        <v>100</v>
      </c>
      <c r="C101" s="71" t="s">
        <v>708</v>
      </c>
      <c r="D101" t="s">
        <v>709</v>
      </c>
      <c r="E101" s="9" t="s">
        <v>1054</v>
      </c>
      <c r="G101" s="1">
        <v>43669</v>
      </c>
      <c r="H101" s="43" t="s">
        <v>1055</v>
      </c>
      <c r="K101" t="b">
        <f t="shared" si="54"/>
        <v>0</v>
      </c>
      <c r="L101" s="48">
        <f>2000/1.2</f>
        <v>1666.6666666666667</v>
      </c>
      <c r="M101" s="72">
        <v>1</v>
      </c>
      <c r="N101">
        <v>20</v>
      </c>
      <c r="O101" s="31">
        <f t="shared" si="64"/>
        <v>333.33333333333337</v>
      </c>
      <c r="P101" s="31">
        <f t="shared" si="65"/>
        <v>333.33333333333337</v>
      </c>
      <c r="Q101" s="33">
        <f t="shared" si="66"/>
        <v>1666.6666666666667</v>
      </c>
      <c r="R101" s="29">
        <f t="shared" si="67"/>
        <v>2000</v>
      </c>
      <c r="S101" s="29">
        <f t="shared" si="68"/>
        <v>2000</v>
      </c>
      <c r="T101" s="35">
        <f t="shared" si="63"/>
        <v>43784</v>
      </c>
      <c r="U101" s="27"/>
      <c r="V101" s="27"/>
      <c r="W101" s="58">
        <f t="shared" si="69"/>
        <v>1666.6666666666667</v>
      </c>
      <c r="X101" s="31">
        <f t="shared" si="70"/>
        <v>0</v>
      </c>
      <c r="Y101" t="b">
        <f t="shared" si="71"/>
        <v>0</v>
      </c>
      <c r="Z101" s="78">
        <f t="shared" si="53"/>
        <v>1666.6666666666667</v>
      </c>
    </row>
    <row r="102" spans="1:26" x14ac:dyDescent="0.25">
      <c r="A102" s="53">
        <v>2019</v>
      </c>
      <c r="B102" s="53">
        <v>101</v>
      </c>
      <c r="C102" s="71" t="s">
        <v>105</v>
      </c>
      <c r="D102" t="s">
        <v>689</v>
      </c>
      <c r="E102" s="9" t="s">
        <v>1056</v>
      </c>
      <c r="G102" s="1">
        <v>43669</v>
      </c>
      <c r="H102" t="s">
        <v>1029</v>
      </c>
      <c r="K102" t="b">
        <f t="shared" si="54"/>
        <v>0</v>
      </c>
      <c r="L102" s="48">
        <v>66</v>
      </c>
      <c r="M102" s="72">
        <v>1</v>
      </c>
      <c r="N102">
        <v>20</v>
      </c>
      <c r="O102" s="31">
        <f t="shared" si="64"/>
        <v>13.2</v>
      </c>
      <c r="P102" s="31">
        <f t="shared" si="65"/>
        <v>13.2</v>
      </c>
      <c r="Q102" s="33">
        <f t="shared" si="66"/>
        <v>66</v>
      </c>
      <c r="R102" s="29">
        <f t="shared" si="67"/>
        <v>79.2</v>
      </c>
      <c r="S102" s="29">
        <f t="shared" si="68"/>
        <v>79.2</v>
      </c>
      <c r="T102" s="35">
        <f t="shared" si="63"/>
        <v>43784</v>
      </c>
      <c r="U102" s="27"/>
      <c r="V102" s="27"/>
      <c r="W102" s="58">
        <f t="shared" si="69"/>
        <v>66</v>
      </c>
      <c r="X102" s="31">
        <f t="shared" si="70"/>
        <v>0</v>
      </c>
      <c r="Y102" t="b">
        <f t="shared" si="71"/>
        <v>0</v>
      </c>
      <c r="Z102" s="78">
        <f t="shared" si="53"/>
        <v>-66</v>
      </c>
    </row>
    <row r="103" spans="1:26" x14ac:dyDescent="0.25">
      <c r="A103" s="53">
        <v>2019</v>
      </c>
      <c r="B103" s="53">
        <v>102</v>
      </c>
      <c r="C103" s="71" t="s">
        <v>105</v>
      </c>
      <c r="D103" t="s">
        <v>689</v>
      </c>
      <c r="E103" s="9" t="s">
        <v>1057</v>
      </c>
      <c r="G103" s="1">
        <v>43670</v>
      </c>
      <c r="H103" t="s">
        <v>974</v>
      </c>
      <c r="K103" t="b">
        <f t="shared" si="54"/>
        <v>0</v>
      </c>
      <c r="L103" s="48">
        <v>2.4</v>
      </c>
      <c r="M103" s="72">
        <v>1</v>
      </c>
      <c r="N103">
        <v>20</v>
      </c>
      <c r="O103" s="31">
        <f t="shared" si="64"/>
        <v>0.48</v>
      </c>
      <c r="P103" s="31">
        <f t="shared" si="65"/>
        <v>0.48</v>
      </c>
      <c r="Q103" s="33">
        <f t="shared" si="66"/>
        <v>2.4</v>
      </c>
      <c r="R103" s="29">
        <f t="shared" si="67"/>
        <v>2.88</v>
      </c>
      <c r="S103" s="29">
        <f t="shared" si="68"/>
        <v>2.88</v>
      </c>
      <c r="T103" s="35">
        <f t="shared" si="63"/>
        <v>43784</v>
      </c>
      <c r="U103" s="27"/>
      <c r="V103" s="27"/>
      <c r="W103" s="58">
        <f t="shared" si="69"/>
        <v>2.4</v>
      </c>
      <c r="X103" s="31">
        <f t="shared" si="70"/>
        <v>0</v>
      </c>
      <c r="Y103" t="b">
        <f t="shared" si="71"/>
        <v>0</v>
      </c>
      <c r="Z103" s="78">
        <f t="shared" si="53"/>
        <v>-2.4</v>
      </c>
    </row>
    <row r="104" spans="1:26" x14ac:dyDescent="0.25">
      <c r="A104" s="53">
        <v>2019</v>
      </c>
      <c r="B104" s="53">
        <v>103</v>
      </c>
      <c r="C104" s="71" t="s">
        <v>105</v>
      </c>
      <c r="D104" t="s">
        <v>693</v>
      </c>
      <c r="E104" s="9" t="s">
        <v>1059</v>
      </c>
      <c r="G104" s="1">
        <v>43600</v>
      </c>
      <c r="H104" t="s">
        <v>1058</v>
      </c>
      <c r="K104" t="b">
        <f>(IF(AND(I104&lt;&gt;"",AND(J104="",ABS(Q104)&gt;400)),TRUE,FALSE))</f>
        <v>0</v>
      </c>
      <c r="L104" s="48">
        <v>11.55</v>
      </c>
      <c r="M104" s="72">
        <v>1</v>
      </c>
      <c r="N104">
        <v>10</v>
      </c>
      <c r="O104" s="31">
        <f>L104*N104/100</f>
        <v>1.155</v>
      </c>
      <c r="P104" s="31">
        <f>M104*O104</f>
        <v>1.155</v>
      </c>
      <c r="Q104" s="33">
        <f>L104*M104</f>
        <v>11.55</v>
      </c>
      <c r="R104" s="29">
        <f>L104+O104</f>
        <v>12.705</v>
      </c>
      <c r="S104" s="29">
        <f>Q104+P104</f>
        <v>12.705</v>
      </c>
      <c r="T104" s="35">
        <f t="shared" si="63"/>
        <v>43692</v>
      </c>
      <c r="U104" s="27"/>
      <c r="V104" s="27"/>
      <c r="W104" s="58">
        <f>IF(K104=TRUE,Q104/I104,Q104)</f>
        <v>11.55</v>
      </c>
      <c r="X104" s="31">
        <f>V104/100*S104</f>
        <v>0</v>
      </c>
      <c r="Y104" t="b">
        <f>IF(AND(V104&gt;0,N104=V104),TRUE,FALSE)</f>
        <v>0</v>
      </c>
      <c r="Z104" s="78">
        <f t="shared" si="53"/>
        <v>-11.55</v>
      </c>
    </row>
    <row r="105" spans="1:26" x14ac:dyDescent="0.25">
      <c r="A105" s="53">
        <v>2019</v>
      </c>
      <c r="B105" s="53">
        <v>104</v>
      </c>
      <c r="C105" s="71" t="s">
        <v>105</v>
      </c>
      <c r="D105" t="s">
        <v>693</v>
      </c>
      <c r="E105" s="9" t="s">
        <v>1060</v>
      </c>
      <c r="G105" s="1">
        <v>43600</v>
      </c>
      <c r="H105" t="s">
        <v>1058</v>
      </c>
      <c r="K105" t="b">
        <f t="shared" si="54"/>
        <v>0</v>
      </c>
      <c r="L105" s="48">
        <v>5.83</v>
      </c>
      <c r="M105" s="72">
        <v>1</v>
      </c>
      <c r="N105">
        <v>20</v>
      </c>
      <c r="O105" s="31">
        <f t="shared" si="64"/>
        <v>1.1659999999999999</v>
      </c>
      <c r="P105" s="31">
        <f t="shared" si="65"/>
        <v>1.1659999999999999</v>
      </c>
      <c r="Q105" s="33">
        <f t="shared" si="66"/>
        <v>5.83</v>
      </c>
      <c r="R105" s="29">
        <f t="shared" si="67"/>
        <v>6.9960000000000004</v>
      </c>
      <c r="S105" s="29">
        <f t="shared" si="68"/>
        <v>6.9960000000000004</v>
      </c>
      <c r="T105" s="35">
        <f t="shared" si="63"/>
        <v>43692</v>
      </c>
      <c r="U105" s="27"/>
      <c r="V105" s="27"/>
      <c r="W105" s="58">
        <f t="shared" si="69"/>
        <v>5.83</v>
      </c>
      <c r="X105" s="31">
        <f t="shared" si="70"/>
        <v>0</v>
      </c>
      <c r="Y105" t="b">
        <f t="shared" si="71"/>
        <v>0</v>
      </c>
      <c r="Z105" s="78">
        <f t="shared" si="53"/>
        <v>-5.83</v>
      </c>
    </row>
    <row r="106" spans="1:26" x14ac:dyDescent="0.25">
      <c r="A106" s="53">
        <v>2019</v>
      </c>
      <c r="B106" s="53">
        <v>105</v>
      </c>
      <c r="C106" s="71" t="s">
        <v>105</v>
      </c>
      <c r="D106" t="s">
        <v>691</v>
      </c>
      <c r="E106" s="9" t="s">
        <v>950</v>
      </c>
      <c r="G106" s="1">
        <v>43671</v>
      </c>
      <c r="H106" t="s">
        <v>951</v>
      </c>
      <c r="K106" t="b">
        <f>(IF(AND(I106&lt;&gt;"",AND(J106="",ABS(Q106)&gt;400)),TRUE,FALSE))</f>
        <v>0</v>
      </c>
      <c r="L106" s="48">
        <v>763.44</v>
      </c>
      <c r="M106" s="72">
        <f>Arbeitszimmer!$B$3</f>
        <v>0.27320378419841473</v>
      </c>
      <c r="N106">
        <v>10</v>
      </c>
      <c r="O106" s="31">
        <f t="shared" si="64"/>
        <v>76.344000000000008</v>
      </c>
      <c r="P106" s="31">
        <f t="shared" si="65"/>
        <v>20.857469700843776</v>
      </c>
      <c r="Q106" s="33">
        <f t="shared" si="66"/>
        <v>208.57469700843777</v>
      </c>
      <c r="R106" s="29">
        <f t="shared" si="67"/>
        <v>839.78400000000011</v>
      </c>
      <c r="S106" s="29">
        <f t="shared" si="68"/>
        <v>229.43216670928155</v>
      </c>
      <c r="T106" s="35">
        <f t="shared" si="63"/>
        <v>43784</v>
      </c>
      <c r="U106" s="27"/>
      <c r="V106" s="27"/>
      <c r="W106" s="58">
        <f>IF(K106=TRUE,Q106/J106,Q106)</f>
        <v>208.57469700843777</v>
      </c>
      <c r="X106" s="31">
        <f t="shared" si="70"/>
        <v>0</v>
      </c>
      <c r="Y106" t="b">
        <f t="shared" si="71"/>
        <v>0</v>
      </c>
      <c r="Z106" s="78">
        <f>IF(C106="Einnahmen",Q106,-Q106)</f>
        <v>-208.57469700843777</v>
      </c>
    </row>
    <row r="107" spans="1:26" x14ac:dyDescent="0.25">
      <c r="A107" s="53">
        <v>2019</v>
      </c>
      <c r="B107" s="53">
        <v>106</v>
      </c>
      <c r="C107" s="71" t="s">
        <v>105</v>
      </c>
      <c r="D107" t="s">
        <v>689</v>
      </c>
      <c r="E107" s="9" t="s">
        <v>1062</v>
      </c>
      <c r="G107" s="1">
        <v>43675</v>
      </c>
      <c r="H107" t="s">
        <v>974</v>
      </c>
      <c r="K107" t="b">
        <f>(IF(AND(I107&lt;&gt;"",AND(J107="",ABS(Q107)&gt;400)),TRUE,FALSE))</f>
        <v>0</v>
      </c>
      <c r="L107" s="48">
        <v>6</v>
      </c>
      <c r="M107" s="72">
        <v>1</v>
      </c>
      <c r="N107">
        <v>20</v>
      </c>
      <c r="O107" s="31">
        <f>L107*N107/100</f>
        <v>1.2</v>
      </c>
      <c r="P107" s="31">
        <f>M107*O107</f>
        <v>1.2</v>
      </c>
      <c r="Q107" s="33">
        <f>L107*M107</f>
        <v>6</v>
      </c>
      <c r="R107" s="29">
        <f>L107+O107</f>
        <v>7.2</v>
      </c>
      <c r="S107" s="29">
        <f>Q107+P107</f>
        <v>7.2</v>
      </c>
      <c r="T107" s="35">
        <f t="shared" si="63"/>
        <v>43784</v>
      </c>
      <c r="U107" s="27"/>
      <c r="V107" s="27"/>
      <c r="W107" s="58">
        <f>IF(K107=TRUE,Q107/I107,Q107)</f>
        <v>6</v>
      </c>
      <c r="X107" s="31">
        <f>V107/100*S107</f>
        <v>0</v>
      </c>
      <c r="Y107" t="b">
        <f>IF(AND(V107&gt;0,N107=V107),TRUE,FALSE)</f>
        <v>0</v>
      </c>
      <c r="Z107" s="78">
        <f>IF(C107="Einnahmen",Q107,-Q107)</f>
        <v>-6</v>
      </c>
    </row>
    <row r="108" spans="1:26" x14ac:dyDescent="0.25">
      <c r="A108" s="53">
        <v>2019</v>
      </c>
      <c r="B108" s="53">
        <v>107</v>
      </c>
      <c r="C108" s="71" t="s">
        <v>105</v>
      </c>
      <c r="D108" t="s">
        <v>689</v>
      </c>
      <c r="E108" s="9" t="s">
        <v>1063</v>
      </c>
      <c r="G108" s="1">
        <v>43675</v>
      </c>
      <c r="H108" t="s">
        <v>974</v>
      </c>
      <c r="K108" t="b">
        <f>(IF(AND(I108&lt;&gt;"",AND(J108="",ABS(Q108)&gt;400)),TRUE,FALSE))</f>
        <v>0</v>
      </c>
      <c r="L108" s="48">
        <v>2.4</v>
      </c>
      <c r="M108" s="72">
        <v>1</v>
      </c>
      <c r="N108">
        <v>20</v>
      </c>
      <c r="O108" s="31">
        <f>L108*N108/100</f>
        <v>0.48</v>
      </c>
      <c r="P108" s="31">
        <f>M108*O108</f>
        <v>0.48</v>
      </c>
      <c r="Q108" s="33">
        <f>L108*M108</f>
        <v>2.4</v>
      </c>
      <c r="R108" s="29">
        <f>L108+O108</f>
        <v>2.88</v>
      </c>
      <c r="S108" s="29">
        <f>Q108+P108</f>
        <v>2.88</v>
      </c>
      <c r="T108" s="35">
        <f t="shared" si="63"/>
        <v>43784</v>
      </c>
      <c r="U108" s="27"/>
      <c r="V108" s="27"/>
      <c r="W108" s="58">
        <f>IF(K108=TRUE,Q108/I108,Q108)</f>
        <v>2.4</v>
      </c>
      <c r="X108" s="31">
        <f>V108/100*S108</f>
        <v>0</v>
      </c>
      <c r="Y108" t="b">
        <f>IF(AND(V108&gt;0,N108=V108),TRUE,FALSE)</f>
        <v>0</v>
      </c>
      <c r="Z108" s="78">
        <f>IF(C108="Einnahmen",Q108,-Q108)</f>
        <v>-2.4</v>
      </c>
    </row>
    <row r="109" spans="1:26" x14ac:dyDescent="0.25">
      <c r="A109" s="53">
        <v>2019</v>
      </c>
      <c r="B109" s="53">
        <v>108</v>
      </c>
      <c r="C109" s="71" t="s">
        <v>105</v>
      </c>
      <c r="D109" t="s">
        <v>705</v>
      </c>
      <c r="E109" s="9" t="s">
        <v>1165</v>
      </c>
      <c r="G109" s="1">
        <v>43675</v>
      </c>
      <c r="H109" t="s">
        <v>924</v>
      </c>
      <c r="K109" t="b">
        <f t="shared" si="54"/>
        <v>0</v>
      </c>
      <c r="L109" s="48">
        <f>34.66/1.2</f>
        <v>28.883333333333333</v>
      </c>
      <c r="M109" s="72">
        <v>1</v>
      </c>
      <c r="N109">
        <v>20</v>
      </c>
      <c r="O109" s="31">
        <f t="shared" si="64"/>
        <v>5.7766666666666664</v>
      </c>
      <c r="P109" s="31">
        <f t="shared" si="65"/>
        <v>5.7766666666666664</v>
      </c>
      <c r="Q109" s="33">
        <f t="shared" si="66"/>
        <v>28.883333333333333</v>
      </c>
      <c r="R109" s="29">
        <f t="shared" si="67"/>
        <v>34.659999999999997</v>
      </c>
      <c r="S109" s="29">
        <f t="shared" si="68"/>
        <v>34.659999999999997</v>
      </c>
      <c r="T109" s="35">
        <f t="shared" si="63"/>
        <v>43784</v>
      </c>
      <c r="U109" s="27"/>
      <c r="V109" s="27"/>
      <c r="W109" s="58">
        <f t="shared" si="69"/>
        <v>28.883333333333333</v>
      </c>
      <c r="X109" s="31">
        <f t="shared" si="70"/>
        <v>0</v>
      </c>
      <c r="Y109" t="b">
        <f t="shared" si="71"/>
        <v>0</v>
      </c>
      <c r="Z109" s="78">
        <f t="shared" si="53"/>
        <v>-28.883333333333333</v>
      </c>
    </row>
    <row r="110" spans="1:26" x14ac:dyDescent="0.25">
      <c r="A110" s="53">
        <v>2019</v>
      </c>
      <c r="B110" s="53">
        <v>109</v>
      </c>
      <c r="C110" s="71" t="s">
        <v>105</v>
      </c>
      <c r="D110" t="s">
        <v>703</v>
      </c>
      <c r="E110" s="9" t="s">
        <v>1065</v>
      </c>
      <c r="G110" s="1">
        <v>43678</v>
      </c>
      <c r="H110" t="s">
        <v>34</v>
      </c>
      <c r="K110" t="b">
        <f t="shared" ref="K110:K116" si="72">(IF(AND(I110&lt;&gt;"",AND(J110="",ABS(Q110)&gt;400)),TRUE,FALSE))</f>
        <v>0</v>
      </c>
      <c r="L110" s="48">
        <f>18/1.2</f>
        <v>15</v>
      </c>
      <c r="M110" s="72">
        <v>1</v>
      </c>
      <c r="N110">
        <v>20</v>
      </c>
      <c r="O110" s="31">
        <f t="shared" si="64"/>
        <v>3</v>
      </c>
      <c r="P110" s="31">
        <f t="shared" si="65"/>
        <v>3</v>
      </c>
      <c r="Q110" s="33">
        <f t="shared" si="66"/>
        <v>15</v>
      </c>
      <c r="R110" s="29">
        <f t="shared" si="67"/>
        <v>18</v>
      </c>
      <c r="S110" s="29">
        <f t="shared" si="68"/>
        <v>18</v>
      </c>
      <c r="T110" s="35">
        <f t="shared" si="63"/>
        <v>43784</v>
      </c>
      <c r="U110" s="27"/>
      <c r="V110" s="27"/>
      <c r="W110" s="58">
        <f t="shared" si="69"/>
        <v>15</v>
      </c>
      <c r="X110" s="31">
        <f t="shared" si="70"/>
        <v>0</v>
      </c>
      <c r="Y110" t="b">
        <f t="shared" si="71"/>
        <v>0</v>
      </c>
      <c r="Z110" s="78">
        <f t="shared" ref="Z110:Z132" si="73">IF(C110="Einnahmen",Q110,-Q110)</f>
        <v>-15</v>
      </c>
    </row>
    <row r="111" spans="1:26" x14ac:dyDescent="0.25">
      <c r="A111" s="53">
        <v>2019</v>
      </c>
      <c r="B111" s="53">
        <v>110</v>
      </c>
      <c r="C111" s="71" t="s">
        <v>708</v>
      </c>
      <c r="D111" t="s">
        <v>709</v>
      </c>
      <c r="E111" s="9" t="s">
        <v>1054</v>
      </c>
      <c r="G111" s="1">
        <v>43679</v>
      </c>
      <c r="H111" s="43" t="s">
        <v>1055</v>
      </c>
      <c r="K111" t="b">
        <f t="shared" si="72"/>
        <v>0</v>
      </c>
      <c r="L111" s="48">
        <f>2021.35/1.2</f>
        <v>1684.4583333333333</v>
      </c>
      <c r="M111" s="72">
        <v>1</v>
      </c>
      <c r="N111">
        <v>20</v>
      </c>
      <c r="O111" s="31">
        <f t="shared" ref="O111:O132" si="74">L111*N111/100</f>
        <v>336.89166666666665</v>
      </c>
      <c r="P111" s="31">
        <f t="shared" ref="P111:P132" si="75">M111*O111</f>
        <v>336.89166666666665</v>
      </c>
      <c r="Q111" s="33">
        <f t="shared" ref="Q111:Q132" si="76">L111*M111</f>
        <v>1684.4583333333333</v>
      </c>
      <c r="R111" s="29">
        <f>L111+O111</f>
        <v>2021.35</v>
      </c>
      <c r="S111" s="29">
        <f>Q111+P111</f>
        <v>2021.35</v>
      </c>
      <c r="T111" s="35">
        <f t="shared" si="63"/>
        <v>43784</v>
      </c>
      <c r="U111" s="27"/>
      <c r="V111" s="27"/>
      <c r="W111" s="58">
        <f>IF(K111=TRUE,Q111/I111,Q111)</f>
        <v>1684.4583333333333</v>
      </c>
      <c r="X111" s="31">
        <f t="shared" ref="X111:X132" si="77">V111/100*S111</f>
        <v>0</v>
      </c>
      <c r="Y111" t="b">
        <f t="shared" ref="Y111:Y132" si="78">IF(AND(V111&gt;0,N111=V111),TRUE,FALSE)</f>
        <v>0</v>
      </c>
      <c r="Z111" s="78">
        <f t="shared" si="73"/>
        <v>1684.4583333333333</v>
      </c>
    </row>
    <row r="112" spans="1:26" x14ac:dyDescent="0.25">
      <c r="A112" s="53">
        <v>2019</v>
      </c>
      <c r="B112" s="53">
        <v>111</v>
      </c>
      <c r="C112" s="71" t="s">
        <v>708</v>
      </c>
      <c r="D112" t="s">
        <v>709</v>
      </c>
      <c r="E112" s="9" t="s">
        <v>1067</v>
      </c>
      <c r="G112" s="1">
        <v>43682</v>
      </c>
      <c r="H112" t="s">
        <v>1066</v>
      </c>
      <c r="K112" t="b">
        <f t="shared" si="72"/>
        <v>0</v>
      </c>
      <c r="L112" s="48">
        <v>752.5</v>
      </c>
      <c r="M112" s="72">
        <v>1</v>
      </c>
      <c r="N112">
        <v>20</v>
      </c>
      <c r="O112" s="31">
        <f t="shared" si="74"/>
        <v>150.5</v>
      </c>
      <c r="P112" s="31">
        <f t="shared" si="75"/>
        <v>150.5</v>
      </c>
      <c r="Q112" s="33">
        <f t="shared" si="76"/>
        <v>752.5</v>
      </c>
      <c r="R112" s="29">
        <f>L112+O112</f>
        <v>903</v>
      </c>
      <c r="S112" s="29">
        <f>Q112+P112</f>
        <v>903</v>
      </c>
      <c r="T112" s="35">
        <f t="shared" si="63"/>
        <v>43784</v>
      </c>
      <c r="U112" s="27"/>
      <c r="V112" s="27"/>
      <c r="W112" s="58">
        <f>IF(K112=TRUE,Q112/I112,Q112)</f>
        <v>752.5</v>
      </c>
      <c r="X112" s="31">
        <f t="shared" si="77"/>
        <v>0</v>
      </c>
      <c r="Y112" t="b">
        <f t="shared" si="78"/>
        <v>0</v>
      </c>
      <c r="Z112" s="78">
        <f t="shared" si="73"/>
        <v>752.5</v>
      </c>
    </row>
    <row r="113" spans="1:26" x14ac:dyDescent="0.25">
      <c r="A113" s="53">
        <v>2019</v>
      </c>
      <c r="B113" s="53">
        <v>112</v>
      </c>
      <c r="C113" s="71" t="s">
        <v>105</v>
      </c>
      <c r="D113" t="s">
        <v>705</v>
      </c>
      <c r="E113" s="9" t="s">
        <v>1068</v>
      </c>
      <c r="G113" s="1">
        <v>43684</v>
      </c>
      <c r="H113" t="s">
        <v>1017</v>
      </c>
      <c r="K113" t="b">
        <f t="shared" si="72"/>
        <v>0</v>
      </c>
      <c r="L113" s="48">
        <f>27.82+1.04</f>
        <v>28.86</v>
      </c>
      <c r="M113" s="72">
        <f>2/3</f>
        <v>0.66666666666666663</v>
      </c>
      <c r="N113">
        <v>20</v>
      </c>
      <c r="O113" s="31">
        <f t="shared" si="74"/>
        <v>5.7720000000000002</v>
      </c>
      <c r="P113" s="31">
        <f t="shared" si="75"/>
        <v>3.8479999999999999</v>
      </c>
      <c r="Q113" s="33">
        <f t="shared" si="76"/>
        <v>19.239999999999998</v>
      </c>
      <c r="R113" s="29">
        <f>L113+O113</f>
        <v>34.631999999999998</v>
      </c>
      <c r="S113" s="29">
        <f>Q113+P113</f>
        <v>23.087999999999997</v>
      </c>
      <c r="T113" s="35">
        <f t="shared" si="63"/>
        <v>43784</v>
      </c>
      <c r="U113" s="27"/>
      <c r="V113" s="27"/>
      <c r="W113" s="58">
        <f>IF(K113=TRUE,Q113/J113,Q113)</f>
        <v>19.239999999999998</v>
      </c>
      <c r="X113" s="31">
        <f t="shared" si="77"/>
        <v>0</v>
      </c>
      <c r="Y113" t="b">
        <f t="shared" si="78"/>
        <v>0</v>
      </c>
      <c r="Z113" s="78">
        <f t="shared" si="73"/>
        <v>-19.239999999999998</v>
      </c>
    </row>
    <row r="114" spans="1:26" x14ac:dyDescent="0.25">
      <c r="A114" s="53">
        <v>2019</v>
      </c>
      <c r="B114" s="53">
        <v>113</v>
      </c>
      <c r="C114" s="71" t="s">
        <v>105</v>
      </c>
      <c r="D114" t="s">
        <v>705</v>
      </c>
      <c r="E114" s="9" t="s">
        <v>1071</v>
      </c>
      <c r="G114" s="1">
        <v>43689</v>
      </c>
      <c r="H114" t="s">
        <v>1069</v>
      </c>
      <c r="J114" s="76" t="s">
        <v>958</v>
      </c>
      <c r="K114" t="b">
        <f t="shared" si="72"/>
        <v>0</v>
      </c>
      <c r="L114" s="48">
        <v>231.43</v>
      </c>
      <c r="M114" s="72">
        <v>1</v>
      </c>
      <c r="N114">
        <v>20</v>
      </c>
      <c r="O114" s="31">
        <f t="shared" si="74"/>
        <v>46.286000000000001</v>
      </c>
      <c r="P114" s="31">
        <f t="shared" si="75"/>
        <v>46.286000000000001</v>
      </c>
      <c r="Q114" s="33">
        <f t="shared" si="76"/>
        <v>231.43</v>
      </c>
      <c r="R114" s="29">
        <v>277.70999999999998</v>
      </c>
      <c r="S114" s="29">
        <v>277.70999999999998</v>
      </c>
      <c r="T114" s="35">
        <f t="shared" si="63"/>
        <v>43784</v>
      </c>
      <c r="U114" s="27"/>
      <c r="V114" s="27"/>
      <c r="W114" s="58">
        <f>IF(K114=TRUE,Q114/I114,Q114)</f>
        <v>231.43</v>
      </c>
      <c r="X114" s="31">
        <f t="shared" si="77"/>
        <v>0</v>
      </c>
      <c r="Y114" t="b">
        <f t="shared" si="78"/>
        <v>0</v>
      </c>
      <c r="Z114" s="78">
        <f t="shared" si="73"/>
        <v>-231.43</v>
      </c>
    </row>
    <row r="115" spans="1:26" x14ac:dyDescent="0.25">
      <c r="A115" s="53">
        <v>2019</v>
      </c>
      <c r="B115" s="53">
        <v>114</v>
      </c>
      <c r="C115" s="71" t="s">
        <v>105</v>
      </c>
      <c r="D115" t="s">
        <v>705</v>
      </c>
      <c r="E115" s="9" t="s">
        <v>1072</v>
      </c>
      <c r="G115" s="1">
        <v>43690</v>
      </c>
      <c r="H115" t="s">
        <v>927</v>
      </c>
      <c r="K115" t="b">
        <f t="shared" si="72"/>
        <v>0</v>
      </c>
      <c r="L115" s="48">
        <v>46.92</v>
      </c>
      <c r="M115" s="72">
        <v>1</v>
      </c>
      <c r="N115">
        <v>0</v>
      </c>
      <c r="O115" s="31">
        <f t="shared" si="74"/>
        <v>0</v>
      </c>
      <c r="P115" s="31">
        <f t="shared" si="75"/>
        <v>0</v>
      </c>
      <c r="Q115" s="33">
        <f t="shared" si="76"/>
        <v>46.92</v>
      </c>
      <c r="R115" s="29">
        <f t="shared" ref="R115:R132" si="79">L115+O115</f>
        <v>46.92</v>
      </c>
      <c r="S115" s="29">
        <f t="shared" ref="S115:S132" si="80">Q115+P115</f>
        <v>46.92</v>
      </c>
      <c r="T115" s="35">
        <f t="shared" si="63"/>
        <v>43784</v>
      </c>
      <c r="U115" s="27"/>
      <c r="V115" s="27">
        <v>20</v>
      </c>
      <c r="W115" s="58">
        <f t="shared" ref="W115:W122" si="81">IF(K115=TRUE,Q115/J115,Q115)</f>
        <v>46.92</v>
      </c>
      <c r="X115" s="31">
        <f t="shared" si="77"/>
        <v>9.3840000000000003</v>
      </c>
      <c r="Y115" t="b">
        <f t="shared" si="78"/>
        <v>0</v>
      </c>
      <c r="Z115" s="78">
        <f t="shared" si="73"/>
        <v>-46.92</v>
      </c>
    </row>
    <row r="116" spans="1:26" x14ac:dyDescent="0.25">
      <c r="A116" s="53">
        <v>2019</v>
      </c>
      <c r="B116" s="53">
        <v>115</v>
      </c>
      <c r="C116" s="71" t="s">
        <v>105</v>
      </c>
      <c r="D116" t="s">
        <v>705</v>
      </c>
      <c r="E116" s="9" t="s">
        <v>1070</v>
      </c>
      <c r="G116" s="1">
        <v>43693</v>
      </c>
      <c r="H116" t="s">
        <v>929</v>
      </c>
      <c r="K116" t="b">
        <f t="shared" si="72"/>
        <v>0</v>
      </c>
      <c r="L116" s="48">
        <v>78.33</v>
      </c>
      <c r="M116" s="72">
        <f>Arbeitszimmer!$B$3</f>
        <v>0.27320378419841473</v>
      </c>
      <c r="N116">
        <v>20</v>
      </c>
      <c r="O116" s="31">
        <f t="shared" si="74"/>
        <v>15.665999999999999</v>
      </c>
      <c r="P116" s="31">
        <f t="shared" si="75"/>
        <v>4.2800104832523651</v>
      </c>
      <c r="Q116" s="33">
        <f t="shared" si="76"/>
        <v>21.400052416261826</v>
      </c>
      <c r="R116" s="29">
        <f t="shared" si="79"/>
        <v>93.995999999999995</v>
      </c>
      <c r="S116" s="29">
        <f t="shared" si="80"/>
        <v>25.680062899514191</v>
      </c>
      <c r="T116" s="35">
        <f t="shared" si="63"/>
        <v>43784</v>
      </c>
      <c r="U116" s="27"/>
      <c r="V116" s="27"/>
      <c r="W116" s="58">
        <f t="shared" si="81"/>
        <v>21.400052416261826</v>
      </c>
      <c r="X116" s="31">
        <f t="shared" si="77"/>
        <v>0</v>
      </c>
      <c r="Y116" t="b">
        <f t="shared" si="78"/>
        <v>0</v>
      </c>
      <c r="Z116" s="78">
        <f t="shared" si="73"/>
        <v>-21.400052416261826</v>
      </c>
    </row>
    <row r="117" spans="1:26" x14ac:dyDescent="0.25">
      <c r="A117" s="53">
        <v>2019</v>
      </c>
      <c r="B117" s="53">
        <v>116</v>
      </c>
      <c r="C117" s="71" t="s">
        <v>105</v>
      </c>
      <c r="D117" t="s">
        <v>704</v>
      </c>
      <c r="E117" s="9" t="s">
        <v>1073</v>
      </c>
      <c r="G117" s="1">
        <v>43686</v>
      </c>
      <c r="H117" t="s">
        <v>1074</v>
      </c>
      <c r="L117" s="48">
        <v>17.399999999999999</v>
      </c>
      <c r="M117" s="72">
        <v>1</v>
      </c>
      <c r="N117">
        <v>0</v>
      </c>
      <c r="O117" s="31">
        <f t="shared" si="74"/>
        <v>0</v>
      </c>
      <c r="P117" s="31">
        <f t="shared" si="75"/>
        <v>0</v>
      </c>
      <c r="Q117" s="33">
        <f t="shared" si="76"/>
        <v>17.399999999999999</v>
      </c>
      <c r="R117" s="29">
        <f t="shared" si="79"/>
        <v>17.399999999999999</v>
      </c>
      <c r="S117" s="29">
        <f t="shared" si="80"/>
        <v>17.399999999999999</v>
      </c>
      <c r="T117" s="35">
        <f t="shared" si="63"/>
        <v>43784</v>
      </c>
      <c r="U117" s="27"/>
      <c r="V117" s="27"/>
      <c r="W117" s="58">
        <f t="shared" si="81"/>
        <v>17.399999999999999</v>
      </c>
      <c r="X117" s="31">
        <f t="shared" si="77"/>
        <v>0</v>
      </c>
      <c r="Y117" t="b">
        <f t="shared" si="78"/>
        <v>0</v>
      </c>
      <c r="Z117" s="78">
        <f t="shared" si="73"/>
        <v>-17.399999999999999</v>
      </c>
    </row>
    <row r="118" spans="1:26" x14ac:dyDescent="0.25">
      <c r="A118" s="53">
        <v>2019</v>
      </c>
      <c r="B118" s="53">
        <v>117</v>
      </c>
      <c r="C118" s="71" t="s">
        <v>105</v>
      </c>
      <c r="D118" t="s">
        <v>691</v>
      </c>
      <c r="E118" s="9" t="s">
        <v>950</v>
      </c>
      <c r="G118" s="1">
        <v>43703</v>
      </c>
      <c r="H118" t="s">
        <v>951</v>
      </c>
      <c r="K118" t="b">
        <f>(IF(AND(I118&lt;&gt;"",AND(J118="",ABS(Q118)&gt;400)),TRUE,FALSE))</f>
        <v>0</v>
      </c>
      <c r="L118" s="48">
        <v>763.44</v>
      </c>
      <c r="M118" s="72">
        <f>Arbeitszimmer!$B$3</f>
        <v>0.27320378419841473</v>
      </c>
      <c r="N118">
        <v>10</v>
      </c>
      <c r="O118" s="31">
        <f t="shared" si="74"/>
        <v>76.344000000000008</v>
      </c>
      <c r="P118" s="31">
        <f t="shared" si="75"/>
        <v>20.857469700843776</v>
      </c>
      <c r="Q118" s="33">
        <f t="shared" si="76"/>
        <v>208.57469700843777</v>
      </c>
      <c r="R118" s="29">
        <f t="shared" si="79"/>
        <v>839.78400000000011</v>
      </c>
      <c r="S118" s="29">
        <f t="shared" si="80"/>
        <v>229.43216670928155</v>
      </c>
      <c r="T118" s="35">
        <f t="shared" si="63"/>
        <v>43784</v>
      </c>
      <c r="U118" s="27"/>
      <c r="V118" s="27"/>
      <c r="W118" s="58">
        <f t="shared" si="81"/>
        <v>208.57469700843777</v>
      </c>
      <c r="X118" s="31">
        <f t="shared" si="77"/>
        <v>0</v>
      </c>
      <c r="Y118" t="b">
        <f t="shared" si="78"/>
        <v>0</v>
      </c>
      <c r="Z118" s="78">
        <f t="shared" si="73"/>
        <v>-208.57469700843777</v>
      </c>
    </row>
    <row r="119" spans="1:26" x14ac:dyDescent="0.25">
      <c r="A119" s="53">
        <v>2019</v>
      </c>
      <c r="B119" s="53">
        <v>118</v>
      </c>
      <c r="C119" s="71" t="s">
        <v>708</v>
      </c>
      <c r="D119" t="s">
        <v>709</v>
      </c>
      <c r="E119" s="9" t="s">
        <v>1075</v>
      </c>
      <c r="G119" s="1">
        <v>43703</v>
      </c>
      <c r="H119" t="s">
        <v>933</v>
      </c>
      <c r="K119" t="b">
        <v>0</v>
      </c>
      <c r="L119" s="48">
        <v>551</v>
      </c>
      <c r="M119" s="72">
        <v>1</v>
      </c>
      <c r="N119">
        <v>20</v>
      </c>
      <c r="O119" s="31">
        <f t="shared" si="74"/>
        <v>110.2</v>
      </c>
      <c r="P119" s="31">
        <f t="shared" si="75"/>
        <v>110.2</v>
      </c>
      <c r="Q119" s="33">
        <f t="shared" si="76"/>
        <v>551</v>
      </c>
      <c r="R119" s="29">
        <f t="shared" si="79"/>
        <v>661.2</v>
      </c>
      <c r="S119" s="29">
        <f t="shared" si="80"/>
        <v>661.2</v>
      </c>
      <c r="T119" s="35">
        <f t="shared" si="63"/>
        <v>43784</v>
      </c>
      <c r="U119" s="27"/>
      <c r="V119" s="27"/>
      <c r="W119" s="58">
        <f t="shared" si="81"/>
        <v>551</v>
      </c>
      <c r="X119" s="31">
        <f t="shared" si="77"/>
        <v>0</v>
      </c>
      <c r="Y119" t="b">
        <f t="shared" si="78"/>
        <v>0</v>
      </c>
      <c r="Z119" s="78">
        <f t="shared" si="73"/>
        <v>551</v>
      </c>
    </row>
    <row r="120" spans="1:26" x14ac:dyDescent="0.25">
      <c r="A120" s="53">
        <v>2019</v>
      </c>
      <c r="B120" s="53">
        <v>119</v>
      </c>
      <c r="C120" s="71" t="s">
        <v>105</v>
      </c>
      <c r="D120" t="s">
        <v>704</v>
      </c>
      <c r="E120" s="9" t="s">
        <v>1077</v>
      </c>
      <c r="G120" s="1">
        <v>43705</v>
      </c>
      <c r="H120" t="s">
        <v>1076</v>
      </c>
      <c r="K120" t="b">
        <v>0</v>
      </c>
      <c r="L120" s="48">
        <v>241.1</v>
      </c>
      <c r="M120" s="72">
        <v>1</v>
      </c>
      <c r="N120">
        <v>0</v>
      </c>
      <c r="O120" s="31">
        <f t="shared" si="74"/>
        <v>0</v>
      </c>
      <c r="P120" s="31">
        <f t="shared" si="75"/>
        <v>0</v>
      </c>
      <c r="Q120" s="33">
        <f t="shared" si="76"/>
        <v>241.1</v>
      </c>
      <c r="R120" s="29">
        <f t="shared" si="79"/>
        <v>241.1</v>
      </c>
      <c r="S120" s="29">
        <f t="shared" si="80"/>
        <v>241.1</v>
      </c>
      <c r="T120" s="35">
        <f t="shared" si="63"/>
        <v>43784</v>
      </c>
      <c r="U120" s="27"/>
      <c r="V120" s="27"/>
      <c r="W120" s="58">
        <f t="shared" si="81"/>
        <v>241.1</v>
      </c>
      <c r="X120" s="31">
        <f t="shared" si="77"/>
        <v>0</v>
      </c>
      <c r="Y120" t="b">
        <f t="shared" si="78"/>
        <v>0</v>
      </c>
      <c r="Z120" s="78">
        <f t="shared" si="73"/>
        <v>-241.1</v>
      </c>
    </row>
    <row r="121" spans="1:26" x14ac:dyDescent="0.25">
      <c r="A121" s="53">
        <v>2019</v>
      </c>
      <c r="B121" s="53">
        <v>120</v>
      </c>
      <c r="C121" s="71" t="s">
        <v>105</v>
      </c>
      <c r="D121" t="s">
        <v>691</v>
      </c>
      <c r="E121" s="9" t="s">
        <v>1077</v>
      </c>
      <c r="G121" s="1">
        <v>43705</v>
      </c>
      <c r="H121" t="s">
        <v>1164</v>
      </c>
      <c r="K121" t="b">
        <v>0</v>
      </c>
      <c r="L121" s="48">
        <f>(2461.03-241.1)/1.2</f>
        <v>1849.9416666666671</v>
      </c>
      <c r="M121" s="72">
        <v>1</v>
      </c>
      <c r="N121">
        <v>20</v>
      </c>
      <c r="O121" s="31">
        <f t="shared" si="74"/>
        <v>369.98833333333346</v>
      </c>
      <c r="P121" s="31">
        <f t="shared" si="75"/>
        <v>369.98833333333346</v>
      </c>
      <c r="Q121" s="33">
        <f t="shared" si="76"/>
        <v>1849.9416666666671</v>
      </c>
      <c r="R121" s="29">
        <f t="shared" si="79"/>
        <v>2219.9300000000003</v>
      </c>
      <c r="S121" s="29">
        <f t="shared" si="80"/>
        <v>2219.9300000000003</v>
      </c>
      <c r="T121" s="35">
        <f t="shared" si="63"/>
        <v>43784</v>
      </c>
      <c r="U121" s="27"/>
      <c r="V121" s="27"/>
      <c r="W121" s="58">
        <f t="shared" si="81"/>
        <v>1849.9416666666671</v>
      </c>
      <c r="X121" s="31">
        <f t="shared" si="77"/>
        <v>0</v>
      </c>
      <c r="Y121" t="b">
        <f t="shared" si="78"/>
        <v>0</v>
      </c>
      <c r="Z121" s="78">
        <f t="shared" si="73"/>
        <v>-1849.9416666666671</v>
      </c>
    </row>
    <row r="122" spans="1:26" x14ac:dyDescent="0.25">
      <c r="A122" s="53">
        <v>2019</v>
      </c>
      <c r="B122" s="53">
        <v>121</v>
      </c>
      <c r="C122" s="71" t="s">
        <v>105</v>
      </c>
      <c r="D122" t="s">
        <v>695</v>
      </c>
      <c r="E122" s="9" t="s">
        <v>161</v>
      </c>
      <c r="G122" s="1">
        <v>43705</v>
      </c>
      <c r="H122" t="s">
        <v>952</v>
      </c>
      <c r="K122" t="b">
        <f t="shared" ref="K122:K132" si="82">(IF(AND(I122&lt;&gt;"",AND(J122="",ABS(Q122)&gt;400)),TRUE,FALSE))</f>
        <v>0</v>
      </c>
      <c r="L122" s="48">
        <v>4286.3</v>
      </c>
      <c r="M122" s="72">
        <v>1</v>
      </c>
      <c r="N122">
        <v>0</v>
      </c>
      <c r="O122" s="31">
        <f t="shared" si="74"/>
        <v>0</v>
      </c>
      <c r="P122" s="31">
        <f t="shared" si="75"/>
        <v>0</v>
      </c>
      <c r="Q122" s="33">
        <f t="shared" si="76"/>
        <v>4286.3</v>
      </c>
      <c r="R122" s="29">
        <f t="shared" si="79"/>
        <v>4286.3</v>
      </c>
      <c r="S122" s="29">
        <f t="shared" si="80"/>
        <v>4286.3</v>
      </c>
      <c r="T122" s="35">
        <f t="shared" si="63"/>
        <v>43784</v>
      </c>
      <c r="U122" s="27"/>
      <c r="V122" s="27"/>
      <c r="W122" s="58">
        <f t="shared" si="81"/>
        <v>4286.3</v>
      </c>
      <c r="X122" s="31">
        <f t="shared" si="77"/>
        <v>0</v>
      </c>
      <c r="Y122" t="b">
        <f t="shared" si="78"/>
        <v>0</v>
      </c>
      <c r="Z122" s="78">
        <f t="shared" si="73"/>
        <v>-4286.3</v>
      </c>
    </row>
    <row r="123" spans="1:26" x14ac:dyDescent="0.25">
      <c r="A123" s="53">
        <v>2019</v>
      </c>
      <c r="B123" s="53">
        <v>122</v>
      </c>
      <c r="C123" s="71" t="s">
        <v>105</v>
      </c>
      <c r="D123" t="s">
        <v>705</v>
      </c>
      <c r="E123" s="9" t="s">
        <v>1078</v>
      </c>
      <c r="G123" s="1">
        <v>43706</v>
      </c>
      <c r="H123" t="s">
        <v>961</v>
      </c>
      <c r="K123" t="b">
        <f t="shared" si="82"/>
        <v>0</v>
      </c>
      <c r="L123" s="48">
        <v>24.88</v>
      </c>
      <c r="M123" s="72">
        <v>1</v>
      </c>
      <c r="N123">
        <v>0</v>
      </c>
      <c r="O123" s="31">
        <f t="shared" si="74"/>
        <v>0</v>
      </c>
      <c r="P123" s="31">
        <f t="shared" si="75"/>
        <v>0</v>
      </c>
      <c r="Q123" s="33">
        <f t="shared" si="76"/>
        <v>24.88</v>
      </c>
      <c r="R123" s="29">
        <f t="shared" si="79"/>
        <v>24.88</v>
      </c>
      <c r="S123" s="29">
        <f t="shared" si="80"/>
        <v>24.88</v>
      </c>
      <c r="T123" s="35">
        <f t="shared" si="63"/>
        <v>43784</v>
      </c>
      <c r="U123" s="27"/>
      <c r="V123" s="27">
        <v>20</v>
      </c>
      <c r="W123" s="58">
        <f>IF(K123=TRUE,Q123/I123,Q123)</f>
        <v>24.88</v>
      </c>
      <c r="X123" s="31">
        <f t="shared" si="77"/>
        <v>4.976</v>
      </c>
      <c r="Y123" t="b">
        <f t="shared" si="78"/>
        <v>0</v>
      </c>
      <c r="Z123" s="78">
        <f t="shared" si="73"/>
        <v>-24.88</v>
      </c>
    </row>
    <row r="124" spans="1:26" x14ac:dyDescent="0.25">
      <c r="A124" s="53">
        <v>2019</v>
      </c>
      <c r="B124" s="53">
        <v>123</v>
      </c>
      <c r="C124" s="71" t="s">
        <v>105</v>
      </c>
      <c r="D124" t="s">
        <v>695</v>
      </c>
      <c r="E124" s="9" t="s">
        <v>1079</v>
      </c>
      <c r="G124" s="1">
        <v>43710</v>
      </c>
      <c r="H124" t="s">
        <v>952</v>
      </c>
      <c r="K124" t="b">
        <f t="shared" si="82"/>
        <v>0</v>
      </c>
      <c r="L124" s="48">
        <v>-218.03</v>
      </c>
      <c r="M124" s="72">
        <v>1</v>
      </c>
      <c r="N124">
        <v>0</v>
      </c>
      <c r="O124" s="31">
        <f t="shared" si="74"/>
        <v>0</v>
      </c>
      <c r="P124" s="31">
        <f t="shared" si="75"/>
        <v>0</v>
      </c>
      <c r="Q124" s="33">
        <f t="shared" si="76"/>
        <v>-218.03</v>
      </c>
      <c r="R124" s="29">
        <f t="shared" si="79"/>
        <v>-218.03</v>
      </c>
      <c r="S124" s="29">
        <f t="shared" si="80"/>
        <v>-218.03</v>
      </c>
      <c r="T124" s="35">
        <f t="shared" ref="T124:T155" si="83">voranmeldefrist_vierteljaehrlich(G124)</f>
        <v>43784</v>
      </c>
      <c r="U124" s="27"/>
      <c r="V124" s="27"/>
      <c r="W124" s="58">
        <f>IF(K124=TRUE,Q124/I124,Q124)</f>
        <v>-218.03</v>
      </c>
      <c r="X124" s="31">
        <f t="shared" si="77"/>
        <v>0</v>
      </c>
      <c r="Y124" t="b">
        <f t="shared" si="78"/>
        <v>0</v>
      </c>
      <c r="Z124" s="78">
        <f t="shared" si="73"/>
        <v>218.03</v>
      </c>
    </row>
    <row r="125" spans="1:26" x14ac:dyDescent="0.25">
      <c r="A125" s="53">
        <v>2019</v>
      </c>
      <c r="B125" s="53">
        <v>124</v>
      </c>
      <c r="C125" s="71" t="s">
        <v>105</v>
      </c>
      <c r="D125" t="s">
        <v>703</v>
      </c>
      <c r="E125" s="9" t="s">
        <v>1080</v>
      </c>
      <c r="G125" s="1">
        <v>43710</v>
      </c>
      <c r="H125" t="s">
        <v>34</v>
      </c>
      <c r="K125" t="b">
        <f t="shared" si="82"/>
        <v>0</v>
      </c>
      <c r="L125" s="48">
        <v>15.5</v>
      </c>
      <c r="M125" s="72">
        <v>1</v>
      </c>
      <c r="N125">
        <v>20</v>
      </c>
      <c r="O125" s="31">
        <f t="shared" si="74"/>
        <v>3.1</v>
      </c>
      <c r="P125" s="31">
        <f t="shared" si="75"/>
        <v>3.1</v>
      </c>
      <c r="Q125" s="33">
        <f t="shared" si="76"/>
        <v>15.5</v>
      </c>
      <c r="R125" s="29">
        <f t="shared" si="79"/>
        <v>18.600000000000001</v>
      </c>
      <c r="S125" s="29">
        <f t="shared" si="80"/>
        <v>18.600000000000001</v>
      </c>
      <c r="T125" s="35">
        <f t="shared" si="83"/>
        <v>43784</v>
      </c>
      <c r="U125" s="27"/>
      <c r="V125" s="27"/>
      <c r="W125" s="58">
        <f>IF(K125=TRUE,Q125/I125,Q125)</f>
        <v>15.5</v>
      </c>
      <c r="X125" s="31">
        <f t="shared" si="77"/>
        <v>0</v>
      </c>
      <c r="Y125" t="b">
        <f t="shared" si="78"/>
        <v>0</v>
      </c>
      <c r="Z125" s="78">
        <f t="shared" si="73"/>
        <v>-15.5</v>
      </c>
    </row>
    <row r="126" spans="1:26" x14ac:dyDescent="0.25">
      <c r="A126" s="53">
        <v>2019</v>
      </c>
      <c r="B126" s="53">
        <v>125</v>
      </c>
      <c r="C126" s="71" t="s">
        <v>105</v>
      </c>
      <c r="D126" t="s">
        <v>705</v>
      </c>
      <c r="E126" s="9" t="s">
        <v>1081</v>
      </c>
      <c r="G126" s="1">
        <v>43710</v>
      </c>
      <c r="H126" t="s">
        <v>929</v>
      </c>
      <c r="K126" t="b">
        <f t="shared" si="82"/>
        <v>0</v>
      </c>
      <c r="L126" s="48">
        <v>-915.54</v>
      </c>
      <c r="M126" s="72">
        <f>Arbeitszimmer!$B$3</f>
        <v>0.27320378419841473</v>
      </c>
      <c r="N126">
        <v>20</v>
      </c>
      <c r="O126" s="31">
        <f t="shared" si="74"/>
        <v>-183.108</v>
      </c>
      <c r="P126" s="31">
        <f t="shared" si="75"/>
        <v>-50.025798517003324</v>
      </c>
      <c r="Q126" s="33">
        <f t="shared" si="76"/>
        <v>-250.12899258501662</v>
      </c>
      <c r="R126" s="29">
        <f t="shared" si="79"/>
        <v>-1098.6479999999999</v>
      </c>
      <c r="S126" s="29">
        <f t="shared" si="80"/>
        <v>-300.15479110201994</v>
      </c>
      <c r="T126" s="35">
        <f t="shared" si="83"/>
        <v>43784</v>
      </c>
      <c r="U126" s="27"/>
      <c r="V126" s="27"/>
      <c r="W126" s="58">
        <f>IF(K126=TRUE,Q126/J126,Q126)</f>
        <v>-250.12899258501662</v>
      </c>
      <c r="X126" s="31">
        <f t="shared" si="77"/>
        <v>0</v>
      </c>
      <c r="Y126" t="b">
        <f t="shared" si="78"/>
        <v>0</v>
      </c>
      <c r="Z126" s="78">
        <f t="shared" si="73"/>
        <v>250.12899258501662</v>
      </c>
    </row>
    <row r="127" spans="1:26" x14ac:dyDescent="0.25">
      <c r="A127" s="53">
        <v>2019</v>
      </c>
      <c r="B127" s="53">
        <v>126</v>
      </c>
      <c r="C127" s="71" t="s">
        <v>105</v>
      </c>
      <c r="D127" t="s">
        <v>705</v>
      </c>
      <c r="E127" s="9" t="s">
        <v>1082</v>
      </c>
      <c r="G127" s="1">
        <v>43710</v>
      </c>
      <c r="H127" t="s">
        <v>953</v>
      </c>
      <c r="K127" t="b">
        <f t="shared" si="82"/>
        <v>0</v>
      </c>
      <c r="L127" s="48">
        <f>179/1.2</f>
        <v>149.16666666666669</v>
      </c>
      <c r="M127" s="72">
        <f>Arbeitszimmer!$B$3</f>
        <v>0.27320378419841473</v>
      </c>
      <c r="N127">
        <v>20</v>
      </c>
      <c r="O127" s="31">
        <f t="shared" si="74"/>
        <v>29.833333333333339</v>
      </c>
      <c r="P127" s="31">
        <f t="shared" si="75"/>
        <v>8.1505795619193737</v>
      </c>
      <c r="Q127" s="33">
        <f t="shared" si="76"/>
        <v>40.752897809596867</v>
      </c>
      <c r="R127" s="29">
        <f t="shared" si="79"/>
        <v>179.00000000000003</v>
      </c>
      <c r="S127" s="29">
        <f t="shared" si="80"/>
        <v>48.903477371516239</v>
      </c>
      <c r="T127" s="35">
        <f t="shared" si="83"/>
        <v>43784</v>
      </c>
      <c r="U127" s="27"/>
      <c r="V127" s="27"/>
      <c r="W127" s="58">
        <f>IF(K127=TRUE,Q127/J127,Q127)</f>
        <v>40.752897809596867</v>
      </c>
      <c r="X127" s="31">
        <f t="shared" si="77"/>
        <v>0</v>
      </c>
      <c r="Y127" t="b">
        <f t="shared" si="78"/>
        <v>0</v>
      </c>
      <c r="Z127" s="78">
        <f t="shared" si="73"/>
        <v>-40.752897809596867</v>
      </c>
    </row>
    <row r="128" spans="1:26" x14ac:dyDescent="0.25">
      <c r="A128" s="53">
        <v>2019</v>
      </c>
      <c r="B128" s="53">
        <v>127</v>
      </c>
      <c r="C128" s="71" t="s">
        <v>105</v>
      </c>
      <c r="D128" t="s">
        <v>692</v>
      </c>
      <c r="E128" s="9" t="s">
        <v>1083</v>
      </c>
      <c r="G128" s="1">
        <v>43711</v>
      </c>
      <c r="H128" t="s">
        <v>1084</v>
      </c>
      <c r="K128" t="b">
        <f t="shared" si="82"/>
        <v>0</v>
      </c>
      <c r="L128" s="48">
        <v>71</v>
      </c>
      <c r="M128" s="72">
        <v>1</v>
      </c>
      <c r="N128">
        <v>20</v>
      </c>
      <c r="O128" s="31">
        <f t="shared" si="74"/>
        <v>14.2</v>
      </c>
      <c r="P128" s="31">
        <f t="shared" si="75"/>
        <v>14.2</v>
      </c>
      <c r="Q128" s="33">
        <f t="shared" si="76"/>
        <v>71</v>
      </c>
      <c r="R128" s="29">
        <f t="shared" si="79"/>
        <v>85.2</v>
      </c>
      <c r="S128" s="29">
        <f t="shared" si="80"/>
        <v>85.2</v>
      </c>
      <c r="T128" s="35">
        <f t="shared" si="83"/>
        <v>43784</v>
      </c>
      <c r="U128" s="27"/>
      <c r="V128" s="27"/>
      <c r="W128" s="58">
        <f>IF(K128=TRUE,Q128/I128,Q128)</f>
        <v>71</v>
      </c>
      <c r="X128" s="31">
        <f t="shared" si="77"/>
        <v>0</v>
      </c>
      <c r="Y128" t="b">
        <f t="shared" si="78"/>
        <v>0</v>
      </c>
      <c r="Z128" s="78">
        <f t="shared" si="73"/>
        <v>-71</v>
      </c>
    </row>
    <row r="129" spans="1:26" x14ac:dyDescent="0.25">
      <c r="A129" s="53">
        <v>2019</v>
      </c>
      <c r="B129" s="53">
        <v>128</v>
      </c>
      <c r="C129" s="71" t="s">
        <v>105</v>
      </c>
      <c r="D129" t="s">
        <v>705</v>
      </c>
      <c r="E129" s="61" t="s">
        <v>1064</v>
      </c>
      <c r="G129" s="1">
        <v>43712</v>
      </c>
      <c r="H129" t="s">
        <v>1085</v>
      </c>
      <c r="K129" t="b">
        <f t="shared" si="82"/>
        <v>0</v>
      </c>
      <c r="L129" s="48">
        <f>47.25/1.2</f>
        <v>39.375</v>
      </c>
      <c r="M129" s="72">
        <v>1</v>
      </c>
      <c r="N129">
        <v>20</v>
      </c>
      <c r="O129" s="31">
        <f t="shared" si="74"/>
        <v>7.875</v>
      </c>
      <c r="P129" s="31">
        <f t="shared" si="75"/>
        <v>7.875</v>
      </c>
      <c r="Q129" s="33">
        <f t="shared" si="76"/>
        <v>39.375</v>
      </c>
      <c r="R129" s="29">
        <f t="shared" si="79"/>
        <v>47.25</v>
      </c>
      <c r="S129" s="29">
        <f t="shared" si="80"/>
        <v>47.25</v>
      </c>
      <c r="T129" s="35">
        <f t="shared" si="83"/>
        <v>43784</v>
      </c>
      <c r="U129" s="27"/>
      <c r="V129" s="27"/>
      <c r="W129" s="58">
        <f>IF(K129=TRUE,Q129/I129,Q129)</f>
        <v>39.375</v>
      </c>
      <c r="X129" s="31">
        <f t="shared" si="77"/>
        <v>0</v>
      </c>
      <c r="Y129" t="b">
        <f t="shared" si="78"/>
        <v>0</v>
      </c>
      <c r="Z129" s="78">
        <f t="shared" si="73"/>
        <v>-39.375</v>
      </c>
    </row>
    <row r="130" spans="1:26" x14ac:dyDescent="0.25">
      <c r="A130" s="53">
        <v>2019</v>
      </c>
      <c r="B130" s="53">
        <v>129</v>
      </c>
      <c r="C130" s="71" t="s">
        <v>708</v>
      </c>
      <c r="D130" t="s">
        <v>709</v>
      </c>
      <c r="E130" s="9" t="s">
        <v>1086</v>
      </c>
      <c r="G130" s="1">
        <v>43717</v>
      </c>
      <c r="H130" t="s">
        <v>933</v>
      </c>
      <c r="K130" t="b">
        <f t="shared" si="82"/>
        <v>0</v>
      </c>
      <c r="L130" s="48">
        <f>3250.08/1.2</f>
        <v>2708.4</v>
      </c>
      <c r="M130" s="72">
        <v>1</v>
      </c>
      <c r="N130">
        <v>20</v>
      </c>
      <c r="O130" s="31">
        <f t="shared" si="74"/>
        <v>541.67999999999995</v>
      </c>
      <c r="P130" s="31">
        <f t="shared" si="75"/>
        <v>541.67999999999995</v>
      </c>
      <c r="Q130" s="33">
        <f t="shared" si="76"/>
        <v>2708.4</v>
      </c>
      <c r="R130" s="29">
        <f t="shared" si="79"/>
        <v>3250.08</v>
      </c>
      <c r="S130" s="29">
        <f t="shared" si="80"/>
        <v>3250.08</v>
      </c>
      <c r="T130" s="35">
        <f t="shared" si="83"/>
        <v>43784</v>
      </c>
      <c r="U130" s="27"/>
      <c r="V130" s="27"/>
      <c r="W130" s="58">
        <f>IF(K130=TRUE,Q130/I130,Q130)</f>
        <v>2708.4</v>
      </c>
      <c r="X130" s="31">
        <f t="shared" si="77"/>
        <v>0</v>
      </c>
      <c r="Y130" t="b">
        <f t="shared" si="78"/>
        <v>0</v>
      </c>
      <c r="Z130" s="78">
        <f t="shared" si="73"/>
        <v>2708.4</v>
      </c>
    </row>
    <row r="131" spans="1:26" x14ac:dyDescent="0.25">
      <c r="A131" s="53">
        <v>2019</v>
      </c>
      <c r="B131" s="53">
        <v>130</v>
      </c>
      <c r="C131" s="71" t="s">
        <v>708</v>
      </c>
      <c r="D131" t="s">
        <v>709</v>
      </c>
      <c r="E131" s="9" t="s">
        <v>1087</v>
      </c>
      <c r="G131" s="1">
        <v>43717</v>
      </c>
      <c r="H131" t="s">
        <v>1066</v>
      </c>
      <c r="K131" t="b">
        <f t="shared" si="82"/>
        <v>0</v>
      </c>
      <c r="L131" s="48">
        <f>1722/1.2</f>
        <v>1435</v>
      </c>
      <c r="M131" s="72">
        <v>1</v>
      </c>
      <c r="N131">
        <v>20</v>
      </c>
      <c r="O131" s="31">
        <f t="shared" si="74"/>
        <v>287</v>
      </c>
      <c r="P131" s="31">
        <f t="shared" si="75"/>
        <v>287</v>
      </c>
      <c r="Q131" s="33">
        <f t="shared" si="76"/>
        <v>1435</v>
      </c>
      <c r="R131" s="29">
        <f t="shared" si="79"/>
        <v>1722</v>
      </c>
      <c r="S131" s="29">
        <f t="shared" si="80"/>
        <v>1722</v>
      </c>
      <c r="T131" s="35">
        <f t="shared" si="83"/>
        <v>43784</v>
      </c>
      <c r="U131" s="27"/>
      <c r="V131" s="27"/>
      <c r="W131" s="58">
        <f>IF(K131=TRUE,Q131/I131,Q131)</f>
        <v>1435</v>
      </c>
      <c r="X131" s="31">
        <f t="shared" si="77"/>
        <v>0</v>
      </c>
      <c r="Y131" t="b">
        <f t="shared" si="78"/>
        <v>0</v>
      </c>
      <c r="Z131" s="78">
        <f t="shared" si="73"/>
        <v>1435</v>
      </c>
    </row>
    <row r="132" spans="1:26" x14ac:dyDescent="0.25">
      <c r="A132" s="53">
        <v>2019</v>
      </c>
      <c r="B132" s="53">
        <v>131</v>
      </c>
      <c r="C132" s="71" t="s">
        <v>105</v>
      </c>
      <c r="D132" t="s">
        <v>705</v>
      </c>
      <c r="E132" s="9" t="s">
        <v>1088</v>
      </c>
      <c r="G132" s="1">
        <v>43717</v>
      </c>
      <c r="H132" t="s">
        <v>979</v>
      </c>
      <c r="K132" t="b">
        <f t="shared" si="82"/>
        <v>0</v>
      </c>
      <c r="L132" s="48">
        <f>281.57/1.2</f>
        <v>234.64166666666668</v>
      </c>
      <c r="M132" s="72">
        <v>1</v>
      </c>
      <c r="N132">
        <v>20</v>
      </c>
      <c r="O132" s="31">
        <f t="shared" si="74"/>
        <v>46.928333333333342</v>
      </c>
      <c r="P132" s="31">
        <f t="shared" si="75"/>
        <v>46.928333333333342</v>
      </c>
      <c r="Q132" s="33">
        <f t="shared" si="76"/>
        <v>234.64166666666668</v>
      </c>
      <c r="R132" s="29">
        <f t="shared" si="79"/>
        <v>281.57000000000005</v>
      </c>
      <c r="S132" s="29">
        <f t="shared" si="80"/>
        <v>281.57000000000005</v>
      </c>
      <c r="T132" s="35">
        <f t="shared" si="83"/>
        <v>43784</v>
      </c>
      <c r="U132" s="27"/>
      <c r="V132" s="27"/>
      <c r="W132" s="58">
        <f>IF(K132=TRUE,Q132/I132,Q132)</f>
        <v>234.64166666666668</v>
      </c>
      <c r="X132" s="31">
        <f t="shared" si="77"/>
        <v>0</v>
      </c>
      <c r="Y132" t="b">
        <f t="shared" si="78"/>
        <v>0</v>
      </c>
      <c r="Z132" s="78">
        <f t="shared" si="73"/>
        <v>-234.64166666666668</v>
      </c>
    </row>
    <row r="133" spans="1:26" x14ac:dyDescent="0.25">
      <c r="A133" s="53">
        <v>2019</v>
      </c>
      <c r="B133" s="53">
        <v>132</v>
      </c>
      <c r="C133" s="71" t="s">
        <v>105</v>
      </c>
      <c r="D133" t="s">
        <v>705</v>
      </c>
      <c r="E133" s="9" t="s">
        <v>1089</v>
      </c>
      <c r="G133" s="1">
        <v>43717</v>
      </c>
      <c r="H133" t="s">
        <v>979</v>
      </c>
      <c r="J133" s="76" t="s">
        <v>958</v>
      </c>
      <c r="K133" t="b">
        <f t="shared" ref="K133:K152" si="84">(IF(AND(I133&lt;&gt;"",AND(J133="",ABS(Q133)&gt;400)),TRUE,FALSE))</f>
        <v>0</v>
      </c>
      <c r="L133" s="48">
        <f>48.66</f>
        <v>48.66</v>
      </c>
      <c r="M133" s="72">
        <v>1</v>
      </c>
      <c r="N133">
        <v>20</v>
      </c>
      <c r="O133" s="31">
        <f t="shared" ref="O133:O152" si="85">L133*N133/100</f>
        <v>9.7319999999999993</v>
      </c>
      <c r="P133" s="31">
        <f t="shared" ref="P133:P152" si="86">M133*O133</f>
        <v>9.7319999999999993</v>
      </c>
      <c r="Q133" s="33">
        <f t="shared" ref="Q133:Q152" si="87">L133*M133</f>
        <v>48.66</v>
      </c>
      <c r="R133" s="29">
        <f t="shared" ref="R133:R152" si="88">L133+O133</f>
        <v>58.391999999999996</v>
      </c>
      <c r="S133" s="29">
        <f t="shared" ref="S133:S152" si="89">Q133+P133</f>
        <v>58.391999999999996</v>
      </c>
      <c r="T133" s="35">
        <f t="shared" si="83"/>
        <v>43784</v>
      </c>
      <c r="U133" s="27"/>
      <c r="V133" s="27"/>
      <c r="W133" s="58">
        <f t="shared" ref="W133:W152" si="90">IF(K133=TRUE,Q133/I133,Q133)</f>
        <v>48.66</v>
      </c>
      <c r="X133" s="31">
        <f t="shared" ref="X133:X152" si="91">V133/100*S133</f>
        <v>0</v>
      </c>
      <c r="Y133" t="b">
        <f t="shared" ref="Y133:Y152" si="92">IF(AND(V133&gt;0,N133=V133),TRUE,FALSE)</f>
        <v>0</v>
      </c>
      <c r="Z133" s="78">
        <f t="shared" ref="Z133:Z152" si="93">IF(C133="Einnahmen",Q133,-Q133)</f>
        <v>-48.66</v>
      </c>
    </row>
    <row r="134" spans="1:26" x14ac:dyDescent="0.25">
      <c r="A134" s="53">
        <v>2019</v>
      </c>
      <c r="B134" s="53">
        <v>133</v>
      </c>
      <c r="C134" s="71" t="s">
        <v>105</v>
      </c>
      <c r="D134" t="s">
        <v>689</v>
      </c>
      <c r="E134" s="9" t="s">
        <v>1090</v>
      </c>
      <c r="G134" s="1">
        <v>43717</v>
      </c>
      <c r="H134" t="s">
        <v>974</v>
      </c>
      <c r="K134" t="b">
        <f t="shared" si="84"/>
        <v>0</v>
      </c>
      <c r="L134" s="48">
        <v>6.2</v>
      </c>
      <c r="M134" s="72">
        <v>1</v>
      </c>
      <c r="N134">
        <v>20</v>
      </c>
      <c r="O134" s="31">
        <f t="shared" si="85"/>
        <v>1.24</v>
      </c>
      <c r="P134" s="31">
        <f t="shared" si="86"/>
        <v>1.24</v>
      </c>
      <c r="Q134" s="33">
        <f t="shared" si="87"/>
        <v>6.2</v>
      </c>
      <c r="R134" s="29">
        <f t="shared" si="88"/>
        <v>7.44</v>
      </c>
      <c r="S134" s="29">
        <f t="shared" si="89"/>
        <v>7.44</v>
      </c>
      <c r="T134" s="35">
        <f t="shared" si="83"/>
        <v>43784</v>
      </c>
      <c r="U134" s="27"/>
      <c r="V134" s="27"/>
      <c r="W134" s="58">
        <f t="shared" si="90"/>
        <v>6.2</v>
      </c>
      <c r="X134" s="31">
        <f t="shared" si="91"/>
        <v>0</v>
      </c>
      <c r="Y134" t="b">
        <f t="shared" si="92"/>
        <v>0</v>
      </c>
      <c r="Z134" s="78">
        <f t="shared" si="93"/>
        <v>-6.2</v>
      </c>
    </row>
    <row r="135" spans="1:26" x14ac:dyDescent="0.25">
      <c r="A135" s="53">
        <v>2019</v>
      </c>
      <c r="B135" s="53">
        <v>134</v>
      </c>
      <c r="C135" s="71" t="s">
        <v>105</v>
      </c>
      <c r="D135" t="s">
        <v>703</v>
      </c>
      <c r="E135" s="9" t="s">
        <v>1091</v>
      </c>
      <c r="G135" s="1">
        <v>43719</v>
      </c>
      <c r="H135" t="s">
        <v>1017</v>
      </c>
      <c r="K135" t="b">
        <f t="shared" si="84"/>
        <v>0</v>
      </c>
      <c r="L135" s="48">
        <f>27.82+1.04</f>
        <v>28.86</v>
      </c>
      <c r="M135" s="72">
        <f>2/3</f>
        <v>0.66666666666666663</v>
      </c>
      <c r="N135">
        <v>20</v>
      </c>
      <c r="O135" s="31">
        <f t="shared" si="85"/>
        <v>5.7720000000000002</v>
      </c>
      <c r="P135" s="31">
        <f t="shared" si="86"/>
        <v>3.8479999999999999</v>
      </c>
      <c r="Q135" s="33">
        <f t="shared" si="87"/>
        <v>19.239999999999998</v>
      </c>
      <c r="R135" s="29">
        <f t="shared" si="88"/>
        <v>34.631999999999998</v>
      </c>
      <c r="S135" s="29">
        <f t="shared" si="89"/>
        <v>23.087999999999997</v>
      </c>
      <c r="T135" s="35">
        <f t="shared" si="83"/>
        <v>43784</v>
      </c>
      <c r="U135" s="27"/>
      <c r="V135" s="27"/>
      <c r="W135" s="58">
        <f>IF(K135=TRUE,Q135/J135,Q135)</f>
        <v>19.239999999999998</v>
      </c>
      <c r="X135" s="31">
        <f t="shared" si="91"/>
        <v>0</v>
      </c>
      <c r="Y135" t="b">
        <f t="shared" si="92"/>
        <v>0</v>
      </c>
      <c r="Z135" s="78">
        <f t="shared" si="93"/>
        <v>-19.239999999999998</v>
      </c>
    </row>
    <row r="136" spans="1:26" x14ac:dyDescent="0.25">
      <c r="A136" s="53">
        <v>2019</v>
      </c>
      <c r="B136" s="53">
        <v>135</v>
      </c>
      <c r="C136" s="71" t="s">
        <v>105</v>
      </c>
      <c r="D136" t="s">
        <v>705</v>
      </c>
      <c r="E136" s="9" t="s">
        <v>1092</v>
      </c>
      <c r="G136" s="1">
        <v>43720</v>
      </c>
      <c r="H136" t="s">
        <v>927</v>
      </c>
      <c r="K136" t="b">
        <f t="shared" si="84"/>
        <v>0</v>
      </c>
      <c r="L136" s="48">
        <v>46.92</v>
      </c>
      <c r="M136" s="72">
        <v>1</v>
      </c>
      <c r="N136">
        <v>0</v>
      </c>
      <c r="O136" s="31">
        <f t="shared" si="85"/>
        <v>0</v>
      </c>
      <c r="P136" s="31">
        <f t="shared" si="86"/>
        <v>0</v>
      </c>
      <c r="Q136" s="33">
        <f t="shared" si="87"/>
        <v>46.92</v>
      </c>
      <c r="R136" s="29">
        <f t="shared" si="88"/>
        <v>46.92</v>
      </c>
      <c r="S136" s="29">
        <f t="shared" si="89"/>
        <v>46.92</v>
      </c>
      <c r="T136" s="35">
        <f t="shared" si="83"/>
        <v>43784</v>
      </c>
      <c r="U136" s="27"/>
      <c r="V136" s="27">
        <v>20</v>
      </c>
      <c r="W136" s="58">
        <f>IF(K136=TRUE,Q136/J136,Q136)</f>
        <v>46.92</v>
      </c>
      <c r="X136" s="31">
        <f t="shared" si="91"/>
        <v>9.3840000000000003</v>
      </c>
      <c r="Y136" t="b">
        <f t="shared" si="92"/>
        <v>0</v>
      </c>
      <c r="Z136" s="78">
        <f t="shared" si="93"/>
        <v>-46.92</v>
      </c>
    </row>
    <row r="137" spans="1:26" x14ac:dyDescent="0.25">
      <c r="A137" s="53">
        <v>2019</v>
      </c>
      <c r="B137" s="53">
        <v>136</v>
      </c>
      <c r="C137" s="71" t="s">
        <v>105</v>
      </c>
      <c r="D137" t="s">
        <v>689</v>
      </c>
      <c r="E137" s="9" t="s">
        <v>1093</v>
      </c>
      <c r="G137" s="1">
        <v>43720</v>
      </c>
      <c r="H137" t="s">
        <v>974</v>
      </c>
      <c r="K137" t="b">
        <f>(IF(AND(I137&lt;&gt;"",AND(J137="",ABS(Q137)&gt;400)),TRUE,FALSE))</f>
        <v>0</v>
      </c>
      <c r="L137" s="48">
        <v>4.33</v>
      </c>
      <c r="M137" s="72">
        <v>1</v>
      </c>
      <c r="N137">
        <v>20</v>
      </c>
      <c r="O137" s="31">
        <f>L137*N137/100</f>
        <v>0.86599999999999999</v>
      </c>
      <c r="P137" s="31">
        <f>M137*O137</f>
        <v>0.86599999999999999</v>
      </c>
      <c r="Q137" s="33">
        <f>L137*M137</f>
        <v>4.33</v>
      </c>
      <c r="R137" s="29">
        <f>L137+O137</f>
        <v>5.1959999999999997</v>
      </c>
      <c r="S137" s="29">
        <f>Q137+P137</f>
        <v>5.1959999999999997</v>
      </c>
      <c r="T137" s="35">
        <f t="shared" si="83"/>
        <v>43784</v>
      </c>
      <c r="U137" s="27"/>
      <c r="V137" s="27"/>
      <c r="W137" s="58">
        <f>IF(K137=TRUE,Q137/I137,Q137)</f>
        <v>4.33</v>
      </c>
      <c r="X137" s="31">
        <f>V137/100*S137</f>
        <v>0</v>
      </c>
      <c r="Y137" t="b">
        <f>IF(AND(V137&gt;0,N137=V137),TRUE,FALSE)</f>
        <v>0</v>
      </c>
      <c r="Z137" s="78">
        <f>IF(C137="Einnahmen",Q137,-Q137)</f>
        <v>-4.33</v>
      </c>
    </row>
    <row r="138" spans="1:26" x14ac:dyDescent="0.25">
      <c r="A138" s="53">
        <v>2019</v>
      </c>
      <c r="B138" s="53">
        <v>137</v>
      </c>
      <c r="C138" s="71" t="s">
        <v>105</v>
      </c>
      <c r="D138" t="s">
        <v>689</v>
      </c>
      <c r="E138" s="9" t="s">
        <v>1094</v>
      </c>
      <c r="G138" s="1">
        <v>43718</v>
      </c>
      <c r="H138" t="s">
        <v>974</v>
      </c>
      <c r="K138" t="b">
        <f t="shared" si="84"/>
        <v>0</v>
      </c>
      <c r="L138" s="48">
        <v>2.17</v>
      </c>
      <c r="M138" s="72">
        <v>1</v>
      </c>
      <c r="N138">
        <v>20</v>
      </c>
      <c r="O138" s="31">
        <f t="shared" si="85"/>
        <v>0.434</v>
      </c>
      <c r="P138" s="31">
        <f t="shared" si="86"/>
        <v>0.434</v>
      </c>
      <c r="Q138" s="33">
        <f t="shared" si="87"/>
        <v>2.17</v>
      </c>
      <c r="R138" s="29">
        <f t="shared" si="88"/>
        <v>2.6040000000000001</v>
      </c>
      <c r="S138" s="29">
        <f t="shared" si="89"/>
        <v>2.6040000000000001</v>
      </c>
      <c r="T138" s="35">
        <f t="shared" si="83"/>
        <v>43784</v>
      </c>
      <c r="U138" s="27"/>
      <c r="V138" s="27"/>
      <c r="W138" s="58">
        <f t="shared" si="90"/>
        <v>2.17</v>
      </c>
      <c r="X138" s="31">
        <f t="shared" si="91"/>
        <v>0</v>
      </c>
      <c r="Y138" t="b">
        <f t="shared" si="92"/>
        <v>0</v>
      </c>
      <c r="Z138" s="78">
        <f t="shared" si="93"/>
        <v>-2.17</v>
      </c>
    </row>
    <row r="139" spans="1:26" x14ac:dyDescent="0.25">
      <c r="A139" s="53">
        <v>2019</v>
      </c>
      <c r="B139" s="53">
        <v>138</v>
      </c>
      <c r="C139" s="71" t="s">
        <v>105</v>
      </c>
      <c r="D139" t="s">
        <v>689</v>
      </c>
      <c r="E139" s="9" t="s">
        <v>1095</v>
      </c>
      <c r="G139" s="1">
        <v>43721</v>
      </c>
      <c r="H139" t="s">
        <v>974</v>
      </c>
      <c r="K139" t="b">
        <f>(IF(AND(I139&lt;&gt;"",AND(J139="",ABS(Q139)&gt;400)),TRUE,FALSE))</f>
        <v>0</v>
      </c>
      <c r="L139" s="48">
        <f>4.37</f>
        <v>4.37</v>
      </c>
      <c r="M139" s="72">
        <v>1</v>
      </c>
      <c r="N139">
        <v>20</v>
      </c>
      <c r="O139" s="31">
        <f>L139*N139/100</f>
        <v>0.87400000000000011</v>
      </c>
      <c r="P139" s="31">
        <f>M139*O139</f>
        <v>0.87400000000000011</v>
      </c>
      <c r="Q139" s="33">
        <f>L139*M139</f>
        <v>4.37</v>
      </c>
      <c r="R139" s="29">
        <f>L139+O139</f>
        <v>5.2439999999999998</v>
      </c>
      <c r="S139" s="29">
        <f>Q139+P139</f>
        <v>5.2439999999999998</v>
      </c>
      <c r="T139" s="35">
        <f t="shared" si="83"/>
        <v>43784</v>
      </c>
      <c r="U139" s="27"/>
      <c r="V139" s="27"/>
      <c r="W139" s="58">
        <f>IF(K139=TRUE,Q139/I139,Q139)</f>
        <v>4.37</v>
      </c>
      <c r="X139" s="31">
        <f>V139/100*S139</f>
        <v>0</v>
      </c>
      <c r="Y139" t="b">
        <f>IF(AND(V139&gt;0,N139=V139),TRUE,FALSE)</f>
        <v>0</v>
      </c>
      <c r="Z139" s="78">
        <f>IF(C139="Einnahmen",Q139,-Q139)</f>
        <v>-4.37</v>
      </c>
    </row>
    <row r="140" spans="1:26" x14ac:dyDescent="0.25">
      <c r="A140" s="53">
        <v>2019</v>
      </c>
      <c r="B140" s="53">
        <v>139</v>
      </c>
      <c r="C140" s="71" t="s">
        <v>105</v>
      </c>
      <c r="D140" t="s">
        <v>705</v>
      </c>
      <c r="E140" s="9" t="s">
        <v>1146</v>
      </c>
      <c r="G140" s="1">
        <v>43724</v>
      </c>
      <c r="H140" t="s">
        <v>1096</v>
      </c>
      <c r="K140" t="b">
        <f t="shared" si="84"/>
        <v>0</v>
      </c>
      <c r="L140" s="48">
        <f>184.99/1.2</f>
        <v>154.15833333333336</v>
      </c>
      <c r="M140" s="72">
        <v>1</v>
      </c>
      <c r="N140">
        <v>20</v>
      </c>
      <c r="O140" s="31">
        <f t="shared" si="85"/>
        <v>30.831666666666671</v>
      </c>
      <c r="P140" s="31">
        <f t="shared" si="86"/>
        <v>30.831666666666671</v>
      </c>
      <c r="Q140" s="33">
        <f t="shared" si="87"/>
        <v>154.15833333333336</v>
      </c>
      <c r="R140" s="29">
        <f t="shared" si="88"/>
        <v>184.99000000000004</v>
      </c>
      <c r="S140" s="29">
        <f t="shared" si="89"/>
        <v>184.99000000000004</v>
      </c>
      <c r="T140" s="35">
        <f t="shared" si="83"/>
        <v>43784</v>
      </c>
      <c r="U140" s="27"/>
      <c r="V140" s="27"/>
      <c r="W140" s="58">
        <f t="shared" si="90"/>
        <v>154.15833333333336</v>
      </c>
      <c r="X140" s="31">
        <f t="shared" si="91"/>
        <v>0</v>
      </c>
      <c r="Y140" t="b">
        <f t="shared" si="92"/>
        <v>0</v>
      </c>
      <c r="Z140" s="78">
        <f t="shared" si="93"/>
        <v>-154.15833333333336</v>
      </c>
    </row>
    <row r="141" spans="1:26" x14ac:dyDescent="0.25">
      <c r="A141" s="53">
        <v>2019</v>
      </c>
      <c r="B141" s="53">
        <v>140</v>
      </c>
      <c r="C141" s="71" t="s">
        <v>105</v>
      </c>
      <c r="D141" t="s">
        <v>705</v>
      </c>
      <c r="E141" s="9" t="s">
        <v>1088</v>
      </c>
      <c r="G141" s="1">
        <v>43721</v>
      </c>
      <c r="H141" t="s">
        <v>979</v>
      </c>
      <c r="K141" t="b">
        <f t="shared" si="84"/>
        <v>0</v>
      </c>
      <c r="L141" s="48">
        <f>31.79</f>
        <v>31.79</v>
      </c>
      <c r="M141" s="72">
        <v>1</v>
      </c>
      <c r="N141">
        <v>20</v>
      </c>
      <c r="O141" s="31">
        <f t="shared" si="85"/>
        <v>6.3579999999999997</v>
      </c>
      <c r="P141" s="31">
        <f t="shared" si="86"/>
        <v>6.3579999999999997</v>
      </c>
      <c r="Q141" s="33">
        <f t="shared" si="87"/>
        <v>31.79</v>
      </c>
      <c r="R141" s="29">
        <f t="shared" si="88"/>
        <v>38.147999999999996</v>
      </c>
      <c r="S141" s="29">
        <f t="shared" si="89"/>
        <v>38.147999999999996</v>
      </c>
      <c r="T141" s="35">
        <f t="shared" si="83"/>
        <v>43784</v>
      </c>
      <c r="U141" s="27"/>
      <c r="V141" s="27"/>
      <c r="W141" s="58">
        <f t="shared" si="90"/>
        <v>31.79</v>
      </c>
      <c r="X141" s="31">
        <f t="shared" si="91"/>
        <v>0</v>
      </c>
      <c r="Y141" t="b">
        <f t="shared" si="92"/>
        <v>0</v>
      </c>
      <c r="Z141" s="78">
        <f t="shared" si="93"/>
        <v>-31.79</v>
      </c>
    </row>
    <row r="142" spans="1:26" x14ac:dyDescent="0.25">
      <c r="A142" s="53">
        <v>2019</v>
      </c>
      <c r="B142" s="53">
        <v>141</v>
      </c>
      <c r="C142" s="71" t="s">
        <v>105</v>
      </c>
      <c r="D142" t="s">
        <v>705</v>
      </c>
      <c r="E142" s="9" t="s">
        <v>1097</v>
      </c>
      <c r="G142" s="1">
        <v>43726</v>
      </c>
      <c r="H142" t="s">
        <v>979</v>
      </c>
      <c r="K142" t="b">
        <f t="shared" si="84"/>
        <v>0</v>
      </c>
      <c r="L142" s="48">
        <f>-31.79</f>
        <v>-31.79</v>
      </c>
      <c r="M142" s="72">
        <v>1</v>
      </c>
      <c r="N142">
        <v>20</v>
      </c>
      <c r="O142" s="31">
        <f t="shared" si="85"/>
        <v>-6.3579999999999997</v>
      </c>
      <c r="P142" s="31">
        <f t="shared" si="86"/>
        <v>-6.3579999999999997</v>
      </c>
      <c r="Q142" s="33">
        <f t="shared" si="87"/>
        <v>-31.79</v>
      </c>
      <c r="R142" s="29">
        <f t="shared" si="88"/>
        <v>-38.147999999999996</v>
      </c>
      <c r="S142" s="29">
        <f t="shared" si="89"/>
        <v>-38.147999999999996</v>
      </c>
      <c r="T142" s="35">
        <f t="shared" si="83"/>
        <v>43784</v>
      </c>
      <c r="U142" s="27"/>
      <c r="V142" s="27"/>
      <c r="W142" s="58">
        <f t="shared" si="90"/>
        <v>-31.79</v>
      </c>
      <c r="X142" s="31">
        <f t="shared" si="91"/>
        <v>0</v>
      </c>
      <c r="Y142" t="b">
        <f t="shared" si="92"/>
        <v>0</v>
      </c>
      <c r="Z142" s="78">
        <f t="shared" si="93"/>
        <v>31.79</v>
      </c>
    </row>
    <row r="143" spans="1:26" x14ac:dyDescent="0.25">
      <c r="A143" s="53">
        <v>2019</v>
      </c>
      <c r="B143" s="53">
        <v>142</v>
      </c>
      <c r="C143" s="71" t="s">
        <v>105</v>
      </c>
      <c r="D143" t="s">
        <v>705</v>
      </c>
      <c r="E143" s="9" t="s">
        <v>1098</v>
      </c>
      <c r="G143" s="1">
        <v>43724</v>
      </c>
      <c r="H143" t="s">
        <v>1099</v>
      </c>
      <c r="K143" t="b">
        <f t="shared" si="84"/>
        <v>0</v>
      </c>
      <c r="L143" s="48">
        <v>408.33</v>
      </c>
      <c r="M143" s="72">
        <v>1</v>
      </c>
      <c r="N143">
        <v>20</v>
      </c>
      <c r="O143" s="31">
        <f t="shared" si="85"/>
        <v>81.665999999999997</v>
      </c>
      <c r="P143" s="31">
        <f t="shared" si="86"/>
        <v>81.665999999999997</v>
      </c>
      <c r="Q143" s="33">
        <f t="shared" si="87"/>
        <v>408.33</v>
      </c>
      <c r="R143" s="29">
        <f t="shared" si="88"/>
        <v>489.99599999999998</v>
      </c>
      <c r="S143" s="29">
        <f t="shared" si="89"/>
        <v>489.99599999999998</v>
      </c>
      <c r="T143" s="35">
        <f t="shared" si="83"/>
        <v>43784</v>
      </c>
      <c r="U143" s="27"/>
      <c r="V143" s="27"/>
      <c r="W143" s="58">
        <f t="shared" si="90"/>
        <v>408.33</v>
      </c>
      <c r="X143" s="31">
        <f t="shared" si="91"/>
        <v>0</v>
      </c>
      <c r="Y143" t="b">
        <f t="shared" si="92"/>
        <v>0</v>
      </c>
      <c r="Z143" s="78">
        <f t="shared" si="93"/>
        <v>-408.33</v>
      </c>
    </row>
    <row r="144" spans="1:26" x14ac:dyDescent="0.25">
      <c r="A144" s="53">
        <v>2019</v>
      </c>
      <c r="B144" s="53">
        <v>143</v>
      </c>
      <c r="C144" s="71" t="s">
        <v>105</v>
      </c>
      <c r="D144" t="s">
        <v>705</v>
      </c>
      <c r="E144" s="9" t="s">
        <v>1100</v>
      </c>
      <c r="G144" s="1">
        <v>43724</v>
      </c>
      <c r="H144" t="s">
        <v>929</v>
      </c>
      <c r="K144" t="b">
        <f t="shared" si="84"/>
        <v>0</v>
      </c>
      <c r="L144" s="48">
        <v>12</v>
      </c>
      <c r="M144" s="72">
        <f>Arbeitszimmer!$B$3</f>
        <v>0.27320378419841473</v>
      </c>
      <c r="N144">
        <v>20</v>
      </c>
      <c r="O144" s="31">
        <f t="shared" si="85"/>
        <v>2.4</v>
      </c>
      <c r="P144" s="31">
        <f t="shared" si="86"/>
        <v>0.65568908207619536</v>
      </c>
      <c r="Q144" s="33">
        <f t="shared" si="87"/>
        <v>3.2784454103809768</v>
      </c>
      <c r="R144" s="29">
        <f t="shared" si="88"/>
        <v>14.4</v>
      </c>
      <c r="S144" s="29">
        <f t="shared" si="89"/>
        <v>3.9341344924571722</v>
      </c>
      <c r="T144" s="35">
        <f t="shared" si="83"/>
        <v>43784</v>
      </c>
      <c r="U144" s="27"/>
      <c r="V144" s="27"/>
      <c r="W144" s="58">
        <f t="shared" si="90"/>
        <v>3.2784454103809768</v>
      </c>
      <c r="X144" s="31">
        <f t="shared" si="91"/>
        <v>0</v>
      </c>
      <c r="Y144" t="b">
        <f t="shared" si="92"/>
        <v>0</v>
      </c>
      <c r="Z144" s="78">
        <f t="shared" si="93"/>
        <v>-3.2784454103809768</v>
      </c>
    </row>
    <row r="145" spans="1:26" x14ac:dyDescent="0.25">
      <c r="A145" s="53">
        <v>2019</v>
      </c>
      <c r="B145" s="53">
        <v>144</v>
      </c>
      <c r="C145" s="71" t="s">
        <v>105</v>
      </c>
      <c r="D145" t="s">
        <v>705</v>
      </c>
      <c r="E145" s="9" t="s">
        <v>1101</v>
      </c>
      <c r="G145" s="1">
        <v>43703</v>
      </c>
      <c r="H145" t="s">
        <v>953</v>
      </c>
      <c r="K145" t="b">
        <f t="shared" si="84"/>
        <v>0</v>
      </c>
      <c r="L145" s="48">
        <f>29.46/1.2</f>
        <v>24.55</v>
      </c>
      <c r="M145" s="72">
        <f>Arbeitszimmer!$B$3</f>
        <v>0.27320378419841473</v>
      </c>
      <c r="N145">
        <v>20</v>
      </c>
      <c r="O145" s="31">
        <f t="shared" si="85"/>
        <v>4.91</v>
      </c>
      <c r="P145" s="31">
        <f t="shared" si="86"/>
        <v>1.3414305804142164</v>
      </c>
      <c r="Q145" s="33">
        <f t="shared" si="87"/>
        <v>6.7071529020710816</v>
      </c>
      <c r="R145" s="29">
        <f t="shared" si="88"/>
        <v>29.46</v>
      </c>
      <c r="S145" s="29">
        <f t="shared" si="89"/>
        <v>8.0485834824852986</v>
      </c>
      <c r="T145" s="35">
        <f t="shared" si="83"/>
        <v>43784</v>
      </c>
      <c r="U145" s="27"/>
      <c r="V145" s="27"/>
      <c r="W145" s="58">
        <f t="shared" si="90"/>
        <v>6.7071529020710816</v>
      </c>
      <c r="X145" s="31">
        <f t="shared" si="91"/>
        <v>0</v>
      </c>
      <c r="Y145" t="b">
        <f t="shared" si="92"/>
        <v>0</v>
      </c>
      <c r="Z145" s="78">
        <f t="shared" si="93"/>
        <v>-6.7071529020710816</v>
      </c>
    </row>
    <row r="146" spans="1:26" x14ac:dyDescent="0.25">
      <c r="A146" s="53">
        <v>2019</v>
      </c>
      <c r="B146" s="53">
        <v>145</v>
      </c>
      <c r="C146" s="71" t="s">
        <v>105</v>
      </c>
      <c r="D146" t="s">
        <v>705</v>
      </c>
      <c r="E146" s="9" t="s">
        <v>1102</v>
      </c>
      <c r="G146" s="1">
        <v>43727</v>
      </c>
      <c r="H146" t="s">
        <v>979</v>
      </c>
      <c r="K146" t="b">
        <f t="shared" si="84"/>
        <v>0</v>
      </c>
      <c r="L146" s="48">
        <f>110.92/1.2</f>
        <v>92.433333333333337</v>
      </c>
      <c r="M146" s="72">
        <v>1</v>
      </c>
      <c r="N146">
        <v>20</v>
      </c>
      <c r="O146" s="31">
        <f t="shared" si="85"/>
        <v>18.486666666666668</v>
      </c>
      <c r="P146" s="31">
        <f t="shared" si="86"/>
        <v>18.486666666666668</v>
      </c>
      <c r="Q146" s="33">
        <f t="shared" si="87"/>
        <v>92.433333333333337</v>
      </c>
      <c r="R146" s="29">
        <f t="shared" si="88"/>
        <v>110.92</v>
      </c>
      <c r="S146" s="29">
        <f t="shared" si="89"/>
        <v>110.92</v>
      </c>
      <c r="T146" s="35">
        <f t="shared" si="83"/>
        <v>43784</v>
      </c>
      <c r="U146" s="27"/>
      <c r="V146" s="27"/>
      <c r="W146" s="58">
        <f t="shared" si="90"/>
        <v>92.433333333333337</v>
      </c>
      <c r="X146" s="31">
        <f t="shared" si="91"/>
        <v>0</v>
      </c>
      <c r="Y146" t="b">
        <f t="shared" si="92"/>
        <v>0</v>
      </c>
      <c r="Z146" s="78">
        <f t="shared" si="93"/>
        <v>-92.433333333333337</v>
      </c>
    </row>
    <row r="147" spans="1:26" x14ac:dyDescent="0.25">
      <c r="A147" s="53">
        <v>2019</v>
      </c>
      <c r="B147" s="53">
        <v>146</v>
      </c>
      <c r="C147" s="71" t="s">
        <v>105</v>
      </c>
      <c r="D147" t="s">
        <v>689</v>
      </c>
      <c r="E147" s="9" t="s">
        <v>1103</v>
      </c>
      <c r="G147" s="1">
        <v>43727</v>
      </c>
      <c r="H147" t="s">
        <v>974</v>
      </c>
      <c r="K147" t="b">
        <f t="shared" si="84"/>
        <v>0</v>
      </c>
      <c r="L147" s="48">
        <v>2.04</v>
      </c>
      <c r="M147" s="72">
        <v>1</v>
      </c>
      <c r="N147">
        <v>20</v>
      </c>
      <c r="O147" s="31">
        <f t="shared" si="85"/>
        <v>0.40799999999999997</v>
      </c>
      <c r="P147" s="31">
        <f t="shared" si="86"/>
        <v>0.40799999999999997</v>
      </c>
      <c r="Q147" s="33">
        <f t="shared" si="87"/>
        <v>2.04</v>
      </c>
      <c r="R147" s="29">
        <f t="shared" si="88"/>
        <v>2.448</v>
      </c>
      <c r="S147" s="29">
        <f t="shared" si="89"/>
        <v>2.448</v>
      </c>
      <c r="T147" s="35">
        <f t="shared" si="83"/>
        <v>43784</v>
      </c>
      <c r="U147" s="27"/>
      <c r="V147" s="27"/>
      <c r="W147" s="58">
        <f t="shared" si="90"/>
        <v>2.04</v>
      </c>
      <c r="X147" s="31">
        <f t="shared" si="91"/>
        <v>0</v>
      </c>
      <c r="Y147" t="b">
        <f t="shared" si="92"/>
        <v>0</v>
      </c>
      <c r="Z147" s="78">
        <f t="shared" si="93"/>
        <v>-2.04</v>
      </c>
    </row>
    <row r="148" spans="1:26" x14ac:dyDescent="0.25">
      <c r="A148" s="53">
        <v>2019</v>
      </c>
      <c r="B148" s="53">
        <v>147</v>
      </c>
      <c r="C148" s="71" t="s">
        <v>105</v>
      </c>
      <c r="D148" t="s">
        <v>705</v>
      </c>
      <c r="E148" s="9" t="s">
        <v>1104</v>
      </c>
      <c r="G148" s="1">
        <v>43727</v>
      </c>
      <c r="H148" t="s">
        <v>979</v>
      </c>
      <c r="K148" t="b">
        <f t="shared" si="84"/>
        <v>0</v>
      </c>
      <c r="L148" s="48">
        <v>29.12</v>
      </c>
      <c r="M148" s="72">
        <v>1</v>
      </c>
      <c r="N148">
        <v>0</v>
      </c>
      <c r="O148" s="31">
        <f t="shared" si="85"/>
        <v>0</v>
      </c>
      <c r="P148" s="31">
        <f t="shared" si="86"/>
        <v>0</v>
      </c>
      <c r="Q148" s="33">
        <f t="shared" si="87"/>
        <v>29.12</v>
      </c>
      <c r="R148" s="29">
        <f t="shared" si="88"/>
        <v>29.12</v>
      </c>
      <c r="S148" s="29">
        <f t="shared" si="89"/>
        <v>29.12</v>
      </c>
      <c r="T148" s="35">
        <f t="shared" si="83"/>
        <v>43784</v>
      </c>
      <c r="U148" s="27"/>
      <c r="V148" s="27">
        <v>20</v>
      </c>
      <c r="W148" s="58">
        <f t="shared" si="90"/>
        <v>29.12</v>
      </c>
      <c r="X148" s="31">
        <f t="shared" si="91"/>
        <v>5.8240000000000007</v>
      </c>
      <c r="Y148" t="b">
        <f t="shared" si="92"/>
        <v>0</v>
      </c>
      <c r="Z148" s="78">
        <f t="shared" si="93"/>
        <v>-29.12</v>
      </c>
    </row>
    <row r="149" spans="1:26" x14ac:dyDescent="0.25">
      <c r="A149" s="53">
        <v>2019</v>
      </c>
      <c r="B149" s="53">
        <v>148</v>
      </c>
      <c r="C149" s="71" t="s">
        <v>105</v>
      </c>
      <c r="D149" t="s">
        <v>705</v>
      </c>
      <c r="E149" s="9" t="s">
        <v>1105</v>
      </c>
      <c r="G149" s="1">
        <v>43728</v>
      </c>
      <c r="H149" t="s">
        <v>979</v>
      </c>
      <c r="K149" t="b">
        <f>(IF(AND(I149&lt;&gt;"",AND(J149="",ABS(Q149)&gt;400)),TRUE,FALSE))</f>
        <v>0</v>
      </c>
      <c r="L149" s="48">
        <v>212.98</v>
      </c>
      <c r="M149" s="72">
        <v>1</v>
      </c>
      <c r="N149">
        <v>0</v>
      </c>
      <c r="O149" s="31">
        <f>L149*N149/100</f>
        <v>0</v>
      </c>
      <c r="P149" s="31">
        <f>M149*O149</f>
        <v>0</v>
      </c>
      <c r="Q149" s="33">
        <f>L149*M149</f>
        <v>212.98</v>
      </c>
      <c r="R149" s="29">
        <f>L149+O149</f>
        <v>212.98</v>
      </c>
      <c r="S149" s="29">
        <f>Q149+P149</f>
        <v>212.98</v>
      </c>
      <c r="T149" s="35">
        <f t="shared" si="83"/>
        <v>43784</v>
      </c>
      <c r="U149" s="27"/>
      <c r="V149" s="27">
        <v>20</v>
      </c>
      <c r="W149" s="58">
        <f>IF(K149=TRUE,Q149/I149,Q149)</f>
        <v>212.98</v>
      </c>
      <c r="X149" s="31">
        <f>V149/100*S149</f>
        <v>42.596000000000004</v>
      </c>
      <c r="Y149" t="b">
        <f>IF(AND(V149&gt;0,N149=V149),TRUE,FALSE)</f>
        <v>0</v>
      </c>
      <c r="Z149" s="78">
        <f>IF(C149="Einnahmen",Q149,-Q149)</f>
        <v>-212.98</v>
      </c>
    </row>
    <row r="150" spans="1:26" x14ac:dyDescent="0.25">
      <c r="A150" s="53">
        <v>2019</v>
      </c>
      <c r="B150" s="53">
        <v>149</v>
      </c>
      <c r="C150" s="71" t="s">
        <v>105</v>
      </c>
      <c r="D150" t="s">
        <v>705</v>
      </c>
      <c r="E150" s="9" t="s">
        <v>1106</v>
      </c>
      <c r="G150" s="1">
        <v>43731</v>
      </c>
      <c r="H150" t="s">
        <v>1032</v>
      </c>
      <c r="J150" s="76" t="s">
        <v>958</v>
      </c>
      <c r="K150" t="b">
        <f t="shared" si="84"/>
        <v>0</v>
      </c>
      <c r="L150" s="48">
        <f>-9.28/1.2</f>
        <v>-7.7333333333333334</v>
      </c>
      <c r="M150" s="72">
        <v>1</v>
      </c>
      <c r="N150">
        <v>20</v>
      </c>
      <c r="O150" s="31">
        <f t="shared" si="85"/>
        <v>-1.5466666666666666</v>
      </c>
      <c r="P150" s="31">
        <f t="shared" si="86"/>
        <v>-1.5466666666666666</v>
      </c>
      <c r="Q150" s="33">
        <f t="shared" si="87"/>
        <v>-7.7333333333333334</v>
      </c>
      <c r="R150" s="29">
        <f t="shared" si="88"/>
        <v>-9.2799999999999994</v>
      </c>
      <c r="S150" s="29">
        <f t="shared" si="89"/>
        <v>-9.2799999999999994</v>
      </c>
      <c r="T150" s="35">
        <f t="shared" si="83"/>
        <v>43784</v>
      </c>
      <c r="U150" s="27"/>
      <c r="V150" s="27"/>
      <c r="W150" s="58">
        <f t="shared" si="90"/>
        <v>-7.7333333333333334</v>
      </c>
      <c r="X150" s="31">
        <f t="shared" si="91"/>
        <v>0</v>
      </c>
      <c r="Y150" t="b">
        <f t="shared" si="92"/>
        <v>0</v>
      </c>
      <c r="Z150" s="78">
        <f t="shared" si="93"/>
        <v>7.7333333333333334</v>
      </c>
    </row>
    <row r="151" spans="1:26" x14ac:dyDescent="0.25">
      <c r="A151" s="53">
        <v>2019</v>
      </c>
      <c r="B151" s="53">
        <v>150</v>
      </c>
      <c r="C151" s="71" t="s">
        <v>105</v>
      </c>
      <c r="D151" t="s">
        <v>689</v>
      </c>
      <c r="E151" s="9" t="s">
        <v>1107</v>
      </c>
      <c r="G151" s="1">
        <v>43731</v>
      </c>
      <c r="H151" t="s">
        <v>974</v>
      </c>
      <c r="K151" t="b">
        <f>(IF(AND(I151&lt;&gt;"",AND(J151="",ABS(Q151)&gt;400)),TRUE,FALSE))</f>
        <v>0</v>
      </c>
      <c r="L151" s="48">
        <v>6.46</v>
      </c>
      <c r="M151" s="72">
        <v>1</v>
      </c>
      <c r="N151">
        <v>20</v>
      </c>
      <c r="O151" s="31">
        <f>L151*N151/100</f>
        <v>1.2919999999999998</v>
      </c>
      <c r="P151" s="31">
        <f>M151*O151</f>
        <v>1.2919999999999998</v>
      </c>
      <c r="Q151" s="33">
        <f>L151*M151</f>
        <v>6.46</v>
      </c>
      <c r="R151" s="29">
        <f>L151+O151</f>
        <v>7.7519999999999998</v>
      </c>
      <c r="S151" s="29">
        <f>Q151+P151</f>
        <v>7.7519999999999998</v>
      </c>
      <c r="T151" s="35">
        <f t="shared" si="83"/>
        <v>43784</v>
      </c>
      <c r="U151" s="27"/>
      <c r="V151" s="27"/>
      <c r="W151" s="58">
        <f>IF(K151=TRUE,Q151/I151,Q151)</f>
        <v>6.46</v>
      </c>
      <c r="X151" s="31">
        <f>V151/100*S151</f>
        <v>0</v>
      </c>
      <c r="Y151" t="b">
        <f>IF(AND(V151&gt;0,N151=V151),TRUE,FALSE)</f>
        <v>0</v>
      </c>
      <c r="Z151" s="78">
        <f>IF(C151="Einnahmen",Q151,-Q151)</f>
        <v>-6.46</v>
      </c>
    </row>
    <row r="152" spans="1:26" x14ac:dyDescent="0.25">
      <c r="A152" s="53">
        <v>2019</v>
      </c>
      <c r="B152" s="53">
        <v>151</v>
      </c>
      <c r="C152" s="71" t="s">
        <v>105</v>
      </c>
      <c r="D152" t="s">
        <v>704</v>
      </c>
      <c r="E152" s="9" t="s">
        <v>1145</v>
      </c>
      <c r="G152" s="1">
        <v>43731</v>
      </c>
      <c r="H152" t="s">
        <v>1108</v>
      </c>
      <c r="K152" t="b">
        <f t="shared" si="84"/>
        <v>0</v>
      </c>
      <c r="L152" s="48">
        <v>4.8099999999999996</v>
      </c>
      <c r="M152" s="72">
        <v>1</v>
      </c>
      <c r="N152">
        <v>0</v>
      </c>
      <c r="O152" s="31">
        <f t="shared" si="85"/>
        <v>0</v>
      </c>
      <c r="P152" s="31">
        <f t="shared" si="86"/>
        <v>0</v>
      </c>
      <c r="Q152" s="33">
        <f t="shared" si="87"/>
        <v>4.8099999999999996</v>
      </c>
      <c r="R152" s="29">
        <f t="shared" si="88"/>
        <v>4.8099999999999996</v>
      </c>
      <c r="S152" s="29">
        <f t="shared" si="89"/>
        <v>4.8099999999999996</v>
      </c>
      <c r="T152" s="35">
        <f t="shared" si="83"/>
        <v>43784</v>
      </c>
      <c r="U152" s="27"/>
      <c r="V152" s="27"/>
      <c r="W152" s="58">
        <f t="shared" si="90"/>
        <v>4.8099999999999996</v>
      </c>
      <c r="X152" s="31">
        <f t="shared" si="91"/>
        <v>0</v>
      </c>
      <c r="Y152" t="b">
        <f t="shared" si="92"/>
        <v>0</v>
      </c>
      <c r="Z152" s="78">
        <f t="shared" si="93"/>
        <v>-4.8099999999999996</v>
      </c>
    </row>
    <row r="153" spans="1:26" x14ac:dyDescent="0.25">
      <c r="A153" s="53">
        <v>2019</v>
      </c>
      <c r="B153" s="53">
        <v>152</v>
      </c>
      <c r="C153" s="71" t="s">
        <v>105</v>
      </c>
      <c r="D153" t="s">
        <v>705</v>
      </c>
      <c r="E153" s="9" t="s">
        <v>1109</v>
      </c>
      <c r="G153" s="1">
        <v>43731</v>
      </c>
      <c r="H153" t="s">
        <v>1119</v>
      </c>
      <c r="K153" t="b">
        <f>(IF(AND(I153&lt;&gt;"",AND(J153="",ABS(Q153)&gt;400)),TRUE,FALSE))</f>
        <v>0</v>
      </c>
      <c r="L153" s="48">
        <f>1140/1.2/2</f>
        <v>475</v>
      </c>
      <c r="M153" s="72">
        <v>1</v>
      </c>
      <c r="N153">
        <v>20</v>
      </c>
      <c r="O153" s="31">
        <f t="shared" ref="O153:O184" si="94">L153*N153/100</f>
        <v>95</v>
      </c>
      <c r="P153" s="31">
        <f t="shared" ref="P153:P184" si="95">M153*O153</f>
        <v>95</v>
      </c>
      <c r="Q153" s="33">
        <f t="shared" ref="Q153:Q184" si="96">L153*M153</f>
        <v>475</v>
      </c>
      <c r="R153" s="29">
        <f t="shared" ref="R153:R184" si="97">L153+O153</f>
        <v>570</v>
      </c>
      <c r="S153" s="29">
        <f t="shared" ref="S153:S184" si="98">Q153+P153</f>
        <v>570</v>
      </c>
      <c r="T153" s="35">
        <f t="shared" si="83"/>
        <v>43784</v>
      </c>
      <c r="U153" s="27"/>
      <c r="V153" s="27"/>
      <c r="W153" s="58">
        <f>IF(K153=TRUE,Q153/I153,Q153)</f>
        <v>475</v>
      </c>
      <c r="X153" s="31">
        <f t="shared" ref="X153:X184" si="99">V153/100*S153</f>
        <v>0</v>
      </c>
      <c r="Y153" t="b">
        <f t="shared" ref="Y153:Y184" si="100">IF(AND(V153&gt;0,N153=V153),TRUE,FALSE)</f>
        <v>0</v>
      </c>
      <c r="Z153" s="78">
        <f t="shared" ref="Z153:Z179" si="101">IF(C153="Einnahmen",Q153,-Q153)</f>
        <v>-475</v>
      </c>
    </row>
    <row r="154" spans="1:26" x14ac:dyDescent="0.25">
      <c r="A154" s="53">
        <v>2019</v>
      </c>
      <c r="B154" s="53">
        <v>153</v>
      </c>
      <c r="C154" s="71" t="s">
        <v>105</v>
      </c>
      <c r="D154" t="s">
        <v>691</v>
      </c>
      <c r="E154" s="9" t="s">
        <v>950</v>
      </c>
      <c r="G154" s="1">
        <v>43733</v>
      </c>
      <c r="H154" t="s">
        <v>951</v>
      </c>
      <c r="K154" t="b">
        <f>(IF(AND(I154&lt;&gt;"",AND(J154="",ABS(Q154)&gt;400)),TRUE,FALSE))</f>
        <v>0</v>
      </c>
      <c r="L154" s="48">
        <v>763.44</v>
      </c>
      <c r="M154" s="72">
        <f>Arbeitszimmer!$B$3</f>
        <v>0.27320378419841473</v>
      </c>
      <c r="N154">
        <v>10</v>
      </c>
      <c r="O154" s="31">
        <f t="shared" si="94"/>
        <v>76.344000000000008</v>
      </c>
      <c r="P154" s="31">
        <f t="shared" si="95"/>
        <v>20.857469700843776</v>
      </c>
      <c r="Q154" s="33">
        <f t="shared" si="96"/>
        <v>208.57469700843777</v>
      </c>
      <c r="R154" s="29">
        <f t="shared" si="97"/>
        <v>839.78400000000011</v>
      </c>
      <c r="S154" s="29">
        <f t="shared" si="98"/>
        <v>229.43216670928155</v>
      </c>
      <c r="T154" s="35">
        <f t="shared" si="83"/>
        <v>43784</v>
      </c>
      <c r="U154" s="27"/>
      <c r="V154" s="27"/>
      <c r="W154" s="58">
        <f>IF(K154=TRUE,Q154/J154,Q154)</f>
        <v>208.57469700843777</v>
      </c>
      <c r="X154" s="31">
        <f t="shared" si="99"/>
        <v>0</v>
      </c>
      <c r="Y154" t="b">
        <f t="shared" si="100"/>
        <v>0</v>
      </c>
      <c r="Z154" s="78">
        <f t="shared" si="101"/>
        <v>-208.57469700843777</v>
      </c>
    </row>
    <row r="155" spans="1:26" x14ac:dyDescent="0.25">
      <c r="A155" s="53">
        <v>2019</v>
      </c>
      <c r="B155" s="53">
        <v>154</v>
      </c>
      <c r="C155" s="71" t="s">
        <v>105</v>
      </c>
      <c r="D155" t="s">
        <v>705</v>
      </c>
      <c r="E155" s="9" t="s">
        <v>1111</v>
      </c>
      <c r="G155" s="1">
        <v>43738</v>
      </c>
      <c r="H155" t="s">
        <v>1110</v>
      </c>
      <c r="K155" t="b">
        <f>(IF(AND(I155&lt;&gt;"",AND(J155="",ABS(Q155)&gt;400)),TRUE,FALSE))</f>
        <v>0</v>
      </c>
      <c r="L155" s="48">
        <v>80</v>
      </c>
      <c r="M155" s="72">
        <v>1</v>
      </c>
      <c r="N155">
        <v>20</v>
      </c>
      <c r="O155" s="31">
        <f t="shared" si="94"/>
        <v>16</v>
      </c>
      <c r="P155" s="31">
        <f t="shared" si="95"/>
        <v>16</v>
      </c>
      <c r="Q155" s="33">
        <f t="shared" si="96"/>
        <v>80</v>
      </c>
      <c r="R155" s="29">
        <f t="shared" si="97"/>
        <v>96</v>
      </c>
      <c r="S155" s="29">
        <f t="shared" si="98"/>
        <v>96</v>
      </c>
      <c r="T155" s="35">
        <f t="shared" si="83"/>
        <v>43784</v>
      </c>
      <c r="U155" s="27"/>
      <c r="V155" s="27"/>
      <c r="W155" s="58">
        <f>IF(K155=TRUE,Q155/J155,Q155)</f>
        <v>80</v>
      </c>
      <c r="X155" s="31">
        <f t="shared" si="99"/>
        <v>0</v>
      </c>
      <c r="Y155" t="b">
        <f t="shared" si="100"/>
        <v>0</v>
      </c>
      <c r="Z155" s="78">
        <f t="shared" si="101"/>
        <v>-80</v>
      </c>
    </row>
    <row r="156" spans="1:26" x14ac:dyDescent="0.25">
      <c r="A156" s="53">
        <v>2019</v>
      </c>
      <c r="B156" s="53">
        <v>155</v>
      </c>
      <c r="C156" s="71" t="s">
        <v>105</v>
      </c>
      <c r="D156" t="s">
        <v>689</v>
      </c>
      <c r="E156" s="9" t="s">
        <v>1112</v>
      </c>
      <c r="G156" s="1">
        <v>43738</v>
      </c>
      <c r="H156" t="s">
        <v>974</v>
      </c>
      <c r="K156" t="b">
        <f>(IF(AND(I156&lt;&gt;"",AND(J156="",ABS(Q156)&gt;400)),TRUE,FALSE))</f>
        <v>0</v>
      </c>
      <c r="L156" s="48">
        <v>6.97</v>
      </c>
      <c r="M156" s="72">
        <v>1</v>
      </c>
      <c r="N156">
        <v>20</v>
      </c>
      <c r="O156" s="31">
        <f t="shared" si="94"/>
        <v>1.3940000000000001</v>
      </c>
      <c r="P156" s="31">
        <f t="shared" si="95"/>
        <v>1.3940000000000001</v>
      </c>
      <c r="Q156" s="33">
        <f t="shared" si="96"/>
        <v>6.97</v>
      </c>
      <c r="R156" s="29">
        <f t="shared" si="97"/>
        <v>8.3640000000000008</v>
      </c>
      <c r="S156" s="29">
        <f t="shared" si="98"/>
        <v>8.3640000000000008</v>
      </c>
      <c r="T156" s="35">
        <f t="shared" ref="T156:T179" si="102">voranmeldefrist_vierteljaehrlich(G156)</f>
        <v>43784</v>
      </c>
      <c r="U156" s="27"/>
      <c r="V156" s="27"/>
      <c r="W156" s="58">
        <f>IF(K156=TRUE,Q156/J156,Q156)</f>
        <v>6.97</v>
      </c>
      <c r="X156" s="31">
        <f t="shared" si="99"/>
        <v>0</v>
      </c>
      <c r="Y156" t="b">
        <f t="shared" si="100"/>
        <v>0</v>
      </c>
      <c r="Z156" s="78">
        <f t="shared" si="101"/>
        <v>-6.97</v>
      </c>
    </row>
    <row r="157" spans="1:26" x14ac:dyDescent="0.25">
      <c r="A157" s="53">
        <v>2019</v>
      </c>
      <c r="B157" s="53">
        <v>156</v>
      </c>
      <c r="C157" s="71" t="s">
        <v>105</v>
      </c>
      <c r="D157" t="s">
        <v>691</v>
      </c>
      <c r="E157" s="9" t="s">
        <v>1114</v>
      </c>
      <c r="G157" s="1">
        <v>43739</v>
      </c>
      <c r="H157" t="s">
        <v>1113</v>
      </c>
      <c r="K157" t="b">
        <v>0</v>
      </c>
      <c r="L157" s="48">
        <v>462.44</v>
      </c>
      <c r="M157" s="72">
        <v>1</v>
      </c>
      <c r="N157">
        <v>20</v>
      </c>
      <c r="O157" s="31">
        <f t="shared" si="94"/>
        <v>92.488</v>
      </c>
      <c r="P157" s="31">
        <f t="shared" si="95"/>
        <v>92.488</v>
      </c>
      <c r="Q157" s="33">
        <f t="shared" si="96"/>
        <v>462.44</v>
      </c>
      <c r="R157" s="29">
        <f t="shared" si="97"/>
        <v>554.928</v>
      </c>
      <c r="S157" s="29">
        <f t="shared" si="98"/>
        <v>554.928</v>
      </c>
      <c r="T157" s="35">
        <f t="shared" si="102"/>
        <v>43876</v>
      </c>
      <c r="U157" s="27"/>
      <c r="V157" s="27"/>
      <c r="W157" s="58">
        <f>IF(K157=TRUE,Q157/J157,Q157)</f>
        <v>462.44</v>
      </c>
      <c r="X157" s="31">
        <f t="shared" si="99"/>
        <v>0</v>
      </c>
      <c r="Y157" t="b">
        <f t="shared" si="100"/>
        <v>0</v>
      </c>
      <c r="Z157" s="78">
        <f t="shared" si="101"/>
        <v>-462.44</v>
      </c>
    </row>
    <row r="158" spans="1:26" x14ac:dyDescent="0.25">
      <c r="A158" s="53">
        <v>2019</v>
      </c>
      <c r="B158" s="53">
        <v>157</v>
      </c>
      <c r="C158" s="71" t="s">
        <v>105</v>
      </c>
      <c r="D158" t="s">
        <v>703</v>
      </c>
      <c r="E158" s="9" t="s">
        <v>1115</v>
      </c>
      <c r="G158" s="1">
        <v>43739</v>
      </c>
      <c r="H158" t="s">
        <v>1116</v>
      </c>
      <c r="K158" t="b">
        <v>0</v>
      </c>
      <c r="L158" s="48">
        <v>4.92</v>
      </c>
      <c r="M158" s="72">
        <v>1</v>
      </c>
      <c r="N158">
        <v>20</v>
      </c>
      <c r="O158" s="31">
        <f t="shared" si="94"/>
        <v>0.9840000000000001</v>
      </c>
      <c r="P158" s="31">
        <f t="shared" si="95"/>
        <v>0.9840000000000001</v>
      </c>
      <c r="Q158" s="33">
        <f t="shared" si="96"/>
        <v>4.92</v>
      </c>
      <c r="R158" s="29">
        <f t="shared" si="97"/>
        <v>5.9039999999999999</v>
      </c>
      <c r="S158" s="29">
        <f t="shared" si="98"/>
        <v>5.9039999999999999</v>
      </c>
      <c r="T158" s="35">
        <f t="shared" si="102"/>
        <v>43876</v>
      </c>
      <c r="U158" s="27"/>
      <c r="V158" s="27"/>
      <c r="W158" s="58">
        <f>IF(K158=TRUE,Q158/J158,Q158)</f>
        <v>4.92</v>
      </c>
      <c r="X158" s="31">
        <f t="shared" si="99"/>
        <v>0</v>
      </c>
      <c r="Y158" t="b">
        <f t="shared" si="100"/>
        <v>0</v>
      </c>
      <c r="Z158" s="78">
        <f t="shared" si="101"/>
        <v>-4.92</v>
      </c>
    </row>
    <row r="159" spans="1:26" x14ac:dyDescent="0.25">
      <c r="A159" s="53">
        <v>2019</v>
      </c>
      <c r="B159" s="53">
        <v>158</v>
      </c>
      <c r="C159" s="71" t="s">
        <v>105</v>
      </c>
      <c r="D159" t="s">
        <v>689</v>
      </c>
      <c r="E159" s="9" t="s">
        <v>1117</v>
      </c>
      <c r="G159" s="1">
        <v>43740</v>
      </c>
      <c r="H159" t="s">
        <v>974</v>
      </c>
      <c r="K159" t="b">
        <f>(IF(AND(I159&lt;&gt;"",AND(J159="",ABS(Q159)&gt;400)),TRUE,FALSE))</f>
        <v>0</v>
      </c>
      <c r="L159" s="48">
        <v>5.17</v>
      </c>
      <c r="M159" s="72">
        <v>1</v>
      </c>
      <c r="N159">
        <v>20</v>
      </c>
      <c r="O159" s="31">
        <f t="shared" si="94"/>
        <v>1.034</v>
      </c>
      <c r="P159" s="31">
        <f t="shared" si="95"/>
        <v>1.034</v>
      </c>
      <c r="Q159" s="33">
        <f t="shared" si="96"/>
        <v>5.17</v>
      </c>
      <c r="R159" s="29">
        <f t="shared" si="97"/>
        <v>6.2039999999999997</v>
      </c>
      <c r="S159" s="29">
        <f t="shared" si="98"/>
        <v>6.2039999999999997</v>
      </c>
      <c r="T159" s="35">
        <f t="shared" si="102"/>
        <v>43876</v>
      </c>
      <c r="U159" s="27"/>
      <c r="V159" s="27"/>
      <c r="W159" s="58">
        <f t="shared" ref="W159:W167" si="103">IF(K159=TRUE,Q159/I159,Q159)</f>
        <v>5.17</v>
      </c>
      <c r="X159" s="31">
        <f t="shared" si="99"/>
        <v>0</v>
      </c>
      <c r="Y159" t="b">
        <f t="shared" si="100"/>
        <v>0</v>
      </c>
      <c r="Z159" s="78">
        <f t="shared" si="101"/>
        <v>-5.17</v>
      </c>
    </row>
    <row r="160" spans="1:26" x14ac:dyDescent="0.25">
      <c r="A160" s="53">
        <v>2019</v>
      </c>
      <c r="B160" s="53">
        <v>159</v>
      </c>
      <c r="C160" s="71" t="s">
        <v>105</v>
      </c>
      <c r="D160" t="s">
        <v>689</v>
      </c>
      <c r="E160" s="9" t="s">
        <v>1118</v>
      </c>
      <c r="G160" s="1">
        <v>43740</v>
      </c>
      <c r="H160" t="s">
        <v>974</v>
      </c>
      <c r="K160" t="b">
        <f>(IF(AND(I160&lt;&gt;"",AND(J160="",ABS(Q160)&gt;400)),TRUE,FALSE))</f>
        <v>0</v>
      </c>
      <c r="L160" s="48">
        <v>5.68</v>
      </c>
      <c r="M160" s="72">
        <v>1</v>
      </c>
      <c r="N160">
        <v>20</v>
      </c>
      <c r="O160" s="31">
        <f t="shared" si="94"/>
        <v>1.1359999999999999</v>
      </c>
      <c r="P160" s="31">
        <f t="shared" si="95"/>
        <v>1.1359999999999999</v>
      </c>
      <c r="Q160" s="33">
        <f t="shared" si="96"/>
        <v>5.68</v>
      </c>
      <c r="R160" s="29">
        <f t="shared" si="97"/>
        <v>6.8159999999999998</v>
      </c>
      <c r="S160" s="29">
        <f t="shared" si="98"/>
        <v>6.8159999999999998</v>
      </c>
      <c r="T160" s="35">
        <f t="shared" si="102"/>
        <v>43876</v>
      </c>
      <c r="U160" s="27"/>
      <c r="V160" s="27"/>
      <c r="W160" s="58">
        <f t="shared" si="103"/>
        <v>5.68</v>
      </c>
      <c r="X160" s="31">
        <f t="shared" si="99"/>
        <v>0</v>
      </c>
      <c r="Y160" t="b">
        <f t="shared" si="100"/>
        <v>0</v>
      </c>
      <c r="Z160" s="78">
        <f t="shared" si="101"/>
        <v>-5.68</v>
      </c>
    </row>
    <row r="161" spans="1:26" x14ac:dyDescent="0.25">
      <c r="A161" s="53">
        <v>2019</v>
      </c>
      <c r="B161" s="53">
        <v>160</v>
      </c>
      <c r="C161" s="71" t="s">
        <v>105</v>
      </c>
      <c r="D161" t="s">
        <v>705</v>
      </c>
      <c r="E161" s="9" t="s">
        <v>1109</v>
      </c>
      <c r="G161" s="1">
        <v>43741</v>
      </c>
      <c r="H161" t="s">
        <v>1120</v>
      </c>
      <c r="K161" t="b">
        <f>(IF(AND(I161&lt;&gt;"",AND(J161="",ABS(Q161)&gt;400)),TRUE,FALSE))</f>
        <v>0</v>
      </c>
      <c r="L161" s="48">
        <f>1140/1.2/2</f>
        <v>475</v>
      </c>
      <c r="M161" s="72">
        <v>1</v>
      </c>
      <c r="N161">
        <v>20</v>
      </c>
      <c r="O161" s="31">
        <f t="shared" si="94"/>
        <v>95</v>
      </c>
      <c r="P161" s="31">
        <f t="shared" si="95"/>
        <v>95</v>
      </c>
      <c r="Q161" s="33">
        <f t="shared" si="96"/>
        <v>475</v>
      </c>
      <c r="R161" s="29">
        <f t="shared" si="97"/>
        <v>570</v>
      </c>
      <c r="S161" s="29">
        <f t="shared" si="98"/>
        <v>570</v>
      </c>
      <c r="T161" s="35">
        <f t="shared" si="102"/>
        <v>43876</v>
      </c>
      <c r="U161" s="27"/>
      <c r="V161" s="27"/>
      <c r="W161" s="58">
        <f t="shared" si="103"/>
        <v>475</v>
      </c>
      <c r="X161" s="31">
        <f t="shared" si="99"/>
        <v>0</v>
      </c>
      <c r="Y161" t="b">
        <f t="shared" si="100"/>
        <v>0</v>
      </c>
      <c r="Z161" s="78">
        <f t="shared" si="101"/>
        <v>-475</v>
      </c>
    </row>
    <row r="162" spans="1:26" x14ac:dyDescent="0.25">
      <c r="A162" s="53">
        <v>2019</v>
      </c>
      <c r="B162" s="53">
        <v>161</v>
      </c>
      <c r="C162" s="71" t="s">
        <v>105</v>
      </c>
      <c r="D162" t="s">
        <v>703</v>
      </c>
      <c r="E162" s="9" t="s">
        <v>1121</v>
      </c>
      <c r="G162" s="1">
        <v>43742</v>
      </c>
      <c r="H162" t="s">
        <v>34</v>
      </c>
      <c r="K162" t="b">
        <f>(IF(AND(I162&lt;&gt;"",AND(J162="",ABS(Q162)&gt;400)),TRUE,FALSE))</f>
        <v>0</v>
      </c>
      <c r="L162" s="48">
        <v>16.52</v>
      </c>
      <c r="M162" s="72">
        <v>1</v>
      </c>
      <c r="N162">
        <v>20</v>
      </c>
      <c r="O162" s="31">
        <f t="shared" si="94"/>
        <v>3.3039999999999998</v>
      </c>
      <c r="P162" s="31">
        <f t="shared" si="95"/>
        <v>3.3039999999999998</v>
      </c>
      <c r="Q162" s="33">
        <f t="shared" si="96"/>
        <v>16.52</v>
      </c>
      <c r="R162" s="29">
        <f t="shared" si="97"/>
        <v>19.823999999999998</v>
      </c>
      <c r="S162" s="29">
        <f t="shared" si="98"/>
        <v>19.823999999999998</v>
      </c>
      <c r="T162" s="35">
        <f t="shared" si="102"/>
        <v>43876</v>
      </c>
      <c r="U162" s="27"/>
      <c r="V162" s="27"/>
      <c r="W162" s="58">
        <f t="shared" si="103"/>
        <v>16.52</v>
      </c>
      <c r="X162" s="31">
        <f t="shared" si="99"/>
        <v>0</v>
      </c>
      <c r="Y162" t="b">
        <f t="shared" si="100"/>
        <v>0</v>
      </c>
      <c r="Z162" s="78">
        <f t="shared" si="101"/>
        <v>-16.52</v>
      </c>
    </row>
    <row r="163" spans="1:26" x14ac:dyDescent="0.25">
      <c r="A163" s="53">
        <v>2019</v>
      </c>
      <c r="B163" s="53">
        <v>162</v>
      </c>
      <c r="C163" s="71" t="s">
        <v>105</v>
      </c>
      <c r="D163" t="s">
        <v>705</v>
      </c>
      <c r="E163" s="9" t="s">
        <v>1123</v>
      </c>
      <c r="G163" s="1">
        <v>43742</v>
      </c>
      <c r="H163" t="s">
        <v>1122</v>
      </c>
      <c r="K163" t="b">
        <v>0</v>
      </c>
      <c r="L163" s="48">
        <f>-286.14/1.2</f>
        <v>-238.45</v>
      </c>
      <c r="M163" s="72">
        <v>1</v>
      </c>
      <c r="N163">
        <v>20</v>
      </c>
      <c r="O163" s="31">
        <f t="shared" si="94"/>
        <v>-47.69</v>
      </c>
      <c r="P163" s="31">
        <f t="shared" si="95"/>
        <v>-47.69</v>
      </c>
      <c r="Q163" s="33">
        <f t="shared" si="96"/>
        <v>-238.45</v>
      </c>
      <c r="R163" s="29">
        <f t="shared" si="97"/>
        <v>-286.14</v>
      </c>
      <c r="S163" s="29">
        <f t="shared" si="98"/>
        <v>-286.14</v>
      </c>
      <c r="T163" s="35">
        <f t="shared" si="102"/>
        <v>43876</v>
      </c>
      <c r="U163" s="27"/>
      <c r="V163" s="27"/>
      <c r="W163" s="58">
        <f t="shared" si="103"/>
        <v>-238.45</v>
      </c>
      <c r="X163" s="31">
        <f t="shared" si="99"/>
        <v>0</v>
      </c>
      <c r="Y163" t="b">
        <f t="shared" si="100"/>
        <v>0</v>
      </c>
      <c r="Z163" s="78">
        <f t="shared" si="101"/>
        <v>238.45</v>
      </c>
    </row>
    <row r="164" spans="1:26" x14ac:dyDescent="0.25">
      <c r="A164" s="53">
        <v>2019</v>
      </c>
      <c r="B164" s="53">
        <v>163</v>
      </c>
      <c r="C164" s="71" t="s">
        <v>105</v>
      </c>
      <c r="D164" t="s">
        <v>339</v>
      </c>
      <c r="E164" s="9" t="s">
        <v>1124</v>
      </c>
      <c r="G164" s="1">
        <v>43742</v>
      </c>
      <c r="H164" t="s">
        <v>1125</v>
      </c>
      <c r="K164" t="b">
        <v>0</v>
      </c>
      <c r="L164" s="48">
        <v>242.4</v>
      </c>
      <c r="M164" s="72">
        <v>1</v>
      </c>
      <c r="N164">
        <v>0</v>
      </c>
      <c r="O164" s="31">
        <f t="shared" si="94"/>
        <v>0</v>
      </c>
      <c r="P164" s="31">
        <f t="shared" si="95"/>
        <v>0</v>
      </c>
      <c r="Q164" s="33">
        <f t="shared" si="96"/>
        <v>242.4</v>
      </c>
      <c r="R164" s="29">
        <f t="shared" si="97"/>
        <v>242.4</v>
      </c>
      <c r="S164" s="29">
        <f t="shared" si="98"/>
        <v>242.4</v>
      </c>
      <c r="T164" s="35">
        <f t="shared" si="102"/>
        <v>43876</v>
      </c>
      <c r="U164" s="27"/>
      <c r="V164" s="27">
        <v>20</v>
      </c>
      <c r="W164" s="58">
        <f t="shared" si="103"/>
        <v>242.4</v>
      </c>
      <c r="X164" s="31">
        <f t="shared" si="99"/>
        <v>48.480000000000004</v>
      </c>
      <c r="Y164" t="b">
        <f t="shared" si="100"/>
        <v>0</v>
      </c>
      <c r="Z164" s="78">
        <f t="shared" si="101"/>
        <v>-242.4</v>
      </c>
    </row>
    <row r="165" spans="1:26" x14ac:dyDescent="0.25">
      <c r="A165" s="53">
        <v>2019</v>
      </c>
      <c r="B165" s="53">
        <v>164</v>
      </c>
      <c r="C165" s="71" t="s">
        <v>708</v>
      </c>
      <c r="D165" t="s">
        <v>709</v>
      </c>
      <c r="E165" s="9" t="s">
        <v>1126</v>
      </c>
      <c r="G165" s="1">
        <v>43742</v>
      </c>
      <c r="H165" t="s">
        <v>1127</v>
      </c>
      <c r="K165" t="b">
        <f t="shared" ref="K165:K179" si="104">(IF(AND(I165&lt;&gt;"",AND(J165="",ABS(Q165)&gt;400)),TRUE,FALSE))</f>
        <v>0</v>
      </c>
      <c r="L165" s="48">
        <v>1680</v>
      </c>
      <c r="M165" s="72">
        <v>1</v>
      </c>
      <c r="N165">
        <v>20</v>
      </c>
      <c r="O165" s="31">
        <f t="shared" si="94"/>
        <v>336</v>
      </c>
      <c r="P165" s="31">
        <f t="shared" si="95"/>
        <v>336</v>
      </c>
      <c r="Q165" s="33">
        <f t="shared" si="96"/>
        <v>1680</v>
      </c>
      <c r="R165" s="29">
        <f t="shared" si="97"/>
        <v>2016</v>
      </c>
      <c r="S165" s="29">
        <f t="shared" si="98"/>
        <v>2016</v>
      </c>
      <c r="T165" s="35">
        <f t="shared" si="102"/>
        <v>43876</v>
      </c>
      <c r="U165" s="27"/>
      <c r="V165" s="27"/>
      <c r="W165" s="58">
        <f t="shared" si="103"/>
        <v>1680</v>
      </c>
      <c r="X165" s="31">
        <f t="shared" si="99"/>
        <v>0</v>
      </c>
      <c r="Y165" t="b">
        <f t="shared" si="100"/>
        <v>0</v>
      </c>
      <c r="Z165" s="78">
        <f t="shared" si="101"/>
        <v>1680</v>
      </c>
    </row>
    <row r="166" spans="1:26" x14ac:dyDescent="0.25">
      <c r="A166" s="53">
        <v>2019</v>
      </c>
      <c r="B166" s="53">
        <v>165</v>
      </c>
      <c r="C166" s="71" t="s">
        <v>105</v>
      </c>
      <c r="D166" t="s">
        <v>705</v>
      </c>
      <c r="E166" s="9" t="s">
        <v>1143</v>
      </c>
      <c r="G166" s="1">
        <v>43745</v>
      </c>
      <c r="H166" t="s">
        <v>1128</v>
      </c>
      <c r="K166" t="b">
        <f t="shared" si="104"/>
        <v>0</v>
      </c>
      <c r="L166" s="48">
        <f>43.9/1.2</f>
        <v>36.583333333333336</v>
      </c>
      <c r="M166" s="72">
        <v>1</v>
      </c>
      <c r="N166">
        <v>20</v>
      </c>
      <c r="O166" s="31">
        <f t="shared" si="94"/>
        <v>7.3166666666666673</v>
      </c>
      <c r="P166" s="31">
        <f t="shared" si="95"/>
        <v>7.3166666666666673</v>
      </c>
      <c r="Q166" s="33">
        <f t="shared" si="96"/>
        <v>36.583333333333336</v>
      </c>
      <c r="R166" s="29">
        <f t="shared" si="97"/>
        <v>43.900000000000006</v>
      </c>
      <c r="S166" s="29">
        <f t="shared" si="98"/>
        <v>43.900000000000006</v>
      </c>
      <c r="T166" s="35">
        <f t="shared" si="102"/>
        <v>43876</v>
      </c>
      <c r="U166" s="27"/>
      <c r="V166" s="27"/>
      <c r="W166" s="58">
        <f t="shared" si="103"/>
        <v>36.583333333333336</v>
      </c>
      <c r="X166" s="31">
        <f t="shared" si="99"/>
        <v>0</v>
      </c>
      <c r="Y166" t="b">
        <f t="shared" si="100"/>
        <v>0</v>
      </c>
      <c r="Z166" s="78">
        <f t="shared" si="101"/>
        <v>-36.583333333333336</v>
      </c>
    </row>
    <row r="167" spans="1:26" x14ac:dyDescent="0.25">
      <c r="A167" s="53">
        <v>2019</v>
      </c>
      <c r="B167" s="53">
        <v>166</v>
      </c>
      <c r="C167" s="71" t="s">
        <v>105</v>
      </c>
      <c r="D167" t="s">
        <v>689</v>
      </c>
      <c r="E167" s="9" t="s">
        <v>1129</v>
      </c>
      <c r="G167" s="1">
        <v>43745</v>
      </c>
      <c r="H167" t="s">
        <v>974</v>
      </c>
      <c r="K167" t="b">
        <f t="shared" si="104"/>
        <v>0</v>
      </c>
      <c r="L167" s="48">
        <v>3.33</v>
      </c>
      <c r="M167" s="72">
        <v>1</v>
      </c>
      <c r="N167">
        <v>20</v>
      </c>
      <c r="O167" s="31">
        <f t="shared" si="94"/>
        <v>0.66599999999999993</v>
      </c>
      <c r="P167" s="31">
        <f t="shared" si="95"/>
        <v>0.66599999999999993</v>
      </c>
      <c r="Q167" s="33">
        <f t="shared" si="96"/>
        <v>3.33</v>
      </c>
      <c r="R167" s="29">
        <f t="shared" si="97"/>
        <v>3.996</v>
      </c>
      <c r="S167" s="29">
        <f t="shared" si="98"/>
        <v>3.996</v>
      </c>
      <c r="T167" s="35">
        <f t="shared" si="102"/>
        <v>43876</v>
      </c>
      <c r="U167" s="27"/>
      <c r="V167" s="27"/>
      <c r="W167" s="58">
        <f t="shared" si="103"/>
        <v>3.33</v>
      </c>
      <c r="X167" s="31">
        <f t="shared" si="99"/>
        <v>0</v>
      </c>
      <c r="Y167" t="b">
        <f t="shared" si="100"/>
        <v>0</v>
      </c>
      <c r="Z167" s="78">
        <f t="shared" si="101"/>
        <v>-3.33</v>
      </c>
    </row>
    <row r="168" spans="1:26" x14ac:dyDescent="0.25">
      <c r="A168" s="53">
        <v>2019</v>
      </c>
      <c r="B168" s="53">
        <v>167</v>
      </c>
      <c r="C168" s="71" t="s">
        <v>105</v>
      </c>
      <c r="D168" t="s">
        <v>703</v>
      </c>
      <c r="E168" s="9" t="s">
        <v>1130</v>
      </c>
      <c r="G168" s="1">
        <v>43747</v>
      </c>
      <c r="H168" t="s">
        <v>1017</v>
      </c>
      <c r="K168" t="b">
        <f t="shared" si="104"/>
        <v>0</v>
      </c>
      <c r="L168" s="48">
        <f>27.82+1.04</f>
        <v>28.86</v>
      </c>
      <c r="M168" s="72">
        <f>2/3</f>
        <v>0.66666666666666663</v>
      </c>
      <c r="N168">
        <v>20</v>
      </c>
      <c r="O168" s="31">
        <f t="shared" si="94"/>
        <v>5.7720000000000002</v>
      </c>
      <c r="P168" s="31">
        <f t="shared" si="95"/>
        <v>3.8479999999999999</v>
      </c>
      <c r="Q168" s="33">
        <f t="shared" si="96"/>
        <v>19.239999999999998</v>
      </c>
      <c r="R168" s="29">
        <f t="shared" si="97"/>
        <v>34.631999999999998</v>
      </c>
      <c r="S168" s="29">
        <f t="shared" si="98"/>
        <v>23.087999999999997</v>
      </c>
      <c r="T168" s="35">
        <f t="shared" si="102"/>
        <v>43876</v>
      </c>
      <c r="U168" s="27"/>
      <c r="V168" s="27"/>
      <c r="W168" s="58">
        <f>IF(K168=TRUE,Q168/J168,Q168)</f>
        <v>19.239999999999998</v>
      </c>
      <c r="X168" s="31">
        <f t="shared" si="99"/>
        <v>0</v>
      </c>
      <c r="Y168" t="b">
        <f t="shared" si="100"/>
        <v>0</v>
      </c>
      <c r="Z168" s="78">
        <f t="shared" si="101"/>
        <v>-19.239999999999998</v>
      </c>
    </row>
    <row r="169" spans="1:26" x14ac:dyDescent="0.25">
      <c r="A169" s="53">
        <v>2019</v>
      </c>
      <c r="B169" s="53">
        <v>168</v>
      </c>
      <c r="C169" s="71" t="s">
        <v>105</v>
      </c>
      <c r="D169" t="s">
        <v>705</v>
      </c>
      <c r="E169" s="9" t="s">
        <v>1131</v>
      </c>
      <c r="G169" s="1">
        <v>43749</v>
      </c>
      <c r="H169" t="s">
        <v>927</v>
      </c>
      <c r="K169" t="b">
        <f t="shared" si="104"/>
        <v>0</v>
      </c>
      <c r="L169" s="48">
        <v>46.92</v>
      </c>
      <c r="M169" s="72">
        <v>1</v>
      </c>
      <c r="N169">
        <v>0</v>
      </c>
      <c r="O169" s="31">
        <f t="shared" si="94"/>
        <v>0</v>
      </c>
      <c r="P169" s="31">
        <f t="shared" si="95"/>
        <v>0</v>
      </c>
      <c r="Q169" s="33">
        <f t="shared" si="96"/>
        <v>46.92</v>
      </c>
      <c r="R169" s="29">
        <f t="shared" si="97"/>
        <v>46.92</v>
      </c>
      <c r="S169" s="29">
        <f t="shared" si="98"/>
        <v>46.92</v>
      </c>
      <c r="T169" s="35">
        <f t="shared" si="102"/>
        <v>43876</v>
      </c>
      <c r="U169" s="27"/>
      <c r="V169" s="27">
        <v>20</v>
      </c>
      <c r="W169" s="58">
        <f>IF(K169=TRUE,Q169/J169,Q169)</f>
        <v>46.92</v>
      </c>
      <c r="X169" s="31">
        <f t="shared" si="99"/>
        <v>9.3840000000000003</v>
      </c>
      <c r="Y169" t="b">
        <f t="shared" si="100"/>
        <v>0</v>
      </c>
      <c r="Z169" s="78">
        <f t="shared" si="101"/>
        <v>-46.92</v>
      </c>
    </row>
    <row r="170" spans="1:26" x14ac:dyDescent="0.25">
      <c r="A170" s="53">
        <v>2019</v>
      </c>
      <c r="B170" s="53">
        <v>169</v>
      </c>
      <c r="C170" s="71" t="s">
        <v>105</v>
      </c>
      <c r="D170" t="s">
        <v>339</v>
      </c>
      <c r="E170" s="9" t="s">
        <v>1144</v>
      </c>
      <c r="G170" s="1">
        <v>43749</v>
      </c>
      <c r="H170" t="s">
        <v>924</v>
      </c>
      <c r="K170" t="b">
        <f t="shared" si="104"/>
        <v>0</v>
      </c>
      <c r="L170" s="48">
        <f>14.27/1.2</f>
        <v>11.891666666666667</v>
      </c>
      <c r="M170" s="72">
        <v>1</v>
      </c>
      <c r="N170">
        <v>20</v>
      </c>
      <c r="O170" s="31">
        <f t="shared" si="94"/>
        <v>2.3783333333333334</v>
      </c>
      <c r="P170" s="31">
        <f t="shared" si="95"/>
        <v>2.3783333333333334</v>
      </c>
      <c r="Q170" s="33">
        <f t="shared" si="96"/>
        <v>11.891666666666667</v>
      </c>
      <c r="R170" s="29">
        <f t="shared" si="97"/>
        <v>14.270000000000001</v>
      </c>
      <c r="S170" s="29">
        <f t="shared" si="98"/>
        <v>14.270000000000001</v>
      </c>
      <c r="T170" s="35">
        <f t="shared" si="102"/>
        <v>43876</v>
      </c>
      <c r="U170" s="27"/>
      <c r="V170" s="27"/>
      <c r="W170" s="58">
        <f>IF(K170=TRUE,Q170/J170,Q170)</f>
        <v>11.891666666666667</v>
      </c>
      <c r="X170" s="31">
        <f t="shared" si="99"/>
        <v>0</v>
      </c>
      <c r="Y170" t="b">
        <f t="shared" si="100"/>
        <v>0</v>
      </c>
      <c r="Z170" s="78">
        <f t="shared" si="101"/>
        <v>-11.891666666666667</v>
      </c>
    </row>
    <row r="171" spans="1:26" x14ac:dyDescent="0.25">
      <c r="A171" s="53">
        <v>2019</v>
      </c>
      <c r="B171" s="53">
        <v>170</v>
      </c>
      <c r="C171" s="71" t="s">
        <v>708</v>
      </c>
      <c r="D171" t="s">
        <v>709</v>
      </c>
      <c r="E171" s="9" t="s">
        <v>1132</v>
      </c>
      <c r="G171" s="1">
        <v>43752</v>
      </c>
      <c r="H171" t="s">
        <v>1038</v>
      </c>
      <c r="K171" t="b">
        <f t="shared" si="104"/>
        <v>0</v>
      </c>
      <c r="L171" s="48">
        <v>231.43</v>
      </c>
      <c r="M171" s="72">
        <v>1</v>
      </c>
      <c r="N171">
        <v>20</v>
      </c>
      <c r="O171" s="31">
        <f t="shared" si="94"/>
        <v>46.286000000000001</v>
      </c>
      <c r="P171" s="31">
        <f t="shared" si="95"/>
        <v>46.286000000000001</v>
      </c>
      <c r="Q171" s="33">
        <f t="shared" si="96"/>
        <v>231.43</v>
      </c>
      <c r="R171" s="29">
        <f t="shared" si="97"/>
        <v>277.71600000000001</v>
      </c>
      <c r="S171" s="29">
        <f t="shared" si="98"/>
        <v>277.71600000000001</v>
      </c>
      <c r="T171" s="35">
        <f t="shared" si="102"/>
        <v>43876</v>
      </c>
      <c r="U171" s="27"/>
      <c r="V171" s="27"/>
      <c r="W171" s="58">
        <f t="shared" ref="W171:W176" si="105">IF(K171=TRUE,Q171/I171,Q171)</f>
        <v>231.43</v>
      </c>
      <c r="X171" s="31">
        <f t="shared" si="99"/>
        <v>0</v>
      </c>
      <c r="Y171" t="b">
        <f t="shared" si="100"/>
        <v>0</v>
      </c>
      <c r="Z171" s="78">
        <f t="shared" si="101"/>
        <v>231.43</v>
      </c>
    </row>
    <row r="172" spans="1:26" x14ac:dyDescent="0.25">
      <c r="A172" s="53">
        <v>2019</v>
      </c>
      <c r="B172" s="53">
        <v>171</v>
      </c>
      <c r="C172" s="71" t="s">
        <v>708</v>
      </c>
      <c r="D172" t="s">
        <v>709</v>
      </c>
      <c r="E172" s="9" t="s">
        <v>1133</v>
      </c>
      <c r="G172" s="1">
        <v>43752</v>
      </c>
      <c r="H172" t="s">
        <v>983</v>
      </c>
      <c r="K172" t="b">
        <f t="shared" si="104"/>
        <v>0</v>
      </c>
      <c r="L172" s="48">
        <v>450</v>
      </c>
      <c r="M172" s="72">
        <v>1</v>
      </c>
      <c r="N172">
        <v>20</v>
      </c>
      <c r="O172" s="31">
        <f t="shared" si="94"/>
        <v>90</v>
      </c>
      <c r="P172" s="31">
        <f t="shared" si="95"/>
        <v>90</v>
      </c>
      <c r="Q172" s="33">
        <f t="shared" si="96"/>
        <v>450</v>
      </c>
      <c r="R172" s="29">
        <f t="shared" si="97"/>
        <v>540</v>
      </c>
      <c r="S172" s="29">
        <f t="shared" si="98"/>
        <v>540</v>
      </c>
      <c r="T172" s="35">
        <f t="shared" si="102"/>
        <v>43876</v>
      </c>
      <c r="U172" s="27"/>
      <c r="V172" s="27"/>
      <c r="W172" s="58">
        <f t="shared" si="105"/>
        <v>450</v>
      </c>
      <c r="X172" s="31">
        <f t="shared" si="99"/>
        <v>0</v>
      </c>
      <c r="Y172" t="b">
        <f t="shared" si="100"/>
        <v>0</v>
      </c>
      <c r="Z172" s="78">
        <f t="shared" si="101"/>
        <v>450</v>
      </c>
    </row>
    <row r="173" spans="1:26" x14ac:dyDescent="0.25">
      <c r="A173" s="53">
        <v>2019</v>
      </c>
      <c r="B173" s="53">
        <v>172</v>
      </c>
      <c r="C173" s="71" t="s">
        <v>105</v>
      </c>
      <c r="D173" t="s">
        <v>705</v>
      </c>
      <c r="E173" s="9" t="s">
        <v>1134</v>
      </c>
      <c r="G173" s="1">
        <v>43753</v>
      </c>
      <c r="H173" t="s">
        <v>929</v>
      </c>
      <c r="K173" t="b">
        <f t="shared" si="104"/>
        <v>0</v>
      </c>
      <c r="L173" s="48">
        <v>66.67</v>
      </c>
      <c r="M173" s="72">
        <f>Arbeitszimmer!$B$3</f>
        <v>0.27320378419841473</v>
      </c>
      <c r="N173">
        <v>20</v>
      </c>
      <c r="O173" s="31">
        <f t="shared" si="94"/>
        <v>13.334000000000001</v>
      </c>
      <c r="P173" s="31">
        <f t="shared" si="95"/>
        <v>3.6428992585016626</v>
      </c>
      <c r="Q173" s="33">
        <f t="shared" si="96"/>
        <v>18.214496292508311</v>
      </c>
      <c r="R173" s="29">
        <f t="shared" si="97"/>
        <v>80.004000000000005</v>
      </c>
      <c r="S173" s="29">
        <f t="shared" si="98"/>
        <v>21.857395551009972</v>
      </c>
      <c r="T173" s="35">
        <f t="shared" si="102"/>
        <v>43876</v>
      </c>
      <c r="U173" s="27"/>
      <c r="V173" s="27"/>
      <c r="W173" s="58">
        <f t="shared" si="105"/>
        <v>18.214496292508311</v>
      </c>
      <c r="X173" s="31">
        <f t="shared" si="99"/>
        <v>0</v>
      </c>
      <c r="Y173" t="b">
        <f t="shared" si="100"/>
        <v>0</v>
      </c>
      <c r="Z173" s="78">
        <f t="shared" si="101"/>
        <v>-18.214496292508311</v>
      </c>
    </row>
    <row r="174" spans="1:26" x14ac:dyDescent="0.25">
      <c r="A174" s="53">
        <v>2019</v>
      </c>
      <c r="B174" s="53">
        <v>173</v>
      </c>
      <c r="C174" s="71" t="s">
        <v>708</v>
      </c>
      <c r="D174" t="s">
        <v>709</v>
      </c>
      <c r="E174" s="9" t="s">
        <v>1133</v>
      </c>
      <c r="G174" s="1">
        <v>43755</v>
      </c>
      <c r="H174" t="s">
        <v>933</v>
      </c>
      <c r="K174" t="b">
        <f t="shared" si="104"/>
        <v>0</v>
      </c>
      <c r="L174" s="48">
        <v>2188.75</v>
      </c>
      <c r="M174" s="72">
        <v>1</v>
      </c>
      <c r="N174">
        <v>20</v>
      </c>
      <c r="O174" s="31">
        <f t="shared" si="94"/>
        <v>437.75</v>
      </c>
      <c r="P174" s="31">
        <f t="shared" si="95"/>
        <v>437.75</v>
      </c>
      <c r="Q174" s="33">
        <f t="shared" si="96"/>
        <v>2188.75</v>
      </c>
      <c r="R174" s="29">
        <f t="shared" si="97"/>
        <v>2626.5</v>
      </c>
      <c r="S174" s="29">
        <f t="shared" si="98"/>
        <v>2626.5</v>
      </c>
      <c r="T174" s="35">
        <f t="shared" si="102"/>
        <v>43876</v>
      </c>
      <c r="U174" s="27"/>
      <c r="V174" s="27"/>
      <c r="W174" s="58">
        <f t="shared" si="105"/>
        <v>2188.75</v>
      </c>
      <c r="X174" s="31">
        <f t="shared" si="99"/>
        <v>0</v>
      </c>
      <c r="Y174" t="b">
        <f t="shared" si="100"/>
        <v>0</v>
      </c>
      <c r="Z174" s="78">
        <f t="shared" si="101"/>
        <v>2188.75</v>
      </c>
    </row>
    <row r="175" spans="1:26" x14ac:dyDescent="0.25">
      <c r="A175" s="53">
        <v>2019</v>
      </c>
      <c r="B175" s="53">
        <v>174</v>
      </c>
      <c r="C175" s="71" t="s">
        <v>105</v>
      </c>
      <c r="D175" t="s">
        <v>689</v>
      </c>
      <c r="E175" s="9" t="s">
        <v>1135</v>
      </c>
      <c r="G175" s="1">
        <v>43759</v>
      </c>
      <c r="H175" t="s">
        <v>974</v>
      </c>
      <c r="K175" t="b">
        <f t="shared" si="104"/>
        <v>0</v>
      </c>
      <c r="L175" s="48">
        <v>5.0999999999999996</v>
      </c>
      <c r="M175" s="72">
        <v>1</v>
      </c>
      <c r="N175">
        <v>20</v>
      </c>
      <c r="O175" s="31">
        <f t="shared" si="94"/>
        <v>1.02</v>
      </c>
      <c r="P175" s="31">
        <f t="shared" si="95"/>
        <v>1.02</v>
      </c>
      <c r="Q175" s="33">
        <f t="shared" si="96"/>
        <v>5.0999999999999996</v>
      </c>
      <c r="R175" s="29">
        <f t="shared" si="97"/>
        <v>6.1199999999999992</v>
      </c>
      <c r="S175" s="29">
        <f t="shared" si="98"/>
        <v>6.1199999999999992</v>
      </c>
      <c r="T175" s="35">
        <f t="shared" si="102"/>
        <v>43876</v>
      </c>
      <c r="U175" s="27"/>
      <c r="V175" s="27"/>
      <c r="W175" s="58">
        <f t="shared" si="105"/>
        <v>5.0999999999999996</v>
      </c>
      <c r="X175" s="31">
        <f t="shared" si="99"/>
        <v>0</v>
      </c>
      <c r="Y175" t="b">
        <f t="shared" si="100"/>
        <v>0</v>
      </c>
      <c r="Z175" s="78">
        <f t="shared" si="101"/>
        <v>-5.0999999999999996</v>
      </c>
    </row>
    <row r="176" spans="1:26" x14ac:dyDescent="0.25">
      <c r="A176" s="53">
        <v>2019</v>
      </c>
      <c r="B176" s="53">
        <v>175</v>
      </c>
      <c r="C176" s="71" t="s">
        <v>105</v>
      </c>
      <c r="D176" t="s">
        <v>689</v>
      </c>
      <c r="E176" s="9" t="s">
        <v>1136</v>
      </c>
      <c r="G176" s="1">
        <v>43762</v>
      </c>
      <c r="H176" t="s">
        <v>974</v>
      </c>
      <c r="K176" t="b">
        <f t="shared" si="104"/>
        <v>0</v>
      </c>
      <c r="L176" s="48">
        <v>2.62</v>
      </c>
      <c r="M176" s="72">
        <v>1</v>
      </c>
      <c r="N176">
        <v>20</v>
      </c>
      <c r="O176" s="31">
        <f t="shared" si="94"/>
        <v>0.52400000000000002</v>
      </c>
      <c r="P176" s="31">
        <f t="shared" si="95"/>
        <v>0.52400000000000002</v>
      </c>
      <c r="Q176" s="33">
        <f t="shared" si="96"/>
        <v>2.62</v>
      </c>
      <c r="R176" s="29">
        <f t="shared" si="97"/>
        <v>3.1440000000000001</v>
      </c>
      <c r="S176" s="29">
        <f t="shared" si="98"/>
        <v>3.1440000000000001</v>
      </c>
      <c r="T176" s="35">
        <f t="shared" si="102"/>
        <v>43876</v>
      </c>
      <c r="U176" s="27"/>
      <c r="V176" s="27"/>
      <c r="W176" s="58">
        <f t="shared" si="105"/>
        <v>2.62</v>
      </c>
      <c r="X176" s="31">
        <f t="shared" si="99"/>
        <v>0</v>
      </c>
      <c r="Y176" t="b">
        <f t="shared" si="100"/>
        <v>0</v>
      </c>
      <c r="Z176" s="78">
        <f t="shared" si="101"/>
        <v>-2.62</v>
      </c>
    </row>
    <row r="177" spans="1:26" x14ac:dyDescent="0.25">
      <c r="A177" s="53">
        <v>2019</v>
      </c>
      <c r="B177" s="53">
        <v>176</v>
      </c>
      <c r="C177" s="71" t="s">
        <v>105</v>
      </c>
      <c r="D177" t="s">
        <v>689</v>
      </c>
      <c r="E177" s="9" t="s">
        <v>1137</v>
      </c>
      <c r="G177" s="1">
        <v>43762</v>
      </c>
      <c r="H177" t="s">
        <v>974</v>
      </c>
      <c r="K177" t="b">
        <f t="shared" si="104"/>
        <v>0</v>
      </c>
      <c r="L177" s="48">
        <v>1.73</v>
      </c>
      <c r="M177" s="72">
        <v>1</v>
      </c>
      <c r="N177">
        <v>20</v>
      </c>
      <c r="O177" s="31">
        <f t="shared" si="94"/>
        <v>0.34600000000000003</v>
      </c>
      <c r="P177" s="31">
        <f t="shared" si="95"/>
        <v>0.34600000000000003</v>
      </c>
      <c r="Q177" s="33">
        <f t="shared" si="96"/>
        <v>1.73</v>
      </c>
      <c r="R177" s="29">
        <f t="shared" si="97"/>
        <v>2.0760000000000001</v>
      </c>
      <c r="S177" s="29">
        <f t="shared" si="98"/>
        <v>2.0760000000000001</v>
      </c>
      <c r="T177" s="35">
        <f t="shared" si="102"/>
        <v>43876</v>
      </c>
      <c r="U177" s="27"/>
      <c r="V177" s="27"/>
      <c r="W177" s="58">
        <f>IF(K177=TRUE,Q177/I177,Q177)</f>
        <v>1.73</v>
      </c>
      <c r="X177" s="31">
        <f t="shared" si="99"/>
        <v>0</v>
      </c>
      <c r="Y177" t="b">
        <f t="shared" si="100"/>
        <v>0</v>
      </c>
      <c r="Z177" s="78">
        <f t="shared" si="101"/>
        <v>-1.73</v>
      </c>
    </row>
    <row r="178" spans="1:26" x14ac:dyDescent="0.25">
      <c r="A178" s="53">
        <v>2019</v>
      </c>
      <c r="B178" s="53">
        <v>177</v>
      </c>
      <c r="C178" s="71" t="s">
        <v>105</v>
      </c>
      <c r="D178" t="s">
        <v>691</v>
      </c>
      <c r="E178" s="9" t="s">
        <v>950</v>
      </c>
      <c r="G178" s="1">
        <v>43763</v>
      </c>
      <c r="H178" t="s">
        <v>951</v>
      </c>
      <c r="K178" t="b">
        <f t="shared" si="104"/>
        <v>0</v>
      </c>
      <c r="L178" s="48">
        <v>763.44</v>
      </c>
      <c r="M178" s="72">
        <f>Arbeitszimmer!$B$3</f>
        <v>0.27320378419841473</v>
      </c>
      <c r="N178">
        <v>10</v>
      </c>
      <c r="O178" s="31">
        <f t="shared" si="94"/>
        <v>76.344000000000008</v>
      </c>
      <c r="P178" s="31">
        <f t="shared" si="95"/>
        <v>20.857469700843776</v>
      </c>
      <c r="Q178" s="33">
        <f t="shared" si="96"/>
        <v>208.57469700843777</v>
      </c>
      <c r="R178" s="29">
        <f t="shared" si="97"/>
        <v>839.78400000000011</v>
      </c>
      <c r="S178" s="29">
        <f t="shared" si="98"/>
        <v>229.43216670928155</v>
      </c>
      <c r="T178" s="35">
        <f t="shared" si="102"/>
        <v>43876</v>
      </c>
      <c r="U178" s="27"/>
      <c r="V178" s="27"/>
      <c r="W178" s="58">
        <f>IF(K178=TRUE,Q178/J178,Q178)</f>
        <v>208.57469700843777</v>
      </c>
      <c r="X178" s="31">
        <f t="shared" si="99"/>
        <v>0</v>
      </c>
      <c r="Y178" t="b">
        <f t="shared" si="100"/>
        <v>0</v>
      </c>
      <c r="Z178" s="78">
        <f t="shared" si="101"/>
        <v>-208.57469700843777</v>
      </c>
    </row>
    <row r="179" spans="1:26" x14ac:dyDescent="0.25">
      <c r="A179" s="53">
        <v>2019</v>
      </c>
      <c r="B179" s="53">
        <v>178</v>
      </c>
      <c r="C179" s="71" t="s">
        <v>105</v>
      </c>
      <c r="D179" t="s">
        <v>689</v>
      </c>
      <c r="E179" s="9" t="s">
        <v>1138</v>
      </c>
      <c r="G179" s="1">
        <v>43766</v>
      </c>
      <c r="H179" t="s">
        <v>974</v>
      </c>
      <c r="K179" t="b">
        <f t="shared" si="104"/>
        <v>0</v>
      </c>
      <c r="L179" s="48">
        <v>1.73</v>
      </c>
      <c r="M179" s="72">
        <v>1</v>
      </c>
      <c r="N179">
        <v>20</v>
      </c>
      <c r="O179" s="31">
        <f t="shared" si="94"/>
        <v>0.34600000000000003</v>
      </c>
      <c r="P179" s="31">
        <f t="shared" si="95"/>
        <v>0.34600000000000003</v>
      </c>
      <c r="Q179" s="33">
        <f t="shared" si="96"/>
        <v>1.73</v>
      </c>
      <c r="R179" s="29">
        <f t="shared" si="97"/>
        <v>2.0760000000000001</v>
      </c>
      <c r="S179" s="29">
        <f t="shared" si="98"/>
        <v>2.0760000000000001</v>
      </c>
      <c r="T179" s="35">
        <f t="shared" si="102"/>
        <v>43876</v>
      </c>
      <c r="U179" s="27"/>
      <c r="V179" s="27"/>
      <c r="W179" s="58">
        <f t="shared" ref="W179:W185" si="106">IF(K179=TRUE,Q179/I179,Q179)</f>
        <v>1.73</v>
      </c>
      <c r="X179" s="31">
        <f t="shared" si="99"/>
        <v>0</v>
      </c>
      <c r="Y179" t="b">
        <f t="shared" si="100"/>
        <v>0</v>
      </c>
      <c r="Z179" s="78">
        <f t="shared" si="101"/>
        <v>-1.73</v>
      </c>
    </row>
    <row r="180" spans="1:26" x14ac:dyDescent="0.25">
      <c r="A180" s="53">
        <v>2019</v>
      </c>
      <c r="B180" s="53">
        <v>179</v>
      </c>
      <c r="C180" s="71" t="s">
        <v>105</v>
      </c>
      <c r="D180" t="s">
        <v>705</v>
      </c>
      <c r="E180" s="9" t="s">
        <v>1139</v>
      </c>
      <c r="G180" s="1">
        <v>43767</v>
      </c>
      <c r="H180" t="s">
        <v>1125</v>
      </c>
      <c r="K180" t="b">
        <v>0</v>
      </c>
      <c r="L180" s="48">
        <v>43.79</v>
      </c>
      <c r="M180" s="72">
        <v>1</v>
      </c>
      <c r="N180">
        <v>0</v>
      </c>
      <c r="O180" s="31">
        <f t="shared" si="94"/>
        <v>0</v>
      </c>
      <c r="P180" s="31">
        <f t="shared" si="95"/>
        <v>0</v>
      </c>
      <c r="Q180" s="33">
        <f t="shared" si="96"/>
        <v>43.79</v>
      </c>
      <c r="R180" s="29">
        <f t="shared" si="97"/>
        <v>43.79</v>
      </c>
      <c r="S180" s="29">
        <f t="shared" si="98"/>
        <v>43.79</v>
      </c>
      <c r="T180" s="35" t="e">
        <f>voranmeldefrist_vierteljaehrlich(#REF!)</f>
        <v>#VALUE!</v>
      </c>
      <c r="U180" s="27"/>
      <c r="V180" s="27">
        <v>20</v>
      </c>
      <c r="W180" s="58">
        <f t="shared" si="106"/>
        <v>43.79</v>
      </c>
      <c r="X180" s="31">
        <f t="shared" si="99"/>
        <v>8.7580000000000009</v>
      </c>
      <c r="Y180" t="b">
        <f t="shared" si="100"/>
        <v>0</v>
      </c>
      <c r="Z180" s="78">
        <f>IF(G180="Einnahmen",Q180,-Q180)</f>
        <v>-43.79</v>
      </c>
    </row>
    <row r="181" spans="1:26" x14ac:dyDescent="0.25">
      <c r="A181" s="53">
        <v>2019</v>
      </c>
      <c r="B181" s="53">
        <v>180</v>
      </c>
      <c r="C181" s="71" t="s">
        <v>708</v>
      </c>
      <c r="D181" t="s">
        <v>709</v>
      </c>
      <c r="E181" s="9" t="s">
        <v>1140</v>
      </c>
      <c r="G181" s="1">
        <v>43768</v>
      </c>
      <c r="H181" s="43" t="s">
        <v>1012</v>
      </c>
      <c r="K181" t="b">
        <f>(IF(AND(I181&lt;&gt;"",AND(J181="",ABS(Q181)&gt;400)),TRUE,FALSE))</f>
        <v>0</v>
      </c>
      <c r="L181" s="48">
        <v>786.25</v>
      </c>
      <c r="M181" s="72">
        <v>1</v>
      </c>
      <c r="N181">
        <v>20</v>
      </c>
      <c r="O181" s="31">
        <f t="shared" si="94"/>
        <v>157.25</v>
      </c>
      <c r="P181" s="31">
        <f t="shared" si="95"/>
        <v>157.25</v>
      </c>
      <c r="Q181" s="33">
        <f t="shared" si="96"/>
        <v>786.25</v>
      </c>
      <c r="R181" s="29">
        <f t="shared" si="97"/>
        <v>943.5</v>
      </c>
      <c r="S181" s="29">
        <f t="shared" si="98"/>
        <v>943.5</v>
      </c>
      <c r="T181" s="35">
        <f t="shared" ref="T181:T244" si="107">voranmeldefrist_vierteljaehrlich(G181)</f>
        <v>43876</v>
      </c>
      <c r="U181" s="27"/>
      <c r="V181" s="27"/>
      <c r="W181" s="58">
        <f t="shared" si="106"/>
        <v>786.25</v>
      </c>
      <c r="X181" s="31">
        <f t="shared" si="99"/>
        <v>0</v>
      </c>
      <c r="Y181" t="b">
        <f t="shared" si="100"/>
        <v>0</v>
      </c>
      <c r="Z181" s="78">
        <f t="shared" ref="Z181:Z212" si="108">IF(C181="Einnahmen",Q181,-Q181)</f>
        <v>786.25</v>
      </c>
    </row>
    <row r="182" spans="1:26" x14ac:dyDescent="0.25">
      <c r="A182" s="53">
        <v>2019</v>
      </c>
      <c r="B182" s="53">
        <v>181</v>
      </c>
      <c r="C182" s="71" t="s">
        <v>105</v>
      </c>
      <c r="D182" t="s">
        <v>689</v>
      </c>
      <c r="E182" s="9" t="s">
        <v>1141</v>
      </c>
      <c r="G182" s="1">
        <v>43768</v>
      </c>
      <c r="H182" t="s">
        <v>974</v>
      </c>
      <c r="K182" t="b">
        <f>(IF(AND(I182&lt;&gt;"",AND(J182="",ABS(Q182)&gt;400)),TRUE,FALSE))</f>
        <v>0</v>
      </c>
      <c r="L182" s="48">
        <v>6.9</v>
      </c>
      <c r="M182" s="72">
        <v>1</v>
      </c>
      <c r="N182">
        <v>20</v>
      </c>
      <c r="O182" s="31">
        <f t="shared" si="94"/>
        <v>1.38</v>
      </c>
      <c r="P182" s="31">
        <f t="shared" si="95"/>
        <v>1.38</v>
      </c>
      <c r="Q182" s="33">
        <f t="shared" si="96"/>
        <v>6.9</v>
      </c>
      <c r="R182" s="29">
        <f t="shared" si="97"/>
        <v>8.2800000000000011</v>
      </c>
      <c r="S182" s="29">
        <f t="shared" si="98"/>
        <v>8.2800000000000011</v>
      </c>
      <c r="T182" s="35">
        <f t="shared" si="107"/>
        <v>43876</v>
      </c>
      <c r="U182" s="27"/>
      <c r="V182" s="27"/>
      <c r="W182" s="58">
        <f t="shared" si="106"/>
        <v>6.9</v>
      </c>
      <c r="X182" s="31">
        <f t="shared" si="99"/>
        <v>0</v>
      </c>
      <c r="Y182" t="b">
        <f t="shared" si="100"/>
        <v>0</v>
      </c>
      <c r="Z182" s="78">
        <f t="shared" si="108"/>
        <v>-6.9</v>
      </c>
    </row>
    <row r="183" spans="1:26" x14ac:dyDescent="0.25">
      <c r="A183" s="53">
        <v>2019</v>
      </c>
      <c r="B183" s="53">
        <v>182</v>
      </c>
      <c r="C183" s="71" t="s">
        <v>105</v>
      </c>
      <c r="D183" t="s">
        <v>705</v>
      </c>
      <c r="E183" s="9" t="s">
        <v>1167</v>
      </c>
      <c r="G183" s="1">
        <v>43736</v>
      </c>
      <c r="H183" t="s">
        <v>1166</v>
      </c>
      <c r="K183" t="b">
        <f>(IF(AND(I183&lt;&gt;"",AND(J183="",ABS(Q183)&gt;400)),TRUE,FALSE))</f>
        <v>0</v>
      </c>
      <c r="L183" s="48">
        <v>16.66</v>
      </c>
      <c r="M183" s="72">
        <v>1</v>
      </c>
      <c r="N183">
        <v>20</v>
      </c>
      <c r="O183" s="31">
        <f t="shared" si="94"/>
        <v>3.3319999999999999</v>
      </c>
      <c r="P183" s="31">
        <f t="shared" si="95"/>
        <v>3.3319999999999999</v>
      </c>
      <c r="Q183" s="33">
        <f t="shared" si="96"/>
        <v>16.66</v>
      </c>
      <c r="R183" s="29">
        <f t="shared" si="97"/>
        <v>19.992000000000001</v>
      </c>
      <c r="S183" s="29">
        <f t="shared" si="98"/>
        <v>19.992000000000001</v>
      </c>
      <c r="T183" s="35">
        <f t="shared" si="107"/>
        <v>43784</v>
      </c>
      <c r="U183" s="27"/>
      <c r="V183" s="27"/>
      <c r="W183" s="58">
        <f t="shared" si="106"/>
        <v>16.66</v>
      </c>
      <c r="X183" s="31">
        <f t="shared" si="99"/>
        <v>0</v>
      </c>
      <c r="Y183" t="b">
        <f t="shared" si="100"/>
        <v>0</v>
      </c>
      <c r="Z183" s="78">
        <f t="shared" si="108"/>
        <v>-16.66</v>
      </c>
    </row>
    <row r="184" spans="1:26" x14ac:dyDescent="0.25">
      <c r="A184" s="53">
        <v>2019</v>
      </c>
      <c r="B184" s="53">
        <v>183</v>
      </c>
      <c r="C184" s="71" t="s">
        <v>105</v>
      </c>
      <c r="D184" t="s">
        <v>704</v>
      </c>
      <c r="E184" s="9" t="s">
        <v>1169</v>
      </c>
      <c r="G184" s="1">
        <v>43656</v>
      </c>
      <c r="H184" t="s">
        <v>1168</v>
      </c>
      <c r="K184" t="b">
        <f>(IF(AND(I184&lt;&gt;"",AND(J184="",ABS(Q184)&gt;400)),TRUE,FALSE))</f>
        <v>0</v>
      </c>
      <c r="L184" s="48">
        <v>2.7</v>
      </c>
      <c r="M184" s="72">
        <v>1</v>
      </c>
      <c r="N184">
        <v>0</v>
      </c>
      <c r="O184" s="31">
        <f t="shared" si="94"/>
        <v>0</v>
      </c>
      <c r="P184" s="31">
        <f t="shared" si="95"/>
        <v>0</v>
      </c>
      <c r="Q184" s="33">
        <f t="shared" si="96"/>
        <v>2.7</v>
      </c>
      <c r="R184" s="29">
        <f t="shared" si="97"/>
        <v>2.7</v>
      </c>
      <c r="S184" s="29">
        <f t="shared" si="98"/>
        <v>2.7</v>
      </c>
      <c r="T184" s="35">
        <f t="shared" si="107"/>
        <v>43784</v>
      </c>
      <c r="U184" s="27"/>
      <c r="V184" s="27"/>
      <c r="W184" s="58">
        <f t="shared" si="106"/>
        <v>2.7</v>
      </c>
      <c r="X184" s="31">
        <f t="shared" si="99"/>
        <v>0</v>
      </c>
      <c r="Y184" t="b">
        <f t="shared" si="100"/>
        <v>0</v>
      </c>
      <c r="Z184" s="78">
        <f t="shared" si="108"/>
        <v>-2.7</v>
      </c>
    </row>
    <row r="185" spans="1:26" x14ac:dyDescent="0.25">
      <c r="A185" s="53">
        <v>2019</v>
      </c>
      <c r="B185" s="53">
        <v>184</v>
      </c>
      <c r="C185" s="71" t="s">
        <v>105</v>
      </c>
      <c r="D185" t="s">
        <v>703</v>
      </c>
      <c r="E185" s="9" t="s">
        <v>1149</v>
      </c>
      <c r="G185" s="1">
        <v>43769</v>
      </c>
      <c r="H185" t="s">
        <v>34</v>
      </c>
      <c r="K185" t="b">
        <f>(IF(AND(I185&lt;&gt;"",AND(J185="",ABS(Q185)&gt;400)),TRUE,FALSE))</f>
        <v>0</v>
      </c>
      <c r="L185" s="48">
        <v>15</v>
      </c>
      <c r="M185" s="72">
        <v>1</v>
      </c>
      <c r="N185">
        <v>20</v>
      </c>
      <c r="O185" s="31">
        <f t="shared" ref="O185:O216" si="109">L185*N185/100</f>
        <v>3</v>
      </c>
      <c r="P185" s="31">
        <f t="shared" ref="P185:P216" si="110">M185*O185</f>
        <v>3</v>
      </c>
      <c r="Q185" s="33">
        <f t="shared" ref="Q185:Q216" si="111">L185*M185</f>
        <v>15</v>
      </c>
      <c r="R185" s="29">
        <f t="shared" ref="R185:R216" si="112">L185+O185</f>
        <v>18</v>
      </c>
      <c r="S185" s="29">
        <f t="shared" ref="S185:S216" si="113">Q185+P185</f>
        <v>18</v>
      </c>
      <c r="T185" s="35">
        <f t="shared" si="107"/>
        <v>43876</v>
      </c>
      <c r="U185" s="27"/>
      <c r="V185" s="27"/>
      <c r="W185" s="58">
        <f t="shared" si="106"/>
        <v>15</v>
      </c>
      <c r="X185" s="31">
        <f t="shared" ref="X185:X216" si="114">V185/100*S185</f>
        <v>0</v>
      </c>
      <c r="Y185" t="b">
        <f t="shared" ref="Y185:Y216" si="115">IF(AND(V185&gt;0,N185=V185),TRUE,FALSE)</f>
        <v>0</v>
      </c>
      <c r="Z185" s="78">
        <f t="shared" si="108"/>
        <v>-15</v>
      </c>
    </row>
    <row r="186" spans="1:26" x14ac:dyDescent="0.25">
      <c r="A186" s="53">
        <v>2019</v>
      </c>
      <c r="B186" s="53">
        <v>185</v>
      </c>
      <c r="C186" s="71" t="s">
        <v>105</v>
      </c>
      <c r="D186" t="s">
        <v>691</v>
      </c>
      <c r="E186" s="9" t="s">
        <v>1150</v>
      </c>
      <c r="G186" s="1">
        <v>43773</v>
      </c>
      <c r="H186" t="s">
        <v>1113</v>
      </c>
      <c r="K186" t="b">
        <v>0</v>
      </c>
      <c r="L186" s="48">
        <v>462.44</v>
      </c>
      <c r="M186" s="72">
        <v>1</v>
      </c>
      <c r="N186">
        <v>20</v>
      </c>
      <c r="O186" s="31">
        <f t="shared" si="109"/>
        <v>92.488</v>
      </c>
      <c r="P186" s="31">
        <f t="shared" si="110"/>
        <v>92.488</v>
      </c>
      <c r="Q186" s="33">
        <f t="shared" si="111"/>
        <v>462.44</v>
      </c>
      <c r="R186" s="29">
        <f t="shared" si="112"/>
        <v>554.928</v>
      </c>
      <c r="S186" s="29">
        <f t="shared" si="113"/>
        <v>554.928</v>
      </c>
      <c r="T186" s="35">
        <f t="shared" si="107"/>
        <v>43876</v>
      </c>
      <c r="U186" s="27"/>
      <c r="V186" s="27"/>
      <c r="W186" s="58">
        <f>IF(K186=TRUE,Q186/J186,Q186)</f>
        <v>462.44</v>
      </c>
      <c r="X186" s="31">
        <f t="shared" si="114"/>
        <v>0</v>
      </c>
      <c r="Y186" t="b">
        <f t="shared" si="115"/>
        <v>0</v>
      </c>
      <c r="Z186" s="78">
        <f t="shared" si="108"/>
        <v>-462.44</v>
      </c>
    </row>
    <row r="187" spans="1:26" x14ac:dyDescent="0.25">
      <c r="A187" s="53">
        <v>2019</v>
      </c>
      <c r="B187" s="53">
        <v>186</v>
      </c>
      <c r="C187" s="71" t="s">
        <v>105</v>
      </c>
      <c r="D187" t="s">
        <v>339</v>
      </c>
      <c r="E187" s="9" t="s">
        <v>1151</v>
      </c>
      <c r="G187" s="1">
        <v>43773</v>
      </c>
      <c r="H187" t="s">
        <v>1152</v>
      </c>
      <c r="K187" t="b">
        <f t="shared" ref="K187:K205" si="116">(IF(AND(I187&lt;&gt;"",AND(J187="",ABS(Q187)&gt;400)),TRUE,FALSE))</f>
        <v>0</v>
      </c>
      <c r="L187" s="48">
        <f>30.77/1.2</f>
        <v>25.641666666666666</v>
      </c>
      <c r="M187" s="72">
        <v>1</v>
      </c>
      <c r="N187">
        <v>20</v>
      </c>
      <c r="O187" s="31">
        <f t="shared" si="109"/>
        <v>5.128333333333333</v>
      </c>
      <c r="P187" s="31">
        <f t="shared" si="110"/>
        <v>5.128333333333333</v>
      </c>
      <c r="Q187" s="33">
        <f t="shared" si="111"/>
        <v>25.641666666666666</v>
      </c>
      <c r="R187" s="29">
        <f t="shared" si="112"/>
        <v>30.77</v>
      </c>
      <c r="S187" s="29">
        <f t="shared" si="113"/>
        <v>30.77</v>
      </c>
      <c r="T187" s="35">
        <f t="shared" si="107"/>
        <v>43876</v>
      </c>
      <c r="U187" s="27"/>
      <c r="V187" s="27"/>
      <c r="W187" s="58">
        <f>IF(K187=TRUE,Q187/J187,Q187)</f>
        <v>25.641666666666666</v>
      </c>
      <c r="X187" s="31">
        <f t="shared" si="114"/>
        <v>0</v>
      </c>
      <c r="Y187" t="b">
        <f t="shared" si="115"/>
        <v>0</v>
      </c>
      <c r="Z187" s="78">
        <f t="shared" si="108"/>
        <v>-25.641666666666666</v>
      </c>
    </row>
    <row r="188" spans="1:26" x14ac:dyDescent="0.25">
      <c r="A188" s="53">
        <v>2019</v>
      </c>
      <c r="B188" s="53">
        <v>187</v>
      </c>
      <c r="C188" s="71" t="s">
        <v>105</v>
      </c>
      <c r="D188" t="s">
        <v>705</v>
      </c>
      <c r="E188" s="9" t="s">
        <v>1153</v>
      </c>
      <c r="G188" s="1">
        <v>43775</v>
      </c>
      <c r="H188" t="s">
        <v>1154</v>
      </c>
      <c r="K188" t="b">
        <f t="shared" si="116"/>
        <v>0</v>
      </c>
      <c r="L188" s="48">
        <f>14/1.2</f>
        <v>11.666666666666668</v>
      </c>
      <c r="M188" s="72">
        <v>1</v>
      </c>
      <c r="N188">
        <v>20</v>
      </c>
      <c r="O188" s="31">
        <f t="shared" si="109"/>
        <v>2.3333333333333339</v>
      </c>
      <c r="P188" s="31">
        <f t="shared" si="110"/>
        <v>2.3333333333333339</v>
      </c>
      <c r="Q188" s="33">
        <f t="shared" si="111"/>
        <v>11.666666666666668</v>
      </c>
      <c r="R188" s="29">
        <f t="shared" si="112"/>
        <v>14.000000000000002</v>
      </c>
      <c r="S188" s="29">
        <f t="shared" si="113"/>
        <v>14.000000000000002</v>
      </c>
      <c r="T188" s="35">
        <f t="shared" si="107"/>
        <v>43876</v>
      </c>
      <c r="U188" s="27"/>
      <c r="V188" s="27"/>
      <c r="W188" s="58">
        <f>IF(K188=TRUE,Q188/J188,Q188)</f>
        <v>11.666666666666668</v>
      </c>
      <c r="X188" s="31">
        <f t="shared" si="114"/>
        <v>0</v>
      </c>
      <c r="Y188" t="b">
        <f t="shared" si="115"/>
        <v>0</v>
      </c>
      <c r="Z188" s="78">
        <f t="shared" si="108"/>
        <v>-11.666666666666668</v>
      </c>
    </row>
    <row r="189" spans="1:26" x14ac:dyDescent="0.25">
      <c r="A189" s="53">
        <v>2019</v>
      </c>
      <c r="B189" s="53">
        <v>188</v>
      </c>
      <c r="C189" s="71" t="s">
        <v>105</v>
      </c>
      <c r="D189" t="s">
        <v>705</v>
      </c>
      <c r="E189" s="9" t="s">
        <v>1143</v>
      </c>
      <c r="G189" s="1">
        <v>43776</v>
      </c>
      <c r="H189" t="s">
        <v>1128</v>
      </c>
      <c r="K189" t="b">
        <f t="shared" si="116"/>
        <v>0</v>
      </c>
      <c r="L189" s="48">
        <f>43.9/1.2</f>
        <v>36.583333333333336</v>
      </c>
      <c r="M189" s="72">
        <v>1</v>
      </c>
      <c r="N189">
        <v>20</v>
      </c>
      <c r="O189" s="31">
        <f t="shared" si="109"/>
        <v>7.3166666666666673</v>
      </c>
      <c r="P189" s="31">
        <f t="shared" si="110"/>
        <v>7.3166666666666673</v>
      </c>
      <c r="Q189" s="33">
        <f t="shared" si="111"/>
        <v>36.583333333333336</v>
      </c>
      <c r="R189" s="29">
        <f t="shared" si="112"/>
        <v>43.900000000000006</v>
      </c>
      <c r="S189" s="29">
        <f t="shared" si="113"/>
        <v>43.900000000000006</v>
      </c>
      <c r="T189" s="35">
        <f t="shared" si="107"/>
        <v>43876</v>
      </c>
      <c r="U189" s="27"/>
      <c r="V189" s="27"/>
      <c r="W189" s="58">
        <f>IF(K189=TRUE,Q189/I189,Q189)</f>
        <v>36.583333333333336</v>
      </c>
      <c r="X189" s="31">
        <f t="shared" si="114"/>
        <v>0</v>
      </c>
      <c r="Y189" t="b">
        <f t="shared" si="115"/>
        <v>0</v>
      </c>
      <c r="Z189" s="78">
        <f t="shared" si="108"/>
        <v>-36.583333333333336</v>
      </c>
    </row>
    <row r="190" spans="1:26" x14ac:dyDescent="0.25">
      <c r="A190" s="53">
        <v>2019</v>
      </c>
      <c r="B190" s="53">
        <v>189</v>
      </c>
      <c r="C190" s="71" t="s">
        <v>105</v>
      </c>
      <c r="D190" t="s">
        <v>703</v>
      </c>
      <c r="E190" s="9" t="s">
        <v>1155</v>
      </c>
      <c r="G190" s="1">
        <v>43776</v>
      </c>
      <c r="H190" t="s">
        <v>1148</v>
      </c>
      <c r="K190" t="b">
        <f t="shared" si="116"/>
        <v>0</v>
      </c>
      <c r="L190" s="109">
        <f>27.82+1.04</f>
        <v>28.86</v>
      </c>
      <c r="M190" s="72">
        <f>2/3</f>
        <v>0.66666666666666663</v>
      </c>
      <c r="N190">
        <v>20</v>
      </c>
      <c r="O190" s="31">
        <f t="shared" si="109"/>
        <v>5.7720000000000002</v>
      </c>
      <c r="P190" s="31">
        <f t="shared" si="110"/>
        <v>3.8479999999999999</v>
      </c>
      <c r="Q190" s="33">
        <f t="shared" si="111"/>
        <v>19.239999999999998</v>
      </c>
      <c r="R190" s="29">
        <f t="shared" si="112"/>
        <v>34.631999999999998</v>
      </c>
      <c r="S190" s="29">
        <f t="shared" si="113"/>
        <v>23.087999999999997</v>
      </c>
      <c r="T190" s="35">
        <f t="shared" si="107"/>
        <v>43876</v>
      </c>
      <c r="U190" s="27"/>
      <c r="V190" s="27"/>
      <c r="W190" s="58">
        <f>IF(K190=TRUE,Q190/J190,Q190)</f>
        <v>19.239999999999998</v>
      </c>
      <c r="X190" s="31">
        <f t="shared" si="114"/>
        <v>0</v>
      </c>
      <c r="Y190" t="b">
        <f t="shared" si="115"/>
        <v>0</v>
      </c>
      <c r="Z190" s="78">
        <f t="shared" si="108"/>
        <v>-19.239999999999998</v>
      </c>
    </row>
    <row r="191" spans="1:26" x14ac:dyDescent="0.25">
      <c r="A191" s="53">
        <v>2019</v>
      </c>
      <c r="B191" s="53">
        <v>190</v>
      </c>
      <c r="C191" s="71" t="s">
        <v>105</v>
      </c>
      <c r="D191" t="s">
        <v>689</v>
      </c>
      <c r="E191" s="9" t="s">
        <v>1157</v>
      </c>
      <c r="G191" s="1">
        <v>43776</v>
      </c>
      <c r="H191" t="s">
        <v>974</v>
      </c>
      <c r="K191" t="b">
        <f t="shared" si="116"/>
        <v>0</v>
      </c>
      <c r="L191" s="48">
        <v>3.3</v>
      </c>
      <c r="M191" s="72">
        <v>1</v>
      </c>
      <c r="N191">
        <v>20</v>
      </c>
      <c r="O191" s="31">
        <f t="shared" si="109"/>
        <v>0.66</v>
      </c>
      <c r="P191" s="31">
        <f t="shared" si="110"/>
        <v>0.66</v>
      </c>
      <c r="Q191" s="33">
        <f t="shared" si="111"/>
        <v>3.3</v>
      </c>
      <c r="R191" s="29">
        <f t="shared" si="112"/>
        <v>3.96</v>
      </c>
      <c r="S191" s="29">
        <f t="shared" si="113"/>
        <v>3.96</v>
      </c>
      <c r="T191" s="35">
        <f t="shared" si="107"/>
        <v>43876</v>
      </c>
      <c r="U191" s="27"/>
      <c r="V191" s="27"/>
      <c r="W191" s="58">
        <f>IF(K191=TRUE,Q191/I191,Q191)</f>
        <v>3.3</v>
      </c>
      <c r="X191" s="31">
        <f t="shared" si="114"/>
        <v>0</v>
      </c>
      <c r="Y191" t="b">
        <f t="shared" si="115"/>
        <v>0</v>
      </c>
      <c r="Z191" s="78">
        <f t="shared" si="108"/>
        <v>-3.3</v>
      </c>
    </row>
    <row r="192" spans="1:26" x14ac:dyDescent="0.25">
      <c r="A192" s="53">
        <v>2019</v>
      </c>
      <c r="B192" s="53">
        <v>191</v>
      </c>
      <c r="C192" s="71" t="s">
        <v>105</v>
      </c>
      <c r="D192" t="s">
        <v>705</v>
      </c>
      <c r="E192" s="9" t="s">
        <v>1156</v>
      </c>
      <c r="G192" s="1">
        <v>43777</v>
      </c>
      <c r="H192" t="s">
        <v>1110</v>
      </c>
      <c r="K192" t="b">
        <f t="shared" si="116"/>
        <v>0</v>
      </c>
      <c r="L192" s="48">
        <f>-43.2/1.2</f>
        <v>-36.000000000000007</v>
      </c>
      <c r="M192" s="72">
        <v>1</v>
      </c>
      <c r="N192">
        <v>20</v>
      </c>
      <c r="O192" s="31">
        <f t="shared" si="109"/>
        <v>-7.2000000000000011</v>
      </c>
      <c r="P192" s="31">
        <f t="shared" si="110"/>
        <v>-7.2000000000000011</v>
      </c>
      <c r="Q192" s="33">
        <f t="shared" si="111"/>
        <v>-36.000000000000007</v>
      </c>
      <c r="R192" s="29">
        <f t="shared" si="112"/>
        <v>-43.20000000000001</v>
      </c>
      <c r="S192" s="29">
        <f t="shared" si="113"/>
        <v>-43.20000000000001</v>
      </c>
      <c r="T192" s="35">
        <f t="shared" si="107"/>
        <v>43876</v>
      </c>
      <c r="U192" s="27"/>
      <c r="V192" s="27"/>
      <c r="W192" s="58">
        <f>IF(K192=TRUE,Q192/I192,Q192)</f>
        <v>-36.000000000000007</v>
      </c>
      <c r="X192" s="31">
        <f t="shared" si="114"/>
        <v>0</v>
      </c>
      <c r="Y192" t="b">
        <f t="shared" si="115"/>
        <v>0</v>
      </c>
      <c r="Z192" s="78">
        <f t="shared" si="108"/>
        <v>36.000000000000007</v>
      </c>
    </row>
    <row r="193" spans="1:26" x14ac:dyDescent="0.25">
      <c r="A193" s="53">
        <v>2019</v>
      </c>
      <c r="B193" s="53">
        <v>192</v>
      </c>
      <c r="C193" s="71" t="s">
        <v>105</v>
      </c>
      <c r="D193" t="s">
        <v>689</v>
      </c>
      <c r="E193" s="9" t="s">
        <v>1158</v>
      </c>
      <c r="G193" s="1">
        <v>43777</v>
      </c>
      <c r="H193" t="s">
        <v>974</v>
      </c>
      <c r="K193" t="b">
        <f t="shared" si="116"/>
        <v>0</v>
      </c>
      <c r="L193" s="48">
        <v>2.7</v>
      </c>
      <c r="M193" s="72">
        <v>1</v>
      </c>
      <c r="N193">
        <v>20</v>
      </c>
      <c r="O193" s="31">
        <f t="shared" si="109"/>
        <v>0.54</v>
      </c>
      <c r="P193" s="31">
        <f t="shared" si="110"/>
        <v>0.54</v>
      </c>
      <c r="Q193" s="33">
        <f t="shared" si="111"/>
        <v>2.7</v>
      </c>
      <c r="R193" s="29">
        <f t="shared" si="112"/>
        <v>3.24</v>
      </c>
      <c r="S193" s="29">
        <f t="shared" si="113"/>
        <v>3.24</v>
      </c>
      <c r="T193" s="35">
        <f t="shared" si="107"/>
        <v>43876</v>
      </c>
      <c r="U193" s="27"/>
      <c r="V193" s="27"/>
      <c r="W193" s="58">
        <f>IF(K193=TRUE,Q193/I193,Q193)</f>
        <v>2.7</v>
      </c>
      <c r="X193" s="31">
        <f t="shared" si="114"/>
        <v>0</v>
      </c>
      <c r="Y193" t="b">
        <f t="shared" si="115"/>
        <v>0</v>
      </c>
      <c r="Z193" s="78">
        <f t="shared" si="108"/>
        <v>-2.7</v>
      </c>
    </row>
    <row r="194" spans="1:26" x14ac:dyDescent="0.25">
      <c r="A194" s="53">
        <v>2019</v>
      </c>
      <c r="B194" s="53">
        <v>193</v>
      </c>
      <c r="C194" s="71" t="s">
        <v>708</v>
      </c>
      <c r="D194" t="s">
        <v>709</v>
      </c>
      <c r="E194" s="9" t="s">
        <v>1147</v>
      </c>
      <c r="G194" s="1">
        <v>43781</v>
      </c>
      <c r="H194" t="s">
        <v>1127</v>
      </c>
      <c r="K194" t="b">
        <f t="shared" si="116"/>
        <v>0</v>
      </c>
      <c r="L194" s="48">
        <v>2940</v>
      </c>
      <c r="M194" s="72">
        <v>1</v>
      </c>
      <c r="N194">
        <v>20</v>
      </c>
      <c r="O194" s="31">
        <f t="shared" si="109"/>
        <v>588</v>
      </c>
      <c r="P194" s="31">
        <f t="shared" si="110"/>
        <v>588</v>
      </c>
      <c r="Q194" s="33">
        <f t="shared" si="111"/>
        <v>2940</v>
      </c>
      <c r="R194" s="29">
        <f t="shared" si="112"/>
        <v>3528</v>
      </c>
      <c r="S194" s="29">
        <f t="shared" si="113"/>
        <v>3528</v>
      </c>
      <c r="T194" s="35">
        <f t="shared" si="107"/>
        <v>43876</v>
      </c>
      <c r="U194" s="27"/>
      <c r="V194" s="27"/>
      <c r="W194" s="58">
        <f>IF(K194=TRUE,Q194/I194,Q194)</f>
        <v>2940</v>
      </c>
      <c r="X194" s="31">
        <f t="shared" si="114"/>
        <v>0</v>
      </c>
      <c r="Y194" t="b">
        <f t="shared" si="115"/>
        <v>0</v>
      </c>
      <c r="Z194" s="78">
        <f t="shared" si="108"/>
        <v>2940</v>
      </c>
    </row>
    <row r="195" spans="1:26" x14ac:dyDescent="0.25">
      <c r="A195" s="53">
        <v>2019</v>
      </c>
      <c r="B195" s="53">
        <v>194</v>
      </c>
      <c r="C195" s="71" t="s">
        <v>105</v>
      </c>
      <c r="D195" t="s">
        <v>705</v>
      </c>
      <c r="E195" s="9" t="s">
        <v>1159</v>
      </c>
      <c r="G195" s="1">
        <v>43782</v>
      </c>
      <c r="H195" t="s">
        <v>927</v>
      </c>
      <c r="K195" t="b">
        <f t="shared" si="116"/>
        <v>0</v>
      </c>
      <c r="L195" s="48">
        <v>48.13</v>
      </c>
      <c r="M195" s="72">
        <v>1</v>
      </c>
      <c r="N195">
        <v>0</v>
      </c>
      <c r="O195" s="31">
        <f t="shared" si="109"/>
        <v>0</v>
      </c>
      <c r="P195" s="31">
        <f t="shared" si="110"/>
        <v>0</v>
      </c>
      <c r="Q195" s="33">
        <f t="shared" si="111"/>
        <v>48.13</v>
      </c>
      <c r="R195" s="29">
        <f t="shared" si="112"/>
        <v>48.13</v>
      </c>
      <c r="S195" s="29">
        <f t="shared" si="113"/>
        <v>48.13</v>
      </c>
      <c r="T195" s="35">
        <f t="shared" si="107"/>
        <v>43876</v>
      </c>
      <c r="U195" s="27"/>
      <c r="V195" s="27">
        <v>20</v>
      </c>
      <c r="W195" s="58">
        <f>IF(K195=TRUE,Q195/J195,Q195)</f>
        <v>48.13</v>
      </c>
      <c r="X195" s="31">
        <f t="shared" si="114"/>
        <v>9.6260000000000012</v>
      </c>
      <c r="Y195" t="b">
        <f t="shared" si="115"/>
        <v>0</v>
      </c>
      <c r="Z195" s="78">
        <f t="shared" si="108"/>
        <v>-48.13</v>
      </c>
    </row>
    <row r="196" spans="1:26" x14ac:dyDescent="0.25">
      <c r="A196" s="53">
        <v>2019</v>
      </c>
      <c r="B196" s="53">
        <v>195</v>
      </c>
      <c r="C196" s="71" t="s">
        <v>105</v>
      </c>
      <c r="D196" t="s">
        <v>705</v>
      </c>
      <c r="E196" s="9" t="s">
        <v>1160</v>
      </c>
      <c r="G196" s="1">
        <v>43784</v>
      </c>
      <c r="H196" t="s">
        <v>929</v>
      </c>
      <c r="K196" t="b">
        <f t="shared" si="116"/>
        <v>0</v>
      </c>
      <c r="L196" s="109">
        <v>66.67</v>
      </c>
      <c r="M196" s="72">
        <f>Arbeitszimmer!$B$3</f>
        <v>0.27320378419841473</v>
      </c>
      <c r="N196">
        <v>20</v>
      </c>
      <c r="O196" s="31">
        <f t="shared" si="109"/>
        <v>13.334000000000001</v>
      </c>
      <c r="P196" s="31">
        <f t="shared" si="110"/>
        <v>3.6428992585016626</v>
      </c>
      <c r="Q196" s="33">
        <f t="shared" si="111"/>
        <v>18.214496292508311</v>
      </c>
      <c r="R196" s="29">
        <f t="shared" si="112"/>
        <v>80.004000000000005</v>
      </c>
      <c r="S196" s="29">
        <f t="shared" si="113"/>
        <v>21.857395551009972</v>
      </c>
      <c r="T196" s="35">
        <f t="shared" si="107"/>
        <v>43876</v>
      </c>
      <c r="U196" s="27"/>
      <c r="V196" s="27"/>
      <c r="W196" s="58">
        <f t="shared" ref="W196:W206" si="117">IF(K196=TRUE,Q196/I196,Q196)</f>
        <v>18.214496292508311</v>
      </c>
      <c r="X196" s="31">
        <f t="shared" si="114"/>
        <v>0</v>
      </c>
      <c r="Y196" t="b">
        <f t="shared" si="115"/>
        <v>0</v>
      </c>
      <c r="Z196" s="78">
        <f t="shared" si="108"/>
        <v>-18.214496292508311</v>
      </c>
    </row>
    <row r="197" spans="1:26" x14ac:dyDescent="0.25">
      <c r="A197" s="53">
        <v>2019</v>
      </c>
      <c r="B197" s="53">
        <v>196</v>
      </c>
      <c r="C197" s="71" t="s">
        <v>105</v>
      </c>
      <c r="D197" t="s">
        <v>689</v>
      </c>
      <c r="E197" s="9" t="s">
        <v>1161</v>
      </c>
      <c r="G197" s="1">
        <v>43784</v>
      </c>
      <c r="H197" t="s">
        <v>974</v>
      </c>
      <c r="K197" t="b">
        <f t="shared" si="116"/>
        <v>0</v>
      </c>
      <c r="L197" s="48">
        <v>3.87</v>
      </c>
      <c r="M197" s="72">
        <v>1</v>
      </c>
      <c r="N197">
        <v>20</v>
      </c>
      <c r="O197" s="31">
        <f t="shared" si="109"/>
        <v>0.77400000000000002</v>
      </c>
      <c r="P197" s="31">
        <f t="shared" si="110"/>
        <v>0.77400000000000002</v>
      </c>
      <c r="Q197" s="33">
        <f t="shared" si="111"/>
        <v>3.87</v>
      </c>
      <c r="R197" s="29">
        <f t="shared" si="112"/>
        <v>4.6440000000000001</v>
      </c>
      <c r="S197" s="29">
        <f t="shared" si="113"/>
        <v>4.6440000000000001</v>
      </c>
      <c r="T197" s="35">
        <f t="shared" si="107"/>
        <v>43876</v>
      </c>
      <c r="U197" s="27"/>
      <c r="V197" s="27"/>
      <c r="W197" s="58">
        <f t="shared" si="117"/>
        <v>3.87</v>
      </c>
      <c r="X197" s="31">
        <f t="shared" si="114"/>
        <v>0</v>
      </c>
      <c r="Y197" t="b">
        <f t="shared" si="115"/>
        <v>0</v>
      </c>
      <c r="Z197" s="78">
        <f t="shared" si="108"/>
        <v>-3.87</v>
      </c>
    </row>
    <row r="198" spans="1:26" x14ac:dyDescent="0.25">
      <c r="A198" s="53">
        <v>2019</v>
      </c>
      <c r="B198" s="53">
        <v>197</v>
      </c>
      <c r="C198" s="71" t="s">
        <v>105</v>
      </c>
      <c r="D198" t="s">
        <v>689</v>
      </c>
      <c r="E198" s="9" t="s">
        <v>1162</v>
      </c>
      <c r="G198" s="1">
        <v>43784</v>
      </c>
      <c r="H198" t="s">
        <v>974</v>
      </c>
      <c r="K198" t="b">
        <f t="shared" si="116"/>
        <v>0</v>
      </c>
      <c r="L198" s="48">
        <v>8.27</v>
      </c>
      <c r="M198" s="72">
        <v>1</v>
      </c>
      <c r="N198">
        <v>20</v>
      </c>
      <c r="O198" s="31">
        <f t="shared" si="109"/>
        <v>1.6539999999999997</v>
      </c>
      <c r="P198" s="31">
        <f t="shared" si="110"/>
        <v>1.6539999999999997</v>
      </c>
      <c r="Q198" s="33">
        <f t="shared" si="111"/>
        <v>8.27</v>
      </c>
      <c r="R198" s="29">
        <f t="shared" si="112"/>
        <v>9.9239999999999995</v>
      </c>
      <c r="S198" s="29">
        <f t="shared" si="113"/>
        <v>9.9239999999999995</v>
      </c>
      <c r="T198" s="35">
        <f t="shared" si="107"/>
        <v>43876</v>
      </c>
      <c r="U198" s="27"/>
      <c r="V198" s="27"/>
      <c r="W198" s="58">
        <f t="shared" si="117"/>
        <v>8.27</v>
      </c>
      <c r="X198" s="31">
        <f t="shared" si="114"/>
        <v>0</v>
      </c>
      <c r="Y198" t="b">
        <f t="shared" si="115"/>
        <v>0</v>
      </c>
      <c r="Z198" s="78">
        <f t="shared" si="108"/>
        <v>-8.27</v>
      </c>
    </row>
    <row r="199" spans="1:26" x14ac:dyDescent="0.25">
      <c r="A199" s="53">
        <v>2019</v>
      </c>
      <c r="B199" s="53">
        <v>198</v>
      </c>
      <c r="C199" s="71" t="s">
        <v>105</v>
      </c>
      <c r="D199" t="s">
        <v>689</v>
      </c>
      <c r="E199" s="9" t="s">
        <v>1163</v>
      </c>
      <c r="G199" s="1">
        <v>43784</v>
      </c>
      <c r="H199" t="s">
        <v>974</v>
      </c>
      <c r="K199" t="b">
        <f t="shared" si="116"/>
        <v>0</v>
      </c>
      <c r="L199" s="48">
        <v>7.23</v>
      </c>
      <c r="M199" s="72">
        <v>1</v>
      </c>
      <c r="N199">
        <v>20</v>
      </c>
      <c r="O199" s="31">
        <f t="shared" si="109"/>
        <v>1.4460000000000002</v>
      </c>
      <c r="P199" s="31">
        <f t="shared" si="110"/>
        <v>1.4460000000000002</v>
      </c>
      <c r="Q199" s="33">
        <f t="shared" si="111"/>
        <v>7.23</v>
      </c>
      <c r="R199" s="29">
        <f t="shared" si="112"/>
        <v>8.6760000000000002</v>
      </c>
      <c r="S199" s="29">
        <f t="shared" si="113"/>
        <v>8.6760000000000002</v>
      </c>
      <c r="T199" s="35">
        <f t="shared" si="107"/>
        <v>43876</v>
      </c>
      <c r="U199" s="27"/>
      <c r="V199" s="27"/>
      <c r="W199" s="58">
        <f t="shared" si="117"/>
        <v>7.23</v>
      </c>
      <c r="X199" s="31">
        <f t="shared" si="114"/>
        <v>0</v>
      </c>
      <c r="Y199" t="b">
        <f t="shared" si="115"/>
        <v>0</v>
      </c>
      <c r="Z199" s="78">
        <f t="shared" si="108"/>
        <v>-7.23</v>
      </c>
    </row>
    <row r="200" spans="1:26" x14ac:dyDescent="0.25">
      <c r="A200" s="53">
        <v>2019</v>
      </c>
      <c r="B200" s="53">
        <v>199</v>
      </c>
      <c r="C200" s="71" t="s">
        <v>105</v>
      </c>
      <c r="D200" t="s">
        <v>705</v>
      </c>
      <c r="E200" s="9" t="s">
        <v>1171</v>
      </c>
      <c r="G200" s="1">
        <v>43714</v>
      </c>
      <c r="H200" t="s">
        <v>1172</v>
      </c>
      <c r="K200" t="b">
        <f t="shared" si="116"/>
        <v>0</v>
      </c>
      <c r="L200" s="48">
        <v>95.06</v>
      </c>
      <c r="M200" s="72">
        <v>1</v>
      </c>
      <c r="N200">
        <v>20</v>
      </c>
      <c r="O200" s="31">
        <f t="shared" si="109"/>
        <v>19.012</v>
      </c>
      <c r="P200" s="31">
        <f t="shared" si="110"/>
        <v>19.012</v>
      </c>
      <c r="Q200" s="33">
        <f t="shared" si="111"/>
        <v>95.06</v>
      </c>
      <c r="R200" s="29">
        <f t="shared" si="112"/>
        <v>114.072</v>
      </c>
      <c r="S200" s="29">
        <f t="shared" si="113"/>
        <v>114.072</v>
      </c>
      <c r="T200" s="35">
        <f t="shared" si="107"/>
        <v>43784</v>
      </c>
      <c r="U200" s="27"/>
      <c r="V200" s="27"/>
      <c r="W200" s="58">
        <f t="shared" si="117"/>
        <v>95.06</v>
      </c>
      <c r="X200" s="31">
        <f t="shared" si="114"/>
        <v>0</v>
      </c>
      <c r="Y200" t="b">
        <f t="shared" si="115"/>
        <v>0</v>
      </c>
      <c r="Z200" s="78">
        <f t="shared" si="108"/>
        <v>-95.06</v>
      </c>
    </row>
    <row r="201" spans="1:26" x14ac:dyDescent="0.25">
      <c r="A201" s="53">
        <v>2019</v>
      </c>
      <c r="B201" s="53">
        <v>200</v>
      </c>
      <c r="C201" s="71" t="s">
        <v>105</v>
      </c>
      <c r="D201" t="s">
        <v>705</v>
      </c>
      <c r="E201" s="9" t="s">
        <v>1146</v>
      </c>
      <c r="G201" s="1">
        <v>43787</v>
      </c>
      <c r="H201" t="s">
        <v>1096</v>
      </c>
      <c r="K201" t="b">
        <f t="shared" si="116"/>
        <v>0</v>
      </c>
      <c r="L201" s="48">
        <f>-184.99/1.2</f>
        <v>-154.15833333333336</v>
      </c>
      <c r="M201" s="72">
        <v>1</v>
      </c>
      <c r="N201">
        <v>20</v>
      </c>
      <c r="O201" s="31">
        <f t="shared" si="109"/>
        <v>-30.831666666666671</v>
      </c>
      <c r="P201" s="31">
        <f t="shared" si="110"/>
        <v>-30.831666666666671</v>
      </c>
      <c r="Q201" s="33">
        <f t="shared" si="111"/>
        <v>-154.15833333333336</v>
      </c>
      <c r="R201" s="29">
        <f t="shared" si="112"/>
        <v>-184.99000000000004</v>
      </c>
      <c r="S201" s="29">
        <f t="shared" si="113"/>
        <v>-184.99000000000004</v>
      </c>
      <c r="T201" s="35">
        <f t="shared" si="107"/>
        <v>43876</v>
      </c>
      <c r="U201" s="27"/>
      <c r="V201" s="27"/>
      <c r="W201" s="58">
        <f t="shared" si="117"/>
        <v>-154.15833333333336</v>
      </c>
      <c r="X201" s="31">
        <f t="shared" si="114"/>
        <v>0</v>
      </c>
      <c r="Y201" t="b">
        <f t="shared" si="115"/>
        <v>0</v>
      </c>
      <c r="Z201" s="78">
        <f t="shared" si="108"/>
        <v>154.15833333333336</v>
      </c>
    </row>
    <row r="202" spans="1:26" x14ac:dyDescent="0.25">
      <c r="A202" s="53">
        <v>2019</v>
      </c>
      <c r="B202" s="53">
        <v>201</v>
      </c>
      <c r="C202" s="71" t="s">
        <v>105</v>
      </c>
      <c r="D202" t="s">
        <v>689</v>
      </c>
      <c r="E202" s="9" t="s">
        <v>1173</v>
      </c>
      <c r="G202" s="1">
        <v>43789</v>
      </c>
      <c r="H202" t="s">
        <v>974</v>
      </c>
      <c r="K202" t="b">
        <f t="shared" si="116"/>
        <v>0</v>
      </c>
      <c r="L202" s="48">
        <v>6.09</v>
      </c>
      <c r="M202" s="72">
        <v>1</v>
      </c>
      <c r="N202">
        <v>20</v>
      </c>
      <c r="O202" s="31">
        <f t="shared" si="109"/>
        <v>1.218</v>
      </c>
      <c r="P202" s="31">
        <f t="shared" si="110"/>
        <v>1.218</v>
      </c>
      <c r="Q202" s="33">
        <f t="shared" si="111"/>
        <v>6.09</v>
      </c>
      <c r="R202" s="29">
        <f t="shared" si="112"/>
        <v>7.3079999999999998</v>
      </c>
      <c r="S202" s="29">
        <f t="shared" si="113"/>
        <v>7.3079999999999998</v>
      </c>
      <c r="T202" s="35">
        <f t="shared" si="107"/>
        <v>43876</v>
      </c>
      <c r="U202" s="27"/>
      <c r="V202" s="27"/>
      <c r="W202" s="58">
        <f t="shared" si="117"/>
        <v>6.09</v>
      </c>
      <c r="X202" s="31">
        <f t="shared" si="114"/>
        <v>0</v>
      </c>
      <c r="Y202" t="b">
        <f t="shared" si="115"/>
        <v>0</v>
      </c>
      <c r="Z202" s="78">
        <f t="shared" si="108"/>
        <v>-6.09</v>
      </c>
    </row>
    <row r="203" spans="1:26" x14ac:dyDescent="0.25">
      <c r="A203" s="53">
        <v>2019</v>
      </c>
      <c r="B203" s="53">
        <v>202</v>
      </c>
      <c r="C203" s="71" t="s">
        <v>105</v>
      </c>
      <c r="D203" t="s">
        <v>689</v>
      </c>
      <c r="E203" s="9" t="s">
        <v>1174</v>
      </c>
      <c r="G203" s="1">
        <v>43790</v>
      </c>
      <c r="H203" t="s">
        <v>974</v>
      </c>
      <c r="K203" t="b">
        <f t="shared" si="116"/>
        <v>0</v>
      </c>
      <c r="L203" s="48">
        <v>2.17</v>
      </c>
      <c r="M203" s="72">
        <v>1</v>
      </c>
      <c r="N203">
        <v>20</v>
      </c>
      <c r="O203" s="31">
        <f t="shared" si="109"/>
        <v>0.434</v>
      </c>
      <c r="P203" s="31">
        <f t="shared" si="110"/>
        <v>0.434</v>
      </c>
      <c r="Q203" s="33">
        <f t="shared" si="111"/>
        <v>2.17</v>
      </c>
      <c r="R203" s="29">
        <f t="shared" si="112"/>
        <v>2.6040000000000001</v>
      </c>
      <c r="S203" s="29">
        <f t="shared" si="113"/>
        <v>2.6040000000000001</v>
      </c>
      <c r="T203" s="35">
        <f t="shared" si="107"/>
        <v>43876</v>
      </c>
      <c r="U203" s="27"/>
      <c r="V203" s="27"/>
      <c r="W203" s="58">
        <f t="shared" si="117"/>
        <v>2.17</v>
      </c>
      <c r="X203" s="31">
        <f t="shared" si="114"/>
        <v>0</v>
      </c>
      <c r="Y203" t="b">
        <f t="shared" si="115"/>
        <v>0</v>
      </c>
      <c r="Z203" s="78">
        <f t="shared" si="108"/>
        <v>-2.17</v>
      </c>
    </row>
    <row r="204" spans="1:26" x14ac:dyDescent="0.25">
      <c r="A204" s="53">
        <v>2019</v>
      </c>
      <c r="B204" s="53">
        <v>203</v>
      </c>
      <c r="C204" s="71" t="s">
        <v>105</v>
      </c>
      <c r="D204" t="s">
        <v>693</v>
      </c>
      <c r="E204" s="9" t="s">
        <v>1175</v>
      </c>
      <c r="G204" s="1">
        <v>43790</v>
      </c>
      <c r="H204" t="s">
        <v>1176</v>
      </c>
      <c r="K204" t="b">
        <f t="shared" si="116"/>
        <v>0</v>
      </c>
      <c r="L204" s="48">
        <v>192.96</v>
      </c>
      <c r="M204" s="72">
        <v>1</v>
      </c>
      <c r="N204">
        <v>20</v>
      </c>
      <c r="O204" s="31">
        <f t="shared" si="109"/>
        <v>38.592000000000006</v>
      </c>
      <c r="P204" s="31">
        <f t="shared" si="110"/>
        <v>38.592000000000006</v>
      </c>
      <c r="Q204" s="33">
        <f t="shared" si="111"/>
        <v>192.96</v>
      </c>
      <c r="R204" s="29">
        <f t="shared" si="112"/>
        <v>231.55200000000002</v>
      </c>
      <c r="S204" s="29">
        <f t="shared" si="113"/>
        <v>231.55200000000002</v>
      </c>
      <c r="T204" s="35">
        <f t="shared" si="107"/>
        <v>43876</v>
      </c>
      <c r="U204" s="27"/>
      <c r="V204" s="27"/>
      <c r="W204" s="58">
        <f t="shared" si="117"/>
        <v>192.96</v>
      </c>
      <c r="X204" s="31">
        <f t="shared" si="114"/>
        <v>0</v>
      </c>
      <c r="Y204" t="b">
        <f t="shared" si="115"/>
        <v>0</v>
      </c>
      <c r="Z204" s="78">
        <f t="shared" si="108"/>
        <v>-192.96</v>
      </c>
    </row>
    <row r="205" spans="1:26" x14ac:dyDescent="0.25">
      <c r="A205" s="53">
        <v>2019</v>
      </c>
      <c r="B205" s="53">
        <v>204</v>
      </c>
      <c r="C205" s="71" t="s">
        <v>105</v>
      </c>
      <c r="D205" t="s">
        <v>689</v>
      </c>
      <c r="E205" s="9" t="s">
        <v>1177</v>
      </c>
      <c r="G205" s="1">
        <v>43791</v>
      </c>
      <c r="H205" t="s">
        <v>974</v>
      </c>
      <c r="K205" t="b">
        <f t="shared" si="116"/>
        <v>0</v>
      </c>
      <c r="L205" s="48">
        <v>2.0699999999999998</v>
      </c>
      <c r="M205" s="72">
        <v>1</v>
      </c>
      <c r="N205">
        <v>20</v>
      </c>
      <c r="O205" s="31">
        <f t="shared" si="109"/>
        <v>0.41399999999999998</v>
      </c>
      <c r="P205" s="31">
        <f t="shared" si="110"/>
        <v>0.41399999999999998</v>
      </c>
      <c r="Q205" s="33">
        <f t="shared" si="111"/>
        <v>2.0699999999999998</v>
      </c>
      <c r="R205" s="29">
        <f t="shared" si="112"/>
        <v>2.484</v>
      </c>
      <c r="S205" s="29">
        <f t="shared" si="113"/>
        <v>2.484</v>
      </c>
      <c r="T205" s="35">
        <f t="shared" si="107"/>
        <v>43876</v>
      </c>
      <c r="U205" s="27"/>
      <c r="V205" s="27"/>
      <c r="W205" s="58">
        <f t="shared" si="117"/>
        <v>2.0699999999999998</v>
      </c>
      <c r="X205" s="31">
        <f t="shared" si="114"/>
        <v>0</v>
      </c>
      <c r="Y205" t="b">
        <f t="shared" si="115"/>
        <v>0</v>
      </c>
      <c r="Z205" s="78">
        <f t="shared" si="108"/>
        <v>-2.0699999999999998</v>
      </c>
    </row>
    <row r="206" spans="1:26" x14ac:dyDescent="0.25">
      <c r="A206" s="53">
        <v>2019</v>
      </c>
      <c r="B206" s="53">
        <v>205</v>
      </c>
      <c r="C206" s="71" t="s">
        <v>105</v>
      </c>
      <c r="D206" t="s">
        <v>703</v>
      </c>
      <c r="E206" s="9" t="s">
        <v>1178</v>
      </c>
      <c r="G206" s="1">
        <v>43791</v>
      </c>
      <c r="H206" t="s">
        <v>1179</v>
      </c>
      <c r="K206" t="b">
        <f t="shared" ref="K206:K213" si="118">(IF(AND(I206&lt;&gt;"",AND(J206="",ABS(Q206)&gt;400)),TRUE,FALSE))</f>
        <v>0</v>
      </c>
      <c r="L206" s="48">
        <v>99</v>
      </c>
      <c r="M206" s="72">
        <v>1</v>
      </c>
      <c r="N206">
        <v>20</v>
      </c>
      <c r="O206" s="31">
        <f t="shared" si="109"/>
        <v>19.8</v>
      </c>
      <c r="P206" s="31">
        <f t="shared" si="110"/>
        <v>19.8</v>
      </c>
      <c r="Q206" s="33">
        <f t="shared" si="111"/>
        <v>99</v>
      </c>
      <c r="R206" s="29">
        <f t="shared" si="112"/>
        <v>118.8</v>
      </c>
      <c r="S206" s="29">
        <f t="shared" si="113"/>
        <v>118.8</v>
      </c>
      <c r="T206" s="35">
        <f t="shared" si="107"/>
        <v>43876</v>
      </c>
      <c r="U206" s="27"/>
      <c r="V206" s="27"/>
      <c r="W206" s="58">
        <f t="shared" si="117"/>
        <v>99</v>
      </c>
      <c r="X206" s="31">
        <f t="shared" si="114"/>
        <v>0</v>
      </c>
      <c r="Y206" t="b">
        <f t="shared" si="115"/>
        <v>0</v>
      </c>
      <c r="Z206" s="78">
        <f t="shared" si="108"/>
        <v>-99</v>
      </c>
    </row>
    <row r="207" spans="1:26" x14ac:dyDescent="0.25">
      <c r="A207" s="53">
        <v>2019</v>
      </c>
      <c r="B207" s="53">
        <v>206</v>
      </c>
      <c r="C207" s="71" t="s">
        <v>105</v>
      </c>
      <c r="D207" t="s">
        <v>691</v>
      </c>
      <c r="E207" s="9" t="s">
        <v>950</v>
      </c>
      <c r="G207" s="1">
        <v>43794</v>
      </c>
      <c r="H207" t="s">
        <v>951</v>
      </c>
      <c r="K207" t="b">
        <f t="shared" si="118"/>
        <v>0</v>
      </c>
      <c r="L207" s="48">
        <v>763.44</v>
      </c>
      <c r="M207" s="72">
        <f>Arbeitszimmer!$B$3</f>
        <v>0.27320378419841473</v>
      </c>
      <c r="N207">
        <v>10</v>
      </c>
      <c r="O207" s="31">
        <f t="shared" si="109"/>
        <v>76.344000000000008</v>
      </c>
      <c r="P207" s="31">
        <f t="shared" si="110"/>
        <v>20.857469700843776</v>
      </c>
      <c r="Q207" s="33">
        <f t="shared" si="111"/>
        <v>208.57469700843777</v>
      </c>
      <c r="R207" s="29">
        <f t="shared" si="112"/>
        <v>839.78400000000011</v>
      </c>
      <c r="S207" s="29">
        <f t="shared" si="113"/>
        <v>229.43216670928155</v>
      </c>
      <c r="T207" s="35">
        <f t="shared" si="107"/>
        <v>43876</v>
      </c>
      <c r="U207" s="27"/>
      <c r="V207" s="27"/>
      <c r="W207" s="58">
        <f>IF(K207=TRUE,Q207/J207,Q207)</f>
        <v>208.57469700843777</v>
      </c>
      <c r="X207" s="31">
        <f t="shared" si="114"/>
        <v>0</v>
      </c>
      <c r="Y207" t="b">
        <f t="shared" si="115"/>
        <v>0</v>
      </c>
      <c r="Z207" s="78">
        <f t="shared" si="108"/>
        <v>-208.57469700843777</v>
      </c>
    </row>
    <row r="208" spans="1:26" x14ac:dyDescent="0.25">
      <c r="A208" s="53">
        <v>2019</v>
      </c>
      <c r="B208" s="53">
        <v>207</v>
      </c>
      <c r="C208" s="71" t="s">
        <v>708</v>
      </c>
      <c r="D208" t="s">
        <v>709</v>
      </c>
      <c r="E208" s="9" t="s">
        <v>1180</v>
      </c>
      <c r="G208" s="1">
        <v>43795</v>
      </c>
      <c r="H208" t="s">
        <v>932</v>
      </c>
      <c r="K208" t="b">
        <f t="shared" si="118"/>
        <v>0</v>
      </c>
      <c r="L208" s="48">
        <v>1268.5</v>
      </c>
      <c r="M208" s="72">
        <v>1</v>
      </c>
      <c r="N208">
        <v>20</v>
      </c>
      <c r="O208" s="31">
        <f t="shared" si="109"/>
        <v>253.7</v>
      </c>
      <c r="P208" s="31">
        <f t="shared" si="110"/>
        <v>253.7</v>
      </c>
      <c r="Q208" s="33">
        <f t="shared" si="111"/>
        <v>1268.5</v>
      </c>
      <c r="R208" s="29">
        <f t="shared" si="112"/>
        <v>1522.2</v>
      </c>
      <c r="S208" s="29">
        <f t="shared" si="113"/>
        <v>1522.2</v>
      </c>
      <c r="T208" s="35">
        <f t="shared" si="107"/>
        <v>43876</v>
      </c>
      <c r="U208" s="27"/>
      <c r="V208" s="27"/>
      <c r="W208" s="58">
        <f>IF(K208=TRUE,Q208/J208,Q208)</f>
        <v>1268.5</v>
      </c>
      <c r="X208" s="31">
        <f t="shared" si="114"/>
        <v>0</v>
      </c>
      <c r="Y208" t="b">
        <f t="shared" si="115"/>
        <v>0</v>
      </c>
      <c r="Z208" s="78">
        <f t="shared" si="108"/>
        <v>1268.5</v>
      </c>
    </row>
    <row r="209" spans="1:26" x14ac:dyDescent="0.25">
      <c r="A209" s="53">
        <v>2019</v>
      </c>
      <c r="B209" s="53">
        <v>208</v>
      </c>
      <c r="C209" s="71" t="s">
        <v>708</v>
      </c>
      <c r="D209" t="s">
        <v>709</v>
      </c>
      <c r="E209" s="9" t="s">
        <v>1181</v>
      </c>
      <c r="G209" s="1">
        <v>43797</v>
      </c>
      <c r="H209" t="s">
        <v>1170</v>
      </c>
      <c r="K209" t="b">
        <f t="shared" si="118"/>
        <v>0</v>
      </c>
      <c r="L209" s="48">
        <v>520.58000000000004</v>
      </c>
      <c r="M209" s="72">
        <v>1</v>
      </c>
      <c r="N209">
        <v>20</v>
      </c>
      <c r="O209" s="31">
        <f t="shared" si="109"/>
        <v>104.116</v>
      </c>
      <c r="P209" s="31">
        <f t="shared" si="110"/>
        <v>104.116</v>
      </c>
      <c r="Q209" s="33">
        <f t="shared" si="111"/>
        <v>520.58000000000004</v>
      </c>
      <c r="R209" s="29">
        <f t="shared" si="112"/>
        <v>624.69600000000003</v>
      </c>
      <c r="S209" s="29">
        <f t="shared" si="113"/>
        <v>624.69600000000003</v>
      </c>
      <c r="T209" s="35">
        <f t="shared" si="107"/>
        <v>43876</v>
      </c>
      <c r="U209" s="27"/>
      <c r="V209" s="27"/>
      <c r="W209" s="58">
        <f>IF(K209=TRUE,Q209/J209,Q209)</f>
        <v>520.58000000000004</v>
      </c>
      <c r="X209" s="31">
        <f t="shared" si="114"/>
        <v>0</v>
      </c>
      <c r="Y209" t="b">
        <f t="shared" si="115"/>
        <v>0</v>
      </c>
      <c r="Z209" s="78">
        <f t="shared" si="108"/>
        <v>520.58000000000004</v>
      </c>
    </row>
    <row r="210" spans="1:26" x14ac:dyDescent="0.25">
      <c r="A210" s="53">
        <v>2019</v>
      </c>
      <c r="B210" s="53">
        <v>209</v>
      </c>
      <c r="C210" s="71" t="s">
        <v>105</v>
      </c>
      <c r="D210" t="s">
        <v>689</v>
      </c>
      <c r="E210" s="9" t="s">
        <v>1182</v>
      </c>
      <c r="G210" s="1">
        <v>43797</v>
      </c>
      <c r="H210" t="s">
        <v>974</v>
      </c>
      <c r="K210" t="b">
        <f t="shared" si="118"/>
        <v>0</v>
      </c>
      <c r="L210" s="48">
        <v>5.42</v>
      </c>
      <c r="M210" s="72">
        <v>1</v>
      </c>
      <c r="N210">
        <v>20</v>
      </c>
      <c r="O210" s="31">
        <f t="shared" si="109"/>
        <v>1.0840000000000001</v>
      </c>
      <c r="P210" s="31">
        <f t="shared" si="110"/>
        <v>1.0840000000000001</v>
      </c>
      <c r="Q210" s="33">
        <f t="shared" si="111"/>
        <v>5.42</v>
      </c>
      <c r="R210" s="29">
        <f t="shared" si="112"/>
        <v>6.5039999999999996</v>
      </c>
      <c r="S210" s="29">
        <f t="shared" si="113"/>
        <v>6.5039999999999996</v>
      </c>
      <c r="T210" s="35">
        <f t="shared" si="107"/>
        <v>43876</v>
      </c>
      <c r="U210" s="27"/>
      <c r="V210" s="27"/>
      <c r="W210" s="58">
        <f>IF(K210=TRUE,Q210/I210,Q210)</f>
        <v>5.42</v>
      </c>
      <c r="X210" s="31">
        <f t="shared" si="114"/>
        <v>0</v>
      </c>
      <c r="Y210" t="b">
        <f t="shared" si="115"/>
        <v>0</v>
      </c>
      <c r="Z210" s="78">
        <f t="shared" si="108"/>
        <v>-5.42</v>
      </c>
    </row>
    <row r="211" spans="1:26" x14ac:dyDescent="0.25">
      <c r="A211" s="53">
        <v>2019</v>
      </c>
      <c r="B211" s="53">
        <v>210</v>
      </c>
      <c r="C211" s="71" t="s">
        <v>105</v>
      </c>
      <c r="D211" t="s">
        <v>705</v>
      </c>
      <c r="E211" s="9" t="s">
        <v>1183</v>
      </c>
      <c r="G211" s="1">
        <v>43798</v>
      </c>
      <c r="H211" t="s">
        <v>941</v>
      </c>
      <c r="K211" t="b">
        <f t="shared" si="118"/>
        <v>0</v>
      </c>
      <c r="L211" s="48">
        <v>16.579999999999998</v>
      </c>
      <c r="M211" s="72">
        <v>1</v>
      </c>
      <c r="N211">
        <v>20</v>
      </c>
      <c r="O211" s="31">
        <f t="shared" si="109"/>
        <v>3.3159999999999998</v>
      </c>
      <c r="P211" s="31">
        <f t="shared" si="110"/>
        <v>3.3159999999999998</v>
      </c>
      <c r="Q211" s="33">
        <f t="shared" si="111"/>
        <v>16.579999999999998</v>
      </c>
      <c r="R211" s="29">
        <f t="shared" si="112"/>
        <v>19.895999999999997</v>
      </c>
      <c r="S211" s="29">
        <f t="shared" si="113"/>
        <v>19.895999999999997</v>
      </c>
      <c r="T211" s="35">
        <f t="shared" si="107"/>
        <v>43876</v>
      </c>
      <c r="U211" s="27"/>
      <c r="V211" s="27"/>
      <c r="W211" s="58">
        <f>IF(K211=TRUE,Q211/J211,Q211)</f>
        <v>16.579999999999998</v>
      </c>
      <c r="X211" s="31">
        <f t="shared" si="114"/>
        <v>0</v>
      </c>
      <c r="Y211" t="b">
        <f t="shared" si="115"/>
        <v>0</v>
      </c>
      <c r="Z211" s="78">
        <f t="shared" si="108"/>
        <v>-16.579999999999998</v>
      </c>
    </row>
    <row r="212" spans="1:26" x14ac:dyDescent="0.25">
      <c r="A212" s="53">
        <v>2019</v>
      </c>
      <c r="B212" s="53">
        <v>211</v>
      </c>
      <c r="C212" s="71" t="s">
        <v>105</v>
      </c>
      <c r="D212" t="s">
        <v>693</v>
      </c>
      <c r="E212" s="9" t="s">
        <v>1184</v>
      </c>
      <c r="G212" s="1">
        <v>43798</v>
      </c>
      <c r="H212" t="s">
        <v>961</v>
      </c>
      <c r="K212" t="b">
        <f t="shared" si="118"/>
        <v>0</v>
      </c>
      <c r="L212" s="48">
        <v>24.88</v>
      </c>
      <c r="M212" s="72">
        <v>1</v>
      </c>
      <c r="N212">
        <v>0</v>
      </c>
      <c r="O212" s="31">
        <f t="shared" si="109"/>
        <v>0</v>
      </c>
      <c r="P212" s="31">
        <f t="shared" si="110"/>
        <v>0</v>
      </c>
      <c r="Q212" s="33">
        <f t="shared" si="111"/>
        <v>24.88</v>
      </c>
      <c r="R212" s="29">
        <f t="shared" si="112"/>
        <v>24.88</v>
      </c>
      <c r="S212" s="29">
        <f t="shared" si="113"/>
        <v>24.88</v>
      </c>
      <c r="T212" s="35">
        <f t="shared" si="107"/>
        <v>43876</v>
      </c>
      <c r="U212" s="27"/>
      <c r="V212" s="27">
        <v>20</v>
      </c>
      <c r="W212" s="58">
        <f>IF(K212=TRUE,Q212/I212,Q212)</f>
        <v>24.88</v>
      </c>
      <c r="X212" s="31">
        <f t="shared" si="114"/>
        <v>4.976</v>
      </c>
      <c r="Y212" t="b">
        <f t="shared" si="115"/>
        <v>0</v>
      </c>
      <c r="Z212" s="78">
        <f t="shared" si="108"/>
        <v>-24.88</v>
      </c>
    </row>
    <row r="213" spans="1:26" x14ac:dyDescent="0.25">
      <c r="A213" s="53">
        <v>2019</v>
      </c>
      <c r="B213" s="53">
        <v>212</v>
      </c>
      <c r="C213" s="71" t="s">
        <v>105</v>
      </c>
      <c r="D213" t="s">
        <v>695</v>
      </c>
      <c r="E213" s="9">
        <v>11561270283</v>
      </c>
      <c r="G213" s="1">
        <v>43801</v>
      </c>
      <c r="H213" t="s">
        <v>952</v>
      </c>
      <c r="K213" t="b">
        <f t="shared" si="118"/>
        <v>0</v>
      </c>
      <c r="L213" s="48">
        <v>4296.6000000000004</v>
      </c>
      <c r="M213" s="72">
        <v>1</v>
      </c>
      <c r="N213">
        <v>0</v>
      </c>
      <c r="O213" s="31">
        <f t="shared" si="109"/>
        <v>0</v>
      </c>
      <c r="P213" s="31">
        <f t="shared" si="110"/>
        <v>0</v>
      </c>
      <c r="Q213" s="33">
        <f t="shared" si="111"/>
        <v>4296.6000000000004</v>
      </c>
      <c r="R213" s="29">
        <f t="shared" si="112"/>
        <v>4296.6000000000004</v>
      </c>
      <c r="S213" s="29">
        <f t="shared" si="113"/>
        <v>4296.6000000000004</v>
      </c>
      <c r="T213" s="35">
        <f t="shared" si="107"/>
        <v>43876</v>
      </c>
      <c r="U213" s="27"/>
      <c r="V213" s="27"/>
      <c r="W213" s="58">
        <f>IF(K213=TRUE,Q213/J213,Q213)</f>
        <v>4296.6000000000004</v>
      </c>
      <c r="X213" s="31">
        <f t="shared" si="114"/>
        <v>0</v>
      </c>
      <c r="Y213" t="b">
        <f t="shared" si="115"/>
        <v>0</v>
      </c>
      <c r="Z213" s="78">
        <f t="shared" ref="Z213:Z244" si="119">IF(C213="Einnahmen",Q213,-Q213)</f>
        <v>-4296.6000000000004</v>
      </c>
    </row>
    <row r="214" spans="1:26" x14ac:dyDescent="0.25">
      <c r="A214" s="53">
        <v>2019</v>
      </c>
      <c r="B214" s="53">
        <v>213</v>
      </c>
      <c r="C214" s="71" t="s">
        <v>105</v>
      </c>
      <c r="D214" t="s">
        <v>689</v>
      </c>
      <c r="E214" s="9" t="s">
        <v>1185</v>
      </c>
      <c r="G214" s="1">
        <v>43801</v>
      </c>
      <c r="H214" t="s">
        <v>974</v>
      </c>
      <c r="K214" t="b">
        <f>(IF(AND(I214&lt;&gt;"",AND(J214="",ABS(Q214)&gt;400)),TRUE,FALSE))</f>
        <v>0</v>
      </c>
      <c r="L214" s="48">
        <v>3.1</v>
      </c>
      <c r="M214" s="72">
        <v>1</v>
      </c>
      <c r="N214">
        <v>20</v>
      </c>
      <c r="O214" s="31">
        <f t="shared" si="109"/>
        <v>0.62</v>
      </c>
      <c r="P214" s="31">
        <f t="shared" si="110"/>
        <v>0.62</v>
      </c>
      <c r="Q214" s="33">
        <f t="shared" si="111"/>
        <v>3.1</v>
      </c>
      <c r="R214" s="29">
        <f t="shared" si="112"/>
        <v>3.72</v>
      </c>
      <c r="S214" s="29">
        <f t="shared" si="113"/>
        <v>3.72</v>
      </c>
      <c r="T214" s="35">
        <f t="shared" si="107"/>
        <v>43876</v>
      </c>
      <c r="U214" s="27"/>
      <c r="V214" s="27"/>
      <c r="W214" s="58">
        <f>IF(K214=TRUE,Q214/I214,Q214)</f>
        <v>3.1</v>
      </c>
      <c r="X214" s="31">
        <f t="shared" si="114"/>
        <v>0</v>
      </c>
      <c r="Y214" t="b">
        <f t="shared" si="115"/>
        <v>0</v>
      </c>
      <c r="Z214" s="78">
        <f t="shared" si="119"/>
        <v>-3.1</v>
      </c>
    </row>
    <row r="215" spans="1:26" x14ac:dyDescent="0.25">
      <c r="A215" s="53">
        <v>2019</v>
      </c>
      <c r="B215" s="53">
        <v>214</v>
      </c>
      <c r="C215" s="71" t="s">
        <v>105</v>
      </c>
      <c r="D215" t="s">
        <v>705</v>
      </c>
      <c r="E215" s="9" t="s">
        <v>1187</v>
      </c>
      <c r="G215" s="1">
        <v>43801</v>
      </c>
      <c r="H215" t="s">
        <v>953</v>
      </c>
      <c r="K215" t="b">
        <f>(IF(AND(I215&lt;&gt;"",AND(J215="",ABS(Q215)&gt;400)),TRUE,FALSE))</f>
        <v>0</v>
      </c>
      <c r="L215" s="48">
        <v>164.17</v>
      </c>
      <c r="M215" s="72">
        <f>Arbeitszimmer!$B$3</f>
        <v>0.27320378419841473</v>
      </c>
      <c r="N215">
        <v>20</v>
      </c>
      <c r="O215" s="31">
        <f t="shared" si="109"/>
        <v>32.833999999999996</v>
      </c>
      <c r="P215" s="31">
        <f t="shared" si="110"/>
        <v>8.9703730503707479</v>
      </c>
      <c r="Q215" s="33">
        <f t="shared" si="111"/>
        <v>44.851865251853745</v>
      </c>
      <c r="R215" s="29">
        <f t="shared" si="112"/>
        <v>197.00399999999999</v>
      </c>
      <c r="S215" s="29">
        <f t="shared" si="113"/>
        <v>53.822238302224491</v>
      </c>
      <c r="T215" s="35">
        <f t="shared" si="107"/>
        <v>43876</v>
      </c>
      <c r="U215" s="27"/>
      <c r="V215" s="27"/>
      <c r="W215" s="58">
        <f>IF(K215=TRUE,Q215/J215,Q215)</f>
        <v>44.851865251853745</v>
      </c>
      <c r="X215" s="31">
        <f t="shared" si="114"/>
        <v>0</v>
      </c>
      <c r="Y215" t="b">
        <f t="shared" si="115"/>
        <v>0</v>
      </c>
      <c r="Z215" s="78">
        <f t="shared" si="119"/>
        <v>-44.851865251853745</v>
      </c>
    </row>
    <row r="216" spans="1:26" x14ac:dyDescent="0.25">
      <c r="A216" s="53">
        <v>2019</v>
      </c>
      <c r="B216" s="53">
        <v>215</v>
      </c>
      <c r="C216" s="71" t="s">
        <v>105</v>
      </c>
      <c r="D216" t="s">
        <v>705</v>
      </c>
      <c r="E216" s="9" t="s">
        <v>1192</v>
      </c>
      <c r="G216" s="1">
        <v>43801</v>
      </c>
      <c r="H216" t="s">
        <v>1188</v>
      </c>
      <c r="L216" s="109">
        <v>82.9</v>
      </c>
      <c r="M216" s="91">
        <v>1</v>
      </c>
      <c r="N216">
        <v>0</v>
      </c>
      <c r="O216" s="31">
        <f t="shared" si="109"/>
        <v>0</v>
      </c>
      <c r="P216" s="31">
        <f t="shared" si="110"/>
        <v>0</v>
      </c>
      <c r="Q216" s="33">
        <f t="shared" si="111"/>
        <v>82.9</v>
      </c>
      <c r="R216" s="29">
        <f t="shared" si="112"/>
        <v>82.9</v>
      </c>
      <c r="S216" s="29">
        <f t="shared" si="113"/>
        <v>82.9</v>
      </c>
      <c r="T216" s="35">
        <f t="shared" si="107"/>
        <v>43876</v>
      </c>
      <c r="U216" s="27"/>
      <c r="V216" s="27"/>
      <c r="W216" s="58">
        <f>IF(K216=TRUE,Q216/I216,Q216)</f>
        <v>82.9</v>
      </c>
      <c r="X216" s="31">
        <f t="shared" si="114"/>
        <v>0</v>
      </c>
      <c r="Y216" t="b">
        <f t="shared" si="115"/>
        <v>0</v>
      </c>
      <c r="Z216" s="78">
        <f t="shared" si="119"/>
        <v>-82.9</v>
      </c>
    </row>
    <row r="217" spans="1:26" x14ac:dyDescent="0.25">
      <c r="A217" s="53">
        <v>2019</v>
      </c>
      <c r="B217" s="53">
        <v>216</v>
      </c>
      <c r="C217" s="71" t="s">
        <v>105</v>
      </c>
      <c r="D217" t="s">
        <v>703</v>
      </c>
      <c r="E217" s="9" t="s">
        <v>1189</v>
      </c>
      <c r="G217" s="1">
        <v>43802</v>
      </c>
      <c r="H217" t="s">
        <v>34</v>
      </c>
      <c r="K217" t="b">
        <f t="shared" ref="K217:K239" si="120">(IF(AND(I217&lt;&gt;"",AND(J217="",ABS(Q217)&gt;400)),TRUE,FALSE))</f>
        <v>0</v>
      </c>
      <c r="L217" s="48">
        <v>15</v>
      </c>
      <c r="M217" s="72">
        <v>1</v>
      </c>
      <c r="N217">
        <v>20</v>
      </c>
      <c r="O217" s="31">
        <f t="shared" ref="O217:O248" si="121">L217*N217/100</f>
        <v>3</v>
      </c>
      <c r="P217" s="31">
        <f t="shared" ref="P217:P248" si="122">M217*O217</f>
        <v>3</v>
      </c>
      <c r="Q217" s="33">
        <f t="shared" ref="Q217:Q248" si="123">L217*M217</f>
        <v>15</v>
      </c>
      <c r="R217" s="29">
        <f t="shared" ref="R217:R248" si="124">L217+O217</f>
        <v>18</v>
      </c>
      <c r="S217" s="29">
        <f t="shared" ref="S217:S227" si="125">Q217+P217</f>
        <v>18</v>
      </c>
      <c r="T217" s="35">
        <f t="shared" si="107"/>
        <v>43876</v>
      </c>
      <c r="U217" s="27"/>
      <c r="V217" s="27"/>
      <c r="W217" s="58">
        <f>IF(K217=TRUE,Q217/I217,Q217)</f>
        <v>15</v>
      </c>
      <c r="X217" s="31">
        <f t="shared" ref="X217:X248" si="126">V217/100*S217</f>
        <v>0</v>
      </c>
      <c r="Y217" t="b">
        <f t="shared" ref="Y217:Y248" si="127">IF(AND(V217&gt;0,N217=V217),TRUE,FALSE)</f>
        <v>0</v>
      </c>
      <c r="Z217" s="78">
        <f t="shared" si="119"/>
        <v>-15</v>
      </c>
    </row>
    <row r="218" spans="1:26" x14ac:dyDescent="0.25">
      <c r="A218" s="53">
        <v>2019</v>
      </c>
      <c r="B218" s="53">
        <v>217</v>
      </c>
      <c r="C218" s="71" t="s">
        <v>708</v>
      </c>
      <c r="D218" t="s">
        <v>709</v>
      </c>
      <c r="E218" s="9" t="s">
        <v>1190</v>
      </c>
      <c r="G218" s="1">
        <v>43802</v>
      </c>
      <c r="H218" t="s">
        <v>1066</v>
      </c>
      <c r="K218" t="b">
        <f t="shared" si="120"/>
        <v>0</v>
      </c>
      <c r="L218" s="48">
        <v>3517.5</v>
      </c>
      <c r="M218" s="72">
        <v>1</v>
      </c>
      <c r="N218">
        <v>20</v>
      </c>
      <c r="O218" s="31">
        <f t="shared" si="121"/>
        <v>703.5</v>
      </c>
      <c r="P218" s="31">
        <f t="shared" si="122"/>
        <v>703.5</v>
      </c>
      <c r="Q218" s="33">
        <f t="shared" si="123"/>
        <v>3517.5</v>
      </c>
      <c r="R218" s="29">
        <f t="shared" si="124"/>
        <v>4221</v>
      </c>
      <c r="S218" s="29">
        <f t="shared" si="125"/>
        <v>4221</v>
      </c>
      <c r="T218" s="35">
        <f t="shared" si="107"/>
        <v>43876</v>
      </c>
      <c r="U218" s="27"/>
      <c r="V218" s="27"/>
      <c r="W218" s="58">
        <f>IF(K218=TRUE,Q218/I218,Q218)</f>
        <v>3517.5</v>
      </c>
      <c r="X218" s="31">
        <f t="shared" si="126"/>
        <v>0</v>
      </c>
      <c r="Y218" t="b">
        <f t="shared" si="127"/>
        <v>0</v>
      </c>
      <c r="Z218" s="78">
        <f t="shared" si="119"/>
        <v>3517.5</v>
      </c>
    </row>
    <row r="219" spans="1:26" x14ac:dyDescent="0.25">
      <c r="A219" s="53">
        <v>2019</v>
      </c>
      <c r="B219" s="53">
        <v>218</v>
      </c>
      <c r="C219" s="71" t="s">
        <v>708</v>
      </c>
      <c r="D219" t="s">
        <v>709</v>
      </c>
      <c r="E219" s="9" t="s">
        <v>1191</v>
      </c>
      <c r="G219" s="1">
        <v>43802</v>
      </c>
      <c r="H219" t="s">
        <v>1066</v>
      </c>
      <c r="K219" t="b">
        <f t="shared" si="120"/>
        <v>0</v>
      </c>
      <c r="L219" s="48">
        <v>2910</v>
      </c>
      <c r="M219" s="72">
        <v>1</v>
      </c>
      <c r="N219">
        <v>20</v>
      </c>
      <c r="O219" s="31">
        <f t="shared" si="121"/>
        <v>582</v>
      </c>
      <c r="P219" s="31">
        <f t="shared" si="122"/>
        <v>582</v>
      </c>
      <c r="Q219" s="33">
        <f t="shared" si="123"/>
        <v>2910</v>
      </c>
      <c r="R219" s="29">
        <f t="shared" si="124"/>
        <v>3492</v>
      </c>
      <c r="S219" s="29">
        <f t="shared" si="125"/>
        <v>3492</v>
      </c>
      <c r="T219" s="35">
        <f t="shared" si="107"/>
        <v>43876</v>
      </c>
      <c r="U219" s="27"/>
      <c r="V219" s="27"/>
      <c r="W219" s="58">
        <f>IF(K219=TRUE,Q219/I219,Q219)</f>
        <v>2910</v>
      </c>
      <c r="X219" s="31">
        <f t="shared" si="126"/>
        <v>0</v>
      </c>
      <c r="Y219" t="b">
        <f t="shared" si="127"/>
        <v>0</v>
      </c>
      <c r="Z219" s="78">
        <f t="shared" si="119"/>
        <v>2910</v>
      </c>
    </row>
    <row r="220" spans="1:26" x14ac:dyDescent="0.25">
      <c r="A220" s="53">
        <v>2019</v>
      </c>
      <c r="B220" s="53">
        <v>219</v>
      </c>
      <c r="C220" s="71" t="s">
        <v>105</v>
      </c>
      <c r="D220" t="s">
        <v>705</v>
      </c>
      <c r="E220" s="9" t="s">
        <v>1153</v>
      </c>
      <c r="G220" s="1">
        <v>43803</v>
      </c>
      <c r="H220" t="s">
        <v>1154</v>
      </c>
      <c r="K220" t="b">
        <f t="shared" si="120"/>
        <v>0</v>
      </c>
      <c r="L220" s="48">
        <f>14/1.2</f>
        <v>11.666666666666668</v>
      </c>
      <c r="M220" s="72">
        <v>1</v>
      </c>
      <c r="N220">
        <v>20</v>
      </c>
      <c r="O220" s="31">
        <f t="shared" si="121"/>
        <v>2.3333333333333339</v>
      </c>
      <c r="P220" s="31">
        <f t="shared" si="122"/>
        <v>2.3333333333333339</v>
      </c>
      <c r="Q220" s="33">
        <f t="shared" si="123"/>
        <v>11.666666666666668</v>
      </c>
      <c r="R220" s="29">
        <f t="shared" si="124"/>
        <v>14.000000000000002</v>
      </c>
      <c r="S220" s="29">
        <f t="shared" si="125"/>
        <v>14.000000000000002</v>
      </c>
      <c r="T220" s="35">
        <f t="shared" si="107"/>
        <v>43876</v>
      </c>
      <c r="U220" s="27"/>
      <c r="V220" s="27"/>
      <c r="W220" s="58">
        <f>IF(K220=TRUE,Q220/J220,Q220)</f>
        <v>11.666666666666668</v>
      </c>
      <c r="X220" s="31">
        <f t="shared" si="126"/>
        <v>0</v>
      </c>
      <c r="Y220" t="b">
        <f t="shared" si="127"/>
        <v>0</v>
      </c>
      <c r="Z220" s="78">
        <f t="shared" si="119"/>
        <v>-11.666666666666668</v>
      </c>
    </row>
    <row r="221" spans="1:26" x14ac:dyDescent="0.25">
      <c r="A221" s="53">
        <v>2019</v>
      </c>
      <c r="B221" s="53">
        <v>220</v>
      </c>
      <c r="C221" s="71" t="s">
        <v>105</v>
      </c>
      <c r="D221" t="s">
        <v>689</v>
      </c>
      <c r="E221" s="9" t="s">
        <v>1193</v>
      </c>
      <c r="G221" s="1">
        <v>43804</v>
      </c>
      <c r="H221" t="s">
        <v>974</v>
      </c>
      <c r="K221" t="b">
        <f t="shared" si="120"/>
        <v>0</v>
      </c>
      <c r="L221" s="48">
        <v>8.23</v>
      </c>
      <c r="M221" s="72">
        <v>1</v>
      </c>
      <c r="N221">
        <v>20</v>
      </c>
      <c r="O221" s="31">
        <f t="shared" si="121"/>
        <v>1.6460000000000001</v>
      </c>
      <c r="P221" s="31">
        <f t="shared" si="122"/>
        <v>1.6460000000000001</v>
      </c>
      <c r="Q221" s="33">
        <f t="shared" si="123"/>
        <v>8.23</v>
      </c>
      <c r="R221" s="29">
        <f t="shared" si="124"/>
        <v>9.8760000000000012</v>
      </c>
      <c r="S221" s="29">
        <f t="shared" si="125"/>
        <v>9.8760000000000012</v>
      </c>
      <c r="T221" s="35">
        <f t="shared" si="107"/>
        <v>43876</v>
      </c>
      <c r="U221" s="27"/>
      <c r="V221" s="27"/>
      <c r="W221" s="58">
        <f>IF(K221=TRUE,Q221/I221,Q221)</f>
        <v>8.23</v>
      </c>
      <c r="X221" s="31">
        <f t="shared" si="126"/>
        <v>0</v>
      </c>
      <c r="Y221" t="b">
        <f t="shared" si="127"/>
        <v>0</v>
      </c>
      <c r="Z221" s="78">
        <f t="shared" si="119"/>
        <v>-8.23</v>
      </c>
    </row>
    <row r="222" spans="1:26" x14ac:dyDescent="0.25">
      <c r="A222" s="53">
        <v>2019</v>
      </c>
      <c r="B222" s="53">
        <v>221</v>
      </c>
      <c r="C222" s="71" t="s">
        <v>105</v>
      </c>
      <c r="D222" t="s">
        <v>689</v>
      </c>
      <c r="E222" s="9" t="s">
        <v>1194</v>
      </c>
      <c r="G222" s="1">
        <v>43805</v>
      </c>
      <c r="H222" t="s">
        <v>974</v>
      </c>
      <c r="K222" t="b">
        <f t="shared" si="120"/>
        <v>0</v>
      </c>
      <c r="L222" s="48">
        <v>3.02</v>
      </c>
      <c r="M222" s="72">
        <v>1</v>
      </c>
      <c r="N222">
        <v>20</v>
      </c>
      <c r="O222" s="31">
        <f t="shared" si="121"/>
        <v>0.60399999999999998</v>
      </c>
      <c r="P222" s="31">
        <f t="shared" si="122"/>
        <v>0.60399999999999998</v>
      </c>
      <c r="Q222" s="33">
        <f t="shared" si="123"/>
        <v>3.02</v>
      </c>
      <c r="R222" s="29">
        <f t="shared" si="124"/>
        <v>3.6240000000000001</v>
      </c>
      <c r="S222" s="29">
        <f t="shared" si="125"/>
        <v>3.6240000000000001</v>
      </c>
      <c r="T222" s="35">
        <f t="shared" si="107"/>
        <v>43876</v>
      </c>
      <c r="U222" s="27"/>
      <c r="V222" s="27"/>
      <c r="W222" s="58">
        <f>IF(K222=TRUE,Q222/I222,Q222)</f>
        <v>3.02</v>
      </c>
      <c r="X222" s="31">
        <f t="shared" si="126"/>
        <v>0</v>
      </c>
      <c r="Y222" t="b">
        <f t="shared" si="127"/>
        <v>0</v>
      </c>
      <c r="Z222" s="78">
        <f t="shared" si="119"/>
        <v>-3.02</v>
      </c>
    </row>
    <row r="223" spans="1:26" x14ac:dyDescent="0.25">
      <c r="A223" s="53">
        <v>2019</v>
      </c>
      <c r="B223" s="53">
        <v>222</v>
      </c>
      <c r="C223" s="71" t="s">
        <v>105</v>
      </c>
      <c r="D223" t="s">
        <v>705</v>
      </c>
      <c r="E223" s="9" t="s">
        <v>1195</v>
      </c>
      <c r="G223" s="1">
        <v>43805</v>
      </c>
      <c r="H223" t="s">
        <v>1128</v>
      </c>
      <c r="K223" t="b">
        <f t="shared" si="120"/>
        <v>0</v>
      </c>
      <c r="L223" s="48">
        <f>43.9/1.2</f>
        <v>36.583333333333336</v>
      </c>
      <c r="M223" s="72">
        <v>1</v>
      </c>
      <c r="N223">
        <v>20</v>
      </c>
      <c r="O223" s="31">
        <f t="shared" si="121"/>
        <v>7.3166666666666673</v>
      </c>
      <c r="P223" s="31">
        <f t="shared" si="122"/>
        <v>7.3166666666666673</v>
      </c>
      <c r="Q223" s="33">
        <f t="shared" si="123"/>
        <v>36.583333333333336</v>
      </c>
      <c r="R223" s="29">
        <f t="shared" si="124"/>
        <v>43.900000000000006</v>
      </c>
      <c r="S223" s="29">
        <f t="shared" si="125"/>
        <v>43.900000000000006</v>
      </c>
      <c r="T223" s="35">
        <f t="shared" si="107"/>
        <v>43876</v>
      </c>
      <c r="U223" s="27"/>
      <c r="V223" s="27"/>
      <c r="W223" s="58">
        <f>IF(K223=TRUE,Q223/I223,Q223)</f>
        <v>36.583333333333336</v>
      </c>
      <c r="X223" s="31">
        <f t="shared" si="126"/>
        <v>0</v>
      </c>
      <c r="Y223" t="b">
        <f t="shared" si="127"/>
        <v>0</v>
      </c>
      <c r="Z223" s="78">
        <f t="shared" si="119"/>
        <v>-36.583333333333336</v>
      </c>
    </row>
    <row r="224" spans="1:26" x14ac:dyDescent="0.25">
      <c r="A224" s="53">
        <v>2019</v>
      </c>
      <c r="B224" s="53">
        <v>223</v>
      </c>
      <c r="C224" s="71" t="s">
        <v>708</v>
      </c>
      <c r="D224" t="s">
        <v>709</v>
      </c>
      <c r="E224" s="9" t="s">
        <v>1196</v>
      </c>
      <c r="G224" s="1">
        <v>43808</v>
      </c>
      <c r="H224" t="s">
        <v>1197</v>
      </c>
      <c r="K224" t="b">
        <f t="shared" si="120"/>
        <v>0</v>
      </c>
      <c r="L224" s="48">
        <v>265.32</v>
      </c>
      <c r="M224" s="72">
        <v>1</v>
      </c>
      <c r="N224">
        <v>20</v>
      </c>
      <c r="O224" s="31">
        <f t="shared" si="121"/>
        <v>53.063999999999993</v>
      </c>
      <c r="P224" s="31">
        <f t="shared" si="122"/>
        <v>53.063999999999993</v>
      </c>
      <c r="Q224" s="33">
        <f t="shared" si="123"/>
        <v>265.32</v>
      </c>
      <c r="R224" s="29">
        <f t="shared" si="124"/>
        <v>318.38400000000001</v>
      </c>
      <c r="S224" s="29">
        <f t="shared" si="125"/>
        <v>318.38400000000001</v>
      </c>
      <c r="T224" s="35">
        <f t="shared" si="107"/>
        <v>43876</v>
      </c>
      <c r="U224" s="27"/>
      <c r="V224" s="27"/>
      <c r="W224" s="58">
        <f>IF(K224=TRUE,Q224/I224,Q224)</f>
        <v>265.32</v>
      </c>
      <c r="X224" s="31">
        <f t="shared" si="126"/>
        <v>0</v>
      </c>
      <c r="Y224" t="b">
        <f t="shared" si="127"/>
        <v>0</v>
      </c>
      <c r="Z224" s="78">
        <f t="shared" si="119"/>
        <v>265.32</v>
      </c>
    </row>
    <row r="225" spans="1:26" x14ac:dyDescent="0.25">
      <c r="A225" s="53">
        <v>2019</v>
      </c>
      <c r="B225" s="53">
        <v>224</v>
      </c>
      <c r="C225" s="71" t="s">
        <v>105</v>
      </c>
      <c r="D225" t="s">
        <v>689</v>
      </c>
      <c r="E225" s="9" t="s">
        <v>1198</v>
      </c>
      <c r="G225" s="1">
        <v>43810</v>
      </c>
      <c r="H225" t="s">
        <v>974</v>
      </c>
      <c r="K225" t="b">
        <f t="shared" si="120"/>
        <v>0</v>
      </c>
      <c r="L225" s="48">
        <v>10.029999999999999</v>
      </c>
      <c r="M225" s="72">
        <v>1</v>
      </c>
      <c r="N225">
        <v>20</v>
      </c>
      <c r="O225" s="31">
        <f t="shared" si="121"/>
        <v>2.0059999999999998</v>
      </c>
      <c r="P225" s="31">
        <f t="shared" si="122"/>
        <v>2.0059999999999998</v>
      </c>
      <c r="Q225" s="33">
        <f t="shared" si="123"/>
        <v>10.029999999999999</v>
      </c>
      <c r="R225" s="29">
        <f t="shared" si="124"/>
        <v>12.036</v>
      </c>
      <c r="S225" s="29">
        <f t="shared" si="125"/>
        <v>12.036</v>
      </c>
      <c r="T225" s="35">
        <f t="shared" si="107"/>
        <v>43876</v>
      </c>
      <c r="U225" s="27"/>
      <c r="V225" s="27"/>
      <c r="W225" s="58">
        <f>IF(K225=TRUE,Q225/I225,Q225)</f>
        <v>10.029999999999999</v>
      </c>
      <c r="X225" s="31">
        <f t="shared" si="126"/>
        <v>0</v>
      </c>
      <c r="Y225" t="b">
        <f t="shared" si="127"/>
        <v>0</v>
      </c>
      <c r="Z225" s="78">
        <f t="shared" si="119"/>
        <v>-10.029999999999999</v>
      </c>
    </row>
    <row r="226" spans="1:26" x14ac:dyDescent="0.25">
      <c r="A226" s="53">
        <v>2019</v>
      </c>
      <c r="B226" s="53">
        <v>225</v>
      </c>
      <c r="C226" s="71" t="s">
        <v>105</v>
      </c>
      <c r="D226" t="s">
        <v>703</v>
      </c>
      <c r="E226" s="9" t="s">
        <v>1199</v>
      </c>
      <c r="G226" s="1">
        <v>43810</v>
      </c>
      <c r="H226" t="s">
        <v>1148</v>
      </c>
      <c r="K226" t="b">
        <f t="shared" si="120"/>
        <v>0</v>
      </c>
      <c r="L226" s="109">
        <f>27.82+1.04</f>
        <v>28.86</v>
      </c>
      <c r="M226" s="72">
        <f>2/3</f>
        <v>0.66666666666666663</v>
      </c>
      <c r="N226">
        <v>20</v>
      </c>
      <c r="O226" s="31">
        <f t="shared" si="121"/>
        <v>5.7720000000000002</v>
      </c>
      <c r="P226" s="31">
        <f t="shared" si="122"/>
        <v>3.8479999999999999</v>
      </c>
      <c r="Q226" s="33">
        <f t="shared" si="123"/>
        <v>19.239999999999998</v>
      </c>
      <c r="R226" s="29">
        <f t="shared" si="124"/>
        <v>34.631999999999998</v>
      </c>
      <c r="S226" s="29">
        <f t="shared" si="125"/>
        <v>23.087999999999997</v>
      </c>
      <c r="T226" s="35">
        <f t="shared" si="107"/>
        <v>43876</v>
      </c>
      <c r="U226" s="27"/>
      <c r="V226" s="27"/>
      <c r="W226" s="58">
        <f>IF(K226=TRUE,Q226/J226,Q226)</f>
        <v>19.239999999999998</v>
      </c>
      <c r="X226" s="31">
        <f t="shared" si="126"/>
        <v>0</v>
      </c>
      <c r="Y226" t="b">
        <f t="shared" si="127"/>
        <v>0</v>
      </c>
      <c r="Z226" s="78">
        <f t="shared" si="119"/>
        <v>-19.239999999999998</v>
      </c>
    </row>
    <row r="227" spans="1:26" x14ac:dyDescent="0.25">
      <c r="A227" s="53">
        <v>2019</v>
      </c>
      <c r="B227" s="53">
        <v>226</v>
      </c>
      <c r="C227" s="71" t="s">
        <v>105</v>
      </c>
      <c r="D227" t="s">
        <v>705</v>
      </c>
      <c r="E227" s="9" t="s">
        <v>1200</v>
      </c>
      <c r="G227" s="1">
        <v>43811</v>
      </c>
      <c r="H227" t="s">
        <v>1201</v>
      </c>
      <c r="K227" t="b">
        <f t="shared" si="120"/>
        <v>0</v>
      </c>
      <c r="L227" s="48">
        <v>49.42</v>
      </c>
      <c r="M227" s="72">
        <v>1</v>
      </c>
      <c r="N227">
        <v>0</v>
      </c>
      <c r="O227" s="31">
        <f t="shared" si="121"/>
        <v>0</v>
      </c>
      <c r="P227" s="31">
        <f t="shared" si="122"/>
        <v>0</v>
      </c>
      <c r="Q227" s="33">
        <f t="shared" si="123"/>
        <v>49.42</v>
      </c>
      <c r="R227" s="29">
        <f t="shared" si="124"/>
        <v>49.42</v>
      </c>
      <c r="S227" s="29">
        <f t="shared" si="125"/>
        <v>49.42</v>
      </c>
      <c r="T227" s="35">
        <f t="shared" si="107"/>
        <v>43876</v>
      </c>
      <c r="U227" s="27"/>
      <c r="V227" s="27">
        <v>20</v>
      </c>
      <c r="W227" s="58">
        <f>IF(K227=TRUE,Q227/J227,Q227)</f>
        <v>49.42</v>
      </c>
      <c r="X227" s="31">
        <f t="shared" si="126"/>
        <v>9.8840000000000003</v>
      </c>
      <c r="Y227" t="b">
        <f t="shared" si="127"/>
        <v>0</v>
      </c>
      <c r="Z227" s="78">
        <f t="shared" si="119"/>
        <v>-49.42</v>
      </c>
    </row>
    <row r="228" spans="1:26" x14ac:dyDescent="0.25">
      <c r="A228" s="53">
        <v>2019</v>
      </c>
      <c r="B228" s="53">
        <v>227</v>
      </c>
      <c r="C228" s="71" t="s">
        <v>105</v>
      </c>
      <c r="D228" t="s">
        <v>689</v>
      </c>
      <c r="E228" s="9" t="s">
        <v>1202</v>
      </c>
      <c r="G228" s="1">
        <v>43811</v>
      </c>
      <c r="H228" t="s">
        <v>974</v>
      </c>
      <c r="K228" t="b">
        <f t="shared" si="120"/>
        <v>0</v>
      </c>
      <c r="L228" s="48">
        <f>S228/1.2</f>
        <v>2.5833333333333335</v>
      </c>
      <c r="M228" s="72">
        <v>1</v>
      </c>
      <c r="N228">
        <v>20</v>
      </c>
      <c r="O228" s="31">
        <f t="shared" si="121"/>
        <v>0.51666666666666672</v>
      </c>
      <c r="P228" s="31">
        <f t="shared" si="122"/>
        <v>0.51666666666666672</v>
      </c>
      <c r="Q228" s="33">
        <f t="shared" si="123"/>
        <v>2.5833333333333335</v>
      </c>
      <c r="R228" s="29">
        <f t="shared" si="124"/>
        <v>3.1</v>
      </c>
      <c r="S228" s="29">
        <v>3.1</v>
      </c>
      <c r="T228" s="35">
        <f t="shared" si="107"/>
        <v>43876</v>
      </c>
      <c r="U228" s="27"/>
      <c r="V228" s="27"/>
      <c r="W228" s="58">
        <f>IF(K228=TRUE,Q228/I228,Q228)</f>
        <v>2.5833333333333335</v>
      </c>
      <c r="X228" s="31">
        <f t="shared" si="126"/>
        <v>0</v>
      </c>
      <c r="Y228" t="b">
        <f t="shared" si="127"/>
        <v>0</v>
      </c>
      <c r="Z228" s="78">
        <f t="shared" si="119"/>
        <v>-2.5833333333333335</v>
      </c>
    </row>
    <row r="229" spans="1:26" x14ac:dyDescent="0.25">
      <c r="A229" s="53">
        <v>2019</v>
      </c>
      <c r="B229" s="53">
        <v>228</v>
      </c>
      <c r="C229" s="71" t="s">
        <v>105</v>
      </c>
      <c r="D229" t="s">
        <v>689</v>
      </c>
      <c r="E229" s="9" t="s">
        <v>1203</v>
      </c>
      <c r="G229" s="1">
        <v>43812</v>
      </c>
      <c r="H229" t="s">
        <v>974</v>
      </c>
      <c r="K229" t="b">
        <f t="shared" si="120"/>
        <v>0</v>
      </c>
      <c r="L229" s="48">
        <v>9</v>
      </c>
      <c r="M229" s="72">
        <v>1</v>
      </c>
      <c r="N229">
        <v>20</v>
      </c>
      <c r="O229" s="31">
        <f t="shared" si="121"/>
        <v>1.8</v>
      </c>
      <c r="P229" s="31">
        <f t="shared" si="122"/>
        <v>1.8</v>
      </c>
      <c r="Q229" s="33">
        <f t="shared" si="123"/>
        <v>9</v>
      </c>
      <c r="R229" s="29">
        <f t="shared" si="124"/>
        <v>10.8</v>
      </c>
      <c r="S229" s="29">
        <f>Q229+P229</f>
        <v>10.8</v>
      </c>
      <c r="T229" s="35">
        <f t="shared" si="107"/>
        <v>43876</v>
      </c>
      <c r="U229" s="27"/>
      <c r="V229" s="27"/>
      <c r="W229" s="58">
        <f>IF(K229=TRUE,Q229/I229,Q229)</f>
        <v>9</v>
      </c>
      <c r="X229" s="31">
        <f t="shared" si="126"/>
        <v>0</v>
      </c>
      <c r="Y229" t="b">
        <f t="shared" si="127"/>
        <v>0</v>
      </c>
      <c r="Z229" s="78">
        <f t="shared" si="119"/>
        <v>-9</v>
      </c>
    </row>
    <row r="230" spans="1:26" x14ac:dyDescent="0.25">
      <c r="A230" s="53">
        <v>2019</v>
      </c>
      <c r="B230" s="53">
        <v>229</v>
      </c>
      <c r="C230" s="71" t="s">
        <v>105</v>
      </c>
      <c r="D230" t="s">
        <v>689</v>
      </c>
      <c r="E230" s="9" t="s">
        <v>1204</v>
      </c>
      <c r="G230" s="1">
        <v>43815</v>
      </c>
      <c r="H230" t="s">
        <v>974</v>
      </c>
      <c r="K230" t="b">
        <f t="shared" si="120"/>
        <v>0</v>
      </c>
      <c r="L230" s="48">
        <v>4.5</v>
      </c>
      <c r="M230" s="72">
        <v>1</v>
      </c>
      <c r="N230">
        <v>20</v>
      </c>
      <c r="O230" s="31">
        <f t="shared" si="121"/>
        <v>0.9</v>
      </c>
      <c r="P230" s="31">
        <f t="shared" si="122"/>
        <v>0.9</v>
      </c>
      <c r="Q230" s="33">
        <f t="shared" si="123"/>
        <v>4.5</v>
      </c>
      <c r="R230" s="29">
        <f t="shared" si="124"/>
        <v>5.4</v>
      </c>
      <c r="S230" s="29">
        <f>Q230+P230</f>
        <v>5.4</v>
      </c>
      <c r="T230" s="35">
        <f t="shared" si="107"/>
        <v>43876</v>
      </c>
      <c r="U230" s="27"/>
      <c r="V230" s="27"/>
      <c r="W230" s="58">
        <f>IF(K230=TRUE,Q230/I230,Q230)</f>
        <v>4.5</v>
      </c>
      <c r="X230" s="31">
        <f t="shared" si="126"/>
        <v>0</v>
      </c>
      <c r="Y230" t="b">
        <f t="shared" si="127"/>
        <v>0</v>
      </c>
      <c r="Z230" s="78">
        <f t="shared" si="119"/>
        <v>-4.5</v>
      </c>
    </row>
    <row r="231" spans="1:26" x14ac:dyDescent="0.25">
      <c r="A231" s="53">
        <v>2019</v>
      </c>
      <c r="B231" s="53">
        <v>230</v>
      </c>
      <c r="C231" s="71" t="s">
        <v>105</v>
      </c>
      <c r="D231" t="s">
        <v>705</v>
      </c>
      <c r="E231" s="9" t="s">
        <v>1207</v>
      </c>
      <c r="G231" s="1">
        <v>43815</v>
      </c>
      <c r="H231" t="s">
        <v>929</v>
      </c>
      <c r="K231" t="b">
        <f t="shared" si="120"/>
        <v>0</v>
      </c>
      <c r="L231" s="48">
        <v>66.67</v>
      </c>
      <c r="M231" s="72">
        <f>Arbeitszimmer!$B$3</f>
        <v>0.27320378419841473</v>
      </c>
      <c r="N231">
        <v>20</v>
      </c>
      <c r="O231" s="31">
        <f t="shared" si="121"/>
        <v>13.334000000000001</v>
      </c>
      <c r="P231" s="31">
        <f t="shared" si="122"/>
        <v>3.6428992585016626</v>
      </c>
      <c r="Q231" s="33">
        <f t="shared" si="123"/>
        <v>18.214496292508311</v>
      </c>
      <c r="R231" s="29">
        <f t="shared" si="124"/>
        <v>80.004000000000005</v>
      </c>
      <c r="S231" s="29">
        <f>Q231+P231</f>
        <v>21.857395551009972</v>
      </c>
      <c r="T231" s="35">
        <f t="shared" si="107"/>
        <v>43876</v>
      </c>
      <c r="U231" s="27"/>
      <c r="V231" s="27"/>
      <c r="W231" s="58">
        <f>IF(K231=TRUE,Q231/J231,Q231)</f>
        <v>18.214496292508311</v>
      </c>
      <c r="X231" s="31">
        <f t="shared" si="126"/>
        <v>0</v>
      </c>
      <c r="Y231" t="b">
        <f t="shared" si="127"/>
        <v>0</v>
      </c>
      <c r="Z231" s="78">
        <f t="shared" si="119"/>
        <v>-18.214496292508311</v>
      </c>
    </row>
    <row r="232" spans="1:26" x14ac:dyDescent="0.25">
      <c r="A232" s="53">
        <v>2019</v>
      </c>
      <c r="B232" s="53">
        <v>231</v>
      </c>
      <c r="C232" s="71" t="s">
        <v>708</v>
      </c>
      <c r="D232" t="s">
        <v>709</v>
      </c>
      <c r="E232" s="9" t="s">
        <v>1208</v>
      </c>
      <c r="G232" s="1">
        <v>43817</v>
      </c>
      <c r="H232" t="s">
        <v>1127</v>
      </c>
      <c r="K232" t="b">
        <f t="shared" si="120"/>
        <v>0</v>
      </c>
      <c r="L232" s="48">
        <f>S232/1.2</f>
        <v>900</v>
      </c>
      <c r="M232" s="72">
        <v>1</v>
      </c>
      <c r="N232">
        <v>20</v>
      </c>
      <c r="O232" s="31">
        <f t="shared" si="121"/>
        <v>180</v>
      </c>
      <c r="P232" s="31">
        <f t="shared" si="122"/>
        <v>180</v>
      </c>
      <c r="Q232" s="33">
        <f t="shared" si="123"/>
        <v>900</v>
      </c>
      <c r="R232" s="29">
        <f t="shared" si="124"/>
        <v>1080</v>
      </c>
      <c r="S232" s="29">
        <v>1080</v>
      </c>
      <c r="T232" s="35">
        <f t="shared" si="107"/>
        <v>43876</v>
      </c>
      <c r="U232" s="27"/>
      <c r="V232" s="27"/>
      <c r="W232" s="58">
        <f>IF(K232=TRUE,Q232/I232,Q232)</f>
        <v>900</v>
      </c>
      <c r="X232" s="31">
        <f t="shared" si="126"/>
        <v>0</v>
      </c>
      <c r="Y232" t="b">
        <f t="shared" si="127"/>
        <v>0</v>
      </c>
      <c r="Z232" s="78">
        <f t="shared" si="119"/>
        <v>900</v>
      </c>
    </row>
    <row r="233" spans="1:26" x14ac:dyDescent="0.25">
      <c r="A233" s="53">
        <v>2019</v>
      </c>
      <c r="B233" s="53">
        <v>232</v>
      </c>
      <c r="C233" s="71" t="s">
        <v>105</v>
      </c>
      <c r="D233" t="s">
        <v>705</v>
      </c>
      <c r="E233" s="9" t="s">
        <v>1209</v>
      </c>
      <c r="G233" s="1">
        <v>43818</v>
      </c>
      <c r="H233" t="s">
        <v>1110</v>
      </c>
      <c r="K233" t="b">
        <f t="shared" si="120"/>
        <v>0</v>
      </c>
      <c r="L233" s="48">
        <f>S233/1.2</f>
        <v>28.44166666666667</v>
      </c>
      <c r="M233" s="72">
        <v>1</v>
      </c>
      <c r="N233">
        <v>20</v>
      </c>
      <c r="O233" s="31">
        <f t="shared" si="121"/>
        <v>5.6883333333333335</v>
      </c>
      <c r="P233" s="31">
        <f t="shared" si="122"/>
        <v>5.6883333333333335</v>
      </c>
      <c r="Q233" s="33">
        <f t="shared" si="123"/>
        <v>28.44166666666667</v>
      </c>
      <c r="R233" s="29">
        <f t="shared" si="124"/>
        <v>34.130000000000003</v>
      </c>
      <c r="S233" s="29">
        <v>34.130000000000003</v>
      </c>
      <c r="T233" s="35">
        <f t="shared" si="107"/>
        <v>43876</v>
      </c>
      <c r="U233" s="27"/>
      <c r="V233" s="27"/>
      <c r="W233" s="58">
        <f>IF(K233=TRUE,Q233/J233,Q233)</f>
        <v>28.44166666666667</v>
      </c>
      <c r="X233" s="31">
        <f t="shared" si="126"/>
        <v>0</v>
      </c>
      <c r="Y233" t="b">
        <f t="shared" si="127"/>
        <v>0</v>
      </c>
      <c r="Z233" s="78">
        <f t="shared" si="119"/>
        <v>-28.44166666666667</v>
      </c>
    </row>
    <row r="234" spans="1:26" x14ac:dyDescent="0.25">
      <c r="A234" s="53">
        <v>2019</v>
      </c>
      <c r="B234" s="53">
        <v>233</v>
      </c>
      <c r="C234" s="71" t="s">
        <v>105</v>
      </c>
      <c r="D234" t="s">
        <v>689</v>
      </c>
      <c r="E234" s="9" t="s">
        <v>1210</v>
      </c>
      <c r="G234" s="1">
        <v>43819</v>
      </c>
      <c r="H234" t="s">
        <v>974</v>
      </c>
      <c r="K234" t="b">
        <f t="shared" si="120"/>
        <v>0</v>
      </c>
      <c r="L234" s="48">
        <v>2.3199999999999998</v>
      </c>
      <c r="M234" s="72">
        <v>1</v>
      </c>
      <c r="N234">
        <v>20</v>
      </c>
      <c r="O234" s="31">
        <f t="shared" si="121"/>
        <v>0.46399999999999997</v>
      </c>
      <c r="P234" s="31">
        <f t="shared" si="122"/>
        <v>0.46399999999999997</v>
      </c>
      <c r="Q234" s="33">
        <f t="shared" si="123"/>
        <v>2.3199999999999998</v>
      </c>
      <c r="R234" s="29">
        <f t="shared" si="124"/>
        <v>2.7839999999999998</v>
      </c>
      <c r="S234" s="29">
        <f>Q234+P234</f>
        <v>2.7839999999999998</v>
      </c>
      <c r="T234" s="35">
        <f t="shared" si="107"/>
        <v>43876</v>
      </c>
      <c r="U234" s="27"/>
      <c r="V234" s="27"/>
      <c r="W234" s="58">
        <f>IF(K234=TRUE,Q234/I234,Q234)</f>
        <v>2.3199999999999998</v>
      </c>
      <c r="X234" s="31">
        <f t="shared" si="126"/>
        <v>0</v>
      </c>
      <c r="Y234" t="b">
        <f t="shared" si="127"/>
        <v>0</v>
      </c>
      <c r="Z234" s="78">
        <f t="shared" si="119"/>
        <v>-2.3199999999999998</v>
      </c>
    </row>
    <row r="235" spans="1:26" x14ac:dyDescent="0.25">
      <c r="A235" s="53">
        <v>2019</v>
      </c>
      <c r="B235" s="53">
        <v>234</v>
      </c>
      <c r="C235" s="71" t="s">
        <v>105</v>
      </c>
      <c r="D235" t="s">
        <v>689</v>
      </c>
      <c r="E235" s="9" t="s">
        <v>1211</v>
      </c>
      <c r="G235" s="1">
        <v>43819</v>
      </c>
      <c r="H235" t="s">
        <v>974</v>
      </c>
      <c r="K235" t="b">
        <f t="shared" si="120"/>
        <v>0</v>
      </c>
      <c r="L235" s="48">
        <v>6.07</v>
      </c>
      <c r="M235" s="72">
        <v>1</v>
      </c>
      <c r="N235">
        <v>20</v>
      </c>
      <c r="O235" s="31">
        <f t="shared" si="121"/>
        <v>1.214</v>
      </c>
      <c r="P235" s="31">
        <f t="shared" si="122"/>
        <v>1.214</v>
      </c>
      <c r="Q235" s="33">
        <f t="shared" si="123"/>
        <v>6.07</v>
      </c>
      <c r="R235" s="29">
        <f t="shared" si="124"/>
        <v>7.2840000000000007</v>
      </c>
      <c r="S235" s="29">
        <f>Q235+P235</f>
        <v>7.2840000000000007</v>
      </c>
      <c r="T235" s="35">
        <f t="shared" si="107"/>
        <v>43876</v>
      </c>
      <c r="U235" s="27"/>
      <c r="V235" s="27"/>
      <c r="W235" s="58">
        <f>IF(K235=TRUE,Q235/I235,Q235)</f>
        <v>6.07</v>
      </c>
      <c r="X235" s="31">
        <f t="shared" si="126"/>
        <v>0</v>
      </c>
      <c r="Y235" t="b">
        <f t="shared" si="127"/>
        <v>0</v>
      </c>
      <c r="Z235" s="78">
        <f t="shared" si="119"/>
        <v>-6.07</v>
      </c>
    </row>
    <row r="236" spans="1:26" x14ac:dyDescent="0.25">
      <c r="A236" s="53">
        <v>2019</v>
      </c>
      <c r="B236" s="53">
        <v>235</v>
      </c>
      <c r="C236" s="71" t="s">
        <v>105</v>
      </c>
      <c r="D236" t="s">
        <v>705</v>
      </c>
      <c r="E236" s="9" t="s">
        <v>1212</v>
      </c>
      <c r="G236" s="1">
        <v>43822</v>
      </c>
      <c r="H236" t="s">
        <v>1154</v>
      </c>
      <c r="K236" t="b">
        <f t="shared" si="120"/>
        <v>0</v>
      </c>
      <c r="L236" s="48">
        <f>S236/1.2</f>
        <v>20.650000000000002</v>
      </c>
      <c r="M236" s="72">
        <v>1</v>
      </c>
      <c r="N236">
        <v>20</v>
      </c>
      <c r="O236" s="31">
        <f t="shared" si="121"/>
        <v>4.1300000000000008</v>
      </c>
      <c r="P236" s="31">
        <f t="shared" si="122"/>
        <v>4.1300000000000008</v>
      </c>
      <c r="Q236" s="33">
        <f t="shared" si="123"/>
        <v>20.650000000000002</v>
      </c>
      <c r="R236" s="29">
        <f t="shared" si="124"/>
        <v>24.78</v>
      </c>
      <c r="S236" s="29">
        <v>24.78</v>
      </c>
      <c r="T236" s="35">
        <f t="shared" si="107"/>
        <v>43876</v>
      </c>
      <c r="U236" s="27"/>
      <c r="V236" s="27"/>
      <c r="W236" s="58">
        <f>IF(K236=TRUE,Q236/J236,Q236)</f>
        <v>20.650000000000002</v>
      </c>
      <c r="X236" s="31">
        <f t="shared" si="126"/>
        <v>0</v>
      </c>
      <c r="Y236" t="b">
        <f t="shared" si="127"/>
        <v>0</v>
      </c>
      <c r="Z236" s="78">
        <f t="shared" si="119"/>
        <v>-20.650000000000002</v>
      </c>
    </row>
    <row r="237" spans="1:26" x14ac:dyDescent="0.25">
      <c r="A237" s="53">
        <v>2019</v>
      </c>
      <c r="B237" s="53">
        <v>236</v>
      </c>
      <c r="C237" s="71" t="s">
        <v>105</v>
      </c>
      <c r="D237" t="s">
        <v>689</v>
      </c>
      <c r="E237" s="9" t="s">
        <v>1213</v>
      </c>
      <c r="G237" s="1">
        <v>43822</v>
      </c>
      <c r="H237" t="s">
        <v>974</v>
      </c>
      <c r="K237" t="b">
        <f t="shared" si="120"/>
        <v>0</v>
      </c>
      <c r="L237" s="48">
        <v>2.0699999999999998</v>
      </c>
      <c r="M237" s="72">
        <v>1</v>
      </c>
      <c r="N237">
        <v>20</v>
      </c>
      <c r="O237" s="31">
        <f t="shared" si="121"/>
        <v>0.41399999999999998</v>
      </c>
      <c r="P237" s="31">
        <f t="shared" si="122"/>
        <v>0.41399999999999998</v>
      </c>
      <c r="Q237" s="33">
        <f t="shared" si="123"/>
        <v>2.0699999999999998</v>
      </c>
      <c r="R237" s="29">
        <f t="shared" si="124"/>
        <v>2.484</v>
      </c>
      <c r="S237" s="29">
        <f>Q237+P237</f>
        <v>2.484</v>
      </c>
      <c r="T237" s="35">
        <f t="shared" si="107"/>
        <v>43876</v>
      </c>
      <c r="U237" s="27"/>
      <c r="V237" s="27"/>
      <c r="W237" s="58">
        <f>IF(K237=TRUE,Q237/I237,Q237)</f>
        <v>2.0699999999999998</v>
      </c>
      <c r="X237" s="31">
        <f t="shared" si="126"/>
        <v>0</v>
      </c>
      <c r="Y237" t="b">
        <f t="shared" si="127"/>
        <v>0</v>
      </c>
      <c r="Z237" s="78">
        <f t="shared" si="119"/>
        <v>-2.0699999999999998</v>
      </c>
    </row>
    <row r="238" spans="1:26" x14ac:dyDescent="0.25">
      <c r="A238" s="53">
        <v>2019</v>
      </c>
      <c r="B238" s="53">
        <v>237</v>
      </c>
      <c r="C238" s="71" t="s">
        <v>105</v>
      </c>
      <c r="D238" t="s">
        <v>691</v>
      </c>
      <c r="E238" s="9" t="s">
        <v>950</v>
      </c>
      <c r="G238" s="1">
        <v>43826</v>
      </c>
      <c r="H238" t="s">
        <v>951</v>
      </c>
      <c r="K238" t="b">
        <f t="shared" si="120"/>
        <v>0</v>
      </c>
      <c r="L238" s="48">
        <v>763.44</v>
      </c>
      <c r="M238" s="72">
        <f>Arbeitszimmer!$B$3</f>
        <v>0.27320378419841473</v>
      </c>
      <c r="N238">
        <v>10</v>
      </c>
      <c r="O238" s="31">
        <f t="shared" si="121"/>
        <v>76.344000000000008</v>
      </c>
      <c r="P238" s="31">
        <f t="shared" si="122"/>
        <v>20.857469700843776</v>
      </c>
      <c r="Q238" s="33">
        <f t="shared" si="123"/>
        <v>208.57469700843777</v>
      </c>
      <c r="R238" s="29">
        <f t="shared" si="124"/>
        <v>839.78400000000011</v>
      </c>
      <c r="S238" s="29">
        <f>Q238+P238</f>
        <v>229.43216670928155</v>
      </c>
      <c r="T238" s="35">
        <f t="shared" si="107"/>
        <v>43876</v>
      </c>
      <c r="U238" s="27"/>
      <c r="V238" s="27"/>
      <c r="W238" s="58">
        <f>IF(K238=TRUE,Q238/J238,Q238)</f>
        <v>208.57469700843777</v>
      </c>
      <c r="X238" s="31">
        <f t="shared" si="126"/>
        <v>0</v>
      </c>
      <c r="Y238" t="b">
        <f t="shared" si="127"/>
        <v>0</v>
      </c>
      <c r="Z238" s="78">
        <f t="shared" si="119"/>
        <v>-208.57469700843777</v>
      </c>
    </row>
    <row r="239" spans="1:26" x14ac:dyDescent="0.25">
      <c r="A239" s="53">
        <v>2019</v>
      </c>
      <c r="B239" s="53">
        <v>238</v>
      </c>
      <c r="C239" s="71" t="s">
        <v>708</v>
      </c>
      <c r="D239" t="s">
        <v>709</v>
      </c>
      <c r="E239" s="9" t="s">
        <v>1214</v>
      </c>
      <c r="G239" s="1">
        <v>43829</v>
      </c>
      <c r="H239" t="s">
        <v>1127</v>
      </c>
      <c r="K239" t="b">
        <f t="shared" si="120"/>
        <v>0</v>
      </c>
      <c r="L239" s="48">
        <v>2800</v>
      </c>
      <c r="M239" s="72">
        <v>1</v>
      </c>
      <c r="N239">
        <v>20</v>
      </c>
      <c r="O239" s="31">
        <f t="shared" si="121"/>
        <v>560</v>
      </c>
      <c r="P239" s="31">
        <f t="shared" si="122"/>
        <v>560</v>
      </c>
      <c r="Q239" s="33">
        <f t="shared" si="123"/>
        <v>2800</v>
      </c>
      <c r="R239" s="29">
        <f t="shared" si="124"/>
        <v>3360</v>
      </c>
      <c r="S239" s="29">
        <f>P239+Q239</f>
        <v>3360</v>
      </c>
      <c r="T239" s="35">
        <f t="shared" si="107"/>
        <v>43876</v>
      </c>
      <c r="U239" s="27"/>
      <c r="V239" s="27"/>
      <c r="W239" s="58">
        <f>IF(K239=TRUE,Q239/I239,Q239)</f>
        <v>2800</v>
      </c>
      <c r="X239" s="31">
        <f t="shared" si="126"/>
        <v>0</v>
      </c>
      <c r="Y239" t="b">
        <f t="shared" si="127"/>
        <v>0</v>
      </c>
      <c r="Z239" s="78">
        <f t="shared" si="119"/>
        <v>2800</v>
      </c>
    </row>
    <row r="240" spans="1:26" x14ac:dyDescent="0.25">
      <c r="A240" s="53">
        <v>2020</v>
      </c>
      <c r="B240" s="53">
        <v>1</v>
      </c>
      <c r="C240" s="71" t="s">
        <v>105</v>
      </c>
      <c r="D240" t="s">
        <v>691</v>
      </c>
      <c r="E240" s="9" t="s">
        <v>1226</v>
      </c>
      <c r="G240" s="1">
        <v>43832</v>
      </c>
      <c r="H240" t="s">
        <v>1113</v>
      </c>
      <c r="K240" t="b">
        <v>0</v>
      </c>
      <c r="L240" s="48">
        <v>462.44</v>
      </c>
      <c r="M240" s="72">
        <v>1</v>
      </c>
      <c r="N240">
        <v>20</v>
      </c>
      <c r="O240" s="31">
        <f t="shared" si="121"/>
        <v>92.488</v>
      </c>
      <c r="P240" s="31">
        <f t="shared" si="122"/>
        <v>92.488</v>
      </c>
      <c r="Q240" s="33">
        <f t="shared" si="123"/>
        <v>462.44</v>
      </c>
      <c r="R240" s="29">
        <f t="shared" si="124"/>
        <v>554.928</v>
      </c>
      <c r="S240" s="29">
        <f>Q240+P240</f>
        <v>554.928</v>
      </c>
      <c r="T240" s="35">
        <f t="shared" si="107"/>
        <v>43966</v>
      </c>
      <c r="U240" s="27"/>
      <c r="V240" s="27"/>
      <c r="W240" s="58">
        <f>IF(K240=TRUE,Q240/J240,Q240)</f>
        <v>462.44</v>
      </c>
      <c r="X240" s="31">
        <f t="shared" si="126"/>
        <v>0</v>
      </c>
      <c r="Y240" t="b">
        <f t="shared" si="127"/>
        <v>0</v>
      </c>
      <c r="Z240" s="78">
        <f t="shared" si="119"/>
        <v>-462.44</v>
      </c>
    </row>
    <row r="241" spans="1:26" x14ac:dyDescent="0.25">
      <c r="A241" s="53">
        <v>2020</v>
      </c>
      <c r="B241" s="53">
        <v>2</v>
      </c>
      <c r="C241" s="71" t="s">
        <v>105</v>
      </c>
      <c r="D241" t="s">
        <v>703</v>
      </c>
      <c r="E241" s="9" t="s">
        <v>1215</v>
      </c>
      <c r="G241" s="1">
        <v>43837</v>
      </c>
      <c r="H241" t="s">
        <v>34</v>
      </c>
      <c r="K241" t="b">
        <f>(IF(AND(I241&lt;&gt;"",AND(J241="",ABS(Q241)&gt;400)),TRUE,FALSE))</f>
        <v>0</v>
      </c>
      <c r="L241" s="48">
        <v>15</v>
      </c>
      <c r="M241" s="72">
        <v>1</v>
      </c>
      <c r="N241">
        <v>20</v>
      </c>
      <c r="O241" s="31">
        <f t="shared" si="121"/>
        <v>3</v>
      </c>
      <c r="P241" s="31">
        <f t="shared" si="122"/>
        <v>3</v>
      </c>
      <c r="Q241" s="33">
        <f t="shared" si="123"/>
        <v>15</v>
      </c>
      <c r="R241" s="29">
        <f t="shared" si="124"/>
        <v>18</v>
      </c>
      <c r="S241" s="29">
        <f>Q241+P241</f>
        <v>18</v>
      </c>
      <c r="T241" s="35">
        <f t="shared" si="107"/>
        <v>43966</v>
      </c>
      <c r="U241" s="27"/>
      <c r="V241" s="27"/>
      <c r="W241" s="58">
        <f>IF(K241=TRUE,Q241/I241,Q241)</f>
        <v>15</v>
      </c>
      <c r="X241" s="31">
        <f t="shared" si="126"/>
        <v>0</v>
      </c>
      <c r="Y241" t="b">
        <f t="shared" si="127"/>
        <v>0</v>
      </c>
      <c r="Z241" s="78">
        <f t="shared" si="119"/>
        <v>-15</v>
      </c>
    </row>
    <row r="242" spans="1:26" x14ac:dyDescent="0.25">
      <c r="A242" s="53">
        <v>2020</v>
      </c>
      <c r="B242" s="53">
        <v>3</v>
      </c>
      <c r="C242" s="71" t="s">
        <v>105</v>
      </c>
      <c r="D242" t="s">
        <v>705</v>
      </c>
      <c r="E242" s="9" t="s">
        <v>1216</v>
      </c>
      <c r="G242" s="1">
        <v>43837</v>
      </c>
      <c r="H242" t="s">
        <v>1217</v>
      </c>
      <c r="K242" t="b">
        <v>0</v>
      </c>
      <c r="L242" s="48">
        <v>1794</v>
      </c>
      <c r="M242" s="72">
        <v>1</v>
      </c>
      <c r="N242">
        <v>0</v>
      </c>
      <c r="O242" s="31">
        <f t="shared" si="121"/>
        <v>0</v>
      </c>
      <c r="P242" s="31">
        <f t="shared" si="122"/>
        <v>0</v>
      </c>
      <c r="Q242" s="33">
        <f t="shared" si="123"/>
        <v>1794</v>
      </c>
      <c r="R242" s="29">
        <f t="shared" si="124"/>
        <v>1794</v>
      </c>
      <c r="S242" s="29">
        <f>Q242+P242</f>
        <v>1794</v>
      </c>
      <c r="T242" s="35">
        <f t="shared" si="107"/>
        <v>43966</v>
      </c>
      <c r="U242" s="27"/>
      <c r="V242" s="27"/>
      <c r="W242" s="58">
        <f>IF(K242=TRUE,Q242/I242,Q242)</f>
        <v>1794</v>
      </c>
      <c r="X242" s="31">
        <f t="shared" si="126"/>
        <v>0</v>
      </c>
      <c r="Y242" t="b">
        <f t="shared" si="127"/>
        <v>0</v>
      </c>
      <c r="Z242" s="78">
        <f t="shared" si="119"/>
        <v>-1794</v>
      </c>
    </row>
    <row r="243" spans="1:26" x14ac:dyDescent="0.25">
      <c r="A243" s="53">
        <v>2020</v>
      </c>
      <c r="B243" s="53">
        <v>4</v>
      </c>
      <c r="C243" s="71" t="s">
        <v>708</v>
      </c>
      <c r="D243" t="s">
        <v>709</v>
      </c>
      <c r="E243" s="9" t="s">
        <v>1218</v>
      </c>
      <c r="G243" s="1">
        <v>43838</v>
      </c>
      <c r="H243" t="s">
        <v>1170</v>
      </c>
      <c r="K243" t="b">
        <f>(IF(AND(I243&lt;&gt;"",AND(J243="",ABS(Q243)&gt;400)),TRUE,FALSE))</f>
        <v>0</v>
      </c>
      <c r="L243" s="48">
        <v>756</v>
      </c>
      <c r="M243" s="72">
        <v>1</v>
      </c>
      <c r="N243">
        <v>20</v>
      </c>
      <c r="O243" s="31">
        <f t="shared" si="121"/>
        <v>151.19999999999999</v>
      </c>
      <c r="P243" s="31">
        <f t="shared" si="122"/>
        <v>151.19999999999999</v>
      </c>
      <c r="Q243" s="33">
        <f t="shared" si="123"/>
        <v>756</v>
      </c>
      <c r="R243" s="29">
        <f t="shared" si="124"/>
        <v>907.2</v>
      </c>
      <c r="S243" s="29">
        <f>Q243+P243</f>
        <v>907.2</v>
      </c>
      <c r="T243" s="35">
        <f t="shared" si="107"/>
        <v>43966</v>
      </c>
      <c r="U243" s="27"/>
      <c r="V243" s="27"/>
      <c r="W243" s="58">
        <f>IF(K243=TRUE,Q243/J243,Q243)</f>
        <v>756</v>
      </c>
      <c r="X243" s="31">
        <f t="shared" si="126"/>
        <v>0</v>
      </c>
      <c r="Y243" t="b">
        <f t="shared" si="127"/>
        <v>0</v>
      </c>
      <c r="Z243" s="78">
        <f t="shared" si="119"/>
        <v>756</v>
      </c>
    </row>
    <row r="244" spans="1:26" x14ac:dyDescent="0.25">
      <c r="A244" s="53">
        <v>2020</v>
      </c>
      <c r="B244" s="53">
        <v>5</v>
      </c>
      <c r="C244" s="71" t="s">
        <v>105</v>
      </c>
      <c r="D244" t="s">
        <v>705</v>
      </c>
      <c r="E244" s="9" t="s">
        <v>1225</v>
      </c>
      <c r="G244" s="1">
        <v>43838</v>
      </c>
      <c r="H244" t="s">
        <v>1154</v>
      </c>
      <c r="K244" t="b">
        <f>(IF(AND(I244&lt;&gt;"",AND(J244="",ABS(Q244)&gt;400)),TRUE,FALSE))</f>
        <v>0</v>
      </c>
      <c r="L244" s="48">
        <f>S244/1.2</f>
        <v>2.5</v>
      </c>
      <c r="M244" s="72">
        <v>1</v>
      </c>
      <c r="N244">
        <v>20</v>
      </c>
      <c r="O244" s="31">
        <f t="shared" si="121"/>
        <v>0.5</v>
      </c>
      <c r="P244" s="31">
        <f t="shared" si="122"/>
        <v>0.5</v>
      </c>
      <c r="Q244" s="33">
        <f t="shared" si="123"/>
        <v>2.5</v>
      </c>
      <c r="R244" s="29">
        <f t="shared" si="124"/>
        <v>3</v>
      </c>
      <c r="S244" s="29">
        <v>3</v>
      </c>
      <c r="T244" s="35">
        <f t="shared" si="107"/>
        <v>43966</v>
      </c>
      <c r="U244" s="27"/>
      <c r="V244" s="27"/>
      <c r="W244" s="58">
        <f>IF(K244=TRUE,Q244/J244,Q244)</f>
        <v>2.5</v>
      </c>
      <c r="X244" s="31">
        <f t="shared" si="126"/>
        <v>0</v>
      </c>
      <c r="Y244" t="b">
        <f t="shared" si="127"/>
        <v>0</v>
      </c>
      <c r="Z244" s="78">
        <f t="shared" si="119"/>
        <v>-2.5</v>
      </c>
    </row>
    <row r="245" spans="1:26" x14ac:dyDescent="0.25">
      <c r="A245" s="53">
        <v>2020</v>
      </c>
      <c r="B245" s="53">
        <v>6</v>
      </c>
      <c r="C245" s="71" t="s">
        <v>105</v>
      </c>
      <c r="D245" t="s">
        <v>705</v>
      </c>
      <c r="E245" s="9" t="s">
        <v>1219</v>
      </c>
      <c r="G245" s="1">
        <v>43838</v>
      </c>
      <c r="H245" t="s">
        <v>1128</v>
      </c>
      <c r="K245" t="b">
        <f>(IF(AND(I245&lt;&gt;"",AND(J245="",ABS(Q245)&gt;400)),TRUE,FALSE))</f>
        <v>0</v>
      </c>
      <c r="L245" s="48">
        <f>43.9/1.2</f>
        <v>36.583333333333336</v>
      </c>
      <c r="M245" s="72">
        <v>1</v>
      </c>
      <c r="N245">
        <v>20</v>
      </c>
      <c r="O245" s="31">
        <f t="shared" si="121"/>
        <v>7.3166666666666673</v>
      </c>
      <c r="P245" s="31">
        <f t="shared" si="122"/>
        <v>7.3166666666666673</v>
      </c>
      <c r="Q245" s="33">
        <f t="shared" si="123"/>
        <v>36.583333333333336</v>
      </c>
      <c r="R245" s="29">
        <f t="shared" si="124"/>
        <v>43.900000000000006</v>
      </c>
      <c r="S245" s="29">
        <f t="shared" ref="S245:S263" si="128">Q245+P245</f>
        <v>43.900000000000006</v>
      </c>
      <c r="T245" s="35">
        <f t="shared" ref="T245:T308" si="129">voranmeldefrist_vierteljaehrlich(G245)</f>
        <v>43966</v>
      </c>
      <c r="U245" s="27"/>
      <c r="V245" s="27"/>
      <c r="W245" s="58">
        <f>IF(K245=TRUE,Q245/I245,Q245)</f>
        <v>36.583333333333336</v>
      </c>
      <c r="X245" s="31">
        <f t="shared" si="126"/>
        <v>0</v>
      </c>
      <c r="Y245" t="b">
        <f t="shared" si="127"/>
        <v>0</v>
      </c>
      <c r="Z245" s="78">
        <f t="shared" ref="Z245:Z263" si="130">IF(C245="Einnahmen",Q245,-Q245)</f>
        <v>-36.583333333333336</v>
      </c>
    </row>
    <row r="246" spans="1:26" x14ac:dyDescent="0.25">
      <c r="A246" s="53">
        <v>2020</v>
      </c>
      <c r="B246" s="53">
        <v>7</v>
      </c>
      <c r="C246" s="71" t="s">
        <v>708</v>
      </c>
      <c r="D246" t="s">
        <v>709</v>
      </c>
      <c r="E246" s="9" t="s">
        <v>1220</v>
      </c>
      <c r="G246" s="1">
        <v>43839</v>
      </c>
      <c r="H246" t="s">
        <v>1217</v>
      </c>
      <c r="K246" t="b">
        <v>0</v>
      </c>
      <c r="L246" s="48">
        <v>170</v>
      </c>
      <c r="M246" s="72">
        <v>1</v>
      </c>
      <c r="N246">
        <v>20</v>
      </c>
      <c r="O246" s="31">
        <f t="shared" si="121"/>
        <v>34</v>
      </c>
      <c r="P246" s="31">
        <f t="shared" si="122"/>
        <v>34</v>
      </c>
      <c r="Q246" s="33">
        <f t="shared" si="123"/>
        <v>170</v>
      </c>
      <c r="R246" s="29">
        <f t="shared" si="124"/>
        <v>204</v>
      </c>
      <c r="S246" s="29">
        <f t="shared" si="128"/>
        <v>204</v>
      </c>
      <c r="T246" s="35">
        <f t="shared" si="129"/>
        <v>43966</v>
      </c>
      <c r="U246" s="27"/>
      <c r="V246" s="27"/>
      <c r="W246" s="58">
        <f>IF(K246=TRUE,Q246/I246,Q246)</f>
        <v>170</v>
      </c>
      <c r="X246" s="31">
        <f t="shared" si="126"/>
        <v>0</v>
      </c>
      <c r="Y246" t="b">
        <f t="shared" si="127"/>
        <v>0</v>
      </c>
      <c r="Z246" s="78">
        <f t="shared" si="130"/>
        <v>170</v>
      </c>
    </row>
    <row r="247" spans="1:26" x14ac:dyDescent="0.25">
      <c r="A247" s="53">
        <v>2020</v>
      </c>
      <c r="B247" s="53">
        <v>8</v>
      </c>
      <c r="C247" s="71" t="s">
        <v>708</v>
      </c>
      <c r="D247" t="s">
        <v>709</v>
      </c>
      <c r="E247" s="9" t="s">
        <v>1220</v>
      </c>
      <c r="G247" s="1">
        <v>43839</v>
      </c>
      <c r="H247" t="s">
        <v>1217</v>
      </c>
      <c r="K247" t="b">
        <v>0</v>
      </c>
      <c r="L247" s="48">
        <v>100</v>
      </c>
      <c r="M247" s="72">
        <v>1</v>
      </c>
      <c r="N247">
        <v>20</v>
      </c>
      <c r="O247" s="31">
        <f t="shared" si="121"/>
        <v>20</v>
      </c>
      <c r="P247" s="31">
        <f t="shared" si="122"/>
        <v>20</v>
      </c>
      <c r="Q247" s="33">
        <f t="shared" si="123"/>
        <v>100</v>
      </c>
      <c r="R247" s="29">
        <f t="shared" si="124"/>
        <v>120</v>
      </c>
      <c r="S247" s="29">
        <f t="shared" si="128"/>
        <v>120</v>
      </c>
      <c r="T247" s="35">
        <f t="shared" si="129"/>
        <v>43966</v>
      </c>
      <c r="U247" s="27"/>
      <c r="V247" s="27"/>
      <c r="W247" s="58">
        <f>IF(K247=TRUE,Q247/I247,Q247)</f>
        <v>100</v>
      </c>
      <c r="X247" s="31">
        <f t="shared" si="126"/>
        <v>0</v>
      </c>
      <c r="Y247" t="b">
        <f t="shared" si="127"/>
        <v>0</v>
      </c>
      <c r="Z247" s="78">
        <f t="shared" si="130"/>
        <v>100</v>
      </c>
    </row>
    <row r="248" spans="1:26" x14ac:dyDescent="0.25">
      <c r="A248" s="53">
        <v>2020</v>
      </c>
      <c r="B248" s="53">
        <v>9</v>
      </c>
      <c r="C248" s="71" t="s">
        <v>105</v>
      </c>
      <c r="D248" t="s">
        <v>703</v>
      </c>
      <c r="E248" s="9" t="s">
        <v>1221</v>
      </c>
      <c r="G248" s="1">
        <v>43840</v>
      </c>
      <c r="H248" t="s">
        <v>1148</v>
      </c>
      <c r="K248" t="b">
        <f>(IF(AND(I248&lt;&gt;"",AND(J248="",ABS(Q248)&gt;400)),TRUE,FALSE))</f>
        <v>0</v>
      </c>
      <c r="L248" s="109">
        <f>27.82+1.04</f>
        <v>28.86</v>
      </c>
      <c r="M248" s="72">
        <f>2/3</f>
        <v>0.66666666666666663</v>
      </c>
      <c r="N248">
        <v>20</v>
      </c>
      <c r="O248" s="31">
        <f t="shared" si="121"/>
        <v>5.7720000000000002</v>
      </c>
      <c r="P248" s="31">
        <f t="shared" si="122"/>
        <v>3.8479999999999999</v>
      </c>
      <c r="Q248" s="33">
        <f t="shared" si="123"/>
        <v>19.239999999999998</v>
      </c>
      <c r="R248" s="29">
        <f t="shared" si="124"/>
        <v>34.631999999999998</v>
      </c>
      <c r="S248" s="29">
        <f t="shared" si="128"/>
        <v>23.087999999999997</v>
      </c>
      <c r="T248" s="35">
        <f t="shared" si="129"/>
        <v>43966</v>
      </c>
      <c r="U248" s="27"/>
      <c r="V248" s="27"/>
      <c r="W248" s="58">
        <f>IF(K248=TRUE,Q248/J248,Q248)</f>
        <v>19.239999999999998</v>
      </c>
      <c r="X248" s="31">
        <f t="shared" si="126"/>
        <v>0</v>
      </c>
      <c r="Y248" t="b">
        <f t="shared" si="127"/>
        <v>0</v>
      </c>
      <c r="Z248" s="78">
        <f t="shared" si="130"/>
        <v>-19.239999999999998</v>
      </c>
    </row>
    <row r="249" spans="1:26" x14ac:dyDescent="0.25">
      <c r="A249" s="53">
        <v>2020</v>
      </c>
      <c r="B249" s="53">
        <v>10</v>
      </c>
      <c r="C249" s="71" t="s">
        <v>105</v>
      </c>
      <c r="D249" t="s">
        <v>705</v>
      </c>
      <c r="E249" s="9" t="s">
        <v>1222</v>
      </c>
      <c r="G249" s="1">
        <v>43840</v>
      </c>
      <c r="H249" t="s">
        <v>1223</v>
      </c>
      <c r="K249" t="b">
        <f>(IF(AND(I249&lt;&gt;"",AND(J249="",ABS(Q249)&gt;400)),TRUE,FALSE))</f>
        <v>0</v>
      </c>
      <c r="L249" s="109">
        <v>18.829999999999998</v>
      </c>
      <c r="M249" s="72">
        <v>1</v>
      </c>
      <c r="N249">
        <v>20</v>
      </c>
      <c r="O249" s="31">
        <f t="shared" ref="O249:O263" si="131">L249*N249/100</f>
        <v>3.7659999999999996</v>
      </c>
      <c r="P249" s="31">
        <f t="shared" ref="P249:P263" si="132">M249*O249</f>
        <v>3.7659999999999996</v>
      </c>
      <c r="Q249" s="33">
        <f t="shared" ref="Q249:Q263" si="133">L249*M249</f>
        <v>18.829999999999998</v>
      </c>
      <c r="R249" s="29">
        <f t="shared" ref="R249:R263" si="134">L249+O249</f>
        <v>22.595999999999997</v>
      </c>
      <c r="S249" s="29">
        <f t="shared" si="128"/>
        <v>22.595999999999997</v>
      </c>
      <c r="T249" s="35">
        <f t="shared" si="129"/>
        <v>43966</v>
      </c>
      <c r="U249" s="27"/>
      <c r="V249" s="27"/>
      <c r="W249" s="58">
        <f>IF(K249=TRUE,Q249/J249,Q249)</f>
        <v>18.829999999999998</v>
      </c>
      <c r="X249" s="31">
        <f t="shared" ref="X249:X263" si="135">V249/100*S249</f>
        <v>0</v>
      </c>
      <c r="Y249" t="b">
        <f t="shared" ref="Y249:Y263" si="136">IF(AND(V249&gt;0,N249=V249),TRUE,FALSE)</f>
        <v>0</v>
      </c>
      <c r="Z249" s="78">
        <f t="shared" si="130"/>
        <v>-18.829999999999998</v>
      </c>
    </row>
    <row r="250" spans="1:26" x14ac:dyDescent="0.25">
      <c r="A250" s="53">
        <v>2020</v>
      </c>
      <c r="B250" s="53">
        <v>11</v>
      </c>
      <c r="C250" s="71" t="s">
        <v>105</v>
      </c>
      <c r="D250" t="s">
        <v>689</v>
      </c>
      <c r="E250" s="9" t="s">
        <v>1224</v>
      </c>
      <c r="G250" s="1">
        <v>43843</v>
      </c>
      <c r="H250" t="s">
        <v>974</v>
      </c>
      <c r="K250" t="b">
        <f>(IF(AND(I250&lt;&gt;"",AND(J250="",ABS(Q250)&gt;400)),TRUE,FALSE))</f>
        <v>0</v>
      </c>
      <c r="L250" s="48">
        <v>2.1</v>
      </c>
      <c r="M250" s="72">
        <v>1</v>
      </c>
      <c r="N250">
        <v>20</v>
      </c>
      <c r="O250" s="31">
        <f t="shared" si="131"/>
        <v>0.42</v>
      </c>
      <c r="P250" s="31">
        <f t="shared" si="132"/>
        <v>0.42</v>
      </c>
      <c r="Q250" s="33">
        <f t="shared" si="133"/>
        <v>2.1</v>
      </c>
      <c r="R250" s="29">
        <f t="shared" si="134"/>
        <v>2.52</v>
      </c>
      <c r="S250" s="29">
        <f t="shared" si="128"/>
        <v>2.52</v>
      </c>
      <c r="T250" s="35">
        <f t="shared" si="129"/>
        <v>43966</v>
      </c>
      <c r="U250" s="27"/>
      <c r="V250" s="27"/>
      <c r="W250" s="58">
        <f>IF(K250=TRUE,Q250/I250,Q250)</f>
        <v>2.1</v>
      </c>
      <c r="X250" s="31">
        <f t="shared" si="135"/>
        <v>0</v>
      </c>
      <c r="Y250" t="b">
        <f t="shared" si="136"/>
        <v>0</v>
      </c>
      <c r="Z250" s="78">
        <f t="shared" si="130"/>
        <v>-2.1</v>
      </c>
    </row>
    <row r="251" spans="1:26" x14ac:dyDescent="0.25">
      <c r="A251" s="53">
        <v>2020</v>
      </c>
      <c r="B251" s="53">
        <v>12</v>
      </c>
      <c r="C251" s="71" t="s">
        <v>105</v>
      </c>
      <c r="D251" t="s">
        <v>705</v>
      </c>
      <c r="E251" s="9" t="s">
        <v>1229</v>
      </c>
      <c r="G251" s="1">
        <v>43843</v>
      </c>
      <c r="H251" t="s">
        <v>1237</v>
      </c>
      <c r="K251" t="b">
        <f t="shared" ref="K251:K258" si="137">(IF(AND(I251&lt;&gt;"",AND(J251="",ABS(Q251)&gt;400)),TRUE,FALSE))</f>
        <v>0</v>
      </c>
      <c r="L251" s="48">
        <v>241.18</v>
      </c>
      <c r="M251" s="72">
        <v>1</v>
      </c>
      <c r="N251">
        <v>20</v>
      </c>
      <c r="O251" s="31">
        <f t="shared" si="131"/>
        <v>48.236000000000004</v>
      </c>
      <c r="P251" s="31">
        <f t="shared" si="132"/>
        <v>48.236000000000004</v>
      </c>
      <c r="Q251" s="33">
        <f t="shared" si="133"/>
        <v>241.18</v>
      </c>
      <c r="R251" s="29">
        <f t="shared" si="134"/>
        <v>289.416</v>
      </c>
      <c r="S251" s="29">
        <f t="shared" si="128"/>
        <v>289.416</v>
      </c>
      <c r="T251" s="35">
        <f t="shared" si="129"/>
        <v>43966</v>
      </c>
      <c r="U251" s="27"/>
      <c r="V251" s="27"/>
      <c r="W251" s="58">
        <f>IF(K251=TRUE,Q251/I251,Q251)</f>
        <v>241.18</v>
      </c>
      <c r="X251" s="31">
        <f t="shared" si="135"/>
        <v>0</v>
      </c>
      <c r="Y251" t="b">
        <f t="shared" si="136"/>
        <v>0</v>
      </c>
      <c r="Z251" s="78">
        <f t="shared" si="130"/>
        <v>-241.18</v>
      </c>
    </row>
    <row r="252" spans="1:26" x14ac:dyDescent="0.25">
      <c r="A252" s="53">
        <v>2020</v>
      </c>
      <c r="B252" s="53">
        <v>13</v>
      </c>
      <c r="C252" s="71" t="s">
        <v>105</v>
      </c>
      <c r="D252" t="s">
        <v>705</v>
      </c>
      <c r="E252" s="9" t="s">
        <v>1228</v>
      </c>
      <c r="G252" s="1">
        <v>43843</v>
      </c>
      <c r="H252" t="s">
        <v>927</v>
      </c>
      <c r="K252" t="b">
        <f t="shared" si="137"/>
        <v>0</v>
      </c>
      <c r="L252" s="48">
        <v>49.42</v>
      </c>
      <c r="M252" s="72">
        <v>1</v>
      </c>
      <c r="N252">
        <v>0</v>
      </c>
      <c r="O252" s="31">
        <f t="shared" si="131"/>
        <v>0</v>
      </c>
      <c r="P252" s="31">
        <f t="shared" si="132"/>
        <v>0</v>
      </c>
      <c r="Q252" s="33">
        <f t="shared" si="133"/>
        <v>49.42</v>
      </c>
      <c r="R252" s="29">
        <f t="shared" si="134"/>
        <v>49.42</v>
      </c>
      <c r="S252" s="29">
        <f t="shared" si="128"/>
        <v>49.42</v>
      </c>
      <c r="T252" s="35">
        <f t="shared" si="129"/>
        <v>43966</v>
      </c>
      <c r="U252" s="27"/>
      <c r="V252" s="27">
        <v>20</v>
      </c>
      <c r="W252" s="58">
        <f>IF(K252=TRUE,Q252/J252,Q252)</f>
        <v>49.42</v>
      </c>
      <c r="X252" s="31">
        <f t="shared" si="135"/>
        <v>9.8840000000000003</v>
      </c>
      <c r="Y252" t="b">
        <f t="shared" si="136"/>
        <v>0</v>
      </c>
      <c r="Z252" s="78">
        <f t="shared" si="130"/>
        <v>-49.42</v>
      </c>
    </row>
    <row r="253" spans="1:26" x14ac:dyDescent="0.25">
      <c r="A253" s="53">
        <v>2020</v>
      </c>
      <c r="B253" s="53">
        <v>14</v>
      </c>
      <c r="C253" s="71" t="s">
        <v>708</v>
      </c>
      <c r="D253" t="s">
        <v>709</v>
      </c>
      <c r="E253" s="9" t="s">
        <v>1230</v>
      </c>
      <c r="G253" s="1">
        <v>43844</v>
      </c>
      <c r="H253" t="s">
        <v>983</v>
      </c>
      <c r="K253" t="b">
        <f t="shared" si="137"/>
        <v>0</v>
      </c>
      <c r="L253" s="48">
        <v>187.5</v>
      </c>
      <c r="M253" s="72">
        <v>1</v>
      </c>
      <c r="N253">
        <v>20</v>
      </c>
      <c r="O253" s="31">
        <f t="shared" si="131"/>
        <v>37.5</v>
      </c>
      <c r="P253" s="31">
        <f t="shared" si="132"/>
        <v>37.5</v>
      </c>
      <c r="Q253" s="33">
        <f t="shared" si="133"/>
        <v>187.5</v>
      </c>
      <c r="R253" s="29">
        <f t="shared" si="134"/>
        <v>225</v>
      </c>
      <c r="S253" s="29">
        <f t="shared" si="128"/>
        <v>225</v>
      </c>
      <c r="T253" s="35">
        <f t="shared" si="129"/>
        <v>43966</v>
      </c>
      <c r="U253" s="27"/>
      <c r="V253" s="27"/>
      <c r="W253" s="58">
        <f t="shared" ref="W253:W261" si="138">IF(K253=TRUE,Q253/I253,Q253)</f>
        <v>187.5</v>
      </c>
      <c r="X253" s="31">
        <f t="shared" si="135"/>
        <v>0</v>
      </c>
      <c r="Y253" t="b">
        <f t="shared" si="136"/>
        <v>0</v>
      </c>
      <c r="Z253" s="78">
        <f t="shared" si="130"/>
        <v>187.5</v>
      </c>
    </row>
    <row r="254" spans="1:26" x14ac:dyDescent="0.25">
      <c r="A254" s="53">
        <v>2020</v>
      </c>
      <c r="B254" s="53">
        <v>15</v>
      </c>
      <c r="C254" s="71" t="s">
        <v>708</v>
      </c>
      <c r="D254" t="s">
        <v>709</v>
      </c>
      <c r="E254" s="9" t="s">
        <v>1231</v>
      </c>
      <c r="G254" s="1">
        <v>43845</v>
      </c>
      <c r="H254" t="s">
        <v>1232</v>
      </c>
      <c r="K254" t="b">
        <f t="shared" si="137"/>
        <v>0</v>
      </c>
      <c r="L254" s="48">
        <v>233.75</v>
      </c>
      <c r="M254" s="72">
        <v>1</v>
      </c>
      <c r="N254">
        <v>20</v>
      </c>
      <c r="O254" s="31">
        <f t="shared" si="131"/>
        <v>46.75</v>
      </c>
      <c r="P254" s="31">
        <f t="shared" si="132"/>
        <v>46.75</v>
      </c>
      <c r="Q254" s="33">
        <f t="shared" si="133"/>
        <v>233.75</v>
      </c>
      <c r="R254" s="29">
        <f t="shared" si="134"/>
        <v>280.5</v>
      </c>
      <c r="S254" s="29">
        <f t="shared" si="128"/>
        <v>280.5</v>
      </c>
      <c r="T254" s="35">
        <f t="shared" si="129"/>
        <v>43966</v>
      </c>
      <c r="U254" s="27"/>
      <c r="V254" s="27"/>
      <c r="W254" s="58">
        <f t="shared" si="138"/>
        <v>233.75</v>
      </c>
      <c r="X254" s="31">
        <f t="shared" si="135"/>
        <v>0</v>
      </c>
      <c r="Y254" t="b">
        <f t="shared" si="136"/>
        <v>0</v>
      </c>
      <c r="Z254" s="78">
        <f t="shared" si="130"/>
        <v>233.75</v>
      </c>
    </row>
    <row r="255" spans="1:26" x14ac:dyDescent="0.25">
      <c r="A255" s="53">
        <v>2020</v>
      </c>
      <c r="B255" s="53">
        <v>16</v>
      </c>
      <c r="C255" s="71" t="s">
        <v>105</v>
      </c>
      <c r="D255" t="s">
        <v>689</v>
      </c>
      <c r="E255" s="9" t="s">
        <v>1235</v>
      </c>
      <c r="G255" s="1">
        <v>43847</v>
      </c>
      <c r="H255" t="s">
        <v>974</v>
      </c>
      <c r="K255" t="b">
        <f t="shared" si="137"/>
        <v>0</v>
      </c>
      <c r="L255" s="48">
        <v>8.02</v>
      </c>
      <c r="M255" s="72">
        <v>1</v>
      </c>
      <c r="N255">
        <v>20</v>
      </c>
      <c r="O255" s="31">
        <f t="shared" si="131"/>
        <v>1.6039999999999999</v>
      </c>
      <c r="P255" s="31">
        <f t="shared" si="132"/>
        <v>1.6039999999999999</v>
      </c>
      <c r="Q255" s="33">
        <f t="shared" si="133"/>
        <v>8.02</v>
      </c>
      <c r="R255" s="29">
        <f t="shared" si="134"/>
        <v>9.6239999999999988</v>
      </c>
      <c r="S255" s="29">
        <f t="shared" si="128"/>
        <v>9.6239999999999988</v>
      </c>
      <c r="T255" s="35">
        <f t="shared" si="129"/>
        <v>43966</v>
      </c>
      <c r="U255" s="27"/>
      <c r="V255" s="27"/>
      <c r="W255" s="58">
        <f t="shared" si="138"/>
        <v>8.02</v>
      </c>
      <c r="X255" s="31">
        <f t="shared" si="135"/>
        <v>0</v>
      </c>
      <c r="Y255" t="b">
        <f t="shared" si="136"/>
        <v>0</v>
      </c>
      <c r="Z255" s="78">
        <f t="shared" si="130"/>
        <v>-8.02</v>
      </c>
    </row>
    <row r="256" spans="1:26" x14ac:dyDescent="0.25">
      <c r="A256" s="53">
        <v>2020</v>
      </c>
      <c r="B256" s="53">
        <v>17</v>
      </c>
      <c r="C256" s="71" t="s">
        <v>105</v>
      </c>
      <c r="D256" t="s">
        <v>689</v>
      </c>
      <c r="E256" s="9" t="s">
        <v>1234</v>
      </c>
      <c r="G256" s="1">
        <v>43850</v>
      </c>
      <c r="H256" t="s">
        <v>974</v>
      </c>
      <c r="K256" t="b">
        <f t="shared" si="137"/>
        <v>0</v>
      </c>
      <c r="L256" s="48">
        <v>10.4</v>
      </c>
      <c r="M256" s="72">
        <v>1</v>
      </c>
      <c r="N256">
        <v>20</v>
      </c>
      <c r="O256" s="31">
        <f t="shared" si="131"/>
        <v>2.08</v>
      </c>
      <c r="P256" s="31">
        <f t="shared" si="132"/>
        <v>2.08</v>
      </c>
      <c r="Q256" s="33">
        <f t="shared" si="133"/>
        <v>10.4</v>
      </c>
      <c r="R256" s="29">
        <f t="shared" si="134"/>
        <v>12.48</v>
      </c>
      <c r="S256" s="29">
        <f t="shared" si="128"/>
        <v>12.48</v>
      </c>
      <c r="T256" s="35">
        <f t="shared" si="129"/>
        <v>43966</v>
      </c>
      <c r="U256" s="27"/>
      <c r="V256" s="27"/>
      <c r="W256" s="58">
        <f t="shared" si="138"/>
        <v>10.4</v>
      </c>
      <c r="X256" s="31">
        <f t="shared" si="135"/>
        <v>0</v>
      </c>
      <c r="Y256" t="b">
        <f t="shared" si="136"/>
        <v>0</v>
      </c>
      <c r="Z256" s="78">
        <f t="shared" si="130"/>
        <v>-10.4</v>
      </c>
    </row>
    <row r="257" spans="1:26" x14ac:dyDescent="0.25">
      <c r="A257" s="53">
        <v>2020</v>
      </c>
      <c r="B257" s="53">
        <v>18</v>
      </c>
      <c r="C257" s="71" t="s">
        <v>708</v>
      </c>
      <c r="D257" t="s">
        <v>709</v>
      </c>
      <c r="E257" s="9" t="s">
        <v>1233</v>
      </c>
      <c r="G257" s="1">
        <v>43851</v>
      </c>
      <c r="H257" t="s">
        <v>1127</v>
      </c>
      <c r="K257" t="b">
        <f t="shared" si="137"/>
        <v>0</v>
      </c>
      <c r="L257" s="48">
        <v>6480</v>
      </c>
      <c r="M257" s="72">
        <v>1</v>
      </c>
      <c r="N257">
        <v>20</v>
      </c>
      <c r="O257" s="31">
        <f t="shared" si="131"/>
        <v>1296</v>
      </c>
      <c r="P257" s="31">
        <f t="shared" si="132"/>
        <v>1296</v>
      </c>
      <c r="Q257" s="33">
        <f t="shared" si="133"/>
        <v>6480</v>
      </c>
      <c r="R257" s="29">
        <f t="shared" si="134"/>
        <v>7776</v>
      </c>
      <c r="S257" s="29">
        <f t="shared" si="128"/>
        <v>7776</v>
      </c>
      <c r="T257" s="35">
        <f t="shared" si="129"/>
        <v>43966</v>
      </c>
      <c r="U257" s="27"/>
      <c r="V257" s="27"/>
      <c r="W257" s="58">
        <f t="shared" si="138"/>
        <v>6480</v>
      </c>
      <c r="X257" s="31">
        <f t="shared" si="135"/>
        <v>0</v>
      </c>
      <c r="Y257" t="b">
        <f t="shared" si="136"/>
        <v>0</v>
      </c>
      <c r="Z257" s="78">
        <f t="shared" si="130"/>
        <v>6480</v>
      </c>
    </row>
    <row r="258" spans="1:26" x14ac:dyDescent="0.25">
      <c r="A258" s="53">
        <v>2020</v>
      </c>
      <c r="B258" s="53">
        <v>19</v>
      </c>
      <c r="C258" s="71" t="s">
        <v>105</v>
      </c>
      <c r="D258" t="s">
        <v>703</v>
      </c>
      <c r="E258" s="9" t="s">
        <v>1236</v>
      </c>
      <c r="G258" s="1">
        <v>43853</v>
      </c>
      <c r="H258" t="s">
        <v>1148</v>
      </c>
      <c r="K258" t="b">
        <f t="shared" si="137"/>
        <v>0</v>
      </c>
      <c r="L258" s="48">
        <v>31.92</v>
      </c>
      <c r="M258" s="72">
        <v>1</v>
      </c>
      <c r="N258">
        <v>20</v>
      </c>
      <c r="O258" s="31">
        <f t="shared" si="131"/>
        <v>6.3840000000000012</v>
      </c>
      <c r="P258" s="31">
        <f t="shared" si="132"/>
        <v>6.3840000000000012</v>
      </c>
      <c r="Q258" s="33">
        <f t="shared" si="133"/>
        <v>31.92</v>
      </c>
      <c r="R258" s="29">
        <f t="shared" si="134"/>
        <v>38.304000000000002</v>
      </c>
      <c r="S258" s="29">
        <f t="shared" si="128"/>
        <v>38.304000000000002</v>
      </c>
      <c r="T258" s="35">
        <f t="shared" si="129"/>
        <v>43966</v>
      </c>
      <c r="U258" s="27"/>
      <c r="V258" s="27"/>
      <c r="W258" s="58">
        <f t="shared" si="138"/>
        <v>31.92</v>
      </c>
      <c r="X258" s="31">
        <f t="shared" si="135"/>
        <v>0</v>
      </c>
      <c r="Y258" t="b">
        <f t="shared" si="136"/>
        <v>0</v>
      </c>
      <c r="Z258" s="78">
        <f t="shared" si="130"/>
        <v>-31.92</v>
      </c>
    </row>
    <row r="259" spans="1:26" x14ac:dyDescent="0.25">
      <c r="A259" s="53">
        <v>2020</v>
      </c>
      <c r="B259" s="53">
        <v>20</v>
      </c>
      <c r="C259" s="71" t="s">
        <v>105</v>
      </c>
      <c r="D259" t="s">
        <v>705</v>
      </c>
      <c r="E259" s="9" t="s">
        <v>1239</v>
      </c>
      <c r="G259" s="1">
        <v>43857</v>
      </c>
      <c r="H259" t="s">
        <v>1238</v>
      </c>
      <c r="K259" t="b">
        <f t="shared" ref="K259:K268" si="139">(IF(AND(I259&lt;&gt;"",AND(J259="",ABS(Q259)&gt;400)),TRUE,FALSE))</f>
        <v>0</v>
      </c>
      <c r="L259" s="48">
        <v>142.51</v>
      </c>
      <c r="M259" s="72">
        <v>1</v>
      </c>
      <c r="N259">
        <v>20</v>
      </c>
      <c r="O259" s="31">
        <f t="shared" si="131"/>
        <v>28.501999999999999</v>
      </c>
      <c r="P259" s="31">
        <f t="shared" si="132"/>
        <v>28.501999999999999</v>
      </c>
      <c r="Q259" s="33">
        <f t="shared" si="133"/>
        <v>142.51</v>
      </c>
      <c r="R259" s="29">
        <f t="shared" si="134"/>
        <v>171.012</v>
      </c>
      <c r="S259" s="29">
        <f t="shared" si="128"/>
        <v>171.012</v>
      </c>
      <c r="T259" s="35">
        <f t="shared" si="129"/>
        <v>43966</v>
      </c>
      <c r="U259" s="27"/>
      <c r="V259" s="27"/>
      <c r="W259" s="58">
        <f t="shared" si="138"/>
        <v>142.51</v>
      </c>
      <c r="X259" s="31">
        <f t="shared" si="135"/>
        <v>0</v>
      </c>
      <c r="Y259" t="b">
        <f t="shared" si="136"/>
        <v>0</v>
      </c>
      <c r="Z259" s="78">
        <f t="shared" si="130"/>
        <v>-142.51</v>
      </c>
    </row>
    <row r="260" spans="1:26" x14ac:dyDescent="0.25">
      <c r="A260" s="53">
        <v>2020</v>
      </c>
      <c r="B260" s="53">
        <v>21</v>
      </c>
      <c r="C260" s="71" t="s">
        <v>105</v>
      </c>
      <c r="D260" t="s">
        <v>689</v>
      </c>
      <c r="E260" s="9" t="s">
        <v>1240</v>
      </c>
      <c r="G260" s="1">
        <v>43857</v>
      </c>
      <c r="H260" t="s">
        <v>974</v>
      </c>
      <c r="K260" t="b">
        <f t="shared" si="139"/>
        <v>0</v>
      </c>
      <c r="L260" s="48">
        <v>9.3000000000000007</v>
      </c>
      <c r="M260" s="72">
        <v>1</v>
      </c>
      <c r="N260">
        <v>20</v>
      </c>
      <c r="O260" s="31">
        <f t="shared" si="131"/>
        <v>1.86</v>
      </c>
      <c r="P260" s="31">
        <f t="shared" si="132"/>
        <v>1.86</v>
      </c>
      <c r="Q260" s="33">
        <f t="shared" si="133"/>
        <v>9.3000000000000007</v>
      </c>
      <c r="R260" s="29">
        <f t="shared" si="134"/>
        <v>11.16</v>
      </c>
      <c r="S260" s="29">
        <f t="shared" si="128"/>
        <v>11.16</v>
      </c>
      <c r="T260" s="35">
        <f t="shared" si="129"/>
        <v>43966</v>
      </c>
      <c r="U260" s="27"/>
      <c r="V260" s="27"/>
      <c r="W260" s="58">
        <f t="shared" si="138"/>
        <v>9.3000000000000007</v>
      </c>
      <c r="X260" s="31">
        <f t="shared" si="135"/>
        <v>0</v>
      </c>
      <c r="Y260" t="b">
        <f t="shared" si="136"/>
        <v>0</v>
      </c>
      <c r="Z260" s="78">
        <f t="shared" si="130"/>
        <v>-9.3000000000000007</v>
      </c>
    </row>
    <row r="261" spans="1:26" x14ac:dyDescent="0.25">
      <c r="A261" s="53">
        <v>2020</v>
      </c>
      <c r="B261" s="53">
        <v>22</v>
      </c>
      <c r="C261" s="71" t="s">
        <v>105</v>
      </c>
      <c r="D261" t="s">
        <v>689</v>
      </c>
      <c r="E261" s="9" t="s">
        <v>1241</v>
      </c>
      <c r="G261" s="1">
        <v>43857</v>
      </c>
      <c r="H261" t="s">
        <v>974</v>
      </c>
      <c r="K261" t="b">
        <f t="shared" si="139"/>
        <v>0</v>
      </c>
      <c r="L261" s="48">
        <v>7.49</v>
      </c>
      <c r="M261" s="72">
        <v>1</v>
      </c>
      <c r="N261">
        <v>20</v>
      </c>
      <c r="O261" s="31">
        <f t="shared" si="131"/>
        <v>1.4980000000000002</v>
      </c>
      <c r="P261" s="31">
        <f t="shared" si="132"/>
        <v>1.4980000000000002</v>
      </c>
      <c r="Q261" s="33">
        <f t="shared" si="133"/>
        <v>7.49</v>
      </c>
      <c r="R261" s="29">
        <f t="shared" si="134"/>
        <v>8.9879999999999995</v>
      </c>
      <c r="S261" s="29">
        <f t="shared" si="128"/>
        <v>8.9879999999999995</v>
      </c>
      <c r="T261" s="35">
        <f t="shared" si="129"/>
        <v>43966</v>
      </c>
      <c r="U261" s="27"/>
      <c r="V261" s="27"/>
      <c r="W261" s="58">
        <f t="shared" si="138"/>
        <v>7.49</v>
      </c>
      <c r="X261" s="31">
        <f t="shared" si="135"/>
        <v>0</v>
      </c>
      <c r="Y261" t="b">
        <f t="shared" si="136"/>
        <v>0</v>
      </c>
      <c r="Z261" s="78">
        <f t="shared" si="130"/>
        <v>-7.49</v>
      </c>
    </row>
    <row r="262" spans="1:26" x14ac:dyDescent="0.25">
      <c r="A262" s="53">
        <v>2020</v>
      </c>
      <c r="B262" s="53">
        <v>23</v>
      </c>
      <c r="C262" s="71" t="s">
        <v>105</v>
      </c>
      <c r="D262" t="s">
        <v>705</v>
      </c>
      <c r="E262" s="9" t="s">
        <v>1242</v>
      </c>
      <c r="G262" s="1">
        <v>43857</v>
      </c>
      <c r="H262" t="s">
        <v>941</v>
      </c>
      <c r="K262" t="b">
        <f t="shared" si="139"/>
        <v>0</v>
      </c>
      <c r="L262" s="48">
        <v>16.579999999999998</v>
      </c>
      <c r="M262" s="72">
        <v>1</v>
      </c>
      <c r="N262">
        <v>20</v>
      </c>
      <c r="O262" s="31">
        <f t="shared" si="131"/>
        <v>3.3159999999999998</v>
      </c>
      <c r="P262" s="31">
        <f t="shared" si="132"/>
        <v>3.3159999999999998</v>
      </c>
      <c r="Q262" s="33">
        <f t="shared" si="133"/>
        <v>16.579999999999998</v>
      </c>
      <c r="R262" s="29">
        <f t="shared" si="134"/>
        <v>19.895999999999997</v>
      </c>
      <c r="S262" s="29">
        <f t="shared" si="128"/>
        <v>19.895999999999997</v>
      </c>
      <c r="T262" s="35">
        <f t="shared" si="129"/>
        <v>43966</v>
      </c>
      <c r="U262" s="27"/>
      <c r="V262" s="27"/>
      <c r="W262" s="58">
        <f>IF(K262=TRUE,Q262/J262,Q262)</f>
        <v>16.579999999999998</v>
      </c>
      <c r="X262" s="31">
        <f t="shared" si="135"/>
        <v>0</v>
      </c>
      <c r="Y262" t="b">
        <f t="shared" si="136"/>
        <v>0</v>
      </c>
      <c r="Z262" s="78">
        <f t="shared" si="130"/>
        <v>-16.579999999999998</v>
      </c>
    </row>
    <row r="263" spans="1:26" x14ac:dyDescent="0.25">
      <c r="A263" s="53">
        <v>2020</v>
      </c>
      <c r="B263" s="53">
        <v>24</v>
      </c>
      <c r="C263" s="71" t="s">
        <v>105</v>
      </c>
      <c r="D263" t="s">
        <v>689</v>
      </c>
      <c r="E263" s="9" t="s">
        <v>1243</v>
      </c>
      <c r="G263" s="1">
        <v>43857</v>
      </c>
      <c r="H263" t="s">
        <v>974</v>
      </c>
      <c r="K263" t="b">
        <f t="shared" si="139"/>
        <v>0</v>
      </c>
      <c r="L263" s="48">
        <v>2.58</v>
      </c>
      <c r="M263" s="72">
        <v>1</v>
      </c>
      <c r="N263">
        <v>20</v>
      </c>
      <c r="O263" s="31">
        <f t="shared" si="131"/>
        <v>0.51600000000000001</v>
      </c>
      <c r="P263" s="31">
        <f t="shared" si="132"/>
        <v>0.51600000000000001</v>
      </c>
      <c r="Q263" s="33">
        <f t="shared" si="133"/>
        <v>2.58</v>
      </c>
      <c r="R263" s="29">
        <f t="shared" si="134"/>
        <v>3.0960000000000001</v>
      </c>
      <c r="S263" s="29">
        <f t="shared" si="128"/>
        <v>3.0960000000000001</v>
      </c>
      <c r="T263" s="35">
        <f t="shared" si="129"/>
        <v>43966</v>
      </c>
      <c r="U263" s="27"/>
      <c r="V263" s="27"/>
      <c r="W263" s="58">
        <f t="shared" ref="W263:W268" si="140">IF(K263=TRUE,Q263/I263,Q263)</f>
        <v>2.58</v>
      </c>
      <c r="X263" s="31">
        <f t="shared" si="135"/>
        <v>0</v>
      </c>
      <c r="Y263" t="b">
        <f t="shared" si="136"/>
        <v>0</v>
      </c>
      <c r="Z263" s="78">
        <f t="shared" si="130"/>
        <v>-2.58</v>
      </c>
    </row>
    <row r="264" spans="1:26" x14ac:dyDescent="0.25">
      <c r="A264" s="53">
        <v>2020</v>
      </c>
      <c r="B264" s="53">
        <v>25</v>
      </c>
      <c r="C264" s="71" t="s">
        <v>105</v>
      </c>
      <c r="D264" t="s">
        <v>705</v>
      </c>
      <c r="E264" s="9" t="s">
        <v>1245</v>
      </c>
      <c r="G264" s="1">
        <v>43857</v>
      </c>
      <c r="H264" t="s">
        <v>1244</v>
      </c>
      <c r="K264" t="b">
        <f t="shared" si="139"/>
        <v>0</v>
      </c>
      <c r="L264" s="48">
        <v>399.92</v>
      </c>
      <c r="M264" s="72">
        <v>1</v>
      </c>
      <c r="N264">
        <v>20</v>
      </c>
      <c r="O264" s="31">
        <f t="shared" ref="O264:O269" si="141">L264*N264/100</f>
        <v>79.984000000000009</v>
      </c>
      <c r="P264" s="31">
        <f t="shared" ref="P264:P269" si="142">M264*O264</f>
        <v>79.984000000000009</v>
      </c>
      <c r="Q264" s="33">
        <f t="shared" ref="Q264:Q269" si="143">L264*M264</f>
        <v>399.92</v>
      </c>
      <c r="R264" s="29">
        <f t="shared" ref="R264:R269" si="144">L264+O264</f>
        <v>479.904</v>
      </c>
      <c r="S264" s="29">
        <f t="shared" ref="S264:S269" si="145">Q264+P264</f>
        <v>479.904</v>
      </c>
      <c r="T264" s="35">
        <f t="shared" si="129"/>
        <v>43966</v>
      </c>
      <c r="U264" s="27"/>
      <c r="V264" s="27"/>
      <c r="W264" s="58">
        <f t="shared" si="140"/>
        <v>399.92</v>
      </c>
      <c r="X264" s="31">
        <f t="shared" ref="X264:X269" si="146">V264/100*S264</f>
        <v>0</v>
      </c>
      <c r="Y264" t="b">
        <f t="shared" ref="Y264:Y269" si="147">IF(AND(V264&gt;0,N264=V264),TRUE,FALSE)</f>
        <v>0</v>
      </c>
      <c r="Z264" s="78">
        <f t="shared" ref="Z264:Z269" si="148">IF(C264="Einnahmen",Q264,-Q264)</f>
        <v>-399.92</v>
      </c>
    </row>
    <row r="265" spans="1:26" x14ac:dyDescent="0.25">
      <c r="A265" s="53">
        <v>2020</v>
      </c>
      <c r="B265" s="53">
        <v>26</v>
      </c>
      <c r="C265" s="71" t="s">
        <v>105</v>
      </c>
      <c r="D265" t="s">
        <v>689</v>
      </c>
      <c r="E265" s="9" t="s">
        <v>1246</v>
      </c>
      <c r="G265" s="1">
        <v>43859</v>
      </c>
      <c r="H265" t="s">
        <v>974</v>
      </c>
      <c r="K265" t="b">
        <f t="shared" si="139"/>
        <v>0</v>
      </c>
      <c r="L265" s="48">
        <v>2.58</v>
      </c>
      <c r="M265" s="72">
        <v>1</v>
      </c>
      <c r="N265">
        <v>20</v>
      </c>
      <c r="O265" s="31">
        <f t="shared" si="141"/>
        <v>0.51600000000000001</v>
      </c>
      <c r="P265" s="31">
        <f t="shared" si="142"/>
        <v>0.51600000000000001</v>
      </c>
      <c r="Q265" s="33">
        <f t="shared" si="143"/>
        <v>2.58</v>
      </c>
      <c r="R265" s="29">
        <f t="shared" si="144"/>
        <v>3.0960000000000001</v>
      </c>
      <c r="S265" s="29">
        <f t="shared" si="145"/>
        <v>3.0960000000000001</v>
      </c>
      <c r="T265" s="35">
        <f t="shared" si="129"/>
        <v>43966</v>
      </c>
      <c r="U265" s="27"/>
      <c r="V265" s="27"/>
      <c r="W265" s="58">
        <f t="shared" si="140"/>
        <v>2.58</v>
      </c>
      <c r="X265" s="31">
        <f t="shared" si="146"/>
        <v>0</v>
      </c>
      <c r="Y265" t="b">
        <f t="shared" si="147"/>
        <v>0</v>
      </c>
      <c r="Z265" s="78">
        <f t="shared" si="148"/>
        <v>-2.58</v>
      </c>
    </row>
    <row r="266" spans="1:26" x14ac:dyDescent="0.25">
      <c r="A266" s="53">
        <v>2020</v>
      </c>
      <c r="B266" s="53">
        <v>27</v>
      </c>
      <c r="C266" s="71" t="s">
        <v>105</v>
      </c>
      <c r="D266" t="s">
        <v>689</v>
      </c>
      <c r="E266" s="9" t="s">
        <v>1247</v>
      </c>
      <c r="G266" s="1">
        <v>43860</v>
      </c>
      <c r="H266" t="s">
        <v>974</v>
      </c>
      <c r="K266" t="b">
        <f t="shared" si="139"/>
        <v>0</v>
      </c>
      <c r="L266" s="48">
        <v>2.1</v>
      </c>
      <c r="M266" s="72">
        <v>1</v>
      </c>
      <c r="N266">
        <v>20</v>
      </c>
      <c r="O266" s="31">
        <f t="shared" si="141"/>
        <v>0.42</v>
      </c>
      <c r="P266" s="31">
        <f t="shared" si="142"/>
        <v>0.42</v>
      </c>
      <c r="Q266" s="33">
        <f t="shared" si="143"/>
        <v>2.1</v>
      </c>
      <c r="R266" s="29">
        <f t="shared" si="144"/>
        <v>2.52</v>
      </c>
      <c r="S266" s="29">
        <f t="shared" si="145"/>
        <v>2.52</v>
      </c>
      <c r="T266" s="35">
        <f t="shared" si="129"/>
        <v>43966</v>
      </c>
      <c r="U266" s="27"/>
      <c r="V266" s="27"/>
      <c r="W266" s="58">
        <f t="shared" si="140"/>
        <v>2.1</v>
      </c>
      <c r="X266" s="31">
        <f t="shared" si="146"/>
        <v>0</v>
      </c>
      <c r="Y266" t="b">
        <f t="shared" si="147"/>
        <v>0</v>
      </c>
      <c r="Z266" s="78">
        <f t="shared" si="148"/>
        <v>-2.1</v>
      </c>
    </row>
    <row r="267" spans="1:26" x14ac:dyDescent="0.25">
      <c r="A267" s="53">
        <v>2020</v>
      </c>
      <c r="B267" s="53">
        <v>28</v>
      </c>
      <c r="C267" s="71" t="s">
        <v>105</v>
      </c>
      <c r="D267" t="s">
        <v>689</v>
      </c>
      <c r="E267" s="9" t="s">
        <v>1248</v>
      </c>
      <c r="G267" s="1">
        <v>43864</v>
      </c>
      <c r="H267" t="s">
        <v>974</v>
      </c>
      <c r="K267" t="b">
        <f t="shared" si="139"/>
        <v>0</v>
      </c>
      <c r="L267" s="48">
        <v>9.5</v>
      </c>
      <c r="M267" s="72">
        <v>1</v>
      </c>
      <c r="N267">
        <v>20</v>
      </c>
      <c r="O267" s="31">
        <f t="shared" si="141"/>
        <v>1.9</v>
      </c>
      <c r="P267" s="31">
        <f t="shared" si="142"/>
        <v>1.9</v>
      </c>
      <c r="Q267" s="33">
        <f t="shared" si="143"/>
        <v>9.5</v>
      </c>
      <c r="R267" s="29">
        <f t="shared" si="144"/>
        <v>11.4</v>
      </c>
      <c r="S267" s="29">
        <f t="shared" si="145"/>
        <v>11.4</v>
      </c>
      <c r="T267" s="35">
        <f t="shared" si="129"/>
        <v>43966</v>
      </c>
      <c r="U267" s="27"/>
      <c r="V267" s="27"/>
      <c r="W267" s="58">
        <f t="shared" si="140"/>
        <v>9.5</v>
      </c>
      <c r="X267" s="31">
        <f t="shared" si="146"/>
        <v>0</v>
      </c>
      <c r="Y267" t="b">
        <f t="shared" si="147"/>
        <v>0</v>
      </c>
      <c r="Z267" s="78">
        <f t="shared" si="148"/>
        <v>-9.5</v>
      </c>
    </row>
    <row r="268" spans="1:26" x14ac:dyDescent="0.25">
      <c r="A268" s="53">
        <v>2020</v>
      </c>
      <c r="B268" s="53">
        <v>29</v>
      </c>
      <c r="C268" s="71" t="s">
        <v>105</v>
      </c>
      <c r="D268" t="s">
        <v>689</v>
      </c>
      <c r="E268" s="9" t="s">
        <v>1249</v>
      </c>
      <c r="G268" s="1">
        <v>43864</v>
      </c>
      <c r="H268" t="s">
        <v>974</v>
      </c>
      <c r="K268" t="b">
        <f t="shared" si="139"/>
        <v>0</v>
      </c>
      <c r="L268" s="48">
        <v>6</v>
      </c>
      <c r="M268" s="72">
        <v>1</v>
      </c>
      <c r="N268">
        <v>20</v>
      </c>
      <c r="O268" s="31">
        <f t="shared" si="141"/>
        <v>1.2</v>
      </c>
      <c r="P268" s="31">
        <f t="shared" si="142"/>
        <v>1.2</v>
      </c>
      <c r="Q268" s="33">
        <f t="shared" si="143"/>
        <v>6</v>
      </c>
      <c r="R268" s="29">
        <f t="shared" si="144"/>
        <v>7.2</v>
      </c>
      <c r="S268" s="29">
        <f t="shared" si="145"/>
        <v>7.2</v>
      </c>
      <c r="T268" s="35">
        <f t="shared" si="129"/>
        <v>43966</v>
      </c>
      <c r="U268" s="27"/>
      <c r="V268" s="27"/>
      <c r="W268" s="58">
        <f t="shared" si="140"/>
        <v>6</v>
      </c>
      <c r="X268" s="31">
        <f t="shared" si="146"/>
        <v>0</v>
      </c>
      <c r="Y268" t="b">
        <f t="shared" si="147"/>
        <v>0</v>
      </c>
      <c r="Z268" s="78">
        <f t="shared" si="148"/>
        <v>-6</v>
      </c>
    </row>
    <row r="269" spans="1:26" x14ac:dyDescent="0.25">
      <c r="A269" s="53">
        <v>2020</v>
      </c>
      <c r="B269" s="53">
        <v>30</v>
      </c>
      <c r="C269" s="71" t="s">
        <v>105</v>
      </c>
      <c r="D269" t="s">
        <v>691</v>
      </c>
      <c r="E269" s="9" t="s">
        <v>1250</v>
      </c>
      <c r="G269" s="1">
        <v>43864</v>
      </c>
      <c r="H269" t="s">
        <v>1113</v>
      </c>
      <c r="K269" t="b">
        <v>0</v>
      </c>
      <c r="L269" s="48">
        <v>462.44</v>
      </c>
      <c r="M269" s="72">
        <v>1</v>
      </c>
      <c r="N269">
        <v>20</v>
      </c>
      <c r="O269" s="31">
        <f t="shared" si="141"/>
        <v>92.488</v>
      </c>
      <c r="P269" s="31">
        <f t="shared" si="142"/>
        <v>92.488</v>
      </c>
      <c r="Q269" s="33">
        <f t="shared" si="143"/>
        <v>462.44</v>
      </c>
      <c r="R269" s="29">
        <f t="shared" si="144"/>
        <v>554.928</v>
      </c>
      <c r="S269" s="29">
        <f t="shared" si="145"/>
        <v>554.928</v>
      </c>
      <c r="T269" s="35">
        <f t="shared" si="129"/>
        <v>43966</v>
      </c>
      <c r="U269" s="27"/>
      <c r="V269" s="27"/>
      <c r="W269" s="58">
        <f>IF(K269=TRUE,Q269/J269,Q269)</f>
        <v>462.44</v>
      </c>
      <c r="X269" s="31">
        <f t="shared" si="146"/>
        <v>0</v>
      </c>
      <c r="Y269" t="b">
        <f t="shared" si="147"/>
        <v>0</v>
      </c>
      <c r="Z269" s="78">
        <f t="shared" si="148"/>
        <v>-462.44</v>
      </c>
    </row>
    <row r="270" spans="1:26" x14ac:dyDescent="0.25">
      <c r="A270" s="53">
        <v>2020</v>
      </c>
      <c r="B270" s="53">
        <v>31</v>
      </c>
      <c r="C270" s="71" t="s">
        <v>105</v>
      </c>
      <c r="D270" t="s">
        <v>689</v>
      </c>
      <c r="E270" s="9" t="s">
        <v>1251</v>
      </c>
      <c r="G270" s="1">
        <v>43864</v>
      </c>
      <c r="H270" t="s">
        <v>974</v>
      </c>
      <c r="K270" t="b">
        <f t="shared" ref="K270:K307" si="149">(IF(AND(I270&lt;&gt;"",AND(J270="",ABS(Q270)&gt;400)),TRUE,FALSE))</f>
        <v>0</v>
      </c>
      <c r="L270" s="48">
        <v>2.58</v>
      </c>
      <c r="M270" s="72">
        <v>1</v>
      </c>
      <c r="N270">
        <v>20</v>
      </c>
      <c r="O270" s="31">
        <f t="shared" ref="O270:O282" si="150">L270*N270/100</f>
        <v>0.51600000000000001</v>
      </c>
      <c r="P270" s="31">
        <f t="shared" ref="P270:P282" si="151">M270*O270</f>
        <v>0.51600000000000001</v>
      </c>
      <c r="Q270" s="33">
        <f t="shared" ref="Q270:Q282" si="152">L270*M270</f>
        <v>2.58</v>
      </c>
      <c r="R270" s="29">
        <f t="shared" ref="R270:R282" si="153">L270+O270</f>
        <v>3.0960000000000001</v>
      </c>
      <c r="S270" s="29">
        <f>Q270+P270</f>
        <v>3.0960000000000001</v>
      </c>
      <c r="T270" s="35">
        <f t="shared" si="129"/>
        <v>43966</v>
      </c>
      <c r="U270" s="27"/>
      <c r="V270" s="27"/>
      <c r="W270" s="58">
        <f>IF(K270=TRUE,Q270/I270,Q270)</f>
        <v>2.58</v>
      </c>
      <c r="X270" s="31">
        <f t="shared" ref="X270:X282" si="154">V270/100*S270</f>
        <v>0</v>
      </c>
      <c r="Y270" t="b">
        <f t="shared" ref="Y270:Y282" si="155">IF(AND(V270&gt;0,N270=V270),TRUE,FALSE)</f>
        <v>0</v>
      </c>
      <c r="Z270" s="78">
        <f t="shared" ref="Z270:Z282" si="156">IF(C270="Einnahmen",Q270,-Q270)</f>
        <v>-2.58</v>
      </c>
    </row>
    <row r="271" spans="1:26" x14ac:dyDescent="0.25">
      <c r="A271" s="53">
        <v>2020</v>
      </c>
      <c r="B271" s="53">
        <v>32</v>
      </c>
      <c r="C271" s="71" t="s">
        <v>105</v>
      </c>
      <c r="D271" t="s">
        <v>705</v>
      </c>
      <c r="E271" s="61" t="s">
        <v>1064</v>
      </c>
      <c r="G271" s="1">
        <v>43865</v>
      </c>
      <c r="H271" t="s">
        <v>934</v>
      </c>
      <c r="K271" t="b">
        <f t="shared" si="149"/>
        <v>0</v>
      </c>
      <c r="L271" s="48">
        <f>S271/1.2</f>
        <v>196.33333333333334</v>
      </c>
      <c r="M271" s="72">
        <v>1</v>
      </c>
      <c r="N271">
        <v>20</v>
      </c>
      <c r="O271" s="31">
        <f t="shared" si="150"/>
        <v>39.266666666666673</v>
      </c>
      <c r="P271" s="31">
        <f t="shared" si="151"/>
        <v>39.266666666666673</v>
      </c>
      <c r="Q271" s="33">
        <f t="shared" si="152"/>
        <v>196.33333333333334</v>
      </c>
      <c r="R271" s="29">
        <f t="shared" si="153"/>
        <v>235.60000000000002</v>
      </c>
      <c r="S271" s="29">
        <v>235.6</v>
      </c>
      <c r="T271" s="35">
        <f t="shared" si="129"/>
        <v>43966</v>
      </c>
      <c r="U271" s="27"/>
      <c r="V271" s="27"/>
      <c r="W271" s="58">
        <f>IF(K271=TRUE,Q271/J271,Q271)</f>
        <v>196.33333333333334</v>
      </c>
      <c r="X271" s="31">
        <f t="shared" si="154"/>
        <v>0</v>
      </c>
      <c r="Y271" t="b">
        <f t="shared" si="155"/>
        <v>0</v>
      </c>
      <c r="Z271" s="78">
        <f t="shared" si="156"/>
        <v>-196.33333333333334</v>
      </c>
    </row>
    <row r="272" spans="1:26" x14ac:dyDescent="0.25">
      <c r="A272" s="53">
        <v>2020</v>
      </c>
      <c r="B272" s="53">
        <v>33</v>
      </c>
      <c r="C272" s="71" t="s">
        <v>105</v>
      </c>
      <c r="D272" t="s">
        <v>705</v>
      </c>
      <c r="E272" s="9" t="s">
        <v>1225</v>
      </c>
      <c r="G272" s="1">
        <v>43866</v>
      </c>
      <c r="H272" t="s">
        <v>1154</v>
      </c>
      <c r="K272" t="b">
        <f t="shared" si="149"/>
        <v>0</v>
      </c>
      <c r="L272" s="48">
        <f>S272/1.2</f>
        <v>2.5</v>
      </c>
      <c r="M272" s="72">
        <v>1</v>
      </c>
      <c r="N272">
        <v>20</v>
      </c>
      <c r="O272" s="31">
        <f t="shared" si="150"/>
        <v>0.5</v>
      </c>
      <c r="P272" s="31">
        <f t="shared" si="151"/>
        <v>0.5</v>
      </c>
      <c r="Q272" s="33">
        <f t="shared" si="152"/>
        <v>2.5</v>
      </c>
      <c r="R272" s="29">
        <f t="shared" si="153"/>
        <v>3</v>
      </c>
      <c r="S272" s="29">
        <v>3</v>
      </c>
      <c r="T272" s="35">
        <f t="shared" si="129"/>
        <v>43966</v>
      </c>
      <c r="U272" s="27"/>
      <c r="V272" s="27"/>
      <c r="W272" s="58">
        <f>IF(K272=TRUE,Q272/J272,Q272)</f>
        <v>2.5</v>
      </c>
      <c r="X272" s="31">
        <f t="shared" si="154"/>
        <v>0</v>
      </c>
      <c r="Y272" t="b">
        <f t="shared" si="155"/>
        <v>0</v>
      </c>
      <c r="Z272" s="78">
        <f t="shared" si="156"/>
        <v>-2.5</v>
      </c>
    </row>
    <row r="273" spans="1:26" s="93" customFormat="1" x14ac:dyDescent="0.25">
      <c r="A273" s="53">
        <v>2020</v>
      </c>
      <c r="B273" s="53">
        <v>34</v>
      </c>
      <c r="C273" s="71" t="s">
        <v>105</v>
      </c>
      <c r="D273" t="s">
        <v>683</v>
      </c>
      <c r="E273" s="9" t="s">
        <v>1255</v>
      </c>
      <c r="F273"/>
      <c r="G273" s="1">
        <v>43866</v>
      </c>
      <c r="H273" t="s">
        <v>981</v>
      </c>
      <c r="I273"/>
      <c r="J273" s="76"/>
      <c r="K273" t="b">
        <f t="shared" si="149"/>
        <v>0</v>
      </c>
      <c r="L273" s="48">
        <v>6.21</v>
      </c>
      <c r="M273" s="72">
        <v>1</v>
      </c>
      <c r="N273">
        <v>0</v>
      </c>
      <c r="O273" s="31">
        <f t="shared" si="150"/>
        <v>0</v>
      </c>
      <c r="P273" s="31">
        <f t="shared" si="151"/>
        <v>0</v>
      </c>
      <c r="Q273" s="33">
        <f t="shared" si="152"/>
        <v>6.21</v>
      </c>
      <c r="R273" s="29">
        <f t="shared" si="153"/>
        <v>6.21</v>
      </c>
      <c r="S273" s="29">
        <f t="shared" ref="S273:S278" si="157">Q273+P273</f>
        <v>6.21</v>
      </c>
      <c r="T273" s="35">
        <f t="shared" si="129"/>
        <v>43966</v>
      </c>
      <c r="U273" s="27"/>
      <c r="V273" s="27">
        <v>20</v>
      </c>
      <c r="W273" s="58">
        <f t="shared" ref="W273:W278" si="158">IF(K273=TRUE,Q273/I273,Q273)</f>
        <v>6.21</v>
      </c>
      <c r="X273" s="31">
        <f t="shared" si="154"/>
        <v>1.242</v>
      </c>
      <c r="Y273" t="b">
        <f t="shared" si="155"/>
        <v>0</v>
      </c>
      <c r="Z273" s="78">
        <f t="shared" si="156"/>
        <v>-6.21</v>
      </c>
    </row>
    <row r="274" spans="1:26" x14ac:dyDescent="0.25">
      <c r="A274" s="53">
        <v>2020</v>
      </c>
      <c r="B274" s="53">
        <v>35</v>
      </c>
      <c r="C274" s="71" t="s">
        <v>105</v>
      </c>
      <c r="D274" t="s">
        <v>689</v>
      </c>
      <c r="E274" s="9" t="s">
        <v>1259</v>
      </c>
      <c r="G274" s="1">
        <v>43867</v>
      </c>
      <c r="H274" t="s">
        <v>974</v>
      </c>
      <c r="K274" t="b">
        <f t="shared" si="149"/>
        <v>0</v>
      </c>
      <c r="L274" s="48">
        <v>2.0699999999999998</v>
      </c>
      <c r="M274" s="72">
        <v>1</v>
      </c>
      <c r="N274">
        <v>20</v>
      </c>
      <c r="O274" s="31">
        <f t="shared" si="150"/>
        <v>0.41399999999999998</v>
      </c>
      <c r="P274" s="31">
        <f t="shared" si="151"/>
        <v>0.41399999999999998</v>
      </c>
      <c r="Q274" s="33">
        <f t="shared" si="152"/>
        <v>2.0699999999999998</v>
      </c>
      <c r="R274" s="29">
        <f t="shared" si="153"/>
        <v>2.484</v>
      </c>
      <c r="S274" s="29">
        <f t="shared" si="157"/>
        <v>2.484</v>
      </c>
      <c r="T274" s="35">
        <f t="shared" si="129"/>
        <v>43966</v>
      </c>
      <c r="U274" s="27"/>
      <c r="V274" s="27"/>
      <c r="W274" s="58">
        <f t="shared" si="158"/>
        <v>2.0699999999999998</v>
      </c>
      <c r="X274" s="31">
        <f t="shared" si="154"/>
        <v>0</v>
      </c>
      <c r="Y274" t="b">
        <f t="shared" si="155"/>
        <v>0</v>
      </c>
      <c r="Z274" s="78">
        <f t="shared" si="156"/>
        <v>-2.0699999999999998</v>
      </c>
    </row>
    <row r="275" spans="1:26" x14ac:dyDescent="0.25">
      <c r="A275" s="53">
        <v>2020</v>
      </c>
      <c r="B275" s="53">
        <v>36</v>
      </c>
      <c r="C275" s="71" t="s">
        <v>105</v>
      </c>
      <c r="D275" t="s">
        <v>689</v>
      </c>
      <c r="E275" s="9" t="s">
        <v>1281</v>
      </c>
      <c r="G275" s="1">
        <v>43867</v>
      </c>
      <c r="H275" t="s">
        <v>974</v>
      </c>
      <c r="K275" t="b">
        <f t="shared" si="149"/>
        <v>0</v>
      </c>
      <c r="L275" s="48">
        <v>2.0699999999999998</v>
      </c>
      <c r="M275" s="72">
        <v>1</v>
      </c>
      <c r="N275">
        <v>20</v>
      </c>
      <c r="O275" s="31">
        <f t="shared" si="150"/>
        <v>0.41399999999999998</v>
      </c>
      <c r="P275" s="31">
        <f t="shared" si="151"/>
        <v>0.41399999999999998</v>
      </c>
      <c r="Q275" s="33">
        <f t="shared" si="152"/>
        <v>2.0699999999999998</v>
      </c>
      <c r="R275" s="29">
        <f t="shared" si="153"/>
        <v>2.484</v>
      </c>
      <c r="S275" s="29">
        <f t="shared" si="157"/>
        <v>2.484</v>
      </c>
      <c r="T275" s="35">
        <f t="shared" si="129"/>
        <v>43966</v>
      </c>
      <c r="U275" s="27"/>
      <c r="V275" s="27"/>
      <c r="W275" s="58">
        <f t="shared" si="158"/>
        <v>2.0699999999999998</v>
      </c>
      <c r="X275" s="31">
        <f t="shared" si="154"/>
        <v>0</v>
      </c>
      <c r="Y275" t="b">
        <f t="shared" si="155"/>
        <v>0</v>
      </c>
      <c r="Z275" s="78">
        <f t="shared" si="156"/>
        <v>-2.0699999999999998</v>
      </c>
    </row>
    <row r="276" spans="1:26" x14ac:dyDescent="0.25">
      <c r="A276" s="53">
        <v>2020</v>
      </c>
      <c r="B276" s="53">
        <v>37</v>
      </c>
      <c r="C276" s="71" t="s">
        <v>105</v>
      </c>
      <c r="D276" t="s">
        <v>705</v>
      </c>
      <c r="E276" s="9" t="s">
        <v>1256</v>
      </c>
      <c r="G276" s="1">
        <v>43867</v>
      </c>
      <c r="H276" t="s">
        <v>1128</v>
      </c>
      <c r="K276" t="b">
        <f t="shared" si="149"/>
        <v>0</v>
      </c>
      <c r="L276" s="48">
        <f>43.9/1.2</f>
        <v>36.583333333333336</v>
      </c>
      <c r="M276" s="72">
        <v>1</v>
      </c>
      <c r="N276">
        <v>20</v>
      </c>
      <c r="O276" s="31">
        <f t="shared" si="150"/>
        <v>7.3166666666666673</v>
      </c>
      <c r="P276" s="31">
        <f t="shared" si="151"/>
        <v>7.3166666666666673</v>
      </c>
      <c r="Q276" s="33">
        <f t="shared" si="152"/>
        <v>36.583333333333336</v>
      </c>
      <c r="R276" s="29">
        <f t="shared" si="153"/>
        <v>43.900000000000006</v>
      </c>
      <c r="S276" s="29">
        <f t="shared" si="157"/>
        <v>43.900000000000006</v>
      </c>
      <c r="T276" s="35">
        <f t="shared" si="129"/>
        <v>43966</v>
      </c>
      <c r="U276" s="27"/>
      <c r="V276" s="27"/>
      <c r="W276" s="58">
        <f t="shared" si="158"/>
        <v>36.583333333333336</v>
      </c>
      <c r="X276" s="31">
        <f t="shared" si="154"/>
        <v>0</v>
      </c>
      <c r="Y276" t="b">
        <f t="shared" si="155"/>
        <v>0</v>
      </c>
      <c r="Z276" s="78">
        <f t="shared" si="156"/>
        <v>-36.583333333333336</v>
      </c>
    </row>
    <row r="277" spans="1:26" x14ac:dyDescent="0.25">
      <c r="A277" s="53">
        <v>2020</v>
      </c>
      <c r="B277" s="53">
        <v>38</v>
      </c>
      <c r="C277" s="71" t="s">
        <v>105</v>
      </c>
      <c r="D277" t="s">
        <v>683</v>
      </c>
      <c r="E277" s="9" t="s">
        <v>1257</v>
      </c>
      <c r="G277" s="1">
        <v>43867</v>
      </c>
      <c r="H277" t="s">
        <v>981</v>
      </c>
      <c r="K277" t="b">
        <f t="shared" si="149"/>
        <v>0</v>
      </c>
      <c r="L277" s="48">
        <v>39.82</v>
      </c>
      <c r="M277" s="72">
        <v>1</v>
      </c>
      <c r="N277">
        <v>0</v>
      </c>
      <c r="O277" s="31">
        <f t="shared" si="150"/>
        <v>0</v>
      </c>
      <c r="P277" s="31">
        <f t="shared" si="151"/>
        <v>0</v>
      </c>
      <c r="Q277" s="33">
        <f t="shared" si="152"/>
        <v>39.82</v>
      </c>
      <c r="R277" s="29">
        <f t="shared" si="153"/>
        <v>39.82</v>
      </c>
      <c r="S277" s="29">
        <f t="shared" si="157"/>
        <v>39.82</v>
      </c>
      <c r="T277" s="35">
        <f t="shared" si="129"/>
        <v>43966</v>
      </c>
      <c r="U277" s="27"/>
      <c r="V277" s="27">
        <v>20</v>
      </c>
      <c r="W277" s="58">
        <f t="shared" si="158"/>
        <v>39.82</v>
      </c>
      <c r="X277" s="31">
        <f t="shared" si="154"/>
        <v>7.9640000000000004</v>
      </c>
      <c r="Y277" t="b">
        <f t="shared" si="155"/>
        <v>0</v>
      </c>
      <c r="Z277" s="78">
        <f t="shared" si="156"/>
        <v>-39.82</v>
      </c>
    </row>
    <row r="278" spans="1:26" x14ac:dyDescent="0.25">
      <c r="A278" s="53">
        <v>2020</v>
      </c>
      <c r="B278" s="53">
        <v>39</v>
      </c>
      <c r="C278" s="71" t="s">
        <v>105</v>
      </c>
      <c r="D278" t="s">
        <v>703</v>
      </c>
      <c r="E278" s="9" t="s">
        <v>1258</v>
      </c>
      <c r="G278" s="1">
        <v>43867</v>
      </c>
      <c r="H278" t="s">
        <v>34</v>
      </c>
      <c r="K278" t="b">
        <f t="shared" si="149"/>
        <v>0</v>
      </c>
      <c r="L278" s="48">
        <v>15.19</v>
      </c>
      <c r="M278" s="72">
        <v>1</v>
      </c>
      <c r="N278">
        <v>20</v>
      </c>
      <c r="O278" s="31">
        <f t="shared" si="150"/>
        <v>3.0380000000000003</v>
      </c>
      <c r="P278" s="31">
        <f t="shared" si="151"/>
        <v>3.0380000000000003</v>
      </c>
      <c r="Q278" s="33">
        <f t="shared" si="152"/>
        <v>15.19</v>
      </c>
      <c r="R278" s="29">
        <f t="shared" si="153"/>
        <v>18.228000000000002</v>
      </c>
      <c r="S278" s="29">
        <f t="shared" si="157"/>
        <v>18.228000000000002</v>
      </c>
      <c r="T278" s="35">
        <f t="shared" si="129"/>
        <v>43966</v>
      </c>
      <c r="U278" s="27"/>
      <c r="V278" s="27"/>
      <c r="W278" s="58">
        <f t="shared" si="158"/>
        <v>15.19</v>
      </c>
      <c r="X278" s="31">
        <f t="shared" si="154"/>
        <v>0</v>
      </c>
      <c r="Y278" t="b">
        <f t="shared" si="155"/>
        <v>0</v>
      </c>
      <c r="Z278" s="78">
        <f t="shared" si="156"/>
        <v>-15.19</v>
      </c>
    </row>
    <row r="279" spans="1:26" x14ac:dyDescent="0.25">
      <c r="A279" s="53">
        <v>2020</v>
      </c>
      <c r="B279" s="53">
        <v>40</v>
      </c>
      <c r="C279" s="71" t="s">
        <v>105</v>
      </c>
      <c r="D279" t="s">
        <v>705</v>
      </c>
      <c r="E279" s="9" t="s">
        <v>1222</v>
      </c>
      <c r="G279" s="1">
        <v>43871</v>
      </c>
      <c r="H279" t="s">
        <v>1223</v>
      </c>
      <c r="K279" t="b">
        <f t="shared" si="149"/>
        <v>0</v>
      </c>
      <c r="L279" s="109">
        <f>S279/1.2</f>
        <v>29</v>
      </c>
      <c r="M279" s="72">
        <v>1</v>
      </c>
      <c r="N279">
        <v>20</v>
      </c>
      <c r="O279" s="31">
        <f t="shared" si="150"/>
        <v>5.8</v>
      </c>
      <c r="P279" s="31">
        <f t="shared" si="151"/>
        <v>5.8</v>
      </c>
      <c r="Q279" s="33">
        <f t="shared" si="152"/>
        <v>29</v>
      </c>
      <c r="R279" s="29">
        <f t="shared" si="153"/>
        <v>34.799999999999997</v>
      </c>
      <c r="S279" s="29">
        <v>34.799999999999997</v>
      </c>
      <c r="T279" s="35">
        <f t="shared" si="129"/>
        <v>43966</v>
      </c>
      <c r="U279" s="27"/>
      <c r="V279" s="27"/>
      <c r="W279" s="58">
        <f>IF(K279=TRUE,Q279/J279,Q279)</f>
        <v>29</v>
      </c>
      <c r="X279" s="31">
        <f t="shared" si="154"/>
        <v>0</v>
      </c>
      <c r="Y279" t="b">
        <f t="shared" si="155"/>
        <v>0</v>
      </c>
      <c r="Z279" s="78">
        <f t="shared" si="156"/>
        <v>-29</v>
      </c>
    </row>
    <row r="280" spans="1:26" x14ac:dyDescent="0.25">
      <c r="A280" s="53">
        <v>2020</v>
      </c>
      <c r="B280" s="53">
        <v>41</v>
      </c>
      <c r="C280" s="71" t="s">
        <v>105</v>
      </c>
      <c r="D280" t="s">
        <v>689</v>
      </c>
      <c r="E280" s="9" t="s">
        <v>1260</v>
      </c>
      <c r="G280" s="1">
        <v>43871</v>
      </c>
      <c r="H280" t="s">
        <v>974</v>
      </c>
      <c r="K280" t="b">
        <f t="shared" si="149"/>
        <v>0</v>
      </c>
      <c r="L280" s="48">
        <v>2.87</v>
      </c>
      <c r="M280" s="72">
        <v>1</v>
      </c>
      <c r="N280">
        <v>20</v>
      </c>
      <c r="O280" s="31">
        <f t="shared" si="150"/>
        <v>0.57400000000000007</v>
      </c>
      <c r="P280" s="31">
        <f t="shared" si="151"/>
        <v>0.57400000000000007</v>
      </c>
      <c r="Q280" s="33">
        <f t="shared" si="152"/>
        <v>2.87</v>
      </c>
      <c r="R280" s="29">
        <f t="shared" si="153"/>
        <v>3.444</v>
      </c>
      <c r="S280" s="29">
        <f t="shared" ref="S280:S311" si="159">Q280+P280</f>
        <v>3.444</v>
      </c>
      <c r="T280" s="35">
        <f t="shared" si="129"/>
        <v>43966</v>
      </c>
      <c r="U280" s="27"/>
      <c r="V280" s="27"/>
      <c r="W280" s="58">
        <f>IF(K280=TRUE,Q280/I280,Q280)</f>
        <v>2.87</v>
      </c>
      <c r="X280" s="31">
        <f t="shared" si="154"/>
        <v>0</v>
      </c>
      <c r="Y280" t="b">
        <f t="shared" si="155"/>
        <v>0</v>
      </c>
      <c r="Z280" s="78">
        <f t="shared" si="156"/>
        <v>-2.87</v>
      </c>
    </row>
    <row r="281" spans="1:26" x14ac:dyDescent="0.25">
      <c r="A281" s="53">
        <v>2020</v>
      </c>
      <c r="B281" s="53">
        <v>42</v>
      </c>
      <c r="C281" s="71" t="s">
        <v>105</v>
      </c>
      <c r="D281" t="s">
        <v>689</v>
      </c>
      <c r="E281" s="9" t="s">
        <v>1262</v>
      </c>
      <c r="G281" s="1">
        <v>43871</v>
      </c>
      <c r="H281" t="s">
        <v>974</v>
      </c>
      <c r="K281" t="b">
        <f t="shared" si="149"/>
        <v>0</v>
      </c>
      <c r="L281" s="48">
        <v>1.81</v>
      </c>
      <c r="M281" s="72">
        <v>1</v>
      </c>
      <c r="N281">
        <v>20</v>
      </c>
      <c r="O281" s="31">
        <f t="shared" si="150"/>
        <v>0.36200000000000004</v>
      </c>
      <c r="P281" s="31">
        <f t="shared" si="151"/>
        <v>0.36200000000000004</v>
      </c>
      <c r="Q281" s="33">
        <f t="shared" si="152"/>
        <v>1.81</v>
      </c>
      <c r="R281" s="29">
        <f t="shared" si="153"/>
        <v>2.1720000000000002</v>
      </c>
      <c r="S281" s="29">
        <f t="shared" si="159"/>
        <v>2.1720000000000002</v>
      </c>
      <c r="T281" s="35">
        <f t="shared" si="129"/>
        <v>43966</v>
      </c>
      <c r="U281" s="27"/>
      <c r="V281" s="27"/>
      <c r="W281" s="58">
        <f>IF(K281=TRUE,Q281/I281,Q281)</f>
        <v>1.81</v>
      </c>
      <c r="X281" s="31">
        <f t="shared" si="154"/>
        <v>0</v>
      </c>
      <c r="Y281" t="b">
        <f t="shared" si="155"/>
        <v>0</v>
      </c>
      <c r="Z281" s="78">
        <f t="shared" si="156"/>
        <v>-1.81</v>
      </c>
    </row>
    <row r="282" spans="1:26" x14ac:dyDescent="0.25">
      <c r="A282" s="53">
        <v>2020</v>
      </c>
      <c r="B282" s="53">
        <v>43</v>
      </c>
      <c r="C282" s="71" t="s">
        <v>105</v>
      </c>
      <c r="D282" t="s">
        <v>689</v>
      </c>
      <c r="E282" s="9" t="s">
        <v>1263</v>
      </c>
      <c r="G282" s="1">
        <v>43871</v>
      </c>
      <c r="H282" t="s">
        <v>974</v>
      </c>
      <c r="K282" t="b">
        <f t="shared" si="149"/>
        <v>0</v>
      </c>
      <c r="L282" s="48">
        <v>1.81</v>
      </c>
      <c r="M282" s="72">
        <v>1</v>
      </c>
      <c r="N282">
        <v>20</v>
      </c>
      <c r="O282" s="31">
        <f t="shared" si="150"/>
        <v>0.36200000000000004</v>
      </c>
      <c r="P282" s="31">
        <f t="shared" si="151"/>
        <v>0.36200000000000004</v>
      </c>
      <c r="Q282" s="33">
        <f t="shared" si="152"/>
        <v>1.81</v>
      </c>
      <c r="R282" s="29">
        <f t="shared" si="153"/>
        <v>2.1720000000000002</v>
      </c>
      <c r="S282" s="29">
        <f t="shared" si="159"/>
        <v>2.1720000000000002</v>
      </c>
      <c r="T282" s="35">
        <f t="shared" si="129"/>
        <v>43966</v>
      </c>
      <c r="U282" s="27"/>
      <c r="V282" s="27"/>
      <c r="W282" s="58">
        <f>IF(K282=TRUE,Q282/I282,Q282)</f>
        <v>1.81</v>
      </c>
      <c r="X282" s="31">
        <f t="shared" si="154"/>
        <v>0</v>
      </c>
      <c r="Y282" t="b">
        <f t="shared" si="155"/>
        <v>0</v>
      </c>
      <c r="Z282" s="78">
        <f t="shared" si="156"/>
        <v>-1.81</v>
      </c>
    </row>
    <row r="283" spans="1:26" x14ac:dyDescent="0.25">
      <c r="A283" s="53">
        <v>2020</v>
      </c>
      <c r="B283" s="53">
        <v>44</v>
      </c>
      <c r="C283" s="71" t="s">
        <v>105</v>
      </c>
      <c r="D283" t="s">
        <v>689</v>
      </c>
      <c r="E283" s="9" t="s">
        <v>1261</v>
      </c>
      <c r="G283" s="1">
        <v>43873</v>
      </c>
      <c r="H283" t="s">
        <v>974</v>
      </c>
      <c r="K283" t="b">
        <f t="shared" si="149"/>
        <v>0</v>
      </c>
      <c r="L283" s="48">
        <v>2.4</v>
      </c>
      <c r="M283" s="72">
        <v>1</v>
      </c>
      <c r="N283">
        <v>20</v>
      </c>
      <c r="O283" s="31">
        <f t="shared" ref="O283:O288" si="160">L283*N283/100</f>
        <v>0.48</v>
      </c>
      <c r="P283" s="31">
        <f t="shared" ref="P283:P288" si="161">M283*O283</f>
        <v>0.48</v>
      </c>
      <c r="Q283" s="33">
        <f t="shared" ref="Q283:Q288" si="162">L283*M283</f>
        <v>2.4</v>
      </c>
      <c r="R283" s="29">
        <f t="shared" ref="R283:R288" si="163">L283+O283</f>
        <v>2.88</v>
      </c>
      <c r="S283" s="29">
        <f t="shared" si="159"/>
        <v>2.88</v>
      </c>
      <c r="T283" s="35">
        <f t="shared" si="129"/>
        <v>43966</v>
      </c>
      <c r="U283" s="27"/>
      <c r="V283" s="27"/>
      <c r="W283" s="58">
        <f>IF(K283=TRUE,Q283/I283,Q283)</f>
        <v>2.4</v>
      </c>
      <c r="X283" s="31">
        <f t="shared" ref="X283:X288" si="164">V283/100*S283</f>
        <v>0</v>
      </c>
      <c r="Y283" t="b">
        <f t="shared" ref="Y283:Y288" si="165">IF(AND(V283&gt;0,N283=V283),TRUE,FALSE)</f>
        <v>0</v>
      </c>
      <c r="Z283" s="78">
        <f t="shared" ref="Z283:Z288" si="166">IF(C283="Einnahmen",Q283,-Q283)</f>
        <v>-2.4</v>
      </c>
    </row>
    <row r="284" spans="1:26" x14ac:dyDescent="0.25">
      <c r="A284" s="53">
        <v>2020</v>
      </c>
      <c r="B284" s="53">
        <v>45</v>
      </c>
      <c r="C284" s="71" t="s">
        <v>708</v>
      </c>
      <c r="D284" t="s">
        <v>709</v>
      </c>
      <c r="E284" s="9" t="s">
        <v>1265</v>
      </c>
      <c r="G284" s="1">
        <v>43874</v>
      </c>
      <c r="H284" t="s">
        <v>1266</v>
      </c>
      <c r="K284" t="b">
        <f t="shared" si="149"/>
        <v>0</v>
      </c>
      <c r="L284" s="48">
        <v>647.5</v>
      </c>
      <c r="M284" s="72">
        <v>1</v>
      </c>
      <c r="N284">
        <v>20</v>
      </c>
      <c r="O284" s="31">
        <f t="shared" si="160"/>
        <v>129.5</v>
      </c>
      <c r="P284" s="31">
        <f t="shared" si="161"/>
        <v>129.5</v>
      </c>
      <c r="Q284" s="33">
        <f t="shared" si="162"/>
        <v>647.5</v>
      </c>
      <c r="R284" s="29">
        <f t="shared" si="163"/>
        <v>777</v>
      </c>
      <c r="S284" s="29">
        <f t="shared" si="159"/>
        <v>777</v>
      </c>
      <c r="T284" s="35">
        <f t="shared" si="129"/>
        <v>43966</v>
      </c>
      <c r="U284" s="27"/>
      <c r="V284" s="27"/>
      <c r="W284" s="58">
        <f>IF(K284=TRUE,Q284/I284,Q284)</f>
        <v>647.5</v>
      </c>
      <c r="X284" s="31">
        <f t="shared" si="164"/>
        <v>0</v>
      </c>
      <c r="Y284" t="b">
        <f t="shared" si="165"/>
        <v>0</v>
      </c>
      <c r="Z284" s="78">
        <f t="shared" si="166"/>
        <v>647.5</v>
      </c>
    </row>
    <row r="285" spans="1:26" x14ac:dyDescent="0.25">
      <c r="A285" s="53">
        <v>2020</v>
      </c>
      <c r="B285" s="53">
        <v>46</v>
      </c>
      <c r="C285" s="71" t="s">
        <v>105</v>
      </c>
      <c r="D285" t="s">
        <v>705</v>
      </c>
      <c r="E285" s="9" t="s">
        <v>1264</v>
      </c>
      <c r="G285" s="1">
        <v>43874</v>
      </c>
      <c r="H285" t="s">
        <v>927</v>
      </c>
      <c r="K285" t="b">
        <f t="shared" si="149"/>
        <v>0</v>
      </c>
      <c r="L285" s="48">
        <v>48.81</v>
      </c>
      <c r="M285" s="72">
        <v>1</v>
      </c>
      <c r="N285">
        <v>0</v>
      </c>
      <c r="O285" s="31">
        <f t="shared" si="160"/>
        <v>0</v>
      </c>
      <c r="P285" s="31">
        <f t="shared" si="161"/>
        <v>0</v>
      </c>
      <c r="Q285" s="33">
        <f t="shared" si="162"/>
        <v>48.81</v>
      </c>
      <c r="R285" s="29">
        <f t="shared" si="163"/>
        <v>48.81</v>
      </c>
      <c r="S285" s="29">
        <f t="shared" si="159"/>
        <v>48.81</v>
      </c>
      <c r="T285" s="35">
        <f t="shared" si="129"/>
        <v>43966</v>
      </c>
      <c r="U285" s="27"/>
      <c r="V285" s="27">
        <v>20</v>
      </c>
      <c r="W285" s="58">
        <f>IF(K285=TRUE,Q285/J285,Q285)</f>
        <v>48.81</v>
      </c>
      <c r="X285" s="31">
        <f t="shared" si="164"/>
        <v>9.7620000000000005</v>
      </c>
      <c r="Y285" t="b">
        <f t="shared" si="165"/>
        <v>0</v>
      </c>
      <c r="Z285" s="78">
        <f t="shared" si="166"/>
        <v>-48.81</v>
      </c>
    </row>
    <row r="286" spans="1:26" x14ac:dyDescent="0.25">
      <c r="A286" s="53">
        <v>2020</v>
      </c>
      <c r="B286" s="53">
        <v>47</v>
      </c>
      <c r="C286" s="71" t="s">
        <v>708</v>
      </c>
      <c r="D286" t="s">
        <v>709</v>
      </c>
      <c r="E286" s="9" t="s">
        <v>1267</v>
      </c>
      <c r="G286" s="1">
        <v>43875</v>
      </c>
      <c r="H286" s="43" t="s">
        <v>1012</v>
      </c>
      <c r="K286" t="b">
        <f t="shared" si="149"/>
        <v>0</v>
      </c>
      <c r="L286" s="48">
        <v>297.5</v>
      </c>
      <c r="M286" s="72">
        <v>1</v>
      </c>
      <c r="N286">
        <v>20</v>
      </c>
      <c r="O286" s="31">
        <f t="shared" si="160"/>
        <v>59.5</v>
      </c>
      <c r="P286" s="31">
        <f t="shared" si="161"/>
        <v>59.5</v>
      </c>
      <c r="Q286" s="33">
        <f t="shared" si="162"/>
        <v>297.5</v>
      </c>
      <c r="R286" s="29">
        <f t="shared" si="163"/>
        <v>357</v>
      </c>
      <c r="S286" s="29">
        <f t="shared" si="159"/>
        <v>357</v>
      </c>
      <c r="T286" s="35">
        <f t="shared" si="129"/>
        <v>43966</v>
      </c>
      <c r="U286" s="27"/>
      <c r="V286" s="27"/>
      <c r="W286" s="58">
        <f t="shared" ref="W286:W297" si="167">IF(K286=TRUE,Q286/I286,Q286)</f>
        <v>297.5</v>
      </c>
      <c r="X286" s="31">
        <f t="shared" si="164"/>
        <v>0</v>
      </c>
      <c r="Y286" t="b">
        <f t="shared" si="165"/>
        <v>0</v>
      </c>
      <c r="Z286" s="78">
        <f t="shared" si="166"/>
        <v>297.5</v>
      </c>
    </row>
    <row r="287" spans="1:26" x14ac:dyDescent="0.25">
      <c r="A287" s="53">
        <v>2020</v>
      </c>
      <c r="B287" s="53">
        <v>48</v>
      </c>
      <c r="C287" s="71" t="s">
        <v>105</v>
      </c>
      <c r="D287" t="s">
        <v>689</v>
      </c>
      <c r="E287" s="9" t="s">
        <v>1268</v>
      </c>
      <c r="G287" s="1">
        <v>43878</v>
      </c>
      <c r="H287" t="s">
        <v>974</v>
      </c>
      <c r="K287" t="b">
        <f t="shared" si="149"/>
        <v>0</v>
      </c>
      <c r="L287" s="48">
        <v>2.3199999999999998</v>
      </c>
      <c r="M287" s="72">
        <v>1</v>
      </c>
      <c r="N287">
        <v>20</v>
      </c>
      <c r="O287" s="31">
        <f t="shared" si="160"/>
        <v>0.46399999999999997</v>
      </c>
      <c r="P287" s="31">
        <f t="shared" si="161"/>
        <v>0.46399999999999997</v>
      </c>
      <c r="Q287" s="33">
        <f t="shared" si="162"/>
        <v>2.3199999999999998</v>
      </c>
      <c r="R287" s="29">
        <f t="shared" si="163"/>
        <v>2.7839999999999998</v>
      </c>
      <c r="S287" s="29">
        <f t="shared" si="159"/>
        <v>2.7839999999999998</v>
      </c>
      <c r="T287" s="35">
        <f t="shared" si="129"/>
        <v>43966</v>
      </c>
      <c r="U287" s="27"/>
      <c r="V287" s="27"/>
      <c r="W287" s="58">
        <f t="shared" si="167"/>
        <v>2.3199999999999998</v>
      </c>
      <c r="X287" s="31">
        <f t="shared" si="164"/>
        <v>0</v>
      </c>
      <c r="Y287" t="b">
        <f t="shared" si="165"/>
        <v>0</v>
      </c>
      <c r="Z287" s="78">
        <f t="shared" si="166"/>
        <v>-2.3199999999999998</v>
      </c>
    </row>
    <row r="288" spans="1:26" x14ac:dyDescent="0.25">
      <c r="A288" s="53">
        <v>2020</v>
      </c>
      <c r="B288" s="53">
        <v>49</v>
      </c>
      <c r="C288" s="71" t="s">
        <v>105</v>
      </c>
      <c r="D288" t="s">
        <v>683</v>
      </c>
      <c r="E288" s="9" t="s">
        <v>1280</v>
      </c>
      <c r="G288" s="1">
        <v>43880</v>
      </c>
      <c r="H288" t="s">
        <v>981</v>
      </c>
      <c r="K288" t="b">
        <f t="shared" si="149"/>
        <v>0</v>
      </c>
      <c r="L288" s="48">
        <v>19.170000000000002</v>
      </c>
      <c r="M288" s="72">
        <v>1</v>
      </c>
      <c r="N288">
        <v>0</v>
      </c>
      <c r="O288" s="31">
        <f t="shared" si="160"/>
        <v>0</v>
      </c>
      <c r="P288" s="31">
        <f t="shared" si="161"/>
        <v>0</v>
      </c>
      <c r="Q288" s="33">
        <f t="shared" si="162"/>
        <v>19.170000000000002</v>
      </c>
      <c r="R288" s="29">
        <f t="shared" si="163"/>
        <v>19.170000000000002</v>
      </c>
      <c r="S288" s="29">
        <f t="shared" si="159"/>
        <v>19.170000000000002</v>
      </c>
      <c r="T288" s="35">
        <f t="shared" si="129"/>
        <v>43966</v>
      </c>
      <c r="U288" s="27"/>
      <c r="V288" s="27"/>
      <c r="W288" s="58">
        <f t="shared" si="167"/>
        <v>19.170000000000002</v>
      </c>
      <c r="X288" s="31">
        <f t="shared" si="164"/>
        <v>0</v>
      </c>
      <c r="Y288" t="b">
        <f t="shared" si="165"/>
        <v>0</v>
      </c>
      <c r="Z288" s="78">
        <f t="shared" si="166"/>
        <v>-19.170000000000002</v>
      </c>
    </row>
    <row r="289" spans="1:26" x14ac:dyDescent="0.25">
      <c r="A289" s="53">
        <v>2020</v>
      </c>
      <c r="B289" s="53">
        <v>50</v>
      </c>
      <c r="C289" s="71" t="s">
        <v>105</v>
      </c>
      <c r="D289" t="s">
        <v>689</v>
      </c>
      <c r="E289" s="9" t="s">
        <v>1269</v>
      </c>
      <c r="G289" s="1">
        <v>43880</v>
      </c>
      <c r="H289" t="s">
        <v>974</v>
      </c>
      <c r="K289" t="b">
        <f t="shared" si="149"/>
        <v>0</v>
      </c>
      <c r="L289" s="48">
        <v>2.58</v>
      </c>
      <c r="M289" s="72">
        <v>1</v>
      </c>
      <c r="N289">
        <v>20</v>
      </c>
      <c r="O289" s="31">
        <f t="shared" ref="O289:O320" si="168">L289*N289/100</f>
        <v>0.51600000000000001</v>
      </c>
      <c r="P289" s="31">
        <f t="shared" ref="P289:P320" si="169">M289*O289</f>
        <v>0.51600000000000001</v>
      </c>
      <c r="Q289" s="33">
        <f t="shared" ref="Q289:Q320" si="170">L289*M289</f>
        <v>2.58</v>
      </c>
      <c r="R289" s="29">
        <f t="shared" ref="R289:R320" si="171">L289+O289</f>
        <v>3.0960000000000001</v>
      </c>
      <c r="S289" s="29">
        <f t="shared" si="159"/>
        <v>3.0960000000000001</v>
      </c>
      <c r="T289" s="35">
        <f t="shared" si="129"/>
        <v>43966</v>
      </c>
      <c r="U289" s="27"/>
      <c r="V289" s="27"/>
      <c r="W289" s="58">
        <f t="shared" si="167"/>
        <v>2.58</v>
      </c>
      <c r="X289" s="31">
        <f t="shared" ref="X289:X320" si="172">V289/100*S289</f>
        <v>0</v>
      </c>
      <c r="Y289" t="b">
        <f t="shared" ref="Y289:Y320" si="173">IF(AND(V289&gt;0,N289=V289),TRUE,FALSE)</f>
        <v>0</v>
      </c>
      <c r="Z289" s="78">
        <f t="shared" ref="Z289:Z320" si="174">IF(C289="Einnahmen",Q289,-Q289)</f>
        <v>-2.58</v>
      </c>
    </row>
    <row r="290" spans="1:26" x14ac:dyDescent="0.25">
      <c r="A290" s="53">
        <v>2020</v>
      </c>
      <c r="B290" s="53">
        <v>51</v>
      </c>
      <c r="C290" s="71" t="s">
        <v>105</v>
      </c>
      <c r="D290" t="s">
        <v>689</v>
      </c>
      <c r="E290" s="9" t="s">
        <v>1270</v>
      </c>
      <c r="G290" s="1">
        <v>43880</v>
      </c>
      <c r="H290" t="s">
        <v>974</v>
      </c>
      <c r="K290" t="b">
        <f t="shared" si="149"/>
        <v>0</v>
      </c>
      <c r="L290" s="48">
        <v>2.4</v>
      </c>
      <c r="M290" s="72">
        <v>1</v>
      </c>
      <c r="N290">
        <v>20</v>
      </c>
      <c r="O290" s="31">
        <f t="shared" si="168"/>
        <v>0.48</v>
      </c>
      <c r="P290" s="31">
        <f t="shared" si="169"/>
        <v>0.48</v>
      </c>
      <c r="Q290" s="33">
        <f t="shared" si="170"/>
        <v>2.4</v>
      </c>
      <c r="R290" s="29">
        <f t="shared" si="171"/>
        <v>2.88</v>
      </c>
      <c r="S290" s="29">
        <f t="shared" si="159"/>
        <v>2.88</v>
      </c>
      <c r="T290" s="35">
        <f t="shared" si="129"/>
        <v>43966</v>
      </c>
      <c r="U290" s="27"/>
      <c r="V290" s="27"/>
      <c r="W290" s="58">
        <f t="shared" si="167"/>
        <v>2.4</v>
      </c>
      <c r="X290" s="31">
        <f t="shared" si="172"/>
        <v>0</v>
      </c>
      <c r="Y290" t="b">
        <f t="shared" si="173"/>
        <v>0</v>
      </c>
      <c r="Z290" s="78">
        <f t="shared" si="174"/>
        <v>-2.4</v>
      </c>
    </row>
    <row r="291" spans="1:26" x14ac:dyDescent="0.25">
      <c r="A291" s="53">
        <v>2020</v>
      </c>
      <c r="B291" s="53">
        <v>52</v>
      </c>
      <c r="C291" s="71" t="s">
        <v>105</v>
      </c>
      <c r="D291" t="s">
        <v>689</v>
      </c>
      <c r="E291" s="9" t="s">
        <v>1273</v>
      </c>
      <c r="G291" s="1">
        <v>43881</v>
      </c>
      <c r="H291" t="s">
        <v>974</v>
      </c>
      <c r="K291" t="b">
        <f t="shared" si="149"/>
        <v>0</v>
      </c>
      <c r="L291" s="48">
        <v>3.36</v>
      </c>
      <c r="M291" s="72">
        <v>1</v>
      </c>
      <c r="N291">
        <v>20</v>
      </c>
      <c r="O291" s="31">
        <f t="shared" si="168"/>
        <v>0.67200000000000004</v>
      </c>
      <c r="P291" s="31">
        <f t="shared" si="169"/>
        <v>0.67200000000000004</v>
      </c>
      <c r="Q291" s="33">
        <f t="shared" si="170"/>
        <v>3.36</v>
      </c>
      <c r="R291" s="29">
        <f t="shared" si="171"/>
        <v>4.032</v>
      </c>
      <c r="S291" s="29">
        <f t="shared" si="159"/>
        <v>4.032</v>
      </c>
      <c r="T291" s="35">
        <f t="shared" si="129"/>
        <v>43966</v>
      </c>
      <c r="U291" s="27"/>
      <c r="V291" s="27"/>
      <c r="W291" s="58">
        <f t="shared" si="167"/>
        <v>3.36</v>
      </c>
      <c r="X291" s="31">
        <f t="shared" si="172"/>
        <v>0</v>
      </c>
      <c r="Y291" t="b">
        <f t="shared" si="173"/>
        <v>0</v>
      </c>
      <c r="Z291" s="78">
        <f t="shared" si="174"/>
        <v>-3.36</v>
      </c>
    </row>
    <row r="292" spans="1:26" x14ac:dyDescent="0.25">
      <c r="A292" s="53">
        <v>2020</v>
      </c>
      <c r="B292" s="53">
        <v>53</v>
      </c>
      <c r="C292" s="71" t="s">
        <v>105</v>
      </c>
      <c r="D292" t="s">
        <v>689</v>
      </c>
      <c r="E292" s="9" t="s">
        <v>1271</v>
      </c>
      <c r="G292" s="1">
        <v>43881</v>
      </c>
      <c r="H292" t="s">
        <v>974</v>
      </c>
      <c r="K292" t="b">
        <f t="shared" si="149"/>
        <v>0</v>
      </c>
      <c r="L292" s="48">
        <v>2.4</v>
      </c>
      <c r="M292" s="72">
        <v>1</v>
      </c>
      <c r="N292">
        <v>20</v>
      </c>
      <c r="O292" s="31">
        <f t="shared" si="168"/>
        <v>0.48</v>
      </c>
      <c r="P292" s="31">
        <f t="shared" si="169"/>
        <v>0.48</v>
      </c>
      <c r="Q292" s="33">
        <f t="shared" si="170"/>
        <v>2.4</v>
      </c>
      <c r="R292" s="29">
        <f t="shared" si="171"/>
        <v>2.88</v>
      </c>
      <c r="S292" s="29">
        <f t="shared" si="159"/>
        <v>2.88</v>
      </c>
      <c r="T292" s="35">
        <f t="shared" si="129"/>
        <v>43966</v>
      </c>
      <c r="U292" s="27"/>
      <c r="V292" s="27"/>
      <c r="W292" s="58">
        <f t="shared" si="167"/>
        <v>2.4</v>
      </c>
      <c r="X292" s="31">
        <f t="shared" si="172"/>
        <v>0</v>
      </c>
      <c r="Y292" t="b">
        <f t="shared" si="173"/>
        <v>0</v>
      </c>
      <c r="Z292" s="78">
        <f t="shared" si="174"/>
        <v>-2.4</v>
      </c>
    </row>
    <row r="293" spans="1:26" x14ac:dyDescent="0.25">
      <c r="A293" s="53">
        <v>2020</v>
      </c>
      <c r="B293" s="53">
        <v>54</v>
      </c>
      <c r="C293" s="71" t="s">
        <v>105</v>
      </c>
      <c r="D293" t="s">
        <v>689</v>
      </c>
      <c r="E293" s="9" t="s">
        <v>1272</v>
      </c>
      <c r="G293" s="1">
        <v>43881</v>
      </c>
      <c r="H293" t="s">
        <v>974</v>
      </c>
      <c r="K293" t="b">
        <f t="shared" si="149"/>
        <v>0</v>
      </c>
      <c r="L293" s="48">
        <v>1.81</v>
      </c>
      <c r="M293" s="72">
        <v>1</v>
      </c>
      <c r="N293">
        <v>20</v>
      </c>
      <c r="O293" s="31">
        <f t="shared" si="168"/>
        <v>0.36200000000000004</v>
      </c>
      <c r="P293" s="31">
        <f t="shared" si="169"/>
        <v>0.36200000000000004</v>
      </c>
      <c r="Q293" s="33">
        <f t="shared" si="170"/>
        <v>1.81</v>
      </c>
      <c r="R293" s="29">
        <f t="shared" si="171"/>
        <v>2.1720000000000002</v>
      </c>
      <c r="S293" s="29">
        <f t="shared" si="159"/>
        <v>2.1720000000000002</v>
      </c>
      <c r="T293" s="35">
        <f t="shared" si="129"/>
        <v>43966</v>
      </c>
      <c r="U293" s="27"/>
      <c r="V293" s="27"/>
      <c r="W293" s="58">
        <f t="shared" si="167"/>
        <v>1.81</v>
      </c>
      <c r="X293" s="31">
        <f t="shared" si="172"/>
        <v>0</v>
      </c>
      <c r="Y293" t="b">
        <f t="shared" si="173"/>
        <v>0</v>
      </c>
      <c r="Z293" s="78">
        <f t="shared" si="174"/>
        <v>-1.81</v>
      </c>
    </row>
    <row r="294" spans="1:26" x14ac:dyDescent="0.25">
      <c r="A294" s="53">
        <v>2020</v>
      </c>
      <c r="B294" s="53">
        <v>55</v>
      </c>
      <c r="C294" s="71" t="s">
        <v>105</v>
      </c>
      <c r="D294" t="s">
        <v>689</v>
      </c>
      <c r="E294" s="9" t="s">
        <v>1279</v>
      </c>
      <c r="G294" s="1">
        <v>43882</v>
      </c>
      <c r="H294" t="s">
        <v>974</v>
      </c>
      <c r="K294" t="b">
        <f t="shared" si="149"/>
        <v>0</v>
      </c>
      <c r="L294" s="48">
        <v>2.7</v>
      </c>
      <c r="M294" s="72">
        <v>1</v>
      </c>
      <c r="N294">
        <v>20</v>
      </c>
      <c r="O294" s="31">
        <f t="shared" si="168"/>
        <v>0.54</v>
      </c>
      <c r="P294" s="31">
        <f t="shared" si="169"/>
        <v>0.54</v>
      </c>
      <c r="Q294" s="33">
        <f t="shared" si="170"/>
        <v>2.7</v>
      </c>
      <c r="R294" s="29">
        <f t="shared" si="171"/>
        <v>3.24</v>
      </c>
      <c r="S294" s="29">
        <f t="shared" si="159"/>
        <v>3.24</v>
      </c>
      <c r="T294" s="35">
        <f t="shared" si="129"/>
        <v>43966</v>
      </c>
      <c r="U294" s="27"/>
      <c r="V294" s="27"/>
      <c r="W294" s="58">
        <f t="shared" si="167"/>
        <v>2.7</v>
      </c>
      <c r="X294" s="31">
        <f t="shared" si="172"/>
        <v>0</v>
      </c>
      <c r="Y294" t="b">
        <f t="shared" si="173"/>
        <v>0</v>
      </c>
      <c r="Z294" s="78">
        <f t="shared" si="174"/>
        <v>-2.7</v>
      </c>
    </row>
    <row r="295" spans="1:26" x14ac:dyDescent="0.25">
      <c r="A295" s="53">
        <v>2020</v>
      </c>
      <c r="B295" s="53">
        <v>56</v>
      </c>
      <c r="C295" s="71" t="s">
        <v>105</v>
      </c>
      <c r="D295" t="s">
        <v>689</v>
      </c>
      <c r="E295" s="9" t="s">
        <v>1274</v>
      </c>
      <c r="G295" s="1">
        <v>43882</v>
      </c>
      <c r="H295" t="s">
        <v>974</v>
      </c>
      <c r="K295" t="b">
        <f t="shared" si="149"/>
        <v>0</v>
      </c>
      <c r="L295" s="48">
        <v>4.7699999999999996</v>
      </c>
      <c r="M295" s="72">
        <v>1</v>
      </c>
      <c r="N295">
        <v>20</v>
      </c>
      <c r="O295" s="31">
        <f t="shared" si="168"/>
        <v>0.95399999999999996</v>
      </c>
      <c r="P295" s="31">
        <f t="shared" si="169"/>
        <v>0.95399999999999996</v>
      </c>
      <c r="Q295" s="33">
        <f t="shared" si="170"/>
        <v>4.7699999999999996</v>
      </c>
      <c r="R295" s="29">
        <f t="shared" si="171"/>
        <v>5.7239999999999993</v>
      </c>
      <c r="S295" s="29">
        <f t="shared" si="159"/>
        <v>5.7239999999999993</v>
      </c>
      <c r="T295" s="35">
        <f t="shared" si="129"/>
        <v>43966</v>
      </c>
      <c r="U295" s="27"/>
      <c r="V295" s="27"/>
      <c r="W295" s="58">
        <f t="shared" si="167"/>
        <v>4.7699999999999996</v>
      </c>
      <c r="X295" s="31">
        <f t="shared" si="172"/>
        <v>0</v>
      </c>
      <c r="Y295" t="b">
        <f t="shared" si="173"/>
        <v>0</v>
      </c>
      <c r="Z295" s="78">
        <f t="shared" si="174"/>
        <v>-4.7699999999999996</v>
      </c>
    </row>
    <row r="296" spans="1:26" x14ac:dyDescent="0.25">
      <c r="A296" s="53">
        <v>2020</v>
      </c>
      <c r="B296" s="53">
        <v>57</v>
      </c>
      <c r="C296" s="71" t="s">
        <v>105</v>
      </c>
      <c r="D296" t="s">
        <v>689</v>
      </c>
      <c r="E296" s="9" t="s">
        <v>1275</v>
      </c>
      <c r="G296" s="1">
        <v>43882</v>
      </c>
      <c r="H296" t="s">
        <v>974</v>
      </c>
      <c r="K296" t="b">
        <f t="shared" si="149"/>
        <v>0</v>
      </c>
      <c r="L296" s="48">
        <v>5.4</v>
      </c>
      <c r="M296" s="72">
        <v>1</v>
      </c>
      <c r="N296">
        <v>20</v>
      </c>
      <c r="O296" s="31">
        <f t="shared" si="168"/>
        <v>1.08</v>
      </c>
      <c r="P296" s="31">
        <f t="shared" si="169"/>
        <v>1.08</v>
      </c>
      <c r="Q296" s="33">
        <f t="shared" si="170"/>
        <v>5.4</v>
      </c>
      <c r="R296" s="29">
        <f t="shared" si="171"/>
        <v>6.48</v>
      </c>
      <c r="S296" s="29">
        <f t="shared" si="159"/>
        <v>6.48</v>
      </c>
      <c r="T296" s="35">
        <f t="shared" si="129"/>
        <v>43966</v>
      </c>
      <c r="U296" s="27"/>
      <c r="V296" s="27"/>
      <c r="W296" s="58">
        <f t="shared" si="167"/>
        <v>5.4</v>
      </c>
      <c r="X296" s="31">
        <f t="shared" si="172"/>
        <v>0</v>
      </c>
      <c r="Y296" t="b">
        <f t="shared" si="173"/>
        <v>0</v>
      </c>
      <c r="Z296" s="78">
        <f t="shared" si="174"/>
        <v>-5.4</v>
      </c>
    </row>
    <row r="297" spans="1:26" x14ac:dyDescent="0.25">
      <c r="A297" s="53">
        <v>2020</v>
      </c>
      <c r="B297" s="53">
        <v>58</v>
      </c>
      <c r="C297" s="71" t="s">
        <v>105</v>
      </c>
      <c r="D297" t="s">
        <v>689</v>
      </c>
      <c r="E297" s="9" t="s">
        <v>1276</v>
      </c>
      <c r="G297" s="1">
        <v>43882</v>
      </c>
      <c r="H297" t="s">
        <v>974</v>
      </c>
      <c r="K297" t="b">
        <f t="shared" si="149"/>
        <v>0</v>
      </c>
      <c r="L297" s="48">
        <v>1.58</v>
      </c>
      <c r="M297" s="72">
        <v>1</v>
      </c>
      <c r="N297">
        <v>20</v>
      </c>
      <c r="O297" s="31">
        <f t="shared" si="168"/>
        <v>0.316</v>
      </c>
      <c r="P297" s="31">
        <f t="shared" si="169"/>
        <v>0.316</v>
      </c>
      <c r="Q297" s="33">
        <f t="shared" si="170"/>
        <v>1.58</v>
      </c>
      <c r="R297" s="29">
        <f t="shared" si="171"/>
        <v>1.8960000000000001</v>
      </c>
      <c r="S297" s="29">
        <f t="shared" si="159"/>
        <v>1.8960000000000001</v>
      </c>
      <c r="T297" s="35">
        <f t="shared" si="129"/>
        <v>43966</v>
      </c>
      <c r="U297" s="27"/>
      <c r="V297" s="27"/>
      <c r="W297" s="58">
        <f t="shared" si="167"/>
        <v>1.58</v>
      </c>
      <c r="X297" s="31">
        <f t="shared" si="172"/>
        <v>0</v>
      </c>
      <c r="Y297" t="b">
        <f t="shared" si="173"/>
        <v>0</v>
      </c>
      <c r="Z297" s="78">
        <f t="shared" si="174"/>
        <v>-1.58</v>
      </c>
    </row>
    <row r="298" spans="1:26" x14ac:dyDescent="0.25">
      <c r="A298" s="53">
        <v>2020</v>
      </c>
      <c r="B298" s="53">
        <v>59</v>
      </c>
      <c r="C298" s="71" t="s">
        <v>105</v>
      </c>
      <c r="D298" t="s">
        <v>703</v>
      </c>
      <c r="E298" s="9" t="s">
        <v>1277</v>
      </c>
      <c r="G298" s="1">
        <v>43882</v>
      </c>
      <c r="H298" t="s">
        <v>1148</v>
      </c>
      <c r="K298" t="b">
        <f t="shared" si="149"/>
        <v>0</v>
      </c>
      <c r="L298" s="109">
        <v>35.24</v>
      </c>
      <c r="M298" s="72">
        <f>2/3</f>
        <v>0.66666666666666663</v>
      </c>
      <c r="N298">
        <v>20</v>
      </c>
      <c r="O298" s="31">
        <f t="shared" si="168"/>
        <v>7.0480000000000009</v>
      </c>
      <c r="P298" s="31">
        <f t="shared" si="169"/>
        <v>4.698666666666667</v>
      </c>
      <c r="Q298" s="33">
        <f t="shared" si="170"/>
        <v>23.493333333333332</v>
      </c>
      <c r="R298" s="29">
        <f t="shared" si="171"/>
        <v>42.288000000000004</v>
      </c>
      <c r="S298" s="29">
        <f t="shared" si="159"/>
        <v>28.192</v>
      </c>
      <c r="T298" s="35">
        <f t="shared" si="129"/>
        <v>43966</v>
      </c>
      <c r="U298" s="27"/>
      <c r="V298" s="27"/>
      <c r="W298" s="58">
        <f>IF(K298=TRUE,Q298/J298,Q298)</f>
        <v>23.493333333333332</v>
      </c>
      <c r="X298" s="31">
        <f t="shared" si="172"/>
        <v>0</v>
      </c>
      <c r="Y298" t="b">
        <f t="shared" si="173"/>
        <v>0</v>
      </c>
      <c r="Z298" s="78">
        <f t="shared" si="174"/>
        <v>-23.493333333333332</v>
      </c>
    </row>
    <row r="299" spans="1:26" x14ac:dyDescent="0.25">
      <c r="A299" s="53">
        <v>2020</v>
      </c>
      <c r="B299" s="53">
        <v>60</v>
      </c>
      <c r="C299" s="71" t="s">
        <v>105</v>
      </c>
      <c r="D299" t="s">
        <v>339</v>
      </c>
      <c r="E299" s="9" t="s">
        <v>1278</v>
      </c>
      <c r="G299" s="1">
        <v>43885</v>
      </c>
      <c r="H299" t="s">
        <v>924</v>
      </c>
      <c r="K299" t="b">
        <f t="shared" si="149"/>
        <v>0</v>
      </c>
      <c r="L299" s="48">
        <v>4.91</v>
      </c>
      <c r="M299" s="72">
        <v>1</v>
      </c>
      <c r="N299">
        <v>20</v>
      </c>
      <c r="O299" s="31">
        <f t="shared" si="168"/>
        <v>0.98199999999999998</v>
      </c>
      <c r="P299" s="31">
        <f t="shared" si="169"/>
        <v>0.98199999999999998</v>
      </c>
      <c r="Q299" s="33">
        <f t="shared" si="170"/>
        <v>4.91</v>
      </c>
      <c r="R299" s="29">
        <f t="shared" si="171"/>
        <v>5.8920000000000003</v>
      </c>
      <c r="S299" s="29">
        <f t="shared" si="159"/>
        <v>5.8920000000000003</v>
      </c>
      <c r="T299" s="35">
        <f t="shared" si="129"/>
        <v>43966</v>
      </c>
      <c r="U299" s="27"/>
      <c r="V299" s="27"/>
      <c r="W299" s="58">
        <f>IF(K299=TRUE,Q299/J299,Q299)</f>
        <v>4.91</v>
      </c>
      <c r="X299" s="31">
        <f t="shared" si="172"/>
        <v>0</v>
      </c>
      <c r="Y299" t="b">
        <f t="shared" si="173"/>
        <v>0</v>
      </c>
      <c r="Z299" s="78">
        <f t="shared" si="174"/>
        <v>-4.91</v>
      </c>
    </row>
    <row r="300" spans="1:26" x14ac:dyDescent="0.25">
      <c r="A300" s="53">
        <v>2020</v>
      </c>
      <c r="B300" s="53">
        <v>61</v>
      </c>
      <c r="C300" s="71" t="s">
        <v>105</v>
      </c>
      <c r="D300" t="s">
        <v>695</v>
      </c>
      <c r="E300" s="9">
        <v>11561270283</v>
      </c>
      <c r="G300" s="1">
        <v>43888</v>
      </c>
      <c r="H300" t="s">
        <v>952</v>
      </c>
      <c r="K300" t="b">
        <f t="shared" si="149"/>
        <v>0</v>
      </c>
      <c r="L300" s="48">
        <v>1676.19</v>
      </c>
      <c r="M300" s="72">
        <v>1</v>
      </c>
      <c r="N300">
        <v>0</v>
      </c>
      <c r="O300" s="31">
        <f t="shared" si="168"/>
        <v>0</v>
      </c>
      <c r="P300" s="31">
        <f t="shared" si="169"/>
        <v>0</v>
      </c>
      <c r="Q300" s="33">
        <f t="shared" si="170"/>
        <v>1676.19</v>
      </c>
      <c r="R300" s="29">
        <f t="shared" si="171"/>
        <v>1676.19</v>
      </c>
      <c r="S300" s="29">
        <f t="shared" si="159"/>
        <v>1676.19</v>
      </c>
      <c r="T300" s="35">
        <f t="shared" si="129"/>
        <v>43966</v>
      </c>
      <c r="U300" s="27"/>
      <c r="V300" s="27"/>
      <c r="W300" s="58">
        <f>IF(K300=TRUE,Q300/J300,Q300)</f>
        <v>1676.19</v>
      </c>
      <c r="X300" s="31">
        <f t="shared" si="172"/>
        <v>0</v>
      </c>
      <c r="Y300" t="b">
        <f t="shared" si="173"/>
        <v>0</v>
      </c>
      <c r="Z300" s="78">
        <f t="shared" si="174"/>
        <v>-1676.19</v>
      </c>
    </row>
    <row r="301" spans="1:26" x14ac:dyDescent="0.25">
      <c r="A301" s="53">
        <v>2020</v>
      </c>
      <c r="B301" s="53">
        <v>62</v>
      </c>
      <c r="C301" s="71" t="s">
        <v>105</v>
      </c>
      <c r="D301" t="s">
        <v>689</v>
      </c>
      <c r="E301" s="9" t="s">
        <v>1284</v>
      </c>
      <c r="G301" s="1">
        <v>43888</v>
      </c>
      <c r="H301" t="s">
        <v>974</v>
      </c>
      <c r="K301" t="b">
        <f t="shared" si="149"/>
        <v>0</v>
      </c>
      <c r="L301" s="48">
        <v>2.1</v>
      </c>
      <c r="M301" s="72">
        <v>1</v>
      </c>
      <c r="N301">
        <v>20</v>
      </c>
      <c r="O301" s="31">
        <f t="shared" si="168"/>
        <v>0.42</v>
      </c>
      <c r="P301" s="31">
        <f t="shared" si="169"/>
        <v>0.42</v>
      </c>
      <c r="Q301" s="33">
        <f t="shared" si="170"/>
        <v>2.1</v>
      </c>
      <c r="R301" s="29">
        <f t="shared" si="171"/>
        <v>2.52</v>
      </c>
      <c r="S301" s="29">
        <f t="shared" si="159"/>
        <v>2.52</v>
      </c>
      <c r="T301" s="35">
        <f t="shared" si="129"/>
        <v>43966</v>
      </c>
      <c r="U301" s="27"/>
      <c r="V301" s="27"/>
      <c r="W301" s="58">
        <f t="shared" ref="W301:W307" si="175">IF(K301=TRUE,Q301/I301,Q301)</f>
        <v>2.1</v>
      </c>
      <c r="X301" s="31">
        <f t="shared" si="172"/>
        <v>0</v>
      </c>
      <c r="Y301" t="b">
        <f t="shared" si="173"/>
        <v>0</v>
      </c>
      <c r="Z301" s="78">
        <f t="shared" si="174"/>
        <v>-2.1</v>
      </c>
    </row>
    <row r="302" spans="1:26" x14ac:dyDescent="0.25">
      <c r="A302" s="53">
        <v>2020</v>
      </c>
      <c r="B302" s="53">
        <v>63</v>
      </c>
      <c r="C302" s="71" t="s">
        <v>105</v>
      </c>
      <c r="D302" t="s">
        <v>689</v>
      </c>
      <c r="E302" s="9" t="s">
        <v>1285</v>
      </c>
      <c r="G302" s="1">
        <v>43889</v>
      </c>
      <c r="H302" t="s">
        <v>974</v>
      </c>
      <c r="K302" t="b">
        <f t="shared" si="149"/>
        <v>0</v>
      </c>
      <c r="L302" s="48">
        <v>7.8</v>
      </c>
      <c r="M302" s="72">
        <v>1</v>
      </c>
      <c r="N302">
        <v>20</v>
      </c>
      <c r="O302" s="31">
        <f t="shared" si="168"/>
        <v>1.56</v>
      </c>
      <c r="P302" s="31">
        <f t="shared" si="169"/>
        <v>1.56</v>
      </c>
      <c r="Q302" s="33">
        <f t="shared" si="170"/>
        <v>7.8</v>
      </c>
      <c r="R302" s="29">
        <f t="shared" si="171"/>
        <v>9.36</v>
      </c>
      <c r="S302" s="29">
        <f t="shared" si="159"/>
        <v>9.36</v>
      </c>
      <c r="T302" s="35">
        <f t="shared" si="129"/>
        <v>43966</v>
      </c>
      <c r="U302" s="27"/>
      <c r="V302" s="27"/>
      <c r="W302" s="58">
        <f t="shared" si="175"/>
        <v>7.8</v>
      </c>
      <c r="X302" s="31">
        <f t="shared" si="172"/>
        <v>0</v>
      </c>
      <c r="Y302" t="b">
        <f t="shared" si="173"/>
        <v>0</v>
      </c>
      <c r="Z302" s="78">
        <f t="shared" si="174"/>
        <v>-7.8</v>
      </c>
    </row>
    <row r="303" spans="1:26" x14ac:dyDescent="0.25">
      <c r="A303" s="53">
        <v>2020</v>
      </c>
      <c r="B303" s="53">
        <v>64</v>
      </c>
      <c r="C303" s="71" t="s">
        <v>105</v>
      </c>
      <c r="D303" t="s">
        <v>689</v>
      </c>
      <c r="E303" s="9" t="s">
        <v>1282</v>
      </c>
      <c r="G303" s="1">
        <v>43892</v>
      </c>
      <c r="H303" t="s">
        <v>974</v>
      </c>
      <c r="K303" t="b">
        <f t="shared" si="149"/>
        <v>0</v>
      </c>
      <c r="L303" s="48">
        <v>2.0699999999999998</v>
      </c>
      <c r="M303" s="72">
        <v>1</v>
      </c>
      <c r="N303">
        <v>20</v>
      </c>
      <c r="O303" s="31">
        <f t="shared" si="168"/>
        <v>0.41399999999999998</v>
      </c>
      <c r="P303" s="31">
        <f t="shared" si="169"/>
        <v>0.41399999999999998</v>
      </c>
      <c r="Q303" s="33">
        <f t="shared" si="170"/>
        <v>2.0699999999999998</v>
      </c>
      <c r="R303" s="29">
        <f t="shared" si="171"/>
        <v>2.484</v>
      </c>
      <c r="S303" s="29">
        <f t="shared" si="159"/>
        <v>2.484</v>
      </c>
      <c r="T303" s="35">
        <f t="shared" si="129"/>
        <v>43966</v>
      </c>
      <c r="U303" s="27"/>
      <c r="V303" s="27"/>
      <c r="W303" s="58">
        <f t="shared" si="175"/>
        <v>2.0699999999999998</v>
      </c>
      <c r="X303" s="31">
        <f t="shared" si="172"/>
        <v>0</v>
      </c>
      <c r="Y303" t="b">
        <f t="shared" si="173"/>
        <v>0</v>
      </c>
      <c r="Z303" s="78">
        <f t="shared" si="174"/>
        <v>-2.0699999999999998</v>
      </c>
    </row>
    <row r="304" spans="1:26" x14ac:dyDescent="0.25">
      <c r="A304" s="53">
        <v>2020</v>
      </c>
      <c r="B304" s="53">
        <v>65</v>
      </c>
      <c r="C304" s="71" t="s">
        <v>105</v>
      </c>
      <c r="D304" t="s">
        <v>689</v>
      </c>
      <c r="E304" s="9" t="s">
        <v>1283</v>
      </c>
      <c r="G304" s="1">
        <v>43892</v>
      </c>
      <c r="H304" t="s">
        <v>974</v>
      </c>
      <c r="K304" t="b">
        <f t="shared" si="149"/>
        <v>0</v>
      </c>
      <c r="L304" s="48">
        <v>3.3</v>
      </c>
      <c r="M304" s="72">
        <v>1</v>
      </c>
      <c r="N304">
        <v>20</v>
      </c>
      <c r="O304" s="31">
        <f t="shared" si="168"/>
        <v>0.66</v>
      </c>
      <c r="P304" s="31">
        <f t="shared" si="169"/>
        <v>0.66</v>
      </c>
      <c r="Q304" s="33">
        <f t="shared" si="170"/>
        <v>3.3</v>
      </c>
      <c r="R304" s="29">
        <f t="shared" si="171"/>
        <v>3.96</v>
      </c>
      <c r="S304" s="29">
        <f t="shared" si="159"/>
        <v>3.96</v>
      </c>
      <c r="T304" s="35">
        <f t="shared" si="129"/>
        <v>43966</v>
      </c>
      <c r="U304" s="27"/>
      <c r="V304" s="27"/>
      <c r="W304" s="58">
        <f t="shared" si="175"/>
        <v>3.3</v>
      </c>
      <c r="X304" s="31">
        <f t="shared" si="172"/>
        <v>0</v>
      </c>
      <c r="Y304" t="b">
        <f t="shared" si="173"/>
        <v>0</v>
      </c>
      <c r="Z304" s="78">
        <f t="shared" si="174"/>
        <v>-3.3</v>
      </c>
    </row>
    <row r="305" spans="1:26" x14ac:dyDescent="0.25">
      <c r="A305" s="53">
        <v>2020</v>
      </c>
      <c r="B305" s="53">
        <v>66</v>
      </c>
      <c r="C305" s="71" t="s">
        <v>105</v>
      </c>
      <c r="D305" t="s">
        <v>689</v>
      </c>
      <c r="E305" s="9" t="s">
        <v>1286</v>
      </c>
      <c r="G305" s="1">
        <v>43892</v>
      </c>
      <c r="H305" t="s">
        <v>974</v>
      </c>
      <c r="K305" t="b">
        <f t="shared" si="149"/>
        <v>0</v>
      </c>
      <c r="L305" s="48">
        <v>1.58</v>
      </c>
      <c r="M305" s="72">
        <v>1</v>
      </c>
      <c r="N305">
        <v>20</v>
      </c>
      <c r="O305" s="31">
        <f t="shared" si="168"/>
        <v>0.316</v>
      </c>
      <c r="P305" s="31">
        <f t="shared" si="169"/>
        <v>0.316</v>
      </c>
      <c r="Q305" s="33">
        <f t="shared" si="170"/>
        <v>1.58</v>
      </c>
      <c r="R305" s="29">
        <f t="shared" si="171"/>
        <v>1.8960000000000001</v>
      </c>
      <c r="S305" s="29">
        <f t="shared" si="159"/>
        <v>1.8960000000000001</v>
      </c>
      <c r="T305" s="35">
        <f t="shared" si="129"/>
        <v>43966</v>
      </c>
      <c r="U305" s="27"/>
      <c r="V305" s="27"/>
      <c r="W305" s="58">
        <f t="shared" si="175"/>
        <v>1.58</v>
      </c>
      <c r="X305" s="31">
        <f t="shared" si="172"/>
        <v>0</v>
      </c>
      <c r="Y305" t="b">
        <f t="shared" si="173"/>
        <v>0</v>
      </c>
      <c r="Z305" s="78">
        <f t="shared" si="174"/>
        <v>-1.58</v>
      </c>
    </row>
    <row r="306" spans="1:26" x14ac:dyDescent="0.25">
      <c r="A306" s="53">
        <v>2020</v>
      </c>
      <c r="B306" s="53">
        <v>67</v>
      </c>
      <c r="C306" s="71" t="s">
        <v>105</v>
      </c>
      <c r="D306" t="s">
        <v>689</v>
      </c>
      <c r="E306" s="9" t="s">
        <v>1287</v>
      </c>
      <c r="G306" s="1">
        <v>43892</v>
      </c>
      <c r="H306" t="s">
        <v>974</v>
      </c>
      <c r="K306" t="b">
        <f t="shared" si="149"/>
        <v>0</v>
      </c>
      <c r="L306" s="48">
        <v>5.63</v>
      </c>
      <c r="M306" s="72">
        <v>1</v>
      </c>
      <c r="N306">
        <v>20</v>
      </c>
      <c r="O306" s="31">
        <f t="shared" si="168"/>
        <v>1.1259999999999999</v>
      </c>
      <c r="P306" s="31">
        <f t="shared" si="169"/>
        <v>1.1259999999999999</v>
      </c>
      <c r="Q306" s="33">
        <f t="shared" si="170"/>
        <v>5.63</v>
      </c>
      <c r="R306" s="29">
        <f t="shared" si="171"/>
        <v>6.7560000000000002</v>
      </c>
      <c r="S306" s="29">
        <f t="shared" si="159"/>
        <v>6.7560000000000002</v>
      </c>
      <c r="T306" s="35">
        <f t="shared" si="129"/>
        <v>43966</v>
      </c>
      <c r="U306" s="27"/>
      <c r="V306" s="27"/>
      <c r="W306" s="58">
        <f t="shared" si="175"/>
        <v>5.63</v>
      </c>
      <c r="X306" s="31">
        <f t="shared" si="172"/>
        <v>0</v>
      </c>
      <c r="Y306" t="b">
        <f t="shared" si="173"/>
        <v>0</v>
      </c>
      <c r="Z306" s="78">
        <f t="shared" si="174"/>
        <v>-5.63</v>
      </c>
    </row>
    <row r="307" spans="1:26" x14ac:dyDescent="0.25">
      <c r="A307" s="53">
        <v>2020</v>
      </c>
      <c r="B307" s="53">
        <v>68</v>
      </c>
      <c r="C307" s="71" t="s">
        <v>105</v>
      </c>
      <c r="D307" t="s">
        <v>689</v>
      </c>
      <c r="E307" s="9" t="s">
        <v>1288</v>
      </c>
      <c r="G307" s="1">
        <v>43892</v>
      </c>
      <c r="H307" t="s">
        <v>974</v>
      </c>
      <c r="K307" t="b">
        <f t="shared" si="149"/>
        <v>0</v>
      </c>
      <c r="L307" s="48">
        <v>5.7</v>
      </c>
      <c r="M307" s="72">
        <v>1</v>
      </c>
      <c r="N307">
        <v>20</v>
      </c>
      <c r="O307" s="31">
        <f t="shared" si="168"/>
        <v>1.1399999999999999</v>
      </c>
      <c r="P307" s="31">
        <f t="shared" si="169"/>
        <v>1.1399999999999999</v>
      </c>
      <c r="Q307" s="33">
        <f t="shared" si="170"/>
        <v>5.7</v>
      </c>
      <c r="R307" s="29">
        <f t="shared" si="171"/>
        <v>6.84</v>
      </c>
      <c r="S307" s="29">
        <f t="shared" si="159"/>
        <v>6.84</v>
      </c>
      <c r="T307" s="35">
        <f t="shared" si="129"/>
        <v>43966</v>
      </c>
      <c r="U307" s="27"/>
      <c r="V307" s="27"/>
      <c r="W307" s="58">
        <f t="shared" si="175"/>
        <v>5.7</v>
      </c>
      <c r="X307" s="31">
        <f t="shared" si="172"/>
        <v>0</v>
      </c>
      <c r="Y307" t="b">
        <f t="shared" si="173"/>
        <v>0</v>
      </c>
      <c r="Z307" s="78">
        <f t="shared" si="174"/>
        <v>-5.7</v>
      </c>
    </row>
    <row r="308" spans="1:26" x14ac:dyDescent="0.25">
      <c r="A308" s="53">
        <v>2020</v>
      </c>
      <c r="B308" s="53">
        <v>69</v>
      </c>
      <c r="C308" s="71" t="s">
        <v>105</v>
      </c>
      <c r="D308" t="s">
        <v>691</v>
      </c>
      <c r="E308" s="9" t="s">
        <v>1250</v>
      </c>
      <c r="G308" s="1">
        <v>43892</v>
      </c>
      <c r="H308" t="s">
        <v>1113</v>
      </c>
      <c r="K308" t="b">
        <v>0</v>
      </c>
      <c r="L308" s="48">
        <v>462.44</v>
      </c>
      <c r="M308" s="72">
        <v>1</v>
      </c>
      <c r="N308">
        <v>20</v>
      </c>
      <c r="O308" s="31">
        <f t="shared" si="168"/>
        <v>92.488</v>
      </c>
      <c r="P308" s="31">
        <f t="shared" si="169"/>
        <v>92.488</v>
      </c>
      <c r="Q308" s="33">
        <f t="shared" si="170"/>
        <v>462.44</v>
      </c>
      <c r="R308" s="29">
        <f t="shared" si="171"/>
        <v>554.928</v>
      </c>
      <c r="S308" s="29">
        <f t="shared" si="159"/>
        <v>554.928</v>
      </c>
      <c r="T308" s="35">
        <f t="shared" si="129"/>
        <v>43966</v>
      </c>
      <c r="U308" s="27"/>
      <c r="V308" s="27"/>
      <c r="W308" s="58">
        <f>IF(K308=TRUE,Q308/J308,Q308)</f>
        <v>462.44</v>
      </c>
      <c r="X308" s="31">
        <f t="shared" si="172"/>
        <v>0</v>
      </c>
      <c r="Y308" t="b">
        <f t="shared" si="173"/>
        <v>0</v>
      </c>
      <c r="Z308" s="78">
        <f t="shared" si="174"/>
        <v>-462.44</v>
      </c>
    </row>
    <row r="309" spans="1:26" x14ac:dyDescent="0.25">
      <c r="A309" s="53">
        <v>2020</v>
      </c>
      <c r="B309" s="53">
        <v>70</v>
      </c>
      <c r="C309" s="71" t="s">
        <v>105</v>
      </c>
      <c r="D309" t="s">
        <v>693</v>
      </c>
      <c r="E309" s="9" t="s">
        <v>1289</v>
      </c>
      <c r="G309" s="1">
        <v>43892</v>
      </c>
      <c r="H309" t="s">
        <v>961</v>
      </c>
      <c r="K309" t="b">
        <f t="shared" ref="K309:K338" si="176">(IF(AND(I309&lt;&gt;"",AND(J309="",ABS(Q309)&gt;400)),TRUE,FALSE))</f>
        <v>0</v>
      </c>
      <c r="L309" s="48">
        <v>24.88</v>
      </c>
      <c r="M309" s="72">
        <v>1</v>
      </c>
      <c r="N309">
        <v>0</v>
      </c>
      <c r="O309" s="31">
        <f t="shared" si="168"/>
        <v>0</v>
      </c>
      <c r="P309" s="31">
        <f t="shared" si="169"/>
        <v>0</v>
      </c>
      <c r="Q309" s="33">
        <f t="shared" si="170"/>
        <v>24.88</v>
      </c>
      <c r="R309" s="29">
        <f t="shared" si="171"/>
        <v>24.88</v>
      </c>
      <c r="S309" s="29">
        <f t="shared" si="159"/>
        <v>24.88</v>
      </c>
      <c r="T309" s="35">
        <f t="shared" ref="T309:T372" si="177">voranmeldefrist_vierteljaehrlich(G309)</f>
        <v>43966</v>
      </c>
      <c r="U309" s="27"/>
      <c r="V309" s="27">
        <v>20</v>
      </c>
      <c r="W309" s="58">
        <f>IF(K309=TRUE,Q309/I309,Q309)</f>
        <v>24.88</v>
      </c>
      <c r="X309" s="31">
        <f t="shared" si="172"/>
        <v>4.976</v>
      </c>
      <c r="Y309" t="b">
        <f t="shared" si="173"/>
        <v>0</v>
      </c>
      <c r="Z309" s="78">
        <f t="shared" si="174"/>
        <v>-24.88</v>
      </c>
    </row>
    <row r="310" spans="1:26" x14ac:dyDescent="0.25">
      <c r="A310" s="53">
        <v>2020</v>
      </c>
      <c r="B310" s="53">
        <v>71</v>
      </c>
      <c r="C310" s="71" t="s">
        <v>105</v>
      </c>
      <c r="D310" t="s">
        <v>689</v>
      </c>
      <c r="E310" s="9" t="s">
        <v>1290</v>
      </c>
      <c r="G310" s="1">
        <v>43894</v>
      </c>
      <c r="H310" t="s">
        <v>974</v>
      </c>
      <c r="K310" t="b">
        <f t="shared" si="176"/>
        <v>0</v>
      </c>
      <c r="L310" s="48">
        <v>7.49</v>
      </c>
      <c r="M310" s="72">
        <v>1</v>
      </c>
      <c r="N310">
        <v>20</v>
      </c>
      <c r="O310" s="31">
        <f t="shared" si="168"/>
        <v>1.4980000000000002</v>
      </c>
      <c r="P310" s="31">
        <f t="shared" si="169"/>
        <v>1.4980000000000002</v>
      </c>
      <c r="Q310" s="33">
        <f t="shared" si="170"/>
        <v>7.49</v>
      </c>
      <c r="R310" s="29">
        <f t="shared" si="171"/>
        <v>8.9879999999999995</v>
      </c>
      <c r="S310" s="29">
        <f t="shared" si="159"/>
        <v>8.9879999999999995</v>
      </c>
      <c r="T310" s="35">
        <f t="shared" si="177"/>
        <v>43966</v>
      </c>
      <c r="U310" s="27"/>
      <c r="V310" s="27"/>
      <c r="W310" s="58">
        <f>IF(K310=TRUE,Q310/I310,Q310)</f>
        <v>7.49</v>
      </c>
      <c r="X310" s="31">
        <f t="shared" si="172"/>
        <v>0</v>
      </c>
      <c r="Y310" t="b">
        <f t="shared" si="173"/>
        <v>0</v>
      </c>
      <c r="Z310" s="78">
        <f t="shared" si="174"/>
        <v>-7.49</v>
      </c>
    </row>
    <row r="311" spans="1:26" x14ac:dyDescent="0.25">
      <c r="A311" s="53">
        <v>2020</v>
      </c>
      <c r="B311" s="53">
        <v>72</v>
      </c>
      <c r="C311" s="71" t="s">
        <v>105</v>
      </c>
      <c r="D311" t="s">
        <v>689</v>
      </c>
      <c r="E311" s="9" t="s">
        <v>1291</v>
      </c>
      <c r="G311" s="1">
        <v>43894</v>
      </c>
      <c r="H311" t="s">
        <v>974</v>
      </c>
      <c r="K311" t="b">
        <f t="shared" si="176"/>
        <v>0</v>
      </c>
      <c r="L311" s="48">
        <v>5.68</v>
      </c>
      <c r="M311" s="72">
        <v>1</v>
      </c>
      <c r="N311">
        <v>20</v>
      </c>
      <c r="O311" s="31">
        <f t="shared" si="168"/>
        <v>1.1359999999999999</v>
      </c>
      <c r="P311" s="31">
        <f t="shared" si="169"/>
        <v>1.1359999999999999</v>
      </c>
      <c r="Q311" s="33">
        <f t="shared" si="170"/>
        <v>5.68</v>
      </c>
      <c r="R311" s="29">
        <f t="shared" si="171"/>
        <v>6.8159999999999998</v>
      </c>
      <c r="S311" s="29">
        <f t="shared" si="159"/>
        <v>6.8159999999999998</v>
      </c>
      <c r="T311" s="35">
        <f t="shared" si="177"/>
        <v>43966</v>
      </c>
      <c r="U311" s="27"/>
      <c r="V311" s="27"/>
      <c r="W311" s="58">
        <f>IF(K311=TRUE,Q311/I311,Q311)</f>
        <v>5.68</v>
      </c>
      <c r="X311" s="31">
        <f t="shared" si="172"/>
        <v>0</v>
      </c>
      <c r="Y311" t="b">
        <f t="shared" si="173"/>
        <v>0</v>
      </c>
      <c r="Z311" s="78">
        <f t="shared" si="174"/>
        <v>-5.68</v>
      </c>
    </row>
    <row r="312" spans="1:26" x14ac:dyDescent="0.25">
      <c r="A312" s="53">
        <v>2020</v>
      </c>
      <c r="B312" s="53">
        <v>73</v>
      </c>
      <c r="C312" s="71" t="s">
        <v>105</v>
      </c>
      <c r="D312" t="s">
        <v>705</v>
      </c>
      <c r="E312" s="9" t="s">
        <v>1225</v>
      </c>
      <c r="G312" s="1">
        <v>43894</v>
      </c>
      <c r="H312" t="s">
        <v>1154</v>
      </c>
      <c r="K312" t="b">
        <f t="shared" si="176"/>
        <v>0</v>
      </c>
      <c r="L312" s="48">
        <f>S312/1.2</f>
        <v>2.5</v>
      </c>
      <c r="M312" s="72">
        <v>1</v>
      </c>
      <c r="N312">
        <v>20</v>
      </c>
      <c r="O312" s="31">
        <f t="shared" si="168"/>
        <v>0.5</v>
      </c>
      <c r="P312" s="31">
        <f t="shared" si="169"/>
        <v>0.5</v>
      </c>
      <c r="Q312" s="33">
        <f t="shared" si="170"/>
        <v>2.5</v>
      </c>
      <c r="R312" s="29">
        <f t="shared" si="171"/>
        <v>3</v>
      </c>
      <c r="S312" s="29">
        <v>3</v>
      </c>
      <c r="T312" s="35">
        <f t="shared" si="177"/>
        <v>43966</v>
      </c>
      <c r="U312" s="27"/>
      <c r="V312" s="27"/>
      <c r="W312" s="58">
        <f>IF(K312=TRUE,Q312/J312,Q312)</f>
        <v>2.5</v>
      </c>
      <c r="X312" s="31">
        <f t="shared" si="172"/>
        <v>0</v>
      </c>
      <c r="Y312" t="b">
        <f t="shared" si="173"/>
        <v>0</v>
      </c>
      <c r="Z312" s="78">
        <f t="shared" si="174"/>
        <v>-2.5</v>
      </c>
    </row>
    <row r="313" spans="1:26" x14ac:dyDescent="0.25">
      <c r="A313" s="53">
        <v>2020</v>
      </c>
      <c r="B313" s="53">
        <v>74</v>
      </c>
      <c r="C313" s="71" t="s">
        <v>105</v>
      </c>
      <c r="D313" t="s">
        <v>689</v>
      </c>
      <c r="E313" s="9" t="s">
        <v>1292</v>
      </c>
      <c r="G313" s="1">
        <v>43895</v>
      </c>
      <c r="H313" t="s">
        <v>974</v>
      </c>
      <c r="K313" t="b">
        <f t="shared" si="176"/>
        <v>0</v>
      </c>
      <c r="L313" s="48">
        <v>3</v>
      </c>
      <c r="M313" s="72">
        <v>1</v>
      </c>
      <c r="N313">
        <v>20</v>
      </c>
      <c r="O313" s="31">
        <f t="shared" si="168"/>
        <v>0.6</v>
      </c>
      <c r="P313" s="31">
        <f t="shared" si="169"/>
        <v>0.6</v>
      </c>
      <c r="Q313" s="33">
        <f t="shared" si="170"/>
        <v>3</v>
      </c>
      <c r="R313" s="29">
        <f t="shared" si="171"/>
        <v>3.6</v>
      </c>
      <c r="S313" s="29">
        <f t="shared" ref="S313:S320" si="178">Q313+P313</f>
        <v>3.6</v>
      </c>
      <c r="T313" s="35">
        <f t="shared" si="177"/>
        <v>43966</v>
      </c>
      <c r="U313" s="27"/>
      <c r="V313" s="27"/>
      <c r="W313" s="58">
        <f t="shared" ref="W313:W320" si="179">IF(K313=TRUE,Q313/I313,Q313)</f>
        <v>3</v>
      </c>
      <c r="X313" s="31">
        <f t="shared" si="172"/>
        <v>0</v>
      </c>
      <c r="Y313" t="b">
        <f t="shared" si="173"/>
        <v>0</v>
      </c>
      <c r="Z313" s="78">
        <f t="shared" si="174"/>
        <v>-3</v>
      </c>
    </row>
    <row r="314" spans="1:26" x14ac:dyDescent="0.25">
      <c r="A314" s="53">
        <v>2020</v>
      </c>
      <c r="B314" s="53">
        <v>75</v>
      </c>
      <c r="C314" s="71" t="s">
        <v>105</v>
      </c>
      <c r="D314" t="s">
        <v>689</v>
      </c>
      <c r="E314" s="9" t="s">
        <v>1293</v>
      </c>
      <c r="G314" s="1">
        <v>43895</v>
      </c>
      <c r="H314" t="s">
        <v>974</v>
      </c>
      <c r="K314" t="b">
        <f t="shared" si="176"/>
        <v>0</v>
      </c>
      <c r="L314" s="48">
        <v>2.58</v>
      </c>
      <c r="M314" s="72">
        <v>1</v>
      </c>
      <c r="N314">
        <v>20</v>
      </c>
      <c r="O314" s="31">
        <f t="shared" si="168"/>
        <v>0.51600000000000001</v>
      </c>
      <c r="P314" s="31">
        <f t="shared" si="169"/>
        <v>0.51600000000000001</v>
      </c>
      <c r="Q314" s="33">
        <f t="shared" si="170"/>
        <v>2.58</v>
      </c>
      <c r="R314" s="29">
        <f t="shared" si="171"/>
        <v>3.0960000000000001</v>
      </c>
      <c r="S314" s="29">
        <f t="shared" si="178"/>
        <v>3.0960000000000001</v>
      </c>
      <c r="T314" s="35">
        <f t="shared" si="177"/>
        <v>43966</v>
      </c>
      <c r="U314" s="27"/>
      <c r="V314" s="27"/>
      <c r="W314" s="58">
        <f t="shared" si="179"/>
        <v>2.58</v>
      </c>
      <c r="X314" s="31">
        <f t="shared" si="172"/>
        <v>0</v>
      </c>
      <c r="Y314" t="b">
        <f t="shared" si="173"/>
        <v>0</v>
      </c>
      <c r="Z314" s="78">
        <f t="shared" si="174"/>
        <v>-2.58</v>
      </c>
    </row>
    <row r="315" spans="1:26" x14ac:dyDescent="0.25">
      <c r="A315" s="53">
        <v>2020</v>
      </c>
      <c r="B315" s="53">
        <v>76</v>
      </c>
      <c r="C315" s="71" t="s">
        <v>105</v>
      </c>
      <c r="D315" t="s">
        <v>689</v>
      </c>
      <c r="E315" s="9" t="s">
        <v>968</v>
      </c>
      <c r="G315" s="1">
        <v>43895</v>
      </c>
      <c r="H315" t="s">
        <v>962</v>
      </c>
      <c r="K315" t="b">
        <f t="shared" si="176"/>
        <v>0</v>
      </c>
      <c r="L315" s="48">
        <f>365-33.18</f>
        <v>331.82</v>
      </c>
      <c r="M315" s="72">
        <v>1</v>
      </c>
      <c r="N315">
        <v>10</v>
      </c>
      <c r="O315" s="31">
        <f t="shared" si="168"/>
        <v>33.181999999999995</v>
      </c>
      <c r="P315" s="31">
        <f t="shared" si="169"/>
        <v>33.181999999999995</v>
      </c>
      <c r="Q315" s="33">
        <f t="shared" si="170"/>
        <v>331.82</v>
      </c>
      <c r="R315" s="29">
        <f t="shared" si="171"/>
        <v>365.00200000000001</v>
      </c>
      <c r="S315" s="29">
        <f t="shared" si="178"/>
        <v>365.00200000000001</v>
      </c>
      <c r="T315" s="35">
        <f t="shared" si="177"/>
        <v>43966</v>
      </c>
      <c r="U315" s="27"/>
      <c r="V315" s="27"/>
      <c r="W315" s="58">
        <f t="shared" si="179"/>
        <v>331.82</v>
      </c>
      <c r="X315" s="31">
        <f t="shared" si="172"/>
        <v>0</v>
      </c>
      <c r="Y315" t="b">
        <f t="shared" si="173"/>
        <v>0</v>
      </c>
      <c r="Z315" s="78">
        <f t="shared" si="174"/>
        <v>-331.82</v>
      </c>
    </row>
    <row r="316" spans="1:26" x14ac:dyDescent="0.25">
      <c r="A316" s="53">
        <v>2020</v>
      </c>
      <c r="B316" s="53">
        <v>77</v>
      </c>
      <c r="C316" s="71" t="s">
        <v>105</v>
      </c>
      <c r="D316" t="s">
        <v>703</v>
      </c>
      <c r="E316" s="9" t="s">
        <v>1294</v>
      </c>
      <c r="G316" s="1">
        <v>43896</v>
      </c>
      <c r="H316" t="s">
        <v>34</v>
      </c>
      <c r="K316" t="b">
        <f t="shared" si="176"/>
        <v>0</v>
      </c>
      <c r="L316" s="48">
        <v>15</v>
      </c>
      <c r="M316" s="72">
        <v>1</v>
      </c>
      <c r="N316">
        <v>20</v>
      </c>
      <c r="O316" s="31">
        <f t="shared" si="168"/>
        <v>3</v>
      </c>
      <c r="P316" s="31">
        <f t="shared" si="169"/>
        <v>3</v>
      </c>
      <c r="Q316" s="33">
        <f t="shared" si="170"/>
        <v>15</v>
      </c>
      <c r="R316" s="29">
        <f t="shared" si="171"/>
        <v>18</v>
      </c>
      <c r="S316" s="29">
        <f t="shared" si="178"/>
        <v>18</v>
      </c>
      <c r="T316" s="35">
        <f t="shared" si="177"/>
        <v>43966</v>
      </c>
      <c r="U316" s="27"/>
      <c r="V316" s="27"/>
      <c r="W316" s="58">
        <f t="shared" si="179"/>
        <v>15</v>
      </c>
      <c r="X316" s="31">
        <f t="shared" si="172"/>
        <v>0</v>
      </c>
      <c r="Y316" t="b">
        <f t="shared" si="173"/>
        <v>0</v>
      </c>
      <c r="Z316" s="78">
        <f t="shared" si="174"/>
        <v>-15</v>
      </c>
    </row>
    <row r="317" spans="1:26" x14ac:dyDescent="0.25">
      <c r="A317" s="53">
        <v>2020</v>
      </c>
      <c r="B317" s="53">
        <v>78</v>
      </c>
      <c r="C317" s="71" t="s">
        <v>105</v>
      </c>
      <c r="D317" t="s">
        <v>705</v>
      </c>
      <c r="E317" s="9" t="s">
        <v>1143</v>
      </c>
      <c r="G317" s="1">
        <v>43896</v>
      </c>
      <c r="H317" t="s">
        <v>1128</v>
      </c>
      <c r="K317" t="b">
        <f t="shared" si="176"/>
        <v>0</v>
      </c>
      <c r="L317" s="48">
        <f>43.9/1.2</f>
        <v>36.583333333333336</v>
      </c>
      <c r="M317" s="72">
        <v>1</v>
      </c>
      <c r="N317">
        <v>20</v>
      </c>
      <c r="O317" s="31">
        <f t="shared" si="168"/>
        <v>7.3166666666666673</v>
      </c>
      <c r="P317" s="31">
        <f t="shared" si="169"/>
        <v>7.3166666666666673</v>
      </c>
      <c r="Q317" s="33">
        <f t="shared" si="170"/>
        <v>36.583333333333336</v>
      </c>
      <c r="R317" s="29">
        <f t="shared" si="171"/>
        <v>43.900000000000006</v>
      </c>
      <c r="S317" s="29">
        <f t="shared" si="178"/>
        <v>43.900000000000006</v>
      </c>
      <c r="T317" s="35">
        <f t="shared" si="177"/>
        <v>43966</v>
      </c>
      <c r="U317" s="27"/>
      <c r="V317" s="27"/>
      <c r="W317" s="58">
        <f t="shared" si="179"/>
        <v>36.583333333333336</v>
      </c>
      <c r="X317" s="31">
        <f t="shared" si="172"/>
        <v>0</v>
      </c>
      <c r="Y317" t="b">
        <f t="shared" si="173"/>
        <v>0</v>
      </c>
      <c r="Z317" s="78">
        <f t="shared" si="174"/>
        <v>-36.583333333333336</v>
      </c>
    </row>
    <row r="318" spans="1:26" x14ac:dyDescent="0.25">
      <c r="A318" s="53">
        <v>2020</v>
      </c>
      <c r="B318" s="53">
        <v>79</v>
      </c>
      <c r="C318" s="71" t="s">
        <v>105</v>
      </c>
      <c r="D318" t="s">
        <v>689</v>
      </c>
      <c r="E318" s="9" t="s">
        <v>1295</v>
      </c>
      <c r="G318" s="1">
        <v>43896</v>
      </c>
      <c r="H318" t="s">
        <v>974</v>
      </c>
      <c r="K318" t="b">
        <f t="shared" si="176"/>
        <v>0</v>
      </c>
      <c r="L318" s="48">
        <v>6.2</v>
      </c>
      <c r="M318" s="72">
        <v>1</v>
      </c>
      <c r="N318">
        <v>20</v>
      </c>
      <c r="O318" s="31">
        <f t="shared" si="168"/>
        <v>1.24</v>
      </c>
      <c r="P318" s="31">
        <f t="shared" si="169"/>
        <v>1.24</v>
      </c>
      <c r="Q318" s="33">
        <f t="shared" si="170"/>
        <v>6.2</v>
      </c>
      <c r="R318" s="29">
        <f t="shared" si="171"/>
        <v>7.44</v>
      </c>
      <c r="S318" s="29">
        <f t="shared" si="178"/>
        <v>7.44</v>
      </c>
      <c r="T318" s="35">
        <f t="shared" si="177"/>
        <v>43966</v>
      </c>
      <c r="U318" s="27"/>
      <c r="V318" s="27"/>
      <c r="W318" s="58">
        <f t="shared" si="179"/>
        <v>6.2</v>
      </c>
      <c r="X318" s="31">
        <f t="shared" si="172"/>
        <v>0</v>
      </c>
      <c r="Y318" t="b">
        <f t="shared" si="173"/>
        <v>0</v>
      </c>
      <c r="Z318" s="78">
        <f t="shared" si="174"/>
        <v>-6.2</v>
      </c>
    </row>
    <row r="319" spans="1:26" x14ac:dyDescent="0.25">
      <c r="A319" s="53">
        <v>2020</v>
      </c>
      <c r="B319" s="53">
        <v>80</v>
      </c>
      <c r="C319" s="71" t="s">
        <v>105</v>
      </c>
      <c r="D319" t="s">
        <v>689</v>
      </c>
      <c r="E319" s="9" t="s">
        <v>1296</v>
      </c>
      <c r="G319" s="1">
        <v>43896</v>
      </c>
      <c r="H319" t="s">
        <v>974</v>
      </c>
      <c r="K319" t="b">
        <f t="shared" si="176"/>
        <v>0</v>
      </c>
      <c r="L319" s="48">
        <v>13.3</v>
      </c>
      <c r="M319" s="72">
        <v>1</v>
      </c>
      <c r="N319">
        <v>20</v>
      </c>
      <c r="O319" s="31">
        <f t="shared" si="168"/>
        <v>2.66</v>
      </c>
      <c r="P319" s="31">
        <f t="shared" si="169"/>
        <v>2.66</v>
      </c>
      <c r="Q319" s="33">
        <f t="shared" si="170"/>
        <v>13.3</v>
      </c>
      <c r="R319" s="29">
        <f t="shared" si="171"/>
        <v>15.96</v>
      </c>
      <c r="S319" s="29">
        <f t="shared" si="178"/>
        <v>15.96</v>
      </c>
      <c r="T319" s="35">
        <f t="shared" si="177"/>
        <v>43966</v>
      </c>
      <c r="U319" s="27"/>
      <c r="V319" s="27"/>
      <c r="W319" s="58">
        <f t="shared" si="179"/>
        <v>13.3</v>
      </c>
      <c r="X319" s="31">
        <f t="shared" si="172"/>
        <v>0</v>
      </c>
      <c r="Y319" t="b">
        <f t="shared" si="173"/>
        <v>0</v>
      </c>
      <c r="Z319" s="78">
        <f t="shared" si="174"/>
        <v>-13.3</v>
      </c>
    </row>
    <row r="320" spans="1:26" x14ac:dyDescent="0.25">
      <c r="A320" s="53">
        <v>2020</v>
      </c>
      <c r="B320" s="53">
        <v>81</v>
      </c>
      <c r="C320" s="71" t="s">
        <v>105</v>
      </c>
      <c r="D320" t="s">
        <v>689</v>
      </c>
      <c r="E320" s="9" t="s">
        <v>1297</v>
      </c>
      <c r="G320" s="1">
        <v>43896</v>
      </c>
      <c r="H320" t="s">
        <v>974</v>
      </c>
      <c r="K320" t="b">
        <f t="shared" si="176"/>
        <v>0</v>
      </c>
      <c r="L320" s="48">
        <v>2.84</v>
      </c>
      <c r="M320" s="72">
        <v>1</v>
      </c>
      <c r="N320">
        <v>20</v>
      </c>
      <c r="O320" s="31">
        <f t="shared" si="168"/>
        <v>0.56799999999999995</v>
      </c>
      <c r="P320" s="31">
        <f t="shared" si="169"/>
        <v>0.56799999999999995</v>
      </c>
      <c r="Q320" s="33">
        <f t="shared" si="170"/>
        <v>2.84</v>
      </c>
      <c r="R320" s="29">
        <f t="shared" si="171"/>
        <v>3.4079999999999999</v>
      </c>
      <c r="S320" s="29">
        <f t="shared" si="178"/>
        <v>3.4079999999999999</v>
      </c>
      <c r="T320" s="35">
        <f t="shared" si="177"/>
        <v>43966</v>
      </c>
      <c r="U320" s="27"/>
      <c r="V320" s="27"/>
      <c r="W320" s="58">
        <f t="shared" si="179"/>
        <v>2.84</v>
      </c>
      <c r="X320" s="31">
        <f t="shared" si="172"/>
        <v>0</v>
      </c>
      <c r="Y320" t="b">
        <f t="shared" si="173"/>
        <v>0</v>
      </c>
      <c r="Z320" s="78">
        <f t="shared" si="174"/>
        <v>-2.84</v>
      </c>
    </row>
    <row r="321" spans="1:26" x14ac:dyDescent="0.25">
      <c r="A321" s="53">
        <v>2020</v>
      </c>
      <c r="B321" s="53">
        <v>82</v>
      </c>
      <c r="C321" s="71" t="s">
        <v>105</v>
      </c>
      <c r="D321" t="s">
        <v>705</v>
      </c>
      <c r="E321" s="9" t="s">
        <v>1222</v>
      </c>
      <c r="G321" s="1">
        <v>43900</v>
      </c>
      <c r="H321" t="s">
        <v>1223</v>
      </c>
      <c r="K321" t="b">
        <f t="shared" si="176"/>
        <v>0</v>
      </c>
      <c r="L321" s="109">
        <f>S321/1.2</f>
        <v>29</v>
      </c>
      <c r="M321" s="72">
        <v>1</v>
      </c>
      <c r="N321">
        <v>20</v>
      </c>
      <c r="O321" s="31">
        <f t="shared" ref="O321:O350" si="180">L321*N321/100</f>
        <v>5.8</v>
      </c>
      <c r="P321" s="31">
        <f t="shared" ref="P321:P350" si="181">M321*O321</f>
        <v>5.8</v>
      </c>
      <c r="Q321" s="33">
        <f t="shared" ref="Q321:Q350" si="182">L321*M321</f>
        <v>29</v>
      </c>
      <c r="R321" s="29">
        <f t="shared" ref="R321:R350" si="183">L321+O321</f>
        <v>34.799999999999997</v>
      </c>
      <c r="S321" s="29">
        <v>34.799999999999997</v>
      </c>
      <c r="T321" s="35">
        <f t="shared" si="177"/>
        <v>43966</v>
      </c>
      <c r="U321" s="27"/>
      <c r="V321" s="27"/>
      <c r="W321" s="58">
        <f>IF(K321=TRUE,Q321/J321,Q321)</f>
        <v>29</v>
      </c>
      <c r="X321" s="31">
        <f t="shared" ref="X321:X350" si="184">V321/100*S321</f>
        <v>0</v>
      </c>
      <c r="Y321" t="b">
        <f t="shared" ref="Y321:Y350" si="185">IF(AND(V321&gt;0,N321=V321),TRUE,FALSE)</f>
        <v>0</v>
      </c>
      <c r="Z321" s="78">
        <f t="shared" ref="Z321:Z342" si="186">IF(C321="Einnahmen",Q321,-Q321)</f>
        <v>-29</v>
      </c>
    </row>
    <row r="322" spans="1:26" x14ac:dyDescent="0.25">
      <c r="A322" s="53">
        <v>2020</v>
      </c>
      <c r="B322" s="53">
        <v>83</v>
      </c>
      <c r="C322" s="71" t="s">
        <v>708</v>
      </c>
      <c r="D322" t="s">
        <v>709</v>
      </c>
      <c r="E322" s="9" t="s">
        <v>1298</v>
      </c>
      <c r="G322" s="1">
        <v>43900</v>
      </c>
      <c r="H322" t="s">
        <v>1266</v>
      </c>
      <c r="K322" t="b">
        <f t="shared" si="176"/>
        <v>0</v>
      </c>
      <c r="L322" s="48">
        <v>892.5</v>
      </c>
      <c r="M322" s="72">
        <v>1</v>
      </c>
      <c r="N322">
        <v>20</v>
      </c>
      <c r="O322" s="31">
        <f t="shared" si="180"/>
        <v>178.5</v>
      </c>
      <c r="P322" s="31">
        <f t="shared" si="181"/>
        <v>178.5</v>
      </c>
      <c r="Q322" s="33">
        <f t="shared" si="182"/>
        <v>892.5</v>
      </c>
      <c r="R322" s="29">
        <f t="shared" si="183"/>
        <v>1071</v>
      </c>
      <c r="S322" s="29">
        <f t="shared" ref="S322:S339" si="187">Q322+P322</f>
        <v>1071</v>
      </c>
      <c r="T322" s="35">
        <f t="shared" si="177"/>
        <v>43966</v>
      </c>
      <c r="U322" s="27"/>
      <c r="V322" s="27"/>
      <c r="W322" s="58">
        <f>IF(K322=TRUE,Q322/I322,Q322)</f>
        <v>892.5</v>
      </c>
      <c r="X322" s="31">
        <f t="shared" si="184"/>
        <v>0</v>
      </c>
      <c r="Y322" t="b">
        <f t="shared" si="185"/>
        <v>0</v>
      </c>
      <c r="Z322" s="78">
        <f t="shared" si="186"/>
        <v>892.5</v>
      </c>
    </row>
    <row r="323" spans="1:26" x14ac:dyDescent="0.25">
      <c r="A323" s="53">
        <v>2020</v>
      </c>
      <c r="B323" s="53">
        <v>84</v>
      </c>
      <c r="C323" s="71" t="s">
        <v>708</v>
      </c>
      <c r="D323" t="s">
        <v>709</v>
      </c>
      <c r="E323" s="9" t="s">
        <v>1299</v>
      </c>
      <c r="G323" s="1">
        <v>43900</v>
      </c>
      <c r="H323" s="43" t="s">
        <v>1012</v>
      </c>
      <c r="K323" t="b">
        <f t="shared" si="176"/>
        <v>0</v>
      </c>
      <c r="L323" s="48">
        <v>262.5</v>
      </c>
      <c r="M323" s="72">
        <v>1</v>
      </c>
      <c r="N323">
        <v>20</v>
      </c>
      <c r="O323" s="31">
        <f t="shared" si="180"/>
        <v>52.5</v>
      </c>
      <c r="P323" s="31">
        <f t="shared" si="181"/>
        <v>52.5</v>
      </c>
      <c r="Q323" s="33">
        <f t="shared" si="182"/>
        <v>262.5</v>
      </c>
      <c r="R323" s="29">
        <f t="shared" si="183"/>
        <v>315</v>
      </c>
      <c r="S323" s="29">
        <f t="shared" si="187"/>
        <v>315</v>
      </c>
      <c r="T323" s="35">
        <f t="shared" si="177"/>
        <v>43966</v>
      </c>
      <c r="U323" s="27"/>
      <c r="V323" s="27"/>
      <c r="W323" s="58">
        <f>IF(K323=TRUE,Q323/I323,Q323)</f>
        <v>262.5</v>
      </c>
      <c r="X323" s="31">
        <f t="shared" si="184"/>
        <v>0</v>
      </c>
      <c r="Y323" t="b">
        <f t="shared" si="185"/>
        <v>0</v>
      </c>
      <c r="Z323" s="78">
        <f t="shared" si="186"/>
        <v>262.5</v>
      </c>
    </row>
    <row r="324" spans="1:26" x14ac:dyDescent="0.25">
      <c r="A324" s="53">
        <v>2020</v>
      </c>
      <c r="B324" s="53">
        <v>85</v>
      </c>
      <c r="C324" s="71" t="s">
        <v>105</v>
      </c>
      <c r="D324" t="s">
        <v>683</v>
      </c>
      <c r="E324" s="9" t="s">
        <v>1255</v>
      </c>
      <c r="G324" s="1">
        <v>43901</v>
      </c>
      <c r="H324" t="s">
        <v>981</v>
      </c>
      <c r="K324" t="b">
        <f t="shared" si="176"/>
        <v>0</v>
      </c>
      <c r="L324" s="48">
        <v>6.21</v>
      </c>
      <c r="M324" s="72">
        <v>1</v>
      </c>
      <c r="N324">
        <v>0</v>
      </c>
      <c r="O324" s="31">
        <f t="shared" si="180"/>
        <v>0</v>
      </c>
      <c r="P324" s="31">
        <f t="shared" si="181"/>
        <v>0</v>
      </c>
      <c r="Q324" s="33">
        <f t="shared" si="182"/>
        <v>6.21</v>
      </c>
      <c r="R324" s="29">
        <f t="shared" si="183"/>
        <v>6.21</v>
      </c>
      <c r="S324" s="29">
        <f t="shared" si="187"/>
        <v>6.21</v>
      </c>
      <c r="T324" s="35">
        <f t="shared" si="177"/>
        <v>43966</v>
      </c>
      <c r="U324" s="27"/>
      <c r="V324" s="27">
        <v>20</v>
      </c>
      <c r="W324" s="58">
        <f>IF(K324=TRUE,Q324/I324,Q324)</f>
        <v>6.21</v>
      </c>
      <c r="X324" s="31">
        <f t="shared" si="184"/>
        <v>1.242</v>
      </c>
      <c r="Y324" t="b">
        <f t="shared" si="185"/>
        <v>0</v>
      </c>
      <c r="Z324" s="78">
        <f t="shared" si="186"/>
        <v>-6.21</v>
      </c>
    </row>
    <row r="325" spans="1:26" x14ac:dyDescent="0.25">
      <c r="A325" s="53">
        <v>2020</v>
      </c>
      <c r="B325" s="53">
        <v>86</v>
      </c>
      <c r="C325" s="71" t="s">
        <v>105</v>
      </c>
      <c r="D325" t="s">
        <v>683</v>
      </c>
      <c r="E325" s="9" t="s">
        <v>1257</v>
      </c>
      <c r="G325" s="1">
        <v>43901</v>
      </c>
      <c r="H325" t="s">
        <v>981</v>
      </c>
      <c r="K325" t="b">
        <f t="shared" si="176"/>
        <v>0</v>
      </c>
      <c r="L325" s="48">
        <v>39.82</v>
      </c>
      <c r="M325" s="72">
        <v>1</v>
      </c>
      <c r="N325">
        <v>0</v>
      </c>
      <c r="O325" s="31">
        <f t="shared" si="180"/>
        <v>0</v>
      </c>
      <c r="P325" s="31">
        <f t="shared" si="181"/>
        <v>0</v>
      </c>
      <c r="Q325" s="33">
        <f t="shared" si="182"/>
        <v>39.82</v>
      </c>
      <c r="R325" s="29">
        <f t="shared" si="183"/>
        <v>39.82</v>
      </c>
      <c r="S325" s="29">
        <f t="shared" si="187"/>
        <v>39.82</v>
      </c>
      <c r="T325" s="35">
        <f t="shared" si="177"/>
        <v>43966</v>
      </c>
      <c r="U325" s="27"/>
      <c r="V325" s="27">
        <v>20</v>
      </c>
      <c r="W325" s="58">
        <f>IF(K325=TRUE,Q325/I325,Q325)</f>
        <v>39.82</v>
      </c>
      <c r="X325" s="31">
        <f t="shared" si="184"/>
        <v>7.9640000000000004</v>
      </c>
      <c r="Y325" t="b">
        <f t="shared" si="185"/>
        <v>0</v>
      </c>
      <c r="Z325" s="78">
        <f t="shared" si="186"/>
        <v>-39.82</v>
      </c>
    </row>
    <row r="326" spans="1:26" x14ac:dyDescent="0.25">
      <c r="A326" s="53">
        <v>2020</v>
      </c>
      <c r="B326" s="53">
        <v>87</v>
      </c>
      <c r="C326" s="71" t="s">
        <v>708</v>
      </c>
      <c r="D326" t="s">
        <v>709</v>
      </c>
      <c r="E326" s="9" t="s">
        <v>1300</v>
      </c>
      <c r="G326" s="1">
        <v>43902</v>
      </c>
      <c r="H326" t="s">
        <v>1266</v>
      </c>
      <c r="K326" t="b">
        <f t="shared" si="176"/>
        <v>0</v>
      </c>
      <c r="L326" s="48">
        <v>6450</v>
      </c>
      <c r="M326" s="72">
        <v>1</v>
      </c>
      <c r="N326">
        <v>20</v>
      </c>
      <c r="O326" s="31">
        <f t="shared" si="180"/>
        <v>1290</v>
      </c>
      <c r="P326" s="31">
        <f t="shared" si="181"/>
        <v>1290</v>
      </c>
      <c r="Q326" s="33">
        <f t="shared" si="182"/>
        <v>6450</v>
      </c>
      <c r="R326" s="29">
        <f t="shared" si="183"/>
        <v>7740</v>
      </c>
      <c r="S326" s="29">
        <f t="shared" si="187"/>
        <v>7740</v>
      </c>
      <c r="T326" s="35">
        <f t="shared" si="177"/>
        <v>43966</v>
      </c>
      <c r="U326" s="27"/>
      <c r="V326" s="27"/>
      <c r="W326" s="58">
        <f>IF(K326=TRUE,Q326/I326,Q326)</f>
        <v>6450</v>
      </c>
      <c r="X326" s="31">
        <f t="shared" si="184"/>
        <v>0</v>
      </c>
      <c r="Y326" t="b">
        <f t="shared" si="185"/>
        <v>0</v>
      </c>
      <c r="Z326" s="78">
        <f t="shared" si="186"/>
        <v>6450</v>
      </c>
    </row>
    <row r="327" spans="1:26" x14ac:dyDescent="0.25">
      <c r="A327" s="53">
        <v>2020</v>
      </c>
      <c r="B327" s="53">
        <v>88</v>
      </c>
      <c r="C327" s="71" t="s">
        <v>105</v>
      </c>
      <c r="D327" t="s">
        <v>705</v>
      </c>
      <c r="E327" s="9" t="s">
        <v>1301</v>
      </c>
      <c r="G327" s="1">
        <v>43902</v>
      </c>
      <c r="H327" t="s">
        <v>927</v>
      </c>
      <c r="K327" t="b">
        <f t="shared" si="176"/>
        <v>0</v>
      </c>
      <c r="L327" s="48">
        <v>46.92</v>
      </c>
      <c r="M327" s="72">
        <v>1</v>
      </c>
      <c r="N327">
        <v>0</v>
      </c>
      <c r="O327" s="31">
        <f t="shared" si="180"/>
        <v>0</v>
      </c>
      <c r="P327" s="31">
        <f t="shared" si="181"/>
        <v>0</v>
      </c>
      <c r="Q327" s="33">
        <f t="shared" si="182"/>
        <v>46.92</v>
      </c>
      <c r="R327" s="29">
        <f t="shared" si="183"/>
        <v>46.92</v>
      </c>
      <c r="S327" s="29">
        <f t="shared" si="187"/>
        <v>46.92</v>
      </c>
      <c r="T327" s="35">
        <f t="shared" si="177"/>
        <v>43966</v>
      </c>
      <c r="U327" s="27"/>
      <c r="V327" s="27">
        <v>20</v>
      </c>
      <c r="W327" s="58">
        <f>IF(K327=TRUE,Q327/J327,Q327)</f>
        <v>46.92</v>
      </c>
      <c r="X327" s="31">
        <f t="shared" si="184"/>
        <v>9.3840000000000003</v>
      </c>
      <c r="Y327" t="b">
        <f t="shared" si="185"/>
        <v>0</v>
      </c>
      <c r="Z327" s="78">
        <f t="shared" si="186"/>
        <v>-46.92</v>
      </c>
    </row>
    <row r="328" spans="1:26" x14ac:dyDescent="0.25">
      <c r="A328" s="53">
        <v>2020</v>
      </c>
      <c r="B328" s="53">
        <v>89</v>
      </c>
      <c r="C328" s="71" t="s">
        <v>105</v>
      </c>
      <c r="D328" t="s">
        <v>705</v>
      </c>
      <c r="E328" s="9" t="s">
        <v>1302</v>
      </c>
      <c r="G328" s="1">
        <v>43903</v>
      </c>
      <c r="H328" t="s">
        <v>1020</v>
      </c>
      <c r="K328" t="b">
        <f t="shared" si="176"/>
        <v>0</v>
      </c>
      <c r="L328" s="48">
        <v>12.08</v>
      </c>
      <c r="M328" s="72">
        <v>1</v>
      </c>
      <c r="N328">
        <v>20</v>
      </c>
      <c r="O328" s="31">
        <f t="shared" si="180"/>
        <v>2.4159999999999999</v>
      </c>
      <c r="P328" s="31">
        <f t="shared" si="181"/>
        <v>2.4159999999999999</v>
      </c>
      <c r="Q328" s="33">
        <f t="shared" si="182"/>
        <v>12.08</v>
      </c>
      <c r="R328" s="29">
        <f t="shared" si="183"/>
        <v>14.496</v>
      </c>
      <c r="S328" s="29">
        <f t="shared" si="187"/>
        <v>14.496</v>
      </c>
      <c r="T328" s="35">
        <f t="shared" si="177"/>
        <v>43966</v>
      </c>
      <c r="U328" s="27"/>
      <c r="V328" s="27"/>
      <c r="W328" s="58">
        <f>IF(K328=TRUE,Q328/J328,Q328)</f>
        <v>12.08</v>
      </c>
      <c r="X328" s="31">
        <f t="shared" si="184"/>
        <v>0</v>
      </c>
      <c r="Y328" t="b">
        <f t="shared" si="185"/>
        <v>0</v>
      </c>
      <c r="Z328" s="78">
        <f t="shared" si="186"/>
        <v>-12.08</v>
      </c>
    </row>
    <row r="329" spans="1:26" x14ac:dyDescent="0.25">
      <c r="A329" s="53">
        <v>2020</v>
      </c>
      <c r="B329" s="53">
        <v>90</v>
      </c>
      <c r="C329" s="71" t="s">
        <v>105</v>
      </c>
      <c r="D329" t="s">
        <v>689</v>
      </c>
      <c r="E329" s="9" t="s">
        <v>1303</v>
      </c>
      <c r="G329" s="1">
        <v>43906</v>
      </c>
      <c r="H329" t="s">
        <v>974</v>
      </c>
      <c r="K329" t="b">
        <f t="shared" si="176"/>
        <v>0</v>
      </c>
      <c r="L329" s="48">
        <v>3.5</v>
      </c>
      <c r="M329" s="72">
        <v>1</v>
      </c>
      <c r="N329">
        <v>20</v>
      </c>
      <c r="O329" s="31">
        <f t="shared" si="180"/>
        <v>0.7</v>
      </c>
      <c r="P329" s="31">
        <f t="shared" si="181"/>
        <v>0.7</v>
      </c>
      <c r="Q329" s="33">
        <f t="shared" si="182"/>
        <v>3.5</v>
      </c>
      <c r="R329" s="29">
        <f t="shared" si="183"/>
        <v>4.2</v>
      </c>
      <c r="S329" s="29">
        <f t="shared" si="187"/>
        <v>4.2</v>
      </c>
      <c r="T329" s="35">
        <f t="shared" si="177"/>
        <v>43966</v>
      </c>
      <c r="U329" s="27"/>
      <c r="V329" s="27"/>
      <c r="W329" s="58">
        <f>IF(K329=TRUE,Q329/I329,Q329)</f>
        <v>3.5</v>
      </c>
      <c r="X329" s="31">
        <f t="shared" si="184"/>
        <v>0</v>
      </c>
      <c r="Y329" t="b">
        <f t="shared" si="185"/>
        <v>0</v>
      </c>
      <c r="Z329" s="78">
        <f t="shared" si="186"/>
        <v>-3.5</v>
      </c>
    </row>
    <row r="330" spans="1:26" x14ac:dyDescent="0.25">
      <c r="A330" s="53">
        <v>2020</v>
      </c>
      <c r="B330" s="53">
        <v>91</v>
      </c>
      <c r="C330" s="71" t="s">
        <v>105</v>
      </c>
      <c r="D330" t="s">
        <v>689</v>
      </c>
      <c r="E330" s="9" t="s">
        <v>1304</v>
      </c>
      <c r="G330" s="1">
        <v>43906</v>
      </c>
      <c r="H330" t="s">
        <v>974</v>
      </c>
      <c r="K330" t="b">
        <f t="shared" si="176"/>
        <v>0</v>
      </c>
      <c r="L330" s="48">
        <v>3.62</v>
      </c>
      <c r="M330" s="72">
        <v>1</v>
      </c>
      <c r="N330">
        <v>20</v>
      </c>
      <c r="O330" s="31">
        <f t="shared" si="180"/>
        <v>0.72400000000000009</v>
      </c>
      <c r="P330" s="31">
        <f t="shared" si="181"/>
        <v>0.72400000000000009</v>
      </c>
      <c r="Q330" s="33">
        <f t="shared" si="182"/>
        <v>3.62</v>
      </c>
      <c r="R330" s="29">
        <f t="shared" si="183"/>
        <v>4.3440000000000003</v>
      </c>
      <c r="S330" s="29">
        <f t="shared" si="187"/>
        <v>4.3440000000000003</v>
      </c>
      <c r="T330" s="35">
        <f t="shared" si="177"/>
        <v>43966</v>
      </c>
      <c r="U330" s="27"/>
      <c r="V330" s="27"/>
      <c r="W330" s="58">
        <f>IF(K330=TRUE,Q330/I330,Q330)</f>
        <v>3.62</v>
      </c>
      <c r="X330" s="31">
        <f t="shared" si="184"/>
        <v>0</v>
      </c>
      <c r="Y330" t="b">
        <f t="shared" si="185"/>
        <v>0</v>
      </c>
      <c r="Z330" s="78">
        <f t="shared" si="186"/>
        <v>-3.62</v>
      </c>
    </row>
    <row r="331" spans="1:26" x14ac:dyDescent="0.25">
      <c r="A331" s="53">
        <v>2020</v>
      </c>
      <c r="B331" s="53">
        <v>92</v>
      </c>
      <c r="C331" s="71" t="s">
        <v>105</v>
      </c>
      <c r="D331" t="s">
        <v>703</v>
      </c>
      <c r="E331" s="9" t="s">
        <v>1305</v>
      </c>
      <c r="G331" s="1">
        <v>43910</v>
      </c>
      <c r="H331" t="s">
        <v>1148</v>
      </c>
      <c r="K331" t="b">
        <f t="shared" si="176"/>
        <v>0</v>
      </c>
      <c r="L331" s="48">
        <v>35.24</v>
      </c>
      <c r="M331" s="72">
        <v>1</v>
      </c>
      <c r="N331">
        <v>20</v>
      </c>
      <c r="O331" s="31">
        <f t="shared" si="180"/>
        <v>7.0480000000000009</v>
      </c>
      <c r="P331" s="31">
        <f t="shared" si="181"/>
        <v>7.0480000000000009</v>
      </c>
      <c r="Q331" s="33">
        <f t="shared" si="182"/>
        <v>35.24</v>
      </c>
      <c r="R331" s="29">
        <f t="shared" si="183"/>
        <v>42.288000000000004</v>
      </c>
      <c r="S331" s="29">
        <f t="shared" si="187"/>
        <v>42.288000000000004</v>
      </c>
      <c r="T331" s="35">
        <f t="shared" si="177"/>
        <v>43966</v>
      </c>
      <c r="U331" s="27"/>
      <c r="V331" s="27"/>
      <c r="W331" s="58">
        <f>IF(K331=TRUE,Q331/I331,Q331)</f>
        <v>35.24</v>
      </c>
      <c r="X331" s="31">
        <f t="shared" si="184"/>
        <v>0</v>
      </c>
      <c r="Y331" t="b">
        <f t="shared" si="185"/>
        <v>0</v>
      </c>
      <c r="Z331" s="78">
        <f t="shared" si="186"/>
        <v>-35.24</v>
      </c>
    </row>
    <row r="332" spans="1:26" x14ac:dyDescent="0.25">
      <c r="A332" s="53">
        <v>2020</v>
      </c>
      <c r="B332" s="53">
        <v>93</v>
      </c>
      <c r="C332" s="71" t="s">
        <v>105</v>
      </c>
      <c r="D332" t="s">
        <v>705</v>
      </c>
      <c r="E332" s="9" t="s">
        <v>1306</v>
      </c>
      <c r="G332" s="1">
        <v>43914</v>
      </c>
      <c r="H332" t="s">
        <v>941</v>
      </c>
      <c r="K332" t="b">
        <f t="shared" si="176"/>
        <v>0</v>
      </c>
      <c r="L332" s="48">
        <v>12.42</v>
      </c>
      <c r="M332" s="72">
        <v>1</v>
      </c>
      <c r="N332">
        <v>20</v>
      </c>
      <c r="O332" s="31">
        <f t="shared" si="180"/>
        <v>2.484</v>
      </c>
      <c r="P332" s="31">
        <f t="shared" si="181"/>
        <v>2.484</v>
      </c>
      <c r="Q332" s="33">
        <f t="shared" si="182"/>
        <v>12.42</v>
      </c>
      <c r="R332" s="29">
        <f t="shared" si="183"/>
        <v>14.904</v>
      </c>
      <c r="S332" s="29">
        <f t="shared" si="187"/>
        <v>14.904</v>
      </c>
      <c r="T332" s="35">
        <f t="shared" si="177"/>
        <v>43966</v>
      </c>
      <c r="U332" s="27"/>
      <c r="V332" s="27"/>
      <c r="W332" s="58">
        <f>IF(K332=TRUE,Q332/J332,Q332)</f>
        <v>12.42</v>
      </c>
      <c r="X332" s="31">
        <f t="shared" si="184"/>
        <v>0</v>
      </c>
      <c r="Y332" t="b">
        <f t="shared" si="185"/>
        <v>0</v>
      </c>
      <c r="Z332" s="78">
        <f t="shared" si="186"/>
        <v>-12.42</v>
      </c>
    </row>
    <row r="333" spans="1:26" x14ac:dyDescent="0.25">
      <c r="A333" s="53">
        <v>2020</v>
      </c>
      <c r="B333" s="53">
        <v>94</v>
      </c>
      <c r="C333" s="71" t="s">
        <v>105</v>
      </c>
      <c r="D333" t="s">
        <v>705</v>
      </c>
      <c r="E333" s="9" t="s">
        <v>1307</v>
      </c>
      <c r="G333" s="1">
        <v>43915</v>
      </c>
      <c r="H333" t="s">
        <v>1308</v>
      </c>
      <c r="K333" t="b">
        <f t="shared" si="176"/>
        <v>0</v>
      </c>
      <c r="L333" s="48">
        <v>27.48</v>
      </c>
      <c r="M333" s="72">
        <v>1</v>
      </c>
      <c r="N333">
        <v>20</v>
      </c>
      <c r="O333" s="31">
        <f t="shared" si="180"/>
        <v>5.4960000000000004</v>
      </c>
      <c r="P333" s="31">
        <f t="shared" si="181"/>
        <v>5.4960000000000004</v>
      </c>
      <c r="Q333" s="33">
        <f t="shared" si="182"/>
        <v>27.48</v>
      </c>
      <c r="R333" s="29">
        <f t="shared" si="183"/>
        <v>32.975999999999999</v>
      </c>
      <c r="S333" s="29">
        <f t="shared" si="187"/>
        <v>32.975999999999999</v>
      </c>
      <c r="T333" s="35">
        <f t="shared" si="177"/>
        <v>43966</v>
      </c>
      <c r="U333" s="27"/>
      <c r="V333" s="27"/>
      <c r="W333" s="58">
        <f>IF(K333=TRUE,Q333/J333,Q333)</f>
        <v>27.48</v>
      </c>
      <c r="X333" s="31">
        <f t="shared" si="184"/>
        <v>0</v>
      </c>
      <c r="Y333" t="b">
        <f t="shared" si="185"/>
        <v>0</v>
      </c>
      <c r="Z333" s="78">
        <f t="shared" si="186"/>
        <v>-27.48</v>
      </c>
    </row>
    <row r="334" spans="1:26" x14ac:dyDescent="0.25">
      <c r="A334" s="53">
        <v>2020</v>
      </c>
      <c r="B334" s="53">
        <v>95</v>
      </c>
      <c r="C334" s="71" t="s">
        <v>105</v>
      </c>
      <c r="D334" t="s">
        <v>705</v>
      </c>
      <c r="E334" s="9" t="s">
        <v>1309</v>
      </c>
      <c r="G334" s="1">
        <v>43915</v>
      </c>
      <c r="H334" t="s">
        <v>1308</v>
      </c>
      <c r="K334" t="b">
        <f t="shared" si="176"/>
        <v>0</v>
      </c>
      <c r="L334" s="48">
        <v>27.48</v>
      </c>
      <c r="M334" s="72">
        <v>1</v>
      </c>
      <c r="N334">
        <v>20</v>
      </c>
      <c r="O334" s="31">
        <f t="shared" si="180"/>
        <v>5.4960000000000004</v>
      </c>
      <c r="P334" s="31">
        <f t="shared" si="181"/>
        <v>5.4960000000000004</v>
      </c>
      <c r="Q334" s="33">
        <f t="shared" si="182"/>
        <v>27.48</v>
      </c>
      <c r="R334" s="29">
        <f t="shared" si="183"/>
        <v>32.975999999999999</v>
      </c>
      <c r="S334" s="29">
        <f t="shared" si="187"/>
        <v>32.975999999999999</v>
      </c>
      <c r="T334" s="35">
        <f t="shared" si="177"/>
        <v>43966</v>
      </c>
      <c r="U334" s="27"/>
      <c r="V334" s="27"/>
      <c r="W334" s="58">
        <f>IF(K334=TRUE,Q334/J334,Q334)</f>
        <v>27.48</v>
      </c>
      <c r="X334" s="31">
        <f t="shared" si="184"/>
        <v>0</v>
      </c>
      <c r="Y334" t="b">
        <f t="shared" si="185"/>
        <v>0</v>
      </c>
      <c r="Z334" s="78">
        <f t="shared" si="186"/>
        <v>-27.48</v>
      </c>
    </row>
    <row r="335" spans="1:26" x14ac:dyDescent="0.25">
      <c r="A335" s="53">
        <v>2020</v>
      </c>
      <c r="B335" s="53">
        <v>96</v>
      </c>
      <c r="C335" s="71" t="s">
        <v>105</v>
      </c>
      <c r="D335" t="s">
        <v>705</v>
      </c>
      <c r="E335" s="9" t="s">
        <v>1310</v>
      </c>
      <c r="G335" s="1">
        <v>43915</v>
      </c>
      <c r="H335" t="s">
        <v>1308</v>
      </c>
      <c r="K335" t="b">
        <f t="shared" si="176"/>
        <v>0</v>
      </c>
      <c r="L335" s="48">
        <v>27.48</v>
      </c>
      <c r="M335" s="72">
        <v>1</v>
      </c>
      <c r="N335">
        <v>20</v>
      </c>
      <c r="O335" s="31">
        <f t="shared" si="180"/>
        <v>5.4960000000000004</v>
      </c>
      <c r="P335" s="31">
        <f t="shared" si="181"/>
        <v>5.4960000000000004</v>
      </c>
      <c r="Q335" s="33">
        <f t="shared" si="182"/>
        <v>27.48</v>
      </c>
      <c r="R335" s="29">
        <f t="shared" si="183"/>
        <v>32.975999999999999</v>
      </c>
      <c r="S335" s="29">
        <f t="shared" si="187"/>
        <v>32.975999999999999</v>
      </c>
      <c r="T335" s="35">
        <f t="shared" si="177"/>
        <v>43966</v>
      </c>
      <c r="U335" s="27"/>
      <c r="V335" s="27"/>
      <c r="W335" s="58">
        <f>IF(K335=TRUE,Q335/J335,Q335)</f>
        <v>27.48</v>
      </c>
      <c r="X335" s="31">
        <f t="shared" si="184"/>
        <v>0</v>
      </c>
      <c r="Y335" t="b">
        <f t="shared" si="185"/>
        <v>0</v>
      </c>
      <c r="Z335" s="78">
        <f t="shared" si="186"/>
        <v>-27.48</v>
      </c>
    </row>
    <row r="336" spans="1:26" x14ac:dyDescent="0.25">
      <c r="A336" s="53">
        <v>2020</v>
      </c>
      <c r="B336" s="53">
        <v>97</v>
      </c>
      <c r="C336" s="71" t="s">
        <v>105</v>
      </c>
      <c r="D336" t="s">
        <v>705</v>
      </c>
      <c r="E336" s="9" t="s">
        <v>1311</v>
      </c>
      <c r="G336" s="1">
        <v>43915</v>
      </c>
      <c r="H336" t="s">
        <v>1238</v>
      </c>
      <c r="K336" t="b">
        <f t="shared" si="176"/>
        <v>0</v>
      </c>
      <c r="L336" s="48">
        <v>175.74</v>
      </c>
      <c r="M336" s="72">
        <v>1</v>
      </c>
      <c r="N336">
        <v>20</v>
      </c>
      <c r="O336" s="31">
        <f t="shared" si="180"/>
        <v>35.148000000000003</v>
      </c>
      <c r="P336" s="31">
        <f t="shared" si="181"/>
        <v>35.148000000000003</v>
      </c>
      <c r="Q336" s="33">
        <f t="shared" si="182"/>
        <v>175.74</v>
      </c>
      <c r="R336" s="29">
        <f t="shared" si="183"/>
        <v>210.88800000000001</v>
      </c>
      <c r="S336" s="29">
        <f t="shared" si="187"/>
        <v>210.88800000000001</v>
      </c>
      <c r="T336" s="35">
        <f t="shared" si="177"/>
        <v>43966</v>
      </c>
      <c r="U336" s="27"/>
      <c r="V336" s="27"/>
      <c r="W336" s="58">
        <f>IF(K336=TRUE,Q336/I336,Q336)</f>
        <v>175.74</v>
      </c>
      <c r="X336" s="31">
        <f t="shared" si="184"/>
        <v>0</v>
      </c>
      <c r="Y336" t="b">
        <f t="shared" si="185"/>
        <v>0</v>
      </c>
      <c r="Z336" s="78">
        <f t="shared" si="186"/>
        <v>-175.74</v>
      </c>
    </row>
    <row r="337" spans="1:26" x14ac:dyDescent="0.25">
      <c r="A337" s="53">
        <v>2020</v>
      </c>
      <c r="B337" s="53">
        <v>98</v>
      </c>
      <c r="C337" s="71" t="s">
        <v>708</v>
      </c>
      <c r="D337" t="s">
        <v>709</v>
      </c>
      <c r="E337" s="9" t="s">
        <v>1312</v>
      </c>
      <c r="G337" s="1">
        <v>43922</v>
      </c>
      <c r="H337" t="s">
        <v>1266</v>
      </c>
      <c r="K337" t="b">
        <f t="shared" si="176"/>
        <v>0</v>
      </c>
      <c r="L337" s="48">
        <v>2292.5</v>
      </c>
      <c r="M337" s="72">
        <v>1</v>
      </c>
      <c r="N337">
        <v>20</v>
      </c>
      <c r="O337" s="31">
        <f t="shared" si="180"/>
        <v>458.5</v>
      </c>
      <c r="P337" s="31">
        <f t="shared" si="181"/>
        <v>458.5</v>
      </c>
      <c r="Q337" s="33">
        <f t="shared" si="182"/>
        <v>2292.5</v>
      </c>
      <c r="R337" s="29">
        <f t="shared" si="183"/>
        <v>2751</v>
      </c>
      <c r="S337" s="29">
        <f t="shared" si="187"/>
        <v>2751</v>
      </c>
      <c r="T337" s="35">
        <f t="shared" si="177"/>
        <v>44058</v>
      </c>
      <c r="U337" s="27"/>
      <c r="V337" s="27"/>
      <c r="W337" s="58">
        <f>IF(K337=TRUE,Q337/I337,Q337)</f>
        <v>2292.5</v>
      </c>
      <c r="X337" s="31">
        <f t="shared" si="184"/>
        <v>0</v>
      </c>
      <c r="Y337" t="b">
        <f t="shared" si="185"/>
        <v>0</v>
      </c>
      <c r="Z337" s="78">
        <f t="shared" si="186"/>
        <v>2292.5</v>
      </c>
    </row>
    <row r="338" spans="1:26" x14ac:dyDescent="0.25">
      <c r="A338" s="53">
        <v>2020</v>
      </c>
      <c r="B338" s="53">
        <v>99</v>
      </c>
      <c r="C338" s="71" t="s">
        <v>708</v>
      </c>
      <c r="D338" t="s">
        <v>709</v>
      </c>
      <c r="E338" s="9" t="s">
        <v>1313</v>
      </c>
      <c r="G338" s="1">
        <v>43922</v>
      </c>
      <c r="H338" t="s">
        <v>1266</v>
      </c>
      <c r="K338" t="b">
        <f t="shared" si="176"/>
        <v>0</v>
      </c>
      <c r="L338" s="48">
        <v>9030</v>
      </c>
      <c r="M338" s="72">
        <v>1</v>
      </c>
      <c r="N338">
        <v>20</v>
      </c>
      <c r="O338" s="31">
        <f t="shared" si="180"/>
        <v>1806</v>
      </c>
      <c r="P338" s="31">
        <f t="shared" si="181"/>
        <v>1806</v>
      </c>
      <c r="Q338" s="33">
        <f t="shared" si="182"/>
        <v>9030</v>
      </c>
      <c r="R338" s="29">
        <f t="shared" si="183"/>
        <v>10836</v>
      </c>
      <c r="S338" s="29">
        <f t="shared" si="187"/>
        <v>10836</v>
      </c>
      <c r="T338" s="35">
        <f t="shared" si="177"/>
        <v>44058</v>
      </c>
      <c r="U338" s="27"/>
      <c r="V338" s="27"/>
      <c r="W338" s="58">
        <f>IF(K338=TRUE,Q338/I338,Q338)</f>
        <v>9030</v>
      </c>
      <c r="X338" s="31">
        <f t="shared" si="184"/>
        <v>0</v>
      </c>
      <c r="Y338" t="b">
        <f t="shared" si="185"/>
        <v>0</v>
      </c>
      <c r="Z338" s="78">
        <f t="shared" si="186"/>
        <v>9030</v>
      </c>
    </row>
    <row r="339" spans="1:26" x14ac:dyDescent="0.25">
      <c r="A339" s="53">
        <v>2020</v>
      </c>
      <c r="B339" s="53">
        <v>100</v>
      </c>
      <c r="C339" s="71" t="s">
        <v>105</v>
      </c>
      <c r="D339" t="s">
        <v>691</v>
      </c>
      <c r="E339" s="9" t="s">
        <v>1250</v>
      </c>
      <c r="G339" s="1">
        <v>43922</v>
      </c>
      <c r="H339" t="s">
        <v>1113</v>
      </c>
      <c r="K339" t="b">
        <v>0</v>
      </c>
      <c r="L339" s="48">
        <v>462.44</v>
      </c>
      <c r="M339" s="72">
        <v>1</v>
      </c>
      <c r="N339">
        <v>20</v>
      </c>
      <c r="O339" s="31">
        <f t="shared" si="180"/>
        <v>92.488</v>
      </c>
      <c r="P339" s="31">
        <f t="shared" si="181"/>
        <v>92.488</v>
      </c>
      <c r="Q339" s="33">
        <f t="shared" si="182"/>
        <v>462.44</v>
      </c>
      <c r="R339" s="29">
        <f t="shared" si="183"/>
        <v>554.928</v>
      </c>
      <c r="S339" s="29">
        <f t="shared" si="187"/>
        <v>554.928</v>
      </c>
      <c r="T339" s="35">
        <f t="shared" si="177"/>
        <v>44058</v>
      </c>
      <c r="U339" s="27"/>
      <c r="V339" s="27"/>
      <c r="W339" s="58">
        <f>IF(K339=TRUE,Q339/J339,Q339)</f>
        <v>462.44</v>
      </c>
      <c r="X339" s="31">
        <f t="shared" si="184"/>
        <v>0</v>
      </c>
      <c r="Y339" t="b">
        <f t="shared" si="185"/>
        <v>0</v>
      </c>
      <c r="Z339" s="78">
        <f t="shared" si="186"/>
        <v>-462.44</v>
      </c>
    </row>
    <row r="340" spans="1:26" x14ac:dyDescent="0.25">
      <c r="A340" s="53">
        <v>2020</v>
      </c>
      <c r="B340" s="53">
        <v>101</v>
      </c>
      <c r="C340" s="71" t="s">
        <v>105</v>
      </c>
      <c r="D340" t="s">
        <v>705</v>
      </c>
      <c r="E340" s="9" t="s">
        <v>1225</v>
      </c>
      <c r="G340" s="1">
        <v>43924</v>
      </c>
      <c r="H340" t="s">
        <v>1154</v>
      </c>
      <c r="K340" t="b">
        <f>(IF(AND(I340&lt;&gt;"",AND(J340="",ABS(Q340)&gt;400)),TRUE,FALSE))</f>
        <v>0</v>
      </c>
      <c r="L340" s="48">
        <f>S340/1.2</f>
        <v>2.5</v>
      </c>
      <c r="M340" s="72">
        <v>1</v>
      </c>
      <c r="N340">
        <v>20</v>
      </c>
      <c r="O340" s="31">
        <f t="shared" si="180"/>
        <v>0.5</v>
      </c>
      <c r="P340" s="31">
        <f t="shared" si="181"/>
        <v>0.5</v>
      </c>
      <c r="Q340" s="33">
        <f t="shared" si="182"/>
        <v>2.5</v>
      </c>
      <c r="R340" s="29">
        <f t="shared" si="183"/>
        <v>3</v>
      </c>
      <c r="S340" s="29">
        <v>3</v>
      </c>
      <c r="T340" s="35">
        <f t="shared" si="177"/>
        <v>44058</v>
      </c>
      <c r="U340" s="27"/>
      <c r="V340" s="27"/>
      <c r="W340" s="58">
        <f>IF(K340=TRUE,Q340/J340,Q340)</f>
        <v>2.5</v>
      </c>
      <c r="X340" s="31">
        <f t="shared" si="184"/>
        <v>0</v>
      </c>
      <c r="Y340" t="b">
        <f t="shared" si="185"/>
        <v>0</v>
      </c>
      <c r="Z340" s="78">
        <f t="shared" si="186"/>
        <v>-2.5</v>
      </c>
    </row>
    <row r="341" spans="1:26" x14ac:dyDescent="0.25">
      <c r="A341" s="53">
        <v>2020</v>
      </c>
      <c r="B341" s="53">
        <v>102</v>
      </c>
      <c r="C341" s="71" t="s">
        <v>105</v>
      </c>
      <c r="D341" t="s">
        <v>705</v>
      </c>
      <c r="E341" s="9" t="s">
        <v>1314</v>
      </c>
      <c r="G341" s="1">
        <v>43927</v>
      </c>
      <c r="H341" t="s">
        <v>1315</v>
      </c>
      <c r="K341" t="b">
        <f>(IF(AND(I341&lt;&gt;"",AND(J341="",ABS(Q341)&gt;400)),TRUE,FALSE))</f>
        <v>0</v>
      </c>
      <c r="L341" s="48">
        <v>301.32</v>
      </c>
      <c r="M341" s="72">
        <v>1</v>
      </c>
      <c r="N341">
        <v>0</v>
      </c>
      <c r="O341" s="31">
        <f t="shared" si="180"/>
        <v>0</v>
      </c>
      <c r="P341" s="31">
        <f t="shared" si="181"/>
        <v>0</v>
      </c>
      <c r="Q341" s="33">
        <f t="shared" si="182"/>
        <v>301.32</v>
      </c>
      <c r="R341" s="29">
        <f t="shared" si="183"/>
        <v>301.32</v>
      </c>
      <c r="S341" s="29">
        <f>Q341+P341</f>
        <v>301.32</v>
      </c>
      <c r="T341" s="35">
        <f t="shared" si="177"/>
        <v>44058</v>
      </c>
      <c r="U341" s="27"/>
      <c r="V341" s="27">
        <v>20</v>
      </c>
      <c r="W341" s="58">
        <f>IF(K341=TRUE,Q341/J341,Q341)</f>
        <v>301.32</v>
      </c>
      <c r="X341" s="31">
        <f t="shared" si="184"/>
        <v>60.264000000000003</v>
      </c>
      <c r="Y341" t="b">
        <f t="shared" si="185"/>
        <v>0</v>
      </c>
      <c r="Z341" s="78">
        <f t="shared" si="186"/>
        <v>-301.32</v>
      </c>
    </row>
    <row r="342" spans="1:26" x14ac:dyDescent="0.25">
      <c r="A342" s="53">
        <v>2020</v>
      </c>
      <c r="B342" s="53">
        <v>103</v>
      </c>
      <c r="C342" s="71" t="s">
        <v>105</v>
      </c>
      <c r="D342" t="s">
        <v>703</v>
      </c>
      <c r="E342" s="9" t="s">
        <v>1294</v>
      </c>
      <c r="G342" s="1">
        <v>43928</v>
      </c>
      <c r="H342" t="s">
        <v>34</v>
      </c>
      <c r="K342" t="b">
        <f>(IF(AND(I342&lt;&gt;"",AND(J342="",ABS(Q342)&gt;400)),TRUE,FALSE))</f>
        <v>0</v>
      </c>
      <c r="L342" s="48">
        <v>15</v>
      </c>
      <c r="M342" s="72">
        <v>1</v>
      </c>
      <c r="N342">
        <v>20</v>
      </c>
      <c r="O342" s="31">
        <f t="shared" si="180"/>
        <v>3</v>
      </c>
      <c r="P342" s="31">
        <f t="shared" si="181"/>
        <v>3</v>
      </c>
      <c r="Q342" s="33">
        <f t="shared" si="182"/>
        <v>15</v>
      </c>
      <c r="R342" s="29">
        <f t="shared" si="183"/>
        <v>18</v>
      </c>
      <c r="S342" s="29">
        <f>Q342+P342</f>
        <v>18</v>
      </c>
      <c r="T342" s="35">
        <f t="shared" si="177"/>
        <v>44058</v>
      </c>
      <c r="U342" s="27"/>
      <c r="V342" s="27"/>
      <c r="W342" s="58">
        <f>IF(K342=TRUE,Q342/I342,Q342)</f>
        <v>15</v>
      </c>
      <c r="X342" s="31">
        <f t="shared" si="184"/>
        <v>0</v>
      </c>
      <c r="Y342" t="b">
        <f t="shared" si="185"/>
        <v>0</v>
      </c>
      <c r="Z342" s="78">
        <f t="shared" si="186"/>
        <v>-15</v>
      </c>
    </row>
    <row r="343" spans="1:26" x14ac:dyDescent="0.25">
      <c r="A343" s="53">
        <v>2020</v>
      </c>
      <c r="B343" s="53">
        <v>104</v>
      </c>
      <c r="C343" s="71" t="s">
        <v>708</v>
      </c>
      <c r="D343" t="s">
        <v>709</v>
      </c>
      <c r="E343" s="9" t="s">
        <v>1316</v>
      </c>
      <c r="G343" s="1">
        <v>43928</v>
      </c>
      <c r="H343" s="43" t="s">
        <v>1012</v>
      </c>
      <c r="K343" t="b">
        <v>0</v>
      </c>
      <c r="L343" s="48">
        <v>87.5</v>
      </c>
      <c r="M343" s="72">
        <v>1</v>
      </c>
      <c r="N343">
        <v>20</v>
      </c>
      <c r="O343" s="31">
        <f t="shared" si="180"/>
        <v>17.5</v>
      </c>
      <c r="P343" s="31">
        <f t="shared" si="181"/>
        <v>17.5</v>
      </c>
      <c r="Q343" s="33">
        <f t="shared" si="182"/>
        <v>87.5</v>
      </c>
      <c r="R343" s="29">
        <f t="shared" si="183"/>
        <v>105</v>
      </c>
      <c r="S343" s="29">
        <f>Q343+P343</f>
        <v>105</v>
      </c>
      <c r="T343" s="35">
        <f t="shared" si="177"/>
        <v>44058</v>
      </c>
      <c r="U343" s="27"/>
      <c r="V343" s="27"/>
      <c r="W343" s="58">
        <f>IF(K343=TRUE,Q343/I343,Q343)</f>
        <v>87.5</v>
      </c>
      <c r="X343" s="31">
        <f t="shared" si="184"/>
        <v>0</v>
      </c>
      <c r="Y343" t="b">
        <f t="shared" si="185"/>
        <v>0</v>
      </c>
      <c r="Z343" s="78">
        <f t="shared" ref="Z343:Z348" si="188">IF(C343="Einnahmen",Q343,-Q343)</f>
        <v>87.5</v>
      </c>
    </row>
    <row r="344" spans="1:26" x14ac:dyDescent="0.25">
      <c r="A344" s="53">
        <v>2020</v>
      </c>
      <c r="B344" s="53">
        <v>105</v>
      </c>
      <c r="C344" s="71" t="s">
        <v>708</v>
      </c>
      <c r="D344" t="s">
        <v>709</v>
      </c>
      <c r="E344" s="9" t="s">
        <v>1317</v>
      </c>
      <c r="G344" s="1">
        <v>43928</v>
      </c>
      <c r="H344" t="s">
        <v>1170</v>
      </c>
      <c r="K344" t="b">
        <f t="shared" ref="K344:K350" si="189">(IF(AND(I344&lt;&gt;"",AND(J344="",ABS(Q344)&gt;400)),TRUE,FALSE))</f>
        <v>0</v>
      </c>
      <c r="L344" s="48">
        <v>109.38</v>
      </c>
      <c r="M344" s="72">
        <v>1</v>
      </c>
      <c r="N344">
        <v>20</v>
      </c>
      <c r="O344" s="31">
        <f t="shared" si="180"/>
        <v>21.875999999999998</v>
      </c>
      <c r="P344" s="31">
        <f t="shared" si="181"/>
        <v>21.875999999999998</v>
      </c>
      <c r="Q344" s="33">
        <f t="shared" si="182"/>
        <v>109.38</v>
      </c>
      <c r="R344" s="29">
        <f t="shared" si="183"/>
        <v>131.256</v>
      </c>
      <c r="S344" s="29">
        <f>Q344+P344</f>
        <v>131.256</v>
      </c>
      <c r="T344" s="35">
        <f t="shared" si="177"/>
        <v>44058</v>
      </c>
      <c r="U344" s="27"/>
      <c r="V344" s="27"/>
      <c r="W344" s="58">
        <f>IF(K344=TRUE,Q344/J344,Q344)</f>
        <v>109.38</v>
      </c>
      <c r="X344" s="31">
        <f t="shared" si="184"/>
        <v>0</v>
      </c>
      <c r="Y344" t="b">
        <f t="shared" si="185"/>
        <v>0</v>
      </c>
      <c r="Z344" s="78">
        <f t="shared" si="188"/>
        <v>109.38</v>
      </c>
    </row>
    <row r="345" spans="1:26" x14ac:dyDescent="0.25">
      <c r="A345" s="53">
        <v>2020</v>
      </c>
      <c r="B345" s="53">
        <v>106</v>
      </c>
      <c r="C345" s="71" t="s">
        <v>105</v>
      </c>
      <c r="D345" t="s">
        <v>705</v>
      </c>
      <c r="E345" s="9" t="s">
        <v>1143</v>
      </c>
      <c r="G345" s="1">
        <v>43928</v>
      </c>
      <c r="H345" t="s">
        <v>1128</v>
      </c>
      <c r="K345" t="b">
        <f t="shared" si="189"/>
        <v>0</v>
      </c>
      <c r="L345" s="48">
        <f>43.9/1.2</f>
        <v>36.583333333333336</v>
      </c>
      <c r="M345" s="72">
        <v>1</v>
      </c>
      <c r="N345">
        <v>20</v>
      </c>
      <c r="O345" s="31">
        <f t="shared" si="180"/>
        <v>7.3166666666666673</v>
      </c>
      <c r="P345" s="31">
        <f t="shared" si="181"/>
        <v>7.3166666666666673</v>
      </c>
      <c r="Q345" s="33">
        <f t="shared" si="182"/>
        <v>36.583333333333336</v>
      </c>
      <c r="R345" s="29">
        <f t="shared" si="183"/>
        <v>43.900000000000006</v>
      </c>
      <c r="S345" s="29">
        <f>Q345+P345</f>
        <v>43.900000000000006</v>
      </c>
      <c r="T345" s="35">
        <f t="shared" si="177"/>
        <v>44058</v>
      </c>
      <c r="U345" s="27"/>
      <c r="V345" s="27"/>
      <c r="W345" s="58">
        <f>IF(K345=TRUE,Q345/I345,Q345)</f>
        <v>36.583333333333336</v>
      </c>
      <c r="X345" s="31">
        <f t="shared" si="184"/>
        <v>0</v>
      </c>
      <c r="Y345" t="b">
        <f t="shared" si="185"/>
        <v>0</v>
      </c>
      <c r="Z345" s="78">
        <f t="shared" si="188"/>
        <v>-36.583333333333336</v>
      </c>
    </row>
    <row r="346" spans="1:26" x14ac:dyDescent="0.25">
      <c r="A346" s="53">
        <v>2020</v>
      </c>
      <c r="B346" s="53">
        <v>107</v>
      </c>
      <c r="C346" s="71" t="s">
        <v>105</v>
      </c>
      <c r="D346" t="s">
        <v>705</v>
      </c>
      <c r="E346" s="9" t="s">
        <v>1318</v>
      </c>
      <c r="G346" s="1">
        <v>43935</v>
      </c>
      <c r="H346" t="s">
        <v>1223</v>
      </c>
      <c r="K346" t="b">
        <f t="shared" si="189"/>
        <v>0</v>
      </c>
      <c r="L346" s="109">
        <f>S346/1.2</f>
        <v>29</v>
      </c>
      <c r="M346" s="72">
        <v>1</v>
      </c>
      <c r="N346">
        <v>20</v>
      </c>
      <c r="O346" s="31">
        <f t="shared" si="180"/>
        <v>5.8</v>
      </c>
      <c r="P346" s="31">
        <f t="shared" si="181"/>
        <v>5.8</v>
      </c>
      <c r="Q346" s="33">
        <f t="shared" si="182"/>
        <v>29</v>
      </c>
      <c r="R346" s="29">
        <f t="shared" si="183"/>
        <v>34.799999999999997</v>
      </c>
      <c r="S346" s="29">
        <v>34.799999999999997</v>
      </c>
      <c r="T346" s="35">
        <f t="shared" si="177"/>
        <v>44058</v>
      </c>
      <c r="U346" s="27"/>
      <c r="V346" s="27"/>
      <c r="W346" s="58">
        <f>IF(K346=TRUE,Q346/J346,Q346)</f>
        <v>29</v>
      </c>
      <c r="X346" s="31">
        <f t="shared" si="184"/>
        <v>0</v>
      </c>
      <c r="Y346" t="b">
        <f t="shared" si="185"/>
        <v>0</v>
      </c>
      <c r="Z346" s="78">
        <f t="shared" si="188"/>
        <v>-29</v>
      </c>
    </row>
    <row r="347" spans="1:26" x14ac:dyDescent="0.25">
      <c r="A347" s="53">
        <v>2020</v>
      </c>
      <c r="B347" s="53">
        <v>108</v>
      </c>
      <c r="C347" s="71" t="s">
        <v>708</v>
      </c>
      <c r="D347" t="s">
        <v>709</v>
      </c>
      <c r="E347" s="133" t="s">
        <v>1319</v>
      </c>
      <c r="G347" s="44">
        <v>43936</v>
      </c>
      <c r="H347" t="s">
        <v>983</v>
      </c>
      <c r="K347" t="b">
        <f t="shared" si="189"/>
        <v>0</v>
      </c>
      <c r="L347" s="48">
        <v>173.25</v>
      </c>
      <c r="M347" s="72">
        <v>1</v>
      </c>
      <c r="N347">
        <v>20</v>
      </c>
      <c r="O347" s="31">
        <f t="shared" si="180"/>
        <v>34.65</v>
      </c>
      <c r="P347" s="31">
        <f t="shared" si="181"/>
        <v>34.65</v>
      </c>
      <c r="Q347" s="33">
        <f t="shared" si="182"/>
        <v>173.25</v>
      </c>
      <c r="R347" s="29">
        <f t="shared" si="183"/>
        <v>207.9</v>
      </c>
      <c r="S347" s="29">
        <f t="shared" ref="S347:S352" si="190">Q347+P347</f>
        <v>207.9</v>
      </c>
      <c r="T347" s="35">
        <f t="shared" si="177"/>
        <v>44058</v>
      </c>
      <c r="U347" s="27"/>
      <c r="V347" s="27"/>
      <c r="W347" s="58">
        <f>IF(K347=TRUE,Q347/J347,Q347)</f>
        <v>173.25</v>
      </c>
      <c r="X347" s="31">
        <f t="shared" si="184"/>
        <v>0</v>
      </c>
      <c r="Y347" t="b">
        <f t="shared" si="185"/>
        <v>0</v>
      </c>
      <c r="Z347" s="78">
        <f t="shared" si="188"/>
        <v>173.25</v>
      </c>
    </row>
    <row r="348" spans="1:26" x14ac:dyDescent="0.25">
      <c r="A348" s="53">
        <v>2020</v>
      </c>
      <c r="B348" s="53">
        <v>109</v>
      </c>
      <c r="C348" s="71" t="s">
        <v>105</v>
      </c>
      <c r="D348" t="s">
        <v>705</v>
      </c>
      <c r="E348" s="9" t="s">
        <v>1320</v>
      </c>
      <c r="G348" s="1">
        <v>43936</v>
      </c>
      <c r="H348" t="s">
        <v>927</v>
      </c>
      <c r="K348" t="b">
        <f t="shared" si="189"/>
        <v>0</v>
      </c>
      <c r="L348" s="48">
        <v>46.92</v>
      </c>
      <c r="M348" s="72">
        <v>1</v>
      </c>
      <c r="N348">
        <v>0</v>
      </c>
      <c r="O348" s="31">
        <f t="shared" si="180"/>
        <v>0</v>
      </c>
      <c r="P348" s="31">
        <f t="shared" si="181"/>
        <v>0</v>
      </c>
      <c r="Q348" s="33">
        <f t="shared" si="182"/>
        <v>46.92</v>
      </c>
      <c r="R348" s="29">
        <f t="shared" si="183"/>
        <v>46.92</v>
      </c>
      <c r="S348" s="29">
        <f t="shared" si="190"/>
        <v>46.92</v>
      </c>
      <c r="T348" s="35">
        <f t="shared" si="177"/>
        <v>44058</v>
      </c>
      <c r="U348" s="27"/>
      <c r="V348" s="27">
        <v>20</v>
      </c>
      <c r="W348" s="58">
        <f>IF(K348=TRUE,Q348/J348,Q348)</f>
        <v>46.92</v>
      </c>
      <c r="X348" s="31">
        <f t="shared" si="184"/>
        <v>9.3840000000000003</v>
      </c>
      <c r="Y348" t="b">
        <f t="shared" si="185"/>
        <v>0</v>
      </c>
      <c r="Z348" s="78">
        <f t="shared" si="188"/>
        <v>-46.92</v>
      </c>
    </row>
    <row r="349" spans="1:26" x14ac:dyDescent="0.25">
      <c r="A349" s="53">
        <v>2020</v>
      </c>
      <c r="B349" s="53">
        <v>110</v>
      </c>
      <c r="C349" s="71" t="s">
        <v>105</v>
      </c>
      <c r="D349" t="s">
        <v>705</v>
      </c>
      <c r="E349" s="9" t="s">
        <v>1321</v>
      </c>
      <c r="G349" s="1">
        <v>43941</v>
      </c>
      <c r="H349" t="s">
        <v>1322</v>
      </c>
      <c r="K349" t="b">
        <f t="shared" si="189"/>
        <v>0</v>
      </c>
      <c r="L349" s="48">
        <v>34.17</v>
      </c>
      <c r="M349" s="72">
        <v>1</v>
      </c>
      <c r="N349">
        <v>20</v>
      </c>
      <c r="O349" s="31">
        <f t="shared" si="180"/>
        <v>6.8340000000000005</v>
      </c>
      <c r="P349" s="31">
        <f t="shared" si="181"/>
        <v>6.8340000000000005</v>
      </c>
      <c r="Q349" s="33">
        <f t="shared" si="182"/>
        <v>34.17</v>
      </c>
      <c r="R349" s="29">
        <f t="shared" si="183"/>
        <v>41.004000000000005</v>
      </c>
      <c r="S349" s="29">
        <f t="shared" si="190"/>
        <v>41.004000000000005</v>
      </c>
      <c r="T349" s="35">
        <f t="shared" si="177"/>
        <v>44058</v>
      </c>
      <c r="U349" s="27"/>
      <c r="V349" s="27"/>
      <c r="W349" s="58">
        <f>IF(K349=TRUE,Q349/J349,Q349)</f>
        <v>34.17</v>
      </c>
      <c r="X349" s="31">
        <f t="shared" si="184"/>
        <v>0</v>
      </c>
      <c r="Y349" t="b">
        <f t="shared" si="185"/>
        <v>0</v>
      </c>
      <c r="Z349" s="78">
        <f>IF(C349="Einnahmen",Q349,-Q349)</f>
        <v>-34.17</v>
      </c>
    </row>
    <row r="350" spans="1:26" x14ac:dyDescent="0.25">
      <c r="A350" s="53">
        <v>2020</v>
      </c>
      <c r="B350" s="53">
        <v>111</v>
      </c>
      <c r="C350" s="71" t="s">
        <v>105</v>
      </c>
      <c r="D350" t="s">
        <v>703</v>
      </c>
      <c r="E350" s="9" t="s">
        <v>1398</v>
      </c>
      <c r="G350" s="1">
        <v>43942</v>
      </c>
      <c r="H350" t="s">
        <v>1148</v>
      </c>
      <c r="K350" t="b">
        <f t="shared" si="189"/>
        <v>0</v>
      </c>
      <c r="L350" s="48">
        <v>35.24</v>
      </c>
      <c r="M350" s="72">
        <v>1</v>
      </c>
      <c r="N350">
        <v>20</v>
      </c>
      <c r="O350" s="31">
        <f t="shared" si="180"/>
        <v>7.0480000000000009</v>
      </c>
      <c r="P350" s="31">
        <f t="shared" si="181"/>
        <v>7.0480000000000009</v>
      </c>
      <c r="Q350" s="33">
        <f t="shared" si="182"/>
        <v>35.24</v>
      </c>
      <c r="R350" s="29">
        <f t="shared" si="183"/>
        <v>42.288000000000004</v>
      </c>
      <c r="S350" s="29">
        <f t="shared" si="190"/>
        <v>42.288000000000004</v>
      </c>
      <c r="T350" s="35">
        <f t="shared" si="177"/>
        <v>44058</v>
      </c>
      <c r="U350" s="27"/>
      <c r="V350" s="27"/>
      <c r="W350" s="58">
        <f>IF(K350=TRUE,Q350/I350,Q350)</f>
        <v>35.24</v>
      </c>
      <c r="X350" s="31">
        <f t="shared" si="184"/>
        <v>0</v>
      </c>
      <c r="Y350" t="b">
        <f t="shared" si="185"/>
        <v>0</v>
      </c>
      <c r="Z350" s="78">
        <f>IF(C350="Einnahmen",Q350,-Q350)</f>
        <v>-35.24</v>
      </c>
    </row>
    <row r="351" spans="1:26" x14ac:dyDescent="0.25">
      <c r="A351" s="53">
        <v>2020</v>
      </c>
      <c r="B351" s="53">
        <v>112</v>
      </c>
      <c r="C351" s="71" t="s">
        <v>105</v>
      </c>
      <c r="D351" t="s">
        <v>691</v>
      </c>
      <c r="E351" s="9" t="s">
        <v>1250</v>
      </c>
      <c r="G351" s="1">
        <v>43955</v>
      </c>
      <c r="H351" t="s">
        <v>1113</v>
      </c>
      <c r="K351" t="b">
        <v>0</v>
      </c>
      <c r="L351" s="48">
        <v>462.44</v>
      </c>
      <c r="M351" s="72">
        <v>1</v>
      </c>
      <c r="N351">
        <v>20</v>
      </c>
      <c r="O351" s="31">
        <f t="shared" ref="O351:O358" si="191">L351*N351/100</f>
        <v>92.488</v>
      </c>
      <c r="P351" s="31">
        <f t="shared" ref="P351:P358" si="192">M351*O351</f>
        <v>92.488</v>
      </c>
      <c r="Q351" s="33">
        <f t="shared" ref="Q351:Q358" si="193">L351*M351</f>
        <v>462.44</v>
      </c>
      <c r="R351" s="29">
        <f t="shared" ref="R351:R358" si="194">L351+O351</f>
        <v>554.928</v>
      </c>
      <c r="S351" s="29">
        <f t="shared" si="190"/>
        <v>554.928</v>
      </c>
      <c r="T351" s="35">
        <f t="shared" si="177"/>
        <v>44058</v>
      </c>
      <c r="U351" s="27"/>
      <c r="V351" s="27"/>
      <c r="W351" s="58">
        <f>IF(K351=TRUE,Q351/J351,Q351)</f>
        <v>462.44</v>
      </c>
      <c r="X351" s="31">
        <f t="shared" ref="X351:X358" si="195">V351/100*S351</f>
        <v>0</v>
      </c>
      <c r="Y351" t="b">
        <f t="shared" ref="Y351:Y358" si="196">IF(AND(V351&gt;0,N351=V351),TRUE,FALSE)</f>
        <v>0</v>
      </c>
      <c r="Z351" s="78">
        <f t="shared" ref="Z351:Z358" si="197">IF(C351="Einnahmen",Q351,-Q351)</f>
        <v>-462.44</v>
      </c>
    </row>
    <row r="352" spans="1:26" x14ac:dyDescent="0.25">
      <c r="A352" s="53">
        <v>2020</v>
      </c>
      <c r="B352" s="53">
        <v>113</v>
      </c>
      <c r="C352" s="71" t="s">
        <v>708</v>
      </c>
      <c r="D352" t="s">
        <v>709</v>
      </c>
      <c r="E352" s="9" t="s">
        <v>1357</v>
      </c>
      <c r="G352" s="1">
        <v>43956</v>
      </c>
      <c r="H352" s="43" t="s">
        <v>1012</v>
      </c>
      <c r="K352" t="b">
        <v>0</v>
      </c>
      <c r="L352" s="48">
        <v>43.75</v>
      </c>
      <c r="M352" s="72">
        <v>1</v>
      </c>
      <c r="N352">
        <v>20</v>
      </c>
      <c r="O352" s="31">
        <f t="shared" si="191"/>
        <v>8.75</v>
      </c>
      <c r="P352" s="31">
        <f t="shared" si="192"/>
        <v>8.75</v>
      </c>
      <c r="Q352" s="33">
        <f t="shared" si="193"/>
        <v>43.75</v>
      </c>
      <c r="R352" s="29">
        <f t="shared" si="194"/>
        <v>52.5</v>
      </c>
      <c r="S352" s="29">
        <f t="shared" si="190"/>
        <v>52.5</v>
      </c>
      <c r="T352" s="35">
        <f t="shared" si="177"/>
        <v>44058</v>
      </c>
      <c r="U352" s="27"/>
      <c r="V352" s="27"/>
      <c r="W352" s="58">
        <f>IF(K352=TRUE,Q352/I352,Q352)</f>
        <v>43.75</v>
      </c>
      <c r="X352" s="31">
        <f t="shared" si="195"/>
        <v>0</v>
      </c>
      <c r="Y352" t="b">
        <f t="shared" si="196"/>
        <v>0</v>
      </c>
      <c r="Z352" s="78">
        <f t="shared" si="197"/>
        <v>43.75</v>
      </c>
    </row>
    <row r="353" spans="1:26" x14ac:dyDescent="0.25">
      <c r="A353" s="53">
        <v>2020</v>
      </c>
      <c r="B353" s="53">
        <v>114</v>
      </c>
      <c r="C353" s="71" t="s">
        <v>105</v>
      </c>
      <c r="D353" t="s">
        <v>705</v>
      </c>
      <c r="E353" s="9" t="s">
        <v>1225</v>
      </c>
      <c r="G353" s="1">
        <v>43957</v>
      </c>
      <c r="H353" t="s">
        <v>1364</v>
      </c>
      <c r="K353" t="b">
        <f t="shared" ref="K353:K363" si="198">(IF(AND(I353&lt;&gt;"",AND(J353="",ABS(Q353)&gt;400)),TRUE,FALSE))</f>
        <v>0</v>
      </c>
      <c r="L353" s="48">
        <f>S353/1.2</f>
        <v>2.5</v>
      </c>
      <c r="M353" s="72">
        <v>1</v>
      </c>
      <c r="N353">
        <v>20</v>
      </c>
      <c r="O353" s="31">
        <f t="shared" si="191"/>
        <v>0.5</v>
      </c>
      <c r="P353" s="31">
        <f t="shared" si="192"/>
        <v>0.5</v>
      </c>
      <c r="Q353" s="33">
        <f t="shared" si="193"/>
        <v>2.5</v>
      </c>
      <c r="R353" s="29">
        <f t="shared" si="194"/>
        <v>3</v>
      </c>
      <c r="S353" s="29">
        <v>3</v>
      </c>
      <c r="T353" s="35">
        <f t="shared" si="177"/>
        <v>44058</v>
      </c>
      <c r="U353" s="27"/>
      <c r="V353" s="27"/>
      <c r="W353" s="58">
        <f>IF(K353=TRUE,Q353/J353,Q353)</f>
        <v>2.5</v>
      </c>
      <c r="X353" s="31">
        <f t="shared" si="195"/>
        <v>0</v>
      </c>
      <c r="Y353" t="b">
        <f t="shared" si="196"/>
        <v>0</v>
      </c>
      <c r="Z353" s="78">
        <f t="shared" si="197"/>
        <v>-2.5</v>
      </c>
    </row>
    <row r="354" spans="1:26" x14ac:dyDescent="0.25">
      <c r="A354" s="53">
        <v>2020</v>
      </c>
      <c r="B354" s="53">
        <v>115</v>
      </c>
      <c r="C354" s="71" t="s">
        <v>105</v>
      </c>
      <c r="D354" t="s">
        <v>705</v>
      </c>
      <c r="E354" s="9" t="s">
        <v>1143</v>
      </c>
      <c r="G354" s="1">
        <v>43957</v>
      </c>
      <c r="H354" t="s">
        <v>1128</v>
      </c>
      <c r="K354" t="b">
        <f t="shared" si="198"/>
        <v>0</v>
      </c>
      <c r="L354" s="48">
        <f>43.9/1.2</f>
        <v>36.583333333333336</v>
      </c>
      <c r="M354" s="72">
        <v>1</v>
      </c>
      <c r="N354">
        <v>20</v>
      </c>
      <c r="O354" s="31">
        <f t="shared" si="191"/>
        <v>7.3166666666666673</v>
      </c>
      <c r="P354" s="31">
        <f t="shared" si="192"/>
        <v>7.3166666666666673</v>
      </c>
      <c r="Q354" s="33">
        <f t="shared" si="193"/>
        <v>36.583333333333336</v>
      </c>
      <c r="R354" s="29">
        <f t="shared" si="194"/>
        <v>43.900000000000006</v>
      </c>
      <c r="S354" s="29">
        <f>Q354+P354</f>
        <v>43.900000000000006</v>
      </c>
      <c r="T354" s="35">
        <f t="shared" si="177"/>
        <v>44058</v>
      </c>
      <c r="U354" s="27"/>
      <c r="V354" s="27"/>
      <c r="W354" s="58">
        <f>IF(K354=TRUE,Q354/I354,Q354)</f>
        <v>36.583333333333336</v>
      </c>
      <c r="X354" s="31">
        <f t="shared" si="195"/>
        <v>0</v>
      </c>
      <c r="Y354" t="b">
        <f t="shared" si="196"/>
        <v>0</v>
      </c>
      <c r="Z354" s="78">
        <f t="shared" si="197"/>
        <v>-36.583333333333336</v>
      </c>
    </row>
    <row r="355" spans="1:26" x14ac:dyDescent="0.25">
      <c r="A355" s="53">
        <v>2020</v>
      </c>
      <c r="B355" s="53">
        <v>116</v>
      </c>
      <c r="C355" s="71" t="s">
        <v>105</v>
      </c>
      <c r="D355" t="s">
        <v>703</v>
      </c>
      <c r="E355" s="9" t="s">
        <v>1358</v>
      </c>
      <c r="G355" s="1">
        <v>43959</v>
      </c>
      <c r="H355" t="s">
        <v>34</v>
      </c>
      <c r="K355" t="b">
        <f t="shared" si="198"/>
        <v>0</v>
      </c>
      <c r="L355" s="48">
        <v>15</v>
      </c>
      <c r="M355" s="72">
        <v>1</v>
      </c>
      <c r="N355">
        <v>20</v>
      </c>
      <c r="O355" s="31">
        <f t="shared" si="191"/>
        <v>3</v>
      </c>
      <c r="P355" s="31">
        <f t="shared" si="192"/>
        <v>3</v>
      </c>
      <c r="Q355" s="33">
        <f t="shared" si="193"/>
        <v>15</v>
      </c>
      <c r="R355" s="29">
        <f t="shared" si="194"/>
        <v>18</v>
      </c>
      <c r="S355" s="29">
        <f>Q355+P355</f>
        <v>18</v>
      </c>
      <c r="T355" s="35">
        <f t="shared" si="177"/>
        <v>44058</v>
      </c>
      <c r="U355" s="27"/>
      <c r="V355" s="27"/>
      <c r="W355" s="58">
        <f>IF(K355=TRUE,Q355/I355,Q355)</f>
        <v>15</v>
      </c>
      <c r="X355" s="31">
        <f t="shared" si="195"/>
        <v>0</v>
      </c>
      <c r="Y355" t="b">
        <f t="shared" si="196"/>
        <v>0</v>
      </c>
      <c r="Z355" s="78">
        <f t="shared" si="197"/>
        <v>-15</v>
      </c>
    </row>
    <row r="356" spans="1:26" x14ac:dyDescent="0.25">
      <c r="A356" s="53">
        <v>2020</v>
      </c>
      <c r="B356" s="53">
        <v>117</v>
      </c>
      <c r="C356" s="71" t="s">
        <v>105</v>
      </c>
      <c r="D356" t="s">
        <v>695</v>
      </c>
      <c r="E356" s="134"/>
      <c r="G356" s="1">
        <v>43962</v>
      </c>
      <c r="H356" t="s">
        <v>952</v>
      </c>
      <c r="K356" t="b">
        <f t="shared" si="198"/>
        <v>0</v>
      </c>
      <c r="L356" s="48">
        <v>1678.77</v>
      </c>
      <c r="M356" s="72">
        <v>1</v>
      </c>
      <c r="N356">
        <v>0</v>
      </c>
      <c r="O356" s="31">
        <f t="shared" si="191"/>
        <v>0</v>
      </c>
      <c r="P356" s="31">
        <f t="shared" si="192"/>
        <v>0</v>
      </c>
      <c r="Q356" s="33">
        <f t="shared" si="193"/>
        <v>1678.77</v>
      </c>
      <c r="R356" s="29">
        <f t="shared" si="194"/>
        <v>1678.77</v>
      </c>
      <c r="S356" s="29">
        <f>Q356+P356</f>
        <v>1678.77</v>
      </c>
      <c r="T356" s="35">
        <f t="shared" si="177"/>
        <v>44058</v>
      </c>
      <c r="U356" s="27"/>
      <c r="V356" s="27"/>
      <c r="W356" s="58">
        <f>IF(K356=TRUE,Q356/J356,Q356)</f>
        <v>1678.77</v>
      </c>
      <c r="X356" s="31">
        <f t="shared" si="195"/>
        <v>0</v>
      </c>
      <c r="Y356" t="b">
        <f t="shared" si="196"/>
        <v>0</v>
      </c>
      <c r="Z356" s="78">
        <f t="shared" si="197"/>
        <v>-1678.77</v>
      </c>
    </row>
    <row r="357" spans="1:26" x14ac:dyDescent="0.25">
      <c r="A357" s="53">
        <v>2020</v>
      </c>
      <c r="B357" s="53">
        <v>118</v>
      </c>
      <c r="C357" s="71" t="s">
        <v>105</v>
      </c>
      <c r="D357" t="s">
        <v>705</v>
      </c>
      <c r="E357" s="9" t="s">
        <v>1222</v>
      </c>
      <c r="G357" s="1">
        <v>43962</v>
      </c>
      <c r="H357" t="s">
        <v>1223</v>
      </c>
      <c r="K357" t="b">
        <f t="shared" si="198"/>
        <v>0</v>
      </c>
      <c r="L357" s="109">
        <f>S357/1.2</f>
        <v>29</v>
      </c>
      <c r="M357" s="72">
        <v>1</v>
      </c>
      <c r="N357">
        <v>20</v>
      </c>
      <c r="O357" s="31">
        <f t="shared" si="191"/>
        <v>5.8</v>
      </c>
      <c r="P357" s="31">
        <f t="shared" si="192"/>
        <v>5.8</v>
      </c>
      <c r="Q357" s="33">
        <f t="shared" si="193"/>
        <v>29</v>
      </c>
      <c r="R357" s="29">
        <f t="shared" si="194"/>
        <v>34.799999999999997</v>
      </c>
      <c r="S357" s="29">
        <v>34.799999999999997</v>
      </c>
      <c r="T357" s="35">
        <f t="shared" si="177"/>
        <v>44058</v>
      </c>
      <c r="U357" s="27"/>
      <c r="V357" s="27"/>
      <c r="W357" s="58">
        <f>IF(K357=TRUE,Q357/J357,Q357)</f>
        <v>29</v>
      </c>
      <c r="X357" s="31">
        <f t="shared" si="195"/>
        <v>0</v>
      </c>
      <c r="Y357" t="b">
        <f t="shared" si="196"/>
        <v>0</v>
      </c>
      <c r="Z357" s="78">
        <f t="shared" si="197"/>
        <v>-29</v>
      </c>
    </row>
    <row r="358" spans="1:26" x14ac:dyDescent="0.25">
      <c r="A358" s="53">
        <v>2020</v>
      </c>
      <c r="B358" s="53">
        <v>119</v>
      </c>
      <c r="C358" s="71" t="s">
        <v>708</v>
      </c>
      <c r="D358" t="s">
        <v>709</v>
      </c>
      <c r="E358" s="9" t="s">
        <v>1359</v>
      </c>
      <c r="G358" s="1">
        <v>43963</v>
      </c>
      <c r="H358" t="s">
        <v>1266</v>
      </c>
      <c r="K358" t="b">
        <f t="shared" si="198"/>
        <v>0</v>
      </c>
      <c r="L358" s="48">
        <v>157.5</v>
      </c>
      <c r="M358" s="72">
        <v>1</v>
      </c>
      <c r="N358">
        <v>20</v>
      </c>
      <c r="O358" s="31">
        <f t="shared" si="191"/>
        <v>31.5</v>
      </c>
      <c r="P358" s="31">
        <f t="shared" si="192"/>
        <v>31.5</v>
      </c>
      <c r="Q358" s="33">
        <f t="shared" si="193"/>
        <v>157.5</v>
      </c>
      <c r="R358" s="29">
        <f t="shared" si="194"/>
        <v>189</v>
      </c>
      <c r="S358" s="29">
        <f t="shared" ref="S358:S364" si="199">Q358+P358</f>
        <v>189</v>
      </c>
      <c r="T358" s="35">
        <f t="shared" si="177"/>
        <v>44058</v>
      </c>
      <c r="U358" s="27"/>
      <c r="V358" s="27"/>
      <c r="W358" s="58">
        <f>IF(K358=TRUE,Q358/I358,Q358)</f>
        <v>157.5</v>
      </c>
      <c r="X358" s="31">
        <f t="shared" si="195"/>
        <v>0</v>
      </c>
      <c r="Y358" t="b">
        <f t="shared" si="196"/>
        <v>0</v>
      </c>
      <c r="Z358" s="78">
        <f t="shared" si="197"/>
        <v>157.5</v>
      </c>
    </row>
    <row r="359" spans="1:26" x14ac:dyDescent="0.25">
      <c r="A359" s="53">
        <v>2020</v>
      </c>
      <c r="B359" s="53">
        <v>120</v>
      </c>
      <c r="C359" s="71" t="s">
        <v>708</v>
      </c>
      <c r="D359" t="s">
        <v>709</v>
      </c>
      <c r="E359" s="9" t="s">
        <v>1360</v>
      </c>
      <c r="G359" s="1">
        <v>43963</v>
      </c>
      <c r="H359" t="s">
        <v>1266</v>
      </c>
      <c r="K359" t="b">
        <f t="shared" si="198"/>
        <v>0</v>
      </c>
      <c r="L359" s="48">
        <v>7050</v>
      </c>
      <c r="M359" s="72">
        <v>1</v>
      </c>
      <c r="N359">
        <v>20</v>
      </c>
      <c r="O359" s="31">
        <f>L359*N359/100</f>
        <v>1410</v>
      </c>
      <c r="P359" s="31">
        <f>M359*O359</f>
        <v>1410</v>
      </c>
      <c r="Q359" s="33">
        <f>L359*M359</f>
        <v>7050</v>
      </c>
      <c r="R359" s="29">
        <f>L359+O359</f>
        <v>8460</v>
      </c>
      <c r="S359" s="29">
        <f t="shared" si="199"/>
        <v>8460</v>
      </c>
      <c r="T359" s="35">
        <f t="shared" si="177"/>
        <v>44058</v>
      </c>
      <c r="U359" s="27"/>
      <c r="V359" s="27"/>
      <c r="W359" s="58">
        <f>IF(K359=TRUE,Q359/I359,Q359)</f>
        <v>7050</v>
      </c>
      <c r="X359" s="31">
        <f>V359/100*S359</f>
        <v>0</v>
      </c>
      <c r="Y359" t="b">
        <f>IF(AND(V359&gt;0,N359=V359),TRUE,FALSE)</f>
        <v>0</v>
      </c>
      <c r="Z359" s="78">
        <f>IF(C359="Einnahmen",Q359,-Q359)</f>
        <v>7050</v>
      </c>
    </row>
    <row r="360" spans="1:26" x14ac:dyDescent="0.25">
      <c r="A360" s="53">
        <v>2020</v>
      </c>
      <c r="B360" s="53">
        <v>121</v>
      </c>
      <c r="C360" s="71" t="s">
        <v>105</v>
      </c>
      <c r="D360" t="s">
        <v>705</v>
      </c>
      <c r="E360" s="9" t="s">
        <v>1361</v>
      </c>
      <c r="G360" s="1">
        <v>43964</v>
      </c>
      <c r="H360" t="s">
        <v>927</v>
      </c>
      <c r="K360" t="b">
        <f t="shared" si="198"/>
        <v>0</v>
      </c>
      <c r="L360" s="48">
        <v>46.92</v>
      </c>
      <c r="M360" s="72">
        <v>1</v>
      </c>
      <c r="N360">
        <v>0</v>
      </c>
      <c r="O360" s="31">
        <f>L360*N360/100</f>
        <v>0</v>
      </c>
      <c r="P360" s="31">
        <f>M360*O360</f>
        <v>0</v>
      </c>
      <c r="Q360" s="33">
        <f>L360*M360</f>
        <v>46.92</v>
      </c>
      <c r="R360" s="29">
        <f>L360+O360</f>
        <v>46.92</v>
      </c>
      <c r="S360" s="29">
        <f t="shared" si="199"/>
        <v>46.92</v>
      </c>
      <c r="T360" s="35">
        <f t="shared" si="177"/>
        <v>44058</v>
      </c>
      <c r="U360" s="27"/>
      <c r="V360" s="27">
        <v>20</v>
      </c>
      <c r="W360" s="58">
        <f>IF(K360=TRUE,Q360/J360,Q360)</f>
        <v>46.92</v>
      </c>
      <c r="X360" s="31">
        <f>V360/100*S360</f>
        <v>9.3840000000000003</v>
      </c>
      <c r="Y360" t="b">
        <f>IF(AND(V360&gt;0,N360=V360),TRUE,FALSE)</f>
        <v>0</v>
      </c>
      <c r="Z360" s="78">
        <f>IF(C360="Einnahmen",Q360,-Q360)</f>
        <v>-46.92</v>
      </c>
    </row>
    <row r="361" spans="1:26" x14ac:dyDescent="0.25">
      <c r="A361" s="53">
        <v>2020</v>
      </c>
      <c r="B361" s="53">
        <v>122</v>
      </c>
      <c r="C361" s="71" t="s">
        <v>105</v>
      </c>
      <c r="D361" t="s">
        <v>703</v>
      </c>
      <c r="E361" s="9" t="s">
        <v>1395</v>
      </c>
      <c r="G361" s="1">
        <v>43973</v>
      </c>
      <c r="H361" t="s">
        <v>1148</v>
      </c>
      <c r="K361" t="b">
        <f t="shared" si="198"/>
        <v>0</v>
      </c>
      <c r="L361" s="48">
        <v>35.24</v>
      </c>
      <c r="M361" s="72">
        <v>1</v>
      </c>
      <c r="N361">
        <v>20</v>
      </c>
      <c r="O361" s="31">
        <f>L361*N361/100</f>
        <v>7.0480000000000009</v>
      </c>
      <c r="P361" s="31">
        <f>M361*O361</f>
        <v>7.0480000000000009</v>
      </c>
      <c r="Q361" s="33">
        <f>L361*M361</f>
        <v>35.24</v>
      </c>
      <c r="R361" s="29">
        <f>L361+O361</f>
        <v>42.288000000000004</v>
      </c>
      <c r="S361" s="29">
        <f t="shared" si="199"/>
        <v>42.288000000000004</v>
      </c>
      <c r="T361" s="35">
        <f t="shared" si="177"/>
        <v>44058</v>
      </c>
      <c r="U361" s="27"/>
      <c r="V361" s="27"/>
      <c r="W361" s="58">
        <f>IF(K361=TRUE,Q361/I361,Q361)</f>
        <v>35.24</v>
      </c>
      <c r="X361" s="31">
        <f>V361/100*S361</f>
        <v>0</v>
      </c>
      <c r="Y361" t="b">
        <f>IF(AND(V361&gt;0,N361=V361),TRUE,FALSE)</f>
        <v>0</v>
      </c>
      <c r="Z361" s="78">
        <f>IF(C361="Einnahmen",Q361,-Q361)</f>
        <v>-35.24</v>
      </c>
    </row>
    <row r="362" spans="1:26" x14ac:dyDescent="0.25">
      <c r="A362" s="53">
        <v>2020</v>
      </c>
      <c r="B362" s="53">
        <v>123</v>
      </c>
      <c r="C362" s="71" t="s">
        <v>105</v>
      </c>
      <c r="D362" t="s">
        <v>705</v>
      </c>
      <c r="E362" s="9" t="s">
        <v>1362</v>
      </c>
      <c r="G362" s="1">
        <v>43976</v>
      </c>
      <c r="H362" t="s">
        <v>941</v>
      </c>
      <c r="K362" t="b">
        <f t="shared" si="198"/>
        <v>0</v>
      </c>
      <c r="L362" s="48">
        <v>16.579999999999998</v>
      </c>
      <c r="M362" s="72">
        <v>1</v>
      </c>
      <c r="N362">
        <v>20</v>
      </c>
      <c r="O362" s="31">
        <f t="shared" ref="O362:O367" si="200">L362*N362/100</f>
        <v>3.3159999999999998</v>
      </c>
      <c r="P362" s="31">
        <f t="shared" ref="P362:P367" si="201">M362*O362</f>
        <v>3.3159999999999998</v>
      </c>
      <c r="Q362" s="33">
        <f t="shared" ref="Q362:Q367" si="202">L362*M362</f>
        <v>16.579999999999998</v>
      </c>
      <c r="R362" s="29">
        <f t="shared" ref="R362:R367" si="203">L362+O362</f>
        <v>19.895999999999997</v>
      </c>
      <c r="S362" s="29">
        <f t="shared" si="199"/>
        <v>19.895999999999997</v>
      </c>
      <c r="T362" s="35">
        <f t="shared" si="177"/>
        <v>44058</v>
      </c>
      <c r="U362" s="27"/>
      <c r="V362" s="27"/>
      <c r="W362" s="58">
        <f>IF(K362=TRUE,Q362/J362,Q362)</f>
        <v>16.579999999999998</v>
      </c>
      <c r="X362" s="31">
        <f t="shared" ref="X362:X367" si="204">V362/100*S362</f>
        <v>0</v>
      </c>
      <c r="Y362" t="b">
        <f t="shared" ref="Y362:Y367" si="205">IF(AND(V362&gt;0,N362=V362),TRUE,FALSE)</f>
        <v>0</v>
      </c>
      <c r="Z362" s="78">
        <f t="shared" ref="Z362:Z367" si="206">IF(C362="Einnahmen",Q362,-Q362)</f>
        <v>-16.579999999999998</v>
      </c>
    </row>
    <row r="363" spans="1:26" x14ac:dyDescent="0.25">
      <c r="A363" s="53">
        <v>2020</v>
      </c>
      <c r="B363" s="53">
        <v>124</v>
      </c>
      <c r="C363" s="71" t="s">
        <v>105</v>
      </c>
      <c r="D363" t="s">
        <v>693</v>
      </c>
      <c r="E363" s="9" t="s">
        <v>1371</v>
      </c>
      <c r="G363" s="1">
        <v>43980</v>
      </c>
      <c r="H363" t="s">
        <v>1363</v>
      </c>
      <c r="K363" t="b">
        <f t="shared" si="198"/>
        <v>0</v>
      </c>
      <c r="L363" s="48">
        <v>24.88</v>
      </c>
      <c r="M363" s="72">
        <v>1</v>
      </c>
      <c r="N363">
        <v>0</v>
      </c>
      <c r="O363" s="31">
        <f t="shared" si="200"/>
        <v>0</v>
      </c>
      <c r="P363" s="31">
        <f t="shared" si="201"/>
        <v>0</v>
      </c>
      <c r="Q363" s="33">
        <f t="shared" si="202"/>
        <v>24.88</v>
      </c>
      <c r="R363" s="29">
        <f t="shared" si="203"/>
        <v>24.88</v>
      </c>
      <c r="S363" s="29">
        <f t="shared" si="199"/>
        <v>24.88</v>
      </c>
      <c r="T363" s="35">
        <f t="shared" si="177"/>
        <v>44058</v>
      </c>
      <c r="U363" s="27"/>
      <c r="V363" s="27">
        <v>20</v>
      </c>
      <c r="W363" s="58">
        <f>IF(K363=TRUE,Q363/I363,Q363)</f>
        <v>24.88</v>
      </c>
      <c r="X363" s="31">
        <f t="shared" si="204"/>
        <v>4.976</v>
      </c>
      <c r="Y363" t="b">
        <f t="shared" si="205"/>
        <v>0</v>
      </c>
      <c r="Z363" s="78">
        <f t="shared" si="206"/>
        <v>-24.88</v>
      </c>
    </row>
    <row r="364" spans="1:26" x14ac:dyDescent="0.25">
      <c r="A364" s="53">
        <v>2020</v>
      </c>
      <c r="B364" s="53">
        <v>125</v>
      </c>
      <c r="C364" s="71" t="s">
        <v>105</v>
      </c>
      <c r="D364" t="s">
        <v>691</v>
      </c>
      <c r="E364" s="9" t="s">
        <v>1250</v>
      </c>
      <c r="G364" s="1">
        <v>43984</v>
      </c>
      <c r="H364" t="s">
        <v>1113</v>
      </c>
      <c r="K364" t="b">
        <v>0</v>
      </c>
      <c r="L364" s="48">
        <v>462.44</v>
      </c>
      <c r="M364" s="72">
        <v>1</v>
      </c>
      <c r="N364">
        <v>20</v>
      </c>
      <c r="O364" s="31">
        <f t="shared" si="200"/>
        <v>92.488</v>
      </c>
      <c r="P364" s="31">
        <f t="shared" si="201"/>
        <v>92.488</v>
      </c>
      <c r="Q364" s="33">
        <f t="shared" si="202"/>
        <v>462.44</v>
      </c>
      <c r="R364" s="29">
        <f t="shared" si="203"/>
        <v>554.928</v>
      </c>
      <c r="S364" s="29">
        <f t="shared" si="199"/>
        <v>554.928</v>
      </c>
      <c r="T364" s="35">
        <f t="shared" si="177"/>
        <v>44058</v>
      </c>
      <c r="U364" s="27"/>
      <c r="V364" s="27"/>
      <c r="W364" s="58">
        <f>IF(K364=TRUE,Q364/J364,Q364)</f>
        <v>462.44</v>
      </c>
      <c r="X364" s="31">
        <f t="shared" si="204"/>
        <v>0</v>
      </c>
      <c r="Y364" t="b">
        <f t="shared" si="205"/>
        <v>0</v>
      </c>
      <c r="Z364" s="78">
        <f t="shared" si="206"/>
        <v>-462.44</v>
      </c>
    </row>
    <row r="365" spans="1:26" x14ac:dyDescent="0.25">
      <c r="A365" s="53">
        <v>2020</v>
      </c>
      <c r="B365" s="53">
        <v>126</v>
      </c>
      <c r="C365" s="71" t="s">
        <v>105</v>
      </c>
      <c r="D365" t="s">
        <v>705</v>
      </c>
      <c r="E365" s="9" t="s">
        <v>1225</v>
      </c>
      <c r="G365" s="1">
        <v>43986</v>
      </c>
      <c r="H365" t="s">
        <v>1364</v>
      </c>
      <c r="K365" t="b">
        <f t="shared" ref="K365:K370" si="207">(IF(AND(I365&lt;&gt;"",AND(J365="",ABS(Q365)&gt;400)),TRUE,FALSE))</f>
        <v>0</v>
      </c>
      <c r="L365" s="48">
        <f>S365/1.2</f>
        <v>2.5</v>
      </c>
      <c r="M365" s="72">
        <v>1</v>
      </c>
      <c r="N365">
        <v>20</v>
      </c>
      <c r="O365" s="31">
        <f t="shared" si="200"/>
        <v>0.5</v>
      </c>
      <c r="P365" s="31">
        <f t="shared" si="201"/>
        <v>0.5</v>
      </c>
      <c r="Q365" s="33">
        <f t="shared" si="202"/>
        <v>2.5</v>
      </c>
      <c r="R365" s="29">
        <f t="shared" si="203"/>
        <v>3</v>
      </c>
      <c r="S365" s="29">
        <v>3</v>
      </c>
      <c r="T365" s="35">
        <f t="shared" si="177"/>
        <v>44058</v>
      </c>
      <c r="U365" s="27"/>
      <c r="V365" s="27"/>
      <c r="W365" s="58">
        <f>IF(K365=TRUE,Q365/J365,Q365)</f>
        <v>2.5</v>
      </c>
      <c r="X365" s="31">
        <f t="shared" si="204"/>
        <v>0</v>
      </c>
      <c r="Y365" t="b">
        <f t="shared" si="205"/>
        <v>0</v>
      </c>
      <c r="Z365" s="78">
        <f t="shared" si="206"/>
        <v>-2.5</v>
      </c>
    </row>
    <row r="366" spans="1:26" x14ac:dyDescent="0.25">
      <c r="A366" s="53">
        <v>2020</v>
      </c>
      <c r="B366" s="53">
        <v>127</v>
      </c>
      <c r="C366" s="71" t="s">
        <v>105</v>
      </c>
      <c r="D366" t="s">
        <v>703</v>
      </c>
      <c r="E366" s="9" t="s">
        <v>1365</v>
      </c>
      <c r="G366" s="1">
        <v>43990</v>
      </c>
      <c r="H366" t="s">
        <v>34</v>
      </c>
      <c r="K366" t="b">
        <f t="shared" si="207"/>
        <v>0</v>
      </c>
      <c r="L366" s="48">
        <v>15</v>
      </c>
      <c r="M366" s="72">
        <v>1</v>
      </c>
      <c r="N366">
        <v>20</v>
      </c>
      <c r="O366" s="31">
        <f t="shared" si="200"/>
        <v>3</v>
      </c>
      <c r="P366" s="31">
        <f t="shared" si="201"/>
        <v>3</v>
      </c>
      <c r="Q366" s="33">
        <f t="shared" si="202"/>
        <v>15</v>
      </c>
      <c r="R366" s="29">
        <f t="shared" si="203"/>
        <v>18</v>
      </c>
      <c r="S366" s="29">
        <f t="shared" ref="S366:S375" si="208">Q366+P366</f>
        <v>18</v>
      </c>
      <c r="T366" s="35">
        <f t="shared" si="177"/>
        <v>44058</v>
      </c>
      <c r="U366" s="27"/>
      <c r="V366" s="27"/>
      <c r="W366" s="58">
        <f>IF(K366=TRUE,Q366/I366,Q366)</f>
        <v>15</v>
      </c>
      <c r="X366" s="31">
        <f t="shared" si="204"/>
        <v>0</v>
      </c>
      <c r="Y366" t="b">
        <f t="shared" si="205"/>
        <v>0</v>
      </c>
      <c r="Z366" s="78">
        <f t="shared" si="206"/>
        <v>-15</v>
      </c>
    </row>
    <row r="367" spans="1:26" x14ac:dyDescent="0.25">
      <c r="A367" s="53">
        <v>2020</v>
      </c>
      <c r="B367" s="53">
        <v>128</v>
      </c>
      <c r="C367" s="71" t="s">
        <v>105</v>
      </c>
      <c r="D367" t="s">
        <v>705</v>
      </c>
      <c r="E367" s="9" t="s">
        <v>1366</v>
      </c>
      <c r="G367" s="1">
        <v>43994</v>
      </c>
      <c r="H367" t="s">
        <v>927</v>
      </c>
      <c r="K367" t="b">
        <f t="shared" si="207"/>
        <v>0</v>
      </c>
      <c r="L367" s="48">
        <v>46.92</v>
      </c>
      <c r="M367" s="72">
        <v>1</v>
      </c>
      <c r="N367">
        <v>0</v>
      </c>
      <c r="O367" s="31">
        <f t="shared" si="200"/>
        <v>0</v>
      </c>
      <c r="P367" s="31">
        <f t="shared" si="201"/>
        <v>0</v>
      </c>
      <c r="Q367" s="33">
        <f t="shared" si="202"/>
        <v>46.92</v>
      </c>
      <c r="R367" s="29">
        <f t="shared" si="203"/>
        <v>46.92</v>
      </c>
      <c r="S367" s="29">
        <f t="shared" si="208"/>
        <v>46.92</v>
      </c>
      <c r="T367" s="35">
        <f t="shared" si="177"/>
        <v>44058</v>
      </c>
      <c r="U367" s="27"/>
      <c r="V367" s="27">
        <v>20</v>
      </c>
      <c r="W367" s="58">
        <f>IF(K367=TRUE,Q367/J367,Q367)</f>
        <v>46.92</v>
      </c>
      <c r="X367" s="31">
        <f t="shared" si="204"/>
        <v>9.3840000000000003</v>
      </c>
      <c r="Y367" t="b">
        <f t="shared" si="205"/>
        <v>0</v>
      </c>
      <c r="Z367" s="78">
        <f t="shared" si="206"/>
        <v>-46.92</v>
      </c>
    </row>
    <row r="368" spans="1:26" x14ac:dyDescent="0.25">
      <c r="A368" s="53">
        <v>2020</v>
      </c>
      <c r="B368" s="53">
        <v>129</v>
      </c>
      <c r="C368" s="71" t="s">
        <v>105</v>
      </c>
      <c r="D368" t="s">
        <v>705</v>
      </c>
      <c r="E368" s="9" t="s">
        <v>1367</v>
      </c>
      <c r="G368" s="1">
        <v>43994</v>
      </c>
      <c r="H368" t="s">
        <v>1368</v>
      </c>
      <c r="K368" t="b">
        <f t="shared" si="207"/>
        <v>0</v>
      </c>
      <c r="L368" s="48">
        <v>26</v>
      </c>
      <c r="M368" s="72">
        <v>1</v>
      </c>
      <c r="N368">
        <v>0</v>
      </c>
      <c r="O368" s="31">
        <f t="shared" ref="O368:O387" si="209">L368*N368/100</f>
        <v>0</v>
      </c>
      <c r="P368" s="31">
        <f t="shared" ref="P368:P387" si="210">M368*O368</f>
        <v>0</v>
      </c>
      <c r="Q368" s="33">
        <f t="shared" ref="Q368:Q387" si="211">L368*M368</f>
        <v>26</v>
      </c>
      <c r="R368" s="29">
        <f t="shared" ref="R368:R387" si="212">L368+O368</f>
        <v>26</v>
      </c>
      <c r="S368" s="29">
        <f t="shared" si="208"/>
        <v>26</v>
      </c>
      <c r="T368" s="35">
        <f t="shared" si="177"/>
        <v>44058</v>
      </c>
      <c r="U368" s="27"/>
      <c r="V368" s="27">
        <v>20</v>
      </c>
      <c r="W368" s="58">
        <f>IF(K368=TRUE,Q368/J368,Q368)</f>
        <v>26</v>
      </c>
      <c r="X368" s="31">
        <f t="shared" ref="X368:X387" si="213">V368/100*S368</f>
        <v>5.2</v>
      </c>
      <c r="Y368" t="b">
        <f t="shared" ref="Y368:Y387" si="214">IF(AND(V368&gt;0,N368=V368),TRUE,FALSE)</f>
        <v>0</v>
      </c>
      <c r="Z368" s="78">
        <f t="shared" ref="Z368:Z387" si="215">IF(C368="Einnahmen",Q368,-Q368)</f>
        <v>-26</v>
      </c>
    </row>
    <row r="369" spans="1:26" x14ac:dyDescent="0.25">
      <c r="A369" s="53">
        <v>2020</v>
      </c>
      <c r="B369" s="53">
        <v>130</v>
      </c>
      <c r="C369" s="71" t="s">
        <v>708</v>
      </c>
      <c r="D369" t="s">
        <v>709</v>
      </c>
      <c r="E369" s="9" t="s">
        <v>1369</v>
      </c>
      <c r="G369" s="1">
        <v>44000</v>
      </c>
      <c r="H369" t="s">
        <v>1266</v>
      </c>
      <c r="K369" t="b">
        <f t="shared" si="207"/>
        <v>0</v>
      </c>
      <c r="L369" s="48">
        <v>7560</v>
      </c>
      <c r="M369" s="72">
        <v>1</v>
      </c>
      <c r="N369">
        <v>20</v>
      </c>
      <c r="O369" s="31">
        <f t="shared" si="209"/>
        <v>1512</v>
      </c>
      <c r="P369" s="31">
        <f t="shared" si="210"/>
        <v>1512</v>
      </c>
      <c r="Q369" s="33">
        <f t="shared" si="211"/>
        <v>7560</v>
      </c>
      <c r="R369" s="29">
        <f t="shared" si="212"/>
        <v>9072</v>
      </c>
      <c r="S369" s="29">
        <f t="shared" si="208"/>
        <v>9072</v>
      </c>
      <c r="T369" s="35">
        <f t="shared" si="177"/>
        <v>44058</v>
      </c>
      <c r="U369" s="27"/>
      <c r="V369" s="27"/>
      <c r="W369" s="58">
        <f>IF(K369=TRUE,Q369/I369,Q369)</f>
        <v>7560</v>
      </c>
      <c r="X369" s="31">
        <f t="shared" si="213"/>
        <v>0</v>
      </c>
      <c r="Y369" t="b">
        <f t="shared" si="214"/>
        <v>0</v>
      </c>
      <c r="Z369" s="78">
        <f t="shared" si="215"/>
        <v>7560</v>
      </c>
    </row>
    <row r="370" spans="1:26" x14ac:dyDescent="0.25">
      <c r="A370" s="53">
        <v>2020</v>
      </c>
      <c r="B370" s="53">
        <v>131</v>
      </c>
      <c r="C370" s="71" t="s">
        <v>105</v>
      </c>
      <c r="D370" t="s">
        <v>705</v>
      </c>
      <c r="E370" s="9" t="s">
        <v>1370</v>
      </c>
      <c r="G370" s="1">
        <v>44001</v>
      </c>
      <c r="H370" t="s">
        <v>1027</v>
      </c>
      <c r="K370" t="b">
        <f t="shared" si="207"/>
        <v>0</v>
      </c>
      <c r="L370" s="48">
        <v>860</v>
      </c>
      <c r="M370" s="72">
        <v>1</v>
      </c>
      <c r="N370">
        <v>20</v>
      </c>
      <c r="O370" s="31">
        <f t="shared" si="209"/>
        <v>172</v>
      </c>
      <c r="P370" s="31">
        <f t="shared" si="210"/>
        <v>172</v>
      </c>
      <c r="Q370" s="33">
        <f t="shared" si="211"/>
        <v>860</v>
      </c>
      <c r="R370" s="29">
        <f t="shared" si="212"/>
        <v>1032</v>
      </c>
      <c r="S370" s="29">
        <f t="shared" si="208"/>
        <v>1032</v>
      </c>
      <c r="T370" s="35">
        <f t="shared" si="177"/>
        <v>44058</v>
      </c>
      <c r="U370" s="27"/>
      <c r="V370" s="27"/>
      <c r="W370" s="58">
        <f>IF(K370=TRUE,Q370/J370,Q370)</f>
        <v>860</v>
      </c>
      <c r="X370" s="31">
        <f t="shared" si="213"/>
        <v>0</v>
      </c>
      <c r="Y370" t="b">
        <f t="shared" si="214"/>
        <v>0</v>
      </c>
      <c r="Z370" s="78">
        <f t="shared" si="215"/>
        <v>-860</v>
      </c>
    </row>
    <row r="371" spans="1:26" x14ac:dyDescent="0.25">
      <c r="A371" s="53">
        <v>2020</v>
      </c>
      <c r="B371" s="53">
        <v>132</v>
      </c>
      <c r="C371" s="71" t="s">
        <v>105</v>
      </c>
      <c r="D371" t="s">
        <v>705</v>
      </c>
      <c r="E371" s="9" t="s">
        <v>1394</v>
      </c>
      <c r="G371" s="1">
        <v>44004</v>
      </c>
      <c r="H371" t="s">
        <v>1032</v>
      </c>
      <c r="K371" t="b">
        <f>(IF(AND(I371&lt;&gt;"",AND(J371="",ABS(Q371)&gt;400)),TRUE,FALSE))</f>
        <v>0</v>
      </c>
      <c r="L371" s="48">
        <v>69</v>
      </c>
      <c r="M371" s="72">
        <v>1</v>
      </c>
      <c r="N371">
        <v>20</v>
      </c>
      <c r="O371" s="31">
        <f t="shared" si="209"/>
        <v>13.8</v>
      </c>
      <c r="P371" s="31">
        <f t="shared" si="210"/>
        <v>13.8</v>
      </c>
      <c r="Q371" s="33">
        <f t="shared" si="211"/>
        <v>69</v>
      </c>
      <c r="R371" s="29">
        <f t="shared" si="212"/>
        <v>82.8</v>
      </c>
      <c r="S371" s="29">
        <f t="shared" si="208"/>
        <v>82.8</v>
      </c>
      <c r="T371" s="35">
        <f t="shared" si="177"/>
        <v>44058</v>
      </c>
      <c r="U371" s="27"/>
      <c r="V371" s="27"/>
      <c r="W371" s="58">
        <f>IF(K371=TRUE,Q371/J371,Q371)</f>
        <v>69</v>
      </c>
      <c r="X371" s="31">
        <f t="shared" si="213"/>
        <v>0</v>
      </c>
      <c r="Y371" t="b">
        <f t="shared" si="214"/>
        <v>0</v>
      </c>
      <c r="Z371" s="78">
        <f t="shared" si="215"/>
        <v>-69</v>
      </c>
    </row>
    <row r="372" spans="1:26" x14ac:dyDescent="0.25">
      <c r="A372" s="53">
        <v>2020</v>
      </c>
      <c r="B372" s="53">
        <v>133</v>
      </c>
      <c r="C372" s="71" t="s">
        <v>105</v>
      </c>
      <c r="D372" t="s">
        <v>703</v>
      </c>
      <c r="E372" s="9" t="s">
        <v>1392</v>
      </c>
      <c r="G372" s="1">
        <v>44004</v>
      </c>
      <c r="H372" t="s">
        <v>1148</v>
      </c>
      <c r="K372" t="b">
        <f>(IF(AND(I372&lt;&gt;"",AND(J372="",ABS(Q372)&gt;400)),TRUE,FALSE))</f>
        <v>0</v>
      </c>
      <c r="L372" s="48">
        <v>35.24</v>
      </c>
      <c r="M372" s="72">
        <v>1</v>
      </c>
      <c r="N372">
        <v>20</v>
      </c>
      <c r="O372" s="31">
        <f t="shared" si="209"/>
        <v>7.0480000000000009</v>
      </c>
      <c r="P372" s="31">
        <f t="shared" si="210"/>
        <v>7.0480000000000009</v>
      </c>
      <c r="Q372" s="33">
        <f t="shared" si="211"/>
        <v>35.24</v>
      </c>
      <c r="R372" s="29">
        <f t="shared" si="212"/>
        <v>42.288000000000004</v>
      </c>
      <c r="S372" s="29">
        <f t="shared" si="208"/>
        <v>42.288000000000004</v>
      </c>
      <c r="T372" s="35">
        <f t="shared" si="177"/>
        <v>44058</v>
      </c>
      <c r="U372" s="27"/>
      <c r="V372" s="27"/>
      <c r="W372" s="58">
        <f>IF(K372=TRUE,Q372/I372,Q372)</f>
        <v>35.24</v>
      </c>
      <c r="X372" s="31">
        <f t="shared" si="213"/>
        <v>0</v>
      </c>
      <c r="Y372" t="b">
        <f t="shared" si="214"/>
        <v>0</v>
      </c>
      <c r="Z372" s="78">
        <f t="shared" si="215"/>
        <v>-35.24</v>
      </c>
    </row>
    <row r="373" spans="1:26" x14ac:dyDescent="0.25">
      <c r="A373" s="53">
        <v>2020</v>
      </c>
      <c r="B373" s="53">
        <v>134</v>
      </c>
      <c r="C373" s="71" t="s">
        <v>105</v>
      </c>
      <c r="D373" t="s">
        <v>689</v>
      </c>
      <c r="E373" s="9" t="s">
        <v>1393</v>
      </c>
      <c r="G373" s="1">
        <v>44007</v>
      </c>
      <c r="H373" t="s">
        <v>974</v>
      </c>
      <c r="K373" t="b">
        <f>(IF(AND(I373&lt;&gt;"",AND(J373="",ABS(Q373)&gt;400)),TRUE,FALSE))</f>
        <v>0</v>
      </c>
      <c r="L373" s="48">
        <f>2.88/1.2</f>
        <v>2.4</v>
      </c>
      <c r="M373" s="72">
        <v>1</v>
      </c>
      <c r="N373">
        <v>20</v>
      </c>
      <c r="O373" s="31">
        <f t="shared" si="209"/>
        <v>0.48</v>
      </c>
      <c r="P373" s="31">
        <f t="shared" si="210"/>
        <v>0.48</v>
      </c>
      <c r="Q373" s="33">
        <f t="shared" si="211"/>
        <v>2.4</v>
      </c>
      <c r="R373" s="29">
        <f t="shared" si="212"/>
        <v>2.88</v>
      </c>
      <c r="S373" s="29">
        <f t="shared" si="208"/>
        <v>2.88</v>
      </c>
      <c r="T373" s="35">
        <f t="shared" ref="T373:T387" si="216">voranmeldefrist_vierteljaehrlich(G373)</f>
        <v>44058</v>
      </c>
      <c r="U373" s="27"/>
      <c r="V373" s="27"/>
      <c r="W373" s="58">
        <f>IF(K373=TRUE,Q373/I373,Q373)</f>
        <v>2.4</v>
      </c>
      <c r="X373" s="31">
        <f t="shared" si="213"/>
        <v>0</v>
      </c>
      <c r="Y373" t="b">
        <f t="shared" si="214"/>
        <v>0</v>
      </c>
      <c r="Z373" s="78">
        <f t="shared" si="215"/>
        <v>-2.4</v>
      </c>
    </row>
    <row r="374" spans="1:26" x14ac:dyDescent="0.25">
      <c r="A374" s="53">
        <v>2020</v>
      </c>
      <c r="B374" s="53">
        <v>135</v>
      </c>
      <c r="C374" s="71" t="s">
        <v>105</v>
      </c>
      <c r="D374" t="s">
        <v>691</v>
      </c>
      <c r="E374" s="9" t="s">
        <v>1372</v>
      </c>
      <c r="G374" s="1">
        <v>44013</v>
      </c>
      <c r="H374" t="s">
        <v>1113</v>
      </c>
      <c r="K374" t="b">
        <v>0</v>
      </c>
      <c r="L374" s="48">
        <f>552.49/1.2</f>
        <v>460.40833333333336</v>
      </c>
      <c r="M374" s="72">
        <v>1</v>
      </c>
      <c r="N374">
        <v>20</v>
      </c>
      <c r="O374" s="31">
        <f t="shared" si="209"/>
        <v>92.081666666666678</v>
      </c>
      <c r="P374" s="31">
        <f t="shared" si="210"/>
        <v>92.081666666666678</v>
      </c>
      <c r="Q374" s="33">
        <f t="shared" si="211"/>
        <v>460.40833333333336</v>
      </c>
      <c r="R374" s="29">
        <f t="shared" si="212"/>
        <v>552.49</v>
      </c>
      <c r="S374" s="29">
        <f t="shared" si="208"/>
        <v>552.49</v>
      </c>
      <c r="T374" s="35">
        <f t="shared" si="216"/>
        <v>44150</v>
      </c>
      <c r="U374" s="27"/>
      <c r="V374" s="27"/>
      <c r="W374" s="58">
        <f>IF(K374=TRUE,Q374/J374,Q374)</f>
        <v>460.40833333333336</v>
      </c>
      <c r="X374" s="31">
        <f t="shared" si="213"/>
        <v>0</v>
      </c>
      <c r="Y374" t="b">
        <f t="shared" si="214"/>
        <v>0</v>
      </c>
      <c r="Z374" s="78">
        <f t="shared" si="215"/>
        <v>-460.40833333333336</v>
      </c>
    </row>
    <row r="375" spans="1:26" x14ac:dyDescent="0.25">
      <c r="A375" s="53">
        <v>2020</v>
      </c>
      <c r="B375" s="53">
        <v>136</v>
      </c>
      <c r="C375" s="71" t="s">
        <v>105</v>
      </c>
      <c r="D375" t="s">
        <v>689</v>
      </c>
      <c r="E375" s="9" t="s">
        <v>1375</v>
      </c>
      <c r="G375" s="1">
        <v>44014</v>
      </c>
      <c r="H375" t="s">
        <v>974</v>
      </c>
      <c r="K375" t="b">
        <v>0</v>
      </c>
      <c r="L375" s="48">
        <v>15.5</v>
      </c>
      <c r="M375" s="72">
        <v>1</v>
      </c>
      <c r="N375">
        <v>20</v>
      </c>
      <c r="O375" s="31">
        <f t="shared" si="209"/>
        <v>3.1</v>
      </c>
      <c r="P375" s="31">
        <f t="shared" si="210"/>
        <v>3.1</v>
      </c>
      <c r="Q375" s="33">
        <f t="shared" si="211"/>
        <v>15.5</v>
      </c>
      <c r="R375" s="29">
        <f t="shared" si="212"/>
        <v>18.600000000000001</v>
      </c>
      <c r="S375" s="29">
        <f t="shared" si="208"/>
        <v>18.600000000000001</v>
      </c>
      <c r="T375" s="35">
        <f t="shared" si="216"/>
        <v>44150</v>
      </c>
      <c r="U375" s="27"/>
      <c r="V375" s="27"/>
      <c r="W375" s="58">
        <f>IF(K375=TRUE,Q375/J375,Q375)</f>
        <v>15.5</v>
      </c>
      <c r="X375" s="31">
        <f t="shared" si="213"/>
        <v>0</v>
      </c>
      <c r="Y375" t="b">
        <f t="shared" si="214"/>
        <v>0</v>
      </c>
      <c r="Z375" s="78">
        <f t="shared" si="215"/>
        <v>-15.5</v>
      </c>
    </row>
    <row r="376" spans="1:26" x14ac:dyDescent="0.25">
      <c r="A376" s="53">
        <v>2020</v>
      </c>
      <c r="B376" s="53">
        <v>137</v>
      </c>
      <c r="C376" s="71" t="s">
        <v>105</v>
      </c>
      <c r="D376" t="s">
        <v>705</v>
      </c>
      <c r="E376" s="9" t="s">
        <v>1225</v>
      </c>
      <c r="G376" s="1">
        <v>44015</v>
      </c>
      <c r="H376" t="s">
        <v>1364</v>
      </c>
      <c r="K376" t="b">
        <f>(IF(AND(I376&lt;&gt;"",AND(J376="",ABS(Q376)&gt;400)),TRUE,FALSE))</f>
        <v>0</v>
      </c>
      <c r="L376" s="48">
        <f>S376/1.2</f>
        <v>2.5</v>
      </c>
      <c r="M376" s="72">
        <v>1</v>
      </c>
      <c r="N376">
        <v>20</v>
      </c>
      <c r="O376" s="31">
        <f t="shared" si="209"/>
        <v>0.5</v>
      </c>
      <c r="P376" s="31">
        <f t="shared" si="210"/>
        <v>0.5</v>
      </c>
      <c r="Q376" s="33">
        <f t="shared" si="211"/>
        <v>2.5</v>
      </c>
      <c r="R376" s="29">
        <f t="shared" si="212"/>
        <v>3</v>
      </c>
      <c r="S376" s="29">
        <v>3</v>
      </c>
      <c r="T376" s="35">
        <f t="shared" si="216"/>
        <v>44150</v>
      </c>
      <c r="U376" s="27"/>
      <c r="V376" s="27"/>
      <c r="W376" s="58">
        <f>IF(K376=TRUE,Q376/J376,Q376)</f>
        <v>2.5</v>
      </c>
      <c r="X376" s="31">
        <f t="shared" si="213"/>
        <v>0</v>
      </c>
      <c r="Y376" t="b">
        <f t="shared" si="214"/>
        <v>0</v>
      </c>
      <c r="Z376" s="78">
        <f t="shared" si="215"/>
        <v>-2.5</v>
      </c>
    </row>
    <row r="377" spans="1:26" x14ac:dyDescent="0.25">
      <c r="A377" s="53">
        <v>2020</v>
      </c>
      <c r="B377" s="53">
        <v>138</v>
      </c>
      <c r="C377" s="71" t="s">
        <v>105</v>
      </c>
      <c r="D377" t="s">
        <v>703</v>
      </c>
      <c r="E377" s="9" t="s">
        <v>1376</v>
      </c>
      <c r="G377" s="1">
        <v>44015</v>
      </c>
      <c r="H377" t="s">
        <v>1116</v>
      </c>
      <c r="K377" t="b">
        <v>0</v>
      </c>
      <c r="L377" s="48">
        <v>4.92</v>
      </c>
      <c r="M377" s="72">
        <v>1</v>
      </c>
      <c r="N377">
        <v>20</v>
      </c>
      <c r="O377" s="31">
        <f t="shared" si="209"/>
        <v>0.9840000000000001</v>
      </c>
      <c r="P377" s="31">
        <f t="shared" si="210"/>
        <v>0.9840000000000001</v>
      </c>
      <c r="Q377" s="33">
        <f t="shared" si="211"/>
        <v>4.92</v>
      </c>
      <c r="R377" s="29">
        <f t="shared" si="212"/>
        <v>5.9039999999999999</v>
      </c>
      <c r="S377" s="29">
        <f t="shared" ref="S377:S383" si="217">Q377+P377</f>
        <v>5.9039999999999999</v>
      </c>
      <c r="T377" s="35">
        <f t="shared" si="216"/>
        <v>44150</v>
      </c>
      <c r="U377" s="27"/>
      <c r="V377" s="27"/>
      <c r="W377" s="58">
        <f>IF(K377=TRUE,Q377/J377,Q377)</f>
        <v>4.92</v>
      </c>
      <c r="X377" s="31">
        <f t="shared" si="213"/>
        <v>0</v>
      </c>
      <c r="Y377" t="b">
        <f t="shared" si="214"/>
        <v>0</v>
      </c>
      <c r="Z377" s="78">
        <f t="shared" si="215"/>
        <v>-4.92</v>
      </c>
    </row>
    <row r="378" spans="1:26" x14ac:dyDescent="0.25">
      <c r="A378" s="53">
        <v>2020</v>
      </c>
      <c r="B378" s="53">
        <v>139</v>
      </c>
      <c r="C378" s="71" t="s">
        <v>105</v>
      </c>
      <c r="D378" t="s">
        <v>703</v>
      </c>
      <c r="E378" s="9" t="s">
        <v>1377</v>
      </c>
      <c r="G378" s="1">
        <v>44018</v>
      </c>
      <c r="H378" t="s">
        <v>1116</v>
      </c>
      <c r="K378" t="b">
        <v>0</v>
      </c>
      <c r="L378" s="48">
        <v>1.67</v>
      </c>
      <c r="M378" s="72">
        <v>1</v>
      </c>
      <c r="N378">
        <v>20</v>
      </c>
      <c r="O378" s="31">
        <f t="shared" si="209"/>
        <v>0.33399999999999996</v>
      </c>
      <c r="P378" s="31">
        <f t="shared" si="210"/>
        <v>0.33399999999999996</v>
      </c>
      <c r="Q378" s="33">
        <f t="shared" si="211"/>
        <v>1.67</v>
      </c>
      <c r="R378" s="29">
        <f t="shared" si="212"/>
        <v>2.004</v>
      </c>
      <c r="S378" s="29">
        <f t="shared" si="217"/>
        <v>2.004</v>
      </c>
      <c r="T378" s="35">
        <f t="shared" si="216"/>
        <v>44150</v>
      </c>
      <c r="U378" s="27"/>
      <c r="V378" s="27"/>
      <c r="W378" s="58">
        <f>IF(K378=TRUE,Q378/J378,Q378)</f>
        <v>1.67</v>
      </c>
      <c r="X378" s="31">
        <f t="shared" si="213"/>
        <v>0</v>
      </c>
      <c r="Y378" t="b">
        <f t="shared" si="214"/>
        <v>0</v>
      </c>
      <c r="Z378" s="78">
        <f t="shared" si="215"/>
        <v>-1.67</v>
      </c>
    </row>
    <row r="379" spans="1:26" x14ac:dyDescent="0.25">
      <c r="A379" s="53">
        <v>2020</v>
      </c>
      <c r="B379" s="53">
        <v>140</v>
      </c>
      <c r="C379" s="71" t="s">
        <v>105</v>
      </c>
      <c r="D379" t="s">
        <v>705</v>
      </c>
      <c r="E379" s="9" t="s">
        <v>1397</v>
      </c>
      <c r="G379" s="1">
        <v>44018</v>
      </c>
      <c r="H379" t="s">
        <v>1128</v>
      </c>
      <c r="K379" t="b">
        <f>(IF(AND(I379&lt;&gt;"",AND(J379="",ABS(Q379)&gt;400)),TRUE,FALSE))</f>
        <v>0</v>
      </c>
      <c r="L379" s="48">
        <v>35</v>
      </c>
      <c r="M379" s="72">
        <v>1</v>
      </c>
      <c r="N379">
        <v>20</v>
      </c>
      <c r="O379" s="31">
        <f t="shared" si="209"/>
        <v>7</v>
      </c>
      <c r="P379" s="31">
        <f t="shared" si="210"/>
        <v>7</v>
      </c>
      <c r="Q379" s="33">
        <f t="shared" si="211"/>
        <v>35</v>
      </c>
      <c r="R379" s="29">
        <f t="shared" si="212"/>
        <v>42</v>
      </c>
      <c r="S379" s="29">
        <f t="shared" si="217"/>
        <v>42</v>
      </c>
      <c r="T379" s="35">
        <f t="shared" si="216"/>
        <v>44150</v>
      </c>
      <c r="U379" s="27"/>
      <c r="V379" s="27"/>
      <c r="W379" s="58">
        <f>IF(K379=TRUE,Q379/I379,Q379)</f>
        <v>35</v>
      </c>
      <c r="X379" s="31">
        <f t="shared" si="213"/>
        <v>0</v>
      </c>
      <c r="Y379" t="b">
        <f t="shared" si="214"/>
        <v>0</v>
      </c>
      <c r="Z379" s="78">
        <f t="shared" si="215"/>
        <v>-35</v>
      </c>
    </row>
    <row r="380" spans="1:26" x14ac:dyDescent="0.25">
      <c r="A380" s="53">
        <v>2020</v>
      </c>
      <c r="B380" s="53">
        <v>141</v>
      </c>
      <c r="C380" s="71" t="s">
        <v>105</v>
      </c>
      <c r="D380" t="s">
        <v>703</v>
      </c>
      <c r="E380" s="9" t="s">
        <v>1378</v>
      </c>
      <c r="G380" s="1">
        <v>44018</v>
      </c>
      <c r="H380" t="s">
        <v>34</v>
      </c>
      <c r="K380" t="b">
        <f>(IF(AND(I380&lt;&gt;"",AND(J380="",ABS(Q380)&gt;400)),TRUE,FALSE))</f>
        <v>0</v>
      </c>
      <c r="L380" s="48">
        <v>15</v>
      </c>
      <c r="M380" s="72">
        <v>1</v>
      </c>
      <c r="N380">
        <v>20</v>
      </c>
      <c r="O380" s="31">
        <f t="shared" si="209"/>
        <v>3</v>
      </c>
      <c r="P380" s="31">
        <f t="shared" si="210"/>
        <v>3</v>
      </c>
      <c r="Q380" s="33">
        <f t="shared" si="211"/>
        <v>15</v>
      </c>
      <c r="R380" s="29">
        <f t="shared" si="212"/>
        <v>18</v>
      </c>
      <c r="S380" s="29">
        <f t="shared" si="217"/>
        <v>18</v>
      </c>
      <c r="T380" s="35">
        <f t="shared" si="216"/>
        <v>44150</v>
      </c>
      <c r="U380" s="27"/>
      <c r="V380" s="27"/>
      <c r="W380" s="58">
        <f>IF(K380=TRUE,Q380/I380,Q380)</f>
        <v>15</v>
      </c>
      <c r="X380" s="31">
        <f t="shared" si="213"/>
        <v>0</v>
      </c>
      <c r="Y380" t="b">
        <f t="shared" si="214"/>
        <v>0</v>
      </c>
      <c r="Z380" s="78">
        <f t="shared" si="215"/>
        <v>-15</v>
      </c>
    </row>
    <row r="381" spans="1:26" x14ac:dyDescent="0.25">
      <c r="A381" s="53">
        <v>2020</v>
      </c>
      <c r="B381" s="53">
        <v>142</v>
      </c>
      <c r="C381" s="71" t="s">
        <v>708</v>
      </c>
      <c r="D381" t="s">
        <v>709</v>
      </c>
      <c r="E381" s="9" t="s">
        <v>1379</v>
      </c>
      <c r="G381" s="1">
        <v>44020</v>
      </c>
      <c r="H381" s="43" t="s">
        <v>1012</v>
      </c>
      <c r="K381" t="b">
        <v>0</v>
      </c>
      <c r="L381" s="48">
        <v>901</v>
      </c>
      <c r="M381" s="72">
        <v>1</v>
      </c>
      <c r="N381">
        <v>20</v>
      </c>
      <c r="O381" s="31">
        <f t="shared" si="209"/>
        <v>180.2</v>
      </c>
      <c r="P381" s="31">
        <f t="shared" si="210"/>
        <v>180.2</v>
      </c>
      <c r="Q381" s="33">
        <f t="shared" si="211"/>
        <v>901</v>
      </c>
      <c r="R381" s="29">
        <f t="shared" si="212"/>
        <v>1081.2</v>
      </c>
      <c r="S381" s="29">
        <f t="shared" si="217"/>
        <v>1081.2</v>
      </c>
      <c r="T381" s="35">
        <f t="shared" si="216"/>
        <v>44150</v>
      </c>
      <c r="U381" s="27"/>
      <c r="V381" s="27"/>
      <c r="W381" s="58">
        <f>IF(K381=TRUE,Q381/I381,Q381)</f>
        <v>901</v>
      </c>
      <c r="X381" s="31">
        <f t="shared" si="213"/>
        <v>0</v>
      </c>
      <c r="Y381" t="b">
        <f t="shared" si="214"/>
        <v>0</v>
      </c>
      <c r="Z381" s="78">
        <f t="shared" si="215"/>
        <v>901</v>
      </c>
    </row>
    <row r="382" spans="1:26" x14ac:dyDescent="0.25">
      <c r="A382" s="53">
        <v>2020</v>
      </c>
      <c r="B382" s="53">
        <v>143</v>
      </c>
      <c r="C382" s="71" t="s">
        <v>105</v>
      </c>
      <c r="D382" t="s">
        <v>703</v>
      </c>
      <c r="E382" s="9" t="s">
        <v>1396</v>
      </c>
      <c r="F382" s="1">
        <v>43962</v>
      </c>
      <c r="G382" s="1">
        <v>44033</v>
      </c>
      <c r="H382" t="s">
        <v>1148</v>
      </c>
      <c r="K382" t="b">
        <f t="shared" ref="K382:K390" si="218">(IF(AND(I382&lt;&gt;"",AND(J382="",ABS(Q382)&gt;400)),TRUE,FALSE))</f>
        <v>0</v>
      </c>
      <c r="L382" s="48">
        <v>35.24</v>
      </c>
      <c r="M382" s="72">
        <v>1</v>
      </c>
      <c r="N382">
        <v>20</v>
      </c>
      <c r="O382" s="31">
        <f t="shared" si="209"/>
        <v>7.0480000000000009</v>
      </c>
      <c r="P382" s="31">
        <f t="shared" si="210"/>
        <v>7.0480000000000009</v>
      </c>
      <c r="Q382" s="33">
        <f t="shared" si="211"/>
        <v>35.24</v>
      </c>
      <c r="R382" s="29">
        <f t="shared" si="212"/>
        <v>42.288000000000004</v>
      </c>
      <c r="S382" s="29">
        <f t="shared" si="217"/>
        <v>42.288000000000004</v>
      </c>
      <c r="T382" s="35">
        <f t="shared" si="216"/>
        <v>44150</v>
      </c>
      <c r="U382" s="27"/>
      <c r="V382" s="27"/>
      <c r="W382" s="58">
        <f>IF(K382=TRUE,Q382/I382,Q382)</f>
        <v>35.24</v>
      </c>
      <c r="X382" s="31">
        <f t="shared" si="213"/>
        <v>0</v>
      </c>
      <c r="Y382" t="b">
        <f t="shared" si="214"/>
        <v>0</v>
      </c>
      <c r="Z382" s="78">
        <f t="shared" si="215"/>
        <v>-35.24</v>
      </c>
    </row>
    <row r="383" spans="1:26" x14ac:dyDescent="0.25">
      <c r="A383" s="53">
        <v>2020</v>
      </c>
      <c r="B383" s="53">
        <v>144</v>
      </c>
      <c r="C383" s="71" t="s">
        <v>105</v>
      </c>
      <c r="D383" t="s">
        <v>705</v>
      </c>
      <c r="E383" s="9" t="s">
        <v>1380</v>
      </c>
      <c r="G383" s="1">
        <v>44020</v>
      </c>
      <c r="H383" t="s">
        <v>927</v>
      </c>
      <c r="K383" t="b">
        <f t="shared" si="218"/>
        <v>0</v>
      </c>
      <c r="L383" s="48">
        <v>2.4900000000000002</v>
      </c>
      <c r="M383" s="72">
        <v>1</v>
      </c>
      <c r="N383">
        <v>0</v>
      </c>
      <c r="O383" s="31">
        <f t="shared" si="209"/>
        <v>0</v>
      </c>
      <c r="P383" s="31">
        <f t="shared" si="210"/>
        <v>0</v>
      </c>
      <c r="Q383" s="33">
        <f t="shared" si="211"/>
        <v>2.4900000000000002</v>
      </c>
      <c r="R383" s="29">
        <f t="shared" si="212"/>
        <v>2.4900000000000002</v>
      </c>
      <c r="S383" s="29">
        <f t="shared" si="217"/>
        <v>2.4900000000000002</v>
      </c>
      <c r="T383" s="35">
        <f t="shared" si="216"/>
        <v>44150</v>
      </c>
      <c r="U383" s="27"/>
      <c r="V383" s="27">
        <v>20</v>
      </c>
      <c r="W383" s="58">
        <f>IF(K383=TRUE,Q383/J383,Q383)</f>
        <v>2.4900000000000002</v>
      </c>
      <c r="X383" s="31">
        <f t="shared" si="213"/>
        <v>0.49800000000000005</v>
      </c>
      <c r="Y383" t="b">
        <f t="shared" si="214"/>
        <v>0</v>
      </c>
      <c r="Z383" s="78">
        <f t="shared" si="215"/>
        <v>-2.4900000000000002</v>
      </c>
    </row>
    <row r="384" spans="1:26" x14ac:dyDescent="0.25">
      <c r="A384" s="53">
        <v>2020</v>
      </c>
      <c r="B384" s="53">
        <v>145</v>
      </c>
      <c r="C384" s="71" t="s">
        <v>105</v>
      </c>
      <c r="D384" t="s">
        <v>705</v>
      </c>
      <c r="E384" s="9" t="s">
        <v>1222</v>
      </c>
      <c r="G384" s="1">
        <v>44022</v>
      </c>
      <c r="H384" t="s">
        <v>1223</v>
      </c>
      <c r="K384" t="b">
        <f t="shared" si="218"/>
        <v>0</v>
      </c>
      <c r="L384" s="109">
        <f>S384/1.2</f>
        <v>29</v>
      </c>
      <c r="M384" s="72">
        <v>1</v>
      </c>
      <c r="N384">
        <v>20</v>
      </c>
      <c r="O384" s="31">
        <f t="shared" si="209"/>
        <v>5.8</v>
      </c>
      <c r="P384" s="31">
        <f t="shared" si="210"/>
        <v>5.8</v>
      </c>
      <c r="Q384" s="33">
        <f t="shared" si="211"/>
        <v>29</v>
      </c>
      <c r="R384" s="29">
        <f t="shared" si="212"/>
        <v>34.799999999999997</v>
      </c>
      <c r="S384" s="29">
        <v>34.799999999999997</v>
      </c>
      <c r="T384" s="35">
        <f t="shared" si="216"/>
        <v>44150</v>
      </c>
      <c r="U384" s="27"/>
      <c r="V384" s="27"/>
      <c r="W384" s="58">
        <f>IF(K384=TRUE,Q384/J384,Q384)</f>
        <v>29</v>
      </c>
      <c r="X384" s="31">
        <f t="shared" si="213"/>
        <v>0</v>
      </c>
      <c r="Y384" t="b">
        <f t="shared" si="214"/>
        <v>0</v>
      </c>
      <c r="Z384" s="78">
        <f t="shared" si="215"/>
        <v>-29</v>
      </c>
    </row>
    <row r="385" spans="1:26" x14ac:dyDescent="0.25">
      <c r="A385" s="53">
        <v>2020</v>
      </c>
      <c r="B385" s="53">
        <v>146</v>
      </c>
      <c r="C385" s="71" t="s">
        <v>105</v>
      </c>
      <c r="D385" t="s">
        <v>705</v>
      </c>
      <c r="E385" s="9" t="s">
        <v>1381</v>
      </c>
      <c r="G385" s="1">
        <v>44025</v>
      </c>
      <c r="H385" t="s">
        <v>927</v>
      </c>
      <c r="K385" t="b">
        <f t="shared" si="218"/>
        <v>0</v>
      </c>
      <c r="L385" s="48">
        <v>46.92</v>
      </c>
      <c r="M385" s="72">
        <v>1</v>
      </c>
      <c r="N385">
        <v>0</v>
      </c>
      <c r="O385" s="31">
        <f t="shared" si="209"/>
        <v>0</v>
      </c>
      <c r="P385" s="31">
        <f t="shared" si="210"/>
        <v>0</v>
      </c>
      <c r="Q385" s="33">
        <f t="shared" si="211"/>
        <v>46.92</v>
      </c>
      <c r="R385" s="29">
        <f t="shared" si="212"/>
        <v>46.92</v>
      </c>
      <c r="S385" s="29">
        <f>Q385+P385</f>
        <v>46.92</v>
      </c>
      <c r="T385" s="35">
        <f t="shared" si="216"/>
        <v>44150</v>
      </c>
      <c r="U385" s="27"/>
      <c r="V385" s="27">
        <v>20</v>
      </c>
      <c r="W385" s="58">
        <f>IF(K385=TRUE,Q385/J385,Q385)</f>
        <v>46.92</v>
      </c>
      <c r="X385" s="31">
        <f t="shared" si="213"/>
        <v>9.3840000000000003</v>
      </c>
      <c r="Y385" t="b">
        <f t="shared" si="214"/>
        <v>0</v>
      </c>
      <c r="Z385" s="78">
        <f t="shared" si="215"/>
        <v>-46.92</v>
      </c>
    </row>
    <row r="386" spans="1:26" x14ac:dyDescent="0.25">
      <c r="A386" s="53">
        <v>2020</v>
      </c>
      <c r="B386" s="53">
        <v>147</v>
      </c>
      <c r="C386" s="71" t="s">
        <v>708</v>
      </c>
      <c r="D386" t="s">
        <v>709</v>
      </c>
      <c r="E386" s="9" t="s">
        <v>1382</v>
      </c>
      <c r="G386" s="44">
        <v>44025</v>
      </c>
      <c r="H386" t="s">
        <v>983</v>
      </c>
      <c r="K386" t="b">
        <f t="shared" si="218"/>
        <v>0</v>
      </c>
      <c r="L386" s="48">
        <v>250.25</v>
      </c>
      <c r="M386" s="72">
        <v>1</v>
      </c>
      <c r="N386">
        <v>20</v>
      </c>
      <c r="O386" s="31">
        <f t="shared" si="209"/>
        <v>50.05</v>
      </c>
      <c r="P386" s="31">
        <f t="shared" si="210"/>
        <v>50.05</v>
      </c>
      <c r="Q386" s="33">
        <f t="shared" si="211"/>
        <v>250.25</v>
      </c>
      <c r="R386" s="29">
        <f t="shared" si="212"/>
        <v>300.3</v>
      </c>
      <c r="S386" s="29">
        <f>Q386+P386</f>
        <v>300.3</v>
      </c>
      <c r="T386" s="35">
        <f t="shared" si="216"/>
        <v>44150</v>
      </c>
      <c r="U386" s="27"/>
      <c r="V386" s="27"/>
      <c r="W386" s="58">
        <f>IF(K386=TRUE,Q386/J386,Q386)</f>
        <v>250.25</v>
      </c>
      <c r="X386" s="31">
        <f t="shared" si="213"/>
        <v>0</v>
      </c>
      <c r="Y386" t="b">
        <f t="shared" si="214"/>
        <v>0</v>
      </c>
      <c r="Z386" s="78">
        <f t="shared" si="215"/>
        <v>250.25</v>
      </c>
    </row>
    <row r="387" spans="1:26" x14ac:dyDescent="0.25">
      <c r="A387" s="53">
        <v>2020</v>
      </c>
      <c r="B387" s="53">
        <v>148</v>
      </c>
      <c r="C387" s="71" t="s">
        <v>708</v>
      </c>
      <c r="D387" t="s">
        <v>709</v>
      </c>
      <c r="E387" s="9" t="s">
        <v>1383</v>
      </c>
      <c r="G387" s="1">
        <v>44027</v>
      </c>
      <c r="H387" t="s">
        <v>1384</v>
      </c>
      <c r="K387" t="b">
        <f t="shared" si="218"/>
        <v>0</v>
      </c>
      <c r="L387" s="48">
        <v>350</v>
      </c>
      <c r="M387" s="72">
        <v>1</v>
      </c>
      <c r="N387">
        <v>20</v>
      </c>
      <c r="O387" s="31">
        <f t="shared" si="209"/>
        <v>70</v>
      </c>
      <c r="P387" s="31">
        <f t="shared" si="210"/>
        <v>70</v>
      </c>
      <c r="Q387" s="33">
        <f t="shared" si="211"/>
        <v>350</v>
      </c>
      <c r="R387" s="29">
        <f t="shared" si="212"/>
        <v>420</v>
      </c>
      <c r="S387" s="29">
        <f>Q387+P387</f>
        <v>420</v>
      </c>
      <c r="T387" s="35">
        <f t="shared" si="216"/>
        <v>44150</v>
      </c>
      <c r="U387" s="27"/>
      <c r="V387" s="27"/>
      <c r="W387" s="58">
        <f>IF(K387=TRUE,Q387/J387,Q387)</f>
        <v>350</v>
      </c>
      <c r="X387" s="31">
        <f t="shared" si="213"/>
        <v>0</v>
      </c>
      <c r="Y387" t="b">
        <f t="shared" si="214"/>
        <v>0</v>
      </c>
      <c r="Z387" s="78">
        <f t="shared" si="215"/>
        <v>350</v>
      </c>
    </row>
    <row r="388" spans="1:26" x14ac:dyDescent="0.25">
      <c r="A388" s="53">
        <v>2020</v>
      </c>
      <c r="B388" s="53">
        <v>149</v>
      </c>
      <c r="C388" s="71" t="s">
        <v>708</v>
      </c>
      <c r="D388" s="100" t="s">
        <v>710</v>
      </c>
      <c r="E388" s="135"/>
      <c r="F388" s="100"/>
      <c r="G388" s="102">
        <v>44025</v>
      </c>
      <c r="H388" s="100" t="s">
        <v>1385</v>
      </c>
      <c r="I388" s="100"/>
      <c r="J388" s="103"/>
      <c r="K388" s="100" t="b">
        <f t="shared" si="218"/>
        <v>0</v>
      </c>
      <c r="L388" s="107"/>
      <c r="M388" s="104"/>
      <c r="N388" s="100"/>
      <c r="O388" s="105"/>
      <c r="P388" s="105"/>
      <c r="Q388" s="105"/>
      <c r="R388" s="105"/>
      <c r="S388" s="105"/>
      <c r="T388" s="106"/>
      <c r="U388" s="100"/>
      <c r="V388" s="100"/>
      <c r="W388" s="107"/>
      <c r="X388" s="105"/>
      <c r="Y388" s="100"/>
      <c r="Z388" s="108"/>
    </row>
    <row r="389" spans="1:26" x14ac:dyDescent="0.25">
      <c r="A389" s="53">
        <v>2020</v>
      </c>
      <c r="B389" s="53">
        <v>150</v>
      </c>
      <c r="C389" s="71" t="s">
        <v>708</v>
      </c>
      <c r="D389" t="s">
        <v>709</v>
      </c>
      <c r="E389" s="9" t="s">
        <v>1386</v>
      </c>
      <c r="G389" s="1">
        <v>44036</v>
      </c>
      <c r="H389" t="s">
        <v>1266</v>
      </c>
      <c r="K389" t="b">
        <f t="shared" si="218"/>
        <v>0</v>
      </c>
      <c r="L389" s="48">
        <v>2250</v>
      </c>
      <c r="M389" s="72">
        <v>1</v>
      </c>
      <c r="N389">
        <v>20</v>
      </c>
      <c r="O389" s="31">
        <f>L389*N389/100</f>
        <v>450</v>
      </c>
      <c r="P389" s="31">
        <f>M389*O389</f>
        <v>450</v>
      </c>
      <c r="Q389" s="33">
        <f>L389*M389</f>
        <v>2250</v>
      </c>
      <c r="R389" s="29">
        <f>L389+O389</f>
        <v>2700</v>
      </c>
      <c r="S389" s="29">
        <f>Q389+P389</f>
        <v>2700</v>
      </c>
      <c r="T389" s="35">
        <f t="shared" ref="T389:T420" si="219">voranmeldefrist_vierteljaehrlich(G389)</f>
        <v>44150</v>
      </c>
      <c r="U389" s="27"/>
      <c r="V389" s="27"/>
      <c r="W389" s="58">
        <f>IF(K389=TRUE,Q389/I389,Q389)</f>
        <v>2250</v>
      </c>
      <c r="X389" s="31">
        <f>V389/100*S389</f>
        <v>0</v>
      </c>
      <c r="Y389" t="b">
        <f>IF(AND(V389&gt;0,N389=V389),TRUE,FALSE)</f>
        <v>0</v>
      </c>
      <c r="Z389" s="78">
        <f>IF(C389="Einnahmen",Q389,-Q389)</f>
        <v>2250</v>
      </c>
    </row>
    <row r="390" spans="1:26" x14ac:dyDescent="0.25">
      <c r="A390" s="53">
        <v>2020</v>
      </c>
      <c r="B390" s="53">
        <v>151</v>
      </c>
      <c r="C390" s="71" t="s">
        <v>708</v>
      </c>
      <c r="D390" t="s">
        <v>709</v>
      </c>
      <c r="E390" s="9" t="s">
        <v>1387</v>
      </c>
      <c r="G390" s="1">
        <v>44036</v>
      </c>
      <c r="H390" t="s">
        <v>1266</v>
      </c>
      <c r="K390" t="b">
        <f t="shared" si="218"/>
        <v>0</v>
      </c>
      <c r="L390" s="48">
        <v>2790</v>
      </c>
      <c r="M390" s="72">
        <v>1</v>
      </c>
      <c r="N390">
        <v>20</v>
      </c>
      <c r="O390" s="31">
        <f>L390*N390/100</f>
        <v>558</v>
      </c>
      <c r="P390" s="31">
        <f>M390*O390</f>
        <v>558</v>
      </c>
      <c r="Q390" s="33">
        <f>L390*M390</f>
        <v>2790</v>
      </c>
      <c r="R390" s="29">
        <f>L390+O390</f>
        <v>3348</v>
      </c>
      <c r="S390" s="29">
        <f>Q390+P390</f>
        <v>3348</v>
      </c>
      <c r="T390" s="35">
        <f t="shared" si="219"/>
        <v>44150</v>
      </c>
      <c r="U390" s="27"/>
      <c r="V390" s="27"/>
      <c r="W390" s="58">
        <f>IF(K390=TRUE,Q390/I390,Q390)</f>
        <v>2790</v>
      </c>
      <c r="X390" s="31">
        <f>V390/100*S390</f>
        <v>0</v>
      </c>
      <c r="Y390" t="b">
        <f>IF(AND(V390&gt;0,N390=V390),TRUE,FALSE)</f>
        <v>0</v>
      </c>
      <c r="Z390" s="78">
        <f>IF(C390="Einnahmen",Q390,-Q390)</f>
        <v>2790</v>
      </c>
    </row>
    <row r="391" spans="1:26" x14ac:dyDescent="0.25">
      <c r="A391" s="53">
        <v>2020</v>
      </c>
      <c r="B391" s="53">
        <v>152</v>
      </c>
      <c r="C391" s="71" t="s">
        <v>708</v>
      </c>
      <c r="D391" t="s">
        <v>709</v>
      </c>
      <c r="E391" s="9" t="s">
        <v>1389</v>
      </c>
      <c r="G391" s="1">
        <v>44039</v>
      </c>
      <c r="H391" t="s">
        <v>1388</v>
      </c>
      <c r="K391" t="b">
        <v>0</v>
      </c>
      <c r="L391" s="48">
        <v>131.25</v>
      </c>
      <c r="M391" s="72">
        <v>1</v>
      </c>
      <c r="N391">
        <v>20</v>
      </c>
      <c r="O391" s="31">
        <f t="shared" ref="O391:O400" si="220">L391*N391/100</f>
        <v>26.25</v>
      </c>
      <c r="P391" s="31">
        <f t="shared" ref="P391:P400" si="221">M391*O391</f>
        <v>26.25</v>
      </c>
      <c r="Q391" s="33">
        <f t="shared" ref="Q391:Q400" si="222">L391*M391</f>
        <v>131.25</v>
      </c>
      <c r="R391" s="29">
        <f t="shared" ref="R391:R400" si="223">L391+O391</f>
        <v>157.5</v>
      </c>
      <c r="S391" s="29">
        <f>Q391+P391</f>
        <v>157.5</v>
      </c>
      <c r="T391" s="35">
        <f t="shared" si="219"/>
        <v>44150</v>
      </c>
      <c r="U391" s="27"/>
      <c r="V391" s="27"/>
      <c r="W391" s="58">
        <f>IF(K391=TRUE,Q391/I391,Q391)</f>
        <v>131.25</v>
      </c>
      <c r="X391" s="31">
        <f t="shared" ref="X391:X400" si="224">V391/100*S391</f>
        <v>0</v>
      </c>
      <c r="Y391" t="b">
        <f t="shared" ref="Y391:Y400" si="225">IF(AND(V391&gt;0,N391=V391),TRUE,FALSE)</f>
        <v>0</v>
      </c>
      <c r="Z391" s="78">
        <f t="shared" ref="Z391:Z400" si="226">IF(C391="Einnahmen",Q391,-Q391)</f>
        <v>131.25</v>
      </c>
    </row>
    <row r="392" spans="1:26" x14ac:dyDescent="0.25">
      <c r="A392" s="53">
        <v>2020</v>
      </c>
      <c r="B392" s="53">
        <v>153</v>
      </c>
      <c r="C392" s="71" t="s">
        <v>105</v>
      </c>
      <c r="D392" t="s">
        <v>703</v>
      </c>
      <c r="E392" s="9" t="s">
        <v>1376</v>
      </c>
      <c r="G392" s="1">
        <v>44046</v>
      </c>
      <c r="H392" t="s">
        <v>1116</v>
      </c>
      <c r="K392" t="b">
        <v>0</v>
      </c>
      <c r="L392" s="48">
        <v>4.92</v>
      </c>
      <c r="M392" s="72">
        <v>1</v>
      </c>
      <c r="N392">
        <v>20</v>
      </c>
      <c r="O392" s="31">
        <f t="shared" si="220"/>
        <v>0.9840000000000001</v>
      </c>
      <c r="P392" s="31">
        <f t="shared" si="221"/>
        <v>0.9840000000000001</v>
      </c>
      <c r="Q392" s="33">
        <f t="shared" si="222"/>
        <v>4.92</v>
      </c>
      <c r="R392" s="29">
        <f t="shared" si="223"/>
        <v>5.9039999999999999</v>
      </c>
      <c r="S392" s="29">
        <f>Q392+P392</f>
        <v>5.9039999999999999</v>
      </c>
      <c r="T392" s="35">
        <f t="shared" si="219"/>
        <v>44150</v>
      </c>
      <c r="U392" s="27"/>
      <c r="V392" s="27"/>
      <c r="W392" s="58">
        <f>IF(K392=TRUE,Q392/J392,Q392)</f>
        <v>4.92</v>
      </c>
      <c r="X392" s="31">
        <f t="shared" si="224"/>
        <v>0</v>
      </c>
      <c r="Y392" t="b">
        <f t="shared" si="225"/>
        <v>0</v>
      </c>
      <c r="Z392" s="78">
        <f t="shared" si="226"/>
        <v>-4.92</v>
      </c>
    </row>
    <row r="393" spans="1:26" x14ac:dyDescent="0.25">
      <c r="A393" s="53">
        <v>2020</v>
      </c>
      <c r="B393" s="53">
        <v>154</v>
      </c>
      <c r="C393" s="71" t="s">
        <v>105</v>
      </c>
      <c r="D393" t="s">
        <v>705</v>
      </c>
      <c r="E393" s="9" t="s">
        <v>1397</v>
      </c>
      <c r="G393" s="1">
        <v>44048</v>
      </c>
      <c r="H393" t="s">
        <v>1128</v>
      </c>
      <c r="K393" t="b">
        <f t="shared" ref="K393:K400" si="227">(IF(AND(I393&lt;&gt;"",AND(J393="",ABS(Q393)&gt;400)),TRUE,FALSE))</f>
        <v>0</v>
      </c>
      <c r="L393" s="48">
        <v>143.72</v>
      </c>
      <c r="M393" s="72">
        <v>1</v>
      </c>
      <c r="N393">
        <v>20</v>
      </c>
      <c r="O393" s="31">
        <f t="shared" si="220"/>
        <v>28.744</v>
      </c>
      <c r="P393" s="31">
        <f t="shared" si="221"/>
        <v>28.744</v>
      </c>
      <c r="Q393" s="33">
        <f t="shared" si="222"/>
        <v>143.72</v>
      </c>
      <c r="R393" s="29">
        <f t="shared" si="223"/>
        <v>172.464</v>
      </c>
      <c r="S393" s="29">
        <f>Q393+P393</f>
        <v>172.464</v>
      </c>
      <c r="T393" s="35">
        <f t="shared" si="219"/>
        <v>44150</v>
      </c>
      <c r="U393" s="27"/>
      <c r="V393" s="27"/>
      <c r="W393" s="58">
        <f>IF(K393=TRUE,Q393/I393,Q393)</f>
        <v>143.72</v>
      </c>
      <c r="X393" s="31">
        <f t="shared" si="224"/>
        <v>0</v>
      </c>
      <c r="Y393" t="b">
        <f t="shared" si="225"/>
        <v>0</v>
      </c>
      <c r="Z393" s="78">
        <f t="shared" si="226"/>
        <v>-143.72</v>
      </c>
    </row>
    <row r="394" spans="1:26" x14ac:dyDescent="0.25">
      <c r="A394" s="53">
        <v>2020</v>
      </c>
      <c r="B394" s="53">
        <v>155</v>
      </c>
      <c r="C394" s="71" t="s">
        <v>105</v>
      </c>
      <c r="D394" t="s">
        <v>705</v>
      </c>
      <c r="E394" s="9" t="s">
        <v>1225</v>
      </c>
      <c r="G394" s="1">
        <v>44048</v>
      </c>
      <c r="H394" t="s">
        <v>1364</v>
      </c>
      <c r="K394" t="b">
        <f t="shared" si="227"/>
        <v>0</v>
      </c>
      <c r="L394" s="48">
        <f>S394/1.2</f>
        <v>2.5</v>
      </c>
      <c r="M394" s="72">
        <v>1</v>
      </c>
      <c r="N394">
        <v>20</v>
      </c>
      <c r="O394" s="31">
        <f t="shared" si="220"/>
        <v>0.5</v>
      </c>
      <c r="P394" s="31">
        <f t="shared" si="221"/>
        <v>0.5</v>
      </c>
      <c r="Q394" s="33">
        <f t="shared" si="222"/>
        <v>2.5</v>
      </c>
      <c r="R394" s="29">
        <f t="shared" si="223"/>
        <v>3</v>
      </c>
      <c r="S394" s="29">
        <v>3</v>
      </c>
      <c r="T394" s="35">
        <f t="shared" si="219"/>
        <v>44150</v>
      </c>
      <c r="U394" s="27"/>
      <c r="V394" s="27"/>
      <c r="W394" s="58">
        <f>IF(K394=TRUE,Q394/J394,Q394)</f>
        <v>2.5</v>
      </c>
      <c r="X394" s="31">
        <f t="shared" si="224"/>
        <v>0</v>
      </c>
      <c r="Y394" t="b">
        <f t="shared" si="225"/>
        <v>0</v>
      </c>
      <c r="Z394" s="78">
        <f t="shared" si="226"/>
        <v>-2.5</v>
      </c>
    </row>
    <row r="395" spans="1:26" x14ac:dyDescent="0.25">
      <c r="A395" s="53">
        <v>2020</v>
      </c>
      <c r="B395" s="53">
        <v>156</v>
      </c>
      <c r="C395" s="71" t="s">
        <v>105</v>
      </c>
      <c r="D395" t="s">
        <v>703</v>
      </c>
      <c r="E395" s="9">
        <v>6204766176</v>
      </c>
      <c r="G395" s="1">
        <v>44047</v>
      </c>
      <c r="H395" t="s">
        <v>34</v>
      </c>
      <c r="K395" t="b">
        <f t="shared" si="227"/>
        <v>0</v>
      </c>
      <c r="L395" s="48">
        <v>15</v>
      </c>
      <c r="M395" s="72">
        <v>1</v>
      </c>
      <c r="N395">
        <v>20</v>
      </c>
      <c r="O395" s="31">
        <f t="shared" si="220"/>
        <v>3</v>
      </c>
      <c r="P395" s="31">
        <f t="shared" si="221"/>
        <v>3</v>
      </c>
      <c r="Q395" s="33">
        <f t="shared" si="222"/>
        <v>15</v>
      </c>
      <c r="R395" s="29">
        <f t="shared" si="223"/>
        <v>18</v>
      </c>
      <c r="S395" s="29">
        <f>Q395+P395</f>
        <v>18</v>
      </c>
      <c r="T395" s="35">
        <f t="shared" si="219"/>
        <v>44150</v>
      </c>
      <c r="U395" s="27"/>
      <c r="V395" s="27"/>
      <c r="W395" s="58">
        <f>IF(K395=TRUE,Q395/I395,Q395)</f>
        <v>15</v>
      </c>
      <c r="X395" s="31">
        <f t="shared" si="224"/>
        <v>0</v>
      </c>
      <c r="Y395" t="b">
        <f t="shared" si="225"/>
        <v>0</v>
      </c>
      <c r="Z395" s="78">
        <f t="shared" si="226"/>
        <v>-15</v>
      </c>
    </row>
    <row r="396" spans="1:26" x14ac:dyDescent="0.25">
      <c r="A396" s="53">
        <v>2020</v>
      </c>
      <c r="B396" s="53">
        <v>157</v>
      </c>
      <c r="C396" s="71" t="s">
        <v>105</v>
      </c>
      <c r="D396" t="s">
        <v>705</v>
      </c>
      <c r="E396" s="9" t="s">
        <v>1390</v>
      </c>
      <c r="G396" s="1">
        <v>44049</v>
      </c>
      <c r="H396" t="s">
        <v>927</v>
      </c>
      <c r="K396" t="b">
        <f t="shared" si="227"/>
        <v>0</v>
      </c>
      <c r="L396" s="48">
        <v>2.4900000000000002</v>
      </c>
      <c r="M396" s="72">
        <v>1</v>
      </c>
      <c r="N396">
        <v>0</v>
      </c>
      <c r="O396" s="31">
        <f t="shared" si="220"/>
        <v>0</v>
      </c>
      <c r="P396" s="31">
        <f t="shared" si="221"/>
        <v>0</v>
      </c>
      <c r="Q396" s="33">
        <f t="shared" si="222"/>
        <v>2.4900000000000002</v>
      </c>
      <c r="R396" s="29">
        <f t="shared" si="223"/>
        <v>2.4900000000000002</v>
      </c>
      <c r="S396" s="29">
        <f>Q396+P396</f>
        <v>2.4900000000000002</v>
      </c>
      <c r="T396" s="35">
        <f t="shared" si="219"/>
        <v>44150</v>
      </c>
      <c r="U396" s="27"/>
      <c r="V396" s="27">
        <v>20</v>
      </c>
      <c r="W396" s="58">
        <f>IF(K396=TRUE,Q396/J396,Q396)</f>
        <v>2.4900000000000002</v>
      </c>
      <c r="X396" s="31">
        <f t="shared" si="224"/>
        <v>0.49800000000000005</v>
      </c>
      <c r="Y396" t="b">
        <f t="shared" si="225"/>
        <v>0</v>
      </c>
      <c r="Z396" s="78">
        <f t="shared" si="226"/>
        <v>-2.4900000000000002</v>
      </c>
    </row>
    <row r="397" spans="1:26" x14ac:dyDescent="0.25">
      <c r="A397" s="53">
        <v>2020</v>
      </c>
      <c r="B397" s="53">
        <v>158</v>
      </c>
      <c r="C397" s="71" t="s">
        <v>105</v>
      </c>
      <c r="D397" t="s">
        <v>705</v>
      </c>
      <c r="E397" s="9" t="s">
        <v>1222</v>
      </c>
      <c r="G397" s="1">
        <v>44053</v>
      </c>
      <c r="H397" t="s">
        <v>1223</v>
      </c>
      <c r="K397" t="b">
        <f t="shared" si="227"/>
        <v>0</v>
      </c>
      <c r="L397" s="109">
        <f>S397/1.2</f>
        <v>29</v>
      </c>
      <c r="M397" s="72">
        <v>1</v>
      </c>
      <c r="N397">
        <v>20</v>
      </c>
      <c r="O397" s="31">
        <f t="shared" si="220"/>
        <v>5.8</v>
      </c>
      <c r="P397" s="31">
        <f t="shared" si="221"/>
        <v>5.8</v>
      </c>
      <c r="Q397" s="33">
        <f t="shared" si="222"/>
        <v>29</v>
      </c>
      <c r="R397" s="29">
        <f t="shared" si="223"/>
        <v>34.799999999999997</v>
      </c>
      <c r="S397" s="29">
        <v>34.799999999999997</v>
      </c>
      <c r="T397" s="35">
        <f t="shared" si="219"/>
        <v>44150</v>
      </c>
      <c r="U397" s="27"/>
      <c r="V397" s="27"/>
      <c r="W397" s="58">
        <f>IF(K397=TRUE,Q397/J397,Q397)</f>
        <v>29</v>
      </c>
      <c r="X397" s="31">
        <f t="shared" si="224"/>
        <v>0</v>
      </c>
      <c r="Y397" t="b">
        <f t="shared" si="225"/>
        <v>0</v>
      </c>
      <c r="Z397" s="78">
        <f t="shared" si="226"/>
        <v>-29</v>
      </c>
    </row>
    <row r="398" spans="1:26" x14ac:dyDescent="0.25">
      <c r="A398" s="53">
        <v>2020</v>
      </c>
      <c r="B398" s="53">
        <v>159</v>
      </c>
      <c r="C398" s="71" t="s">
        <v>105</v>
      </c>
      <c r="D398" t="s">
        <v>705</v>
      </c>
      <c r="E398" s="9" t="s">
        <v>1399</v>
      </c>
      <c r="G398" s="1">
        <v>44053</v>
      </c>
      <c r="H398" t="s">
        <v>1238</v>
      </c>
      <c r="K398" t="b">
        <f t="shared" si="227"/>
        <v>0</v>
      </c>
      <c r="L398" s="109">
        <v>105.23</v>
      </c>
      <c r="M398" s="72">
        <v>1</v>
      </c>
      <c r="N398">
        <v>20</v>
      </c>
      <c r="O398" s="31">
        <f t="shared" si="220"/>
        <v>21.045999999999999</v>
      </c>
      <c r="P398" s="31">
        <f t="shared" si="221"/>
        <v>21.045999999999999</v>
      </c>
      <c r="Q398" s="33">
        <f t="shared" si="222"/>
        <v>105.23</v>
      </c>
      <c r="R398" s="29">
        <f t="shared" si="223"/>
        <v>126.27600000000001</v>
      </c>
      <c r="S398" s="29">
        <f t="shared" ref="S398:S407" si="228">Q398+P398</f>
        <v>126.27600000000001</v>
      </c>
      <c r="T398" s="35">
        <f t="shared" si="219"/>
        <v>44150</v>
      </c>
      <c r="U398" s="27"/>
      <c r="V398" s="27"/>
      <c r="W398" s="58">
        <f>IF(K398=TRUE,Q398/I398,Q398)</f>
        <v>105.23</v>
      </c>
      <c r="X398" s="31">
        <f t="shared" si="224"/>
        <v>0</v>
      </c>
      <c r="Y398" t="b">
        <f t="shared" si="225"/>
        <v>0</v>
      </c>
      <c r="Z398" s="78">
        <f t="shared" si="226"/>
        <v>-105.23</v>
      </c>
    </row>
    <row r="399" spans="1:26" x14ac:dyDescent="0.25">
      <c r="A399" s="53">
        <v>2020</v>
      </c>
      <c r="B399" s="53">
        <v>160</v>
      </c>
      <c r="C399" s="71" t="s">
        <v>105</v>
      </c>
      <c r="D399" t="s">
        <v>705</v>
      </c>
      <c r="E399" s="9" t="s">
        <v>1391</v>
      </c>
      <c r="G399" s="1">
        <v>44056</v>
      </c>
      <c r="H399" t="s">
        <v>927</v>
      </c>
      <c r="K399" t="b">
        <f t="shared" si="227"/>
        <v>0</v>
      </c>
      <c r="L399" s="109">
        <v>46.92</v>
      </c>
      <c r="M399" s="72">
        <v>1</v>
      </c>
      <c r="N399">
        <v>0</v>
      </c>
      <c r="O399" s="31">
        <f t="shared" si="220"/>
        <v>0</v>
      </c>
      <c r="P399" s="31">
        <f t="shared" si="221"/>
        <v>0</v>
      </c>
      <c r="Q399" s="33">
        <f t="shared" si="222"/>
        <v>46.92</v>
      </c>
      <c r="R399" s="29">
        <f t="shared" si="223"/>
        <v>46.92</v>
      </c>
      <c r="S399" s="29">
        <f t="shared" si="228"/>
        <v>46.92</v>
      </c>
      <c r="T399" s="35">
        <f t="shared" si="219"/>
        <v>44150</v>
      </c>
      <c r="U399" s="27"/>
      <c r="V399" s="27">
        <v>20</v>
      </c>
      <c r="W399" s="58">
        <f>IF(K399=TRUE,Q399/J399,Q399)</f>
        <v>46.92</v>
      </c>
      <c r="X399" s="31">
        <f t="shared" si="224"/>
        <v>9.3840000000000003</v>
      </c>
      <c r="Y399" t="b">
        <f t="shared" si="225"/>
        <v>0</v>
      </c>
      <c r="Z399" s="78">
        <f t="shared" si="226"/>
        <v>-46.92</v>
      </c>
    </row>
    <row r="400" spans="1:26" x14ac:dyDescent="0.25">
      <c r="A400" s="53">
        <v>2020</v>
      </c>
      <c r="B400" s="53">
        <v>161</v>
      </c>
      <c r="C400" s="71" t="s">
        <v>708</v>
      </c>
      <c r="D400" t="s">
        <v>709</v>
      </c>
      <c r="E400" s="9">
        <v>12020013</v>
      </c>
      <c r="G400" s="1">
        <v>44014</v>
      </c>
      <c r="H400" t="s">
        <v>1038</v>
      </c>
      <c r="K400" t="b">
        <f t="shared" si="227"/>
        <v>0</v>
      </c>
      <c r="L400" s="109">
        <v>362.4</v>
      </c>
      <c r="M400" s="72">
        <v>1</v>
      </c>
      <c r="N400">
        <v>20</v>
      </c>
      <c r="O400" s="31">
        <f t="shared" si="220"/>
        <v>72.48</v>
      </c>
      <c r="P400" s="31">
        <f t="shared" si="221"/>
        <v>72.48</v>
      </c>
      <c r="Q400" s="33">
        <f t="shared" si="222"/>
        <v>362.4</v>
      </c>
      <c r="R400" s="29">
        <f t="shared" si="223"/>
        <v>434.88</v>
      </c>
      <c r="S400" s="29">
        <f t="shared" si="228"/>
        <v>434.88</v>
      </c>
      <c r="T400" s="35">
        <f t="shared" si="219"/>
        <v>44150</v>
      </c>
      <c r="U400" s="27"/>
      <c r="V400" s="27"/>
      <c r="W400" s="58">
        <f>IF(K400=TRUE,Q400/I400,Q400)</f>
        <v>362.4</v>
      </c>
      <c r="X400" s="31">
        <f t="shared" si="224"/>
        <v>0</v>
      </c>
      <c r="Y400" t="b">
        <f t="shared" si="225"/>
        <v>0</v>
      </c>
      <c r="Z400" s="78">
        <f t="shared" si="226"/>
        <v>362.4</v>
      </c>
    </row>
    <row r="401" spans="1:26" x14ac:dyDescent="0.25">
      <c r="A401" s="53">
        <v>2020</v>
      </c>
      <c r="B401" s="53">
        <v>162</v>
      </c>
      <c r="C401" s="71" t="s">
        <v>708</v>
      </c>
      <c r="D401" t="s">
        <v>709</v>
      </c>
      <c r="E401" s="9">
        <v>12020024</v>
      </c>
      <c r="G401" s="1">
        <v>44014</v>
      </c>
      <c r="H401" t="s">
        <v>1038</v>
      </c>
      <c r="K401" t="b">
        <f>(IF(AND(I401&lt;&gt;"",AND(J401="",ABS(Q401)&gt;400)),TRUE,FALSE))</f>
        <v>0</v>
      </c>
      <c r="L401" s="109">
        <v>306.25</v>
      </c>
      <c r="M401" s="72">
        <v>1</v>
      </c>
      <c r="N401">
        <v>20</v>
      </c>
      <c r="O401" s="31">
        <f t="shared" ref="O401:O439" si="229">L401*N401/100</f>
        <v>61.25</v>
      </c>
      <c r="P401" s="31">
        <f t="shared" ref="P401:P439" si="230">M401*O401</f>
        <v>61.25</v>
      </c>
      <c r="Q401" s="33">
        <f t="shared" ref="Q401:Q432" si="231">L401*M401</f>
        <v>306.25</v>
      </c>
      <c r="R401" s="29">
        <f t="shared" ref="R401:R432" si="232">L401+O401</f>
        <v>367.5</v>
      </c>
      <c r="S401" s="29">
        <f t="shared" si="228"/>
        <v>367.5</v>
      </c>
      <c r="T401" s="35">
        <f t="shared" si="219"/>
        <v>44150</v>
      </c>
      <c r="U401" s="27"/>
      <c r="V401" s="27"/>
      <c r="W401" s="58">
        <f>IF(K401=TRUE,Q401/I401,Q401)</f>
        <v>306.25</v>
      </c>
      <c r="X401" s="31">
        <f t="shared" ref="X401:X432" si="233">V401/100*S401</f>
        <v>0</v>
      </c>
      <c r="Y401" t="b">
        <f t="shared" ref="Y401:Y432" si="234">IF(AND(V401&gt;0,N401=V401),TRUE,FALSE)</f>
        <v>0</v>
      </c>
      <c r="Z401" s="78">
        <f t="shared" ref="Z401:Z432" si="235">IF(C401="Einnahmen",Q401,-Q401)</f>
        <v>306.25</v>
      </c>
    </row>
    <row r="402" spans="1:26" x14ac:dyDescent="0.25">
      <c r="A402" s="53">
        <v>2020</v>
      </c>
      <c r="B402" s="53">
        <v>163</v>
      </c>
      <c r="C402" s="71" t="s">
        <v>105</v>
      </c>
      <c r="D402" t="s">
        <v>695</v>
      </c>
      <c r="G402" s="1">
        <v>44071</v>
      </c>
      <c r="H402" t="s">
        <v>952</v>
      </c>
      <c r="K402" t="b">
        <f>(IF(AND(I402&lt;&gt;"",AND(J402="",ABS(Q402)&gt;400)),TRUE,FALSE))</f>
        <v>0</v>
      </c>
      <c r="L402" s="109">
        <v>1700.07</v>
      </c>
      <c r="M402" s="72">
        <v>1</v>
      </c>
      <c r="N402">
        <v>0</v>
      </c>
      <c r="O402" s="31">
        <f t="shared" si="229"/>
        <v>0</v>
      </c>
      <c r="P402" s="31">
        <f t="shared" si="230"/>
        <v>0</v>
      </c>
      <c r="Q402" s="33">
        <f t="shared" si="231"/>
        <v>1700.07</v>
      </c>
      <c r="R402" s="29">
        <f t="shared" si="232"/>
        <v>1700.07</v>
      </c>
      <c r="S402" s="29">
        <f t="shared" si="228"/>
        <v>1700.07</v>
      </c>
      <c r="T402" s="35">
        <f t="shared" si="219"/>
        <v>44150</v>
      </c>
      <c r="U402" s="27"/>
      <c r="V402" s="27"/>
      <c r="W402" s="58">
        <f>IF(K402=TRUE,Q402/J402,Q402)</f>
        <v>1700.07</v>
      </c>
      <c r="X402" s="31">
        <f t="shared" si="233"/>
        <v>0</v>
      </c>
      <c r="Y402" t="b">
        <f t="shared" si="234"/>
        <v>0</v>
      </c>
      <c r="Z402" s="78">
        <f t="shared" si="235"/>
        <v>-1700.07</v>
      </c>
    </row>
    <row r="403" spans="1:26" x14ac:dyDescent="0.25">
      <c r="A403" s="53">
        <v>2020</v>
      </c>
      <c r="B403" s="53">
        <v>164</v>
      </c>
      <c r="C403" s="71" t="s">
        <v>105</v>
      </c>
      <c r="D403" t="s">
        <v>693</v>
      </c>
      <c r="E403" s="9" t="s">
        <v>1401</v>
      </c>
      <c r="G403" s="1">
        <v>44074</v>
      </c>
      <c r="H403" t="s">
        <v>1363</v>
      </c>
      <c r="K403" t="b">
        <f>(IF(AND(I403&lt;&gt;"",AND(J403="",ABS(Q403)&gt;400)),TRUE,FALSE))</f>
        <v>0</v>
      </c>
      <c r="L403" s="48">
        <v>24.88</v>
      </c>
      <c r="M403" s="72">
        <v>1</v>
      </c>
      <c r="N403">
        <v>0</v>
      </c>
      <c r="O403" s="31">
        <f t="shared" si="229"/>
        <v>0</v>
      </c>
      <c r="P403" s="31">
        <f t="shared" si="230"/>
        <v>0</v>
      </c>
      <c r="Q403" s="33">
        <f t="shared" si="231"/>
        <v>24.88</v>
      </c>
      <c r="R403" s="29">
        <f t="shared" si="232"/>
        <v>24.88</v>
      </c>
      <c r="S403" s="29">
        <f t="shared" si="228"/>
        <v>24.88</v>
      </c>
      <c r="T403" s="35">
        <f t="shared" si="219"/>
        <v>44150</v>
      </c>
      <c r="U403" s="27"/>
      <c r="V403" s="27">
        <v>20</v>
      </c>
      <c r="W403" s="58">
        <f>IF(K403=TRUE,Q403/I403,Q403)</f>
        <v>24.88</v>
      </c>
      <c r="X403" s="31">
        <f t="shared" si="233"/>
        <v>4.976</v>
      </c>
      <c r="Y403" t="b">
        <f t="shared" si="234"/>
        <v>0</v>
      </c>
      <c r="Z403" s="78">
        <f t="shared" si="235"/>
        <v>-24.88</v>
      </c>
    </row>
    <row r="404" spans="1:26" x14ac:dyDescent="0.25">
      <c r="A404" s="53">
        <v>2020</v>
      </c>
      <c r="B404" s="53">
        <v>165</v>
      </c>
      <c r="C404" s="71" t="s">
        <v>105</v>
      </c>
      <c r="D404" t="s">
        <v>691</v>
      </c>
      <c r="E404" s="9" t="s">
        <v>1372</v>
      </c>
      <c r="G404" s="1">
        <v>44075</v>
      </c>
      <c r="H404" t="s">
        <v>1113</v>
      </c>
      <c r="K404" t="b">
        <v>0</v>
      </c>
      <c r="L404" s="48">
        <v>460.41</v>
      </c>
      <c r="M404" s="72">
        <v>1</v>
      </c>
      <c r="N404">
        <v>20</v>
      </c>
      <c r="O404" s="31">
        <f t="shared" si="229"/>
        <v>92.082000000000008</v>
      </c>
      <c r="P404" s="31">
        <f t="shared" si="230"/>
        <v>92.082000000000008</v>
      </c>
      <c r="Q404" s="33">
        <f t="shared" si="231"/>
        <v>460.41</v>
      </c>
      <c r="R404" s="29">
        <f t="shared" si="232"/>
        <v>552.49200000000008</v>
      </c>
      <c r="S404" s="29">
        <f t="shared" si="228"/>
        <v>552.49200000000008</v>
      </c>
      <c r="T404" s="35">
        <f t="shared" si="219"/>
        <v>44150</v>
      </c>
      <c r="U404" s="27"/>
      <c r="V404" s="27"/>
      <c r="W404" s="58">
        <f>IF(K404=TRUE,Q404/J404,Q404)</f>
        <v>460.41</v>
      </c>
      <c r="X404" s="31">
        <f t="shared" si="233"/>
        <v>0</v>
      </c>
      <c r="Y404" t="b">
        <f t="shared" si="234"/>
        <v>0</v>
      </c>
      <c r="Z404" s="78">
        <f t="shared" si="235"/>
        <v>-460.41</v>
      </c>
    </row>
    <row r="405" spans="1:26" x14ac:dyDescent="0.25">
      <c r="A405" s="53">
        <v>2020</v>
      </c>
      <c r="B405" s="53">
        <v>166</v>
      </c>
      <c r="C405" s="71" t="s">
        <v>105</v>
      </c>
      <c r="D405" t="s">
        <v>689</v>
      </c>
      <c r="E405" s="131" t="s">
        <v>1400</v>
      </c>
      <c r="G405" s="1">
        <v>44076</v>
      </c>
      <c r="H405" t="s">
        <v>974</v>
      </c>
      <c r="K405" t="b">
        <v>0</v>
      </c>
      <c r="L405" s="48">
        <v>95.11</v>
      </c>
      <c r="M405" s="72">
        <v>1</v>
      </c>
      <c r="N405">
        <v>20</v>
      </c>
      <c r="O405" s="31">
        <f t="shared" si="229"/>
        <v>19.022000000000002</v>
      </c>
      <c r="P405" s="31">
        <f t="shared" si="230"/>
        <v>19.022000000000002</v>
      </c>
      <c r="Q405" s="33">
        <f t="shared" si="231"/>
        <v>95.11</v>
      </c>
      <c r="R405" s="29">
        <f t="shared" si="232"/>
        <v>114.13200000000001</v>
      </c>
      <c r="S405" s="29">
        <f t="shared" si="228"/>
        <v>114.13200000000001</v>
      </c>
      <c r="T405" s="35">
        <f t="shared" si="219"/>
        <v>44150</v>
      </c>
      <c r="U405" s="27"/>
      <c r="V405" s="27"/>
      <c r="W405" s="58">
        <f>IF(K405=TRUE,Q405/J405,Q405)</f>
        <v>95.11</v>
      </c>
      <c r="X405" s="31">
        <f t="shared" si="233"/>
        <v>0</v>
      </c>
      <c r="Y405" t="b">
        <f t="shared" si="234"/>
        <v>0</v>
      </c>
      <c r="Z405" s="78">
        <f t="shared" si="235"/>
        <v>-95.11</v>
      </c>
    </row>
    <row r="406" spans="1:26" x14ac:dyDescent="0.25">
      <c r="A406" s="53">
        <v>2020</v>
      </c>
      <c r="B406" s="53">
        <v>167</v>
      </c>
      <c r="C406" s="71" t="s">
        <v>105</v>
      </c>
      <c r="D406" t="s">
        <v>705</v>
      </c>
      <c r="E406" s="9" t="s">
        <v>1402</v>
      </c>
      <c r="G406" s="1">
        <v>44077</v>
      </c>
      <c r="H406" t="s">
        <v>1403</v>
      </c>
      <c r="K406" t="b">
        <v>0</v>
      </c>
      <c r="L406" s="48">
        <v>71</v>
      </c>
      <c r="M406" s="72">
        <v>1</v>
      </c>
      <c r="N406">
        <v>20</v>
      </c>
      <c r="O406" s="31">
        <f t="shared" si="229"/>
        <v>14.2</v>
      </c>
      <c r="P406" s="31">
        <f t="shared" si="230"/>
        <v>14.2</v>
      </c>
      <c r="Q406" s="33">
        <f t="shared" si="231"/>
        <v>71</v>
      </c>
      <c r="R406" s="29">
        <f t="shared" si="232"/>
        <v>85.2</v>
      </c>
      <c r="S406" s="29">
        <f t="shared" si="228"/>
        <v>85.2</v>
      </c>
      <c r="T406" s="35">
        <f t="shared" si="219"/>
        <v>44150</v>
      </c>
      <c r="U406" s="27"/>
      <c r="V406" s="27"/>
      <c r="W406" s="58">
        <f>IF(K406=TRUE,Q406/J406,Q406)</f>
        <v>71</v>
      </c>
      <c r="X406" s="31">
        <f t="shared" si="233"/>
        <v>0</v>
      </c>
      <c r="Y406" t="b">
        <f t="shared" si="234"/>
        <v>0</v>
      </c>
      <c r="Z406" s="78">
        <f t="shared" si="235"/>
        <v>-71</v>
      </c>
    </row>
    <row r="407" spans="1:26" x14ac:dyDescent="0.25">
      <c r="A407" s="53">
        <v>2020</v>
      </c>
      <c r="B407" s="53">
        <v>168</v>
      </c>
      <c r="C407" s="71" t="s">
        <v>105</v>
      </c>
      <c r="D407" t="s">
        <v>705</v>
      </c>
      <c r="E407" s="9" t="s">
        <v>1405</v>
      </c>
      <c r="G407" s="1">
        <v>44077</v>
      </c>
      <c r="H407" t="s">
        <v>1404</v>
      </c>
      <c r="K407" t="b">
        <v>0</v>
      </c>
      <c r="L407" s="48">
        <v>9.36</v>
      </c>
      <c r="M407" s="72">
        <v>1</v>
      </c>
      <c r="N407">
        <v>0</v>
      </c>
      <c r="O407" s="31">
        <f t="shared" si="229"/>
        <v>0</v>
      </c>
      <c r="P407" s="31">
        <f t="shared" si="230"/>
        <v>0</v>
      </c>
      <c r="Q407" s="33">
        <f t="shared" si="231"/>
        <v>9.36</v>
      </c>
      <c r="R407" s="29">
        <f t="shared" si="232"/>
        <v>9.36</v>
      </c>
      <c r="S407" s="29">
        <f t="shared" si="228"/>
        <v>9.36</v>
      </c>
      <c r="T407" s="35">
        <f t="shared" si="219"/>
        <v>44150</v>
      </c>
      <c r="U407" s="27"/>
      <c r="V407" s="27">
        <v>20</v>
      </c>
      <c r="W407" s="58">
        <f>IF(K407=TRUE,Q407/I407,Q407)</f>
        <v>9.36</v>
      </c>
      <c r="X407" s="31">
        <f t="shared" si="233"/>
        <v>1.8719999999999999</v>
      </c>
      <c r="Y407" t="b">
        <f t="shared" si="234"/>
        <v>0</v>
      </c>
      <c r="Z407" s="78">
        <f t="shared" si="235"/>
        <v>-9.36</v>
      </c>
    </row>
    <row r="408" spans="1:26" x14ac:dyDescent="0.25">
      <c r="A408" s="53">
        <v>2020</v>
      </c>
      <c r="B408" s="53">
        <v>169</v>
      </c>
      <c r="C408" s="71" t="s">
        <v>105</v>
      </c>
      <c r="D408" t="s">
        <v>705</v>
      </c>
      <c r="E408" s="9" t="s">
        <v>1225</v>
      </c>
      <c r="G408" s="1">
        <v>44077</v>
      </c>
      <c r="H408" t="s">
        <v>1364</v>
      </c>
      <c r="K408" t="b">
        <f>(IF(AND(I408&lt;&gt;"",AND(J408="",ABS(Q408)&gt;400)),TRUE,FALSE))</f>
        <v>0</v>
      </c>
      <c r="L408" s="48">
        <v>2.5</v>
      </c>
      <c r="M408" s="72">
        <v>1</v>
      </c>
      <c r="N408">
        <v>20</v>
      </c>
      <c r="O408" s="31">
        <f t="shared" si="229"/>
        <v>0.5</v>
      </c>
      <c r="P408" s="31">
        <f t="shared" si="230"/>
        <v>0.5</v>
      </c>
      <c r="Q408" s="33">
        <f t="shared" si="231"/>
        <v>2.5</v>
      </c>
      <c r="R408" s="29">
        <f t="shared" si="232"/>
        <v>3</v>
      </c>
      <c r="S408" s="29">
        <v>3</v>
      </c>
      <c r="T408" s="35">
        <f t="shared" si="219"/>
        <v>44150</v>
      </c>
      <c r="U408" s="27"/>
      <c r="V408" s="27"/>
      <c r="W408" s="58">
        <f>IF(K408=TRUE,Q408/J408,Q408)</f>
        <v>2.5</v>
      </c>
      <c r="X408" s="31">
        <f t="shared" si="233"/>
        <v>0</v>
      </c>
      <c r="Y408" t="b">
        <f t="shared" si="234"/>
        <v>0</v>
      </c>
      <c r="Z408" s="78">
        <f t="shared" si="235"/>
        <v>-2.5</v>
      </c>
    </row>
    <row r="409" spans="1:26" x14ac:dyDescent="0.25">
      <c r="A409" s="53">
        <v>2020</v>
      </c>
      <c r="B409" s="53">
        <v>170</v>
      </c>
      <c r="C409" s="71" t="s">
        <v>105</v>
      </c>
      <c r="D409" t="s">
        <v>705</v>
      </c>
      <c r="E409" s="9" t="s">
        <v>1416</v>
      </c>
      <c r="G409" s="1">
        <v>44077</v>
      </c>
      <c r="H409" t="s">
        <v>1406</v>
      </c>
      <c r="K409" t="b">
        <f>(IF(AND(I409&lt;&gt;"",AND(J409="",ABS(Q409)&gt;400)),TRUE,FALSE))</f>
        <v>0</v>
      </c>
      <c r="L409" s="48">
        <f>73.6/1.05</f>
        <v>70.095238095238088</v>
      </c>
      <c r="M409" s="72">
        <v>1</v>
      </c>
      <c r="N409">
        <v>5</v>
      </c>
      <c r="O409" s="31">
        <f t="shared" si="229"/>
        <v>3.5047619047619043</v>
      </c>
      <c r="P409" s="31">
        <f t="shared" si="230"/>
        <v>3.5047619047619043</v>
      </c>
      <c r="Q409" s="33">
        <f t="shared" si="231"/>
        <v>70.095238095238088</v>
      </c>
      <c r="R409" s="29">
        <f t="shared" si="232"/>
        <v>73.599999999999994</v>
      </c>
      <c r="S409" s="29">
        <f t="shared" ref="S409:S415" si="236">Q409+P409</f>
        <v>73.599999999999994</v>
      </c>
      <c r="T409" s="35">
        <f t="shared" si="219"/>
        <v>44150</v>
      </c>
      <c r="U409" s="27"/>
      <c r="V409" s="27"/>
      <c r="W409" s="58">
        <f>IF(K409=TRUE,Q409/J409,Q409)</f>
        <v>70.095238095238088</v>
      </c>
      <c r="X409" s="31">
        <f t="shared" si="233"/>
        <v>0</v>
      </c>
      <c r="Y409" t="b">
        <f t="shared" si="234"/>
        <v>0</v>
      </c>
      <c r="Z409" s="78">
        <f t="shared" si="235"/>
        <v>-70.095238095238088</v>
      </c>
    </row>
    <row r="410" spans="1:26" x14ac:dyDescent="0.25">
      <c r="A410" s="53">
        <v>2020</v>
      </c>
      <c r="B410" s="53">
        <v>171</v>
      </c>
      <c r="C410" s="71" t="s">
        <v>105</v>
      </c>
      <c r="D410" t="s">
        <v>703</v>
      </c>
      <c r="E410" s="9">
        <v>6206566381</v>
      </c>
      <c r="G410" s="1">
        <v>44077</v>
      </c>
      <c r="H410" t="s">
        <v>34</v>
      </c>
      <c r="K410" t="b">
        <f>(IF(AND(I410&lt;&gt;"",AND(J410="",ABS(Q410)&gt;400)),TRUE,FALSE))</f>
        <v>0</v>
      </c>
      <c r="L410" s="48">
        <v>15.25</v>
      </c>
      <c r="M410" s="72">
        <v>1</v>
      </c>
      <c r="N410">
        <v>20</v>
      </c>
      <c r="O410" s="31">
        <f t="shared" si="229"/>
        <v>3.05</v>
      </c>
      <c r="P410" s="31">
        <f t="shared" si="230"/>
        <v>3.05</v>
      </c>
      <c r="Q410" s="33">
        <f t="shared" si="231"/>
        <v>15.25</v>
      </c>
      <c r="R410" s="29">
        <f t="shared" si="232"/>
        <v>18.3</v>
      </c>
      <c r="S410" s="29">
        <f t="shared" si="236"/>
        <v>18.3</v>
      </c>
      <c r="T410" s="35">
        <f t="shared" si="219"/>
        <v>44150</v>
      </c>
      <c r="U410" s="27"/>
      <c r="V410" s="27"/>
      <c r="W410" s="58">
        <f>IF(K410=TRUE,Q410/I410,Q410)</f>
        <v>15.25</v>
      </c>
      <c r="X410" s="31">
        <f t="shared" si="233"/>
        <v>0</v>
      </c>
      <c r="Y410" t="b">
        <f t="shared" si="234"/>
        <v>0</v>
      </c>
      <c r="Z410" s="78">
        <f t="shared" si="235"/>
        <v>-15.25</v>
      </c>
    </row>
    <row r="411" spans="1:26" x14ac:dyDescent="0.25">
      <c r="A411" s="53">
        <v>2020</v>
      </c>
      <c r="B411" s="53">
        <v>172</v>
      </c>
      <c r="C411" s="71" t="s">
        <v>708</v>
      </c>
      <c r="D411" t="s">
        <v>709</v>
      </c>
      <c r="E411" s="9">
        <v>12020026</v>
      </c>
      <c r="G411" s="1">
        <v>44078</v>
      </c>
      <c r="H411" t="s">
        <v>1266</v>
      </c>
      <c r="K411" t="b">
        <f>(IF(AND(I411&lt;&gt;"",AND(J411="",ABS(Q411)&gt;400)),TRUE,FALSE))</f>
        <v>0</v>
      </c>
      <c r="L411" s="48">
        <f>57*120</f>
        <v>6840</v>
      </c>
      <c r="M411" s="72">
        <v>1</v>
      </c>
      <c r="N411">
        <v>20</v>
      </c>
      <c r="O411" s="31">
        <f t="shared" si="229"/>
        <v>1368</v>
      </c>
      <c r="P411" s="31">
        <f t="shared" si="230"/>
        <v>1368</v>
      </c>
      <c r="Q411" s="33">
        <f t="shared" si="231"/>
        <v>6840</v>
      </c>
      <c r="R411" s="29">
        <f t="shared" si="232"/>
        <v>8208</v>
      </c>
      <c r="S411" s="29">
        <f t="shared" si="236"/>
        <v>8208</v>
      </c>
      <c r="T411" s="35">
        <f t="shared" si="219"/>
        <v>44150</v>
      </c>
      <c r="U411" s="27"/>
      <c r="V411" s="27"/>
      <c r="W411" s="58">
        <f>IF(K411=TRUE,Q411/I411,Q411)</f>
        <v>6840</v>
      </c>
      <c r="X411" s="31">
        <f t="shared" si="233"/>
        <v>0</v>
      </c>
      <c r="Y411" t="b">
        <f t="shared" si="234"/>
        <v>0</v>
      </c>
      <c r="Z411" s="78">
        <f t="shared" si="235"/>
        <v>6840</v>
      </c>
    </row>
    <row r="412" spans="1:26" x14ac:dyDescent="0.25">
      <c r="A412" s="53">
        <v>2020</v>
      </c>
      <c r="B412" s="53">
        <v>173</v>
      </c>
      <c r="C412" s="71" t="s">
        <v>708</v>
      </c>
      <c r="D412" t="s">
        <v>709</v>
      </c>
      <c r="E412" s="9">
        <v>12020025</v>
      </c>
      <c r="G412" s="1">
        <v>44078</v>
      </c>
      <c r="H412" t="s">
        <v>1266</v>
      </c>
      <c r="K412" t="b">
        <f t="shared" ref="K412:K418" si="237">(IF(AND(I412&lt;&gt;"",AND(J412="",ABS(Q412)&gt;400)),TRUE,FALSE))</f>
        <v>0</v>
      </c>
      <c r="L412" s="48">
        <v>2310</v>
      </c>
      <c r="M412" s="72">
        <v>1</v>
      </c>
      <c r="N412">
        <v>20</v>
      </c>
      <c r="O412" s="31">
        <f t="shared" si="229"/>
        <v>462</v>
      </c>
      <c r="P412" s="31">
        <f t="shared" si="230"/>
        <v>462</v>
      </c>
      <c r="Q412" s="33">
        <f t="shared" si="231"/>
        <v>2310</v>
      </c>
      <c r="R412" s="29">
        <f t="shared" si="232"/>
        <v>2772</v>
      </c>
      <c r="S412" s="29">
        <f t="shared" si="236"/>
        <v>2772</v>
      </c>
      <c r="T412" s="35">
        <f t="shared" si="219"/>
        <v>44150</v>
      </c>
      <c r="U412" s="27"/>
      <c r="V412" s="27"/>
      <c r="W412" s="58">
        <f>IF(K412=TRUE,Q412/I412,Q412)</f>
        <v>2310</v>
      </c>
      <c r="X412" s="31">
        <f t="shared" si="233"/>
        <v>0</v>
      </c>
      <c r="Y412" t="b">
        <f t="shared" si="234"/>
        <v>0</v>
      </c>
      <c r="Z412" s="78">
        <f t="shared" si="235"/>
        <v>2310</v>
      </c>
    </row>
    <row r="413" spans="1:26" x14ac:dyDescent="0.25">
      <c r="A413" s="53">
        <v>2020</v>
      </c>
      <c r="B413" s="53">
        <v>174</v>
      </c>
      <c r="C413" s="71" t="s">
        <v>105</v>
      </c>
      <c r="D413" t="s">
        <v>705</v>
      </c>
      <c r="E413" s="9" t="s">
        <v>1397</v>
      </c>
      <c r="G413" s="1">
        <v>44081</v>
      </c>
      <c r="H413" t="s">
        <v>1128</v>
      </c>
      <c r="K413" t="b">
        <f t="shared" si="237"/>
        <v>0</v>
      </c>
      <c r="L413" s="48">
        <v>35</v>
      </c>
      <c r="M413" s="72">
        <v>1</v>
      </c>
      <c r="N413">
        <v>20</v>
      </c>
      <c r="O413" s="31">
        <f t="shared" si="229"/>
        <v>7</v>
      </c>
      <c r="P413" s="31">
        <f t="shared" si="230"/>
        <v>7</v>
      </c>
      <c r="Q413" s="33">
        <f t="shared" si="231"/>
        <v>35</v>
      </c>
      <c r="R413" s="29">
        <f t="shared" si="232"/>
        <v>42</v>
      </c>
      <c r="S413" s="29">
        <f t="shared" si="236"/>
        <v>42</v>
      </c>
      <c r="T413" s="35">
        <f t="shared" si="219"/>
        <v>44150</v>
      </c>
      <c r="U413" s="27"/>
      <c r="V413" s="27"/>
      <c r="W413" s="58">
        <f>IF(K413=TRUE,Q413/I413,Q413)</f>
        <v>35</v>
      </c>
      <c r="X413" s="31">
        <f t="shared" si="233"/>
        <v>0</v>
      </c>
      <c r="Y413" t="b">
        <f t="shared" si="234"/>
        <v>0</v>
      </c>
      <c r="Z413" s="78">
        <f t="shared" si="235"/>
        <v>-35</v>
      </c>
    </row>
    <row r="414" spans="1:26" x14ac:dyDescent="0.25">
      <c r="A414" s="53">
        <v>2020</v>
      </c>
      <c r="B414" s="53">
        <v>175</v>
      </c>
      <c r="C414" s="71" t="s">
        <v>105</v>
      </c>
      <c r="D414" t="s">
        <v>705</v>
      </c>
      <c r="E414" s="9" t="s">
        <v>1407</v>
      </c>
      <c r="G414" s="1">
        <v>44081</v>
      </c>
      <c r="H414" t="s">
        <v>927</v>
      </c>
      <c r="K414" t="b">
        <f t="shared" si="237"/>
        <v>0</v>
      </c>
      <c r="L414" s="48">
        <v>2.4900000000000002</v>
      </c>
      <c r="M414" s="72">
        <v>1</v>
      </c>
      <c r="N414">
        <v>0</v>
      </c>
      <c r="O414" s="31">
        <f t="shared" si="229"/>
        <v>0</v>
      </c>
      <c r="P414" s="31">
        <f t="shared" si="230"/>
        <v>0</v>
      </c>
      <c r="Q414" s="33">
        <f t="shared" si="231"/>
        <v>2.4900000000000002</v>
      </c>
      <c r="R414" s="29">
        <f t="shared" si="232"/>
        <v>2.4900000000000002</v>
      </c>
      <c r="S414" s="29">
        <f t="shared" si="236"/>
        <v>2.4900000000000002</v>
      </c>
      <c r="T414" s="35">
        <f t="shared" si="219"/>
        <v>44150</v>
      </c>
      <c r="U414" s="27"/>
      <c r="V414" s="27">
        <v>20</v>
      </c>
      <c r="W414" s="58">
        <f>IF(K414=TRUE,Q414/J414,Q414)</f>
        <v>2.4900000000000002</v>
      </c>
      <c r="X414" s="31">
        <f t="shared" si="233"/>
        <v>0.49800000000000005</v>
      </c>
      <c r="Y414" t="b">
        <f t="shared" si="234"/>
        <v>0</v>
      </c>
      <c r="Z414" s="78">
        <f t="shared" si="235"/>
        <v>-2.4900000000000002</v>
      </c>
    </row>
    <row r="415" spans="1:26" x14ac:dyDescent="0.25">
      <c r="A415" s="53">
        <v>2020</v>
      </c>
      <c r="B415" s="53">
        <v>176</v>
      </c>
      <c r="C415" s="71" t="s">
        <v>105</v>
      </c>
      <c r="D415" t="s">
        <v>683</v>
      </c>
      <c r="E415" s="9" t="s">
        <v>1408</v>
      </c>
      <c r="G415" s="1">
        <v>44091</v>
      </c>
      <c r="H415" t="s">
        <v>981</v>
      </c>
      <c r="K415" t="b">
        <f t="shared" si="237"/>
        <v>0</v>
      </c>
      <c r="L415" s="48">
        <v>21.54</v>
      </c>
      <c r="M415" s="72">
        <v>1</v>
      </c>
      <c r="N415">
        <v>20</v>
      </c>
      <c r="O415" s="31">
        <f t="shared" si="229"/>
        <v>4.3079999999999998</v>
      </c>
      <c r="P415" s="31">
        <f t="shared" si="230"/>
        <v>4.3079999999999998</v>
      </c>
      <c r="Q415" s="33">
        <f t="shared" si="231"/>
        <v>21.54</v>
      </c>
      <c r="R415" s="29">
        <f t="shared" si="232"/>
        <v>25.847999999999999</v>
      </c>
      <c r="S415" s="29">
        <f t="shared" si="236"/>
        <v>25.847999999999999</v>
      </c>
      <c r="T415" s="35">
        <f t="shared" si="219"/>
        <v>44150</v>
      </c>
      <c r="U415" s="27"/>
      <c r="V415" s="27"/>
      <c r="W415" s="58">
        <f>IF(K415=TRUE,Q415/I415,Q415)</f>
        <v>21.54</v>
      </c>
      <c r="X415" s="31">
        <f t="shared" si="233"/>
        <v>0</v>
      </c>
      <c r="Y415" t="b">
        <f t="shared" si="234"/>
        <v>0</v>
      </c>
      <c r="Z415" s="78">
        <f t="shared" si="235"/>
        <v>-21.54</v>
      </c>
    </row>
    <row r="416" spans="1:26" x14ac:dyDescent="0.25">
      <c r="A416" s="53">
        <v>2020</v>
      </c>
      <c r="B416" s="53">
        <v>177</v>
      </c>
      <c r="C416" s="71" t="s">
        <v>105</v>
      </c>
      <c r="D416" t="s">
        <v>705</v>
      </c>
      <c r="E416" s="9" t="s">
        <v>1222</v>
      </c>
      <c r="G416" s="1">
        <v>44084</v>
      </c>
      <c r="H416" t="s">
        <v>1223</v>
      </c>
      <c r="K416" t="b">
        <f t="shared" si="237"/>
        <v>0</v>
      </c>
      <c r="L416" s="109">
        <f>S416/1.2</f>
        <v>29</v>
      </c>
      <c r="M416" s="72">
        <v>1</v>
      </c>
      <c r="N416">
        <v>20</v>
      </c>
      <c r="O416" s="31">
        <f t="shared" si="229"/>
        <v>5.8</v>
      </c>
      <c r="P416" s="31">
        <f t="shared" si="230"/>
        <v>5.8</v>
      </c>
      <c r="Q416" s="33">
        <f t="shared" si="231"/>
        <v>29</v>
      </c>
      <c r="R416" s="29">
        <f t="shared" si="232"/>
        <v>34.799999999999997</v>
      </c>
      <c r="S416" s="29">
        <v>34.799999999999997</v>
      </c>
      <c r="T416" s="35">
        <f t="shared" si="219"/>
        <v>44150</v>
      </c>
      <c r="U416" s="27"/>
      <c r="V416" s="27"/>
      <c r="W416" s="58">
        <f>IF(K416=TRUE,Q416/J416,Q416)</f>
        <v>29</v>
      </c>
      <c r="X416" s="31">
        <f t="shared" si="233"/>
        <v>0</v>
      </c>
      <c r="Y416" t="b">
        <f t="shared" si="234"/>
        <v>0</v>
      </c>
      <c r="Z416" s="78">
        <f t="shared" si="235"/>
        <v>-29</v>
      </c>
    </row>
    <row r="417" spans="1:26" x14ac:dyDescent="0.25">
      <c r="A417" s="53">
        <v>2020</v>
      </c>
      <c r="B417" s="53">
        <v>178</v>
      </c>
      <c r="C417" s="71" t="s">
        <v>105</v>
      </c>
      <c r="D417" t="s">
        <v>705</v>
      </c>
      <c r="E417" s="9" t="s">
        <v>1409</v>
      </c>
      <c r="G417" s="1">
        <v>44085</v>
      </c>
      <c r="H417" t="s">
        <v>927</v>
      </c>
      <c r="K417" t="b">
        <f t="shared" si="237"/>
        <v>0</v>
      </c>
      <c r="L417" s="109">
        <v>46.92</v>
      </c>
      <c r="M417" s="72">
        <v>1</v>
      </c>
      <c r="N417">
        <v>0</v>
      </c>
      <c r="O417" s="31">
        <f t="shared" si="229"/>
        <v>0</v>
      </c>
      <c r="P417" s="31">
        <f t="shared" si="230"/>
        <v>0</v>
      </c>
      <c r="Q417" s="33">
        <f t="shared" si="231"/>
        <v>46.92</v>
      </c>
      <c r="R417" s="29">
        <f t="shared" si="232"/>
        <v>46.92</v>
      </c>
      <c r="S417" s="29">
        <f t="shared" ref="S417:S428" si="238">Q417+P417</f>
        <v>46.92</v>
      </c>
      <c r="T417" s="35">
        <f t="shared" si="219"/>
        <v>44150</v>
      </c>
      <c r="U417" s="27"/>
      <c r="V417" s="27">
        <v>20</v>
      </c>
      <c r="W417" s="58">
        <f>IF(K417=TRUE,Q417/J417,Q417)</f>
        <v>46.92</v>
      </c>
      <c r="X417" s="31">
        <f t="shared" si="233"/>
        <v>9.3840000000000003</v>
      </c>
      <c r="Y417" t="b">
        <f t="shared" si="234"/>
        <v>0</v>
      </c>
      <c r="Z417" s="78">
        <f t="shared" si="235"/>
        <v>-46.92</v>
      </c>
    </row>
    <row r="418" spans="1:26" x14ac:dyDescent="0.25">
      <c r="A418" s="53">
        <v>2020</v>
      </c>
      <c r="B418" s="53">
        <v>179</v>
      </c>
      <c r="C418" s="71" t="s">
        <v>105</v>
      </c>
      <c r="D418" t="s">
        <v>703</v>
      </c>
      <c r="E418" s="9" t="s">
        <v>1410</v>
      </c>
      <c r="F418" s="1">
        <v>43962</v>
      </c>
      <c r="G418" s="1">
        <v>44095</v>
      </c>
      <c r="H418" t="s">
        <v>1148</v>
      </c>
      <c r="K418" t="b">
        <f t="shared" si="237"/>
        <v>0</v>
      </c>
      <c r="L418" s="48">
        <v>35.24</v>
      </c>
      <c r="M418" s="72">
        <v>1</v>
      </c>
      <c r="N418">
        <v>20</v>
      </c>
      <c r="O418" s="31">
        <f t="shared" si="229"/>
        <v>7.0480000000000009</v>
      </c>
      <c r="P418" s="31">
        <f t="shared" si="230"/>
        <v>7.0480000000000009</v>
      </c>
      <c r="Q418" s="33">
        <f t="shared" si="231"/>
        <v>35.24</v>
      </c>
      <c r="R418" s="29">
        <f t="shared" si="232"/>
        <v>42.288000000000004</v>
      </c>
      <c r="S418" s="29">
        <f t="shared" si="238"/>
        <v>42.288000000000004</v>
      </c>
      <c r="T418" s="35">
        <f t="shared" si="219"/>
        <v>44150</v>
      </c>
      <c r="U418" s="27"/>
      <c r="V418" s="27"/>
      <c r="W418" s="58">
        <f t="shared" ref="W418:W423" si="239">IF(K418=TRUE,Q418/I418,Q418)</f>
        <v>35.24</v>
      </c>
      <c r="X418" s="31">
        <f t="shared" si="233"/>
        <v>0</v>
      </c>
      <c r="Y418" t="b">
        <f t="shared" si="234"/>
        <v>0</v>
      </c>
      <c r="Z418" s="78">
        <f t="shared" si="235"/>
        <v>-35.24</v>
      </c>
    </row>
    <row r="419" spans="1:26" x14ac:dyDescent="0.25">
      <c r="A419" s="53">
        <v>2020</v>
      </c>
      <c r="B419" s="53">
        <v>180</v>
      </c>
      <c r="C419" s="71" t="s">
        <v>708</v>
      </c>
      <c r="D419" t="s">
        <v>709</v>
      </c>
      <c r="E419" s="9">
        <v>12020028</v>
      </c>
      <c r="G419" s="1">
        <v>44097</v>
      </c>
      <c r="H419" t="s">
        <v>1388</v>
      </c>
      <c r="K419" t="b">
        <v>0</v>
      </c>
      <c r="L419" s="48">
        <v>175</v>
      </c>
      <c r="M419" s="72">
        <v>1</v>
      </c>
      <c r="N419">
        <v>20</v>
      </c>
      <c r="O419" s="31">
        <f t="shared" si="229"/>
        <v>35</v>
      </c>
      <c r="P419" s="31">
        <f t="shared" si="230"/>
        <v>35</v>
      </c>
      <c r="Q419" s="33">
        <f t="shared" si="231"/>
        <v>175</v>
      </c>
      <c r="R419" s="29">
        <f t="shared" si="232"/>
        <v>210</v>
      </c>
      <c r="S419" s="29">
        <f t="shared" si="238"/>
        <v>210</v>
      </c>
      <c r="T419" s="35">
        <f t="shared" si="219"/>
        <v>44150</v>
      </c>
      <c r="U419" s="27"/>
      <c r="V419" s="27"/>
      <c r="W419" s="58">
        <f t="shared" si="239"/>
        <v>175</v>
      </c>
      <c r="X419" s="31">
        <f t="shared" si="233"/>
        <v>0</v>
      </c>
      <c r="Y419" t="b">
        <f t="shared" si="234"/>
        <v>0</v>
      </c>
      <c r="Z419" s="78">
        <f t="shared" si="235"/>
        <v>175</v>
      </c>
    </row>
    <row r="420" spans="1:26" x14ac:dyDescent="0.25">
      <c r="A420" s="53">
        <v>2020</v>
      </c>
      <c r="B420" s="53">
        <v>181</v>
      </c>
      <c r="C420" s="71" t="s">
        <v>708</v>
      </c>
      <c r="D420" t="s">
        <v>709</v>
      </c>
      <c r="E420" s="9">
        <v>12020029</v>
      </c>
      <c r="G420" s="1">
        <v>44102</v>
      </c>
      <c r="H420" t="s">
        <v>1266</v>
      </c>
      <c r="K420" t="b">
        <f>(IF(AND(I420&lt;&gt;"",AND(J420="",ABS(Q420)&gt;400)),TRUE,FALSE))</f>
        <v>0</v>
      </c>
      <c r="L420" s="48">
        <f>360.6/1.2</f>
        <v>300.50000000000006</v>
      </c>
      <c r="M420" s="72">
        <v>1</v>
      </c>
      <c r="N420">
        <v>20</v>
      </c>
      <c r="O420" s="31">
        <f t="shared" si="229"/>
        <v>60.100000000000009</v>
      </c>
      <c r="P420" s="31">
        <f t="shared" si="230"/>
        <v>60.100000000000009</v>
      </c>
      <c r="Q420" s="33">
        <f t="shared" si="231"/>
        <v>300.50000000000006</v>
      </c>
      <c r="R420" s="29">
        <f t="shared" si="232"/>
        <v>360.60000000000008</v>
      </c>
      <c r="S420" s="29">
        <f t="shared" si="238"/>
        <v>360.60000000000008</v>
      </c>
      <c r="T420" s="35">
        <f t="shared" si="219"/>
        <v>44150</v>
      </c>
      <c r="U420" s="27"/>
      <c r="V420" s="27"/>
      <c r="W420" s="58">
        <f t="shared" si="239"/>
        <v>300.50000000000006</v>
      </c>
      <c r="X420" s="31">
        <f t="shared" si="233"/>
        <v>0</v>
      </c>
      <c r="Y420" t="b">
        <f t="shared" si="234"/>
        <v>0</v>
      </c>
      <c r="Z420" s="78">
        <f t="shared" si="235"/>
        <v>300.50000000000006</v>
      </c>
    </row>
    <row r="421" spans="1:26" x14ac:dyDescent="0.25">
      <c r="A421" s="53">
        <v>2020</v>
      </c>
      <c r="B421" s="53">
        <v>182</v>
      </c>
      <c r="C421" s="71" t="s">
        <v>708</v>
      </c>
      <c r="D421" t="s">
        <v>709</v>
      </c>
      <c r="E421" s="9">
        <v>12020030</v>
      </c>
      <c r="G421" s="1">
        <v>44102</v>
      </c>
      <c r="H421" t="s">
        <v>1266</v>
      </c>
      <c r="K421" t="b">
        <f>(IF(AND(I421&lt;&gt;"",AND(J421="",ABS(Q421)&gt;400)),TRUE,FALSE))</f>
        <v>0</v>
      </c>
      <c r="L421" s="48">
        <v>12510</v>
      </c>
      <c r="M421" s="72">
        <v>1</v>
      </c>
      <c r="N421">
        <v>20</v>
      </c>
      <c r="O421" s="31">
        <f t="shared" si="229"/>
        <v>2502</v>
      </c>
      <c r="P421" s="31">
        <f t="shared" si="230"/>
        <v>2502</v>
      </c>
      <c r="Q421" s="33">
        <f t="shared" si="231"/>
        <v>12510</v>
      </c>
      <c r="R421" s="29">
        <f t="shared" si="232"/>
        <v>15012</v>
      </c>
      <c r="S421" s="29">
        <f t="shared" si="238"/>
        <v>15012</v>
      </c>
      <c r="T421" s="35">
        <f t="shared" ref="T421:T452" si="240">voranmeldefrist_vierteljaehrlich(G421)</f>
        <v>44150</v>
      </c>
      <c r="U421" s="27"/>
      <c r="V421" s="27"/>
      <c r="W421" s="58">
        <f t="shared" si="239"/>
        <v>12510</v>
      </c>
      <c r="X421" s="31">
        <f t="shared" si="233"/>
        <v>0</v>
      </c>
      <c r="Y421" t="b">
        <f t="shared" si="234"/>
        <v>0</v>
      </c>
      <c r="Z421" s="78">
        <f t="shared" si="235"/>
        <v>12510</v>
      </c>
    </row>
    <row r="422" spans="1:26" x14ac:dyDescent="0.25">
      <c r="A422" s="53">
        <v>2020</v>
      </c>
      <c r="B422" s="53">
        <v>183</v>
      </c>
      <c r="C422" s="71" t="s">
        <v>708</v>
      </c>
      <c r="D422" t="s">
        <v>709</v>
      </c>
      <c r="E422" s="9">
        <v>12020033</v>
      </c>
      <c r="G422" s="1">
        <v>44102</v>
      </c>
      <c r="H422" t="s">
        <v>1038</v>
      </c>
      <c r="K422" t="b">
        <f>(IF(AND(I422&lt;&gt;"",AND(J422="",ABS(Q422)&gt;400)),TRUE,FALSE))</f>
        <v>0</v>
      </c>
      <c r="L422" s="48">
        <v>2185.98</v>
      </c>
      <c r="M422" s="72">
        <v>1</v>
      </c>
      <c r="N422">
        <v>20</v>
      </c>
      <c r="O422" s="31">
        <f t="shared" si="229"/>
        <v>437.19599999999997</v>
      </c>
      <c r="P422" s="31">
        <f t="shared" si="230"/>
        <v>437.19599999999997</v>
      </c>
      <c r="Q422" s="33">
        <f t="shared" si="231"/>
        <v>2185.98</v>
      </c>
      <c r="R422" s="29">
        <f t="shared" si="232"/>
        <v>2623.1759999999999</v>
      </c>
      <c r="S422" s="29">
        <f t="shared" si="238"/>
        <v>2623.1759999999999</v>
      </c>
      <c r="T422" s="35">
        <f t="shared" si="240"/>
        <v>44150</v>
      </c>
      <c r="U422" s="27"/>
      <c r="V422" s="27"/>
      <c r="W422" s="58">
        <f t="shared" si="239"/>
        <v>2185.98</v>
      </c>
      <c r="X422" s="31">
        <f t="shared" si="233"/>
        <v>0</v>
      </c>
      <c r="Y422" t="b">
        <f t="shared" si="234"/>
        <v>0</v>
      </c>
      <c r="Z422" s="78">
        <f t="shared" si="235"/>
        <v>2185.98</v>
      </c>
    </row>
    <row r="423" spans="1:26" x14ac:dyDescent="0.25">
      <c r="A423" s="53">
        <v>2020</v>
      </c>
      <c r="B423" s="53">
        <v>184</v>
      </c>
      <c r="C423" s="71" t="s">
        <v>105</v>
      </c>
      <c r="D423" t="s">
        <v>683</v>
      </c>
      <c r="E423" s="9" t="s">
        <v>1411</v>
      </c>
      <c r="G423" s="1">
        <v>44103</v>
      </c>
      <c r="H423" t="s">
        <v>1412</v>
      </c>
      <c r="K423" t="b">
        <f>(IF(AND(I423&lt;&gt;"",AND(J423="",ABS(Q423)&gt;400)),TRUE,FALSE))</f>
        <v>0</v>
      </c>
      <c r="L423" s="48">
        <v>56.38</v>
      </c>
      <c r="M423" s="72">
        <v>1</v>
      </c>
      <c r="N423">
        <v>0</v>
      </c>
      <c r="O423" s="31">
        <f t="shared" si="229"/>
        <v>0</v>
      </c>
      <c r="P423" s="31">
        <f t="shared" si="230"/>
        <v>0</v>
      </c>
      <c r="Q423" s="33">
        <f t="shared" si="231"/>
        <v>56.38</v>
      </c>
      <c r="R423" s="29">
        <f t="shared" si="232"/>
        <v>56.38</v>
      </c>
      <c r="S423" s="29">
        <f t="shared" si="238"/>
        <v>56.38</v>
      </c>
      <c r="T423" s="35">
        <f t="shared" si="240"/>
        <v>44150</v>
      </c>
      <c r="U423" s="27"/>
      <c r="V423" s="27"/>
      <c r="W423" s="58">
        <f t="shared" si="239"/>
        <v>56.38</v>
      </c>
      <c r="X423" s="31">
        <f t="shared" si="233"/>
        <v>0</v>
      </c>
      <c r="Y423" t="b">
        <f t="shared" si="234"/>
        <v>0</v>
      </c>
      <c r="Z423" s="78">
        <f t="shared" si="235"/>
        <v>-56.38</v>
      </c>
    </row>
    <row r="424" spans="1:26" x14ac:dyDescent="0.25">
      <c r="A424" s="53">
        <v>2020</v>
      </c>
      <c r="B424" s="53">
        <v>185</v>
      </c>
      <c r="C424" s="71" t="s">
        <v>105</v>
      </c>
      <c r="D424" t="s">
        <v>691</v>
      </c>
      <c r="E424" s="9" t="s">
        <v>1372</v>
      </c>
      <c r="G424" s="1">
        <v>44105</v>
      </c>
      <c r="H424" t="s">
        <v>1113</v>
      </c>
      <c r="K424" t="b">
        <v>0</v>
      </c>
      <c r="L424" s="48">
        <v>462.44</v>
      </c>
      <c r="M424" s="72">
        <v>1</v>
      </c>
      <c r="N424">
        <v>20</v>
      </c>
      <c r="O424" s="31">
        <f t="shared" si="229"/>
        <v>92.488</v>
      </c>
      <c r="P424" s="31">
        <f t="shared" si="230"/>
        <v>92.488</v>
      </c>
      <c r="Q424" s="33">
        <f t="shared" si="231"/>
        <v>462.44</v>
      </c>
      <c r="R424" s="29">
        <f t="shared" si="232"/>
        <v>554.928</v>
      </c>
      <c r="S424" s="29">
        <f t="shared" si="238"/>
        <v>554.928</v>
      </c>
      <c r="T424" s="35">
        <f t="shared" si="240"/>
        <v>44242</v>
      </c>
      <c r="U424" s="27"/>
      <c r="V424" s="27"/>
      <c r="W424" s="58">
        <f>IF(K424=TRUE,Q424/J424,Q424)</f>
        <v>462.44</v>
      </c>
      <c r="X424" s="31">
        <f t="shared" si="233"/>
        <v>0</v>
      </c>
      <c r="Y424" t="b">
        <f t="shared" si="234"/>
        <v>0</v>
      </c>
      <c r="Z424" s="78">
        <f t="shared" si="235"/>
        <v>-462.44</v>
      </c>
    </row>
    <row r="425" spans="1:26" x14ac:dyDescent="0.25">
      <c r="A425" s="53">
        <v>2020</v>
      </c>
      <c r="B425" s="53">
        <v>186</v>
      </c>
      <c r="C425" s="71" t="s">
        <v>105</v>
      </c>
      <c r="D425" t="s">
        <v>703</v>
      </c>
      <c r="E425" s="9" t="s">
        <v>1413</v>
      </c>
      <c r="G425" s="1">
        <v>44106</v>
      </c>
      <c r="H425" t="s">
        <v>34</v>
      </c>
      <c r="K425" t="b">
        <f>(IF(AND(I425&lt;&gt;"",AND(J425="",ABS(Q425)&gt;400)),TRUE,FALSE))</f>
        <v>0</v>
      </c>
      <c r="L425" s="48">
        <v>15</v>
      </c>
      <c r="M425" s="72">
        <v>1</v>
      </c>
      <c r="N425">
        <v>20</v>
      </c>
      <c r="O425" s="31">
        <f t="shared" si="229"/>
        <v>3</v>
      </c>
      <c r="P425" s="31">
        <f t="shared" si="230"/>
        <v>3</v>
      </c>
      <c r="Q425" s="33">
        <f t="shared" si="231"/>
        <v>15</v>
      </c>
      <c r="R425" s="29">
        <f t="shared" si="232"/>
        <v>18</v>
      </c>
      <c r="S425" s="29">
        <f t="shared" si="238"/>
        <v>18</v>
      </c>
      <c r="T425" s="35">
        <f t="shared" si="240"/>
        <v>44242</v>
      </c>
      <c r="U425" s="27"/>
      <c r="V425" s="27"/>
      <c r="W425" s="58">
        <f>IF(K425=TRUE,Q425/I425,Q425)</f>
        <v>15</v>
      </c>
      <c r="X425" s="31">
        <f t="shared" si="233"/>
        <v>0</v>
      </c>
      <c r="Y425" t="b">
        <f t="shared" si="234"/>
        <v>0</v>
      </c>
      <c r="Z425" s="78">
        <f t="shared" si="235"/>
        <v>-15</v>
      </c>
    </row>
    <row r="426" spans="1:26" x14ac:dyDescent="0.25">
      <c r="A426" s="53">
        <v>2020</v>
      </c>
      <c r="B426" s="53">
        <v>187</v>
      </c>
      <c r="C426" s="71" t="s">
        <v>105</v>
      </c>
      <c r="D426" t="s">
        <v>689</v>
      </c>
      <c r="E426" s="131" t="s">
        <v>1414</v>
      </c>
      <c r="G426" s="1">
        <v>44106</v>
      </c>
      <c r="H426" t="s">
        <v>974</v>
      </c>
      <c r="K426" t="b">
        <v>0</v>
      </c>
      <c r="L426" s="48">
        <v>51.8</v>
      </c>
      <c r="M426" s="72">
        <v>1</v>
      </c>
      <c r="N426">
        <v>20</v>
      </c>
      <c r="O426" s="31">
        <f t="shared" si="229"/>
        <v>10.36</v>
      </c>
      <c r="P426" s="31">
        <f t="shared" si="230"/>
        <v>10.36</v>
      </c>
      <c r="Q426" s="33">
        <f t="shared" si="231"/>
        <v>51.8</v>
      </c>
      <c r="R426" s="29">
        <f t="shared" si="232"/>
        <v>62.16</v>
      </c>
      <c r="S426" s="29">
        <f t="shared" si="238"/>
        <v>62.16</v>
      </c>
      <c r="T426" s="35">
        <f t="shared" si="240"/>
        <v>44242</v>
      </c>
      <c r="U426" s="27"/>
      <c r="V426" s="27"/>
      <c r="W426" s="58">
        <f>IF(K426=TRUE,Q426/J426,Q426)</f>
        <v>51.8</v>
      </c>
      <c r="X426" s="31">
        <f t="shared" si="233"/>
        <v>0</v>
      </c>
      <c r="Y426" t="b">
        <f t="shared" si="234"/>
        <v>0</v>
      </c>
      <c r="Z426" s="78">
        <f t="shared" si="235"/>
        <v>-51.8</v>
      </c>
    </row>
    <row r="427" spans="1:26" x14ac:dyDescent="0.25">
      <c r="A427" s="53">
        <v>2020</v>
      </c>
      <c r="B427" s="53">
        <v>188</v>
      </c>
      <c r="C427" s="71" t="s">
        <v>105</v>
      </c>
      <c r="D427" t="s">
        <v>703</v>
      </c>
      <c r="E427" s="131" t="s">
        <v>1415</v>
      </c>
      <c r="F427" s="1">
        <v>43962</v>
      </c>
      <c r="G427" s="1">
        <v>44064</v>
      </c>
      <c r="H427" t="s">
        <v>1148</v>
      </c>
      <c r="K427" t="b">
        <f>(IF(AND(I427&lt;&gt;"",AND(J427="",ABS(Q427)&gt;400)),TRUE,FALSE))</f>
        <v>0</v>
      </c>
      <c r="L427" s="48">
        <v>35.24</v>
      </c>
      <c r="M427" s="72">
        <v>1</v>
      </c>
      <c r="N427">
        <v>20</v>
      </c>
      <c r="O427" s="31">
        <f t="shared" si="229"/>
        <v>7.0480000000000009</v>
      </c>
      <c r="P427" s="31">
        <f t="shared" si="230"/>
        <v>7.0480000000000009</v>
      </c>
      <c r="Q427" s="33">
        <f t="shared" si="231"/>
        <v>35.24</v>
      </c>
      <c r="R427" s="29">
        <f t="shared" si="232"/>
        <v>42.288000000000004</v>
      </c>
      <c r="S427" s="29">
        <f t="shared" si="238"/>
        <v>42.288000000000004</v>
      </c>
      <c r="T427" s="35">
        <f t="shared" si="240"/>
        <v>44150</v>
      </c>
      <c r="U427" s="27"/>
      <c r="V427" s="27"/>
      <c r="W427" s="58">
        <f>IF(K427=TRUE,Q427/I427,Q427)</f>
        <v>35.24</v>
      </c>
      <c r="X427" s="31">
        <f t="shared" si="233"/>
        <v>0</v>
      </c>
      <c r="Y427" t="b">
        <f t="shared" si="234"/>
        <v>0</v>
      </c>
      <c r="Z427" s="78">
        <f t="shared" si="235"/>
        <v>-35.24</v>
      </c>
    </row>
    <row r="428" spans="1:26" x14ac:dyDescent="0.25">
      <c r="A428" s="53">
        <v>2020</v>
      </c>
      <c r="B428" s="53">
        <v>189</v>
      </c>
      <c r="C428" s="71" t="s">
        <v>105</v>
      </c>
      <c r="D428" t="s">
        <v>705</v>
      </c>
      <c r="E428" s="9" t="s">
        <v>1405</v>
      </c>
      <c r="G428" s="1">
        <v>44109</v>
      </c>
      <c r="H428" t="s">
        <v>1404</v>
      </c>
      <c r="K428" t="b">
        <v>0</v>
      </c>
      <c r="L428" s="48">
        <v>9.36</v>
      </c>
      <c r="M428" s="72">
        <v>1</v>
      </c>
      <c r="N428">
        <v>0</v>
      </c>
      <c r="O428" s="31">
        <f t="shared" si="229"/>
        <v>0</v>
      </c>
      <c r="P428" s="31">
        <f t="shared" si="230"/>
        <v>0</v>
      </c>
      <c r="Q428" s="33">
        <f t="shared" si="231"/>
        <v>9.36</v>
      </c>
      <c r="R428" s="29">
        <f t="shared" si="232"/>
        <v>9.36</v>
      </c>
      <c r="S428" s="29">
        <f t="shared" si="238"/>
        <v>9.36</v>
      </c>
      <c r="T428" s="35">
        <f t="shared" si="240"/>
        <v>44242</v>
      </c>
      <c r="U428" s="27"/>
      <c r="V428" s="27">
        <v>20</v>
      </c>
      <c r="W428" s="58">
        <f>IF(K428=TRUE,Q428/I428,Q428)</f>
        <v>9.36</v>
      </c>
      <c r="X428" s="31">
        <f t="shared" si="233"/>
        <v>1.8719999999999999</v>
      </c>
      <c r="Y428" t="b">
        <f t="shared" si="234"/>
        <v>0</v>
      </c>
      <c r="Z428" s="78">
        <f t="shared" si="235"/>
        <v>-9.36</v>
      </c>
    </row>
    <row r="429" spans="1:26" x14ac:dyDescent="0.25">
      <c r="A429" s="53">
        <v>2020</v>
      </c>
      <c r="B429" s="53">
        <v>190</v>
      </c>
      <c r="C429" s="71" t="s">
        <v>105</v>
      </c>
      <c r="D429" t="s">
        <v>705</v>
      </c>
      <c r="E429" s="9" t="s">
        <v>1225</v>
      </c>
      <c r="G429" s="1">
        <v>44109</v>
      </c>
      <c r="H429" t="s">
        <v>1364</v>
      </c>
      <c r="K429" t="b">
        <f t="shared" ref="K429:K436" si="241">(IF(AND(I429&lt;&gt;"",AND(J429="",ABS(Q429)&gt;400)),TRUE,FALSE))</f>
        <v>0</v>
      </c>
      <c r="L429" s="48">
        <v>2.5</v>
      </c>
      <c r="M429" s="72">
        <v>1</v>
      </c>
      <c r="N429">
        <v>20</v>
      </c>
      <c r="O429" s="31">
        <f t="shared" si="229"/>
        <v>0.5</v>
      </c>
      <c r="P429" s="31">
        <f t="shared" si="230"/>
        <v>0.5</v>
      </c>
      <c r="Q429" s="33">
        <f t="shared" si="231"/>
        <v>2.5</v>
      </c>
      <c r="R429" s="29">
        <f t="shared" si="232"/>
        <v>3</v>
      </c>
      <c r="S429" s="29">
        <v>3</v>
      </c>
      <c r="T429" s="35">
        <f t="shared" si="240"/>
        <v>44242</v>
      </c>
      <c r="U429" s="27"/>
      <c r="V429" s="27"/>
      <c r="W429" s="58">
        <f>IF(K429=TRUE,Q429/J429,Q429)</f>
        <v>2.5</v>
      </c>
      <c r="X429" s="31">
        <f t="shared" si="233"/>
        <v>0</v>
      </c>
      <c r="Y429" t="b">
        <f t="shared" si="234"/>
        <v>0</v>
      </c>
      <c r="Z429" s="78">
        <f t="shared" si="235"/>
        <v>-2.5</v>
      </c>
    </row>
    <row r="430" spans="1:26" x14ac:dyDescent="0.25">
      <c r="A430" s="53">
        <v>2020</v>
      </c>
      <c r="B430" s="53">
        <v>191</v>
      </c>
      <c r="C430" s="71" t="s">
        <v>105</v>
      </c>
      <c r="D430" t="s">
        <v>705</v>
      </c>
      <c r="E430" s="9" t="s">
        <v>1397</v>
      </c>
      <c r="G430" s="1">
        <v>44110</v>
      </c>
      <c r="H430" t="s">
        <v>1128</v>
      </c>
      <c r="K430" t="b">
        <f t="shared" si="241"/>
        <v>0</v>
      </c>
      <c r="L430" s="48">
        <v>35</v>
      </c>
      <c r="M430" s="72">
        <v>1</v>
      </c>
      <c r="N430">
        <v>20</v>
      </c>
      <c r="O430" s="31">
        <f t="shared" si="229"/>
        <v>7</v>
      </c>
      <c r="P430" s="31">
        <f t="shared" si="230"/>
        <v>7</v>
      </c>
      <c r="Q430" s="33">
        <f t="shared" si="231"/>
        <v>35</v>
      </c>
      <c r="R430" s="29">
        <f t="shared" si="232"/>
        <v>42</v>
      </c>
      <c r="S430" s="29">
        <f>Q430+P430</f>
        <v>42</v>
      </c>
      <c r="T430" s="35">
        <f t="shared" si="240"/>
        <v>44242</v>
      </c>
      <c r="U430" s="27"/>
      <c r="V430" s="27"/>
      <c r="W430" s="58">
        <f>IF(K430=TRUE,Q430/I430,Q430)</f>
        <v>35</v>
      </c>
      <c r="X430" s="31">
        <f t="shared" si="233"/>
        <v>0</v>
      </c>
      <c r="Y430" t="b">
        <f t="shared" si="234"/>
        <v>0</v>
      </c>
      <c r="Z430" s="78">
        <f t="shared" si="235"/>
        <v>-35</v>
      </c>
    </row>
    <row r="431" spans="1:26" x14ac:dyDescent="0.25">
      <c r="A431" s="53">
        <v>2020</v>
      </c>
      <c r="B431" s="53">
        <v>192</v>
      </c>
      <c r="C431" s="71" t="s">
        <v>105</v>
      </c>
      <c r="D431" t="s">
        <v>705</v>
      </c>
      <c r="E431" s="9" t="s">
        <v>1417</v>
      </c>
      <c r="G431" s="1">
        <v>44111</v>
      </c>
      <c r="H431" t="s">
        <v>927</v>
      </c>
      <c r="K431" t="b">
        <f t="shared" si="241"/>
        <v>0</v>
      </c>
      <c r="L431" s="48">
        <v>2.4900000000000002</v>
      </c>
      <c r="M431" s="72">
        <v>1</v>
      </c>
      <c r="N431">
        <v>0</v>
      </c>
      <c r="O431" s="31">
        <f t="shared" si="229"/>
        <v>0</v>
      </c>
      <c r="P431" s="31">
        <f t="shared" si="230"/>
        <v>0</v>
      </c>
      <c r="Q431" s="33">
        <f t="shared" si="231"/>
        <v>2.4900000000000002</v>
      </c>
      <c r="R431" s="29">
        <f t="shared" si="232"/>
        <v>2.4900000000000002</v>
      </c>
      <c r="S431" s="29">
        <f>Q431+P431</f>
        <v>2.4900000000000002</v>
      </c>
      <c r="T431" s="35">
        <f t="shared" si="240"/>
        <v>44242</v>
      </c>
      <c r="U431" s="27"/>
      <c r="V431" s="27">
        <v>20</v>
      </c>
      <c r="W431" s="58">
        <f>IF(K431=TRUE,Q431/J431,Q431)</f>
        <v>2.4900000000000002</v>
      </c>
      <c r="X431" s="31">
        <f t="shared" si="233"/>
        <v>0.49800000000000005</v>
      </c>
      <c r="Y431" t="b">
        <f t="shared" si="234"/>
        <v>0</v>
      </c>
      <c r="Z431" s="78">
        <f t="shared" si="235"/>
        <v>-2.4900000000000002</v>
      </c>
    </row>
    <row r="432" spans="1:26" x14ac:dyDescent="0.25">
      <c r="A432" s="53">
        <v>2020</v>
      </c>
      <c r="B432" s="53">
        <v>193</v>
      </c>
      <c r="C432" s="71" t="s">
        <v>105</v>
      </c>
      <c r="D432" t="s">
        <v>705</v>
      </c>
      <c r="E432" s="9" t="s">
        <v>1222</v>
      </c>
      <c r="G432" s="1">
        <v>44116</v>
      </c>
      <c r="H432" t="s">
        <v>1223</v>
      </c>
      <c r="K432" t="b">
        <f t="shared" si="241"/>
        <v>0</v>
      </c>
      <c r="L432" s="109">
        <f>S432/1.2</f>
        <v>29</v>
      </c>
      <c r="M432" s="72">
        <v>1</v>
      </c>
      <c r="N432">
        <v>20</v>
      </c>
      <c r="O432" s="31">
        <f t="shared" si="229"/>
        <v>5.8</v>
      </c>
      <c r="P432" s="31">
        <f t="shared" si="230"/>
        <v>5.8</v>
      </c>
      <c r="Q432" s="33">
        <f t="shared" si="231"/>
        <v>29</v>
      </c>
      <c r="R432" s="29">
        <f t="shared" si="232"/>
        <v>34.799999999999997</v>
      </c>
      <c r="S432" s="29">
        <v>34.799999999999997</v>
      </c>
      <c r="T432" s="35">
        <f t="shared" si="240"/>
        <v>44242</v>
      </c>
      <c r="U432" s="27"/>
      <c r="V432" s="27"/>
      <c r="W432" s="58">
        <f>IF(K432=TRUE,Q432/J432,Q432)</f>
        <v>29</v>
      </c>
      <c r="X432" s="31">
        <f t="shared" si="233"/>
        <v>0</v>
      </c>
      <c r="Y432" t="b">
        <f t="shared" si="234"/>
        <v>0</v>
      </c>
      <c r="Z432" s="78">
        <f t="shared" si="235"/>
        <v>-29</v>
      </c>
    </row>
    <row r="433" spans="1:26" x14ac:dyDescent="0.25">
      <c r="A433" s="53">
        <v>2020</v>
      </c>
      <c r="B433" s="53">
        <v>194</v>
      </c>
      <c r="C433" s="71" t="s">
        <v>105</v>
      </c>
      <c r="D433" t="s">
        <v>705</v>
      </c>
      <c r="E433" s="9" t="s">
        <v>1418</v>
      </c>
      <c r="G433" s="1">
        <v>44117</v>
      </c>
      <c r="H433" t="s">
        <v>927</v>
      </c>
      <c r="K433" t="b">
        <f t="shared" si="241"/>
        <v>0</v>
      </c>
      <c r="L433" s="48">
        <v>46.92</v>
      </c>
      <c r="M433" s="72">
        <v>1</v>
      </c>
      <c r="N433">
        <v>0</v>
      </c>
      <c r="O433" s="31">
        <f t="shared" si="229"/>
        <v>0</v>
      </c>
      <c r="P433" s="31">
        <f t="shared" si="230"/>
        <v>0</v>
      </c>
      <c r="Q433" s="33">
        <f t="shared" ref="Q433:Q468" si="242">L433*M433</f>
        <v>46.92</v>
      </c>
      <c r="R433" s="29">
        <f t="shared" ref="R433:R468" si="243">L433+O433</f>
        <v>46.92</v>
      </c>
      <c r="S433" s="29">
        <f t="shared" ref="S433:S441" si="244">Q433+P433</f>
        <v>46.92</v>
      </c>
      <c r="T433" s="35">
        <f t="shared" si="240"/>
        <v>44242</v>
      </c>
      <c r="U433" s="27"/>
      <c r="V433" s="27">
        <v>20</v>
      </c>
      <c r="W433" s="58">
        <f>IF(K433=TRUE,Q433/J433,Q433)</f>
        <v>46.92</v>
      </c>
      <c r="X433" s="31">
        <f t="shared" ref="X433:X468" si="245">V433/100*S433</f>
        <v>9.3840000000000003</v>
      </c>
      <c r="Y433" t="b">
        <f t="shared" ref="Y433:Y468" si="246">IF(AND(V433&gt;0,N433=V433),TRUE,FALSE)</f>
        <v>0</v>
      </c>
      <c r="Z433" s="78">
        <f t="shared" ref="Z433:Z468" si="247">IF(C433="Einnahmen",Q433,-Q433)</f>
        <v>-46.92</v>
      </c>
    </row>
    <row r="434" spans="1:26" x14ac:dyDescent="0.25">
      <c r="A434" s="53">
        <v>2020</v>
      </c>
      <c r="B434" s="53">
        <v>195</v>
      </c>
      <c r="C434" s="71" t="s">
        <v>105</v>
      </c>
      <c r="D434" t="s">
        <v>683</v>
      </c>
      <c r="E434" s="9" t="s">
        <v>1419</v>
      </c>
      <c r="G434" s="1">
        <v>44120</v>
      </c>
      <c r="H434" t="s">
        <v>981</v>
      </c>
      <c r="K434" t="b">
        <f t="shared" si="241"/>
        <v>0</v>
      </c>
      <c r="L434" s="48">
        <v>16.14</v>
      </c>
      <c r="M434" s="72">
        <v>1</v>
      </c>
      <c r="N434">
        <v>20</v>
      </c>
      <c r="O434" s="31">
        <f t="shared" si="229"/>
        <v>3.2280000000000002</v>
      </c>
      <c r="P434" s="31">
        <f t="shared" si="230"/>
        <v>3.2280000000000002</v>
      </c>
      <c r="Q434" s="33">
        <f t="shared" si="242"/>
        <v>16.14</v>
      </c>
      <c r="R434" s="29">
        <f t="shared" si="243"/>
        <v>19.368000000000002</v>
      </c>
      <c r="S434" s="29">
        <f t="shared" si="244"/>
        <v>19.368000000000002</v>
      </c>
      <c r="T434" s="35">
        <f t="shared" si="240"/>
        <v>44242</v>
      </c>
      <c r="U434" s="27"/>
      <c r="V434" s="27"/>
      <c r="W434" s="58">
        <f>IF(K434=TRUE,Q434/I434,Q434)</f>
        <v>16.14</v>
      </c>
      <c r="X434" s="31">
        <f t="shared" si="245"/>
        <v>0</v>
      </c>
      <c r="Y434" t="b">
        <f t="shared" si="246"/>
        <v>0</v>
      </c>
      <c r="Z434" s="78">
        <f t="shared" si="247"/>
        <v>-16.14</v>
      </c>
    </row>
    <row r="435" spans="1:26" x14ac:dyDescent="0.25">
      <c r="A435" s="53">
        <v>2020</v>
      </c>
      <c r="B435" s="53">
        <v>196</v>
      </c>
      <c r="C435" s="71" t="s">
        <v>105</v>
      </c>
      <c r="D435" t="s">
        <v>703</v>
      </c>
      <c r="E435" s="131" t="s">
        <v>1421</v>
      </c>
      <c r="F435" s="1">
        <v>43962</v>
      </c>
      <c r="G435" s="1">
        <v>44125</v>
      </c>
      <c r="H435" t="s">
        <v>1148</v>
      </c>
      <c r="K435" t="b">
        <f t="shared" si="241"/>
        <v>0</v>
      </c>
      <c r="L435" s="48">
        <v>35.24</v>
      </c>
      <c r="M435" s="72">
        <v>1</v>
      </c>
      <c r="N435">
        <v>20</v>
      </c>
      <c r="O435" s="31">
        <f t="shared" si="229"/>
        <v>7.0480000000000009</v>
      </c>
      <c r="P435" s="31">
        <f t="shared" si="230"/>
        <v>7.0480000000000009</v>
      </c>
      <c r="Q435" s="33">
        <f t="shared" si="242"/>
        <v>35.24</v>
      </c>
      <c r="R435" s="29">
        <f t="shared" si="243"/>
        <v>42.288000000000004</v>
      </c>
      <c r="S435" s="29">
        <f t="shared" si="244"/>
        <v>42.288000000000004</v>
      </c>
      <c r="T435" s="35">
        <f t="shared" si="240"/>
        <v>44242</v>
      </c>
      <c r="U435" s="27"/>
      <c r="V435" s="27"/>
      <c r="W435" s="58">
        <f>IF(K435=TRUE,Q435/I435,Q435)</f>
        <v>35.24</v>
      </c>
      <c r="X435" s="31">
        <f t="shared" si="245"/>
        <v>0</v>
      </c>
      <c r="Y435" t="b">
        <f t="shared" si="246"/>
        <v>0</v>
      </c>
      <c r="Z435" s="78">
        <f t="shared" si="247"/>
        <v>-35.24</v>
      </c>
    </row>
    <row r="436" spans="1:26" x14ac:dyDescent="0.25">
      <c r="A436" s="53">
        <v>2020</v>
      </c>
      <c r="B436" s="53">
        <v>197</v>
      </c>
      <c r="C436" s="71" t="s">
        <v>105</v>
      </c>
      <c r="D436" t="s">
        <v>705</v>
      </c>
      <c r="E436" s="9" t="s">
        <v>1419</v>
      </c>
      <c r="G436" s="1">
        <v>44120</v>
      </c>
      <c r="H436" t="s">
        <v>1422</v>
      </c>
      <c r="K436" t="b">
        <f t="shared" si="241"/>
        <v>0</v>
      </c>
      <c r="L436" s="48">
        <v>16.14</v>
      </c>
      <c r="M436" s="72">
        <v>1</v>
      </c>
      <c r="N436">
        <v>0</v>
      </c>
      <c r="O436" s="31">
        <f t="shared" si="229"/>
        <v>0</v>
      </c>
      <c r="P436" s="31">
        <f t="shared" si="230"/>
        <v>0</v>
      </c>
      <c r="Q436" s="33">
        <f t="shared" si="242"/>
        <v>16.14</v>
      </c>
      <c r="R436" s="29">
        <f t="shared" si="243"/>
        <v>16.14</v>
      </c>
      <c r="S436" s="29">
        <f t="shared" si="244"/>
        <v>16.14</v>
      </c>
      <c r="T436" s="35">
        <f t="shared" si="240"/>
        <v>44242</v>
      </c>
      <c r="U436" s="27"/>
      <c r="V436" s="27">
        <v>20</v>
      </c>
      <c r="W436" s="58">
        <f>IF(K436=TRUE,Q436/J436,Q436)</f>
        <v>16.14</v>
      </c>
      <c r="X436" s="31">
        <f t="shared" si="245"/>
        <v>3.2280000000000002</v>
      </c>
      <c r="Y436" t="b">
        <f t="shared" si="246"/>
        <v>0</v>
      </c>
      <c r="Z436" s="78">
        <f t="shared" si="247"/>
        <v>-16.14</v>
      </c>
    </row>
    <row r="437" spans="1:26" x14ac:dyDescent="0.25">
      <c r="A437" s="53">
        <v>2020</v>
      </c>
      <c r="B437" s="53">
        <v>198</v>
      </c>
      <c r="C437" s="71" t="s">
        <v>105</v>
      </c>
      <c r="D437" t="s">
        <v>705</v>
      </c>
      <c r="E437" s="131" t="s">
        <v>1424</v>
      </c>
      <c r="G437" s="1">
        <v>44131</v>
      </c>
      <c r="H437" t="s">
        <v>1021</v>
      </c>
      <c r="K437" t="b">
        <v>0</v>
      </c>
      <c r="L437" s="48">
        <v>65</v>
      </c>
      <c r="M437" s="72">
        <v>1</v>
      </c>
      <c r="N437">
        <v>0</v>
      </c>
      <c r="O437" s="31">
        <f t="shared" si="229"/>
        <v>0</v>
      </c>
      <c r="P437" s="31">
        <f t="shared" si="230"/>
        <v>0</v>
      </c>
      <c r="Q437" s="33">
        <f t="shared" si="242"/>
        <v>65</v>
      </c>
      <c r="R437" s="29">
        <f t="shared" si="243"/>
        <v>65</v>
      </c>
      <c r="S437" s="29">
        <f t="shared" si="244"/>
        <v>65</v>
      </c>
      <c r="T437" s="35">
        <f t="shared" si="240"/>
        <v>44242</v>
      </c>
      <c r="U437" s="27"/>
      <c r="V437" s="27"/>
      <c r="W437" s="58">
        <f>IF(K437=TRUE,Q437/I437,Q437)</f>
        <v>65</v>
      </c>
      <c r="X437" s="31">
        <f t="shared" si="245"/>
        <v>0</v>
      </c>
      <c r="Y437" t="b">
        <f t="shared" si="246"/>
        <v>0</v>
      </c>
      <c r="Z437" s="78">
        <f t="shared" si="247"/>
        <v>-65</v>
      </c>
    </row>
    <row r="438" spans="1:26" x14ac:dyDescent="0.25">
      <c r="A438" s="53">
        <v>2020</v>
      </c>
      <c r="B438" s="53">
        <v>199</v>
      </c>
      <c r="C438" s="71" t="s">
        <v>105</v>
      </c>
      <c r="D438" t="s">
        <v>705</v>
      </c>
      <c r="E438" s="131" t="s">
        <v>1425</v>
      </c>
      <c r="G438" s="1">
        <v>44133</v>
      </c>
      <c r="H438" t="s">
        <v>1404</v>
      </c>
      <c r="K438" t="b">
        <v>0</v>
      </c>
      <c r="L438" s="48">
        <v>9.36</v>
      </c>
      <c r="M438" s="72">
        <v>1</v>
      </c>
      <c r="N438">
        <v>0</v>
      </c>
      <c r="O438" s="31">
        <f t="shared" si="229"/>
        <v>0</v>
      </c>
      <c r="P438" s="31">
        <f t="shared" si="230"/>
        <v>0</v>
      </c>
      <c r="Q438" s="33">
        <f t="shared" si="242"/>
        <v>9.36</v>
      </c>
      <c r="R438" s="29">
        <f t="shared" si="243"/>
        <v>9.36</v>
      </c>
      <c r="S438" s="29">
        <f t="shared" si="244"/>
        <v>9.36</v>
      </c>
      <c r="T438" s="35">
        <f t="shared" si="240"/>
        <v>44242</v>
      </c>
      <c r="U438" s="27"/>
      <c r="V438" s="27">
        <v>20</v>
      </c>
      <c r="W438" s="58">
        <f>IF(K438=TRUE,Q438/I438,Q438)</f>
        <v>9.36</v>
      </c>
      <c r="X438" s="31">
        <f t="shared" si="245"/>
        <v>1.8719999999999999</v>
      </c>
      <c r="Y438" t="b">
        <f t="shared" si="246"/>
        <v>0</v>
      </c>
      <c r="Z438" s="78">
        <f t="shared" si="247"/>
        <v>-9.36</v>
      </c>
    </row>
    <row r="439" spans="1:26" x14ac:dyDescent="0.25">
      <c r="A439" s="53">
        <v>2020</v>
      </c>
      <c r="B439" s="53">
        <v>200</v>
      </c>
      <c r="C439" s="71" t="s">
        <v>105</v>
      </c>
      <c r="D439" t="s">
        <v>691</v>
      </c>
      <c r="E439" s="9" t="s">
        <v>1372</v>
      </c>
      <c r="G439" s="1">
        <v>44137</v>
      </c>
      <c r="H439" t="s">
        <v>1113</v>
      </c>
      <c r="K439" t="b">
        <v>0</v>
      </c>
      <c r="L439" s="48">
        <v>462.44</v>
      </c>
      <c r="M439" s="72">
        <v>1</v>
      </c>
      <c r="N439">
        <v>20</v>
      </c>
      <c r="O439" s="31">
        <f t="shared" si="229"/>
        <v>92.488</v>
      </c>
      <c r="P439" s="31">
        <f t="shared" si="230"/>
        <v>92.488</v>
      </c>
      <c r="Q439" s="33">
        <f t="shared" si="242"/>
        <v>462.44</v>
      </c>
      <c r="R439" s="29">
        <f t="shared" si="243"/>
        <v>554.928</v>
      </c>
      <c r="S439" s="29">
        <f t="shared" si="244"/>
        <v>554.928</v>
      </c>
      <c r="T439" s="35">
        <f t="shared" si="240"/>
        <v>44242</v>
      </c>
      <c r="U439" s="27"/>
      <c r="V439" s="27"/>
      <c r="W439" s="58">
        <f>IF(K439=TRUE,Q439/J439,Q439)</f>
        <v>462.44</v>
      </c>
      <c r="X439" s="31">
        <f t="shared" si="245"/>
        <v>0</v>
      </c>
      <c r="Y439" t="b">
        <f t="shared" si="246"/>
        <v>0</v>
      </c>
      <c r="Z439" s="78">
        <f t="shared" si="247"/>
        <v>-462.44</v>
      </c>
    </row>
    <row r="440" spans="1:26" x14ac:dyDescent="0.25">
      <c r="A440" s="53">
        <v>2020</v>
      </c>
      <c r="B440" s="53">
        <v>201</v>
      </c>
      <c r="C440" s="71" t="s">
        <v>105</v>
      </c>
      <c r="D440" t="s">
        <v>689</v>
      </c>
      <c r="E440" s="131" t="s">
        <v>1423</v>
      </c>
      <c r="G440" s="1">
        <v>44137</v>
      </c>
      <c r="H440" t="s">
        <v>974</v>
      </c>
      <c r="K440" t="b">
        <v>0</v>
      </c>
      <c r="L440" s="48">
        <v>77.569999999999993</v>
      </c>
      <c r="M440" s="72">
        <v>1</v>
      </c>
      <c r="N440">
        <v>20</v>
      </c>
      <c r="O440" s="31">
        <v>15.54</v>
      </c>
      <c r="P440" s="31">
        <v>15.54</v>
      </c>
      <c r="Q440" s="33">
        <f t="shared" si="242"/>
        <v>77.569999999999993</v>
      </c>
      <c r="R440" s="29">
        <f t="shared" si="243"/>
        <v>93.109999999999985</v>
      </c>
      <c r="S440" s="29">
        <f t="shared" si="244"/>
        <v>93.109999999999985</v>
      </c>
      <c r="T440" s="35">
        <f t="shared" si="240"/>
        <v>44242</v>
      </c>
      <c r="U440" s="27"/>
      <c r="V440" s="27"/>
      <c r="W440" s="58">
        <f>IF(K440=TRUE,Q440/J440,Q440)</f>
        <v>77.569999999999993</v>
      </c>
      <c r="X440" s="31">
        <f t="shared" si="245"/>
        <v>0</v>
      </c>
      <c r="Y440" t="b">
        <f t="shared" si="246"/>
        <v>0</v>
      </c>
      <c r="Z440" s="78">
        <f t="shared" si="247"/>
        <v>-77.569999999999993</v>
      </c>
    </row>
    <row r="441" spans="1:26" x14ac:dyDescent="0.25">
      <c r="A441" s="53">
        <v>2020</v>
      </c>
      <c r="B441" s="53">
        <v>202</v>
      </c>
      <c r="C441" s="71" t="s">
        <v>105</v>
      </c>
      <c r="D441" t="s">
        <v>703</v>
      </c>
      <c r="E441" s="9">
        <v>6212001185</v>
      </c>
      <c r="G441" s="1">
        <v>44138</v>
      </c>
      <c r="H441" t="s">
        <v>34</v>
      </c>
      <c r="K441" t="b">
        <f t="shared" ref="K441:K449" si="248">(IF(AND(I441&lt;&gt;"",AND(J441="",ABS(Q441)&gt;400)),TRUE,FALSE))</f>
        <v>0</v>
      </c>
      <c r="L441" s="48">
        <v>15</v>
      </c>
      <c r="M441" s="72">
        <v>1</v>
      </c>
      <c r="N441">
        <v>20</v>
      </c>
      <c r="O441" s="31">
        <f t="shared" ref="O441:O457" si="249">L441*N441/100</f>
        <v>3</v>
      </c>
      <c r="P441" s="31">
        <f t="shared" ref="P441:P457" si="250">M441*O441</f>
        <v>3</v>
      </c>
      <c r="Q441" s="33">
        <f t="shared" si="242"/>
        <v>15</v>
      </c>
      <c r="R441" s="29">
        <f t="shared" si="243"/>
        <v>18</v>
      </c>
      <c r="S441" s="29">
        <f t="shared" si="244"/>
        <v>18</v>
      </c>
      <c r="T441" s="35">
        <f t="shared" si="240"/>
        <v>44242</v>
      </c>
      <c r="U441" s="27"/>
      <c r="V441" s="27"/>
      <c r="W441" s="58">
        <f>IF(K441=TRUE,Q441/I441,Q441)</f>
        <v>15</v>
      </c>
      <c r="X441" s="31">
        <f t="shared" si="245"/>
        <v>0</v>
      </c>
      <c r="Y441" t="b">
        <f t="shared" si="246"/>
        <v>0</v>
      </c>
      <c r="Z441" s="78">
        <f t="shared" si="247"/>
        <v>-15</v>
      </c>
    </row>
    <row r="442" spans="1:26" x14ac:dyDescent="0.25">
      <c r="A442" s="53">
        <v>2020</v>
      </c>
      <c r="B442" s="53">
        <v>203</v>
      </c>
      <c r="C442" s="71" t="s">
        <v>105</v>
      </c>
      <c r="D442" t="s">
        <v>705</v>
      </c>
      <c r="E442" s="9" t="s">
        <v>1225</v>
      </c>
      <c r="G442" s="1">
        <v>44139</v>
      </c>
      <c r="H442" t="s">
        <v>1364</v>
      </c>
      <c r="K442" t="b">
        <f t="shared" si="248"/>
        <v>0</v>
      </c>
      <c r="L442" s="48">
        <v>2.5</v>
      </c>
      <c r="M442" s="72">
        <v>1</v>
      </c>
      <c r="N442">
        <v>20</v>
      </c>
      <c r="O442" s="31">
        <f t="shared" si="249"/>
        <v>0.5</v>
      </c>
      <c r="P442" s="31">
        <f t="shared" si="250"/>
        <v>0.5</v>
      </c>
      <c r="Q442" s="33">
        <f t="shared" si="242"/>
        <v>2.5</v>
      </c>
      <c r="R442" s="29">
        <f t="shared" si="243"/>
        <v>3</v>
      </c>
      <c r="S442" s="29">
        <v>3</v>
      </c>
      <c r="T442" s="35">
        <f t="shared" si="240"/>
        <v>44242</v>
      </c>
      <c r="U442" s="27"/>
      <c r="V442" s="27"/>
      <c r="W442" s="58">
        <f>IF(K442=TRUE,Q442/J442,Q442)</f>
        <v>2.5</v>
      </c>
      <c r="X442" s="31">
        <f t="shared" si="245"/>
        <v>0</v>
      </c>
      <c r="Y442" t="b">
        <f t="shared" si="246"/>
        <v>0</v>
      </c>
      <c r="Z442" s="78">
        <f t="shared" si="247"/>
        <v>-2.5</v>
      </c>
    </row>
    <row r="443" spans="1:26" x14ac:dyDescent="0.25">
      <c r="A443" s="53">
        <v>2020</v>
      </c>
      <c r="B443" s="53">
        <v>204</v>
      </c>
      <c r="C443" s="71" t="s">
        <v>105</v>
      </c>
      <c r="D443" t="s">
        <v>705</v>
      </c>
      <c r="E443" s="9" t="s">
        <v>1397</v>
      </c>
      <c r="G443" s="1">
        <v>44140</v>
      </c>
      <c r="H443" t="s">
        <v>1128</v>
      </c>
      <c r="K443" t="b">
        <f t="shared" si="248"/>
        <v>0</v>
      </c>
      <c r="L443" s="48">
        <v>35</v>
      </c>
      <c r="M443" s="72">
        <v>1</v>
      </c>
      <c r="N443">
        <v>20</v>
      </c>
      <c r="O443" s="31">
        <f t="shared" si="249"/>
        <v>7</v>
      </c>
      <c r="P443" s="31">
        <f t="shared" si="250"/>
        <v>7</v>
      </c>
      <c r="Q443" s="33">
        <f t="shared" si="242"/>
        <v>35</v>
      </c>
      <c r="R443" s="29">
        <f t="shared" si="243"/>
        <v>42</v>
      </c>
      <c r="S443" s="29">
        <f>Q443+P443</f>
        <v>42</v>
      </c>
      <c r="T443" s="35">
        <f t="shared" si="240"/>
        <v>44242</v>
      </c>
      <c r="U443" s="27"/>
      <c r="V443" s="27"/>
      <c r="W443" s="58">
        <f>IF(K443=TRUE,Q443/I443,Q443)</f>
        <v>35</v>
      </c>
      <c r="X443" s="31">
        <f t="shared" si="245"/>
        <v>0</v>
      </c>
      <c r="Y443" t="b">
        <f t="shared" si="246"/>
        <v>0</v>
      </c>
      <c r="Z443" s="78">
        <f t="shared" si="247"/>
        <v>-35</v>
      </c>
    </row>
    <row r="444" spans="1:26" x14ac:dyDescent="0.25">
      <c r="A444" s="53">
        <v>2020</v>
      </c>
      <c r="B444" s="53">
        <v>205</v>
      </c>
      <c r="C444" s="71" t="s">
        <v>105</v>
      </c>
      <c r="D444" t="s">
        <v>705</v>
      </c>
      <c r="E444" s="9" t="s">
        <v>1426</v>
      </c>
      <c r="G444" s="1">
        <v>44141</v>
      </c>
      <c r="H444" t="s">
        <v>927</v>
      </c>
      <c r="K444" t="b">
        <f t="shared" si="248"/>
        <v>0</v>
      </c>
      <c r="L444" s="48">
        <v>2.4900000000000002</v>
      </c>
      <c r="M444" s="72">
        <v>1</v>
      </c>
      <c r="N444">
        <v>0</v>
      </c>
      <c r="O444" s="31">
        <f t="shared" si="249"/>
        <v>0</v>
      </c>
      <c r="P444" s="31">
        <f t="shared" si="250"/>
        <v>0</v>
      </c>
      <c r="Q444" s="33">
        <f t="shared" si="242"/>
        <v>2.4900000000000002</v>
      </c>
      <c r="R444" s="29">
        <f t="shared" si="243"/>
        <v>2.4900000000000002</v>
      </c>
      <c r="S444" s="29">
        <f>Q444+P444</f>
        <v>2.4900000000000002</v>
      </c>
      <c r="T444" s="35">
        <f t="shared" si="240"/>
        <v>44242</v>
      </c>
      <c r="U444" s="27"/>
      <c r="V444" s="27">
        <v>20</v>
      </c>
      <c r="W444" s="58">
        <f>IF(K444=TRUE,Q444/J444,Q444)</f>
        <v>2.4900000000000002</v>
      </c>
      <c r="X444" s="31">
        <f t="shared" si="245"/>
        <v>0.49800000000000005</v>
      </c>
      <c r="Y444" t="b">
        <f t="shared" si="246"/>
        <v>0</v>
      </c>
      <c r="Z444" s="78">
        <f t="shared" si="247"/>
        <v>-2.4900000000000002</v>
      </c>
    </row>
    <row r="445" spans="1:26" x14ac:dyDescent="0.25">
      <c r="A445" s="53">
        <v>2020</v>
      </c>
      <c r="B445" s="53">
        <v>206</v>
      </c>
      <c r="C445" s="71" t="s">
        <v>708</v>
      </c>
      <c r="D445" t="s">
        <v>709</v>
      </c>
      <c r="E445" s="9">
        <v>12020035</v>
      </c>
      <c r="G445" s="1">
        <v>44144</v>
      </c>
      <c r="H445" t="s">
        <v>1266</v>
      </c>
      <c r="K445" t="b">
        <f t="shared" si="248"/>
        <v>0</v>
      </c>
      <c r="L445" s="48">
        <v>9810</v>
      </c>
      <c r="M445" s="72">
        <v>1</v>
      </c>
      <c r="N445">
        <v>20</v>
      </c>
      <c r="O445" s="31">
        <f t="shared" si="249"/>
        <v>1962</v>
      </c>
      <c r="P445" s="31">
        <f t="shared" si="250"/>
        <v>1962</v>
      </c>
      <c r="Q445" s="33">
        <f t="shared" si="242"/>
        <v>9810</v>
      </c>
      <c r="R445" s="29">
        <f t="shared" si="243"/>
        <v>11772</v>
      </c>
      <c r="S445" s="29">
        <f>Q445+P445</f>
        <v>11772</v>
      </c>
      <c r="T445" s="35">
        <f t="shared" si="240"/>
        <v>44242</v>
      </c>
      <c r="U445" s="27"/>
      <c r="V445" s="27"/>
      <c r="W445" s="58">
        <f>IF(K445=TRUE,Q445/I445,Q445)</f>
        <v>9810</v>
      </c>
      <c r="X445" s="31">
        <f t="shared" si="245"/>
        <v>0</v>
      </c>
      <c r="Y445" t="b">
        <f t="shared" si="246"/>
        <v>0</v>
      </c>
      <c r="Z445" s="78">
        <f t="shared" si="247"/>
        <v>9810</v>
      </c>
    </row>
    <row r="446" spans="1:26" x14ac:dyDescent="0.25">
      <c r="A446" s="53">
        <v>2020</v>
      </c>
      <c r="B446" s="53">
        <v>207</v>
      </c>
      <c r="C446" s="71" t="s">
        <v>708</v>
      </c>
      <c r="D446" t="s">
        <v>709</v>
      </c>
      <c r="E446" s="9">
        <v>12020034</v>
      </c>
      <c r="G446" s="1">
        <v>44144</v>
      </c>
      <c r="H446" t="s">
        <v>1266</v>
      </c>
      <c r="K446" t="b">
        <f t="shared" si="248"/>
        <v>0</v>
      </c>
      <c r="L446" s="48">
        <v>420</v>
      </c>
      <c r="M446" s="72">
        <v>1</v>
      </c>
      <c r="N446">
        <v>20</v>
      </c>
      <c r="O446" s="31">
        <f t="shared" si="249"/>
        <v>84</v>
      </c>
      <c r="P446" s="31">
        <f t="shared" si="250"/>
        <v>84</v>
      </c>
      <c r="Q446" s="33">
        <f t="shared" si="242"/>
        <v>420</v>
      </c>
      <c r="R446" s="29">
        <f t="shared" si="243"/>
        <v>504</v>
      </c>
      <c r="S446" s="29">
        <f>Q446+P446</f>
        <v>504</v>
      </c>
      <c r="T446" s="35">
        <f t="shared" si="240"/>
        <v>44242</v>
      </c>
      <c r="U446" s="27"/>
      <c r="V446" s="27"/>
      <c r="W446" s="58">
        <f>IF(K446=TRUE,Q446/I446,Q446)</f>
        <v>420</v>
      </c>
      <c r="X446" s="31">
        <f t="shared" si="245"/>
        <v>0</v>
      </c>
      <c r="Y446" t="b">
        <f t="shared" si="246"/>
        <v>0</v>
      </c>
      <c r="Z446" s="78">
        <f t="shared" si="247"/>
        <v>420</v>
      </c>
    </row>
    <row r="447" spans="1:26" x14ac:dyDescent="0.25">
      <c r="A447" s="53">
        <v>2020</v>
      </c>
      <c r="B447" s="53">
        <v>208</v>
      </c>
      <c r="C447" s="71" t="s">
        <v>105</v>
      </c>
      <c r="D447" t="s">
        <v>705</v>
      </c>
      <c r="E447" s="9" t="s">
        <v>1222</v>
      </c>
      <c r="G447" s="1">
        <v>44145</v>
      </c>
      <c r="H447" t="s">
        <v>1223</v>
      </c>
      <c r="K447" t="b">
        <f t="shared" si="248"/>
        <v>0</v>
      </c>
      <c r="L447" s="109">
        <f>S447/1.2</f>
        <v>29</v>
      </c>
      <c r="M447" s="72">
        <v>1</v>
      </c>
      <c r="N447">
        <v>20</v>
      </c>
      <c r="O447" s="31">
        <f t="shared" si="249"/>
        <v>5.8</v>
      </c>
      <c r="P447" s="31">
        <f t="shared" si="250"/>
        <v>5.8</v>
      </c>
      <c r="Q447" s="33">
        <f t="shared" si="242"/>
        <v>29</v>
      </c>
      <c r="R447" s="29">
        <f t="shared" si="243"/>
        <v>34.799999999999997</v>
      </c>
      <c r="S447" s="29">
        <v>34.799999999999997</v>
      </c>
      <c r="T447" s="35">
        <f t="shared" si="240"/>
        <v>44242</v>
      </c>
      <c r="U447" s="27"/>
      <c r="V447" s="27"/>
      <c r="W447" s="58">
        <f>IF(K447=TRUE,Q447/J447,Q447)</f>
        <v>29</v>
      </c>
      <c r="X447" s="31">
        <f t="shared" si="245"/>
        <v>0</v>
      </c>
      <c r="Y447" t="b">
        <f t="shared" si="246"/>
        <v>0</v>
      </c>
      <c r="Z447" s="78">
        <f t="shared" si="247"/>
        <v>-29</v>
      </c>
    </row>
    <row r="448" spans="1:26" x14ac:dyDescent="0.25">
      <c r="A448" s="53">
        <v>2020</v>
      </c>
      <c r="B448" s="53">
        <v>209</v>
      </c>
      <c r="C448" s="71" t="s">
        <v>708</v>
      </c>
      <c r="D448" t="s">
        <v>709</v>
      </c>
      <c r="E448" s="9">
        <v>12020037</v>
      </c>
      <c r="G448" s="1">
        <v>44146</v>
      </c>
      <c r="H448" t="s">
        <v>1266</v>
      </c>
      <c r="K448" t="b">
        <f t="shared" si="248"/>
        <v>0</v>
      </c>
      <c r="L448" s="109">
        <v>14.94</v>
      </c>
      <c r="M448" s="72">
        <v>1</v>
      </c>
      <c r="N448">
        <v>20</v>
      </c>
      <c r="O448" s="31">
        <f t="shared" si="249"/>
        <v>2.988</v>
      </c>
      <c r="P448" s="31">
        <f t="shared" si="250"/>
        <v>2.988</v>
      </c>
      <c r="Q448" s="33">
        <f t="shared" si="242"/>
        <v>14.94</v>
      </c>
      <c r="R448" s="29">
        <f t="shared" si="243"/>
        <v>17.928000000000001</v>
      </c>
      <c r="S448" s="29">
        <f t="shared" ref="S448:S459" si="251">Q448+P448</f>
        <v>17.928000000000001</v>
      </c>
      <c r="T448" s="35">
        <f t="shared" si="240"/>
        <v>44242</v>
      </c>
      <c r="U448" s="27"/>
      <c r="V448" s="27"/>
      <c r="W448" s="58">
        <f>IF(K448=TRUE,Q448/I448,Q448)</f>
        <v>14.94</v>
      </c>
      <c r="X448" s="31">
        <f t="shared" si="245"/>
        <v>0</v>
      </c>
      <c r="Y448" t="b">
        <f t="shared" si="246"/>
        <v>0</v>
      </c>
      <c r="Z448" s="78">
        <f t="shared" si="247"/>
        <v>14.94</v>
      </c>
    </row>
    <row r="449" spans="1:26" x14ac:dyDescent="0.25">
      <c r="A449" s="53">
        <v>2020</v>
      </c>
      <c r="B449" s="53">
        <v>210</v>
      </c>
      <c r="C449" s="71" t="s">
        <v>105</v>
      </c>
      <c r="D449" t="s">
        <v>705</v>
      </c>
      <c r="E449" s="9" t="s">
        <v>1427</v>
      </c>
      <c r="G449" s="1">
        <v>44147</v>
      </c>
      <c r="H449" t="s">
        <v>927</v>
      </c>
      <c r="K449" t="b">
        <f t="shared" si="248"/>
        <v>0</v>
      </c>
      <c r="L449" s="48">
        <v>46.92</v>
      </c>
      <c r="M449" s="72">
        <v>1</v>
      </c>
      <c r="N449">
        <v>0</v>
      </c>
      <c r="O449" s="31">
        <f t="shared" si="249"/>
        <v>0</v>
      </c>
      <c r="P449" s="31">
        <f t="shared" si="250"/>
        <v>0</v>
      </c>
      <c r="Q449" s="33">
        <f t="shared" si="242"/>
        <v>46.92</v>
      </c>
      <c r="R449" s="29">
        <f t="shared" si="243"/>
        <v>46.92</v>
      </c>
      <c r="S449" s="29">
        <f t="shared" si="251"/>
        <v>46.92</v>
      </c>
      <c r="T449" s="35">
        <f t="shared" si="240"/>
        <v>44242</v>
      </c>
      <c r="U449" s="27"/>
      <c r="V449" s="27">
        <v>20</v>
      </c>
      <c r="W449" s="58">
        <f>IF(K449=TRUE,Q449/J449,Q449)</f>
        <v>46.92</v>
      </c>
      <c r="X449" s="31">
        <f t="shared" si="245"/>
        <v>9.3840000000000003</v>
      </c>
      <c r="Y449" t="b">
        <f t="shared" si="246"/>
        <v>0</v>
      </c>
      <c r="Z449" s="78">
        <f t="shared" si="247"/>
        <v>-46.92</v>
      </c>
    </row>
    <row r="450" spans="1:26" x14ac:dyDescent="0.25">
      <c r="A450" s="53">
        <v>2020</v>
      </c>
      <c r="B450" s="53">
        <v>211</v>
      </c>
      <c r="C450" s="71" t="s">
        <v>105</v>
      </c>
      <c r="D450" t="s">
        <v>702</v>
      </c>
      <c r="E450" s="9" t="s">
        <v>1429</v>
      </c>
      <c r="G450" s="1">
        <v>44154</v>
      </c>
      <c r="H450" t="s">
        <v>1428</v>
      </c>
      <c r="K450" t="b">
        <f t="shared" ref="K450:K455" si="252">(IF(AND(I450&lt;&gt;"",AND(J450="",ABS(Q450)&gt;400)),TRUE,FALSE))</f>
        <v>0</v>
      </c>
      <c r="L450" s="48">
        <v>450</v>
      </c>
      <c r="M450" s="72">
        <v>1</v>
      </c>
      <c r="N450">
        <v>20</v>
      </c>
      <c r="O450" s="31">
        <f t="shared" si="249"/>
        <v>90</v>
      </c>
      <c r="P450" s="31">
        <f t="shared" si="250"/>
        <v>90</v>
      </c>
      <c r="Q450" s="33">
        <f t="shared" si="242"/>
        <v>450</v>
      </c>
      <c r="R450" s="29">
        <f t="shared" si="243"/>
        <v>540</v>
      </c>
      <c r="S450" s="29">
        <f t="shared" si="251"/>
        <v>540</v>
      </c>
      <c r="T450" s="35">
        <f t="shared" si="240"/>
        <v>44242</v>
      </c>
      <c r="U450" s="27"/>
      <c r="V450" s="27"/>
      <c r="W450" s="58">
        <f>IF(K450=TRUE,Q450/J450,Q450)</f>
        <v>450</v>
      </c>
      <c r="X450" s="31">
        <f t="shared" si="245"/>
        <v>0</v>
      </c>
      <c r="Y450" t="b">
        <f t="shared" si="246"/>
        <v>0</v>
      </c>
      <c r="Z450" s="78">
        <f t="shared" si="247"/>
        <v>-450</v>
      </c>
    </row>
    <row r="451" spans="1:26" x14ac:dyDescent="0.25">
      <c r="A451" s="53">
        <v>2020</v>
      </c>
      <c r="B451" s="53">
        <v>212</v>
      </c>
      <c r="C451" s="71" t="s">
        <v>105</v>
      </c>
      <c r="D451" t="s">
        <v>703</v>
      </c>
      <c r="E451" s="131" t="s">
        <v>1430</v>
      </c>
      <c r="F451" s="1">
        <v>43962</v>
      </c>
      <c r="G451" s="1">
        <v>44155</v>
      </c>
      <c r="H451" t="s">
        <v>1148</v>
      </c>
      <c r="K451" t="b">
        <f t="shared" si="252"/>
        <v>0</v>
      </c>
      <c r="L451" s="48">
        <v>35.24</v>
      </c>
      <c r="M451" s="72">
        <v>1</v>
      </c>
      <c r="N451">
        <v>20</v>
      </c>
      <c r="O451" s="31">
        <f t="shared" si="249"/>
        <v>7.0480000000000009</v>
      </c>
      <c r="P451" s="31">
        <f t="shared" si="250"/>
        <v>7.0480000000000009</v>
      </c>
      <c r="Q451" s="33">
        <f t="shared" si="242"/>
        <v>35.24</v>
      </c>
      <c r="R451" s="29">
        <f t="shared" si="243"/>
        <v>42.288000000000004</v>
      </c>
      <c r="S451" s="29">
        <f t="shared" si="251"/>
        <v>42.288000000000004</v>
      </c>
      <c r="T451" s="35">
        <f t="shared" si="240"/>
        <v>44242</v>
      </c>
      <c r="U451" s="27"/>
      <c r="V451" s="27"/>
      <c r="W451" s="58">
        <f>IF(K451=TRUE,Q451/I451,Q451)</f>
        <v>35.24</v>
      </c>
      <c r="X451" s="31">
        <f t="shared" si="245"/>
        <v>0</v>
      </c>
      <c r="Y451" t="b">
        <f t="shared" si="246"/>
        <v>0</v>
      </c>
      <c r="Z451" s="78">
        <f t="shared" si="247"/>
        <v>-35.24</v>
      </c>
    </row>
    <row r="452" spans="1:26" x14ac:dyDescent="0.25">
      <c r="A452" s="53">
        <v>2020</v>
      </c>
      <c r="B452" s="53">
        <v>213</v>
      </c>
      <c r="C452" s="71" t="s">
        <v>105</v>
      </c>
      <c r="D452" t="s">
        <v>705</v>
      </c>
      <c r="E452" s="9" t="s">
        <v>1431</v>
      </c>
      <c r="G452" s="1">
        <v>44155</v>
      </c>
      <c r="H452" t="s">
        <v>941</v>
      </c>
      <c r="K452" t="b">
        <f t="shared" si="252"/>
        <v>0</v>
      </c>
      <c r="L452" s="48">
        <v>16.579999999999998</v>
      </c>
      <c r="M452" s="72">
        <v>1</v>
      </c>
      <c r="N452">
        <v>20</v>
      </c>
      <c r="O452" s="31">
        <f t="shared" si="249"/>
        <v>3.3159999999999998</v>
      </c>
      <c r="P452" s="31">
        <f t="shared" si="250"/>
        <v>3.3159999999999998</v>
      </c>
      <c r="Q452" s="33">
        <f t="shared" si="242"/>
        <v>16.579999999999998</v>
      </c>
      <c r="R452" s="29">
        <f t="shared" si="243"/>
        <v>19.895999999999997</v>
      </c>
      <c r="S452" s="29">
        <f t="shared" si="251"/>
        <v>19.895999999999997</v>
      </c>
      <c r="T452" s="35">
        <f t="shared" si="240"/>
        <v>44242</v>
      </c>
      <c r="U452" s="27"/>
      <c r="V452" s="27"/>
      <c r="W452" s="58">
        <f>IF(K452=TRUE,Q452/J452,Q452)</f>
        <v>16.579999999999998</v>
      </c>
      <c r="X452" s="31">
        <f t="shared" si="245"/>
        <v>0</v>
      </c>
      <c r="Y452" t="b">
        <f t="shared" si="246"/>
        <v>0</v>
      </c>
      <c r="Z452" s="78">
        <f t="shared" si="247"/>
        <v>-16.579999999999998</v>
      </c>
    </row>
    <row r="453" spans="1:26" x14ac:dyDescent="0.25">
      <c r="A453" s="53">
        <v>2020</v>
      </c>
      <c r="B453" s="53">
        <v>214</v>
      </c>
      <c r="C453" s="71" t="s">
        <v>105</v>
      </c>
      <c r="D453" t="s">
        <v>705</v>
      </c>
      <c r="E453" s="9" t="s">
        <v>1433</v>
      </c>
      <c r="G453" s="1">
        <v>44161</v>
      </c>
      <c r="H453" t="s">
        <v>1432</v>
      </c>
      <c r="K453" t="b">
        <f t="shared" si="252"/>
        <v>0</v>
      </c>
      <c r="L453" s="48">
        <v>71.400000000000006</v>
      </c>
      <c r="M453" s="72">
        <v>1</v>
      </c>
      <c r="N453">
        <v>20</v>
      </c>
      <c r="O453" s="31">
        <f t="shared" si="249"/>
        <v>14.28</v>
      </c>
      <c r="P453" s="31">
        <f t="shared" si="250"/>
        <v>14.28</v>
      </c>
      <c r="Q453" s="33">
        <f t="shared" si="242"/>
        <v>71.400000000000006</v>
      </c>
      <c r="R453" s="29">
        <f t="shared" si="243"/>
        <v>85.68</v>
      </c>
      <c r="S453" s="29">
        <f t="shared" si="251"/>
        <v>85.68</v>
      </c>
      <c r="T453" s="35">
        <f t="shared" ref="T453:T471" si="253">voranmeldefrist_vierteljaehrlich(G453)</f>
        <v>44242</v>
      </c>
      <c r="U453" s="27"/>
      <c r="V453" s="27"/>
      <c r="W453" s="58">
        <f>IF(K453=TRUE,Q453/J453,Q453)</f>
        <v>71.400000000000006</v>
      </c>
      <c r="X453" s="31">
        <f t="shared" si="245"/>
        <v>0</v>
      </c>
      <c r="Y453" t="b">
        <f t="shared" si="246"/>
        <v>0</v>
      </c>
      <c r="Z453" s="78">
        <f t="shared" si="247"/>
        <v>-71.400000000000006</v>
      </c>
    </row>
    <row r="454" spans="1:26" x14ac:dyDescent="0.25">
      <c r="A454" s="53">
        <v>2020</v>
      </c>
      <c r="B454" s="53">
        <v>215</v>
      </c>
      <c r="C454" s="71" t="s">
        <v>105</v>
      </c>
      <c r="D454" t="s">
        <v>695</v>
      </c>
      <c r="G454" s="1">
        <v>44162</v>
      </c>
      <c r="H454" t="s">
        <v>952</v>
      </c>
      <c r="K454" t="b">
        <f t="shared" si="252"/>
        <v>0</v>
      </c>
      <c r="L454" s="48">
        <v>1709.58</v>
      </c>
      <c r="M454" s="72">
        <v>1</v>
      </c>
      <c r="N454">
        <v>0</v>
      </c>
      <c r="O454" s="31">
        <f t="shared" si="249"/>
        <v>0</v>
      </c>
      <c r="P454" s="31">
        <f t="shared" si="250"/>
        <v>0</v>
      </c>
      <c r="Q454" s="33">
        <f t="shared" si="242"/>
        <v>1709.58</v>
      </c>
      <c r="R454" s="29">
        <f t="shared" si="243"/>
        <v>1709.58</v>
      </c>
      <c r="S454" s="29">
        <f t="shared" si="251"/>
        <v>1709.58</v>
      </c>
      <c r="T454" s="35">
        <f t="shared" si="253"/>
        <v>44242</v>
      </c>
      <c r="U454" s="27"/>
      <c r="V454" s="27"/>
      <c r="W454" s="58">
        <f>IF(K454=TRUE,Q454/J454,Q454)</f>
        <v>1709.58</v>
      </c>
      <c r="X454" s="31">
        <f t="shared" si="245"/>
        <v>0</v>
      </c>
      <c r="Y454" t="b">
        <f t="shared" si="246"/>
        <v>0</v>
      </c>
      <c r="Z454" s="78">
        <f t="shared" si="247"/>
        <v>-1709.58</v>
      </c>
    </row>
    <row r="455" spans="1:26" x14ac:dyDescent="0.25">
      <c r="A455" s="53">
        <v>2020</v>
      </c>
      <c r="B455" s="53">
        <v>216</v>
      </c>
      <c r="C455" s="71" t="s">
        <v>105</v>
      </c>
      <c r="D455" t="s">
        <v>693</v>
      </c>
      <c r="E455" s="9" t="s">
        <v>1434</v>
      </c>
      <c r="G455" s="1">
        <v>44166</v>
      </c>
      <c r="H455" t="s">
        <v>1363</v>
      </c>
      <c r="K455" t="b">
        <f t="shared" si="252"/>
        <v>0</v>
      </c>
      <c r="L455" s="48">
        <v>24.88</v>
      </c>
      <c r="M455" s="72">
        <v>1</v>
      </c>
      <c r="N455">
        <v>0</v>
      </c>
      <c r="O455" s="31">
        <f t="shared" si="249"/>
        <v>0</v>
      </c>
      <c r="P455" s="31">
        <f t="shared" si="250"/>
        <v>0</v>
      </c>
      <c r="Q455" s="33">
        <f t="shared" si="242"/>
        <v>24.88</v>
      </c>
      <c r="R455" s="29">
        <f t="shared" si="243"/>
        <v>24.88</v>
      </c>
      <c r="S455" s="29">
        <f t="shared" si="251"/>
        <v>24.88</v>
      </c>
      <c r="T455" s="35">
        <f t="shared" si="253"/>
        <v>44242</v>
      </c>
      <c r="U455" s="27"/>
      <c r="V455" s="27">
        <v>20</v>
      </c>
      <c r="W455" s="58">
        <f>IF(K455=TRUE,Q455/I455,Q455)</f>
        <v>24.88</v>
      </c>
      <c r="X455" s="31">
        <f t="shared" si="245"/>
        <v>4.976</v>
      </c>
      <c r="Y455" t="b">
        <f t="shared" si="246"/>
        <v>0</v>
      </c>
      <c r="Z455" s="78">
        <f t="shared" si="247"/>
        <v>-24.88</v>
      </c>
    </row>
    <row r="456" spans="1:26" x14ac:dyDescent="0.25">
      <c r="A456" s="53">
        <v>2020</v>
      </c>
      <c r="B456" s="53">
        <v>217</v>
      </c>
      <c r="C456" s="71" t="s">
        <v>105</v>
      </c>
      <c r="D456" t="s">
        <v>691</v>
      </c>
      <c r="E456" s="9" t="s">
        <v>1372</v>
      </c>
      <c r="G456" s="1">
        <v>44166</v>
      </c>
      <c r="H456" t="s">
        <v>1113</v>
      </c>
      <c r="K456" t="b">
        <v>0</v>
      </c>
      <c r="L456" s="48">
        <v>462.44</v>
      </c>
      <c r="M456" s="72">
        <v>1</v>
      </c>
      <c r="N456">
        <v>20</v>
      </c>
      <c r="O456" s="31">
        <f t="shared" si="249"/>
        <v>92.488</v>
      </c>
      <c r="P456" s="31">
        <f t="shared" si="250"/>
        <v>92.488</v>
      </c>
      <c r="Q456" s="33">
        <f t="shared" si="242"/>
        <v>462.44</v>
      </c>
      <c r="R456" s="29">
        <f t="shared" si="243"/>
        <v>554.928</v>
      </c>
      <c r="S456" s="29">
        <f t="shared" si="251"/>
        <v>554.928</v>
      </c>
      <c r="T456" s="35">
        <f t="shared" si="253"/>
        <v>44242</v>
      </c>
      <c r="U456" s="27"/>
      <c r="V456" s="27"/>
      <c r="W456" s="58">
        <f>IF(K456=TRUE,Q456/J456,Q456)</f>
        <v>462.44</v>
      </c>
      <c r="X456" s="31">
        <f t="shared" si="245"/>
        <v>0</v>
      </c>
      <c r="Y456" t="b">
        <f t="shared" si="246"/>
        <v>0</v>
      </c>
      <c r="Z456" s="78">
        <f t="shared" si="247"/>
        <v>-462.44</v>
      </c>
    </row>
    <row r="457" spans="1:26" x14ac:dyDescent="0.25">
      <c r="A457" s="53">
        <v>2020</v>
      </c>
      <c r="B457" s="53">
        <v>218</v>
      </c>
      <c r="C457" s="71" t="s">
        <v>105</v>
      </c>
      <c r="D457" t="s">
        <v>705</v>
      </c>
      <c r="E457" s="9" t="s">
        <v>1441</v>
      </c>
      <c r="G457" s="1">
        <v>44166</v>
      </c>
      <c r="H457" t="s">
        <v>1432</v>
      </c>
      <c r="K457" t="b">
        <f>(IF(AND(I457&lt;&gt;"",AND(J457="",ABS(Q457)&gt;400)),TRUE,FALSE))</f>
        <v>0</v>
      </c>
      <c r="L457" s="48">
        <v>202.8</v>
      </c>
      <c r="M457" s="72">
        <v>1</v>
      </c>
      <c r="N457">
        <v>20</v>
      </c>
      <c r="O457" s="31">
        <f t="shared" si="249"/>
        <v>40.56</v>
      </c>
      <c r="P457" s="31">
        <f t="shared" si="250"/>
        <v>40.56</v>
      </c>
      <c r="Q457" s="33">
        <f t="shared" si="242"/>
        <v>202.8</v>
      </c>
      <c r="R457" s="29">
        <f t="shared" si="243"/>
        <v>243.36</v>
      </c>
      <c r="S457" s="29">
        <f t="shared" si="251"/>
        <v>243.36</v>
      </c>
      <c r="T457" s="35">
        <f t="shared" si="253"/>
        <v>44242</v>
      </c>
      <c r="U457" s="27"/>
      <c r="V457" s="27"/>
      <c r="W457" s="58">
        <f>IF(K457=TRUE,Q457/J457,Q457)</f>
        <v>202.8</v>
      </c>
      <c r="X457" s="31">
        <f t="shared" si="245"/>
        <v>0</v>
      </c>
      <c r="Y457" t="b">
        <f t="shared" si="246"/>
        <v>0</v>
      </c>
      <c r="Z457" s="78">
        <f t="shared" si="247"/>
        <v>-202.8</v>
      </c>
    </row>
    <row r="458" spans="1:26" x14ac:dyDescent="0.25">
      <c r="A458" s="53">
        <v>2020</v>
      </c>
      <c r="B458" s="53">
        <v>219</v>
      </c>
      <c r="C458" s="71" t="s">
        <v>105</v>
      </c>
      <c r="D458" t="s">
        <v>689</v>
      </c>
      <c r="E458" s="131" t="s">
        <v>1435</v>
      </c>
      <c r="G458" s="1">
        <v>44168</v>
      </c>
      <c r="H458" t="s">
        <v>974</v>
      </c>
      <c r="K458" t="b">
        <v>0</v>
      </c>
      <c r="L458" s="48">
        <f>31.47</f>
        <v>31.47</v>
      </c>
      <c r="M458" s="72">
        <v>1</v>
      </c>
      <c r="N458">
        <v>20</v>
      </c>
      <c r="O458" s="31">
        <v>6.3</v>
      </c>
      <c r="P458" s="31">
        <v>6.3</v>
      </c>
      <c r="Q458" s="33">
        <f t="shared" si="242"/>
        <v>31.47</v>
      </c>
      <c r="R458" s="29">
        <f t="shared" si="243"/>
        <v>37.769999999999996</v>
      </c>
      <c r="S458" s="29">
        <f t="shared" si="251"/>
        <v>37.769999999999996</v>
      </c>
      <c r="T458" s="35">
        <f t="shared" si="253"/>
        <v>44242</v>
      </c>
      <c r="U458" s="27"/>
      <c r="V458" s="27"/>
      <c r="W458" s="58">
        <f>IF(K458=TRUE,Q458/J458,Q458)</f>
        <v>31.47</v>
      </c>
      <c r="X458" s="31">
        <f t="shared" si="245"/>
        <v>0</v>
      </c>
      <c r="Y458" t="b">
        <f t="shared" si="246"/>
        <v>0</v>
      </c>
      <c r="Z458" s="78">
        <f t="shared" si="247"/>
        <v>-31.47</v>
      </c>
    </row>
    <row r="459" spans="1:26" x14ac:dyDescent="0.25">
      <c r="A459" s="53">
        <v>2020</v>
      </c>
      <c r="B459" s="53">
        <v>220</v>
      </c>
      <c r="C459" s="71" t="s">
        <v>105</v>
      </c>
      <c r="D459" t="s">
        <v>703</v>
      </c>
      <c r="E459" s="9">
        <v>6212001185</v>
      </c>
      <c r="G459" s="1">
        <v>44168</v>
      </c>
      <c r="H459" t="s">
        <v>34</v>
      </c>
      <c r="K459" t="b">
        <f t="shared" ref="K459:K464" si="254">(IF(AND(I459&lt;&gt;"",AND(J459="",ABS(Q459)&gt;400)),TRUE,FALSE))</f>
        <v>0</v>
      </c>
      <c r="L459" s="48">
        <v>15</v>
      </c>
      <c r="M459" s="72">
        <v>1</v>
      </c>
      <c r="N459">
        <v>20</v>
      </c>
      <c r="O459" s="31">
        <f t="shared" ref="O459:O468" si="255">L459*N459/100</f>
        <v>3</v>
      </c>
      <c r="P459" s="31">
        <f t="shared" ref="P459:P468" si="256">M459*O459</f>
        <v>3</v>
      </c>
      <c r="Q459" s="33">
        <f t="shared" si="242"/>
        <v>15</v>
      </c>
      <c r="R459" s="29">
        <f t="shared" si="243"/>
        <v>18</v>
      </c>
      <c r="S459" s="29">
        <f t="shared" si="251"/>
        <v>18</v>
      </c>
      <c r="T459" s="35">
        <f t="shared" si="253"/>
        <v>44242</v>
      </c>
      <c r="U459" s="27"/>
      <c r="V459" s="27"/>
      <c r="W459" s="58">
        <f>IF(K459=TRUE,Q459/I459,Q459)</f>
        <v>15</v>
      </c>
      <c r="X459" s="31">
        <f t="shared" si="245"/>
        <v>0</v>
      </c>
      <c r="Y459" t="b">
        <f t="shared" si="246"/>
        <v>0</v>
      </c>
      <c r="Z459" s="78">
        <f t="shared" si="247"/>
        <v>-15</v>
      </c>
    </row>
    <row r="460" spans="1:26" x14ac:dyDescent="0.25">
      <c r="A460" s="53">
        <v>2020</v>
      </c>
      <c r="B460" s="53">
        <v>221</v>
      </c>
      <c r="C460" s="71" t="s">
        <v>105</v>
      </c>
      <c r="D460" t="s">
        <v>705</v>
      </c>
      <c r="E460" s="9" t="s">
        <v>1225</v>
      </c>
      <c r="G460" s="1">
        <v>44168</v>
      </c>
      <c r="H460" t="s">
        <v>1364</v>
      </c>
      <c r="K460" t="b">
        <f t="shared" si="254"/>
        <v>0</v>
      </c>
      <c r="L460" s="48">
        <v>2.5</v>
      </c>
      <c r="M460" s="72">
        <v>1</v>
      </c>
      <c r="N460">
        <v>20</v>
      </c>
      <c r="O460" s="31">
        <f t="shared" si="255"/>
        <v>0.5</v>
      </c>
      <c r="P460" s="31">
        <f t="shared" si="256"/>
        <v>0.5</v>
      </c>
      <c r="Q460" s="33">
        <f t="shared" si="242"/>
        <v>2.5</v>
      </c>
      <c r="R460" s="29">
        <f t="shared" si="243"/>
        <v>3</v>
      </c>
      <c r="S460" s="29">
        <v>3</v>
      </c>
      <c r="T460" s="35">
        <f t="shared" si="253"/>
        <v>44242</v>
      </c>
      <c r="U460" s="27"/>
      <c r="V460" s="27"/>
      <c r="W460" s="58">
        <f>IF(K460=TRUE,Q460/J460,Q460)</f>
        <v>2.5</v>
      </c>
      <c r="X460" s="31">
        <f t="shared" si="245"/>
        <v>0</v>
      </c>
      <c r="Y460" t="b">
        <f t="shared" si="246"/>
        <v>0</v>
      </c>
      <c r="Z460" s="78">
        <f t="shared" si="247"/>
        <v>-2.5</v>
      </c>
    </row>
    <row r="461" spans="1:26" x14ac:dyDescent="0.25">
      <c r="A461" s="53">
        <v>2020</v>
      </c>
      <c r="B461" s="53">
        <v>222</v>
      </c>
      <c r="C461" s="71" t="s">
        <v>105</v>
      </c>
      <c r="D461" t="s">
        <v>705</v>
      </c>
      <c r="E461" s="9" t="s">
        <v>1397</v>
      </c>
      <c r="G461" s="1">
        <v>44172</v>
      </c>
      <c r="H461" t="s">
        <v>1128</v>
      </c>
      <c r="K461" t="b">
        <f t="shared" si="254"/>
        <v>0</v>
      </c>
      <c r="L461" s="48">
        <v>35</v>
      </c>
      <c r="M461" s="72">
        <v>1</v>
      </c>
      <c r="N461">
        <v>20</v>
      </c>
      <c r="O461" s="31">
        <f t="shared" si="255"/>
        <v>7</v>
      </c>
      <c r="P461" s="31">
        <f t="shared" si="256"/>
        <v>7</v>
      </c>
      <c r="Q461" s="33">
        <f t="shared" si="242"/>
        <v>35</v>
      </c>
      <c r="R461" s="29">
        <f t="shared" si="243"/>
        <v>42</v>
      </c>
      <c r="S461" s="29">
        <f t="shared" ref="S461:S468" si="257">Q461+P461</f>
        <v>42</v>
      </c>
      <c r="T461" s="35">
        <f t="shared" si="253"/>
        <v>44242</v>
      </c>
      <c r="U461" s="27"/>
      <c r="V461" s="27"/>
      <c r="W461" s="58">
        <f>IF(K461=TRUE,Q461/I461,Q461)</f>
        <v>35</v>
      </c>
      <c r="X461" s="31">
        <f t="shared" si="245"/>
        <v>0</v>
      </c>
      <c r="Y461" t="b">
        <f t="shared" si="246"/>
        <v>0</v>
      </c>
      <c r="Z461" s="78">
        <f t="shared" si="247"/>
        <v>-35</v>
      </c>
    </row>
    <row r="462" spans="1:26" x14ac:dyDescent="0.25">
      <c r="A462" s="53">
        <v>2020</v>
      </c>
      <c r="B462" s="53">
        <v>223</v>
      </c>
      <c r="C462" s="71" t="s">
        <v>105</v>
      </c>
      <c r="D462" t="s">
        <v>705</v>
      </c>
      <c r="E462" s="9" t="s">
        <v>1440</v>
      </c>
      <c r="G462" s="1">
        <v>44172</v>
      </c>
      <c r="H462" t="s">
        <v>927</v>
      </c>
      <c r="K462" t="b">
        <f t="shared" si="254"/>
        <v>0</v>
      </c>
      <c r="L462" s="48">
        <v>2.4900000000000002</v>
      </c>
      <c r="M462" s="72">
        <v>1</v>
      </c>
      <c r="N462">
        <v>0</v>
      </c>
      <c r="O462" s="31">
        <f t="shared" si="255"/>
        <v>0</v>
      </c>
      <c r="P462" s="31">
        <f t="shared" si="256"/>
        <v>0</v>
      </c>
      <c r="Q462" s="33">
        <f t="shared" si="242"/>
        <v>2.4900000000000002</v>
      </c>
      <c r="R462" s="29">
        <f t="shared" si="243"/>
        <v>2.4900000000000002</v>
      </c>
      <c r="S462" s="29">
        <f t="shared" si="257"/>
        <v>2.4900000000000002</v>
      </c>
      <c r="T462" s="35">
        <f t="shared" si="253"/>
        <v>44242</v>
      </c>
      <c r="U462" s="27"/>
      <c r="V462" s="27">
        <v>20</v>
      </c>
      <c r="W462" s="58">
        <f>IF(K462=TRUE,Q462/J462,Q462)</f>
        <v>2.4900000000000002</v>
      </c>
      <c r="X462" s="31">
        <f t="shared" si="245"/>
        <v>0.49800000000000005</v>
      </c>
      <c r="Y462" t="b">
        <f t="shared" si="246"/>
        <v>0</v>
      </c>
      <c r="Z462" s="78">
        <f t="shared" si="247"/>
        <v>-2.4900000000000002</v>
      </c>
    </row>
    <row r="463" spans="1:26" x14ac:dyDescent="0.25">
      <c r="A463" s="53">
        <v>2020</v>
      </c>
      <c r="B463" s="53">
        <v>224</v>
      </c>
      <c r="C463" s="71" t="s">
        <v>105</v>
      </c>
      <c r="D463" t="s">
        <v>705</v>
      </c>
      <c r="E463" s="9" t="s">
        <v>1439</v>
      </c>
      <c r="G463" s="1">
        <v>44176</v>
      </c>
      <c r="H463" t="s">
        <v>927</v>
      </c>
      <c r="K463" t="b">
        <f t="shared" si="254"/>
        <v>0</v>
      </c>
      <c r="L463" s="48">
        <v>46.92</v>
      </c>
      <c r="M463" s="72">
        <v>1</v>
      </c>
      <c r="N463">
        <v>0</v>
      </c>
      <c r="O463" s="31">
        <f t="shared" si="255"/>
        <v>0</v>
      </c>
      <c r="P463" s="31">
        <f t="shared" si="256"/>
        <v>0</v>
      </c>
      <c r="Q463" s="33">
        <f t="shared" si="242"/>
        <v>46.92</v>
      </c>
      <c r="R463" s="29">
        <f t="shared" si="243"/>
        <v>46.92</v>
      </c>
      <c r="S463" s="29">
        <f t="shared" si="257"/>
        <v>46.92</v>
      </c>
      <c r="T463" s="35">
        <f t="shared" si="253"/>
        <v>44242</v>
      </c>
      <c r="U463" s="27"/>
      <c r="V463" s="27">
        <v>20</v>
      </c>
      <c r="W463" s="58">
        <f>IF(K463=TRUE,Q463/J463,Q463)</f>
        <v>46.92</v>
      </c>
      <c r="X463" s="31">
        <f t="shared" si="245"/>
        <v>9.3840000000000003</v>
      </c>
      <c r="Y463" t="b">
        <f t="shared" si="246"/>
        <v>0</v>
      </c>
      <c r="Z463" s="78">
        <f t="shared" si="247"/>
        <v>-46.92</v>
      </c>
    </row>
    <row r="464" spans="1:26" x14ac:dyDescent="0.25">
      <c r="A464" s="53">
        <v>2020</v>
      </c>
      <c r="B464" s="53">
        <v>225</v>
      </c>
      <c r="C464" s="71" t="s">
        <v>708</v>
      </c>
      <c r="D464" t="s">
        <v>709</v>
      </c>
      <c r="E464" s="9" t="s">
        <v>1436</v>
      </c>
      <c r="G464" s="1">
        <v>44179</v>
      </c>
      <c r="H464" t="s">
        <v>1266</v>
      </c>
      <c r="K464" t="b">
        <f t="shared" si="254"/>
        <v>0</v>
      </c>
      <c r="L464" s="48">
        <v>510</v>
      </c>
      <c r="M464" s="72">
        <v>1</v>
      </c>
      <c r="N464">
        <v>20</v>
      </c>
      <c r="O464" s="31">
        <f t="shared" si="255"/>
        <v>102</v>
      </c>
      <c r="P464" s="31">
        <f t="shared" si="256"/>
        <v>102</v>
      </c>
      <c r="Q464" s="33">
        <f t="shared" si="242"/>
        <v>510</v>
      </c>
      <c r="R464" s="29">
        <f t="shared" si="243"/>
        <v>612</v>
      </c>
      <c r="S464" s="29">
        <f t="shared" si="257"/>
        <v>612</v>
      </c>
      <c r="T464" s="35">
        <f t="shared" si="253"/>
        <v>44242</v>
      </c>
      <c r="U464" s="27"/>
      <c r="V464" s="27"/>
      <c r="W464" s="58">
        <f>IF(K464=TRUE,Q464/I464,Q464)</f>
        <v>510</v>
      </c>
      <c r="X464" s="31">
        <f t="shared" si="245"/>
        <v>0</v>
      </c>
      <c r="Y464" t="b">
        <f t="shared" si="246"/>
        <v>0</v>
      </c>
      <c r="Z464" s="78">
        <f t="shared" si="247"/>
        <v>510</v>
      </c>
    </row>
    <row r="465" spans="1:29" x14ac:dyDescent="0.25">
      <c r="A465" s="53">
        <v>2020</v>
      </c>
      <c r="B465" s="53">
        <v>226</v>
      </c>
      <c r="C465" s="71" t="s">
        <v>708</v>
      </c>
      <c r="D465" t="s">
        <v>709</v>
      </c>
      <c r="E465" s="9">
        <v>12020032</v>
      </c>
      <c r="G465" s="1">
        <v>44179</v>
      </c>
      <c r="H465" t="s">
        <v>1266</v>
      </c>
      <c r="K465" t="b">
        <f>(IF(AND(I465&lt;&gt;"",AND(J465="",ABS(Q465)&gt;400)),TRUE,FALSE))</f>
        <v>0</v>
      </c>
      <c r="L465" s="48">
        <v>7260</v>
      </c>
      <c r="M465" s="72">
        <v>1</v>
      </c>
      <c r="N465">
        <v>20</v>
      </c>
      <c r="O465" s="31">
        <f t="shared" si="255"/>
        <v>1452</v>
      </c>
      <c r="P465" s="31">
        <f t="shared" si="256"/>
        <v>1452</v>
      </c>
      <c r="Q465" s="33">
        <f t="shared" si="242"/>
        <v>7260</v>
      </c>
      <c r="R465" s="29">
        <f t="shared" si="243"/>
        <v>8712</v>
      </c>
      <c r="S465" s="29">
        <f t="shared" si="257"/>
        <v>8712</v>
      </c>
      <c r="T465" s="35">
        <f t="shared" si="253"/>
        <v>44242</v>
      </c>
      <c r="U465" s="27"/>
      <c r="V465" s="27"/>
      <c r="W465" s="58">
        <f>IF(K465=TRUE,Q465/I465,Q465)</f>
        <v>7260</v>
      </c>
      <c r="X465" s="31">
        <f t="shared" si="245"/>
        <v>0</v>
      </c>
      <c r="Y465" t="b">
        <f t="shared" si="246"/>
        <v>0</v>
      </c>
      <c r="Z465" s="78">
        <f t="shared" si="247"/>
        <v>7260</v>
      </c>
    </row>
    <row r="466" spans="1:29" x14ac:dyDescent="0.25">
      <c r="A466" s="53">
        <v>2020</v>
      </c>
      <c r="B466" s="53">
        <v>227</v>
      </c>
      <c r="C466" s="71" t="s">
        <v>105</v>
      </c>
      <c r="D466" t="s">
        <v>703</v>
      </c>
      <c r="E466" s="9" t="s">
        <v>1442</v>
      </c>
      <c r="F466" s="1">
        <v>43962</v>
      </c>
      <c r="G466" s="1">
        <v>44186</v>
      </c>
      <c r="H466" t="s">
        <v>1148</v>
      </c>
      <c r="K466" t="b">
        <f>(IF(AND(I466&lt;&gt;"",AND(J466="",ABS(Q466)&gt;400)),TRUE,FALSE))</f>
        <v>0</v>
      </c>
      <c r="L466" s="48">
        <v>35.24</v>
      </c>
      <c r="M466" s="72">
        <v>1</v>
      </c>
      <c r="N466">
        <v>20</v>
      </c>
      <c r="O466" s="31">
        <f t="shared" si="255"/>
        <v>7.0480000000000009</v>
      </c>
      <c r="P466" s="31">
        <f t="shared" si="256"/>
        <v>7.0480000000000009</v>
      </c>
      <c r="Q466" s="33">
        <f t="shared" si="242"/>
        <v>35.24</v>
      </c>
      <c r="R466" s="29">
        <f t="shared" si="243"/>
        <v>42.288000000000004</v>
      </c>
      <c r="S466" s="29">
        <f t="shared" si="257"/>
        <v>42.288000000000004</v>
      </c>
      <c r="T466" s="35">
        <f t="shared" si="253"/>
        <v>44242</v>
      </c>
      <c r="U466" s="27"/>
      <c r="V466" s="27"/>
      <c r="W466" s="58">
        <f>IF(K466=TRUE,Q466/I466,Q466)</f>
        <v>35.24</v>
      </c>
      <c r="X466" s="31">
        <f t="shared" si="245"/>
        <v>0</v>
      </c>
      <c r="Y466" t="b">
        <f t="shared" si="246"/>
        <v>0</v>
      </c>
      <c r="Z466" s="78">
        <f t="shared" si="247"/>
        <v>-35.24</v>
      </c>
    </row>
    <row r="467" spans="1:29" x14ac:dyDescent="0.25">
      <c r="A467" s="53">
        <v>2020</v>
      </c>
      <c r="B467" s="53">
        <v>228</v>
      </c>
      <c r="C467" s="71" t="s">
        <v>105</v>
      </c>
      <c r="D467" t="s">
        <v>705</v>
      </c>
      <c r="E467" s="9" t="s">
        <v>1143</v>
      </c>
      <c r="G467" s="1">
        <v>43987</v>
      </c>
      <c r="H467" t="s">
        <v>1437</v>
      </c>
      <c r="K467" t="b">
        <f>(IF(AND(I467&lt;&gt;"",AND(J467="",ABS(Q467)&gt;400)),TRUE,FALSE))</f>
        <v>0</v>
      </c>
      <c r="L467" s="48">
        <v>36.58</v>
      </c>
      <c r="M467" s="72">
        <v>1</v>
      </c>
      <c r="N467">
        <v>20</v>
      </c>
      <c r="O467" s="31">
        <f t="shared" si="255"/>
        <v>7.3159999999999989</v>
      </c>
      <c r="P467" s="31">
        <f t="shared" si="256"/>
        <v>7.3159999999999989</v>
      </c>
      <c r="Q467" s="33">
        <f t="shared" si="242"/>
        <v>36.58</v>
      </c>
      <c r="R467" s="29">
        <f t="shared" si="243"/>
        <v>43.896000000000001</v>
      </c>
      <c r="S467" s="29">
        <f t="shared" si="257"/>
        <v>43.896000000000001</v>
      </c>
      <c r="T467" s="35">
        <f t="shared" si="253"/>
        <v>44058</v>
      </c>
      <c r="U467" s="27"/>
      <c r="V467" s="27"/>
      <c r="W467" s="58">
        <f>IF(K467=TRUE,Q467/I467,Q467)</f>
        <v>36.58</v>
      </c>
      <c r="X467" s="31">
        <f t="shared" si="245"/>
        <v>0</v>
      </c>
      <c r="Y467" t="b">
        <f t="shared" si="246"/>
        <v>0</v>
      </c>
      <c r="Z467" s="78">
        <f t="shared" si="247"/>
        <v>-36.58</v>
      </c>
    </row>
    <row r="468" spans="1:29" x14ac:dyDescent="0.25">
      <c r="A468" s="53">
        <v>2020</v>
      </c>
      <c r="B468" s="53">
        <v>229</v>
      </c>
      <c r="C468" s="71" t="s">
        <v>105</v>
      </c>
      <c r="D468" t="s">
        <v>695</v>
      </c>
      <c r="E468" s="9" t="s">
        <v>1438</v>
      </c>
      <c r="G468" s="1">
        <v>44190</v>
      </c>
      <c r="H468" t="s">
        <v>952</v>
      </c>
      <c r="K468" t="b">
        <v>0</v>
      </c>
      <c r="L468" s="48">
        <v>13124.8</v>
      </c>
      <c r="M468" s="72">
        <v>1</v>
      </c>
      <c r="N468">
        <v>0</v>
      </c>
      <c r="O468" s="31">
        <f t="shared" si="255"/>
        <v>0</v>
      </c>
      <c r="P468" s="31">
        <f t="shared" si="256"/>
        <v>0</v>
      </c>
      <c r="Q468" s="33">
        <f t="shared" si="242"/>
        <v>13124.8</v>
      </c>
      <c r="R468" s="29">
        <f t="shared" si="243"/>
        <v>13124.8</v>
      </c>
      <c r="S468" s="29">
        <f t="shared" si="257"/>
        <v>13124.8</v>
      </c>
      <c r="T468" s="35">
        <f t="shared" si="253"/>
        <v>44242</v>
      </c>
      <c r="U468" s="27"/>
      <c r="V468" s="27"/>
      <c r="W468" s="58">
        <f>IF(K468=TRUE,Q468/J468,Q468)</f>
        <v>13124.8</v>
      </c>
      <c r="X468" s="31">
        <f t="shared" si="245"/>
        <v>0</v>
      </c>
      <c r="Y468" t="b">
        <f t="shared" si="246"/>
        <v>0</v>
      </c>
      <c r="Z468" s="78">
        <f t="shared" si="247"/>
        <v>-13124.8</v>
      </c>
    </row>
    <row r="469" spans="1:29" x14ac:dyDescent="0.25">
      <c r="A469" s="53">
        <v>2020</v>
      </c>
      <c r="B469" s="53">
        <v>230</v>
      </c>
      <c r="C469" s="71" t="s">
        <v>105</v>
      </c>
      <c r="D469" t="s">
        <v>705</v>
      </c>
      <c r="E469" s="9" t="s">
        <v>1444</v>
      </c>
      <c r="G469" s="1">
        <v>44193</v>
      </c>
      <c r="H469" t="s">
        <v>927</v>
      </c>
      <c r="K469" t="b">
        <f>(IF(AND(I469&lt;&gt;"",AND(J469="",ABS(Q469)&gt;400)),TRUE,FALSE))</f>
        <v>0</v>
      </c>
      <c r="L469" s="48">
        <v>10</v>
      </c>
      <c r="M469" s="72">
        <v>1</v>
      </c>
      <c r="N469">
        <v>0</v>
      </c>
      <c r="O469" s="31">
        <f t="shared" ref="O469:O474" si="258">L469*N469/100</f>
        <v>0</v>
      </c>
      <c r="P469" s="31">
        <f t="shared" ref="P469:P474" si="259">M469*O469</f>
        <v>0</v>
      </c>
      <c r="Q469" s="33">
        <f>L469*M469</f>
        <v>10</v>
      </c>
      <c r="R469" s="29">
        <f>L469+O469</f>
        <v>10</v>
      </c>
      <c r="S469" s="29">
        <f>Q469+P469</f>
        <v>10</v>
      </c>
      <c r="T469" s="35">
        <f t="shared" si="253"/>
        <v>44242</v>
      </c>
      <c r="U469" s="27"/>
      <c r="V469" s="27">
        <v>20</v>
      </c>
      <c r="W469" s="58">
        <f>IF(K469=TRUE,Q469/J469,Q469)</f>
        <v>10</v>
      </c>
      <c r="X469" s="31">
        <f>V469/100*S469</f>
        <v>2</v>
      </c>
      <c r="Y469" t="b">
        <f>IF(AND(V469&gt;0,N469=V469),TRUE,FALSE)</f>
        <v>0</v>
      </c>
      <c r="Z469" s="78">
        <f>IF(C469="Einnahmen",Q469,-Q469)</f>
        <v>-10</v>
      </c>
    </row>
    <row r="470" spans="1:29" x14ac:dyDescent="0.25">
      <c r="A470" s="53">
        <v>2020</v>
      </c>
      <c r="B470" s="53">
        <v>231</v>
      </c>
      <c r="C470" s="71" t="s">
        <v>105</v>
      </c>
      <c r="D470" t="s">
        <v>705</v>
      </c>
      <c r="E470" s="9" t="s">
        <v>1443</v>
      </c>
      <c r="G470" s="1">
        <v>44193</v>
      </c>
      <c r="H470" t="s">
        <v>1432</v>
      </c>
      <c r="I470">
        <v>3</v>
      </c>
      <c r="K470" t="b">
        <f>(IF(AND(I470&lt;&gt;"",AND(J470="",ABS(Q470)&gt;400)),TRUE,FALSE))</f>
        <v>1</v>
      </c>
      <c r="L470" s="48">
        <v>2046.38</v>
      </c>
      <c r="M470" s="72">
        <v>1</v>
      </c>
      <c r="N470">
        <v>20</v>
      </c>
      <c r="O470" s="31">
        <f t="shared" si="258"/>
        <v>409.27600000000007</v>
      </c>
      <c r="P470" s="31">
        <f t="shared" si="259"/>
        <v>409.27600000000007</v>
      </c>
      <c r="Q470" s="33">
        <f>L470*M470</f>
        <v>2046.38</v>
      </c>
      <c r="R470" s="29">
        <f>L470+O470</f>
        <v>2455.6559999999999</v>
      </c>
      <c r="S470" s="29">
        <f>Q470+P470</f>
        <v>2455.6559999999999</v>
      </c>
      <c r="T470" s="35">
        <f t="shared" si="253"/>
        <v>44242</v>
      </c>
      <c r="U470" s="27"/>
      <c r="V470" s="27"/>
      <c r="W470" s="58" t="e">
        <f>IF(K470=TRUE,Q470/J470,Q470)</f>
        <v>#DIV/0!</v>
      </c>
      <c r="X470" s="31">
        <f>V470/100*S470</f>
        <v>0</v>
      </c>
      <c r="Y470" t="b">
        <f>IF(AND(V470&gt;0,N470=V470),TRUE,FALSE)</f>
        <v>0</v>
      </c>
      <c r="Z470" s="78">
        <f>IF(C470="Einnahmen",Q470,-Q470)</f>
        <v>-2046.38</v>
      </c>
    </row>
    <row r="471" spans="1:29" x14ac:dyDescent="0.25">
      <c r="A471" s="53">
        <v>2020</v>
      </c>
      <c r="B471" s="53">
        <v>232</v>
      </c>
      <c r="C471" s="71" t="s">
        <v>105</v>
      </c>
      <c r="D471" t="s">
        <v>705</v>
      </c>
      <c r="E471" s="9" t="s">
        <v>1465</v>
      </c>
      <c r="G471" s="1">
        <v>44193</v>
      </c>
      <c r="H471" t="s">
        <v>1466</v>
      </c>
      <c r="K471" t="b">
        <f>(IF(AND(I471&lt;&gt;"",AND(J471="",ABS(Q471)&gt;400)),TRUE,FALSE))</f>
        <v>0</v>
      </c>
      <c r="L471" s="48">
        <v>-193.69</v>
      </c>
      <c r="M471" s="72">
        <v>1</v>
      </c>
      <c r="N471">
        <v>0</v>
      </c>
      <c r="O471" s="31">
        <f t="shared" si="258"/>
        <v>0</v>
      </c>
      <c r="P471" s="31">
        <f t="shared" si="259"/>
        <v>0</v>
      </c>
      <c r="Q471" s="33">
        <f>L471*M471</f>
        <v>-193.69</v>
      </c>
      <c r="R471" s="29">
        <f>L471+O471</f>
        <v>-193.69</v>
      </c>
      <c r="S471" s="29">
        <f>Q471+P471</f>
        <v>-193.69</v>
      </c>
      <c r="T471" s="35">
        <f t="shared" si="253"/>
        <v>44242</v>
      </c>
      <c r="U471" s="27"/>
      <c r="V471" s="27"/>
      <c r="W471" s="58">
        <f>IF(K471=TRUE,Q471/J471,Q471)</f>
        <v>-193.69</v>
      </c>
      <c r="X471" s="31">
        <f>V471/100*S471</f>
        <v>0</v>
      </c>
      <c r="Y471" t="b">
        <f>IF(AND(V471&gt;0,N471=V471),TRUE,FALSE)</f>
        <v>0</v>
      </c>
      <c r="Z471" s="78">
        <f>IF(C471="Einnahmen",Q471,-Q471)</f>
        <v>193.69</v>
      </c>
    </row>
    <row r="472" spans="1:29" x14ac:dyDescent="0.25">
      <c r="A472" s="53">
        <v>2020</v>
      </c>
      <c r="B472" s="53">
        <v>233</v>
      </c>
      <c r="C472" s="71" t="s">
        <v>105</v>
      </c>
      <c r="D472" t="s">
        <v>687</v>
      </c>
      <c r="E472" s="131">
        <v>0</v>
      </c>
      <c r="G472" s="1">
        <v>44196</v>
      </c>
      <c r="H472" s="111" t="s">
        <v>1445</v>
      </c>
      <c r="K472" t="b">
        <v>0</v>
      </c>
      <c r="L472" s="48">
        <v>0</v>
      </c>
      <c r="M472" s="72">
        <v>1</v>
      </c>
      <c r="N472">
        <v>0</v>
      </c>
      <c r="O472" s="31">
        <f t="shared" si="258"/>
        <v>0</v>
      </c>
      <c r="P472" s="31">
        <f t="shared" si="259"/>
        <v>0</v>
      </c>
      <c r="Q472" s="33"/>
      <c r="R472" s="29">
        <f>L472+O472</f>
        <v>0</v>
      </c>
      <c r="S472" s="29"/>
      <c r="T472" s="35"/>
      <c r="U472" s="27"/>
      <c r="V472" s="27"/>
      <c r="W472" s="58"/>
      <c r="X472" s="31"/>
      <c r="Y472" t="b">
        <f>IF(AND(V472&gt;0,N472=V472),TRUE,FALSE)</f>
        <v>0</v>
      </c>
    </row>
    <row r="473" spans="1:29" x14ac:dyDescent="0.25">
      <c r="A473" s="53">
        <v>2020</v>
      </c>
      <c r="B473" s="53">
        <v>234</v>
      </c>
      <c r="C473" s="71" t="s">
        <v>708</v>
      </c>
      <c r="D473" t="s">
        <v>709</v>
      </c>
      <c r="E473" s="131">
        <v>12020018</v>
      </c>
      <c r="G473" s="1">
        <v>43992</v>
      </c>
      <c r="H473" s="115" t="s">
        <v>1472</v>
      </c>
      <c r="K473" t="b">
        <v>0</v>
      </c>
      <c r="L473" s="132">
        <v>2130</v>
      </c>
      <c r="M473" s="72">
        <v>1</v>
      </c>
      <c r="N473">
        <v>20</v>
      </c>
      <c r="O473" s="31">
        <f t="shared" si="258"/>
        <v>426</v>
      </c>
      <c r="P473" s="31">
        <f t="shared" si="259"/>
        <v>426</v>
      </c>
      <c r="Q473" s="33">
        <f>L473*M473</f>
        <v>2130</v>
      </c>
      <c r="R473" s="29">
        <f>L473+O473</f>
        <v>2556</v>
      </c>
      <c r="S473" s="29">
        <f>Q473+P473</f>
        <v>2556</v>
      </c>
      <c r="T473" s="35">
        <f t="shared" ref="T473:T536" si="260">voranmeldefrist_vierteljaehrlich(G473)</f>
        <v>44058</v>
      </c>
      <c r="U473" s="27"/>
      <c r="V473" s="27"/>
      <c r="W473" s="58">
        <f>IF(K473=TRUE,Q473/I473,Q473)</f>
        <v>2130</v>
      </c>
      <c r="X473" s="31">
        <f>V473/100*S473</f>
        <v>0</v>
      </c>
      <c r="Y473" t="b">
        <f>IF(AND(V473&gt;0,N473=V473),TRUE,FALSE)</f>
        <v>0</v>
      </c>
      <c r="Z473" s="78">
        <f>IF(C473="Einnahmen",Q473,-Q473)</f>
        <v>2130</v>
      </c>
    </row>
    <row r="474" spans="1:29" x14ac:dyDescent="0.25">
      <c r="A474" s="53">
        <v>2021</v>
      </c>
      <c r="B474" s="53">
        <v>1</v>
      </c>
      <c r="C474" s="71" t="s">
        <v>105</v>
      </c>
      <c r="D474" t="s">
        <v>691</v>
      </c>
      <c r="E474" s="9" t="s">
        <v>1520</v>
      </c>
      <c r="G474" s="1">
        <v>44200</v>
      </c>
      <c r="H474" t="s">
        <v>1113</v>
      </c>
      <c r="K474" t="b">
        <v>0</v>
      </c>
      <c r="L474" s="48">
        <v>462.44</v>
      </c>
      <c r="M474" s="72">
        <v>1</v>
      </c>
      <c r="N474">
        <v>20</v>
      </c>
      <c r="O474" s="31">
        <f t="shared" si="258"/>
        <v>92.488</v>
      </c>
      <c r="P474" s="31">
        <f t="shared" si="259"/>
        <v>92.488</v>
      </c>
      <c r="Q474" s="33">
        <f t="shared" ref="Q474:Q479" si="261">L474*M474</f>
        <v>462.44</v>
      </c>
      <c r="R474" s="29">
        <f t="shared" ref="R474:R479" si="262">L474+O474</f>
        <v>554.928</v>
      </c>
      <c r="S474" s="29">
        <f>Q474+P474</f>
        <v>554.928</v>
      </c>
      <c r="T474" s="35">
        <f t="shared" si="260"/>
        <v>44331</v>
      </c>
      <c r="U474" s="27"/>
      <c r="V474" s="27"/>
      <c r="W474" s="58">
        <f>IF(K474=TRUE,Q474/J474,Q474)</f>
        <v>462.44</v>
      </c>
      <c r="X474" s="31">
        <f t="shared" ref="X474:X479" si="263">V474/100*S474</f>
        <v>0</v>
      </c>
      <c r="Y474" t="b">
        <f t="shared" ref="Y474:Y479" si="264">IF(AND(V474&gt;0,N474=V474),TRUE,FALSE)</f>
        <v>0</v>
      </c>
      <c r="Z474" s="78">
        <f t="shared" ref="Z474:Z479" si="265">IF(C474="Einnahmen",Q474,-Q474)</f>
        <v>-462.44</v>
      </c>
    </row>
    <row r="475" spans="1:29" x14ac:dyDescent="0.25">
      <c r="A475" s="53">
        <v>2021</v>
      </c>
      <c r="B475" s="53">
        <v>2</v>
      </c>
      <c r="C475" s="71" t="s">
        <v>105</v>
      </c>
      <c r="D475" t="s">
        <v>689</v>
      </c>
      <c r="E475" s="131" t="s">
        <v>1435</v>
      </c>
      <c r="G475" s="1">
        <v>44200</v>
      </c>
      <c r="H475" t="s">
        <v>974</v>
      </c>
      <c r="K475" t="b">
        <v>0</v>
      </c>
      <c r="L475" s="48">
        <f>31.47</f>
        <v>31.47</v>
      </c>
      <c r="M475" s="72">
        <v>1</v>
      </c>
      <c r="N475">
        <v>20</v>
      </c>
      <c r="O475" s="31">
        <v>6.3</v>
      </c>
      <c r="P475" s="31">
        <v>6.3</v>
      </c>
      <c r="Q475" s="33">
        <f t="shared" si="261"/>
        <v>31.47</v>
      </c>
      <c r="R475" s="29">
        <f t="shared" si="262"/>
        <v>37.769999999999996</v>
      </c>
      <c r="S475" s="29">
        <f>Q475+P475</f>
        <v>37.769999999999996</v>
      </c>
      <c r="T475" s="35">
        <f t="shared" si="260"/>
        <v>44331</v>
      </c>
      <c r="U475" s="27"/>
      <c r="V475" s="27"/>
      <c r="W475" s="58">
        <f>IF(K475=TRUE,Q475/J475,Q475)</f>
        <v>31.47</v>
      </c>
      <c r="X475" s="31">
        <f t="shared" si="263"/>
        <v>0</v>
      </c>
      <c r="Y475" t="b">
        <f t="shared" si="264"/>
        <v>0</v>
      </c>
      <c r="Z475" s="78">
        <f t="shared" si="265"/>
        <v>-31.47</v>
      </c>
    </row>
    <row r="476" spans="1:29" x14ac:dyDescent="0.25">
      <c r="A476" s="53">
        <v>2021</v>
      </c>
      <c r="B476" s="53">
        <v>3</v>
      </c>
      <c r="C476" s="71" t="s">
        <v>105</v>
      </c>
      <c r="D476" t="s">
        <v>705</v>
      </c>
      <c r="E476" s="143" t="s">
        <v>1635</v>
      </c>
      <c r="G476" s="1">
        <v>44200</v>
      </c>
      <c r="H476" t="s">
        <v>934</v>
      </c>
      <c r="K476" t="b">
        <f>(IF(AND(I476&lt;&gt;"",AND(J476="",ABS(Q476)&gt;400)),TRUE,FALSE))</f>
        <v>0</v>
      </c>
      <c r="L476" s="48">
        <f>S476/1.2</f>
        <v>196.33333333333334</v>
      </c>
      <c r="M476" s="72">
        <v>1</v>
      </c>
      <c r="N476">
        <v>20</v>
      </c>
      <c r="O476" s="31">
        <f t="shared" ref="O476:O485" si="266">L476*N476/100</f>
        <v>39.266666666666673</v>
      </c>
      <c r="P476" s="31">
        <f t="shared" ref="P476:P485" si="267">M476*O476</f>
        <v>39.266666666666673</v>
      </c>
      <c r="Q476" s="33">
        <f t="shared" si="261"/>
        <v>196.33333333333334</v>
      </c>
      <c r="R476" s="29">
        <f t="shared" si="262"/>
        <v>235.60000000000002</v>
      </c>
      <c r="S476" s="29">
        <v>235.6</v>
      </c>
      <c r="T476" s="35">
        <f t="shared" si="260"/>
        <v>44331</v>
      </c>
      <c r="U476" s="27"/>
      <c r="V476" s="27"/>
      <c r="W476" s="58">
        <f>IF(K476=TRUE,Q476/J476,Q476)</f>
        <v>196.33333333333334</v>
      </c>
      <c r="X476" s="31">
        <f t="shared" si="263"/>
        <v>0</v>
      </c>
      <c r="Y476" t="b">
        <f t="shared" si="264"/>
        <v>0</v>
      </c>
      <c r="Z476" s="78">
        <f t="shared" si="265"/>
        <v>-196.33333333333334</v>
      </c>
    </row>
    <row r="477" spans="1:29" x14ac:dyDescent="0.25">
      <c r="A477" s="53">
        <v>2021</v>
      </c>
      <c r="B477" s="53">
        <v>4</v>
      </c>
      <c r="C477" s="71" t="s">
        <v>105</v>
      </c>
      <c r="D477" t="s">
        <v>705</v>
      </c>
      <c r="E477" s="9" t="s">
        <v>1143</v>
      </c>
      <c r="G477" s="1">
        <v>44201</v>
      </c>
      <c r="H477" t="s">
        <v>1437</v>
      </c>
      <c r="K477" t="b">
        <f>(IF(AND(I477&lt;&gt;"",AND(J477="",ABS(Q477)&gt;400)),TRUE,FALSE))</f>
        <v>0</v>
      </c>
      <c r="L477" s="48">
        <v>35</v>
      </c>
      <c r="M477" s="72">
        <v>1</v>
      </c>
      <c r="N477">
        <v>20</v>
      </c>
      <c r="O477" s="31">
        <f t="shared" si="266"/>
        <v>7</v>
      </c>
      <c r="P477" s="31">
        <f t="shared" si="267"/>
        <v>7</v>
      </c>
      <c r="Q477" s="33">
        <f t="shared" si="261"/>
        <v>35</v>
      </c>
      <c r="R477" s="29">
        <f t="shared" si="262"/>
        <v>42</v>
      </c>
      <c r="S477" s="29">
        <f>Q477+P477</f>
        <v>42</v>
      </c>
      <c r="T477" s="35">
        <f t="shared" si="260"/>
        <v>44331</v>
      </c>
      <c r="U477" s="27"/>
      <c r="V477" s="27"/>
      <c r="W477" s="58">
        <f>IF(K477=TRUE,Q477/I477,Q477)</f>
        <v>35</v>
      </c>
      <c r="X477" s="31">
        <f t="shared" si="263"/>
        <v>0</v>
      </c>
      <c r="Y477" t="b">
        <f t="shared" si="264"/>
        <v>0</v>
      </c>
      <c r="Z477" s="78">
        <f t="shared" si="265"/>
        <v>-35</v>
      </c>
    </row>
    <row r="478" spans="1:29" x14ac:dyDescent="0.25">
      <c r="A478" s="53">
        <v>2021</v>
      </c>
      <c r="B478" s="53">
        <v>5</v>
      </c>
      <c r="C478" s="71" t="s">
        <v>708</v>
      </c>
      <c r="D478" t="s">
        <v>709</v>
      </c>
      <c r="E478" s="9" t="s">
        <v>1446</v>
      </c>
      <c r="G478" s="1">
        <v>44203</v>
      </c>
      <c r="H478" t="s">
        <v>1038</v>
      </c>
      <c r="K478" t="b">
        <f>(IF(AND(I478&lt;&gt;"",AND(J478="",ABS(Q478)&gt;400)),TRUE,FALSE))</f>
        <v>0</v>
      </c>
      <c r="L478" s="109">
        <v>8600</v>
      </c>
      <c r="M478" s="72">
        <v>1</v>
      </c>
      <c r="N478">
        <v>20</v>
      </c>
      <c r="O478" s="31">
        <f t="shared" si="266"/>
        <v>1720</v>
      </c>
      <c r="P478" s="31">
        <f t="shared" si="267"/>
        <v>1720</v>
      </c>
      <c r="Q478" s="33">
        <f>L478*M478</f>
        <v>8600</v>
      </c>
      <c r="R478" s="29">
        <f>L478+O478</f>
        <v>10320</v>
      </c>
      <c r="S478" s="29">
        <f>Q478+P478</f>
        <v>10320</v>
      </c>
      <c r="T478" s="35">
        <f t="shared" si="260"/>
        <v>44331</v>
      </c>
      <c r="U478" s="27"/>
      <c r="V478" s="27"/>
      <c r="W478" s="58">
        <f>IF(K478=TRUE,Q478/I478,Q478)</f>
        <v>8600</v>
      </c>
      <c r="X478" s="31">
        <f>V478/100*S478</f>
        <v>0</v>
      </c>
      <c r="Y478" t="b">
        <f>IF(AND(V478&gt;0,N478=V478),TRUE,FALSE)</f>
        <v>0</v>
      </c>
      <c r="Z478" s="78">
        <f>IF(C478="Einnahmen",Q478,-Q478)</f>
        <v>8600</v>
      </c>
      <c r="AB478" t="b">
        <f>L478*1.2=R478</f>
        <v>1</v>
      </c>
      <c r="AC478" t="b">
        <f>L478*1.2=S478</f>
        <v>1</v>
      </c>
    </row>
    <row r="479" spans="1:29" x14ac:dyDescent="0.25">
      <c r="A479" s="53">
        <v>2021</v>
      </c>
      <c r="B479" s="53">
        <v>6</v>
      </c>
      <c r="C479" s="71" t="s">
        <v>105</v>
      </c>
      <c r="D479" t="s">
        <v>705</v>
      </c>
      <c r="E479" s="9" t="s">
        <v>1449</v>
      </c>
      <c r="G479" s="1">
        <v>44203</v>
      </c>
      <c r="H479" t="s">
        <v>927</v>
      </c>
      <c r="J479" s="76" t="s">
        <v>958</v>
      </c>
      <c r="K479" t="b">
        <f>(IF(AND(I479&lt;&gt;"",AND(J479="",ABS(Q479)&gt;400)),TRUE,FALSE))</f>
        <v>0</v>
      </c>
      <c r="L479" s="48">
        <v>2.4900000000000002</v>
      </c>
      <c r="M479" s="72">
        <v>1</v>
      </c>
      <c r="N479">
        <v>0</v>
      </c>
      <c r="O479" s="31">
        <f t="shared" si="266"/>
        <v>0</v>
      </c>
      <c r="P479" s="31">
        <f t="shared" si="267"/>
        <v>0</v>
      </c>
      <c r="Q479" s="33">
        <f t="shared" si="261"/>
        <v>2.4900000000000002</v>
      </c>
      <c r="R479" s="29">
        <f t="shared" si="262"/>
        <v>2.4900000000000002</v>
      </c>
      <c r="S479" s="29">
        <f>Q479+P479</f>
        <v>2.4900000000000002</v>
      </c>
      <c r="T479" s="35">
        <f t="shared" si="260"/>
        <v>44331</v>
      </c>
      <c r="U479" s="27"/>
      <c r="V479" s="27">
        <v>20</v>
      </c>
      <c r="W479" s="58">
        <f>IF(K479=TRUE,Q479/J479,Q479)</f>
        <v>2.4900000000000002</v>
      </c>
      <c r="X479" s="31">
        <f t="shared" si="263"/>
        <v>0.49800000000000005</v>
      </c>
      <c r="Y479" t="b">
        <f t="shared" si="264"/>
        <v>0</v>
      </c>
      <c r="Z479" s="78">
        <f t="shared" si="265"/>
        <v>-2.4900000000000002</v>
      </c>
    </row>
    <row r="480" spans="1:29" x14ac:dyDescent="0.25">
      <c r="A480" s="53">
        <v>2021</v>
      </c>
      <c r="B480" s="53">
        <v>7</v>
      </c>
      <c r="C480" s="71" t="s">
        <v>708</v>
      </c>
      <c r="D480" t="s">
        <v>709</v>
      </c>
      <c r="E480" s="9" t="s">
        <v>1447</v>
      </c>
      <c r="G480" s="1">
        <v>44204</v>
      </c>
      <c r="H480" t="s">
        <v>1170</v>
      </c>
      <c r="K480" t="b">
        <f t="shared" ref="K480:K485" si="268">(IF(AND(I480&lt;&gt;"",AND(J480="",ABS(Q480)&gt;400)),TRUE,FALSE))</f>
        <v>0</v>
      </c>
      <c r="L480" s="48">
        <v>235.33</v>
      </c>
      <c r="M480" s="72">
        <v>1</v>
      </c>
      <c r="N480">
        <v>20</v>
      </c>
      <c r="O480" s="31">
        <f t="shared" si="266"/>
        <v>47.066000000000003</v>
      </c>
      <c r="P480" s="31">
        <f t="shared" si="267"/>
        <v>47.066000000000003</v>
      </c>
      <c r="Q480" s="33">
        <f t="shared" ref="Q480:Q485" si="269">L480*M480</f>
        <v>235.33</v>
      </c>
      <c r="R480" s="29">
        <f t="shared" ref="R480:R485" si="270">L480+O480</f>
        <v>282.39600000000002</v>
      </c>
      <c r="S480" s="29">
        <f>Q480+P480</f>
        <v>282.39600000000002</v>
      </c>
      <c r="T480" s="35">
        <f t="shared" si="260"/>
        <v>44331</v>
      </c>
      <c r="U480" s="27"/>
      <c r="V480" s="27"/>
      <c r="W480" s="58">
        <f>IF(K480=TRUE,Q480/J480,Q480)</f>
        <v>235.33</v>
      </c>
      <c r="X480" s="31">
        <f t="shared" ref="X480:X485" si="271">V480/100*S480</f>
        <v>0</v>
      </c>
      <c r="Y480" t="b">
        <f t="shared" ref="Y480:Y485" si="272">IF(AND(V480&gt;0,N480=V480),TRUE,FALSE)</f>
        <v>0</v>
      </c>
      <c r="Z480" s="78">
        <f t="shared" ref="Z480:Z485" si="273">IF(C480="Einnahmen",Q480,-Q480)</f>
        <v>235.33</v>
      </c>
      <c r="AB480" t="b">
        <f>L480*1.2=R480</f>
        <v>1</v>
      </c>
      <c r="AC480" t="b">
        <f>L480*1.2=S480</f>
        <v>1</v>
      </c>
    </row>
    <row r="481" spans="1:29" x14ac:dyDescent="0.25">
      <c r="A481" s="53">
        <v>2021</v>
      </c>
      <c r="B481" s="53">
        <v>8</v>
      </c>
      <c r="C481" s="71" t="s">
        <v>105</v>
      </c>
      <c r="D481" t="s">
        <v>705</v>
      </c>
      <c r="E481" s="9" t="s">
        <v>1505</v>
      </c>
      <c r="G481" s="1">
        <v>44204</v>
      </c>
      <c r="H481" t="s">
        <v>1364</v>
      </c>
      <c r="K481" t="b">
        <f t="shared" si="268"/>
        <v>0</v>
      </c>
      <c r="L481" s="48">
        <v>2.5</v>
      </c>
      <c r="M481" s="72">
        <v>1</v>
      </c>
      <c r="N481">
        <v>20</v>
      </c>
      <c r="O481" s="31">
        <f t="shared" si="266"/>
        <v>0.5</v>
      </c>
      <c r="P481" s="31">
        <f t="shared" si="267"/>
        <v>0.5</v>
      </c>
      <c r="Q481" s="33">
        <f t="shared" si="269"/>
        <v>2.5</v>
      </c>
      <c r="R481" s="29">
        <f t="shared" si="270"/>
        <v>3</v>
      </c>
      <c r="S481" s="29">
        <v>3</v>
      </c>
      <c r="T481" s="35">
        <f t="shared" si="260"/>
        <v>44331</v>
      </c>
      <c r="U481" s="27"/>
      <c r="V481" s="27"/>
      <c r="W481" s="58">
        <f>IF(K481=TRUE,Q481/J481,Q481)</f>
        <v>2.5</v>
      </c>
      <c r="X481" s="31">
        <f t="shared" si="271"/>
        <v>0</v>
      </c>
      <c r="Y481" t="b">
        <f t="shared" si="272"/>
        <v>0</v>
      </c>
      <c r="Z481" s="78">
        <f t="shared" si="273"/>
        <v>-2.5</v>
      </c>
    </row>
    <row r="482" spans="1:29" x14ac:dyDescent="0.25">
      <c r="A482" s="53">
        <v>2021</v>
      </c>
      <c r="B482" s="53">
        <v>9</v>
      </c>
      <c r="C482" s="71" t="s">
        <v>708</v>
      </c>
      <c r="D482" t="s">
        <v>709</v>
      </c>
      <c r="E482" s="9" t="s">
        <v>1448</v>
      </c>
      <c r="G482" s="1">
        <v>44207</v>
      </c>
      <c r="H482" t="s">
        <v>1197</v>
      </c>
      <c r="K482" t="b">
        <f t="shared" si="268"/>
        <v>0</v>
      </c>
      <c r="L482" s="48">
        <v>218.78</v>
      </c>
      <c r="M482" s="72">
        <v>1</v>
      </c>
      <c r="N482">
        <v>20</v>
      </c>
      <c r="O482" s="31">
        <f t="shared" si="266"/>
        <v>43.756</v>
      </c>
      <c r="P482" s="31">
        <f t="shared" si="267"/>
        <v>43.756</v>
      </c>
      <c r="Q482" s="33">
        <f t="shared" si="269"/>
        <v>218.78</v>
      </c>
      <c r="R482" s="29">
        <f t="shared" si="270"/>
        <v>262.536</v>
      </c>
      <c r="S482" s="29">
        <f t="shared" ref="S482:S496" si="274">Q482+P482</f>
        <v>262.536</v>
      </c>
      <c r="T482" s="35">
        <f t="shared" si="260"/>
        <v>44331</v>
      </c>
      <c r="U482" s="27"/>
      <c r="V482" s="27"/>
      <c r="W482" s="58">
        <f>IF(K482=TRUE,Q482/I482,Q482)</f>
        <v>218.78</v>
      </c>
      <c r="X482" s="31">
        <f t="shared" si="271"/>
        <v>0</v>
      </c>
      <c r="Y482" t="b">
        <f t="shared" si="272"/>
        <v>0</v>
      </c>
      <c r="Z482" s="78">
        <f t="shared" si="273"/>
        <v>218.78</v>
      </c>
      <c r="AB482" t="b">
        <f>L482*1.2=R482</f>
        <v>1</v>
      </c>
      <c r="AC482" t="b">
        <f>L482*1.2=S482</f>
        <v>1</v>
      </c>
    </row>
    <row r="483" spans="1:29" x14ac:dyDescent="0.25">
      <c r="A483" s="53">
        <v>2021</v>
      </c>
      <c r="B483" s="53">
        <v>10</v>
      </c>
      <c r="C483" s="71" t="s">
        <v>708</v>
      </c>
      <c r="D483" t="s">
        <v>709</v>
      </c>
      <c r="E483" s="9">
        <v>12018015</v>
      </c>
      <c r="G483" s="1">
        <v>44208</v>
      </c>
      <c r="H483" t="s">
        <v>923</v>
      </c>
      <c r="K483" t="b">
        <f t="shared" si="268"/>
        <v>0</v>
      </c>
      <c r="L483" s="48">
        <v>350</v>
      </c>
      <c r="M483" s="72">
        <v>1</v>
      </c>
      <c r="N483">
        <v>20</v>
      </c>
      <c r="O483" s="31">
        <f t="shared" si="266"/>
        <v>70</v>
      </c>
      <c r="P483" s="31">
        <f t="shared" si="267"/>
        <v>70</v>
      </c>
      <c r="Q483" s="33">
        <f t="shared" si="269"/>
        <v>350</v>
      </c>
      <c r="R483" s="29">
        <f t="shared" si="270"/>
        <v>420</v>
      </c>
      <c r="S483" s="29">
        <f t="shared" si="274"/>
        <v>420</v>
      </c>
      <c r="T483" s="35">
        <f t="shared" si="260"/>
        <v>44331</v>
      </c>
      <c r="U483" s="27"/>
      <c r="V483" s="27"/>
      <c r="W483" s="58">
        <f>IF(K483=TRUE,Q483/J483,Q483)</f>
        <v>350</v>
      </c>
      <c r="X483" s="31">
        <f t="shared" si="271"/>
        <v>0</v>
      </c>
      <c r="Y483" t="b">
        <f t="shared" si="272"/>
        <v>0</v>
      </c>
      <c r="Z483" s="78">
        <f t="shared" si="273"/>
        <v>350</v>
      </c>
      <c r="AB483" t="b">
        <f>L483*1.2=R483</f>
        <v>1</v>
      </c>
      <c r="AC483" t="b">
        <f>L483*1.2=S483</f>
        <v>1</v>
      </c>
    </row>
    <row r="484" spans="1:29" x14ac:dyDescent="0.25">
      <c r="A484" s="53">
        <v>2021</v>
      </c>
      <c r="B484" s="53">
        <v>11</v>
      </c>
      <c r="C484" s="71" t="s">
        <v>105</v>
      </c>
      <c r="D484" t="s">
        <v>703</v>
      </c>
      <c r="E484" s="9" t="s">
        <v>1461</v>
      </c>
      <c r="G484" s="1">
        <v>44208</v>
      </c>
      <c r="H484" t="s">
        <v>34</v>
      </c>
      <c r="K484" t="b">
        <f t="shared" si="268"/>
        <v>0</v>
      </c>
      <c r="L484" s="48">
        <v>15</v>
      </c>
      <c r="M484" s="72">
        <v>1</v>
      </c>
      <c r="N484">
        <v>20</v>
      </c>
      <c r="O484" s="31">
        <f t="shared" si="266"/>
        <v>3</v>
      </c>
      <c r="P484" s="31">
        <f t="shared" si="267"/>
        <v>3</v>
      </c>
      <c r="Q484" s="33">
        <f t="shared" si="269"/>
        <v>15</v>
      </c>
      <c r="R484" s="29">
        <f t="shared" si="270"/>
        <v>18</v>
      </c>
      <c r="S484" s="29">
        <f t="shared" si="274"/>
        <v>18</v>
      </c>
      <c r="T484" s="35">
        <f t="shared" si="260"/>
        <v>44331</v>
      </c>
      <c r="U484" s="27"/>
      <c r="V484" s="27"/>
      <c r="W484" s="58">
        <f>IF(K484=TRUE,Q484/I484,Q484)</f>
        <v>15</v>
      </c>
      <c r="X484" s="31">
        <f t="shared" si="271"/>
        <v>0</v>
      </c>
      <c r="Y484" t="b">
        <f t="shared" si="272"/>
        <v>0</v>
      </c>
      <c r="Z484" s="78">
        <f t="shared" si="273"/>
        <v>-15</v>
      </c>
    </row>
    <row r="485" spans="1:29" x14ac:dyDescent="0.25">
      <c r="A485" s="53">
        <v>2021</v>
      </c>
      <c r="B485" s="53">
        <v>12</v>
      </c>
      <c r="C485" s="71" t="s">
        <v>105</v>
      </c>
      <c r="D485" t="s">
        <v>705</v>
      </c>
      <c r="E485" s="9" t="s">
        <v>1451</v>
      </c>
      <c r="G485" s="1">
        <v>44209</v>
      </c>
      <c r="H485" t="s">
        <v>927</v>
      </c>
      <c r="K485" t="b">
        <f t="shared" si="268"/>
        <v>0</v>
      </c>
      <c r="L485" s="48">
        <v>46.92</v>
      </c>
      <c r="M485" s="72">
        <v>1</v>
      </c>
      <c r="N485">
        <v>0</v>
      </c>
      <c r="O485" s="31">
        <f t="shared" si="266"/>
        <v>0</v>
      </c>
      <c r="P485" s="31">
        <f t="shared" si="267"/>
        <v>0</v>
      </c>
      <c r="Q485" s="33">
        <f t="shared" si="269"/>
        <v>46.92</v>
      </c>
      <c r="R485" s="29">
        <f t="shared" si="270"/>
        <v>46.92</v>
      </c>
      <c r="S485" s="29">
        <f t="shared" si="274"/>
        <v>46.92</v>
      </c>
      <c r="T485" s="35">
        <f t="shared" si="260"/>
        <v>44331</v>
      </c>
      <c r="U485" s="27"/>
      <c r="V485" s="27">
        <v>20</v>
      </c>
      <c r="W485" s="58">
        <f>IF(K485=TRUE,Q485/J485,Q485)</f>
        <v>46.92</v>
      </c>
      <c r="X485" s="31">
        <f t="shared" si="271"/>
        <v>9.3840000000000003</v>
      </c>
      <c r="Y485" t="b">
        <f t="shared" si="272"/>
        <v>0</v>
      </c>
      <c r="Z485" s="78">
        <f t="shared" si="273"/>
        <v>-46.92</v>
      </c>
    </row>
    <row r="486" spans="1:29" x14ac:dyDescent="0.25">
      <c r="A486" s="53">
        <v>2021</v>
      </c>
      <c r="B486" s="53">
        <v>13</v>
      </c>
      <c r="C486" s="71" t="s">
        <v>105</v>
      </c>
      <c r="D486" t="s">
        <v>693</v>
      </c>
      <c r="E486" s="9" t="s">
        <v>1452</v>
      </c>
      <c r="G486" s="1">
        <v>44214</v>
      </c>
      <c r="H486" t="s">
        <v>1453</v>
      </c>
      <c r="K486" t="b">
        <v>0</v>
      </c>
      <c r="L486" s="48">
        <v>95.99</v>
      </c>
      <c r="M486" s="72">
        <v>1</v>
      </c>
      <c r="N486">
        <v>20</v>
      </c>
      <c r="O486" s="31">
        <f t="shared" ref="O486:O495" si="275">L486*N486/100</f>
        <v>19.198</v>
      </c>
      <c r="P486" s="31">
        <f t="shared" ref="P486:P495" si="276">M486*O486</f>
        <v>19.198</v>
      </c>
      <c r="Q486" s="33">
        <f t="shared" ref="Q486:Q497" si="277">L486*M486</f>
        <v>95.99</v>
      </c>
      <c r="R486" s="29">
        <f t="shared" ref="R486:R497" si="278">L486+O486</f>
        <v>115.18799999999999</v>
      </c>
      <c r="S486" s="29">
        <f t="shared" si="274"/>
        <v>115.18799999999999</v>
      </c>
      <c r="T486" s="35">
        <f t="shared" si="260"/>
        <v>44331</v>
      </c>
      <c r="U486" s="27"/>
      <c r="V486" s="27"/>
      <c r="W486" s="58">
        <f>IF(K486=TRUE,Q486/J486,Q486)</f>
        <v>95.99</v>
      </c>
      <c r="X486" s="31">
        <f t="shared" ref="X486:X497" si="279">V486/100*S486</f>
        <v>0</v>
      </c>
      <c r="Y486" t="b">
        <f t="shared" ref="Y486:Y497" si="280">IF(AND(V486&gt;0,N486=V486),TRUE,FALSE)</f>
        <v>0</v>
      </c>
      <c r="Z486" s="78">
        <f t="shared" ref="Z486:Z497" si="281">IF(C486="Einnahmen",Q486,-Q486)</f>
        <v>-95.99</v>
      </c>
    </row>
    <row r="487" spans="1:29" x14ac:dyDescent="0.25">
      <c r="A487" s="53">
        <v>2021</v>
      </c>
      <c r="B487" s="53">
        <v>14</v>
      </c>
      <c r="C487" s="71" t="s">
        <v>105</v>
      </c>
      <c r="D487" t="s">
        <v>703</v>
      </c>
      <c r="E487" s="9" t="s">
        <v>1442</v>
      </c>
      <c r="F487" s="1">
        <v>43962</v>
      </c>
      <c r="G487" s="1">
        <v>44218</v>
      </c>
      <c r="H487" t="s">
        <v>1148</v>
      </c>
      <c r="K487" t="b">
        <f>(IF(AND(I487&lt;&gt;"",AND(J487="",ABS(Q487)&gt;400)),TRUE,FALSE))</f>
        <v>0</v>
      </c>
      <c r="L487" s="48">
        <v>35.24</v>
      </c>
      <c r="M487" s="72">
        <v>1</v>
      </c>
      <c r="N487">
        <v>20</v>
      </c>
      <c r="O487" s="31">
        <f t="shared" si="275"/>
        <v>7.0480000000000009</v>
      </c>
      <c r="P487" s="31">
        <f t="shared" si="276"/>
        <v>7.0480000000000009</v>
      </c>
      <c r="Q487" s="33">
        <f t="shared" si="277"/>
        <v>35.24</v>
      </c>
      <c r="R487" s="29">
        <f t="shared" si="278"/>
        <v>42.288000000000004</v>
      </c>
      <c r="S487" s="29">
        <f t="shared" si="274"/>
        <v>42.288000000000004</v>
      </c>
      <c r="T487" s="35">
        <f t="shared" si="260"/>
        <v>44331</v>
      </c>
      <c r="U487" s="27"/>
      <c r="V487" s="27"/>
      <c r="W487" s="58">
        <f>IF(K487=TRUE,Q487/I487,Q487)</f>
        <v>35.24</v>
      </c>
      <c r="X487" s="31">
        <f t="shared" si="279"/>
        <v>0</v>
      </c>
      <c r="Y487" t="b">
        <f t="shared" si="280"/>
        <v>0</v>
      </c>
      <c r="Z487" s="78">
        <f t="shared" si="281"/>
        <v>-35.24</v>
      </c>
    </row>
    <row r="488" spans="1:29" x14ac:dyDescent="0.25">
      <c r="A488" s="53">
        <v>2021</v>
      </c>
      <c r="B488" s="53">
        <v>15</v>
      </c>
      <c r="C488" s="71" t="s">
        <v>708</v>
      </c>
      <c r="D488" t="s">
        <v>709</v>
      </c>
      <c r="E488" s="9" t="s">
        <v>1454</v>
      </c>
      <c r="G488" s="1">
        <v>44218</v>
      </c>
      <c r="H488" t="s">
        <v>983</v>
      </c>
      <c r="K488" t="b">
        <f>(IF(AND(I488&lt;&gt;"",AND(J488="",ABS(Q488)&gt;400)),TRUE,FALSE))</f>
        <v>0</v>
      </c>
      <c r="L488" s="48">
        <v>404.25</v>
      </c>
      <c r="M488" s="72">
        <v>1</v>
      </c>
      <c r="N488">
        <v>20</v>
      </c>
      <c r="O488" s="31">
        <f t="shared" si="275"/>
        <v>80.849999999999994</v>
      </c>
      <c r="P488" s="31">
        <f t="shared" si="276"/>
        <v>80.849999999999994</v>
      </c>
      <c r="Q488" s="33">
        <f t="shared" si="277"/>
        <v>404.25</v>
      </c>
      <c r="R488" s="29">
        <f t="shared" si="278"/>
        <v>485.1</v>
      </c>
      <c r="S488" s="29">
        <f t="shared" si="274"/>
        <v>485.1</v>
      </c>
      <c r="T488" s="35">
        <f t="shared" si="260"/>
        <v>44331</v>
      </c>
      <c r="U488" s="27"/>
      <c r="V488" s="27"/>
      <c r="W488" s="58">
        <f>IF(K488=TRUE,Q488/J488,Q488)</f>
        <v>404.25</v>
      </c>
      <c r="X488" s="31">
        <f t="shared" si="279"/>
        <v>0</v>
      </c>
      <c r="Y488" t="b">
        <f t="shared" si="280"/>
        <v>0</v>
      </c>
      <c r="Z488" s="78">
        <f t="shared" si="281"/>
        <v>404.25</v>
      </c>
      <c r="AB488" t="b">
        <f>L488*1.2=R488</f>
        <v>1</v>
      </c>
      <c r="AC488" t="b">
        <f>L488*1.2=S488</f>
        <v>1</v>
      </c>
    </row>
    <row r="489" spans="1:29" x14ac:dyDescent="0.25">
      <c r="A489" s="53">
        <v>2021</v>
      </c>
      <c r="B489" s="53">
        <v>16</v>
      </c>
      <c r="C489" s="71" t="s">
        <v>708</v>
      </c>
      <c r="D489" t="s">
        <v>709</v>
      </c>
      <c r="E489" s="9" t="s">
        <v>1455</v>
      </c>
      <c r="G489" s="1">
        <v>44221</v>
      </c>
      <c r="H489" t="s">
        <v>1217</v>
      </c>
      <c r="K489" t="b">
        <v>0</v>
      </c>
      <c r="L489" s="48">
        <v>100</v>
      </c>
      <c r="M489" s="72">
        <v>1</v>
      </c>
      <c r="N489">
        <v>20</v>
      </c>
      <c r="O489" s="31">
        <f t="shared" si="275"/>
        <v>20</v>
      </c>
      <c r="P489" s="31">
        <f t="shared" si="276"/>
        <v>20</v>
      </c>
      <c r="Q489" s="33">
        <f t="shared" si="277"/>
        <v>100</v>
      </c>
      <c r="R489" s="29">
        <f t="shared" si="278"/>
        <v>120</v>
      </c>
      <c r="S489" s="29">
        <f t="shared" si="274"/>
        <v>120</v>
      </c>
      <c r="T489" s="35">
        <f t="shared" si="260"/>
        <v>44331</v>
      </c>
      <c r="U489" s="27"/>
      <c r="V489" s="27"/>
      <c r="W489" s="58">
        <f>IF(K489=TRUE,Q489/I489,Q489)</f>
        <v>100</v>
      </c>
      <c r="X489" s="31">
        <f t="shared" si="279"/>
        <v>0</v>
      </c>
      <c r="Y489" t="b">
        <f t="shared" si="280"/>
        <v>0</v>
      </c>
      <c r="Z489" s="78">
        <f t="shared" si="281"/>
        <v>100</v>
      </c>
      <c r="AB489" t="b">
        <f>L489*1.2=R489</f>
        <v>1</v>
      </c>
      <c r="AC489" t="b">
        <f>L489*1.2=S489</f>
        <v>1</v>
      </c>
    </row>
    <row r="490" spans="1:29" x14ac:dyDescent="0.25">
      <c r="A490" s="53">
        <v>2021</v>
      </c>
      <c r="B490" s="53">
        <v>17</v>
      </c>
      <c r="C490" s="71" t="s">
        <v>105</v>
      </c>
      <c r="D490" t="s">
        <v>705</v>
      </c>
      <c r="E490" s="9" t="s">
        <v>1456</v>
      </c>
      <c r="G490" s="1">
        <v>44222</v>
      </c>
      <c r="H490" t="s">
        <v>941</v>
      </c>
      <c r="K490" t="b">
        <f>(IF(AND(I490&lt;&gt;"",AND(J490="",ABS(Q490)&gt;400)),TRUE,FALSE))</f>
        <v>0</v>
      </c>
      <c r="L490" s="48">
        <v>19.899999999999999</v>
      </c>
      <c r="M490" s="72">
        <v>1</v>
      </c>
      <c r="N490">
        <v>20</v>
      </c>
      <c r="O490" s="31">
        <f t="shared" si="275"/>
        <v>3.98</v>
      </c>
      <c r="P490" s="31">
        <f t="shared" si="276"/>
        <v>3.98</v>
      </c>
      <c r="Q490" s="33">
        <f t="shared" si="277"/>
        <v>19.899999999999999</v>
      </c>
      <c r="R490" s="29">
        <f t="shared" si="278"/>
        <v>23.88</v>
      </c>
      <c r="S490" s="29">
        <f t="shared" si="274"/>
        <v>23.88</v>
      </c>
      <c r="T490" s="35">
        <f t="shared" si="260"/>
        <v>44331</v>
      </c>
      <c r="U490" s="27"/>
      <c r="V490" s="27"/>
      <c r="W490" s="58">
        <f>IF(K490=TRUE,Q490/J490,Q490)</f>
        <v>19.899999999999999</v>
      </c>
      <c r="X490" s="31">
        <f t="shared" si="279"/>
        <v>0</v>
      </c>
      <c r="Y490" t="b">
        <f t="shared" si="280"/>
        <v>0</v>
      </c>
      <c r="Z490" s="78">
        <f t="shared" si="281"/>
        <v>-19.899999999999999</v>
      </c>
    </row>
    <row r="491" spans="1:29" x14ac:dyDescent="0.25">
      <c r="A491" s="53">
        <v>2021</v>
      </c>
      <c r="B491" s="53">
        <v>18</v>
      </c>
      <c r="C491" s="71" t="s">
        <v>708</v>
      </c>
      <c r="D491" t="s">
        <v>709</v>
      </c>
      <c r="E491" s="9" t="s">
        <v>1457</v>
      </c>
      <c r="G491" s="1">
        <v>44203</v>
      </c>
      <c r="H491" t="s">
        <v>1384</v>
      </c>
      <c r="K491" t="b">
        <f>(IF(AND(I491&lt;&gt;"",AND(J491="",ABS(Q491)&gt;400)),TRUE,FALSE))</f>
        <v>0</v>
      </c>
      <c r="L491" s="48">
        <v>131.25</v>
      </c>
      <c r="M491" s="72">
        <v>1</v>
      </c>
      <c r="N491">
        <v>20</v>
      </c>
      <c r="O491" s="31">
        <f t="shared" si="275"/>
        <v>26.25</v>
      </c>
      <c r="P491" s="31">
        <f t="shared" si="276"/>
        <v>26.25</v>
      </c>
      <c r="Q491" s="33">
        <f t="shared" si="277"/>
        <v>131.25</v>
      </c>
      <c r="R491" s="29">
        <f t="shared" si="278"/>
        <v>157.5</v>
      </c>
      <c r="S491" s="29">
        <f t="shared" si="274"/>
        <v>157.5</v>
      </c>
      <c r="T491" s="35">
        <f t="shared" si="260"/>
        <v>44331</v>
      </c>
      <c r="U491" s="27"/>
      <c r="V491" s="27"/>
      <c r="W491" s="58">
        <f>IF(K491=TRUE,Q491/J491,Q491)</f>
        <v>131.25</v>
      </c>
      <c r="X491" s="31">
        <f t="shared" si="279"/>
        <v>0</v>
      </c>
      <c r="Y491" t="b">
        <f t="shared" si="280"/>
        <v>0</v>
      </c>
      <c r="Z491" s="78">
        <f t="shared" si="281"/>
        <v>131.25</v>
      </c>
      <c r="AB491" t="b">
        <f>L491*1.2=R491</f>
        <v>1</v>
      </c>
      <c r="AC491" t="b">
        <f>L491*1.2=S491</f>
        <v>1</v>
      </c>
    </row>
    <row r="492" spans="1:29" x14ac:dyDescent="0.25">
      <c r="A492" s="53">
        <v>2021</v>
      </c>
      <c r="B492" s="53">
        <v>19</v>
      </c>
      <c r="C492" s="71" t="s">
        <v>105</v>
      </c>
      <c r="D492" t="s">
        <v>683</v>
      </c>
      <c r="E492" s="9" t="s">
        <v>1458</v>
      </c>
      <c r="G492" s="1">
        <v>44224</v>
      </c>
      <c r="H492" t="s">
        <v>1099</v>
      </c>
      <c r="J492" s="76" t="s">
        <v>958</v>
      </c>
      <c r="K492" t="b">
        <f>(IF(AND(I492&lt;&gt;"",AND(J492="",ABS(Q492)&gt;400)),TRUE,FALSE))</f>
        <v>0</v>
      </c>
      <c r="L492" s="48">
        <v>265.67</v>
      </c>
      <c r="M492" s="72">
        <v>1</v>
      </c>
      <c r="N492">
        <v>20</v>
      </c>
      <c r="O492" s="31">
        <f t="shared" si="275"/>
        <v>53.134000000000007</v>
      </c>
      <c r="P492" s="31">
        <f t="shared" si="276"/>
        <v>53.134000000000007</v>
      </c>
      <c r="Q492" s="33">
        <f t="shared" si="277"/>
        <v>265.67</v>
      </c>
      <c r="R492" s="29">
        <f t="shared" si="278"/>
        <v>318.80400000000003</v>
      </c>
      <c r="S492" s="29">
        <f t="shared" si="274"/>
        <v>318.80400000000003</v>
      </c>
      <c r="T492" s="35">
        <f t="shared" si="260"/>
        <v>44331</v>
      </c>
      <c r="U492" s="27"/>
      <c r="V492" s="27"/>
      <c r="W492" s="58">
        <f>IF(K492=TRUE,Q492/I492,Q492)</f>
        <v>265.67</v>
      </c>
      <c r="X492" s="31">
        <f t="shared" si="279"/>
        <v>0</v>
      </c>
      <c r="Y492" t="b">
        <f t="shared" si="280"/>
        <v>0</v>
      </c>
      <c r="Z492" s="78">
        <f t="shared" si="281"/>
        <v>-265.67</v>
      </c>
    </row>
    <row r="493" spans="1:29" x14ac:dyDescent="0.25">
      <c r="A493" s="53">
        <v>2021</v>
      </c>
      <c r="B493" s="53">
        <v>20</v>
      </c>
      <c r="C493" s="71" t="s">
        <v>708</v>
      </c>
      <c r="D493" t="s">
        <v>709</v>
      </c>
      <c r="E493" s="9" t="s">
        <v>1459</v>
      </c>
      <c r="G493" s="1">
        <v>44228</v>
      </c>
      <c r="H493" t="s">
        <v>933</v>
      </c>
      <c r="K493" t="b">
        <f>(IF(AND(I493&lt;&gt;"",AND(J493="",ABS(Q493)&gt;400)),TRUE,FALSE))</f>
        <v>0</v>
      </c>
      <c r="L493" s="48">
        <v>196.88</v>
      </c>
      <c r="M493" s="72">
        <v>1</v>
      </c>
      <c r="N493">
        <v>20</v>
      </c>
      <c r="O493" s="31">
        <f t="shared" si="275"/>
        <v>39.375999999999998</v>
      </c>
      <c r="P493" s="31">
        <f t="shared" si="276"/>
        <v>39.375999999999998</v>
      </c>
      <c r="Q493" s="33">
        <f t="shared" si="277"/>
        <v>196.88</v>
      </c>
      <c r="R493" s="29">
        <f t="shared" si="278"/>
        <v>236.256</v>
      </c>
      <c r="S493" s="29">
        <f t="shared" si="274"/>
        <v>236.256</v>
      </c>
      <c r="T493" s="35">
        <f t="shared" si="260"/>
        <v>44331</v>
      </c>
      <c r="U493" s="27"/>
      <c r="V493" s="27"/>
      <c r="W493" s="58">
        <f>IF(K493=TRUE,Q493/J493,Q493)</f>
        <v>196.88</v>
      </c>
      <c r="X493" s="31">
        <f t="shared" si="279"/>
        <v>0</v>
      </c>
      <c r="Y493" t="b">
        <f t="shared" si="280"/>
        <v>0</v>
      </c>
      <c r="Z493" s="78">
        <f t="shared" si="281"/>
        <v>196.88</v>
      </c>
      <c r="AB493" t="b">
        <f>L493*1.2=R493</f>
        <v>1</v>
      </c>
      <c r="AC493" t="b">
        <f>L493*1.2=S493</f>
        <v>1</v>
      </c>
    </row>
    <row r="494" spans="1:29" x14ac:dyDescent="0.25">
      <c r="A494" s="53">
        <v>2021</v>
      </c>
      <c r="B494" s="53">
        <v>21</v>
      </c>
      <c r="C494" s="71" t="s">
        <v>105</v>
      </c>
      <c r="D494" t="s">
        <v>691</v>
      </c>
      <c r="E494" s="9" t="s">
        <v>1521</v>
      </c>
      <c r="G494" s="1">
        <v>44228</v>
      </c>
      <c r="H494" t="s">
        <v>1113</v>
      </c>
      <c r="K494" t="b">
        <v>0</v>
      </c>
      <c r="L494" s="48">
        <v>462.44</v>
      </c>
      <c r="M494" s="72">
        <v>1</v>
      </c>
      <c r="N494">
        <v>20</v>
      </c>
      <c r="O494" s="31">
        <f t="shared" si="275"/>
        <v>92.488</v>
      </c>
      <c r="P494" s="31">
        <f t="shared" si="276"/>
        <v>92.488</v>
      </c>
      <c r="Q494" s="33">
        <f t="shared" si="277"/>
        <v>462.44</v>
      </c>
      <c r="R494" s="29">
        <f t="shared" si="278"/>
        <v>554.928</v>
      </c>
      <c r="S494" s="29">
        <f t="shared" si="274"/>
        <v>554.928</v>
      </c>
      <c r="T494" s="35">
        <f t="shared" si="260"/>
        <v>44331</v>
      </c>
      <c r="U494" s="27"/>
      <c r="V494" s="27"/>
      <c r="W494" s="58">
        <f>IF(K494=TRUE,Q494/J494,Q494)</f>
        <v>462.44</v>
      </c>
      <c r="X494" s="31">
        <f t="shared" si="279"/>
        <v>0</v>
      </c>
      <c r="Y494" t="b">
        <f t="shared" si="280"/>
        <v>0</v>
      </c>
      <c r="Z494" s="78">
        <f t="shared" si="281"/>
        <v>-462.44</v>
      </c>
    </row>
    <row r="495" spans="1:29" x14ac:dyDescent="0.25">
      <c r="A495" s="53">
        <v>2021</v>
      </c>
      <c r="B495" s="53">
        <v>22</v>
      </c>
      <c r="C495" s="71" t="s">
        <v>105</v>
      </c>
      <c r="D495" t="s">
        <v>689</v>
      </c>
      <c r="E495" s="131" t="s">
        <v>1460</v>
      </c>
      <c r="G495" s="1">
        <v>44229</v>
      </c>
      <c r="H495" t="s">
        <v>974</v>
      </c>
      <c r="K495" t="b">
        <v>0</v>
      </c>
      <c r="L495" s="48">
        <v>34.869999999999997</v>
      </c>
      <c r="M495" s="72">
        <v>1</v>
      </c>
      <c r="N495">
        <v>20</v>
      </c>
      <c r="O495" s="31">
        <f t="shared" si="275"/>
        <v>6.9740000000000002</v>
      </c>
      <c r="P495" s="31">
        <f t="shared" si="276"/>
        <v>6.9740000000000002</v>
      </c>
      <c r="Q495" s="33">
        <f t="shared" si="277"/>
        <v>34.869999999999997</v>
      </c>
      <c r="R495" s="29">
        <f t="shared" si="278"/>
        <v>41.843999999999994</v>
      </c>
      <c r="S495" s="29">
        <f t="shared" si="274"/>
        <v>41.843999999999994</v>
      </c>
      <c r="T495" s="35">
        <f t="shared" si="260"/>
        <v>44331</v>
      </c>
      <c r="U495" s="27"/>
      <c r="V495" s="27"/>
      <c r="W495" s="58">
        <f>IF(K495=TRUE,Q495/J495,Q495)</f>
        <v>34.869999999999997</v>
      </c>
      <c r="X495" s="31">
        <f t="shared" si="279"/>
        <v>0</v>
      </c>
      <c r="Y495" t="b">
        <f t="shared" si="280"/>
        <v>0</v>
      </c>
      <c r="Z495" s="78">
        <f t="shared" si="281"/>
        <v>-34.869999999999997</v>
      </c>
    </row>
    <row r="496" spans="1:29" x14ac:dyDescent="0.25">
      <c r="A496" s="53">
        <v>2021</v>
      </c>
      <c r="B496" s="53">
        <v>23</v>
      </c>
      <c r="C496" s="71" t="s">
        <v>708</v>
      </c>
      <c r="D496" t="s">
        <v>709</v>
      </c>
      <c r="E496" s="9">
        <v>12020036</v>
      </c>
      <c r="G496" s="1">
        <v>44229</v>
      </c>
      <c r="H496" t="s">
        <v>1266</v>
      </c>
      <c r="K496" t="b">
        <f>(IF(AND(I496&lt;&gt;"",AND(J496="",ABS(Q496)&gt;400)),TRUE,FALSE))</f>
        <v>0</v>
      </c>
      <c r="L496" s="48">
        <v>8340</v>
      </c>
      <c r="M496" s="72">
        <v>1</v>
      </c>
      <c r="N496">
        <v>20</v>
      </c>
      <c r="O496" s="31">
        <f t="shared" ref="O496:O522" si="282">L496*N496/100</f>
        <v>1668</v>
      </c>
      <c r="P496" s="31">
        <f t="shared" ref="P496:P522" si="283">M496*O496</f>
        <v>1668</v>
      </c>
      <c r="Q496" s="33">
        <f t="shared" si="277"/>
        <v>8340</v>
      </c>
      <c r="R496" s="29">
        <f t="shared" si="278"/>
        <v>10008</v>
      </c>
      <c r="S496" s="29">
        <f t="shared" si="274"/>
        <v>10008</v>
      </c>
      <c r="T496" s="35">
        <f t="shared" si="260"/>
        <v>44331</v>
      </c>
      <c r="U496" s="27"/>
      <c r="V496" s="27"/>
      <c r="W496" s="58">
        <f>IF(K496=TRUE,Q496/I496,Q496)</f>
        <v>8340</v>
      </c>
      <c r="X496" s="31">
        <f t="shared" si="279"/>
        <v>0</v>
      </c>
      <c r="Y496" t="b">
        <f t="shared" si="280"/>
        <v>0</v>
      </c>
      <c r="Z496" s="78">
        <f t="shared" si="281"/>
        <v>8340</v>
      </c>
      <c r="AB496" t="b">
        <f>L496*1.2=R496</f>
        <v>1</v>
      </c>
      <c r="AC496" t="b">
        <f>L496*1.2=S496</f>
        <v>1</v>
      </c>
    </row>
    <row r="497" spans="1:29" x14ac:dyDescent="0.25">
      <c r="A497" s="53">
        <v>2021</v>
      </c>
      <c r="B497" s="53">
        <v>24</v>
      </c>
      <c r="C497" s="71" t="s">
        <v>105</v>
      </c>
      <c r="D497" t="s">
        <v>705</v>
      </c>
      <c r="E497" s="9" t="s">
        <v>1505</v>
      </c>
      <c r="G497" s="1">
        <v>44204</v>
      </c>
      <c r="H497" t="s">
        <v>1364</v>
      </c>
      <c r="K497" t="b">
        <f>(IF(AND(I497&lt;&gt;"",AND(J497="",ABS(Q497)&gt;400)),TRUE,FALSE))</f>
        <v>0</v>
      </c>
      <c r="L497" s="48">
        <v>2.5</v>
      </c>
      <c r="M497" s="72">
        <v>1</v>
      </c>
      <c r="N497">
        <v>20</v>
      </c>
      <c r="O497" s="31">
        <f t="shared" si="282"/>
        <v>0.5</v>
      </c>
      <c r="P497" s="31">
        <f t="shared" si="283"/>
        <v>0.5</v>
      </c>
      <c r="Q497" s="33">
        <f t="shared" si="277"/>
        <v>2.5</v>
      </c>
      <c r="R497" s="29">
        <f t="shared" si="278"/>
        <v>3</v>
      </c>
      <c r="S497" s="29">
        <v>3</v>
      </c>
      <c r="T497" s="35">
        <f t="shared" si="260"/>
        <v>44331</v>
      </c>
      <c r="U497" s="27"/>
      <c r="V497" s="27"/>
      <c r="W497" s="58">
        <f>IF(K497=TRUE,Q497/J497,Q497)</f>
        <v>2.5</v>
      </c>
      <c r="X497" s="31">
        <f t="shared" si="279"/>
        <v>0</v>
      </c>
      <c r="Y497" t="b">
        <f t="shared" si="280"/>
        <v>0</v>
      </c>
      <c r="Z497" s="78">
        <f t="shared" si="281"/>
        <v>-2.5</v>
      </c>
    </row>
    <row r="498" spans="1:29" x14ac:dyDescent="0.25">
      <c r="A498" s="53">
        <v>2021</v>
      </c>
      <c r="B498" s="53">
        <v>25</v>
      </c>
      <c r="C498" s="71" t="s">
        <v>105</v>
      </c>
      <c r="D498" t="s">
        <v>703</v>
      </c>
      <c r="E498" s="9" t="s">
        <v>1450</v>
      </c>
      <c r="G498" s="1">
        <v>44231</v>
      </c>
      <c r="H498" t="s">
        <v>34</v>
      </c>
      <c r="K498" t="b">
        <f>(IF(AND(I498&lt;&gt;"",AND(J498="",ABS(Q498)&gt;400)),TRUE,FALSE))</f>
        <v>0</v>
      </c>
      <c r="L498" s="48">
        <v>15</v>
      </c>
      <c r="M498" s="72">
        <v>1</v>
      </c>
      <c r="N498">
        <v>20</v>
      </c>
      <c r="O498" s="31">
        <f t="shared" si="282"/>
        <v>3</v>
      </c>
      <c r="P498" s="31">
        <f t="shared" si="283"/>
        <v>3</v>
      </c>
      <c r="Q498" s="33">
        <f t="shared" ref="Q498:Q509" si="284">L498*M498</f>
        <v>15</v>
      </c>
      <c r="R498" s="29">
        <f t="shared" ref="R498:R509" si="285">L498+O498</f>
        <v>18</v>
      </c>
      <c r="S498" s="29">
        <f t="shared" ref="S498:S505" si="286">Q498+P498</f>
        <v>18</v>
      </c>
      <c r="T498" s="35">
        <f t="shared" si="260"/>
        <v>44331</v>
      </c>
      <c r="U498" s="27"/>
      <c r="V498" s="27"/>
      <c r="W498" s="58">
        <f>IF(K498=TRUE,Q498/I498,Q498)</f>
        <v>15</v>
      </c>
      <c r="X498" s="31">
        <f t="shared" ref="X498:X509" si="287">V498/100*S498</f>
        <v>0</v>
      </c>
      <c r="Y498" t="b">
        <f t="shared" ref="Y498:Y509" si="288">IF(AND(V498&gt;0,N498=V498),TRUE,FALSE)</f>
        <v>0</v>
      </c>
      <c r="Z498" s="78">
        <f t="shared" ref="Z498:Z509" si="289">IF(C498="Einnahmen",Q498,-Q498)</f>
        <v>-15</v>
      </c>
    </row>
    <row r="499" spans="1:29" x14ac:dyDescent="0.25">
      <c r="A499" s="53">
        <v>2021</v>
      </c>
      <c r="B499" s="53">
        <v>26</v>
      </c>
      <c r="C499" s="71" t="s">
        <v>105</v>
      </c>
      <c r="D499" t="s">
        <v>705</v>
      </c>
      <c r="E499" s="9" t="s">
        <v>1143</v>
      </c>
      <c r="G499" s="1">
        <v>44232</v>
      </c>
      <c r="H499" t="s">
        <v>1437</v>
      </c>
      <c r="K499" t="b">
        <f>(IF(AND(I499&lt;&gt;"",AND(J499="",ABS(Q499)&gt;400)),TRUE,FALSE))</f>
        <v>0</v>
      </c>
      <c r="L499" s="48">
        <v>35</v>
      </c>
      <c r="M499" s="72">
        <v>1</v>
      </c>
      <c r="N499">
        <v>20</v>
      </c>
      <c r="O499" s="31">
        <f t="shared" si="282"/>
        <v>7</v>
      </c>
      <c r="P499" s="31">
        <f t="shared" si="283"/>
        <v>7</v>
      </c>
      <c r="Q499" s="33">
        <f t="shared" si="284"/>
        <v>35</v>
      </c>
      <c r="R499" s="29">
        <f t="shared" si="285"/>
        <v>42</v>
      </c>
      <c r="S499" s="29">
        <f t="shared" si="286"/>
        <v>42</v>
      </c>
      <c r="T499" s="35">
        <f t="shared" si="260"/>
        <v>44331</v>
      </c>
      <c r="U499" s="27"/>
      <c r="V499" s="27"/>
      <c r="W499" s="58">
        <f>IF(K499=TRUE,Q499/I499,Q499)</f>
        <v>35</v>
      </c>
      <c r="X499" s="31">
        <f t="shared" si="287"/>
        <v>0</v>
      </c>
      <c r="Y499" t="b">
        <f t="shared" si="288"/>
        <v>0</v>
      </c>
      <c r="Z499" s="78">
        <f t="shared" si="289"/>
        <v>-35</v>
      </c>
    </row>
    <row r="500" spans="1:29" x14ac:dyDescent="0.25">
      <c r="A500" s="53">
        <v>2021</v>
      </c>
      <c r="B500" s="53">
        <v>27</v>
      </c>
      <c r="C500" s="71" t="s">
        <v>105</v>
      </c>
      <c r="D500" t="s">
        <v>692</v>
      </c>
      <c r="E500" s="131">
        <v>10204</v>
      </c>
      <c r="G500" s="1">
        <v>44232</v>
      </c>
      <c r="H500" t="s">
        <v>1462</v>
      </c>
      <c r="K500" t="b">
        <f>(IF(AND(I500&lt;&gt;"",AND(J500="",ABS(Q500)&gt;400)),TRUE,FALSE))</f>
        <v>0</v>
      </c>
      <c r="L500" s="48">
        <v>142.91999999999999</v>
      </c>
      <c r="M500" s="72">
        <v>1</v>
      </c>
      <c r="N500">
        <v>0</v>
      </c>
      <c r="O500" s="31">
        <f t="shared" si="282"/>
        <v>0</v>
      </c>
      <c r="P500" s="31">
        <f t="shared" si="283"/>
        <v>0</v>
      </c>
      <c r="Q500" s="33">
        <f t="shared" si="284"/>
        <v>142.91999999999999</v>
      </c>
      <c r="R500" s="29">
        <f t="shared" si="285"/>
        <v>142.91999999999999</v>
      </c>
      <c r="S500" s="29">
        <f t="shared" si="286"/>
        <v>142.91999999999999</v>
      </c>
      <c r="T500" s="35">
        <f t="shared" si="260"/>
        <v>44331</v>
      </c>
      <c r="U500" s="27"/>
      <c r="V500" s="27"/>
      <c r="W500" s="58">
        <f>IF(K500=TRUE,Q500/J500,Q500)</f>
        <v>142.91999999999999</v>
      </c>
      <c r="X500" s="31">
        <f t="shared" si="287"/>
        <v>0</v>
      </c>
      <c r="Y500" t="b">
        <f t="shared" si="288"/>
        <v>0</v>
      </c>
      <c r="Z500" s="78">
        <f t="shared" si="289"/>
        <v>-142.91999999999999</v>
      </c>
    </row>
    <row r="501" spans="1:29" x14ac:dyDescent="0.25">
      <c r="A501" s="53">
        <v>2021</v>
      </c>
      <c r="B501" s="53">
        <v>28</v>
      </c>
      <c r="C501" s="71" t="s">
        <v>708</v>
      </c>
      <c r="D501" t="s">
        <v>709</v>
      </c>
      <c r="E501" s="9" t="s">
        <v>1463</v>
      </c>
      <c r="G501" s="1">
        <v>44235</v>
      </c>
      <c r="H501" t="s">
        <v>1388</v>
      </c>
      <c r="K501" t="b">
        <v>0</v>
      </c>
      <c r="L501" s="48">
        <v>459.38</v>
      </c>
      <c r="M501" s="72">
        <v>1</v>
      </c>
      <c r="N501">
        <v>20</v>
      </c>
      <c r="O501" s="31">
        <f t="shared" si="282"/>
        <v>91.876000000000005</v>
      </c>
      <c r="P501" s="31">
        <f t="shared" si="283"/>
        <v>91.876000000000005</v>
      </c>
      <c r="Q501" s="33">
        <f t="shared" si="284"/>
        <v>459.38</v>
      </c>
      <c r="R501" s="29">
        <f t="shared" si="285"/>
        <v>551.25599999999997</v>
      </c>
      <c r="S501" s="29">
        <f t="shared" si="286"/>
        <v>551.25599999999997</v>
      </c>
      <c r="T501" s="35">
        <f t="shared" si="260"/>
        <v>44331</v>
      </c>
      <c r="U501" s="27"/>
      <c r="V501" s="27"/>
      <c r="W501" s="58">
        <f>IF(K501=TRUE,Q501/I501,Q501)</f>
        <v>459.38</v>
      </c>
      <c r="X501" s="31">
        <f t="shared" si="287"/>
        <v>0</v>
      </c>
      <c r="Y501" t="b">
        <f t="shared" si="288"/>
        <v>0</v>
      </c>
      <c r="Z501" s="78">
        <f t="shared" si="289"/>
        <v>459.38</v>
      </c>
      <c r="AB501" t="b">
        <f>L501*1.2=R501</f>
        <v>1</v>
      </c>
      <c r="AC501" t="b">
        <f>L501*1.2=S501</f>
        <v>1</v>
      </c>
    </row>
    <row r="502" spans="1:29" x14ac:dyDescent="0.25">
      <c r="A502" s="53">
        <v>2021</v>
      </c>
      <c r="B502" s="53">
        <v>29</v>
      </c>
      <c r="C502" s="71" t="s">
        <v>105</v>
      </c>
      <c r="D502" t="s">
        <v>705</v>
      </c>
      <c r="E502" s="9" t="s">
        <v>1464</v>
      </c>
      <c r="G502" s="1">
        <v>44235</v>
      </c>
      <c r="H502" t="s">
        <v>927</v>
      </c>
      <c r="J502" s="76" t="s">
        <v>958</v>
      </c>
      <c r="K502" t="b">
        <f t="shared" ref="K502:K507" si="290">(IF(AND(I502&lt;&gt;"",AND(J502="",ABS(Q502)&gt;400)),TRUE,FALSE))</f>
        <v>0</v>
      </c>
      <c r="L502" s="48">
        <v>2.4900000000000002</v>
      </c>
      <c r="M502" s="72">
        <v>1</v>
      </c>
      <c r="N502">
        <v>0</v>
      </c>
      <c r="O502" s="31">
        <f t="shared" si="282"/>
        <v>0</v>
      </c>
      <c r="P502" s="31">
        <f t="shared" si="283"/>
        <v>0</v>
      </c>
      <c r="Q502" s="33">
        <f t="shared" si="284"/>
        <v>2.4900000000000002</v>
      </c>
      <c r="R502" s="29">
        <f t="shared" si="285"/>
        <v>2.4900000000000002</v>
      </c>
      <c r="S502" s="29">
        <f t="shared" si="286"/>
        <v>2.4900000000000002</v>
      </c>
      <c r="T502" s="35">
        <f t="shared" si="260"/>
        <v>44331</v>
      </c>
      <c r="U502" s="27"/>
      <c r="V502" s="27">
        <v>20</v>
      </c>
      <c r="W502" s="58">
        <f>IF(K502=TRUE,Q502/J502,Q502)</f>
        <v>2.4900000000000002</v>
      </c>
      <c r="X502" s="31">
        <f t="shared" si="287"/>
        <v>0.49800000000000005</v>
      </c>
      <c r="Y502" t="b">
        <f t="shared" si="288"/>
        <v>0</v>
      </c>
      <c r="Z502" s="78">
        <f t="shared" si="289"/>
        <v>-2.4900000000000002</v>
      </c>
    </row>
    <row r="503" spans="1:29" x14ac:dyDescent="0.25">
      <c r="A503" s="53">
        <v>2021</v>
      </c>
      <c r="B503" s="53">
        <v>30</v>
      </c>
      <c r="C503" s="71" t="s">
        <v>105</v>
      </c>
      <c r="D503" t="s">
        <v>705</v>
      </c>
      <c r="E503" s="9" t="s">
        <v>1465</v>
      </c>
      <c r="G503" s="1">
        <v>44237</v>
      </c>
      <c r="H503" t="s">
        <v>1466</v>
      </c>
      <c r="K503" t="b">
        <f t="shared" si="290"/>
        <v>0</v>
      </c>
      <c r="L503" s="48">
        <v>13</v>
      </c>
      <c r="M503" s="72">
        <v>1</v>
      </c>
      <c r="N503">
        <v>20</v>
      </c>
      <c r="O503" s="31">
        <f>L503*N503/100</f>
        <v>2.6</v>
      </c>
      <c r="P503" s="31">
        <f>M503*O503</f>
        <v>2.6</v>
      </c>
      <c r="Q503" s="33">
        <f t="shared" si="284"/>
        <v>13</v>
      </c>
      <c r="R503" s="29">
        <f t="shared" si="285"/>
        <v>15.6</v>
      </c>
      <c r="S503" s="29">
        <f t="shared" si="286"/>
        <v>15.6</v>
      </c>
      <c r="T503" s="35">
        <f t="shared" si="260"/>
        <v>44331</v>
      </c>
      <c r="U503" s="27"/>
      <c r="V503" s="27"/>
      <c r="W503" s="58">
        <f>IF(K503=TRUE,Q503/J503,Q503)</f>
        <v>13</v>
      </c>
      <c r="X503" s="31">
        <f t="shared" si="287"/>
        <v>0</v>
      </c>
      <c r="Y503" t="b">
        <f t="shared" si="288"/>
        <v>0</v>
      </c>
      <c r="Z503" s="78">
        <f t="shared" si="289"/>
        <v>-13</v>
      </c>
    </row>
    <row r="504" spans="1:29" x14ac:dyDescent="0.25">
      <c r="A504" s="53">
        <v>2021</v>
      </c>
      <c r="B504" s="53">
        <v>31</v>
      </c>
      <c r="C504" s="71" t="s">
        <v>105</v>
      </c>
      <c r="D504" t="s">
        <v>705</v>
      </c>
      <c r="E504" s="9" t="s">
        <v>1491</v>
      </c>
      <c r="G504" s="1">
        <v>44238</v>
      </c>
      <c r="H504" t="s">
        <v>927</v>
      </c>
      <c r="K504" t="b">
        <f t="shared" si="290"/>
        <v>0</v>
      </c>
      <c r="L504" s="48">
        <v>46.916800000000002</v>
      </c>
      <c r="M504" s="72">
        <v>1</v>
      </c>
      <c r="N504">
        <v>0</v>
      </c>
      <c r="O504" s="31">
        <f t="shared" si="282"/>
        <v>0</v>
      </c>
      <c r="P504" s="31">
        <f t="shared" si="283"/>
        <v>0</v>
      </c>
      <c r="Q504" s="33">
        <f t="shared" si="284"/>
        <v>46.916800000000002</v>
      </c>
      <c r="R504" s="29">
        <f t="shared" si="285"/>
        <v>46.916800000000002</v>
      </c>
      <c r="S504" s="29">
        <f t="shared" si="286"/>
        <v>46.916800000000002</v>
      </c>
      <c r="T504" s="35">
        <f t="shared" si="260"/>
        <v>44331</v>
      </c>
      <c r="U504" s="27"/>
      <c r="V504" s="27">
        <v>20</v>
      </c>
      <c r="W504" s="58">
        <f>IF(K504=TRUE,Q504/J504,Q504)</f>
        <v>46.916800000000002</v>
      </c>
      <c r="X504" s="31">
        <f t="shared" si="287"/>
        <v>9.3833600000000015</v>
      </c>
      <c r="Y504" t="b">
        <f t="shared" si="288"/>
        <v>0</v>
      </c>
      <c r="Z504" s="78">
        <f t="shared" si="289"/>
        <v>-46.916800000000002</v>
      </c>
    </row>
    <row r="505" spans="1:29" x14ac:dyDescent="0.25">
      <c r="A505" s="53">
        <v>2021</v>
      </c>
      <c r="B505" s="53">
        <v>32</v>
      </c>
      <c r="C505" s="71" t="s">
        <v>105</v>
      </c>
      <c r="D505" t="s">
        <v>705</v>
      </c>
      <c r="E505" s="9" t="s">
        <v>1505</v>
      </c>
      <c r="G505" s="1">
        <v>44242</v>
      </c>
      <c r="H505" t="s">
        <v>1364</v>
      </c>
      <c r="K505" t="b">
        <f t="shared" si="290"/>
        <v>0</v>
      </c>
      <c r="L505" s="48">
        <v>-10.33</v>
      </c>
      <c r="M505" s="72">
        <v>1</v>
      </c>
      <c r="N505">
        <v>20</v>
      </c>
      <c r="O505" s="31">
        <f t="shared" si="282"/>
        <v>-2.0659999999999998</v>
      </c>
      <c r="P505" s="31">
        <f t="shared" si="283"/>
        <v>-2.0659999999999998</v>
      </c>
      <c r="Q505" s="33">
        <f t="shared" si="284"/>
        <v>-10.33</v>
      </c>
      <c r="R505" s="29">
        <f t="shared" si="285"/>
        <v>-12.396000000000001</v>
      </c>
      <c r="S505" s="29">
        <f t="shared" si="286"/>
        <v>-12.396000000000001</v>
      </c>
      <c r="T505" s="35">
        <f t="shared" si="260"/>
        <v>44331</v>
      </c>
      <c r="U505" s="27"/>
      <c r="V505" s="27"/>
      <c r="W505" s="58">
        <f>IF(K505=TRUE,Q505/J505,Q505)</f>
        <v>-10.33</v>
      </c>
      <c r="X505" s="31">
        <f t="shared" si="287"/>
        <v>0</v>
      </c>
      <c r="Y505" t="b">
        <f t="shared" si="288"/>
        <v>0</v>
      </c>
      <c r="Z505" s="78">
        <f t="shared" si="289"/>
        <v>10.33</v>
      </c>
    </row>
    <row r="506" spans="1:29" x14ac:dyDescent="0.25">
      <c r="A506" s="53">
        <v>2021</v>
      </c>
      <c r="B506" s="53">
        <v>33</v>
      </c>
      <c r="C506" s="71" t="s">
        <v>105</v>
      </c>
      <c r="D506" t="s">
        <v>705</v>
      </c>
      <c r="E506" s="9" t="s">
        <v>1493</v>
      </c>
      <c r="F506" s="1">
        <v>43962</v>
      </c>
      <c r="G506" s="1">
        <v>44244</v>
      </c>
      <c r="H506" t="s">
        <v>1020</v>
      </c>
      <c r="K506" t="b">
        <f t="shared" si="290"/>
        <v>0</v>
      </c>
      <c r="L506" s="48">
        <v>12.08</v>
      </c>
      <c r="M506" s="72">
        <v>1</v>
      </c>
      <c r="N506">
        <v>20</v>
      </c>
      <c r="O506" s="31">
        <f t="shared" si="282"/>
        <v>2.4159999999999999</v>
      </c>
      <c r="P506" s="31">
        <f t="shared" si="283"/>
        <v>2.4159999999999999</v>
      </c>
      <c r="Q506" s="33">
        <f t="shared" si="284"/>
        <v>12.08</v>
      </c>
      <c r="R506" s="29">
        <f t="shared" si="285"/>
        <v>14.496</v>
      </c>
      <c r="S506" s="29">
        <f t="shared" ref="S506:S511" si="291">Q506+P506</f>
        <v>14.496</v>
      </c>
      <c r="T506" s="35">
        <f t="shared" si="260"/>
        <v>44331</v>
      </c>
      <c r="U506" s="27"/>
      <c r="V506" s="27"/>
      <c r="W506" s="58">
        <f>IF(K506=TRUE,Q506/I506,Q506)</f>
        <v>12.08</v>
      </c>
      <c r="X506" s="31">
        <f t="shared" si="287"/>
        <v>0</v>
      </c>
      <c r="Y506" t="b">
        <f t="shared" si="288"/>
        <v>0</v>
      </c>
      <c r="Z506" s="78">
        <f t="shared" si="289"/>
        <v>-12.08</v>
      </c>
    </row>
    <row r="507" spans="1:29" x14ac:dyDescent="0.25">
      <c r="A507" s="53">
        <v>2021</v>
      </c>
      <c r="B507" s="53">
        <v>34</v>
      </c>
      <c r="C507" s="71" t="s">
        <v>105</v>
      </c>
      <c r="D507" t="s">
        <v>703</v>
      </c>
      <c r="E507" s="9" t="s">
        <v>1492</v>
      </c>
      <c r="F507" s="1">
        <v>43962</v>
      </c>
      <c r="G507" s="1">
        <v>44246</v>
      </c>
      <c r="H507" t="s">
        <v>1148</v>
      </c>
      <c r="K507" t="b">
        <f t="shared" si="290"/>
        <v>0</v>
      </c>
      <c r="L507" s="48">
        <v>10.71</v>
      </c>
      <c r="M507" s="72">
        <v>1</v>
      </c>
      <c r="N507">
        <v>20</v>
      </c>
      <c r="O507" s="31">
        <f t="shared" si="282"/>
        <v>2.1420000000000003</v>
      </c>
      <c r="P507" s="31">
        <f t="shared" si="283"/>
        <v>2.1420000000000003</v>
      </c>
      <c r="Q507" s="33">
        <f t="shared" si="284"/>
        <v>10.71</v>
      </c>
      <c r="R507" s="29">
        <f t="shared" si="285"/>
        <v>12.852</v>
      </c>
      <c r="S507" s="29">
        <f t="shared" si="291"/>
        <v>12.852</v>
      </c>
      <c r="T507" s="35">
        <f t="shared" si="260"/>
        <v>44331</v>
      </c>
      <c r="U507" s="27"/>
      <c r="V507" s="27"/>
      <c r="W507" s="58">
        <f>IF(K507=TRUE,Q507/I507,Q507)</f>
        <v>10.71</v>
      </c>
      <c r="X507" s="31">
        <f t="shared" si="287"/>
        <v>0</v>
      </c>
      <c r="Y507" t="b">
        <f t="shared" si="288"/>
        <v>0</v>
      </c>
      <c r="Z507" s="78">
        <f t="shared" si="289"/>
        <v>-10.71</v>
      </c>
    </row>
    <row r="508" spans="1:29" x14ac:dyDescent="0.25">
      <c r="A508" s="53">
        <v>2021</v>
      </c>
      <c r="B508" s="53">
        <v>35</v>
      </c>
      <c r="C508" s="71" t="s">
        <v>105</v>
      </c>
      <c r="D508" t="s">
        <v>691</v>
      </c>
      <c r="E508" s="9" t="s">
        <v>1522</v>
      </c>
      <c r="G508" s="1">
        <v>44256</v>
      </c>
      <c r="H508" t="s">
        <v>1113</v>
      </c>
      <c r="K508" t="b">
        <v>0</v>
      </c>
      <c r="L508" s="48">
        <v>462.44</v>
      </c>
      <c r="M508" s="72">
        <v>1</v>
      </c>
      <c r="N508">
        <v>20</v>
      </c>
      <c r="O508" s="31">
        <f t="shared" si="282"/>
        <v>92.488</v>
      </c>
      <c r="P508" s="31">
        <f t="shared" si="283"/>
        <v>92.488</v>
      </c>
      <c r="Q508" s="33">
        <f t="shared" si="284"/>
        <v>462.44</v>
      </c>
      <c r="R508" s="29">
        <f t="shared" si="285"/>
        <v>554.928</v>
      </c>
      <c r="S508" s="29">
        <f t="shared" si="291"/>
        <v>554.928</v>
      </c>
      <c r="T508" s="35">
        <f t="shared" si="260"/>
        <v>44331</v>
      </c>
      <c r="U508" s="27"/>
      <c r="V508" s="27"/>
      <c r="W508" s="58">
        <f>IF(K508=TRUE,Q508/J508,Q508)</f>
        <v>462.44</v>
      </c>
      <c r="X508" s="31">
        <f t="shared" si="287"/>
        <v>0</v>
      </c>
      <c r="Y508" t="b">
        <f t="shared" si="288"/>
        <v>0</v>
      </c>
      <c r="Z508" s="78">
        <f t="shared" si="289"/>
        <v>-462.44</v>
      </c>
    </row>
    <row r="509" spans="1:29" x14ac:dyDescent="0.25">
      <c r="A509" s="53">
        <v>2021</v>
      </c>
      <c r="B509" s="53">
        <v>36</v>
      </c>
      <c r="C509" s="71" t="s">
        <v>105</v>
      </c>
      <c r="D509" t="s">
        <v>689</v>
      </c>
      <c r="E509" s="9" t="s">
        <v>1494</v>
      </c>
      <c r="G509" s="1">
        <v>44257</v>
      </c>
      <c r="H509" t="s">
        <v>1495</v>
      </c>
      <c r="K509" t="b">
        <v>0</v>
      </c>
      <c r="L509" s="48">
        <f>40.8/1.1</f>
        <v>37.090909090909086</v>
      </c>
      <c r="M509" s="72">
        <v>1</v>
      </c>
      <c r="N509">
        <v>10</v>
      </c>
      <c r="O509" s="31">
        <f t="shared" si="282"/>
        <v>3.709090909090909</v>
      </c>
      <c r="P509" s="31">
        <f t="shared" si="283"/>
        <v>3.709090909090909</v>
      </c>
      <c r="Q509" s="33">
        <f t="shared" si="284"/>
        <v>37.090909090909086</v>
      </c>
      <c r="R509" s="29">
        <f t="shared" si="285"/>
        <v>40.799999999999997</v>
      </c>
      <c r="S509" s="29">
        <f t="shared" si="291"/>
        <v>40.799999999999997</v>
      </c>
      <c r="T509" s="35">
        <f t="shared" si="260"/>
        <v>44331</v>
      </c>
      <c r="U509" s="27"/>
      <c r="V509" s="27"/>
      <c r="W509" s="58">
        <f>IF(K509=TRUE,Q509/I509,Q509)</f>
        <v>37.090909090909086</v>
      </c>
      <c r="X509" s="31">
        <f t="shared" si="287"/>
        <v>0</v>
      </c>
      <c r="Y509" t="b">
        <f t="shared" si="288"/>
        <v>0</v>
      </c>
      <c r="Z509" s="78">
        <f t="shared" si="289"/>
        <v>-37.090909090909086</v>
      </c>
    </row>
    <row r="510" spans="1:29" x14ac:dyDescent="0.25">
      <c r="A510" s="53">
        <v>2021</v>
      </c>
      <c r="B510" s="53">
        <v>37</v>
      </c>
      <c r="C510" s="71" t="s">
        <v>105</v>
      </c>
      <c r="D510" t="s">
        <v>689</v>
      </c>
      <c r="E510" s="9" t="s">
        <v>1496</v>
      </c>
      <c r="G510" s="1">
        <v>44257</v>
      </c>
      <c r="H510" t="s">
        <v>1495</v>
      </c>
      <c r="K510" t="b">
        <v>0</v>
      </c>
      <c r="L510" s="48">
        <f>2.4/1.1</f>
        <v>2.1818181818181817</v>
      </c>
      <c r="M510" s="72">
        <v>1</v>
      </c>
      <c r="N510">
        <v>10</v>
      </c>
      <c r="O510" s="31">
        <f t="shared" si="282"/>
        <v>0.21818181818181817</v>
      </c>
      <c r="P510" s="31">
        <f t="shared" si="283"/>
        <v>0.21818181818181817</v>
      </c>
      <c r="Q510" s="33">
        <f t="shared" ref="Q510:Q518" si="292">L510*M510</f>
        <v>2.1818181818181817</v>
      </c>
      <c r="R510" s="29">
        <f t="shared" ref="R510:R518" si="293">L510+O510</f>
        <v>2.4</v>
      </c>
      <c r="S510" s="29">
        <f t="shared" si="291"/>
        <v>2.4</v>
      </c>
      <c r="T510" s="35">
        <f t="shared" si="260"/>
        <v>44331</v>
      </c>
      <c r="U510" s="27"/>
      <c r="V510" s="27"/>
      <c r="W510" s="58">
        <f>IF(K510=TRUE,Q510/I510,Q510)</f>
        <v>2.1818181818181817</v>
      </c>
      <c r="X510" s="31">
        <f t="shared" ref="X510:X518" si="294">V510/100*S510</f>
        <v>0</v>
      </c>
      <c r="Y510" t="b">
        <f t="shared" ref="Y510:Y518" si="295">IF(AND(V510&gt;0,N510=V510),TRUE,FALSE)</f>
        <v>0</v>
      </c>
      <c r="Z510" s="78">
        <f t="shared" ref="Z510:Z518" si="296">IF(C510="Einnahmen",Q510,-Q510)</f>
        <v>-2.1818181818181817</v>
      </c>
    </row>
    <row r="511" spans="1:29" x14ac:dyDescent="0.25">
      <c r="A511" s="53">
        <v>2021</v>
      </c>
      <c r="B511" s="53">
        <v>38</v>
      </c>
      <c r="C511" s="71" t="s">
        <v>105</v>
      </c>
      <c r="D511" t="s">
        <v>689</v>
      </c>
      <c r="E511" s="131" t="s">
        <v>1497</v>
      </c>
      <c r="G511" s="1">
        <v>44257</v>
      </c>
      <c r="H511" t="s">
        <v>974</v>
      </c>
      <c r="K511" t="b">
        <v>0</v>
      </c>
      <c r="L511" s="48">
        <v>49.19</v>
      </c>
      <c r="M511" s="72">
        <v>1</v>
      </c>
      <c r="N511">
        <v>20</v>
      </c>
      <c r="O511" s="31">
        <f t="shared" si="282"/>
        <v>9.8379999999999992</v>
      </c>
      <c r="P511" s="31">
        <f t="shared" si="283"/>
        <v>9.8379999999999992</v>
      </c>
      <c r="Q511" s="33">
        <f t="shared" si="292"/>
        <v>49.19</v>
      </c>
      <c r="R511" s="29">
        <f t="shared" si="293"/>
        <v>59.027999999999999</v>
      </c>
      <c r="S511" s="29">
        <f t="shared" si="291"/>
        <v>59.027999999999999</v>
      </c>
      <c r="T511" s="35">
        <f t="shared" si="260"/>
        <v>44331</v>
      </c>
      <c r="U511" s="27"/>
      <c r="V511" s="27"/>
      <c r="W511" s="58">
        <f>IF(K511=TRUE,Q511/J511,Q511)</f>
        <v>49.19</v>
      </c>
      <c r="X511" s="31">
        <f t="shared" si="294"/>
        <v>0</v>
      </c>
      <c r="Y511" t="b">
        <f t="shared" si="295"/>
        <v>0</v>
      </c>
      <c r="Z511" s="78">
        <f t="shared" si="296"/>
        <v>-49.19</v>
      </c>
    </row>
    <row r="512" spans="1:29" x14ac:dyDescent="0.25">
      <c r="A512" s="53">
        <v>2021</v>
      </c>
      <c r="B512" s="53">
        <v>39</v>
      </c>
      <c r="C512" s="71" t="s">
        <v>105</v>
      </c>
      <c r="D512" t="s">
        <v>705</v>
      </c>
      <c r="E512" s="9" t="s">
        <v>1505</v>
      </c>
      <c r="G512" s="1">
        <v>44258</v>
      </c>
      <c r="H512" t="s">
        <v>1364</v>
      </c>
      <c r="K512" t="b">
        <f>(IF(AND(I512&lt;&gt;"",AND(J512="",ABS(Q512)&gt;400)),TRUE,FALSE))</f>
        <v>0</v>
      </c>
      <c r="L512" s="48">
        <f>3/1.2</f>
        <v>2.5</v>
      </c>
      <c r="M512" s="72">
        <v>1</v>
      </c>
      <c r="N512">
        <v>20</v>
      </c>
      <c r="O512" s="31">
        <f t="shared" si="282"/>
        <v>0.5</v>
      </c>
      <c r="P512" s="31">
        <f t="shared" si="283"/>
        <v>0.5</v>
      </c>
      <c r="Q512" s="33">
        <f t="shared" si="292"/>
        <v>2.5</v>
      </c>
      <c r="R512" s="29">
        <f t="shared" si="293"/>
        <v>3</v>
      </c>
      <c r="S512" s="29">
        <v>3</v>
      </c>
      <c r="T512" s="35">
        <f t="shared" si="260"/>
        <v>44331</v>
      </c>
      <c r="U512" s="27"/>
      <c r="V512" s="27"/>
      <c r="W512" s="58">
        <f>IF(K512=TRUE,Q512/J512,Q512)</f>
        <v>2.5</v>
      </c>
      <c r="X512" s="31">
        <f t="shared" si="294"/>
        <v>0</v>
      </c>
      <c r="Y512" t="b">
        <f t="shared" si="295"/>
        <v>0</v>
      </c>
      <c r="Z512" s="78">
        <f t="shared" si="296"/>
        <v>-2.5</v>
      </c>
    </row>
    <row r="513" spans="1:29" x14ac:dyDescent="0.25">
      <c r="A513" s="53">
        <v>2021</v>
      </c>
      <c r="B513" s="53">
        <v>40</v>
      </c>
      <c r="C513" s="71" t="s">
        <v>105</v>
      </c>
      <c r="D513" t="s">
        <v>705</v>
      </c>
      <c r="E513" s="131" t="s">
        <v>1498</v>
      </c>
      <c r="G513" s="1">
        <v>44258</v>
      </c>
      <c r="H513" t="s">
        <v>1021</v>
      </c>
      <c r="K513" t="b">
        <v>0</v>
      </c>
      <c r="L513" s="48">
        <v>65</v>
      </c>
      <c r="M513" s="72">
        <v>1</v>
      </c>
      <c r="N513">
        <v>0</v>
      </c>
      <c r="O513" s="31">
        <f t="shared" si="282"/>
        <v>0</v>
      </c>
      <c r="P513" s="31">
        <f t="shared" si="283"/>
        <v>0</v>
      </c>
      <c r="Q513" s="33">
        <f t="shared" si="292"/>
        <v>65</v>
      </c>
      <c r="R513" s="29">
        <f t="shared" si="293"/>
        <v>65</v>
      </c>
      <c r="S513" s="29">
        <f t="shared" ref="S513:S522" si="297">Q513+P513</f>
        <v>65</v>
      </c>
      <c r="T513" s="35">
        <f t="shared" si="260"/>
        <v>44331</v>
      </c>
      <c r="U513" s="27"/>
      <c r="V513" s="27"/>
      <c r="W513" s="58">
        <f>IF(K513=TRUE,Q513/I513,Q513)</f>
        <v>65</v>
      </c>
      <c r="X513" s="31">
        <f t="shared" si="294"/>
        <v>0</v>
      </c>
      <c r="Y513" t="b">
        <f t="shared" si="295"/>
        <v>0</v>
      </c>
      <c r="Z513" s="78">
        <f t="shared" si="296"/>
        <v>-65</v>
      </c>
    </row>
    <row r="514" spans="1:29" x14ac:dyDescent="0.25">
      <c r="A514" s="53">
        <v>2021</v>
      </c>
      <c r="B514" s="53">
        <v>41</v>
      </c>
      <c r="C514" s="71" t="s">
        <v>105</v>
      </c>
      <c r="D514" t="s">
        <v>693</v>
      </c>
      <c r="E514" s="9" t="s">
        <v>1499</v>
      </c>
      <c r="G514" s="1">
        <v>44258</v>
      </c>
      <c r="H514" t="s">
        <v>1363</v>
      </c>
      <c r="K514" t="b">
        <f t="shared" ref="K514:K521" si="298">(IF(AND(I514&lt;&gt;"",AND(J514="",ABS(Q514)&gt;400)),TRUE,FALSE))</f>
        <v>0</v>
      </c>
      <c r="L514" s="48">
        <v>24.88</v>
      </c>
      <c r="M514" s="72">
        <v>1</v>
      </c>
      <c r="N514">
        <v>0</v>
      </c>
      <c r="O514" s="31">
        <f t="shared" si="282"/>
        <v>0</v>
      </c>
      <c r="P514" s="31">
        <f t="shared" si="283"/>
        <v>0</v>
      </c>
      <c r="Q514" s="33">
        <f t="shared" si="292"/>
        <v>24.88</v>
      </c>
      <c r="R514" s="29">
        <f t="shared" si="293"/>
        <v>24.88</v>
      </c>
      <c r="S514" s="29">
        <f t="shared" si="297"/>
        <v>24.88</v>
      </c>
      <c r="T514" s="35">
        <f t="shared" si="260"/>
        <v>44331</v>
      </c>
      <c r="U514" s="27"/>
      <c r="V514" s="27">
        <v>20</v>
      </c>
      <c r="W514" s="58">
        <f>IF(K514=TRUE,Q514/I514,Q514)</f>
        <v>24.88</v>
      </c>
      <c r="X514" s="31">
        <f t="shared" si="294"/>
        <v>4.976</v>
      </c>
      <c r="Y514" t="b">
        <f t="shared" si="295"/>
        <v>0</v>
      </c>
      <c r="Z514" s="78">
        <f t="shared" si="296"/>
        <v>-24.88</v>
      </c>
    </row>
    <row r="515" spans="1:29" x14ac:dyDescent="0.25">
      <c r="A515" s="53">
        <v>2021</v>
      </c>
      <c r="B515" s="53">
        <v>42</v>
      </c>
      <c r="C515" s="71" t="s">
        <v>105</v>
      </c>
      <c r="D515" t="s">
        <v>703</v>
      </c>
      <c r="E515" s="9" t="s">
        <v>1500</v>
      </c>
      <c r="G515" s="1">
        <v>44259</v>
      </c>
      <c r="H515" t="s">
        <v>34</v>
      </c>
      <c r="K515" t="b">
        <f t="shared" si="298"/>
        <v>0</v>
      </c>
      <c r="L515" s="48">
        <v>15</v>
      </c>
      <c r="M515" s="72">
        <v>1</v>
      </c>
      <c r="N515">
        <v>20</v>
      </c>
      <c r="O515" s="31">
        <f t="shared" si="282"/>
        <v>3</v>
      </c>
      <c r="P515" s="31">
        <f t="shared" si="283"/>
        <v>3</v>
      </c>
      <c r="Q515" s="33">
        <f t="shared" si="292"/>
        <v>15</v>
      </c>
      <c r="R515" s="29">
        <f t="shared" si="293"/>
        <v>18</v>
      </c>
      <c r="S515" s="29">
        <f t="shared" si="297"/>
        <v>18</v>
      </c>
      <c r="T515" s="35">
        <f t="shared" si="260"/>
        <v>44331</v>
      </c>
      <c r="U515" s="27"/>
      <c r="V515" s="27"/>
      <c r="W515" s="58">
        <f>IF(K515=TRUE,Q515/I515,Q515)</f>
        <v>15</v>
      </c>
      <c r="X515" s="31">
        <f t="shared" si="294"/>
        <v>0</v>
      </c>
      <c r="Y515" t="b">
        <f t="shared" si="295"/>
        <v>0</v>
      </c>
      <c r="Z515" s="78">
        <f t="shared" si="296"/>
        <v>-15</v>
      </c>
    </row>
    <row r="516" spans="1:29" x14ac:dyDescent="0.25">
      <c r="A516" s="53">
        <v>2021</v>
      </c>
      <c r="B516" s="53">
        <v>43</v>
      </c>
      <c r="C516" s="71" t="s">
        <v>105</v>
      </c>
      <c r="D516" t="s">
        <v>705</v>
      </c>
      <c r="E516" s="9" t="s">
        <v>1143</v>
      </c>
      <c r="G516" s="1">
        <v>44260</v>
      </c>
      <c r="H516" t="s">
        <v>1437</v>
      </c>
      <c r="K516" t="b">
        <f t="shared" si="298"/>
        <v>0</v>
      </c>
      <c r="L516" s="48">
        <v>35</v>
      </c>
      <c r="M516" s="72">
        <v>1</v>
      </c>
      <c r="N516">
        <v>20</v>
      </c>
      <c r="O516" s="31">
        <f t="shared" si="282"/>
        <v>7</v>
      </c>
      <c r="P516" s="31">
        <f t="shared" si="283"/>
        <v>7</v>
      </c>
      <c r="Q516" s="33">
        <f t="shared" si="292"/>
        <v>35</v>
      </c>
      <c r="R516" s="29">
        <f t="shared" si="293"/>
        <v>42</v>
      </c>
      <c r="S516" s="29">
        <f t="shared" si="297"/>
        <v>42</v>
      </c>
      <c r="T516" s="35">
        <f t="shared" si="260"/>
        <v>44331</v>
      </c>
      <c r="U516" s="27"/>
      <c r="V516" s="27"/>
      <c r="W516" s="58">
        <f>IF(K516=TRUE,Q516/I516,Q516)</f>
        <v>35</v>
      </c>
      <c r="X516" s="31">
        <f t="shared" si="294"/>
        <v>0</v>
      </c>
      <c r="Y516" t="b">
        <f t="shared" si="295"/>
        <v>0</v>
      </c>
      <c r="Z516" s="78">
        <f t="shared" si="296"/>
        <v>-35</v>
      </c>
    </row>
    <row r="517" spans="1:29" x14ac:dyDescent="0.25">
      <c r="A517" s="53">
        <v>2021</v>
      </c>
      <c r="B517" s="53">
        <v>44</v>
      </c>
      <c r="C517" s="71" t="s">
        <v>105</v>
      </c>
      <c r="D517" t="s">
        <v>705</v>
      </c>
      <c r="E517" s="9" t="s">
        <v>1501</v>
      </c>
      <c r="G517" s="1">
        <v>44263</v>
      </c>
      <c r="H517" t="s">
        <v>927</v>
      </c>
      <c r="J517" s="76" t="s">
        <v>958</v>
      </c>
      <c r="K517" t="b">
        <f t="shared" si="298"/>
        <v>0</v>
      </c>
      <c r="L517" s="48">
        <v>2.4900000000000002</v>
      </c>
      <c r="M517" s="72">
        <v>1</v>
      </c>
      <c r="N517">
        <v>0</v>
      </c>
      <c r="O517" s="31">
        <f t="shared" si="282"/>
        <v>0</v>
      </c>
      <c r="P517" s="31">
        <f t="shared" si="283"/>
        <v>0</v>
      </c>
      <c r="Q517" s="33">
        <f t="shared" si="292"/>
        <v>2.4900000000000002</v>
      </c>
      <c r="R517" s="29">
        <f t="shared" si="293"/>
        <v>2.4900000000000002</v>
      </c>
      <c r="S517" s="29">
        <f t="shared" si="297"/>
        <v>2.4900000000000002</v>
      </c>
      <c r="T517" s="35">
        <f t="shared" si="260"/>
        <v>44331</v>
      </c>
      <c r="U517" s="27"/>
      <c r="V517" s="27">
        <v>20</v>
      </c>
      <c r="W517" s="58">
        <f>IF(K517=TRUE,Q517/J517,Q517)</f>
        <v>2.4900000000000002</v>
      </c>
      <c r="X517" s="31">
        <f t="shared" si="294"/>
        <v>0.49800000000000005</v>
      </c>
      <c r="Y517" t="b">
        <f t="shared" si="295"/>
        <v>0</v>
      </c>
      <c r="Z517" s="78">
        <f t="shared" si="296"/>
        <v>-2.4900000000000002</v>
      </c>
    </row>
    <row r="518" spans="1:29" x14ac:dyDescent="0.25">
      <c r="A518" s="53">
        <v>2021</v>
      </c>
      <c r="B518" s="53">
        <v>45</v>
      </c>
      <c r="C518" s="71" t="s">
        <v>105</v>
      </c>
      <c r="D518" t="s">
        <v>705</v>
      </c>
      <c r="E518" s="9" t="s">
        <v>1465</v>
      </c>
      <c r="G518" s="1">
        <v>44265</v>
      </c>
      <c r="H518" t="s">
        <v>1466</v>
      </c>
      <c r="K518" t="b">
        <f t="shared" si="298"/>
        <v>0</v>
      </c>
      <c r="L518" s="48">
        <v>13</v>
      </c>
      <c r="M518" s="72">
        <v>1</v>
      </c>
      <c r="N518">
        <v>20</v>
      </c>
      <c r="O518" s="31">
        <f t="shared" si="282"/>
        <v>2.6</v>
      </c>
      <c r="P518" s="31">
        <f t="shared" si="283"/>
        <v>2.6</v>
      </c>
      <c r="Q518" s="33">
        <f t="shared" si="292"/>
        <v>13</v>
      </c>
      <c r="R518" s="29">
        <f t="shared" si="293"/>
        <v>15.6</v>
      </c>
      <c r="S518" s="29">
        <f t="shared" si="297"/>
        <v>15.6</v>
      </c>
      <c r="T518" s="35">
        <f t="shared" si="260"/>
        <v>44331</v>
      </c>
      <c r="U518" s="27"/>
      <c r="V518" s="27"/>
      <c r="W518" s="58">
        <f>IF(K518=TRUE,Q518/J518,Q518)</f>
        <v>13</v>
      </c>
      <c r="X518" s="31">
        <f t="shared" si="294"/>
        <v>0</v>
      </c>
      <c r="Y518" t="b">
        <f t="shared" si="295"/>
        <v>0</v>
      </c>
      <c r="Z518" s="78">
        <f t="shared" si="296"/>
        <v>-13</v>
      </c>
    </row>
    <row r="519" spans="1:29" x14ac:dyDescent="0.25">
      <c r="A519" s="53">
        <v>2021</v>
      </c>
      <c r="B519" s="53">
        <v>46</v>
      </c>
      <c r="C519" s="71" t="s">
        <v>105</v>
      </c>
      <c r="D519" t="s">
        <v>705</v>
      </c>
      <c r="E519" s="9" t="s">
        <v>1502</v>
      </c>
      <c r="G519" s="1">
        <v>44266</v>
      </c>
      <c r="H519" t="s">
        <v>927</v>
      </c>
      <c r="K519" t="b">
        <f t="shared" si="298"/>
        <v>0</v>
      </c>
      <c r="L519" s="48">
        <v>46.916800000000002</v>
      </c>
      <c r="M519" s="72">
        <v>1</v>
      </c>
      <c r="N519">
        <v>0</v>
      </c>
      <c r="O519" s="31">
        <f t="shared" si="282"/>
        <v>0</v>
      </c>
      <c r="P519" s="31">
        <f t="shared" si="283"/>
        <v>0</v>
      </c>
      <c r="Q519" s="33">
        <f t="shared" ref="Q519:Q542" si="299">L519*M519</f>
        <v>46.916800000000002</v>
      </c>
      <c r="R519" s="29">
        <f t="shared" ref="R519:R542" si="300">L519+O519</f>
        <v>46.916800000000002</v>
      </c>
      <c r="S519" s="29">
        <f t="shared" si="297"/>
        <v>46.916800000000002</v>
      </c>
      <c r="T519" s="35">
        <f t="shared" si="260"/>
        <v>44331</v>
      </c>
      <c r="U519" s="27"/>
      <c r="V519" s="27">
        <v>20</v>
      </c>
      <c r="W519" s="58">
        <f>IF(K519=TRUE,Q519/J519,Q519)</f>
        <v>46.916800000000002</v>
      </c>
      <c r="X519" s="31">
        <f t="shared" ref="X519:X542" si="301">V519/100*S519</f>
        <v>9.3833600000000015</v>
      </c>
      <c r="Y519" t="b">
        <f t="shared" ref="Y519:Y542" si="302">IF(AND(V519&gt;0,N519=V519),TRUE,FALSE)</f>
        <v>0</v>
      </c>
      <c r="Z519" s="78">
        <f t="shared" ref="Z519:Z542" si="303">IF(C519="Einnahmen",Q519,-Q519)</f>
        <v>-46.916800000000002</v>
      </c>
    </row>
    <row r="520" spans="1:29" x14ac:dyDescent="0.25">
      <c r="A520" s="53">
        <v>2021</v>
      </c>
      <c r="B520" s="53">
        <v>47</v>
      </c>
      <c r="C520" s="71" t="s">
        <v>105</v>
      </c>
      <c r="D520" t="s">
        <v>683</v>
      </c>
      <c r="E520" s="9" t="s">
        <v>1503</v>
      </c>
      <c r="G520" s="1">
        <v>44272</v>
      </c>
      <c r="H520" t="s">
        <v>1238</v>
      </c>
      <c r="J520" s="76" t="s">
        <v>958</v>
      </c>
      <c r="K520" t="b">
        <f t="shared" si="298"/>
        <v>0</v>
      </c>
      <c r="L520" s="109">
        <v>532.55999999999995</v>
      </c>
      <c r="M520" s="72">
        <v>1</v>
      </c>
      <c r="N520">
        <v>20</v>
      </c>
      <c r="O520" s="31">
        <f t="shared" si="282"/>
        <v>106.51199999999999</v>
      </c>
      <c r="P520" s="31">
        <f t="shared" si="283"/>
        <v>106.51199999999999</v>
      </c>
      <c r="Q520" s="33">
        <f t="shared" si="299"/>
        <v>532.55999999999995</v>
      </c>
      <c r="R520" s="29">
        <f t="shared" si="300"/>
        <v>639.07199999999989</v>
      </c>
      <c r="S520" s="29">
        <f t="shared" si="297"/>
        <v>639.07199999999989</v>
      </c>
      <c r="T520" s="35">
        <f t="shared" si="260"/>
        <v>44331</v>
      </c>
      <c r="U520" s="27"/>
      <c r="V520" s="27"/>
      <c r="W520" s="58">
        <f>IF(K520=TRUE,Q520/I520,Q520)</f>
        <v>532.55999999999995</v>
      </c>
      <c r="X520" s="31">
        <f t="shared" si="301"/>
        <v>0</v>
      </c>
      <c r="Y520" t="b">
        <f t="shared" si="302"/>
        <v>0</v>
      </c>
      <c r="Z520" s="78">
        <f t="shared" si="303"/>
        <v>-532.55999999999995</v>
      </c>
    </row>
    <row r="521" spans="1:29" x14ac:dyDescent="0.25">
      <c r="A521" s="53">
        <v>2021</v>
      </c>
      <c r="B521" s="53">
        <v>48</v>
      </c>
      <c r="C521" s="71" t="s">
        <v>105</v>
      </c>
      <c r="D521" t="s">
        <v>703</v>
      </c>
      <c r="E521" s="9" t="s">
        <v>1504</v>
      </c>
      <c r="F521" s="1">
        <v>43962</v>
      </c>
      <c r="G521" s="1">
        <v>44274</v>
      </c>
      <c r="H521" t="s">
        <v>1148</v>
      </c>
      <c r="K521" t="b">
        <f t="shared" si="298"/>
        <v>0</v>
      </c>
      <c r="L521" s="48">
        <v>31.92</v>
      </c>
      <c r="M521" s="72">
        <v>1</v>
      </c>
      <c r="N521">
        <v>20</v>
      </c>
      <c r="O521" s="31">
        <f t="shared" si="282"/>
        <v>6.3840000000000012</v>
      </c>
      <c r="P521" s="31">
        <f t="shared" si="283"/>
        <v>6.3840000000000012</v>
      </c>
      <c r="Q521" s="33">
        <f t="shared" si="299"/>
        <v>31.92</v>
      </c>
      <c r="R521" s="29">
        <f t="shared" si="300"/>
        <v>38.304000000000002</v>
      </c>
      <c r="S521" s="29">
        <f t="shared" si="297"/>
        <v>38.304000000000002</v>
      </c>
      <c r="T521" s="35">
        <f t="shared" si="260"/>
        <v>44331</v>
      </c>
      <c r="U521" s="27"/>
      <c r="V521" s="27"/>
      <c r="W521" s="58">
        <f>IF(K521=TRUE,Q521/I521,Q521)</f>
        <v>31.92</v>
      </c>
      <c r="X521" s="31">
        <f t="shared" si="301"/>
        <v>0</v>
      </c>
      <c r="Y521" t="b">
        <f t="shared" si="302"/>
        <v>0</v>
      </c>
      <c r="Z521" s="78">
        <f t="shared" si="303"/>
        <v>-31.92</v>
      </c>
    </row>
    <row r="522" spans="1:29" x14ac:dyDescent="0.25">
      <c r="A522" s="53">
        <v>2021</v>
      </c>
      <c r="B522" s="53">
        <v>49</v>
      </c>
      <c r="C522" s="71" t="s">
        <v>105</v>
      </c>
      <c r="D522" t="s">
        <v>705</v>
      </c>
      <c r="E522" s="9" t="s">
        <v>1512</v>
      </c>
      <c r="G522" s="1">
        <v>44279</v>
      </c>
      <c r="H522" t="s">
        <v>941</v>
      </c>
      <c r="K522" t="b">
        <f>(IF(AND(I522&lt;&gt;"",AND(J522="",ABS(Q522)&gt;400)),TRUE,FALSE))</f>
        <v>0</v>
      </c>
      <c r="L522" s="48">
        <v>12.42</v>
      </c>
      <c r="M522" s="72">
        <v>1</v>
      </c>
      <c r="N522">
        <v>20</v>
      </c>
      <c r="O522" s="31">
        <f t="shared" si="282"/>
        <v>2.484</v>
      </c>
      <c r="P522" s="31">
        <f t="shared" si="283"/>
        <v>2.484</v>
      </c>
      <c r="Q522" s="33">
        <f t="shared" si="299"/>
        <v>12.42</v>
      </c>
      <c r="R522" s="29">
        <f t="shared" si="300"/>
        <v>14.904</v>
      </c>
      <c r="S522" s="29">
        <f t="shared" si="297"/>
        <v>14.904</v>
      </c>
      <c r="T522" s="35">
        <f t="shared" si="260"/>
        <v>44331</v>
      </c>
      <c r="U522" s="27"/>
      <c r="V522" s="27"/>
      <c r="W522" s="58">
        <f>IF(K522=TRUE,Q522/J522,Q522)</f>
        <v>12.42</v>
      </c>
      <c r="X522" s="31">
        <f t="shared" si="301"/>
        <v>0</v>
      </c>
      <c r="Y522" t="b">
        <f t="shared" si="302"/>
        <v>0</v>
      </c>
      <c r="Z522" s="78">
        <f t="shared" si="303"/>
        <v>-12.42</v>
      </c>
    </row>
    <row r="523" spans="1:29" x14ac:dyDescent="0.25">
      <c r="A523" s="53">
        <v>2021</v>
      </c>
      <c r="B523" s="53">
        <v>50</v>
      </c>
      <c r="C523" s="71" t="s">
        <v>105</v>
      </c>
      <c r="D523" t="s">
        <v>703</v>
      </c>
      <c r="E523" s="9" t="s">
        <v>1517</v>
      </c>
      <c r="G523" s="1">
        <v>44285</v>
      </c>
      <c r="H523" t="s">
        <v>1116</v>
      </c>
      <c r="K523" t="b">
        <f>(IF(AND(I523&lt;&gt;"",AND(J523="",ABS(Q523)&gt;400)),TRUE,FALSE))</f>
        <v>0</v>
      </c>
      <c r="L523" s="48">
        <f>5.9*2/1.2</f>
        <v>9.8333333333333339</v>
      </c>
      <c r="M523" s="72">
        <v>1</v>
      </c>
      <c r="N523">
        <v>20</v>
      </c>
      <c r="O523" s="31">
        <f>L523*N523/100</f>
        <v>1.9666666666666668</v>
      </c>
      <c r="P523" s="31">
        <f>M523*O523</f>
        <v>1.9666666666666668</v>
      </c>
      <c r="Q523" s="33">
        <f t="shared" si="299"/>
        <v>9.8333333333333339</v>
      </c>
      <c r="R523" s="29">
        <f t="shared" si="300"/>
        <v>11.8</v>
      </c>
      <c r="S523" s="29">
        <f t="shared" ref="S523:S529" si="304">Q523+P523</f>
        <v>11.8</v>
      </c>
      <c r="T523" s="35">
        <f t="shared" si="260"/>
        <v>44331</v>
      </c>
      <c r="U523" s="27"/>
      <c r="V523" s="27"/>
      <c r="W523" s="58">
        <f>IF(K523=TRUE,Q523/J523,Q523)</f>
        <v>9.8333333333333339</v>
      </c>
      <c r="X523" s="31">
        <f t="shared" si="301"/>
        <v>0</v>
      </c>
      <c r="Y523" t="b">
        <f t="shared" si="302"/>
        <v>0</v>
      </c>
      <c r="Z523" s="78">
        <f t="shared" si="303"/>
        <v>-9.8333333333333339</v>
      </c>
    </row>
    <row r="524" spans="1:29" x14ac:dyDescent="0.25">
      <c r="A524" s="53">
        <v>2021</v>
      </c>
      <c r="B524" s="53">
        <v>51</v>
      </c>
      <c r="C524" s="71" t="s">
        <v>105</v>
      </c>
      <c r="D524" t="s">
        <v>691</v>
      </c>
      <c r="E524" s="9" t="s">
        <v>1523</v>
      </c>
      <c r="G524" s="1">
        <v>44287</v>
      </c>
      <c r="H524" t="s">
        <v>1113</v>
      </c>
      <c r="K524" t="b">
        <v>0</v>
      </c>
      <c r="L524" s="48">
        <v>462.44</v>
      </c>
      <c r="M524" s="72">
        <v>1</v>
      </c>
      <c r="N524">
        <v>20</v>
      </c>
      <c r="O524" s="31">
        <f>L524*N524/100</f>
        <v>92.488</v>
      </c>
      <c r="P524" s="31">
        <f>M524*O524</f>
        <v>92.488</v>
      </c>
      <c r="Q524" s="33">
        <f t="shared" si="299"/>
        <v>462.44</v>
      </c>
      <c r="R524" s="29">
        <f t="shared" si="300"/>
        <v>554.928</v>
      </c>
      <c r="S524" s="29">
        <f t="shared" si="304"/>
        <v>554.928</v>
      </c>
      <c r="T524" s="35">
        <f t="shared" si="260"/>
        <v>44423</v>
      </c>
      <c r="U524" s="27"/>
      <c r="V524" s="27"/>
      <c r="W524" s="58">
        <f>IF(K524=TRUE,Q524/J524,Q524)</f>
        <v>462.44</v>
      </c>
      <c r="X524" s="31">
        <f t="shared" si="301"/>
        <v>0</v>
      </c>
      <c r="Y524" t="b">
        <f t="shared" si="302"/>
        <v>0</v>
      </c>
      <c r="Z524" s="78">
        <f t="shared" si="303"/>
        <v>-462.44</v>
      </c>
    </row>
    <row r="525" spans="1:29" x14ac:dyDescent="0.25">
      <c r="A525" s="53">
        <v>2021</v>
      </c>
      <c r="B525" s="53">
        <v>52</v>
      </c>
      <c r="C525" s="71" t="s">
        <v>708</v>
      </c>
      <c r="D525" t="s">
        <v>709</v>
      </c>
      <c r="E525" s="9" t="s">
        <v>1514</v>
      </c>
      <c r="G525" s="1">
        <v>44287</v>
      </c>
      <c r="H525" t="s">
        <v>1513</v>
      </c>
      <c r="K525" t="b">
        <v>0</v>
      </c>
      <c r="L525" s="48">
        <v>801</v>
      </c>
      <c r="M525" s="72">
        <v>1</v>
      </c>
      <c r="N525">
        <v>20</v>
      </c>
      <c r="O525" s="31">
        <f>L525*N525/100</f>
        <v>160.19999999999999</v>
      </c>
      <c r="P525" s="31">
        <f>M525*O525</f>
        <v>160.19999999999999</v>
      </c>
      <c r="Q525" s="33">
        <f t="shared" si="299"/>
        <v>801</v>
      </c>
      <c r="R525" s="29">
        <f t="shared" si="300"/>
        <v>961.2</v>
      </c>
      <c r="S525" s="29">
        <f t="shared" si="304"/>
        <v>961.2</v>
      </c>
      <c r="T525" s="35">
        <f t="shared" si="260"/>
        <v>44423</v>
      </c>
      <c r="U525" s="27"/>
      <c r="V525" s="27"/>
      <c r="W525" s="58">
        <f>IF(K525=TRUE,Q525/J525,Q525)</f>
        <v>801</v>
      </c>
      <c r="X525" s="31">
        <f t="shared" si="301"/>
        <v>0</v>
      </c>
      <c r="Y525" t="b">
        <f t="shared" si="302"/>
        <v>0</v>
      </c>
      <c r="Z525" s="78">
        <f t="shared" si="303"/>
        <v>801</v>
      </c>
      <c r="AB525" t="b">
        <f>L525*1.2=R525</f>
        <v>1</v>
      </c>
      <c r="AC525" t="b">
        <f>L525*1.2=S525</f>
        <v>1</v>
      </c>
    </row>
    <row r="526" spans="1:29" x14ac:dyDescent="0.25">
      <c r="A526" s="53">
        <v>2021</v>
      </c>
      <c r="B526" s="53">
        <v>53</v>
      </c>
      <c r="C526" s="71" t="s">
        <v>708</v>
      </c>
      <c r="D526" t="s">
        <v>709</v>
      </c>
      <c r="E526" s="9" t="s">
        <v>1515</v>
      </c>
      <c r="G526" s="1">
        <v>44287</v>
      </c>
      <c r="H526" t="s">
        <v>1038</v>
      </c>
      <c r="K526" t="b">
        <f>(IF(AND(I526&lt;&gt;"",AND(J526="",ABS(Q526)&gt;400)),TRUE,FALSE))</f>
        <v>0</v>
      </c>
      <c r="L526" s="109">
        <v>8140.37</v>
      </c>
      <c r="M526" s="72">
        <v>1</v>
      </c>
      <c r="N526">
        <v>20</v>
      </c>
      <c r="O526" s="31">
        <f>L526*N526/100</f>
        <v>1628.0739999999998</v>
      </c>
      <c r="P526" s="31">
        <f>M526*O526</f>
        <v>1628.0739999999998</v>
      </c>
      <c r="Q526" s="33">
        <f t="shared" si="299"/>
        <v>8140.37</v>
      </c>
      <c r="R526" s="29">
        <f t="shared" si="300"/>
        <v>9768.4439999999995</v>
      </c>
      <c r="S526" s="29">
        <f t="shared" si="304"/>
        <v>9768.4439999999995</v>
      </c>
      <c r="T526" s="35">
        <f t="shared" si="260"/>
        <v>44423</v>
      </c>
      <c r="U526" s="27"/>
      <c r="V526" s="27"/>
      <c r="W526" s="58">
        <f>IF(K526=TRUE,Q526/I526,Q526)</f>
        <v>8140.37</v>
      </c>
      <c r="X526" s="31">
        <f t="shared" si="301"/>
        <v>0</v>
      </c>
      <c r="Y526" t="b">
        <f t="shared" si="302"/>
        <v>0</v>
      </c>
      <c r="Z526" s="78">
        <f t="shared" si="303"/>
        <v>8140.37</v>
      </c>
      <c r="AB526" t="b">
        <f>L526*1.2=R526</f>
        <v>1</v>
      </c>
      <c r="AC526" t="b">
        <f>L526*1.2=S526</f>
        <v>1</v>
      </c>
    </row>
    <row r="527" spans="1:29" x14ac:dyDescent="0.25">
      <c r="A527" s="53">
        <v>2021</v>
      </c>
      <c r="B527" s="53">
        <v>54</v>
      </c>
      <c r="C527" s="71" t="s">
        <v>105</v>
      </c>
      <c r="D527" t="s">
        <v>692</v>
      </c>
      <c r="E527" s="9" t="s">
        <v>1518</v>
      </c>
      <c r="G527" s="1">
        <v>44292</v>
      </c>
      <c r="H527" t="s">
        <v>1315</v>
      </c>
      <c r="K527" t="b">
        <f>(IF(AND(I527&lt;&gt;"",AND(J527="",ABS(Q527)&gt;400)),TRUE,FALSE))</f>
        <v>0</v>
      </c>
      <c r="L527" s="48">
        <v>334.8</v>
      </c>
      <c r="M527" s="72">
        <v>1</v>
      </c>
      <c r="N527">
        <v>0</v>
      </c>
      <c r="O527" s="31">
        <f t="shared" ref="O527:O532" si="305">L527*N527/100</f>
        <v>0</v>
      </c>
      <c r="P527" s="31">
        <f t="shared" ref="P527:P532" si="306">M527*O527</f>
        <v>0</v>
      </c>
      <c r="Q527" s="33">
        <f t="shared" si="299"/>
        <v>334.8</v>
      </c>
      <c r="R527" s="29">
        <f t="shared" si="300"/>
        <v>334.8</v>
      </c>
      <c r="S527" s="29">
        <f t="shared" si="304"/>
        <v>334.8</v>
      </c>
      <c r="T527" s="35">
        <f t="shared" si="260"/>
        <v>44423</v>
      </c>
      <c r="U527" s="27"/>
      <c r="V527" s="27">
        <v>20</v>
      </c>
      <c r="W527" s="58">
        <f>IF(K527=TRUE,Q527/I527,Q527)</f>
        <v>334.8</v>
      </c>
      <c r="X527" s="31">
        <f t="shared" si="301"/>
        <v>66.960000000000008</v>
      </c>
      <c r="Y527" t="b">
        <f t="shared" si="302"/>
        <v>0</v>
      </c>
      <c r="Z527" s="78">
        <f t="shared" si="303"/>
        <v>-334.8</v>
      </c>
    </row>
    <row r="528" spans="1:29" x14ac:dyDescent="0.25">
      <c r="A528" s="53">
        <v>2021</v>
      </c>
      <c r="B528" s="53">
        <v>55</v>
      </c>
      <c r="C528" s="71" t="s">
        <v>105</v>
      </c>
      <c r="D528" t="s">
        <v>703</v>
      </c>
      <c r="E528" s="9">
        <v>6219245070</v>
      </c>
      <c r="G528" s="1">
        <v>44292</v>
      </c>
      <c r="H528" t="s">
        <v>34</v>
      </c>
      <c r="K528" t="b">
        <f>(IF(AND(I528&lt;&gt;"",AND(J528="",ABS(Q528)&gt;400)),TRUE,FALSE))</f>
        <v>0</v>
      </c>
      <c r="L528" s="48">
        <v>15</v>
      </c>
      <c r="M528" s="72">
        <v>1</v>
      </c>
      <c r="N528">
        <v>20</v>
      </c>
      <c r="O528" s="31">
        <f t="shared" si="305"/>
        <v>3</v>
      </c>
      <c r="P528" s="31">
        <f t="shared" si="306"/>
        <v>3</v>
      </c>
      <c r="Q528" s="33">
        <f t="shared" si="299"/>
        <v>15</v>
      </c>
      <c r="R528" s="29">
        <f t="shared" si="300"/>
        <v>18</v>
      </c>
      <c r="S528" s="29">
        <f t="shared" si="304"/>
        <v>18</v>
      </c>
      <c r="T528" s="35">
        <f t="shared" si="260"/>
        <v>44423</v>
      </c>
      <c r="U528" s="27"/>
      <c r="V528" s="27"/>
      <c r="W528" s="58">
        <f>IF(K528=TRUE,Q528/I528,Q528)</f>
        <v>15</v>
      </c>
      <c r="X528" s="31">
        <f t="shared" si="301"/>
        <v>0</v>
      </c>
      <c r="Y528" t="b">
        <f t="shared" si="302"/>
        <v>0</v>
      </c>
      <c r="Z528" s="78">
        <f t="shared" si="303"/>
        <v>-15</v>
      </c>
    </row>
    <row r="529" spans="1:29" x14ac:dyDescent="0.25">
      <c r="A529" s="53">
        <v>2021</v>
      </c>
      <c r="B529" s="53">
        <v>56</v>
      </c>
      <c r="C529" s="71" t="s">
        <v>105</v>
      </c>
      <c r="D529" t="s">
        <v>689</v>
      </c>
      <c r="E529" s="131" t="s">
        <v>1519</v>
      </c>
      <c r="G529" s="1">
        <v>44292</v>
      </c>
      <c r="H529" t="s">
        <v>974</v>
      </c>
      <c r="K529" t="b">
        <v>0</v>
      </c>
      <c r="L529" s="48">
        <v>46.12</v>
      </c>
      <c r="M529" s="72">
        <v>1</v>
      </c>
      <c r="N529">
        <v>20</v>
      </c>
      <c r="O529" s="31">
        <f t="shared" si="305"/>
        <v>9.2240000000000002</v>
      </c>
      <c r="P529" s="31">
        <f t="shared" si="306"/>
        <v>9.2240000000000002</v>
      </c>
      <c r="Q529" s="33">
        <f t="shared" si="299"/>
        <v>46.12</v>
      </c>
      <c r="R529" s="29">
        <f t="shared" si="300"/>
        <v>55.343999999999994</v>
      </c>
      <c r="S529" s="29">
        <f t="shared" si="304"/>
        <v>55.343999999999994</v>
      </c>
      <c r="T529" s="35">
        <f t="shared" si="260"/>
        <v>44423</v>
      </c>
      <c r="U529" s="27"/>
      <c r="V529" s="27"/>
      <c r="W529" s="58">
        <f>IF(K529=TRUE,Q529/J529,Q529)</f>
        <v>46.12</v>
      </c>
      <c r="X529" s="31">
        <f t="shared" si="301"/>
        <v>0</v>
      </c>
      <c r="Y529" t="b">
        <f t="shared" si="302"/>
        <v>0</v>
      </c>
      <c r="Z529" s="78">
        <f t="shared" si="303"/>
        <v>-46.12</v>
      </c>
    </row>
    <row r="530" spans="1:29" x14ac:dyDescent="0.25">
      <c r="A530" s="53">
        <v>2021</v>
      </c>
      <c r="B530" s="53">
        <v>57</v>
      </c>
      <c r="C530" s="71" t="s">
        <v>105</v>
      </c>
      <c r="D530" t="s">
        <v>705</v>
      </c>
      <c r="E530" s="9" t="s">
        <v>1505</v>
      </c>
      <c r="G530" s="1">
        <v>44293</v>
      </c>
      <c r="H530" t="s">
        <v>1364</v>
      </c>
      <c r="K530" t="b">
        <f t="shared" ref="K530:K538" si="307">(IF(AND(I530&lt;&gt;"",AND(J530="",ABS(Q530)&gt;400)),TRUE,FALSE))</f>
        <v>0</v>
      </c>
      <c r="L530" s="48">
        <v>2.5</v>
      </c>
      <c r="M530" s="72">
        <v>1</v>
      </c>
      <c r="N530">
        <v>20</v>
      </c>
      <c r="O530" s="31">
        <f t="shared" si="305"/>
        <v>0.5</v>
      </c>
      <c r="P530" s="31">
        <f t="shared" si="306"/>
        <v>0.5</v>
      </c>
      <c r="Q530" s="33">
        <f t="shared" si="299"/>
        <v>2.5</v>
      </c>
      <c r="R530" s="29">
        <f t="shared" si="300"/>
        <v>3</v>
      </c>
      <c r="S530" s="29">
        <v>3</v>
      </c>
      <c r="T530" s="35">
        <f t="shared" si="260"/>
        <v>44423</v>
      </c>
      <c r="U530" s="27"/>
      <c r="V530" s="27"/>
      <c r="W530" s="58">
        <f>IF(K530=TRUE,Q530/J530,Q530)</f>
        <v>2.5</v>
      </c>
      <c r="X530" s="31">
        <f t="shared" si="301"/>
        <v>0</v>
      </c>
      <c r="Y530" t="b">
        <f t="shared" si="302"/>
        <v>0</v>
      </c>
      <c r="Z530" s="78">
        <f t="shared" si="303"/>
        <v>-2.5</v>
      </c>
    </row>
    <row r="531" spans="1:29" x14ac:dyDescent="0.25">
      <c r="A531" s="53">
        <v>2021</v>
      </c>
      <c r="B531" s="53">
        <v>58</v>
      </c>
      <c r="C531" s="71" t="s">
        <v>708</v>
      </c>
      <c r="D531" t="s">
        <v>709</v>
      </c>
      <c r="E531" s="9" t="s">
        <v>1516</v>
      </c>
      <c r="G531" s="1">
        <v>44293</v>
      </c>
      <c r="H531" t="s">
        <v>1170</v>
      </c>
      <c r="K531" t="b">
        <f t="shared" si="307"/>
        <v>0</v>
      </c>
      <c r="L531" s="48">
        <v>489.5</v>
      </c>
      <c r="M531" s="72">
        <v>1</v>
      </c>
      <c r="N531">
        <v>20</v>
      </c>
      <c r="O531" s="31">
        <f t="shared" si="305"/>
        <v>97.9</v>
      </c>
      <c r="P531" s="31">
        <f t="shared" si="306"/>
        <v>97.9</v>
      </c>
      <c r="Q531" s="33">
        <f t="shared" si="299"/>
        <v>489.5</v>
      </c>
      <c r="R531" s="29">
        <f t="shared" si="300"/>
        <v>587.4</v>
      </c>
      <c r="S531" s="29">
        <f t="shared" ref="S531:S545" si="308">Q531+P531</f>
        <v>587.4</v>
      </c>
      <c r="T531" s="35">
        <f t="shared" si="260"/>
        <v>44423</v>
      </c>
      <c r="U531" s="27"/>
      <c r="V531" s="27"/>
      <c r="W531" s="58">
        <f>IF(K531=TRUE,Q531/J531,Q531)</f>
        <v>489.5</v>
      </c>
      <c r="X531" s="31">
        <f t="shared" si="301"/>
        <v>0</v>
      </c>
      <c r="Y531" t="b">
        <f t="shared" si="302"/>
        <v>0</v>
      </c>
      <c r="Z531" s="78">
        <f t="shared" si="303"/>
        <v>489.5</v>
      </c>
      <c r="AB531" t="b">
        <f>L531*1.2=R531</f>
        <v>1</v>
      </c>
      <c r="AC531" t="b">
        <f>L531*1.2=S531</f>
        <v>1</v>
      </c>
    </row>
    <row r="532" spans="1:29" x14ac:dyDescent="0.25">
      <c r="A532" s="53">
        <v>2021</v>
      </c>
      <c r="B532" s="53">
        <v>59</v>
      </c>
      <c r="C532" s="71" t="s">
        <v>105</v>
      </c>
      <c r="D532" t="s">
        <v>705</v>
      </c>
      <c r="E532" s="9" t="s">
        <v>1143</v>
      </c>
      <c r="G532" s="1">
        <v>44293</v>
      </c>
      <c r="H532" t="s">
        <v>1437</v>
      </c>
      <c r="K532" t="b">
        <f t="shared" si="307"/>
        <v>0</v>
      </c>
      <c r="L532" s="48">
        <v>35</v>
      </c>
      <c r="M532" s="72">
        <v>1</v>
      </c>
      <c r="N532">
        <v>20</v>
      </c>
      <c r="O532" s="31">
        <f t="shared" si="305"/>
        <v>7</v>
      </c>
      <c r="P532" s="31">
        <f t="shared" si="306"/>
        <v>7</v>
      </c>
      <c r="Q532" s="33">
        <f t="shared" si="299"/>
        <v>35</v>
      </c>
      <c r="R532" s="29">
        <f t="shared" si="300"/>
        <v>42</v>
      </c>
      <c r="S532" s="29">
        <f t="shared" si="308"/>
        <v>42</v>
      </c>
      <c r="T532" s="35">
        <f t="shared" si="260"/>
        <v>44423</v>
      </c>
      <c r="U532" s="27"/>
      <c r="V532" s="27"/>
      <c r="W532" s="58">
        <f>IF(K532=TRUE,Q532/I532,Q532)</f>
        <v>35</v>
      </c>
      <c r="X532" s="31">
        <f t="shared" si="301"/>
        <v>0</v>
      </c>
      <c r="Y532" t="b">
        <f t="shared" si="302"/>
        <v>0</v>
      </c>
      <c r="Z532" s="78">
        <f t="shared" si="303"/>
        <v>-35</v>
      </c>
    </row>
    <row r="533" spans="1:29" x14ac:dyDescent="0.25">
      <c r="A533" s="53">
        <v>2021</v>
      </c>
      <c r="B533" s="53">
        <v>60</v>
      </c>
      <c r="C533" s="71" t="s">
        <v>105</v>
      </c>
      <c r="D533" t="s">
        <v>705</v>
      </c>
      <c r="E533" s="9" t="s">
        <v>1524</v>
      </c>
      <c r="G533" s="1">
        <v>44293</v>
      </c>
      <c r="H533" t="s">
        <v>1027</v>
      </c>
      <c r="K533" t="b">
        <f t="shared" si="307"/>
        <v>0</v>
      </c>
      <c r="L533" s="48">
        <v>865</v>
      </c>
      <c r="M533" s="72">
        <v>1</v>
      </c>
      <c r="N533">
        <v>20</v>
      </c>
      <c r="O533" s="31">
        <f t="shared" ref="O533:O542" si="309">L533*N533/100</f>
        <v>173</v>
      </c>
      <c r="P533" s="31">
        <f t="shared" ref="P533:P542" si="310">M533*O533</f>
        <v>173</v>
      </c>
      <c r="Q533" s="33">
        <f t="shared" si="299"/>
        <v>865</v>
      </c>
      <c r="R533" s="29">
        <f t="shared" si="300"/>
        <v>1038</v>
      </c>
      <c r="S533" s="29">
        <f t="shared" si="308"/>
        <v>1038</v>
      </c>
      <c r="T533" s="35">
        <f t="shared" si="260"/>
        <v>44423</v>
      </c>
      <c r="U533" s="27"/>
      <c r="V533" s="27"/>
      <c r="W533" s="58">
        <f>IF(K533=TRUE,Q533/I533,Q533)</f>
        <v>865</v>
      </c>
      <c r="X533" s="31">
        <f t="shared" si="301"/>
        <v>0</v>
      </c>
      <c r="Y533" t="b">
        <f t="shared" si="302"/>
        <v>0</v>
      </c>
      <c r="Z533" s="78">
        <f t="shared" si="303"/>
        <v>-865</v>
      </c>
    </row>
    <row r="534" spans="1:29" x14ac:dyDescent="0.25">
      <c r="A534" s="53">
        <v>2021</v>
      </c>
      <c r="B534" s="53">
        <v>61</v>
      </c>
      <c r="C534" s="71" t="s">
        <v>105</v>
      </c>
      <c r="D534" t="s">
        <v>705</v>
      </c>
      <c r="E534" s="9" t="s">
        <v>1525</v>
      </c>
      <c r="G534" s="1">
        <v>44294</v>
      </c>
      <c r="H534" t="s">
        <v>927</v>
      </c>
      <c r="J534" s="76" t="s">
        <v>958</v>
      </c>
      <c r="K534" t="b">
        <f t="shared" si="307"/>
        <v>0</v>
      </c>
      <c r="L534" s="48">
        <v>2.4900000000000002</v>
      </c>
      <c r="M534" s="72">
        <v>1</v>
      </c>
      <c r="N534">
        <v>0</v>
      </c>
      <c r="O534" s="31">
        <f t="shared" si="309"/>
        <v>0</v>
      </c>
      <c r="P534" s="31">
        <f t="shared" si="310"/>
        <v>0</v>
      </c>
      <c r="Q534" s="33">
        <f t="shared" si="299"/>
        <v>2.4900000000000002</v>
      </c>
      <c r="R534" s="29">
        <f t="shared" si="300"/>
        <v>2.4900000000000002</v>
      </c>
      <c r="S534" s="29">
        <f t="shared" si="308"/>
        <v>2.4900000000000002</v>
      </c>
      <c r="T534" s="35">
        <f t="shared" si="260"/>
        <v>44423</v>
      </c>
      <c r="U534" s="27"/>
      <c r="V534" s="27">
        <v>20</v>
      </c>
      <c r="W534" s="58">
        <f t="shared" ref="W534:W540" si="311">IF(K534=TRUE,Q534/J534,Q534)</f>
        <v>2.4900000000000002</v>
      </c>
      <c r="X534" s="31">
        <f t="shared" si="301"/>
        <v>0.49800000000000005</v>
      </c>
      <c r="Y534" t="b">
        <f t="shared" si="302"/>
        <v>0</v>
      </c>
      <c r="Z534" s="78">
        <f t="shared" si="303"/>
        <v>-2.4900000000000002</v>
      </c>
    </row>
    <row r="535" spans="1:29" x14ac:dyDescent="0.25">
      <c r="A535" s="53">
        <v>2021</v>
      </c>
      <c r="B535" s="53">
        <v>62</v>
      </c>
      <c r="C535" s="71" t="s">
        <v>708</v>
      </c>
      <c r="D535" t="s">
        <v>709</v>
      </c>
      <c r="E535" s="9" t="s">
        <v>1526</v>
      </c>
      <c r="G535" s="1">
        <v>44295</v>
      </c>
      <c r="H535" t="s">
        <v>983</v>
      </c>
      <c r="K535" t="b">
        <f t="shared" si="307"/>
        <v>0</v>
      </c>
      <c r="L535" s="48">
        <v>1959.56</v>
      </c>
      <c r="M535" s="72">
        <v>1</v>
      </c>
      <c r="N535">
        <v>20</v>
      </c>
      <c r="O535" s="31">
        <f t="shared" si="309"/>
        <v>391.91199999999998</v>
      </c>
      <c r="P535" s="31">
        <f t="shared" si="310"/>
        <v>391.91199999999998</v>
      </c>
      <c r="Q535" s="33">
        <f t="shared" si="299"/>
        <v>1959.56</v>
      </c>
      <c r="R535" s="29">
        <f t="shared" si="300"/>
        <v>2351.4719999999998</v>
      </c>
      <c r="S535" s="29">
        <f t="shared" si="308"/>
        <v>2351.4719999999998</v>
      </c>
      <c r="T535" s="35">
        <f t="shared" si="260"/>
        <v>44423</v>
      </c>
      <c r="U535" s="27"/>
      <c r="V535" s="27"/>
      <c r="W535" s="58">
        <f t="shared" si="311"/>
        <v>1959.56</v>
      </c>
      <c r="X535" s="31">
        <f t="shared" si="301"/>
        <v>0</v>
      </c>
      <c r="Y535" t="b">
        <f t="shared" si="302"/>
        <v>0</v>
      </c>
      <c r="Z535" s="78">
        <f t="shared" si="303"/>
        <v>1959.56</v>
      </c>
      <c r="AB535" t="b">
        <f>L535*1.2=R535</f>
        <v>1</v>
      </c>
      <c r="AC535" t="b">
        <f>L535*1.2=S535</f>
        <v>1</v>
      </c>
    </row>
    <row r="536" spans="1:29" x14ac:dyDescent="0.25">
      <c r="A536" s="53">
        <v>2021</v>
      </c>
      <c r="B536" s="53">
        <v>63</v>
      </c>
      <c r="C536" s="71" t="s">
        <v>105</v>
      </c>
      <c r="D536" t="s">
        <v>705</v>
      </c>
      <c r="E536" s="9" t="s">
        <v>1465</v>
      </c>
      <c r="G536" s="1">
        <v>44298</v>
      </c>
      <c r="H536" t="s">
        <v>1466</v>
      </c>
      <c r="K536" t="b">
        <f t="shared" si="307"/>
        <v>0</v>
      </c>
      <c r="L536" s="48">
        <v>13</v>
      </c>
      <c r="M536" s="72">
        <v>1</v>
      </c>
      <c r="N536">
        <v>20</v>
      </c>
      <c r="O536" s="31">
        <f t="shared" si="309"/>
        <v>2.6</v>
      </c>
      <c r="P536" s="31">
        <f t="shared" si="310"/>
        <v>2.6</v>
      </c>
      <c r="Q536" s="33">
        <f t="shared" si="299"/>
        <v>13</v>
      </c>
      <c r="R536" s="29">
        <f t="shared" si="300"/>
        <v>15.6</v>
      </c>
      <c r="S536" s="29">
        <f t="shared" si="308"/>
        <v>15.6</v>
      </c>
      <c r="T536" s="35">
        <f t="shared" si="260"/>
        <v>44423</v>
      </c>
      <c r="U536" s="27"/>
      <c r="V536" s="27"/>
      <c r="W536" s="58">
        <f t="shared" si="311"/>
        <v>13</v>
      </c>
      <c r="X536" s="31">
        <f t="shared" si="301"/>
        <v>0</v>
      </c>
      <c r="Y536" t="b">
        <f t="shared" si="302"/>
        <v>0</v>
      </c>
      <c r="Z536" s="78">
        <f t="shared" si="303"/>
        <v>-13</v>
      </c>
    </row>
    <row r="537" spans="1:29" x14ac:dyDescent="0.25">
      <c r="A537" s="53">
        <v>2021</v>
      </c>
      <c r="B537" s="53">
        <v>64</v>
      </c>
      <c r="C537" s="71" t="s">
        <v>105</v>
      </c>
      <c r="D537" t="s">
        <v>705</v>
      </c>
      <c r="E537" s="9" t="s">
        <v>1527</v>
      </c>
      <c r="G537" s="1">
        <v>44299</v>
      </c>
      <c r="H537" t="s">
        <v>927</v>
      </c>
      <c r="K537" t="b">
        <f t="shared" si="307"/>
        <v>0</v>
      </c>
      <c r="L537" s="48">
        <v>46.916800000000002</v>
      </c>
      <c r="M537" s="72">
        <v>1</v>
      </c>
      <c r="N537">
        <v>0</v>
      </c>
      <c r="O537" s="31">
        <f t="shared" si="309"/>
        <v>0</v>
      </c>
      <c r="P537" s="31">
        <f t="shared" si="310"/>
        <v>0</v>
      </c>
      <c r="Q537" s="33">
        <f t="shared" si="299"/>
        <v>46.916800000000002</v>
      </c>
      <c r="R537" s="29">
        <f t="shared" si="300"/>
        <v>46.916800000000002</v>
      </c>
      <c r="S537" s="29">
        <f t="shared" si="308"/>
        <v>46.916800000000002</v>
      </c>
      <c r="T537" s="35">
        <f t="shared" ref="T537:T600" si="312">voranmeldefrist_vierteljaehrlich(G537)</f>
        <v>44423</v>
      </c>
      <c r="U537" s="27"/>
      <c r="V537" s="27">
        <v>20</v>
      </c>
      <c r="W537" s="58">
        <f t="shared" si="311"/>
        <v>46.916800000000002</v>
      </c>
      <c r="X537" s="31">
        <f t="shared" si="301"/>
        <v>9.3833600000000015</v>
      </c>
      <c r="Y537" t="b">
        <f t="shared" si="302"/>
        <v>0</v>
      </c>
      <c r="Z537" s="78">
        <f t="shared" si="303"/>
        <v>-46.916800000000002</v>
      </c>
    </row>
    <row r="538" spans="1:29" x14ac:dyDescent="0.25">
      <c r="A538" s="53">
        <v>2021</v>
      </c>
      <c r="B538" s="53">
        <v>65</v>
      </c>
      <c r="C538" s="71" t="s">
        <v>105</v>
      </c>
      <c r="D538" t="s">
        <v>705</v>
      </c>
      <c r="E538" s="9" t="s">
        <v>1531</v>
      </c>
      <c r="G538" s="1">
        <v>44305</v>
      </c>
      <c r="H538" t="s">
        <v>1530</v>
      </c>
      <c r="K538" t="b">
        <f t="shared" si="307"/>
        <v>0</v>
      </c>
      <c r="L538" s="48">
        <v>54.07</v>
      </c>
      <c r="M538" s="72">
        <v>1</v>
      </c>
      <c r="N538">
        <v>0</v>
      </c>
      <c r="O538" s="31">
        <f t="shared" si="309"/>
        <v>0</v>
      </c>
      <c r="P538" s="31">
        <f t="shared" si="310"/>
        <v>0</v>
      </c>
      <c r="Q538" s="33">
        <f t="shared" si="299"/>
        <v>54.07</v>
      </c>
      <c r="R538" s="29">
        <f t="shared" si="300"/>
        <v>54.07</v>
      </c>
      <c r="S538" s="29">
        <f t="shared" si="308"/>
        <v>54.07</v>
      </c>
      <c r="T538" s="35">
        <f t="shared" si="312"/>
        <v>44423</v>
      </c>
      <c r="U538" s="27"/>
      <c r="V538" s="27">
        <v>20</v>
      </c>
      <c r="W538" s="58">
        <f t="shared" si="311"/>
        <v>54.07</v>
      </c>
      <c r="X538" s="31">
        <f t="shared" si="301"/>
        <v>10.814</v>
      </c>
      <c r="Y538" t="b">
        <f t="shared" si="302"/>
        <v>0</v>
      </c>
      <c r="Z538" s="78">
        <f t="shared" si="303"/>
        <v>-54.07</v>
      </c>
    </row>
    <row r="539" spans="1:29" x14ac:dyDescent="0.25">
      <c r="A539" s="53">
        <v>2021</v>
      </c>
      <c r="B539" s="53">
        <v>66</v>
      </c>
      <c r="C539" s="71" t="s">
        <v>105</v>
      </c>
      <c r="D539" t="s">
        <v>691</v>
      </c>
      <c r="E539" s="9" t="s">
        <v>1534</v>
      </c>
      <c r="G539" s="1">
        <v>44309</v>
      </c>
      <c r="H539" t="s">
        <v>1532</v>
      </c>
      <c r="K539" t="b">
        <v>0</v>
      </c>
      <c r="L539" s="48">
        <f>9.63/1.2</f>
        <v>8.0250000000000004</v>
      </c>
      <c r="M539" s="72">
        <v>1</v>
      </c>
      <c r="N539">
        <v>20</v>
      </c>
      <c r="O539" s="31">
        <f t="shared" si="309"/>
        <v>1.605</v>
      </c>
      <c r="P539" s="31">
        <f t="shared" si="310"/>
        <v>1.605</v>
      </c>
      <c r="Q539" s="33">
        <f t="shared" si="299"/>
        <v>8.0250000000000004</v>
      </c>
      <c r="R539" s="29">
        <f t="shared" si="300"/>
        <v>9.6300000000000008</v>
      </c>
      <c r="S539" s="29">
        <f t="shared" si="308"/>
        <v>9.6300000000000008</v>
      </c>
      <c r="T539" s="35">
        <f t="shared" si="312"/>
        <v>44423</v>
      </c>
      <c r="U539" s="27"/>
      <c r="V539" s="27"/>
      <c r="W539" s="58">
        <f t="shared" si="311"/>
        <v>8.0250000000000004</v>
      </c>
      <c r="X539" s="31">
        <f t="shared" si="301"/>
        <v>0</v>
      </c>
      <c r="Y539" t="b">
        <f t="shared" si="302"/>
        <v>0</v>
      </c>
      <c r="Z539" s="78">
        <f t="shared" si="303"/>
        <v>-8.0250000000000004</v>
      </c>
    </row>
    <row r="540" spans="1:29" x14ac:dyDescent="0.25">
      <c r="A540" s="53">
        <v>2021</v>
      </c>
      <c r="B540" s="53">
        <v>67</v>
      </c>
      <c r="C540" s="71" t="s">
        <v>105</v>
      </c>
      <c r="D540" t="s">
        <v>691</v>
      </c>
      <c r="E540" s="9" t="s">
        <v>1534</v>
      </c>
      <c r="G540" s="1">
        <v>44309</v>
      </c>
      <c r="H540" t="s">
        <v>1533</v>
      </c>
      <c r="K540" t="b">
        <v>0</v>
      </c>
      <c r="L540" s="48">
        <v>8</v>
      </c>
      <c r="M540" s="72">
        <v>1</v>
      </c>
      <c r="N540">
        <v>0</v>
      </c>
      <c r="O540" s="31">
        <f t="shared" si="309"/>
        <v>0</v>
      </c>
      <c r="P540" s="31">
        <f t="shared" si="310"/>
        <v>0</v>
      </c>
      <c r="Q540" s="33">
        <f t="shared" si="299"/>
        <v>8</v>
      </c>
      <c r="R540" s="29">
        <f t="shared" si="300"/>
        <v>8</v>
      </c>
      <c r="S540" s="29">
        <f t="shared" si="308"/>
        <v>8</v>
      </c>
      <c r="T540" s="35">
        <f t="shared" si="312"/>
        <v>44423</v>
      </c>
      <c r="U540" s="27"/>
      <c r="V540" s="27"/>
      <c r="W540" s="58">
        <f t="shared" si="311"/>
        <v>8</v>
      </c>
      <c r="X540" s="31">
        <f t="shared" si="301"/>
        <v>0</v>
      </c>
      <c r="Y540" t="b">
        <f t="shared" si="302"/>
        <v>0</v>
      </c>
      <c r="Z540" s="78">
        <f t="shared" si="303"/>
        <v>-8</v>
      </c>
    </row>
    <row r="541" spans="1:29" x14ac:dyDescent="0.25">
      <c r="A541" s="53">
        <v>2021</v>
      </c>
      <c r="B541" s="53">
        <v>68</v>
      </c>
      <c r="C541" s="71" t="s">
        <v>105</v>
      </c>
      <c r="D541" t="s">
        <v>703</v>
      </c>
      <c r="E541" s="136" t="s">
        <v>1572</v>
      </c>
      <c r="F541" s="1">
        <v>43962</v>
      </c>
      <c r="G541" s="1">
        <v>44314</v>
      </c>
      <c r="H541" t="s">
        <v>1148</v>
      </c>
      <c r="K541" t="b">
        <f>(IF(AND(I541&lt;&gt;"",AND(J541="",ABS(Q541)&gt;400)),TRUE,FALSE))</f>
        <v>0</v>
      </c>
      <c r="L541" s="48">
        <v>31.92</v>
      </c>
      <c r="M541" s="72">
        <v>1</v>
      </c>
      <c r="N541">
        <v>20</v>
      </c>
      <c r="O541" s="31">
        <f t="shared" si="309"/>
        <v>6.3840000000000012</v>
      </c>
      <c r="P541" s="31">
        <f t="shared" si="310"/>
        <v>6.3840000000000012</v>
      </c>
      <c r="Q541" s="33">
        <f t="shared" si="299"/>
        <v>31.92</v>
      </c>
      <c r="R541" s="29">
        <f t="shared" si="300"/>
        <v>38.304000000000002</v>
      </c>
      <c r="S541" s="29">
        <f t="shared" si="308"/>
        <v>38.304000000000002</v>
      </c>
      <c r="T541" s="35">
        <f t="shared" si="312"/>
        <v>44423</v>
      </c>
      <c r="U541" s="27"/>
      <c r="V541" s="27"/>
      <c r="W541" s="58">
        <f>IF(K541=TRUE,Q541/I541,Q541)</f>
        <v>31.92</v>
      </c>
      <c r="X541" s="31">
        <f t="shared" si="301"/>
        <v>0</v>
      </c>
      <c r="Y541" t="b">
        <f t="shared" si="302"/>
        <v>0</v>
      </c>
      <c r="Z541" s="78">
        <f t="shared" si="303"/>
        <v>-31.92</v>
      </c>
    </row>
    <row r="542" spans="1:29" x14ac:dyDescent="0.25">
      <c r="A542" s="53">
        <v>2021</v>
      </c>
      <c r="B542" s="53">
        <v>69</v>
      </c>
      <c r="C542" s="71" t="s">
        <v>708</v>
      </c>
      <c r="D542" t="s">
        <v>709</v>
      </c>
      <c r="E542" s="9" t="s">
        <v>1535</v>
      </c>
      <c r="G542" s="1">
        <v>44316</v>
      </c>
      <c r="H542" t="s">
        <v>1384</v>
      </c>
      <c r="K542" t="b">
        <f>(IF(AND(I542&lt;&gt;"",AND(J542="",ABS(Q542)&gt;400)),TRUE,FALSE))</f>
        <v>0</v>
      </c>
      <c r="L542" s="48">
        <v>44.5</v>
      </c>
      <c r="M542" s="72">
        <v>1</v>
      </c>
      <c r="N542">
        <v>20</v>
      </c>
      <c r="O542" s="31">
        <f t="shared" si="309"/>
        <v>8.9</v>
      </c>
      <c r="P542" s="31">
        <f t="shared" si="310"/>
        <v>8.9</v>
      </c>
      <c r="Q542" s="33">
        <f t="shared" si="299"/>
        <v>44.5</v>
      </c>
      <c r="R542" s="29">
        <f t="shared" si="300"/>
        <v>53.4</v>
      </c>
      <c r="S542" s="29">
        <f t="shared" si="308"/>
        <v>53.4</v>
      </c>
      <c r="T542" s="35">
        <f t="shared" si="312"/>
        <v>44423</v>
      </c>
      <c r="U542" s="27"/>
      <c r="V542" s="27"/>
      <c r="W542" s="58">
        <f>IF(K542=TRUE,Q542/I542,Q542)</f>
        <v>44.5</v>
      </c>
      <c r="X542" s="31">
        <f t="shared" si="301"/>
        <v>0</v>
      </c>
      <c r="Y542" t="b">
        <f t="shared" si="302"/>
        <v>0</v>
      </c>
      <c r="Z542" s="78">
        <f t="shared" si="303"/>
        <v>44.5</v>
      </c>
      <c r="AB542" t="b">
        <f>L542*1.2=R542</f>
        <v>1</v>
      </c>
      <c r="AC542" t="b">
        <f>L542*1.2=S542</f>
        <v>1</v>
      </c>
    </row>
    <row r="543" spans="1:29" x14ac:dyDescent="0.25">
      <c r="A543" s="53">
        <v>2021</v>
      </c>
      <c r="B543" s="53">
        <v>70</v>
      </c>
      <c r="C543" s="71" t="s">
        <v>105</v>
      </c>
      <c r="D543" t="s">
        <v>703</v>
      </c>
      <c r="E543" s="9" t="s">
        <v>1536</v>
      </c>
      <c r="G543" s="1">
        <v>44319</v>
      </c>
      <c r="H543" t="s">
        <v>34</v>
      </c>
      <c r="K543" t="b">
        <f>(IF(AND(I543&lt;&gt;"",AND(J543="",ABS(Q543)&gt;400)),TRUE,FALSE))</f>
        <v>0</v>
      </c>
      <c r="L543" s="48">
        <v>15</v>
      </c>
      <c r="M543" s="72">
        <v>1</v>
      </c>
      <c r="N543">
        <v>20</v>
      </c>
      <c r="O543" s="31">
        <f t="shared" ref="O543:O551" si="313">L543*N543/100</f>
        <v>3</v>
      </c>
      <c r="P543" s="31">
        <f t="shared" ref="P543:P551" si="314">M543*O543</f>
        <v>3</v>
      </c>
      <c r="Q543" s="33">
        <f t="shared" ref="Q543:Q551" si="315">L543*M543</f>
        <v>15</v>
      </c>
      <c r="R543" s="29">
        <f t="shared" ref="R543:R551" si="316">L543+O543</f>
        <v>18</v>
      </c>
      <c r="S543" s="29">
        <f t="shared" si="308"/>
        <v>18</v>
      </c>
      <c r="T543" s="35">
        <f t="shared" si="312"/>
        <v>44423</v>
      </c>
      <c r="U543" s="27"/>
      <c r="V543" s="27"/>
      <c r="W543" s="58">
        <f>IF(K543=TRUE,Q543/I543,Q543)</f>
        <v>15</v>
      </c>
      <c r="X543" s="31">
        <f t="shared" ref="X543:X551" si="317">V543/100*S543</f>
        <v>0</v>
      </c>
      <c r="Y543" t="b">
        <f t="shared" ref="Y543:Y551" si="318">IF(AND(V543&gt;0,N543=V543),TRUE,FALSE)</f>
        <v>0</v>
      </c>
      <c r="Z543" s="78">
        <f t="shared" ref="Z543:Z551" si="319">IF(C543="Einnahmen",Q543,-Q543)</f>
        <v>-15</v>
      </c>
    </row>
    <row r="544" spans="1:29" x14ac:dyDescent="0.25">
      <c r="A544" s="53">
        <v>2021</v>
      </c>
      <c r="B544" s="53">
        <v>71</v>
      </c>
      <c r="C544" s="71" t="s">
        <v>105</v>
      </c>
      <c r="D544" t="s">
        <v>691</v>
      </c>
      <c r="E544" s="136" t="s">
        <v>1570</v>
      </c>
      <c r="G544" s="1">
        <v>44319</v>
      </c>
      <c r="H544" t="s">
        <v>1113</v>
      </c>
      <c r="K544" t="b">
        <v>0</v>
      </c>
      <c r="L544" s="109">
        <f>564.56/1.2</f>
        <v>470.46666666666664</v>
      </c>
      <c r="M544" s="72">
        <v>1</v>
      </c>
      <c r="N544">
        <v>20</v>
      </c>
      <c r="O544" s="31">
        <f t="shared" si="313"/>
        <v>94.09333333333332</v>
      </c>
      <c r="P544" s="31">
        <f t="shared" si="314"/>
        <v>94.09333333333332</v>
      </c>
      <c r="Q544" s="33">
        <f t="shared" si="315"/>
        <v>470.46666666666664</v>
      </c>
      <c r="R544" s="29">
        <f t="shared" si="316"/>
        <v>564.55999999999995</v>
      </c>
      <c r="S544" s="29">
        <f t="shared" si="308"/>
        <v>564.55999999999995</v>
      </c>
      <c r="T544" s="35">
        <f t="shared" si="312"/>
        <v>44423</v>
      </c>
      <c r="U544" s="27"/>
      <c r="V544" s="27"/>
      <c r="W544" s="58">
        <f>IF(K544=TRUE,Q544/J544,Q544)</f>
        <v>470.46666666666664</v>
      </c>
      <c r="X544" s="31">
        <f t="shared" si="317"/>
        <v>0</v>
      </c>
      <c r="Y544" t="b">
        <f t="shared" si="318"/>
        <v>0</v>
      </c>
      <c r="Z544" s="78">
        <f t="shared" si="319"/>
        <v>-470.46666666666664</v>
      </c>
    </row>
    <row r="545" spans="1:29" x14ac:dyDescent="0.25">
      <c r="A545" s="53">
        <v>2021</v>
      </c>
      <c r="B545" s="53">
        <v>72</v>
      </c>
      <c r="C545" s="71" t="s">
        <v>105</v>
      </c>
      <c r="D545" t="s">
        <v>689</v>
      </c>
      <c r="E545" s="131" t="s">
        <v>1537</v>
      </c>
      <c r="G545" s="1">
        <v>44319</v>
      </c>
      <c r="H545" t="s">
        <v>974</v>
      </c>
      <c r="K545" t="b">
        <v>0</v>
      </c>
      <c r="L545" s="48">
        <v>30.73</v>
      </c>
      <c r="M545" s="72">
        <v>1</v>
      </c>
      <c r="N545">
        <v>20</v>
      </c>
      <c r="O545" s="31">
        <f t="shared" si="313"/>
        <v>6.1459999999999999</v>
      </c>
      <c r="P545" s="31">
        <f t="shared" si="314"/>
        <v>6.1459999999999999</v>
      </c>
      <c r="Q545" s="33">
        <f t="shared" si="315"/>
        <v>30.73</v>
      </c>
      <c r="R545" s="29">
        <f t="shared" si="316"/>
        <v>36.875999999999998</v>
      </c>
      <c r="S545" s="29">
        <f t="shared" si="308"/>
        <v>36.875999999999998</v>
      </c>
      <c r="T545" s="35">
        <f t="shared" si="312"/>
        <v>44423</v>
      </c>
      <c r="U545" s="27"/>
      <c r="V545" s="27"/>
      <c r="W545" s="58">
        <f>IF(K545=TRUE,Q545/J545,Q545)</f>
        <v>30.73</v>
      </c>
      <c r="X545" s="31">
        <f t="shared" si="317"/>
        <v>0</v>
      </c>
      <c r="Y545" t="b">
        <f t="shared" si="318"/>
        <v>0</v>
      </c>
      <c r="Z545" s="78">
        <f t="shared" si="319"/>
        <v>-30.73</v>
      </c>
    </row>
    <row r="546" spans="1:29" x14ac:dyDescent="0.25">
      <c r="A546" s="53">
        <v>2021</v>
      </c>
      <c r="B546" s="53">
        <v>73</v>
      </c>
      <c r="C546" s="71" t="s">
        <v>105</v>
      </c>
      <c r="D546" t="s">
        <v>705</v>
      </c>
      <c r="E546" s="9" t="s">
        <v>1505</v>
      </c>
      <c r="G546" s="1">
        <v>44321</v>
      </c>
      <c r="H546" t="s">
        <v>1364</v>
      </c>
      <c r="K546" t="b">
        <f t="shared" ref="K546:K551" si="320">(IF(AND(I546&lt;&gt;"",AND(J546="",ABS(Q546)&gt;400)),TRUE,FALSE))</f>
        <v>0</v>
      </c>
      <c r="L546" s="48">
        <v>2.5</v>
      </c>
      <c r="M546" s="72">
        <v>1</v>
      </c>
      <c r="N546">
        <v>20</v>
      </c>
      <c r="O546" s="31">
        <f t="shared" si="313"/>
        <v>0.5</v>
      </c>
      <c r="P546" s="31">
        <f t="shared" si="314"/>
        <v>0.5</v>
      </c>
      <c r="Q546" s="33">
        <f t="shared" si="315"/>
        <v>2.5</v>
      </c>
      <c r="R546" s="29">
        <f t="shared" si="316"/>
        <v>3</v>
      </c>
      <c r="S546" s="29">
        <v>3</v>
      </c>
      <c r="T546" s="35">
        <f t="shared" si="312"/>
        <v>44423</v>
      </c>
      <c r="U546" s="27"/>
      <c r="V546" s="27"/>
      <c r="W546" s="58">
        <f>IF(K546=TRUE,Q546/J546,Q546)</f>
        <v>2.5</v>
      </c>
      <c r="X546" s="31">
        <f t="shared" si="317"/>
        <v>0</v>
      </c>
      <c r="Y546" t="b">
        <f t="shared" si="318"/>
        <v>0</v>
      </c>
      <c r="Z546" s="78">
        <f t="shared" si="319"/>
        <v>-2.5</v>
      </c>
    </row>
    <row r="547" spans="1:29" x14ac:dyDescent="0.25">
      <c r="A547" s="53">
        <v>2021</v>
      </c>
      <c r="B547" s="53">
        <v>74</v>
      </c>
      <c r="C547" s="71" t="s">
        <v>105</v>
      </c>
      <c r="D547" t="s">
        <v>705</v>
      </c>
      <c r="E547" s="9" t="s">
        <v>1143</v>
      </c>
      <c r="G547" s="1">
        <v>44321</v>
      </c>
      <c r="H547" t="s">
        <v>1437</v>
      </c>
      <c r="K547" t="b">
        <f t="shared" si="320"/>
        <v>0</v>
      </c>
      <c r="L547" s="48">
        <v>35</v>
      </c>
      <c r="M547" s="72">
        <v>1</v>
      </c>
      <c r="N547">
        <v>20</v>
      </c>
      <c r="O547" s="31">
        <f t="shared" si="313"/>
        <v>7</v>
      </c>
      <c r="P547" s="31">
        <f t="shared" si="314"/>
        <v>7</v>
      </c>
      <c r="Q547" s="33">
        <f t="shared" si="315"/>
        <v>35</v>
      </c>
      <c r="R547" s="29">
        <f t="shared" si="316"/>
        <v>42</v>
      </c>
      <c r="S547" s="29">
        <f t="shared" ref="S547:S556" si="321">Q547+P547</f>
        <v>42</v>
      </c>
      <c r="T547" s="35">
        <f t="shared" si="312"/>
        <v>44423</v>
      </c>
      <c r="U547" s="27"/>
      <c r="V547" s="27"/>
      <c r="W547" s="58">
        <f>IF(K547=TRUE,Q547/I547,Q547)</f>
        <v>35</v>
      </c>
      <c r="X547" s="31">
        <f t="shared" si="317"/>
        <v>0</v>
      </c>
      <c r="Y547" t="b">
        <f t="shared" si="318"/>
        <v>0</v>
      </c>
      <c r="Z547" s="78">
        <f t="shared" si="319"/>
        <v>-35</v>
      </c>
    </row>
    <row r="548" spans="1:29" x14ac:dyDescent="0.25">
      <c r="A548" s="53">
        <v>2021</v>
      </c>
      <c r="B548" s="53">
        <v>75</v>
      </c>
      <c r="C548" s="71" t="s">
        <v>105</v>
      </c>
      <c r="D548" t="s">
        <v>705</v>
      </c>
      <c r="E548" s="9" t="s">
        <v>1538</v>
      </c>
      <c r="G548" s="1">
        <v>44322</v>
      </c>
      <c r="H548" t="s">
        <v>927</v>
      </c>
      <c r="J548" s="76" t="s">
        <v>958</v>
      </c>
      <c r="K548" t="b">
        <f t="shared" si="320"/>
        <v>0</v>
      </c>
      <c r="L548" s="48">
        <v>2.4900000000000002</v>
      </c>
      <c r="M548" s="72">
        <v>1</v>
      </c>
      <c r="N548">
        <v>0</v>
      </c>
      <c r="O548" s="31">
        <f t="shared" si="313"/>
        <v>0</v>
      </c>
      <c r="P548" s="31">
        <f t="shared" si="314"/>
        <v>0</v>
      </c>
      <c r="Q548" s="33">
        <f t="shared" si="315"/>
        <v>2.4900000000000002</v>
      </c>
      <c r="R548" s="29">
        <f t="shared" si="316"/>
        <v>2.4900000000000002</v>
      </c>
      <c r="S548" s="29">
        <f t="shared" si="321"/>
        <v>2.4900000000000002</v>
      </c>
      <c r="T548" s="35">
        <f t="shared" si="312"/>
        <v>44423</v>
      </c>
      <c r="U548" s="27"/>
      <c r="V548" s="27">
        <v>20</v>
      </c>
      <c r="W548" s="58">
        <f>IF(K548=TRUE,Q548/J548,Q548)</f>
        <v>2.4900000000000002</v>
      </c>
      <c r="X548" s="31">
        <f t="shared" si="317"/>
        <v>0.49800000000000005</v>
      </c>
      <c r="Y548" t="b">
        <f t="shared" si="318"/>
        <v>0</v>
      </c>
      <c r="Z548" s="78">
        <f t="shared" si="319"/>
        <v>-2.4900000000000002</v>
      </c>
    </row>
    <row r="549" spans="1:29" x14ac:dyDescent="0.25">
      <c r="A549" s="53">
        <v>2021</v>
      </c>
      <c r="B549" s="53">
        <v>76</v>
      </c>
      <c r="C549" s="71" t="s">
        <v>105</v>
      </c>
      <c r="D549" t="s">
        <v>705</v>
      </c>
      <c r="E549" s="9" t="s">
        <v>1465</v>
      </c>
      <c r="G549" s="1">
        <v>44326</v>
      </c>
      <c r="H549" t="s">
        <v>1466</v>
      </c>
      <c r="K549" t="b">
        <f t="shared" si="320"/>
        <v>0</v>
      </c>
      <c r="L549" s="48">
        <v>13</v>
      </c>
      <c r="M549" s="72">
        <v>1</v>
      </c>
      <c r="N549">
        <v>20</v>
      </c>
      <c r="O549" s="31">
        <f t="shared" si="313"/>
        <v>2.6</v>
      </c>
      <c r="P549" s="31">
        <f t="shared" si="314"/>
        <v>2.6</v>
      </c>
      <c r="Q549" s="33">
        <f t="shared" si="315"/>
        <v>13</v>
      </c>
      <c r="R549" s="29">
        <f t="shared" si="316"/>
        <v>15.6</v>
      </c>
      <c r="S549" s="29">
        <f t="shared" si="321"/>
        <v>15.6</v>
      </c>
      <c r="T549" s="35">
        <f t="shared" si="312"/>
        <v>44423</v>
      </c>
      <c r="U549" s="27"/>
      <c r="V549" s="27"/>
      <c r="W549" s="58">
        <f>IF(K549=TRUE,Q549/J549,Q549)</f>
        <v>13</v>
      </c>
      <c r="X549" s="31">
        <f t="shared" si="317"/>
        <v>0</v>
      </c>
      <c r="Y549" t="b">
        <f t="shared" si="318"/>
        <v>0</v>
      </c>
      <c r="Z549" s="78">
        <f t="shared" si="319"/>
        <v>-13</v>
      </c>
    </row>
    <row r="550" spans="1:29" x14ac:dyDescent="0.25">
      <c r="A550" s="53">
        <v>2021</v>
      </c>
      <c r="B550" s="53">
        <v>77</v>
      </c>
      <c r="C550" s="71" t="s">
        <v>105</v>
      </c>
      <c r="D550" t="s">
        <v>705</v>
      </c>
      <c r="E550" s="9" t="s">
        <v>1539</v>
      </c>
      <c r="G550" s="1">
        <v>44330</v>
      </c>
      <c r="H550" t="s">
        <v>927</v>
      </c>
      <c r="K550" t="b">
        <f t="shared" si="320"/>
        <v>0</v>
      </c>
      <c r="L550" s="48">
        <v>46.916800000000002</v>
      </c>
      <c r="M550" s="72">
        <v>1</v>
      </c>
      <c r="N550">
        <v>0</v>
      </c>
      <c r="O550" s="31">
        <f t="shared" si="313"/>
        <v>0</v>
      </c>
      <c r="P550" s="31">
        <f t="shared" si="314"/>
        <v>0</v>
      </c>
      <c r="Q550" s="33">
        <f t="shared" si="315"/>
        <v>46.916800000000002</v>
      </c>
      <c r="R550" s="29">
        <f t="shared" si="316"/>
        <v>46.916800000000002</v>
      </c>
      <c r="S550" s="29">
        <f t="shared" si="321"/>
        <v>46.916800000000002</v>
      </c>
      <c r="T550" s="35">
        <f t="shared" si="312"/>
        <v>44423</v>
      </c>
      <c r="U550" s="27"/>
      <c r="V550" s="27">
        <v>20</v>
      </c>
      <c r="W550" s="58">
        <f>IF(K550=TRUE,Q550/J550,Q550)</f>
        <v>46.916800000000002</v>
      </c>
      <c r="X550" s="31">
        <f t="shared" si="317"/>
        <v>9.3833600000000015</v>
      </c>
      <c r="Y550" t="b">
        <f t="shared" si="318"/>
        <v>0</v>
      </c>
      <c r="Z550" s="78">
        <f t="shared" si="319"/>
        <v>-46.916800000000002</v>
      </c>
    </row>
    <row r="551" spans="1:29" x14ac:dyDescent="0.25">
      <c r="A551" s="53">
        <v>2021</v>
      </c>
      <c r="B551" s="53">
        <v>78</v>
      </c>
      <c r="C551" s="71" t="s">
        <v>105</v>
      </c>
      <c r="D551" t="s">
        <v>703</v>
      </c>
      <c r="E551" s="136" t="s">
        <v>1543</v>
      </c>
      <c r="F551" s="1">
        <v>43962</v>
      </c>
      <c r="G551" s="1">
        <v>44337</v>
      </c>
      <c r="H551" t="s">
        <v>1148</v>
      </c>
      <c r="K551" t="b">
        <f t="shared" si="320"/>
        <v>0</v>
      </c>
      <c r="L551" s="48">
        <v>31.92</v>
      </c>
      <c r="M551" s="72">
        <v>1</v>
      </c>
      <c r="N551">
        <v>20</v>
      </c>
      <c r="O551" s="31">
        <f t="shared" si="313"/>
        <v>6.3840000000000012</v>
      </c>
      <c r="P551" s="31">
        <f t="shared" si="314"/>
        <v>6.3840000000000012</v>
      </c>
      <c r="Q551" s="33">
        <f t="shared" si="315"/>
        <v>31.92</v>
      </c>
      <c r="R551" s="29">
        <f t="shared" si="316"/>
        <v>38.304000000000002</v>
      </c>
      <c r="S551" s="29">
        <f t="shared" si="321"/>
        <v>38.304000000000002</v>
      </c>
      <c r="T551" s="35">
        <f t="shared" si="312"/>
        <v>44423</v>
      </c>
      <c r="U551" s="27"/>
      <c r="V551" s="27"/>
      <c r="W551" s="58">
        <f>IF(K551=TRUE,Q551/I551,Q551)</f>
        <v>31.92</v>
      </c>
      <c r="X551" s="31">
        <f t="shared" si="317"/>
        <v>0</v>
      </c>
      <c r="Y551" t="b">
        <f t="shared" si="318"/>
        <v>0</v>
      </c>
      <c r="Z551" s="78">
        <f t="shared" si="319"/>
        <v>-31.92</v>
      </c>
    </row>
    <row r="552" spans="1:29" x14ac:dyDescent="0.25">
      <c r="A552" s="53">
        <v>2021</v>
      </c>
      <c r="B552" s="53">
        <v>79</v>
      </c>
      <c r="C552" s="71" t="s">
        <v>105</v>
      </c>
      <c r="D552" t="s">
        <v>689</v>
      </c>
      <c r="E552" s="143" t="s">
        <v>1636</v>
      </c>
      <c r="G552" s="1">
        <v>44341</v>
      </c>
      <c r="H552" t="s">
        <v>1540</v>
      </c>
      <c r="K552" t="b">
        <f>(IF(AND(I552&lt;&gt;"",AND(J552="",ABS(Q552)&gt;400)),TRUE,FALSE))</f>
        <v>0</v>
      </c>
      <c r="L552" s="145">
        <f>2.4/1.1</f>
        <v>2.1818181818181817</v>
      </c>
      <c r="M552" s="146">
        <v>1</v>
      </c>
      <c r="N552" s="147">
        <v>10</v>
      </c>
      <c r="O552" s="31">
        <f t="shared" ref="O552:O564" si="322">L552*N552/100</f>
        <v>0.21818181818181817</v>
      </c>
      <c r="P552" s="31">
        <f t="shared" ref="P552:P564" si="323">M552*O552</f>
        <v>0.21818181818181817</v>
      </c>
      <c r="Q552" s="33">
        <f t="shared" ref="Q552:Q564" si="324">L552*M552</f>
        <v>2.1818181818181817</v>
      </c>
      <c r="R552" s="29">
        <f t="shared" ref="R552:R564" si="325">L552+O552</f>
        <v>2.4</v>
      </c>
      <c r="S552" s="29">
        <f t="shared" si="321"/>
        <v>2.4</v>
      </c>
      <c r="T552" s="35">
        <f t="shared" si="312"/>
        <v>44423</v>
      </c>
      <c r="U552" s="27"/>
      <c r="V552" s="27"/>
      <c r="W552" s="58">
        <f>IF(K552=TRUE,Q552/I552,Q552)</f>
        <v>2.1818181818181817</v>
      </c>
      <c r="X552" s="31">
        <f t="shared" ref="X552:X564" si="326">V552/100*S552</f>
        <v>0</v>
      </c>
      <c r="Y552" t="b">
        <f t="shared" ref="Y552:Y564" si="327">IF(AND(V552&gt;0,N552=V552),TRUE,FALSE)</f>
        <v>0</v>
      </c>
      <c r="Z552" s="78">
        <f t="shared" ref="Z552:Z564" si="328">IF(C552="Einnahmen",Q552,-Q552)</f>
        <v>-2.1818181818181817</v>
      </c>
    </row>
    <row r="553" spans="1:29" x14ac:dyDescent="0.25">
      <c r="A553" s="53">
        <v>2021</v>
      </c>
      <c r="B553" s="53">
        <v>80</v>
      </c>
      <c r="C553" s="71" t="s">
        <v>105</v>
      </c>
      <c r="D553" t="s">
        <v>703</v>
      </c>
      <c r="E553" s="9" t="s">
        <v>1541</v>
      </c>
      <c r="G553" s="1">
        <v>44347</v>
      </c>
      <c r="H553" t="s">
        <v>34</v>
      </c>
      <c r="K553" t="b">
        <f>(IF(AND(I553&lt;&gt;"",AND(J553="",ABS(Q553)&gt;400)),TRUE,FALSE))</f>
        <v>0</v>
      </c>
      <c r="L553" s="48">
        <v>15</v>
      </c>
      <c r="M553" s="72">
        <v>1</v>
      </c>
      <c r="N553">
        <v>20</v>
      </c>
      <c r="O553" s="31">
        <f t="shared" si="322"/>
        <v>3</v>
      </c>
      <c r="P553" s="31">
        <f t="shared" si="323"/>
        <v>3</v>
      </c>
      <c r="Q553" s="33">
        <f t="shared" si="324"/>
        <v>15</v>
      </c>
      <c r="R553" s="29">
        <f t="shared" si="325"/>
        <v>18</v>
      </c>
      <c r="S553" s="29">
        <f t="shared" si="321"/>
        <v>18</v>
      </c>
      <c r="T553" s="35">
        <f t="shared" si="312"/>
        <v>44423</v>
      </c>
      <c r="U553" s="27"/>
      <c r="V553" s="27"/>
      <c r="W553" s="58">
        <f>IF(K553=TRUE,Q553/I553,Q553)</f>
        <v>15</v>
      </c>
      <c r="X553" s="31">
        <f t="shared" si="326"/>
        <v>0</v>
      </c>
      <c r="Y553" t="b">
        <f t="shared" si="327"/>
        <v>0</v>
      </c>
      <c r="Z553" s="78">
        <f t="shared" si="328"/>
        <v>-15</v>
      </c>
    </row>
    <row r="554" spans="1:29" x14ac:dyDescent="0.25">
      <c r="A554" s="53">
        <v>2021</v>
      </c>
      <c r="B554" s="53">
        <v>81</v>
      </c>
      <c r="C554" s="71" t="s">
        <v>105</v>
      </c>
      <c r="D554" t="s">
        <v>693</v>
      </c>
      <c r="E554" s="9" t="s">
        <v>1542</v>
      </c>
      <c r="G554" s="1">
        <v>44347</v>
      </c>
      <c r="H554" t="s">
        <v>1363</v>
      </c>
      <c r="K554" t="b">
        <f>(IF(AND(I554&lt;&gt;"",AND(J554="",ABS(Q554)&gt;400)),TRUE,FALSE))</f>
        <v>0</v>
      </c>
      <c r="L554" s="48">
        <v>24.88</v>
      </c>
      <c r="M554" s="72">
        <v>1</v>
      </c>
      <c r="N554">
        <v>0</v>
      </c>
      <c r="O554" s="31">
        <f t="shared" si="322"/>
        <v>0</v>
      </c>
      <c r="P554" s="31">
        <f t="shared" si="323"/>
        <v>0</v>
      </c>
      <c r="Q554" s="33">
        <f t="shared" si="324"/>
        <v>24.88</v>
      </c>
      <c r="R554" s="29">
        <f t="shared" si="325"/>
        <v>24.88</v>
      </c>
      <c r="S554" s="29">
        <f t="shared" si="321"/>
        <v>24.88</v>
      </c>
      <c r="T554" s="35">
        <f t="shared" si="312"/>
        <v>44423</v>
      </c>
      <c r="U554" s="27"/>
      <c r="V554" s="27">
        <v>20</v>
      </c>
      <c r="W554" s="58">
        <f>IF(K554=TRUE,Q554/I554,Q554)</f>
        <v>24.88</v>
      </c>
      <c r="X554" s="31">
        <f t="shared" si="326"/>
        <v>4.976</v>
      </c>
      <c r="Y554" t="b">
        <f t="shared" si="327"/>
        <v>0</v>
      </c>
      <c r="Z554" s="78">
        <f t="shared" si="328"/>
        <v>-24.88</v>
      </c>
    </row>
    <row r="555" spans="1:29" x14ac:dyDescent="0.25">
      <c r="A555" s="53">
        <v>2021</v>
      </c>
      <c r="B555" s="53">
        <v>82</v>
      </c>
      <c r="C555" s="71" t="s">
        <v>105</v>
      </c>
      <c r="D555" t="s">
        <v>691</v>
      </c>
      <c r="E555" s="136" t="s">
        <v>1569</v>
      </c>
      <c r="G555" s="1">
        <v>44348</v>
      </c>
      <c r="H555" t="s">
        <v>1113</v>
      </c>
      <c r="K555" t="b">
        <v>0</v>
      </c>
      <c r="L555" s="109">
        <f>564.56/1.2</f>
        <v>470.46666666666664</v>
      </c>
      <c r="M555" s="72">
        <v>1</v>
      </c>
      <c r="N555">
        <v>20</v>
      </c>
      <c r="O555" s="31">
        <f t="shared" si="322"/>
        <v>94.09333333333332</v>
      </c>
      <c r="P555" s="31">
        <f t="shared" si="323"/>
        <v>94.09333333333332</v>
      </c>
      <c r="Q555" s="33">
        <f t="shared" si="324"/>
        <v>470.46666666666664</v>
      </c>
      <c r="R555" s="29">
        <f t="shared" si="325"/>
        <v>564.55999999999995</v>
      </c>
      <c r="S555" s="29">
        <f t="shared" si="321"/>
        <v>564.55999999999995</v>
      </c>
      <c r="T555" s="35">
        <f t="shared" si="312"/>
        <v>44423</v>
      </c>
      <c r="U555" s="27"/>
      <c r="V555" s="27"/>
      <c r="W555" s="58">
        <f>IF(K555=TRUE,Q555/J555,Q555)</f>
        <v>470.46666666666664</v>
      </c>
      <c r="X555" s="31">
        <f t="shared" si="326"/>
        <v>0</v>
      </c>
      <c r="Y555" t="b">
        <f t="shared" si="327"/>
        <v>0</v>
      </c>
      <c r="Z555" s="78">
        <f t="shared" si="328"/>
        <v>-470.46666666666664</v>
      </c>
    </row>
    <row r="556" spans="1:29" x14ac:dyDescent="0.25">
      <c r="A556" s="53">
        <v>2021</v>
      </c>
      <c r="B556" s="53">
        <v>83</v>
      </c>
      <c r="C556" s="71" t="s">
        <v>105</v>
      </c>
      <c r="D556" t="s">
        <v>689</v>
      </c>
      <c r="E556" s="131" t="s">
        <v>1567</v>
      </c>
      <c r="G556" s="1">
        <v>44349</v>
      </c>
      <c r="H556" t="s">
        <v>974</v>
      </c>
      <c r="K556" t="b">
        <v>0</v>
      </c>
      <c r="L556" s="48">
        <f>34.14/1.2</f>
        <v>28.450000000000003</v>
      </c>
      <c r="M556" s="72">
        <v>1</v>
      </c>
      <c r="N556">
        <v>20</v>
      </c>
      <c r="O556" s="31">
        <f t="shared" si="322"/>
        <v>5.69</v>
      </c>
      <c r="P556" s="31">
        <f t="shared" si="323"/>
        <v>5.69</v>
      </c>
      <c r="Q556" s="33">
        <f t="shared" si="324"/>
        <v>28.450000000000003</v>
      </c>
      <c r="R556" s="29">
        <f t="shared" si="325"/>
        <v>34.14</v>
      </c>
      <c r="S556" s="29">
        <f t="shared" si="321"/>
        <v>34.14</v>
      </c>
      <c r="T556" s="35">
        <f t="shared" si="312"/>
        <v>44423</v>
      </c>
      <c r="U556" s="27"/>
      <c r="V556" s="27"/>
      <c r="W556" s="58">
        <f>IF(K556=TRUE,Q556/J556,Q556)</f>
        <v>28.450000000000003</v>
      </c>
      <c r="X556" s="31">
        <f t="shared" si="326"/>
        <v>0</v>
      </c>
      <c r="Y556" t="b">
        <f t="shared" si="327"/>
        <v>0</v>
      </c>
      <c r="Z556" s="78">
        <f t="shared" si="328"/>
        <v>-28.450000000000003</v>
      </c>
    </row>
    <row r="557" spans="1:29" x14ac:dyDescent="0.25">
      <c r="A557" s="53">
        <v>2021</v>
      </c>
      <c r="B557" s="53">
        <v>84</v>
      </c>
      <c r="C557" s="71" t="s">
        <v>105</v>
      </c>
      <c r="D557" t="s">
        <v>705</v>
      </c>
      <c r="E557" s="9" t="s">
        <v>1505</v>
      </c>
      <c r="G557" s="1">
        <v>44351</v>
      </c>
      <c r="H557" t="s">
        <v>1364</v>
      </c>
      <c r="K557" t="b">
        <f t="shared" ref="K557:K568" si="329">(IF(AND(I557&lt;&gt;"",AND(J557="",ABS(Q557)&gt;400)),TRUE,FALSE))</f>
        <v>0</v>
      </c>
      <c r="L557" s="48">
        <v>2.5</v>
      </c>
      <c r="M557" s="72">
        <v>1</v>
      </c>
      <c r="N557">
        <v>20</v>
      </c>
      <c r="O557" s="31">
        <f t="shared" si="322"/>
        <v>0.5</v>
      </c>
      <c r="P557" s="31">
        <f t="shared" si="323"/>
        <v>0.5</v>
      </c>
      <c r="Q557" s="33">
        <f t="shared" si="324"/>
        <v>2.5</v>
      </c>
      <c r="R557" s="29">
        <f t="shared" si="325"/>
        <v>3</v>
      </c>
      <c r="S557" s="29">
        <v>3</v>
      </c>
      <c r="T557" s="35">
        <f t="shared" si="312"/>
        <v>44423</v>
      </c>
      <c r="U557" s="27"/>
      <c r="V557" s="27"/>
      <c r="W557" s="58">
        <f>IF(K557=TRUE,Q557/J557,Q557)</f>
        <v>2.5</v>
      </c>
      <c r="X557" s="31">
        <f t="shared" si="326"/>
        <v>0</v>
      </c>
      <c r="Y557" t="b">
        <f t="shared" si="327"/>
        <v>0</v>
      </c>
      <c r="Z557" s="78">
        <f t="shared" si="328"/>
        <v>-2.5</v>
      </c>
    </row>
    <row r="558" spans="1:29" x14ac:dyDescent="0.25">
      <c r="A558" s="53">
        <v>2021</v>
      </c>
      <c r="B558" s="53">
        <v>85</v>
      </c>
      <c r="C558" s="71" t="s">
        <v>105</v>
      </c>
      <c r="D558" t="s">
        <v>705</v>
      </c>
      <c r="E558" s="9" t="s">
        <v>1143</v>
      </c>
      <c r="G558" s="1">
        <v>44354</v>
      </c>
      <c r="H558" t="s">
        <v>1437</v>
      </c>
      <c r="K558" t="b">
        <f t="shared" si="329"/>
        <v>0</v>
      </c>
      <c r="L558" s="48">
        <v>35</v>
      </c>
      <c r="M558" s="72">
        <v>1</v>
      </c>
      <c r="N558">
        <v>20</v>
      </c>
      <c r="O558" s="31">
        <f t="shared" si="322"/>
        <v>7</v>
      </c>
      <c r="P558" s="31">
        <f t="shared" si="323"/>
        <v>7</v>
      </c>
      <c r="Q558" s="33">
        <f t="shared" si="324"/>
        <v>35</v>
      </c>
      <c r="R558" s="29">
        <f t="shared" si="325"/>
        <v>42</v>
      </c>
      <c r="S558" s="29">
        <f t="shared" ref="S558:S564" si="330">Q558+P558</f>
        <v>42</v>
      </c>
      <c r="T558" s="35">
        <f t="shared" si="312"/>
        <v>44423</v>
      </c>
      <c r="U558" s="27"/>
      <c r="V558" s="27"/>
      <c r="W558" s="58">
        <f>IF(K558=TRUE,Q558/I558,Q558)</f>
        <v>35</v>
      </c>
      <c r="X558" s="31">
        <f t="shared" si="326"/>
        <v>0</v>
      </c>
      <c r="Y558" t="b">
        <f t="shared" si="327"/>
        <v>0</v>
      </c>
      <c r="Z558" s="78">
        <f t="shared" si="328"/>
        <v>-35</v>
      </c>
    </row>
    <row r="559" spans="1:29" x14ac:dyDescent="0.25">
      <c r="A559" s="53">
        <v>2021</v>
      </c>
      <c r="B559" s="53">
        <v>86</v>
      </c>
      <c r="C559" s="71" t="s">
        <v>708</v>
      </c>
      <c r="D559" t="s">
        <v>709</v>
      </c>
      <c r="E559" s="9">
        <v>12021014</v>
      </c>
      <c r="G559" s="1">
        <v>44354</v>
      </c>
      <c r="H559" t="s">
        <v>1266</v>
      </c>
      <c r="K559" t="b">
        <f t="shared" si="329"/>
        <v>0</v>
      </c>
      <c r="L559" s="48">
        <v>14.94</v>
      </c>
      <c r="M559" s="72">
        <v>1</v>
      </c>
      <c r="N559">
        <v>20</v>
      </c>
      <c r="O559" s="31">
        <f t="shared" si="322"/>
        <v>2.988</v>
      </c>
      <c r="P559" s="31">
        <f t="shared" si="323"/>
        <v>2.988</v>
      </c>
      <c r="Q559" s="33">
        <f t="shared" si="324"/>
        <v>14.94</v>
      </c>
      <c r="R559" s="29">
        <f t="shared" si="325"/>
        <v>17.928000000000001</v>
      </c>
      <c r="S559" s="29">
        <f t="shared" si="330"/>
        <v>17.928000000000001</v>
      </c>
      <c r="T559" s="35">
        <f t="shared" si="312"/>
        <v>44423</v>
      </c>
      <c r="U559" s="27"/>
      <c r="V559" s="27"/>
      <c r="W559" s="58">
        <f>IF(K559=TRUE,Q559/I559,Q559)</f>
        <v>14.94</v>
      </c>
      <c r="X559" s="31">
        <f t="shared" si="326"/>
        <v>0</v>
      </c>
      <c r="Y559" t="b">
        <f t="shared" si="327"/>
        <v>0</v>
      </c>
      <c r="Z559" s="78">
        <f t="shared" si="328"/>
        <v>14.94</v>
      </c>
      <c r="AB559" t="b">
        <f>L559*1.2=R559</f>
        <v>1</v>
      </c>
      <c r="AC559" t="b">
        <f>L559*1.2=S559</f>
        <v>1</v>
      </c>
    </row>
    <row r="560" spans="1:29" x14ac:dyDescent="0.25">
      <c r="A560" s="53">
        <v>2021</v>
      </c>
      <c r="B560" s="53">
        <v>87</v>
      </c>
      <c r="C560" s="71" t="s">
        <v>105</v>
      </c>
      <c r="D560" t="s">
        <v>705</v>
      </c>
      <c r="E560" s="9" t="s">
        <v>1545</v>
      </c>
      <c r="G560" s="1">
        <v>44354</v>
      </c>
      <c r="H560" t="s">
        <v>927</v>
      </c>
      <c r="J560" s="76" t="s">
        <v>958</v>
      </c>
      <c r="K560" t="b">
        <f t="shared" si="329"/>
        <v>0</v>
      </c>
      <c r="L560" s="48">
        <v>2.4900000000000002</v>
      </c>
      <c r="M560" s="72">
        <v>1</v>
      </c>
      <c r="N560">
        <v>0</v>
      </c>
      <c r="O560" s="31">
        <f t="shared" si="322"/>
        <v>0</v>
      </c>
      <c r="P560" s="31">
        <f t="shared" si="323"/>
        <v>0</v>
      </c>
      <c r="Q560" s="33">
        <f t="shared" si="324"/>
        <v>2.4900000000000002</v>
      </c>
      <c r="R560" s="29">
        <f t="shared" si="325"/>
        <v>2.4900000000000002</v>
      </c>
      <c r="S560" s="29">
        <f t="shared" si="330"/>
        <v>2.4900000000000002</v>
      </c>
      <c r="T560" s="35">
        <f t="shared" si="312"/>
        <v>44423</v>
      </c>
      <c r="U560" s="27"/>
      <c r="V560" s="27">
        <v>20</v>
      </c>
      <c r="W560" s="58">
        <f t="shared" ref="W560:W565" si="331">IF(K560=TRUE,Q560/J560,Q560)</f>
        <v>2.4900000000000002</v>
      </c>
      <c r="X560" s="31">
        <f t="shared" si="326"/>
        <v>0.49800000000000005</v>
      </c>
      <c r="Y560" t="b">
        <f t="shared" si="327"/>
        <v>0</v>
      </c>
      <c r="Z560" s="78">
        <f t="shared" si="328"/>
        <v>-2.4900000000000002</v>
      </c>
    </row>
    <row r="561" spans="1:29" x14ac:dyDescent="0.25">
      <c r="A561" s="53">
        <v>2021</v>
      </c>
      <c r="B561" s="53">
        <v>88</v>
      </c>
      <c r="C561" s="71" t="s">
        <v>105</v>
      </c>
      <c r="D561" t="s">
        <v>705</v>
      </c>
      <c r="E561" s="9" t="s">
        <v>1465</v>
      </c>
      <c r="G561" s="1">
        <v>44357</v>
      </c>
      <c r="H561" t="s">
        <v>1466</v>
      </c>
      <c r="K561" t="b">
        <f t="shared" si="329"/>
        <v>0</v>
      </c>
      <c r="L561" s="48">
        <v>13</v>
      </c>
      <c r="M561" s="72">
        <v>1</v>
      </c>
      <c r="N561">
        <v>20</v>
      </c>
      <c r="O561" s="31">
        <f t="shared" si="322"/>
        <v>2.6</v>
      </c>
      <c r="P561" s="31">
        <f t="shared" si="323"/>
        <v>2.6</v>
      </c>
      <c r="Q561" s="33">
        <f t="shared" si="324"/>
        <v>13</v>
      </c>
      <c r="R561" s="29">
        <f t="shared" si="325"/>
        <v>15.6</v>
      </c>
      <c r="S561" s="29">
        <f t="shared" si="330"/>
        <v>15.6</v>
      </c>
      <c r="T561" s="35">
        <f t="shared" si="312"/>
        <v>44423</v>
      </c>
      <c r="U561" s="27"/>
      <c r="V561" s="27"/>
      <c r="W561" s="58">
        <f t="shared" si="331"/>
        <v>13</v>
      </c>
      <c r="X561" s="31">
        <f t="shared" si="326"/>
        <v>0</v>
      </c>
      <c r="Y561" t="b">
        <f t="shared" si="327"/>
        <v>0</v>
      </c>
      <c r="Z561" s="78">
        <f t="shared" si="328"/>
        <v>-13</v>
      </c>
    </row>
    <row r="562" spans="1:29" x14ac:dyDescent="0.25">
      <c r="A562" s="53">
        <v>2021</v>
      </c>
      <c r="B562" s="53">
        <v>89</v>
      </c>
      <c r="C562" s="71" t="s">
        <v>105</v>
      </c>
      <c r="D562" t="s">
        <v>705</v>
      </c>
      <c r="E562" s="9" t="s">
        <v>1546</v>
      </c>
      <c r="G562" s="1">
        <v>44358</v>
      </c>
      <c r="H562" t="s">
        <v>927</v>
      </c>
      <c r="K562" t="b">
        <f t="shared" si="329"/>
        <v>0</v>
      </c>
      <c r="L562" s="48">
        <v>46.916800000000002</v>
      </c>
      <c r="M562" s="72">
        <v>1</v>
      </c>
      <c r="N562">
        <v>0</v>
      </c>
      <c r="O562" s="31">
        <f t="shared" si="322"/>
        <v>0</v>
      </c>
      <c r="P562" s="31">
        <f t="shared" si="323"/>
        <v>0</v>
      </c>
      <c r="Q562" s="33">
        <f t="shared" si="324"/>
        <v>46.916800000000002</v>
      </c>
      <c r="R562" s="29">
        <f t="shared" si="325"/>
        <v>46.916800000000002</v>
      </c>
      <c r="S562" s="29">
        <f t="shared" si="330"/>
        <v>46.916800000000002</v>
      </c>
      <c r="T562" s="35">
        <f t="shared" si="312"/>
        <v>44423</v>
      </c>
      <c r="U562" s="27"/>
      <c r="V562" s="27">
        <v>20</v>
      </c>
      <c r="W562" s="58">
        <f t="shared" si="331"/>
        <v>46.916800000000002</v>
      </c>
      <c r="X562" s="31">
        <f t="shared" si="326"/>
        <v>9.3833600000000015</v>
      </c>
      <c r="Y562" t="b">
        <f t="shared" si="327"/>
        <v>0</v>
      </c>
      <c r="Z562" s="78">
        <f t="shared" si="328"/>
        <v>-46.916800000000002</v>
      </c>
    </row>
    <row r="563" spans="1:29" x14ac:dyDescent="0.25">
      <c r="A563" s="53">
        <v>2021</v>
      </c>
      <c r="B563" s="53">
        <v>90</v>
      </c>
      <c r="C563" s="71" t="s">
        <v>105</v>
      </c>
      <c r="D563" t="s">
        <v>705</v>
      </c>
      <c r="E563" s="9" t="s">
        <v>1571</v>
      </c>
      <c r="G563" s="1">
        <v>44358</v>
      </c>
      <c r="H563" t="s">
        <v>1368</v>
      </c>
      <c r="J563" s="76" t="s">
        <v>958</v>
      </c>
      <c r="K563" t="b">
        <f t="shared" si="329"/>
        <v>0</v>
      </c>
      <c r="L563" s="48">
        <v>24.19</v>
      </c>
      <c r="M563" s="72">
        <v>1</v>
      </c>
      <c r="N563">
        <v>0</v>
      </c>
      <c r="O563" s="31">
        <f t="shared" si="322"/>
        <v>0</v>
      </c>
      <c r="P563" s="31">
        <f t="shared" si="323"/>
        <v>0</v>
      </c>
      <c r="Q563" s="33">
        <f t="shared" si="324"/>
        <v>24.19</v>
      </c>
      <c r="R563" s="29">
        <f t="shared" si="325"/>
        <v>24.19</v>
      </c>
      <c r="S563" s="29">
        <f t="shared" si="330"/>
        <v>24.19</v>
      </c>
      <c r="T563" s="35">
        <f t="shared" si="312"/>
        <v>44423</v>
      </c>
      <c r="U563" s="27"/>
      <c r="V563" s="27">
        <v>20</v>
      </c>
      <c r="W563" s="58">
        <f t="shared" si="331"/>
        <v>24.19</v>
      </c>
      <c r="X563" s="31">
        <f t="shared" si="326"/>
        <v>4.838000000000001</v>
      </c>
      <c r="Y563" t="b">
        <f t="shared" si="327"/>
        <v>0</v>
      </c>
      <c r="Z563" s="78">
        <f t="shared" si="328"/>
        <v>-24.19</v>
      </c>
    </row>
    <row r="564" spans="1:29" x14ac:dyDescent="0.25">
      <c r="A564" s="53">
        <v>2021</v>
      </c>
      <c r="B564" s="53">
        <v>91</v>
      </c>
      <c r="C564" s="71" t="s">
        <v>105</v>
      </c>
      <c r="D564" t="s">
        <v>705</v>
      </c>
      <c r="E564" s="136" t="s">
        <v>1562</v>
      </c>
      <c r="G564" s="1">
        <v>44368</v>
      </c>
      <c r="H564" t="s">
        <v>1032</v>
      </c>
      <c r="K564" t="b">
        <f t="shared" si="329"/>
        <v>0</v>
      </c>
      <c r="L564" s="48">
        <v>69</v>
      </c>
      <c r="M564" s="72">
        <v>1</v>
      </c>
      <c r="N564">
        <v>0</v>
      </c>
      <c r="O564" s="31">
        <f t="shared" si="322"/>
        <v>0</v>
      </c>
      <c r="P564" s="31">
        <f t="shared" si="323"/>
        <v>0</v>
      </c>
      <c r="Q564" s="33">
        <f t="shared" si="324"/>
        <v>69</v>
      </c>
      <c r="R564" s="29">
        <f t="shared" si="325"/>
        <v>69</v>
      </c>
      <c r="S564" s="29">
        <f t="shared" si="330"/>
        <v>69</v>
      </c>
      <c r="T564" s="35">
        <f t="shared" si="312"/>
        <v>44423</v>
      </c>
      <c r="U564" s="27"/>
      <c r="V564" s="27">
        <v>20</v>
      </c>
      <c r="W564" s="58">
        <f t="shared" si="331"/>
        <v>69</v>
      </c>
      <c r="X564" s="31">
        <f t="shared" si="326"/>
        <v>13.8</v>
      </c>
      <c r="Y564" t="b">
        <f t="shared" si="327"/>
        <v>0</v>
      </c>
      <c r="Z564" s="78">
        <f t="shared" si="328"/>
        <v>-69</v>
      </c>
    </row>
    <row r="565" spans="1:29" x14ac:dyDescent="0.25">
      <c r="A565" s="53">
        <v>2021</v>
      </c>
      <c r="B565" s="53">
        <v>92</v>
      </c>
      <c r="C565" s="71" t="s">
        <v>105</v>
      </c>
      <c r="D565" t="s">
        <v>705</v>
      </c>
      <c r="E565" s="136" t="s">
        <v>1568</v>
      </c>
      <c r="G565" s="1">
        <v>44368</v>
      </c>
      <c r="H565" s="3" t="s">
        <v>1547</v>
      </c>
      <c r="J565" s="76" t="s">
        <v>958</v>
      </c>
      <c r="K565" t="b">
        <f t="shared" si="329"/>
        <v>0</v>
      </c>
      <c r="L565" s="48">
        <v>45.83</v>
      </c>
      <c r="M565" s="72">
        <v>1</v>
      </c>
      <c r="N565">
        <v>0</v>
      </c>
      <c r="O565" s="31">
        <f>L565*N565/100</f>
        <v>0</v>
      </c>
      <c r="P565" s="31">
        <f>M565*O565</f>
        <v>0</v>
      </c>
      <c r="Q565" s="33">
        <f t="shared" ref="Q565:Q571" si="332">L565*M565</f>
        <v>45.83</v>
      </c>
      <c r="R565" s="29">
        <f t="shared" ref="R565:R571" si="333">L565+O565</f>
        <v>45.83</v>
      </c>
      <c r="S565" s="29">
        <f t="shared" ref="S565:S574" si="334">Q565+P565</f>
        <v>45.83</v>
      </c>
      <c r="T565" s="35">
        <f t="shared" si="312"/>
        <v>44423</v>
      </c>
      <c r="U565" s="27"/>
      <c r="V565" s="27">
        <v>20</v>
      </c>
      <c r="W565" s="58">
        <f t="shared" si="331"/>
        <v>45.83</v>
      </c>
      <c r="X565" s="31">
        <f t="shared" ref="X565:X571" si="335">V565/100*S565</f>
        <v>9.1660000000000004</v>
      </c>
      <c r="Y565" t="b">
        <f t="shared" ref="Y565:Y571" si="336">IF(AND(V565&gt;0,N565=V565),TRUE,FALSE)</f>
        <v>0</v>
      </c>
      <c r="Z565" s="78">
        <f t="shared" ref="Z565:Z571" si="337">IF(C565="Einnahmen",Q565,-Q565)</f>
        <v>-45.83</v>
      </c>
    </row>
    <row r="566" spans="1:29" x14ac:dyDescent="0.25">
      <c r="A566" s="53">
        <v>2021</v>
      </c>
      <c r="B566" s="53">
        <v>93</v>
      </c>
      <c r="C566" s="71" t="s">
        <v>105</v>
      </c>
      <c r="D566" t="s">
        <v>703</v>
      </c>
      <c r="E566" s="136" t="s">
        <v>1563</v>
      </c>
      <c r="G566" s="1">
        <v>44369</v>
      </c>
      <c r="H566" t="s">
        <v>1148</v>
      </c>
      <c r="K566" t="b">
        <f t="shared" si="329"/>
        <v>0</v>
      </c>
      <c r="L566" s="48">
        <v>31.92</v>
      </c>
      <c r="M566" s="72">
        <v>1</v>
      </c>
      <c r="N566">
        <v>20</v>
      </c>
      <c r="O566" s="31">
        <f>L566*N566/100</f>
        <v>6.3840000000000012</v>
      </c>
      <c r="P566" s="31">
        <f>M566*O566</f>
        <v>6.3840000000000012</v>
      </c>
      <c r="Q566" s="33">
        <f t="shared" si="332"/>
        <v>31.92</v>
      </c>
      <c r="R566" s="29">
        <f t="shared" si="333"/>
        <v>38.304000000000002</v>
      </c>
      <c r="S566" s="29">
        <f t="shared" si="334"/>
        <v>38.304000000000002</v>
      </c>
      <c r="T566" s="35">
        <f t="shared" si="312"/>
        <v>44423</v>
      </c>
      <c r="U566" s="27"/>
      <c r="V566" s="27"/>
      <c r="W566" s="58">
        <f>IF(K566=TRUE,Q566/I566,Q566)</f>
        <v>31.92</v>
      </c>
      <c r="X566" s="31">
        <f t="shared" si="335"/>
        <v>0</v>
      </c>
      <c r="Y566" t="b">
        <f t="shared" si="336"/>
        <v>0</v>
      </c>
      <c r="Z566" s="78">
        <f t="shared" si="337"/>
        <v>-31.92</v>
      </c>
    </row>
    <row r="567" spans="1:29" x14ac:dyDescent="0.25">
      <c r="A567" s="53">
        <v>2021</v>
      </c>
      <c r="B567" s="53">
        <v>94</v>
      </c>
      <c r="C567" s="71" t="s">
        <v>105</v>
      </c>
      <c r="D567" t="s">
        <v>683</v>
      </c>
      <c r="E567" s="136" t="s">
        <v>1564</v>
      </c>
      <c r="G567" s="1">
        <v>44372</v>
      </c>
      <c r="H567" t="s">
        <v>1238</v>
      </c>
      <c r="J567" s="76" t="s">
        <v>958</v>
      </c>
      <c r="K567" t="b">
        <f t="shared" si="329"/>
        <v>0</v>
      </c>
      <c r="L567" s="109">
        <v>107.42</v>
      </c>
      <c r="M567" s="72">
        <v>1</v>
      </c>
      <c r="N567">
        <v>20</v>
      </c>
      <c r="O567" s="31">
        <f>L567*N567/100</f>
        <v>21.484000000000002</v>
      </c>
      <c r="P567" s="31">
        <f>M567*O567</f>
        <v>21.484000000000002</v>
      </c>
      <c r="Q567" s="33">
        <f t="shared" si="332"/>
        <v>107.42</v>
      </c>
      <c r="R567" s="29">
        <f t="shared" si="333"/>
        <v>128.904</v>
      </c>
      <c r="S567" s="29">
        <f t="shared" si="334"/>
        <v>128.904</v>
      </c>
      <c r="T567" s="35">
        <f t="shared" si="312"/>
        <v>44423</v>
      </c>
      <c r="U567" s="27"/>
      <c r="V567" s="27"/>
      <c r="W567" s="58">
        <f>IF(K567=TRUE,Q567/I567,Q567)</f>
        <v>107.42</v>
      </c>
      <c r="X567" s="31">
        <f t="shared" si="335"/>
        <v>0</v>
      </c>
      <c r="Y567" t="b">
        <f t="shared" si="336"/>
        <v>0</v>
      </c>
      <c r="Z567" s="78">
        <f t="shared" si="337"/>
        <v>-107.42</v>
      </c>
    </row>
    <row r="568" spans="1:29" x14ac:dyDescent="0.25">
      <c r="A568" s="53">
        <v>2021</v>
      </c>
      <c r="B568" s="53">
        <v>95</v>
      </c>
      <c r="C568" s="71" t="s">
        <v>105</v>
      </c>
      <c r="D568" t="s">
        <v>703</v>
      </c>
      <c r="E568" s="9" t="s">
        <v>1541</v>
      </c>
      <c r="G568" s="1">
        <v>44377</v>
      </c>
      <c r="H568" t="s">
        <v>34</v>
      </c>
      <c r="K568" t="b">
        <f t="shared" si="329"/>
        <v>0</v>
      </c>
      <c r="L568" s="48">
        <v>15</v>
      </c>
      <c r="M568" s="72">
        <v>1</v>
      </c>
      <c r="N568">
        <v>20</v>
      </c>
      <c r="O568" s="31">
        <f>L568*N568/100</f>
        <v>3</v>
      </c>
      <c r="P568" s="31">
        <f>M568*O568</f>
        <v>3</v>
      </c>
      <c r="Q568" s="33">
        <f t="shared" si="332"/>
        <v>15</v>
      </c>
      <c r="R568" s="29">
        <f t="shared" si="333"/>
        <v>18</v>
      </c>
      <c r="S568" s="29">
        <f t="shared" si="334"/>
        <v>18</v>
      </c>
      <c r="T568" s="35">
        <f t="shared" si="312"/>
        <v>44423</v>
      </c>
      <c r="U568" s="27"/>
      <c r="V568" s="27"/>
      <c r="W568" s="58">
        <f>IF(K568=TRUE,Q568/I568,Q568)</f>
        <v>15</v>
      </c>
      <c r="X568" s="31">
        <f t="shared" si="335"/>
        <v>0</v>
      </c>
      <c r="Y568" t="b">
        <f t="shared" si="336"/>
        <v>0</v>
      </c>
      <c r="Z568" s="78">
        <f t="shared" si="337"/>
        <v>-15</v>
      </c>
    </row>
    <row r="569" spans="1:29" x14ac:dyDescent="0.25">
      <c r="A569" s="53">
        <v>2021</v>
      </c>
      <c r="B569" s="53">
        <v>96</v>
      </c>
      <c r="C569" s="71" t="s">
        <v>105</v>
      </c>
      <c r="D569" t="s">
        <v>691</v>
      </c>
      <c r="E569" s="136" t="s">
        <v>1561</v>
      </c>
      <c r="G569" s="1">
        <v>44378</v>
      </c>
      <c r="H569" t="s">
        <v>1113</v>
      </c>
      <c r="K569" t="b">
        <v>0</v>
      </c>
      <c r="L569" s="109">
        <f>564.56/1.2</f>
        <v>470.46666666666664</v>
      </c>
      <c r="M569" s="72">
        <v>1</v>
      </c>
      <c r="N569">
        <v>20</v>
      </c>
      <c r="O569" s="31">
        <f>L569*N569/100</f>
        <v>94.09333333333332</v>
      </c>
      <c r="P569" s="31">
        <f>M569*O569</f>
        <v>94.09333333333332</v>
      </c>
      <c r="Q569" s="33">
        <f t="shared" si="332"/>
        <v>470.46666666666664</v>
      </c>
      <c r="R569" s="29">
        <f t="shared" si="333"/>
        <v>564.55999999999995</v>
      </c>
      <c r="S569" s="29">
        <f t="shared" si="334"/>
        <v>564.55999999999995</v>
      </c>
      <c r="T569" s="35">
        <f t="shared" si="312"/>
        <v>44515</v>
      </c>
      <c r="U569" s="27"/>
      <c r="V569" s="27"/>
      <c r="W569" s="58">
        <f>IF(K569=TRUE,Q569/J569,Q569)</f>
        <v>470.46666666666664</v>
      </c>
      <c r="X569" s="31">
        <f t="shared" si="335"/>
        <v>0</v>
      </c>
      <c r="Y569" t="b">
        <f t="shared" si="336"/>
        <v>0</v>
      </c>
      <c r="Z569" s="78">
        <f t="shared" si="337"/>
        <v>-470.46666666666664</v>
      </c>
    </row>
    <row r="570" spans="1:29" x14ac:dyDescent="0.25">
      <c r="A570" s="53">
        <v>2021</v>
      </c>
      <c r="B570" s="53">
        <v>97</v>
      </c>
      <c r="C570" s="71" t="s">
        <v>708</v>
      </c>
      <c r="D570" t="s">
        <v>709</v>
      </c>
      <c r="E570" s="9" t="s">
        <v>1548</v>
      </c>
      <c r="G570" s="1">
        <v>44378</v>
      </c>
      <c r="H570" t="s">
        <v>1513</v>
      </c>
      <c r="K570" t="b">
        <v>0</v>
      </c>
      <c r="L570" s="48">
        <v>89</v>
      </c>
      <c r="M570" s="72">
        <v>1</v>
      </c>
      <c r="N570">
        <v>20</v>
      </c>
      <c r="O570" s="31">
        <f t="shared" ref="O570:O581" si="338">L570*N570/100</f>
        <v>17.8</v>
      </c>
      <c r="P570" s="31">
        <f t="shared" ref="P570:P581" si="339">M570*O570</f>
        <v>17.8</v>
      </c>
      <c r="Q570" s="33">
        <f t="shared" si="332"/>
        <v>89</v>
      </c>
      <c r="R570" s="29">
        <f t="shared" si="333"/>
        <v>106.8</v>
      </c>
      <c r="S570" s="29">
        <f t="shared" si="334"/>
        <v>106.8</v>
      </c>
      <c r="T570" s="35">
        <f t="shared" si="312"/>
        <v>44515</v>
      </c>
      <c r="U570" s="27"/>
      <c r="V570" s="27"/>
      <c r="W570" s="58">
        <f>IF(K570=TRUE,Q570/J570,Q570)</f>
        <v>89</v>
      </c>
      <c r="X570" s="31">
        <f t="shared" si="335"/>
        <v>0</v>
      </c>
      <c r="Y570" t="b">
        <f t="shared" si="336"/>
        <v>0</v>
      </c>
      <c r="Z570" s="78">
        <f t="shared" si="337"/>
        <v>89</v>
      </c>
      <c r="AB570" t="b">
        <f>L570*1.2=R570</f>
        <v>1</v>
      </c>
      <c r="AC570" t="b">
        <f>L570*1.2=S570</f>
        <v>1</v>
      </c>
    </row>
    <row r="571" spans="1:29" x14ac:dyDescent="0.25">
      <c r="A571" s="53">
        <v>2021</v>
      </c>
      <c r="B571" s="53">
        <v>98</v>
      </c>
      <c r="C571" s="71" t="s">
        <v>708</v>
      </c>
      <c r="D571" t="s">
        <v>709</v>
      </c>
      <c r="E571" s="9" t="s">
        <v>1515</v>
      </c>
      <c r="G571" s="1">
        <v>44378</v>
      </c>
      <c r="H571" t="s">
        <v>1038</v>
      </c>
      <c r="K571" t="b">
        <f>(IF(AND(I571&lt;&gt;"",AND(J571="",ABS(Q571)&gt;400)),TRUE,FALSE))</f>
        <v>0</v>
      </c>
      <c r="L571" s="109">
        <v>18500</v>
      </c>
      <c r="M571" s="72">
        <v>1</v>
      </c>
      <c r="N571">
        <v>20</v>
      </c>
      <c r="O571" s="31">
        <f t="shared" si="338"/>
        <v>3700</v>
      </c>
      <c r="P571" s="31">
        <f t="shared" si="339"/>
        <v>3700</v>
      </c>
      <c r="Q571" s="33">
        <f t="shared" si="332"/>
        <v>18500</v>
      </c>
      <c r="R571" s="29">
        <f t="shared" si="333"/>
        <v>22200</v>
      </c>
      <c r="S571" s="29">
        <f t="shared" si="334"/>
        <v>22200</v>
      </c>
      <c r="T571" s="35">
        <f t="shared" si="312"/>
        <v>44515</v>
      </c>
      <c r="U571" s="27"/>
      <c r="V571" s="27"/>
      <c r="W571" s="58">
        <f>IF(K571=TRUE,Q571/I571,Q571)</f>
        <v>18500</v>
      </c>
      <c r="X571" s="31">
        <f t="shared" si="335"/>
        <v>0</v>
      </c>
      <c r="Y571" t="b">
        <f t="shared" si="336"/>
        <v>0</v>
      </c>
      <c r="Z571" s="78">
        <f t="shared" si="337"/>
        <v>18500</v>
      </c>
      <c r="AB571" t="b">
        <f>L571*1.2=R571</f>
        <v>1</v>
      </c>
      <c r="AC571" t="b">
        <f>L571*1.2=S571</f>
        <v>1</v>
      </c>
    </row>
    <row r="572" spans="1:29" x14ac:dyDescent="0.25">
      <c r="A572" s="53">
        <v>2021</v>
      </c>
      <c r="B572" s="53">
        <v>99</v>
      </c>
      <c r="C572" s="71" t="s">
        <v>708</v>
      </c>
      <c r="D572" t="s">
        <v>709</v>
      </c>
      <c r="E572" s="9" t="s">
        <v>1549</v>
      </c>
      <c r="G572" s="1">
        <v>44379</v>
      </c>
      <c r="H572" t="s">
        <v>923</v>
      </c>
      <c r="K572" t="b">
        <f>(IF(AND(I572&lt;&gt;"",AND(J572="",ABS(Q572)&gt;400)),TRUE,FALSE))</f>
        <v>0</v>
      </c>
      <c r="L572" s="48">
        <v>175</v>
      </c>
      <c r="M572" s="72">
        <v>1</v>
      </c>
      <c r="N572">
        <v>20</v>
      </c>
      <c r="O572" s="31">
        <f t="shared" si="338"/>
        <v>35</v>
      </c>
      <c r="P572" s="31">
        <f t="shared" si="339"/>
        <v>35</v>
      </c>
      <c r="Q572" s="33">
        <f t="shared" ref="Q572:Q581" si="340">L572*M572</f>
        <v>175</v>
      </c>
      <c r="R572" s="29">
        <f t="shared" ref="R572:R581" si="341">L572+O572</f>
        <v>210</v>
      </c>
      <c r="S572" s="29">
        <f t="shared" si="334"/>
        <v>210</v>
      </c>
      <c r="T572" s="35">
        <f t="shared" si="312"/>
        <v>44515</v>
      </c>
      <c r="U572" s="27"/>
      <c r="V572" s="27"/>
      <c r="W572" s="58">
        <f>IF(K572=TRUE,Q572/J572,Q572)</f>
        <v>175</v>
      </c>
      <c r="X572" s="31">
        <f t="shared" ref="X572:X581" si="342">V572/100*S572</f>
        <v>0</v>
      </c>
      <c r="Y572" t="b">
        <f t="shared" ref="Y572:Y581" si="343">IF(AND(V572&gt;0,N572=V572),TRUE,FALSE)</f>
        <v>0</v>
      </c>
      <c r="Z572" s="78">
        <f t="shared" ref="Z572:Z581" si="344">IF(C572="Einnahmen",Q572,-Q572)</f>
        <v>175</v>
      </c>
      <c r="AB572" t="b">
        <f>L572*1.2=R572</f>
        <v>1</v>
      </c>
      <c r="AC572" t="b">
        <f>L572*1.2=S572</f>
        <v>1</v>
      </c>
    </row>
    <row r="573" spans="1:29" x14ac:dyDescent="0.25">
      <c r="A573" s="53">
        <v>2021</v>
      </c>
      <c r="B573" s="53">
        <v>100</v>
      </c>
      <c r="C573" s="71" t="s">
        <v>105</v>
      </c>
      <c r="D573" t="s">
        <v>689</v>
      </c>
      <c r="E573" s="131" t="s">
        <v>1550</v>
      </c>
      <c r="G573" s="1">
        <v>44379</v>
      </c>
      <c r="H573" t="s">
        <v>974</v>
      </c>
      <c r="K573" t="b">
        <v>0</v>
      </c>
      <c r="L573" s="48">
        <f>13.35/1.2</f>
        <v>11.125</v>
      </c>
      <c r="M573" s="72">
        <v>1</v>
      </c>
      <c r="N573">
        <v>20</v>
      </c>
      <c r="O573" s="31">
        <f t="shared" si="338"/>
        <v>2.2250000000000001</v>
      </c>
      <c r="P573" s="31">
        <f t="shared" si="339"/>
        <v>2.2250000000000001</v>
      </c>
      <c r="Q573" s="33">
        <f t="shared" si="340"/>
        <v>11.125</v>
      </c>
      <c r="R573" s="29">
        <f t="shared" si="341"/>
        <v>13.35</v>
      </c>
      <c r="S573" s="29">
        <f t="shared" si="334"/>
        <v>13.35</v>
      </c>
      <c r="T573" s="35">
        <f t="shared" si="312"/>
        <v>44515</v>
      </c>
      <c r="U573" s="27"/>
      <c r="V573" s="27"/>
      <c r="W573" s="58">
        <f>IF(K573=TRUE,Q573/J573,Q573)</f>
        <v>11.125</v>
      </c>
      <c r="X573" s="31">
        <f t="shared" si="342"/>
        <v>0</v>
      </c>
      <c r="Y573" t="b">
        <f t="shared" si="343"/>
        <v>0</v>
      </c>
      <c r="Z573" s="78">
        <f t="shared" si="344"/>
        <v>-11.125</v>
      </c>
    </row>
    <row r="574" spans="1:29" x14ac:dyDescent="0.25">
      <c r="A574" s="53">
        <v>2021</v>
      </c>
      <c r="B574" s="53">
        <v>101</v>
      </c>
      <c r="C574" s="71" t="s">
        <v>708</v>
      </c>
      <c r="D574" t="s">
        <v>709</v>
      </c>
      <c r="E574" s="9" t="s">
        <v>1551</v>
      </c>
      <c r="G574" s="1">
        <v>44382</v>
      </c>
      <c r="H574" t="s">
        <v>1217</v>
      </c>
      <c r="K574" t="b">
        <v>0</v>
      </c>
      <c r="L574" s="48">
        <v>100</v>
      </c>
      <c r="M574" s="72">
        <v>1</v>
      </c>
      <c r="N574">
        <v>20</v>
      </c>
      <c r="O574" s="31">
        <f t="shared" si="338"/>
        <v>20</v>
      </c>
      <c r="P574" s="31">
        <f t="shared" si="339"/>
        <v>20</v>
      </c>
      <c r="Q574" s="33">
        <f t="shared" si="340"/>
        <v>100</v>
      </c>
      <c r="R574" s="29">
        <f t="shared" si="341"/>
        <v>120</v>
      </c>
      <c r="S574" s="29">
        <f t="shared" si="334"/>
        <v>120</v>
      </c>
      <c r="T574" s="35">
        <f t="shared" si="312"/>
        <v>44515</v>
      </c>
      <c r="U574" s="27"/>
      <c r="V574" s="27"/>
      <c r="W574" s="58">
        <f>IF(K574=TRUE,Q574/I574,Q574)</f>
        <v>100</v>
      </c>
      <c r="X574" s="31">
        <f t="shared" si="342"/>
        <v>0</v>
      </c>
      <c r="Y574" t="b">
        <f t="shared" si="343"/>
        <v>0</v>
      </c>
      <c r="Z574" s="78">
        <f t="shared" si="344"/>
        <v>100</v>
      </c>
      <c r="AB574" t="b">
        <f>L574*1.2=R574</f>
        <v>1</v>
      </c>
      <c r="AC574" t="b">
        <f>L574*1.2=S574</f>
        <v>1</v>
      </c>
    </row>
    <row r="575" spans="1:29" x14ac:dyDescent="0.25">
      <c r="A575" s="53">
        <v>2021</v>
      </c>
      <c r="B575" s="53">
        <v>102</v>
      </c>
      <c r="C575" s="71" t="s">
        <v>105</v>
      </c>
      <c r="D575" t="s">
        <v>705</v>
      </c>
      <c r="E575" s="9" t="s">
        <v>1505</v>
      </c>
      <c r="G575" s="1">
        <v>44382</v>
      </c>
      <c r="H575" t="s">
        <v>1364</v>
      </c>
      <c r="K575" t="b">
        <f t="shared" ref="K575:K581" si="345">(IF(AND(I575&lt;&gt;"",AND(J575="",ABS(Q575)&gt;400)),TRUE,FALSE))</f>
        <v>0</v>
      </c>
      <c r="L575" s="48">
        <v>2.5</v>
      </c>
      <c r="M575" s="72">
        <v>1</v>
      </c>
      <c r="N575">
        <v>20</v>
      </c>
      <c r="O575" s="31">
        <f t="shared" si="338"/>
        <v>0.5</v>
      </c>
      <c r="P575" s="31">
        <f t="shared" si="339"/>
        <v>0.5</v>
      </c>
      <c r="Q575" s="33">
        <f t="shared" si="340"/>
        <v>2.5</v>
      </c>
      <c r="R575" s="29">
        <f t="shared" si="341"/>
        <v>3</v>
      </c>
      <c r="S575" s="29">
        <v>3</v>
      </c>
      <c r="T575" s="35">
        <f t="shared" si="312"/>
        <v>44515</v>
      </c>
      <c r="U575" s="27"/>
      <c r="V575" s="27"/>
      <c r="W575" s="58">
        <f>IF(K575=TRUE,Q575/J575,Q575)</f>
        <v>2.5</v>
      </c>
      <c r="X575" s="31">
        <f t="shared" si="342"/>
        <v>0</v>
      </c>
      <c r="Y575" t="b">
        <f t="shared" si="343"/>
        <v>0</v>
      </c>
      <c r="Z575" s="78">
        <f t="shared" si="344"/>
        <v>-2.5</v>
      </c>
    </row>
    <row r="576" spans="1:29" x14ac:dyDescent="0.25">
      <c r="A576" s="53">
        <v>2021</v>
      </c>
      <c r="B576" s="53">
        <v>103</v>
      </c>
      <c r="C576" s="71" t="s">
        <v>105</v>
      </c>
      <c r="D576" t="s">
        <v>705</v>
      </c>
      <c r="E576" s="9" t="s">
        <v>1566</v>
      </c>
      <c r="G576" s="1">
        <v>44382</v>
      </c>
      <c r="H576" t="s">
        <v>1437</v>
      </c>
      <c r="K576" t="b">
        <f t="shared" si="345"/>
        <v>0</v>
      </c>
      <c r="L576" s="48">
        <v>74</v>
      </c>
      <c r="M576" s="72">
        <v>1</v>
      </c>
      <c r="N576">
        <v>20</v>
      </c>
      <c r="O576" s="31">
        <f t="shared" si="338"/>
        <v>14.8</v>
      </c>
      <c r="P576" s="31">
        <f t="shared" si="339"/>
        <v>14.8</v>
      </c>
      <c r="Q576" s="33">
        <f t="shared" si="340"/>
        <v>74</v>
      </c>
      <c r="R576" s="29">
        <f t="shared" si="341"/>
        <v>88.8</v>
      </c>
      <c r="S576" s="29">
        <f t="shared" ref="S576:S588" si="346">Q576+P576</f>
        <v>88.8</v>
      </c>
      <c r="T576" s="35">
        <f t="shared" si="312"/>
        <v>44515</v>
      </c>
      <c r="U576" s="27"/>
      <c r="V576" s="27"/>
      <c r="W576" s="58">
        <f>IF(K576=TRUE,Q576/I576,Q576)</f>
        <v>74</v>
      </c>
      <c r="X576" s="31">
        <f t="shared" si="342"/>
        <v>0</v>
      </c>
      <c r="Y576" t="b">
        <f t="shared" si="343"/>
        <v>0</v>
      </c>
      <c r="Z576" s="78">
        <f t="shared" si="344"/>
        <v>-74</v>
      </c>
    </row>
    <row r="577" spans="1:29" x14ac:dyDescent="0.25">
      <c r="A577" s="53">
        <v>2021</v>
      </c>
      <c r="B577" s="53">
        <v>104</v>
      </c>
      <c r="C577" s="71" t="s">
        <v>105</v>
      </c>
      <c r="D577" t="s">
        <v>705</v>
      </c>
      <c r="E577" s="9" t="s">
        <v>1552</v>
      </c>
      <c r="G577" s="1">
        <v>44384</v>
      </c>
      <c r="H577" t="s">
        <v>927</v>
      </c>
      <c r="J577" s="76" t="s">
        <v>958</v>
      </c>
      <c r="K577" t="b">
        <f t="shared" si="345"/>
        <v>0</v>
      </c>
      <c r="L577" s="48">
        <v>2.4900000000000002</v>
      </c>
      <c r="M577" s="72">
        <v>1</v>
      </c>
      <c r="N577">
        <v>0</v>
      </c>
      <c r="O577" s="31">
        <f t="shared" si="338"/>
        <v>0</v>
      </c>
      <c r="P577" s="31">
        <f t="shared" si="339"/>
        <v>0</v>
      </c>
      <c r="Q577" s="33">
        <f t="shared" si="340"/>
        <v>2.4900000000000002</v>
      </c>
      <c r="R577" s="29">
        <f t="shared" si="341"/>
        <v>2.4900000000000002</v>
      </c>
      <c r="S577" s="29">
        <f t="shared" si="346"/>
        <v>2.4900000000000002</v>
      </c>
      <c r="T577" s="35">
        <f t="shared" si="312"/>
        <v>44515</v>
      </c>
      <c r="U577" s="27"/>
      <c r="V577" s="27">
        <v>20</v>
      </c>
      <c r="W577" s="58">
        <f>IF(K577=TRUE,Q577/J577,Q577)</f>
        <v>2.4900000000000002</v>
      </c>
      <c r="X577" s="31">
        <f t="shared" si="342"/>
        <v>0.49800000000000005</v>
      </c>
      <c r="Y577" t="b">
        <f t="shared" si="343"/>
        <v>0</v>
      </c>
      <c r="Z577" s="78">
        <f t="shared" si="344"/>
        <v>-2.4900000000000002</v>
      </c>
    </row>
    <row r="578" spans="1:29" x14ac:dyDescent="0.25">
      <c r="A578" s="53">
        <v>2021</v>
      </c>
      <c r="B578" s="53">
        <v>105</v>
      </c>
      <c r="C578" s="71" t="s">
        <v>105</v>
      </c>
      <c r="D578" t="s">
        <v>705</v>
      </c>
      <c r="E578" s="9" t="s">
        <v>1465</v>
      </c>
      <c r="G578" s="1">
        <v>44389</v>
      </c>
      <c r="H578" t="s">
        <v>1466</v>
      </c>
      <c r="K578" t="b">
        <f t="shared" si="345"/>
        <v>0</v>
      </c>
      <c r="L578" s="48">
        <v>13</v>
      </c>
      <c r="M578" s="72">
        <v>1</v>
      </c>
      <c r="N578">
        <v>20</v>
      </c>
      <c r="O578" s="31">
        <f t="shared" si="338"/>
        <v>2.6</v>
      </c>
      <c r="P578" s="31">
        <f t="shared" si="339"/>
        <v>2.6</v>
      </c>
      <c r="Q578" s="33">
        <f t="shared" si="340"/>
        <v>13</v>
      </c>
      <c r="R578" s="29">
        <f t="shared" si="341"/>
        <v>15.6</v>
      </c>
      <c r="S578" s="29">
        <f t="shared" si="346"/>
        <v>15.6</v>
      </c>
      <c r="T578" s="35">
        <f t="shared" si="312"/>
        <v>44515</v>
      </c>
      <c r="U578" s="27"/>
      <c r="V578" s="27"/>
      <c r="W578" s="58">
        <f>IF(K578=TRUE,Q578/J578,Q578)</f>
        <v>13</v>
      </c>
      <c r="X578" s="31">
        <f t="shared" si="342"/>
        <v>0</v>
      </c>
      <c r="Y578" t="b">
        <f t="shared" si="343"/>
        <v>0</v>
      </c>
      <c r="Z578" s="78">
        <f t="shared" si="344"/>
        <v>-13</v>
      </c>
    </row>
    <row r="579" spans="1:29" x14ac:dyDescent="0.25">
      <c r="A579" s="53">
        <v>2021</v>
      </c>
      <c r="B579" s="53">
        <v>106</v>
      </c>
      <c r="C579" s="71" t="s">
        <v>105</v>
      </c>
      <c r="D579" t="s">
        <v>705</v>
      </c>
      <c r="E579" s="9" t="s">
        <v>1553</v>
      </c>
      <c r="G579" s="1">
        <v>44390</v>
      </c>
      <c r="H579" t="s">
        <v>927</v>
      </c>
      <c r="K579" t="b">
        <f t="shared" si="345"/>
        <v>0</v>
      </c>
      <c r="L579" s="48">
        <v>46.916800000000002</v>
      </c>
      <c r="M579" s="72">
        <v>1</v>
      </c>
      <c r="N579">
        <v>0</v>
      </c>
      <c r="O579" s="31">
        <f t="shared" si="338"/>
        <v>0</v>
      </c>
      <c r="P579" s="31">
        <f t="shared" si="339"/>
        <v>0</v>
      </c>
      <c r="Q579" s="33">
        <f t="shared" si="340"/>
        <v>46.916800000000002</v>
      </c>
      <c r="R579" s="29">
        <f t="shared" si="341"/>
        <v>46.916800000000002</v>
      </c>
      <c r="S579" s="29">
        <f t="shared" si="346"/>
        <v>46.916800000000002</v>
      </c>
      <c r="T579" s="35">
        <f t="shared" si="312"/>
        <v>44515</v>
      </c>
      <c r="U579" s="27"/>
      <c r="V579" s="27">
        <v>20</v>
      </c>
      <c r="W579" s="58">
        <f>IF(K579=TRUE,Q579/J579,Q579)</f>
        <v>46.916800000000002</v>
      </c>
      <c r="X579" s="31">
        <f t="shared" si="342"/>
        <v>9.3833600000000015</v>
      </c>
      <c r="Y579" t="b">
        <f t="shared" si="343"/>
        <v>0</v>
      </c>
      <c r="Z579" s="78">
        <f t="shared" si="344"/>
        <v>-46.916800000000002</v>
      </c>
    </row>
    <row r="580" spans="1:29" x14ac:dyDescent="0.25">
      <c r="A580" s="53">
        <v>2021</v>
      </c>
      <c r="B580" s="53">
        <v>107</v>
      </c>
      <c r="C580" s="71" t="s">
        <v>708</v>
      </c>
      <c r="D580" t="s">
        <v>709</v>
      </c>
      <c r="E580" s="9" t="s">
        <v>1554</v>
      </c>
      <c r="G580" s="1">
        <v>44391</v>
      </c>
      <c r="H580" t="s">
        <v>1384</v>
      </c>
      <c r="K580" t="b">
        <f t="shared" si="345"/>
        <v>0</v>
      </c>
      <c r="L580" s="48">
        <v>44.5</v>
      </c>
      <c r="M580" s="72">
        <v>1</v>
      </c>
      <c r="N580">
        <v>20</v>
      </c>
      <c r="O580" s="31">
        <f t="shared" si="338"/>
        <v>8.9</v>
      </c>
      <c r="P580" s="31">
        <f t="shared" si="339"/>
        <v>8.9</v>
      </c>
      <c r="Q580" s="33">
        <f t="shared" si="340"/>
        <v>44.5</v>
      </c>
      <c r="R580" s="29">
        <f t="shared" si="341"/>
        <v>53.4</v>
      </c>
      <c r="S580" s="29">
        <f t="shared" si="346"/>
        <v>53.4</v>
      </c>
      <c r="T580" s="35">
        <f t="shared" si="312"/>
        <v>44515</v>
      </c>
      <c r="U580" s="27"/>
      <c r="V580" s="27"/>
      <c r="W580" s="58">
        <f>IF(K580=TRUE,Q580/J580,Q580)</f>
        <v>44.5</v>
      </c>
      <c r="X580" s="31">
        <f t="shared" si="342"/>
        <v>0</v>
      </c>
      <c r="Y580" t="b">
        <f t="shared" si="343"/>
        <v>0</v>
      </c>
      <c r="Z580" s="78">
        <f t="shared" si="344"/>
        <v>44.5</v>
      </c>
      <c r="AB580" t="b">
        <f>L580*1.2=R580</f>
        <v>1</v>
      </c>
      <c r="AC580" t="b">
        <f>L580*1.2=S580</f>
        <v>1</v>
      </c>
    </row>
    <row r="581" spans="1:29" x14ac:dyDescent="0.25">
      <c r="A581" s="53">
        <v>2021</v>
      </c>
      <c r="B581" s="53">
        <v>108</v>
      </c>
      <c r="C581" s="71" t="s">
        <v>105</v>
      </c>
      <c r="D581" t="s">
        <v>705</v>
      </c>
      <c r="E581" s="9" t="s">
        <v>1555</v>
      </c>
      <c r="G581" s="1">
        <v>44392</v>
      </c>
      <c r="H581" t="s">
        <v>981</v>
      </c>
      <c r="K581" t="b">
        <f t="shared" si="345"/>
        <v>0</v>
      </c>
      <c r="L581" s="48">
        <f>32.34*2</f>
        <v>64.680000000000007</v>
      </c>
      <c r="M581" s="72">
        <v>1</v>
      </c>
      <c r="N581">
        <v>20</v>
      </c>
      <c r="O581" s="31">
        <f t="shared" si="338"/>
        <v>12.936000000000002</v>
      </c>
      <c r="P581" s="31">
        <f t="shared" si="339"/>
        <v>12.936000000000002</v>
      </c>
      <c r="Q581" s="33">
        <f t="shared" si="340"/>
        <v>64.680000000000007</v>
      </c>
      <c r="R581" s="29">
        <f t="shared" si="341"/>
        <v>77.616000000000014</v>
      </c>
      <c r="S581" s="29">
        <f t="shared" si="346"/>
        <v>77.616000000000014</v>
      </c>
      <c r="T581" s="35">
        <f t="shared" si="312"/>
        <v>44515</v>
      </c>
      <c r="U581" s="27"/>
      <c r="V581" s="27"/>
      <c r="W581" s="58">
        <f>IF(K581=TRUE,Q581/I581,Q581)</f>
        <v>64.680000000000007</v>
      </c>
      <c r="X581" s="31">
        <f t="shared" si="342"/>
        <v>0</v>
      </c>
      <c r="Y581" t="b">
        <f t="shared" si="343"/>
        <v>0</v>
      </c>
      <c r="Z581" s="78">
        <f t="shared" si="344"/>
        <v>-64.680000000000007</v>
      </c>
    </row>
    <row r="582" spans="1:29" x14ac:dyDescent="0.25">
      <c r="A582" s="53">
        <v>2021</v>
      </c>
      <c r="B582" s="53">
        <v>109</v>
      </c>
      <c r="C582" s="71" t="s">
        <v>708</v>
      </c>
      <c r="D582" t="s">
        <v>709</v>
      </c>
      <c r="E582" s="9" t="s">
        <v>1557</v>
      </c>
      <c r="G582" s="1">
        <v>44393</v>
      </c>
      <c r="H582" t="s">
        <v>1556</v>
      </c>
      <c r="K582" t="b">
        <f>(IF(AND(I582&lt;&gt;"",AND(J582="",ABS(Q582)&gt;400)),TRUE,FALSE))</f>
        <v>0</v>
      </c>
      <c r="L582" s="48">
        <v>475</v>
      </c>
      <c r="M582" s="72">
        <v>1</v>
      </c>
      <c r="N582">
        <v>20</v>
      </c>
      <c r="O582" s="31">
        <f t="shared" ref="O582:O587" si="347">L582*N582/100</f>
        <v>95</v>
      </c>
      <c r="P582" s="31">
        <f t="shared" ref="P582:P587" si="348">M582*O582</f>
        <v>95</v>
      </c>
      <c r="Q582" s="33">
        <f t="shared" ref="Q582:Q599" si="349">L582*M582</f>
        <v>475</v>
      </c>
      <c r="R582" s="29">
        <f t="shared" ref="R582:R599" si="350">L582+O582</f>
        <v>570</v>
      </c>
      <c r="S582" s="29">
        <f t="shared" si="346"/>
        <v>570</v>
      </c>
      <c r="T582" s="35">
        <f t="shared" si="312"/>
        <v>44515</v>
      </c>
      <c r="U582" s="27"/>
      <c r="V582" s="27"/>
      <c r="W582" s="58">
        <f>IF(K582=TRUE,Q582/I582,Q582)</f>
        <v>475</v>
      </c>
      <c r="X582" s="31">
        <f t="shared" ref="X582:X599" si="351">V582/100*S582</f>
        <v>0</v>
      </c>
      <c r="Y582" t="b">
        <f t="shared" ref="Y582:Y599" si="352">IF(AND(V582&gt;0,N582=V582),TRUE,FALSE)</f>
        <v>0</v>
      </c>
      <c r="Z582" s="78">
        <f t="shared" ref="Z582:Z599" si="353">IF(C582="Einnahmen",Q582,-Q582)</f>
        <v>475</v>
      </c>
      <c r="AB582" t="b">
        <f>L582*1.2=R582</f>
        <v>1</v>
      </c>
      <c r="AC582" t="b">
        <f>L582*1.2=S582</f>
        <v>1</v>
      </c>
    </row>
    <row r="583" spans="1:29" x14ac:dyDescent="0.25">
      <c r="A583" s="53">
        <v>2021</v>
      </c>
      <c r="B583" s="53">
        <v>110</v>
      </c>
      <c r="C583" s="71" t="s">
        <v>105</v>
      </c>
      <c r="D583" t="s">
        <v>703</v>
      </c>
      <c r="E583" s="136" t="s">
        <v>1565</v>
      </c>
      <c r="G583" s="1">
        <v>44398</v>
      </c>
      <c r="H583" t="s">
        <v>1148</v>
      </c>
      <c r="K583" t="b">
        <f>(IF(AND(I583&lt;&gt;"",AND(J583="",ABS(Q583)&gt;400)),TRUE,FALSE))</f>
        <v>0</v>
      </c>
      <c r="L583" s="48">
        <v>31.92</v>
      </c>
      <c r="M583" s="72">
        <v>1</v>
      </c>
      <c r="N583">
        <v>20</v>
      </c>
      <c r="O583" s="31">
        <f t="shared" si="347"/>
        <v>6.3840000000000012</v>
      </c>
      <c r="P583" s="31">
        <f t="shared" si="348"/>
        <v>6.3840000000000012</v>
      </c>
      <c r="Q583" s="33">
        <f t="shared" si="349"/>
        <v>31.92</v>
      </c>
      <c r="R583" s="29">
        <f t="shared" si="350"/>
        <v>38.304000000000002</v>
      </c>
      <c r="S583" s="29">
        <f t="shared" si="346"/>
        <v>38.304000000000002</v>
      </c>
      <c r="T583" s="35">
        <f t="shared" si="312"/>
        <v>44515</v>
      </c>
      <c r="U583" s="27"/>
      <c r="V583" s="27"/>
      <c r="W583" s="58">
        <f>IF(K583=TRUE,Q583/I583,Q583)</f>
        <v>31.92</v>
      </c>
      <c r="X583" s="31">
        <f t="shared" si="351"/>
        <v>0</v>
      </c>
      <c r="Y583" t="b">
        <f t="shared" si="352"/>
        <v>0</v>
      </c>
      <c r="Z583" s="78">
        <f t="shared" si="353"/>
        <v>-31.92</v>
      </c>
    </row>
    <row r="584" spans="1:29" x14ac:dyDescent="0.25">
      <c r="A584" s="53">
        <v>2021</v>
      </c>
      <c r="B584" s="53">
        <v>111</v>
      </c>
      <c r="C584" s="71" t="s">
        <v>105</v>
      </c>
      <c r="D584" t="s">
        <v>691</v>
      </c>
      <c r="E584" s="9" t="s">
        <v>1566</v>
      </c>
      <c r="G584" s="1">
        <v>44405</v>
      </c>
      <c r="H584" t="s">
        <v>1558</v>
      </c>
      <c r="K584" t="b">
        <v>0</v>
      </c>
      <c r="L584" s="109">
        <v>377.8</v>
      </c>
      <c r="M584" s="72">
        <v>1</v>
      </c>
      <c r="N584">
        <v>20</v>
      </c>
      <c r="O584" s="31">
        <f t="shared" si="347"/>
        <v>75.56</v>
      </c>
      <c r="P584" s="31">
        <f t="shared" si="348"/>
        <v>75.56</v>
      </c>
      <c r="Q584" s="33">
        <f t="shared" si="349"/>
        <v>377.8</v>
      </c>
      <c r="R584" s="29">
        <f t="shared" si="350"/>
        <v>453.36</v>
      </c>
      <c r="S584" s="29">
        <f t="shared" si="346"/>
        <v>453.36</v>
      </c>
      <c r="T584" s="35">
        <f t="shared" si="312"/>
        <v>44515</v>
      </c>
      <c r="U584" s="27"/>
      <c r="V584" s="27"/>
      <c r="W584" s="58">
        <f>IF(K584=TRUE,Q584/J584,Q584)</f>
        <v>377.8</v>
      </c>
      <c r="X584" s="31">
        <f t="shared" si="351"/>
        <v>0</v>
      </c>
      <c r="Y584" t="b">
        <f t="shared" si="352"/>
        <v>0</v>
      </c>
      <c r="Z584" s="78">
        <f t="shared" si="353"/>
        <v>-377.8</v>
      </c>
    </row>
    <row r="585" spans="1:29" x14ac:dyDescent="0.25">
      <c r="A585" s="53">
        <v>2021</v>
      </c>
      <c r="B585" s="53">
        <v>112</v>
      </c>
      <c r="C585" s="71" t="s">
        <v>105</v>
      </c>
      <c r="D585" t="s">
        <v>691</v>
      </c>
      <c r="E585" s="136" t="s">
        <v>1559</v>
      </c>
      <c r="G585" s="1">
        <v>44407</v>
      </c>
      <c r="H585" t="s">
        <v>1113</v>
      </c>
      <c r="K585" t="b">
        <v>0</v>
      </c>
      <c r="L585" s="109">
        <f>3.82/1.2</f>
        <v>3.1833333333333331</v>
      </c>
      <c r="M585" s="72">
        <v>1</v>
      </c>
      <c r="N585">
        <v>20</v>
      </c>
      <c r="O585" s="31">
        <f t="shared" si="347"/>
        <v>0.6366666666666666</v>
      </c>
      <c r="P585" s="31">
        <f t="shared" si="348"/>
        <v>0.6366666666666666</v>
      </c>
      <c r="Q585" s="33">
        <f t="shared" si="349"/>
        <v>3.1833333333333331</v>
      </c>
      <c r="R585" s="29">
        <f t="shared" si="350"/>
        <v>3.82</v>
      </c>
      <c r="S585" s="29">
        <f t="shared" si="346"/>
        <v>3.82</v>
      </c>
      <c r="T585" s="35">
        <f t="shared" si="312"/>
        <v>44515</v>
      </c>
      <c r="U585" s="27"/>
      <c r="V585" s="27"/>
      <c r="W585" s="58">
        <f>IF(K585=TRUE,Q585/J585,Q585)</f>
        <v>3.1833333333333331</v>
      </c>
      <c r="X585" s="31">
        <f t="shared" si="351"/>
        <v>0</v>
      </c>
      <c r="Y585" t="b">
        <f t="shared" si="352"/>
        <v>0</v>
      </c>
      <c r="Z585" s="78">
        <f t="shared" si="353"/>
        <v>-3.1833333333333331</v>
      </c>
    </row>
    <row r="586" spans="1:29" x14ac:dyDescent="0.25">
      <c r="A586" s="53">
        <v>2021</v>
      </c>
      <c r="B586" s="53">
        <v>113</v>
      </c>
      <c r="C586" s="71" t="s">
        <v>105</v>
      </c>
      <c r="D586" t="s">
        <v>691</v>
      </c>
      <c r="E586" s="136" t="s">
        <v>1560</v>
      </c>
      <c r="G586" s="1">
        <v>44410</v>
      </c>
      <c r="H586" t="s">
        <v>1113</v>
      </c>
      <c r="K586" t="b">
        <v>0</v>
      </c>
      <c r="L586" s="109">
        <f>564.56/1.2</f>
        <v>470.46666666666664</v>
      </c>
      <c r="M586" s="72">
        <v>1</v>
      </c>
      <c r="N586">
        <v>20</v>
      </c>
      <c r="O586" s="31">
        <f t="shared" si="347"/>
        <v>94.09333333333332</v>
      </c>
      <c r="P586" s="31">
        <f t="shared" si="348"/>
        <v>94.09333333333332</v>
      </c>
      <c r="Q586" s="33">
        <f t="shared" si="349"/>
        <v>470.46666666666664</v>
      </c>
      <c r="R586" s="29">
        <f t="shared" si="350"/>
        <v>564.55999999999995</v>
      </c>
      <c r="S586" s="29">
        <f t="shared" si="346"/>
        <v>564.55999999999995</v>
      </c>
      <c r="T586" s="35">
        <f t="shared" si="312"/>
        <v>44515</v>
      </c>
      <c r="U586" s="27"/>
      <c r="V586" s="27"/>
      <c r="W586" s="58">
        <f>IF(K586=TRUE,Q586/J586,Q586)</f>
        <v>470.46666666666664</v>
      </c>
      <c r="X586" s="31">
        <f t="shared" si="351"/>
        <v>0</v>
      </c>
      <c r="Y586" t="b">
        <f t="shared" si="352"/>
        <v>0</v>
      </c>
      <c r="Z586" s="78">
        <f t="shared" si="353"/>
        <v>-470.46666666666664</v>
      </c>
    </row>
    <row r="587" spans="1:29" x14ac:dyDescent="0.25">
      <c r="A587" s="53">
        <v>2021</v>
      </c>
      <c r="B587" s="53">
        <v>114</v>
      </c>
      <c r="C587" s="71" t="s">
        <v>105</v>
      </c>
      <c r="D587" t="s">
        <v>703</v>
      </c>
      <c r="E587" s="9" t="s">
        <v>1586</v>
      </c>
      <c r="G587" s="1">
        <v>44411</v>
      </c>
      <c r="H587" t="s">
        <v>34</v>
      </c>
      <c r="K587" t="b">
        <f>(IF(AND(I587&lt;&gt;"",AND(J587="",ABS(Q587)&gt;400)),TRUE,FALSE))</f>
        <v>0</v>
      </c>
      <c r="L587" s="48">
        <v>15</v>
      </c>
      <c r="M587" s="72">
        <v>1</v>
      </c>
      <c r="N587">
        <v>20</v>
      </c>
      <c r="O587" s="31">
        <f t="shared" si="347"/>
        <v>3</v>
      </c>
      <c r="P587" s="31">
        <f t="shared" si="348"/>
        <v>3</v>
      </c>
      <c r="Q587" s="33">
        <f t="shared" si="349"/>
        <v>15</v>
      </c>
      <c r="R587" s="29">
        <f t="shared" si="350"/>
        <v>18</v>
      </c>
      <c r="S587" s="29">
        <f t="shared" si="346"/>
        <v>18</v>
      </c>
      <c r="T587" s="35">
        <f t="shared" si="312"/>
        <v>44515</v>
      </c>
      <c r="U587" s="27"/>
      <c r="V587" s="27"/>
      <c r="W587" s="58">
        <f>IF(K587=TRUE,Q587/I587,Q587)</f>
        <v>15</v>
      </c>
      <c r="X587" s="31">
        <f t="shared" si="351"/>
        <v>0</v>
      </c>
      <c r="Y587" t="b">
        <f t="shared" si="352"/>
        <v>0</v>
      </c>
      <c r="Z587" s="78">
        <f t="shared" si="353"/>
        <v>-15</v>
      </c>
    </row>
    <row r="588" spans="1:29" x14ac:dyDescent="0.25">
      <c r="A588" s="53">
        <v>2021</v>
      </c>
      <c r="B588" s="53">
        <v>115</v>
      </c>
      <c r="C588" s="71" t="s">
        <v>708</v>
      </c>
      <c r="D588" t="s">
        <v>709</v>
      </c>
      <c r="E588" s="9">
        <v>12021018</v>
      </c>
      <c r="G588" s="1">
        <v>44411</v>
      </c>
      <c r="H588" t="s">
        <v>1388</v>
      </c>
      <c r="K588" t="b">
        <v>0</v>
      </c>
      <c r="L588" s="48">
        <v>660.65</v>
      </c>
      <c r="M588" s="72">
        <v>1</v>
      </c>
      <c r="N588">
        <v>20</v>
      </c>
      <c r="O588" s="31">
        <f t="shared" ref="O588:O619" si="354">L588*N588/100</f>
        <v>132.13</v>
      </c>
      <c r="P588" s="31">
        <f t="shared" ref="P588:P619" si="355">M588*O588</f>
        <v>132.13</v>
      </c>
      <c r="Q588" s="33">
        <f t="shared" si="349"/>
        <v>660.65</v>
      </c>
      <c r="R588" s="29">
        <f t="shared" si="350"/>
        <v>792.78</v>
      </c>
      <c r="S588" s="29">
        <f t="shared" si="346"/>
        <v>792.78</v>
      </c>
      <c r="T588" s="35">
        <f t="shared" si="312"/>
        <v>44515</v>
      </c>
      <c r="U588" s="27"/>
      <c r="V588" s="27"/>
      <c r="W588" s="58">
        <f>IF(K588=TRUE,Q588/I588,Q588)</f>
        <v>660.65</v>
      </c>
      <c r="X588" s="31">
        <f t="shared" si="351"/>
        <v>0</v>
      </c>
      <c r="Y588" t="b">
        <f t="shared" si="352"/>
        <v>0</v>
      </c>
      <c r="Z588" s="78">
        <f t="shared" si="353"/>
        <v>660.65</v>
      </c>
      <c r="AB588" t="b">
        <f>L588*1.2=R588</f>
        <v>1</v>
      </c>
      <c r="AC588" t="b">
        <f>L588*1.2=S588</f>
        <v>1</v>
      </c>
    </row>
    <row r="589" spans="1:29" x14ac:dyDescent="0.25">
      <c r="A589" s="53">
        <v>2021</v>
      </c>
      <c r="B589" s="53">
        <v>116</v>
      </c>
      <c r="C589" s="71" t="s">
        <v>105</v>
      </c>
      <c r="D589" t="s">
        <v>705</v>
      </c>
      <c r="E589" s="9" t="s">
        <v>1505</v>
      </c>
      <c r="G589" s="1">
        <v>44412</v>
      </c>
      <c r="H589" t="s">
        <v>1364</v>
      </c>
      <c r="K589" t="b">
        <f>(IF(AND(I589&lt;&gt;"",AND(J589="",ABS(Q589)&gt;400)),TRUE,FALSE))</f>
        <v>0</v>
      </c>
      <c r="L589" s="48">
        <v>2.5</v>
      </c>
      <c r="M589" s="72">
        <v>1</v>
      </c>
      <c r="N589">
        <v>20</v>
      </c>
      <c r="O589" s="31">
        <f t="shared" si="354"/>
        <v>0.5</v>
      </c>
      <c r="P589" s="31">
        <f t="shared" si="355"/>
        <v>0.5</v>
      </c>
      <c r="Q589" s="33">
        <f t="shared" si="349"/>
        <v>2.5</v>
      </c>
      <c r="R589" s="29">
        <f t="shared" si="350"/>
        <v>3</v>
      </c>
      <c r="S589" s="29">
        <v>3</v>
      </c>
      <c r="T589" s="35">
        <f t="shared" si="312"/>
        <v>44515</v>
      </c>
      <c r="U589" s="27"/>
      <c r="V589" s="27"/>
      <c r="W589" s="58">
        <f>IF(K589=TRUE,Q589/J589,Q589)</f>
        <v>2.5</v>
      </c>
      <c r="X589" s="31">
        <f t="shared" si="351"/>
        <v>0</v>
      </c>
      <c r="Y589" t="b">
        <f t="shared" si="352"/>
        <v>0</v>
      </c>
      <c r="Z589" s="78">
        <f t="shared" si="353"/>
        <v>-2.5</v>
      </c>
    </row>
    <row r="590" spans="1:29" x14ac:dyDescent="0.25">
      <c r="A590" s="53">
        <v>2021</v>
      </c>
      <c r="B590" s="53">
        <v>117</v>
      </c>
      <c r="C590" s="71" t="s">
        <v>105</v>
      </c>
      <c r="D590" t="s">
        <v>705</v>
      </c>
      <c r="E590" s="9">
        <v>3947026044</v>
      </c>
      <c r="G590" s="1">
        <v>44412</v>
      </c>
      <c r="H590" t="s">
        <v>1404</v>
      </c>
      <c r="K590" t="b">
        <v>0</v>
      </c>
      <c r="L590" s="48">
        <v>9.36</v>
      </c>
      <c r="M590" s="72">
        <v>1</v>
      </c>
      <c r="N590">
        <v>0</v>
      </c>
      <c r="O590" s="31">
        <f t="shared" si="354"/>
        <v>0</v>
      </c>
      <c r="P590" s="31">
        <f t="shared" si="355"/>
        <v>0</v>
      </c>
      <c r="Q590" s="33">
        <f t="shared" si="349"/>
        <v>9.36</v>
      </c>
      <c r="R590" s="29">
        <f t="shared" si="350"/>
        <v>9.36</v>
      </c>
      <c r="S590" s="29">
        <f t="shared" ref="S590:S597" si="356">Q590+P590</f>
        <v>9.36</v>
      </c>
      <c r="T590" s="35">
        <f t="shared" si="312"/>
        <v>44515</v>
      </c>
      <c r="U590" s="27"/>
      <c r="V590" s="27">
        <v>20</v>
      </c>
      <c r="W590" s="58">
        <f>IF(K590=TRUE,Q590/I590,Q590)</f>
        <v>9.36</v>
      </c>
      <c r="X590" s="31">
        <f t="shared" si="351"/>
        <v>1.8719999999999999</v>
      </c>
      <c r="Y590" t="b">
        <f t="shared" si="352"/>
        <v>0</v>
      </c>
      <c r="Z590" s="78">
        <f t="shared" si="353"/>
        <v>-9.36</v>
      </c>
    </row>
    <row r="591" spans="1:29" x14ac:dyDescent="0.25">
      <c r="A591" s="53">
        <v>2021</v>
      </c>
      <c r="B591" s="53">
        <v>118</v>
      </c>
      <c r="C591" s="71" t="s">
        <v>105</v>
      </c>
      <c r="D591" t="s">
        <v>683</v>
      </c>
      <c r="E591" s="9" t="s">
        <v>1587</v>
      </c>
      <c r="G591" s="1">
        <v>44412</v>
      </c>
      <c r="H591" t="s">
        <v>1238</v>
      </c>
      <c r="J591" s="76" t="s">
        <v>958</v>
      </c>
      <c r="K591" t="b">
        <f>(IF(AND(I591&lt;&gt;"",AND(J591="",ABS(Q591)&gt;400)),TRUE,FALSE))</f>
        <v>0</v>
      </c>
      <c r="L591" s="109">
        <v>2924.14</v>
      </c>
      <c r="M591" s="72">
        <v>1</v>
      </c>
      <c r="N591">
        <v>20</v>
      </c>
      <c r="O591" s="31">
        <f t="shared" si="354"/>
        <v>584.82799999999997</v>
      </c>
      <c r="P591" s="31">
        <f t="shared" si="355"/>
        <v>584.82799999999997</v>
      </c>
      <c r="Q591" s="33">
        <f t="shared" si="349"/>
        <v>2924.14</v>
      </c>
      <c r="R591" s="29">
        <f t="shared" si="350"/>
        <v>3508.9679999999998</v>
      </c>
      <c r="S591" s="29">
        <f t="shared" si="356"/>
        <v>3508.9679999999998</v>
      </c>
      <c r="T591" s="35">
        <f t="shared" si="312"/>
        <v>44515</v>
      </c>
      <c r="U591" s="27"/>
      <c r="V591" s="27"/>
      <c r="W591" s="58">
        <f>IF(K591=TRUE,Q591/I591,Q591)</f>
        <v>2924.14</v>
      </c>
      <c r="X591" s="31">
        <f t="shared" si="351"/>
        <v>0</v>
      </c>
      <c r="Y591" t="b">
        <f t="shared" si="352"/>
        <v>0</v>
      </c>
      <c r="Z591" s="78">
        <f t="shared" si="353"/>
        <v>-2924.14</v>
      </c>
    </row>
    <row r="592" spans="1:29" x14ac:dyDescent="0.25">
      <c r="A592" s="53">
        <v>2021</v>
      </c>
      <c r="B592" s="53">
        <v>119</v>
      </c>
      <c r="C592" s="71" t="s">
        <v>105</v>
      </c>
      <c r="D592" t="s">
        <v>691</v>
      </c>
      <c r="E592" s="9" t="s">
        <v>1566</v>
      </c>
      <c r="G592" s="1">
        <v>44413</v>
      </c>
      <c r="H592" t="s">
        <v>1558</v>
      </c>
      <c r="K592" t="b">
        <v>0</v>
      </c>
      <c r="L592" s="109">
        <v>74</v>
      </c>
      <c r="M592" s="72">
        <v>1</v>
      </c>
      <c r="N592">
        <v>20</v>
      </c>
      <c r="O592" s="31">
        <f t="shared" si="354"/>
        <v>14.8</v>
      </c>
      <c r="P592" s="31">
        <f t="shared" si="355"/>
        <v>14.8</v>
      </c>
      <c r="Q592" s="33">
        <f t="shared" si="349"/>
        <v>74</v>
      </c>
      <c r="R592" s="29">
        <f t="shared" si="350"/>
        <v>88.8</v>
      </c>
      <c r="S592" s="29">
        <f t="shared" si="356"/>
        <v>88.8</v>
      </c>
      <c r="T592" s="35">
        <f t="shared" si="312"/>
        <v>44515</v>
      </c>
      <c r="U592" s="27"/>
      <c r="V592" s="27"/>
      <c r="W592" s="58">
        <f>IF(K592=TRUE,Q592/J592,Q592)</f>
        <v>74</v>
      </c>
      <c r="X592" s="31">
        <f t="shared" si="351"/>
        <v>0</v>
      </c>
      <c r="Y592" t="b">
        <f t="shared" si="352"/>
        <v>0</v>
      </c>
      <c r="Z592" s="78">
        <f t="shared" si="353"/>
        <v>-74</v>
      </c>
    </row>
    <row r="593" spans="1:29" x14ac:dyDescent="0.25">
      <c r="A593" s="53">
        <v>2021</v>
      </c>
      <c r="B593" s="53">
        <v>120</v>
      </c>
      <c r="C593" s="71" t="s">
        <v>708</v>
      </c>
      <c r="D593" t="s">
        <v>709</v>
      </c>
      <c r="E593" s="9">
        <v>12021015</v>
      </c>
      <c r="G593" s="1">
        <v>44414</v>
      </c>
      <c r="H593" t="s">
        <v>983</v>
      </c>
      <c r="K593" t="b">
        <f t="shared" ref="K593:K601" si="357">(IF(AND(I593&lt;&gt;"",AND(J593="",ABS(Q593)&gt;400)),TRUE,FALSE))</f>
        <v>0</v>
      </c>
      <c r="L593" s="109">
        <v>1170</v>
      </c>
      <c r="M593" s="72">
        <v>1</v>
      </c>
      <c r="N593">
        <v>20</v>
      </c>
      <c r="O593" s="31">
        <f t="shared" si="354"/>
        <v>234</v>
      </c>
      <c r="P593" s="31">
        <f t="shared" si="355"/>
        <v>234</v>
      </c>
      <c r="Q593" s="33">
        <f t="shared" si="349"/>
        <v>1170</v>
      </c>
      <c r="R593" s="29">
        <f t="shared" si="350"/>
        <v>1404</v>
      </c>
      <c r="S593" s="29">
        <f t="shared" si="356"/>
        <v>1404</v>
      </c>
      <c r="T593" s="35">
        <f t="shared" si="312"/>
        <v>44515</v>
      </c>
      <c r="U593" s="27"/>
      <c r="V593" s="27"/>
      <c r="W593" s="58">
        <f>IF(K593=TRUE,Q593/J593,Q593)</f>
        <v>1170</v>
      </c>
      <c r="X593" s="31">
        <f t="shared" si="351"/>
        <v>0</v>
      </c>
      <c r="Y593" t="b">
        <f t="shared" si="352"/>
        <v>0</v>
      </c>
      <c r="Z593" s="78">
        <f t="shared" si="353"/>
        <v>1170</v>
      </c>
      <c r="AB593" t="b">
        <f>L593*1.2=R593</f>
        <v>1</v>
      </c>
      <c r="AC593" t="b">
        <f>L593*1.2=S593</f>
        <v>1</v>
      </c>
    </row>
    <row r="594" spans="1:29" x14ac:dyDescent="0.25">
      <c r="A594" s="53">
        <v>2021</v>
      </c>
      <c r="B594" s="53">
        <v>121</v>
      </c>
      <c r="C594" s="71" t="s">
        <v>105</v>
      </c>
      <c r="D594" t="s">
        <v>705</v>
      </c>
      <c r="E594" s="9" t="s">
        <v>1573</v>
      </c>
      <c r="G594" s="1">
        <v>44414</v>
      </c>
      <c r="H594" t="s">
        <v>927</v>
      </c>
      <c r="J594" s="76" t="s">
        <v>958</v>
      </c>
      <c r="K594" t="b">
        <f t="shared" si="357"/>
        <v>0</v>
      </c>
      <c r="L594" s="48">
        <v>2.4900000000000002</v>
      </c>
      <c r="M594" s="72">
        <v>1</v>
      </c>
      <c r="N594">
        <v>0</v>
      </c>
      <c r="O594" s="31">
        <f t="shared" si="354"/>
        <v>0</v>
      </c>
      <c r="P594" s="31">
        <f t="shared" si="355"/>
        <v>0</v>
      </c>
      <c r="Q594" s="33">
        <f t="shared" si="349"/>
        <v>2.4900000000000002</v>
      </c>
      <c r="R594" s="29">
        <f t="shared" si="350"/>
        <v>2.4900000000000002</v>
      </c>
      <c r="S594" s="29">
        <f t="shared" si="356"/>
        <v>2.4900000000000002</v>
      </c>
      <c r="T594" s="35">
        <f t="shared" si="312"/>
        <v>44515</v>
      </c>
      <c r="U594" s="27"/>
      <c r="V594" s="27">
        <v>20</v>
      </c>
      <c r="W594" s="58">
        <f>IF(K594=TRUE,Q594/J594,Q594)</f>
        <v>2.4900000000000002</v>
      </c>
      <c r="X594" s="31">
        <f t="shared" si="351"/>
        <v>0.49800000000000005</v>
      </c>
      <c r="Y594" t="b">
        <f t="shared" si="352"/>
        <v>0</v>
      </c>
      <c r="Z594" s="78">
        <f t="shared" si="353"/>
        <v>-2.4900000000000002</v>
      </c>
    </row>
    <row r="595" spans="1:29" x14ac:dyDescent="0.25">
      <c r="A595" s="53">
        <v>2021</v>
      </c>
      <c r="B595" s="53">
        <v>122</v>
      </c>
      <c r="C595" s="71" t="s">
        <v>105</v>
      </c>
      <c r="D595" t="s">
        <v>705</v>
      </c>
      <c r="E595" s="9" t="s">
        <v>1574</v>
      </c>
      <c r="G595" s="1">
        <v>44414</v>
      </c>
      <c r="H595" t="s">
        <v>981</v>
      </c>
      <c r="K595" t="b">
        <f t="shared" si="357"/>
        <v>0</v>
      </c>
      <c r="L595" s="48">
        <v>20.12</v>
      </c>
      <c r="M595" s="72">
        <v>1</v>
      </c>
      <c r="N595">
        <v>20</v>
      </c>
      <c r="O595" s="31">
        <f t="shared" si="354"/>
        <v>4.024</v>
      </c>
      <c r="P595" s="31">
        <f t="shared" si="355"/>
        <v>4.024</v>
      </c>
      <c r="Q595" s="33">
        <f t="shared" si="349"/>
        <v>20.12</v>
      </c>
      <c r="R595" s="29">
        <f t="shared" si="350"/>
        <v>24.144000000000002</v>
      </c>
      <c r="S595" s="29">
        <f t="shared" si="356"/>
        <v>24.144000000000002</v>
      </c>
      <c r="T595" s="35">
        <f t="shared" si="312"/>
        <v>44515</v>
      </c>
      <c r="U595" s="27"/>
      <c r="V595" s="27"/>
      <c r="W595" s="58">
        <f>IF(K595=TRUE,Q595/I595,Q595)</f>
        <v>20.12</v>
      </c>
      <c r="X595" s="31">
        <f t="shared" si="351"/>
        <v>0</v>
      </c>
      <c r="Y595" t="b">
        <f t="shared" si="352"/>
        <v>0</v>
      </c>
      <c r="Z595" s="78">
        <f t="shared" si="353"/>
        <v>-20.12</v>
      </c>
    </row>
    <row r="596" spans="1:29" x14ac:dyDescent="0.25">
      <c r="A596" s="53">
        <v>2021</v>
      </c>
      <c r="B596" s="53">
        <v>123</v>
      </c>
      <c r="C596" s="71" t="s">
        <v>105</v>
      </c>
      <c r="D596" t="s">
        <v>705</v>
      </c>
      <c r="E596" s="9" t="s">
        <v>1465</v>
      </c>
      <c r="G596" s="1">
        <v>44418</v>
      </c>
      <c r="H596" t="s">
        <v>1466</v>
      </c>
      <c r="K596" t="b">
        <f t="shared" si="357"/>
        <v>0</v>
      </c>
      <c r="L596" s="48">
        <v>13</v>
      </c>
      <c r="M596" s="72">
        <v>1</v>
      </c>
      <c r="N596">
        <v>20</v>
      </c>
      <c r="O596" s="31">
        <f t="shared" si="354"/>
        <v>2.6</v>
      </c>
      <c r="P596" s="31">
        <f t="shared" si="355"/>
        <v>2.6</v>
      </c>
      <c r="Q596" s="33">
        <f t="shared" si="349"/>
        <v>13</v>
      </c>
      <c r="R596" s="29">
        <f t="shared" si="350"/>
        <v>15.6</v>
      </c>
      <c r="S596" s="29">
        <f t="shared" si="356"/>
        <v>15.6</v>
      </c>
      <c r="T596" s="35">
        <f t="shared" si="312"/>
        <v>44515</v>
      </c>
      <c r="U596" s="27"/>
      <c r="V596" s="27"/>
      <c r="W596" s="58">
        <f>IF(K596=TRUE,Q596/J596,Q596)</f>
        <v>13</v>
      </c>
      <c r="X596" s="31">
        <f t="shared" si="351"/>
        <v>0</v>
      </c>
      <c r="Y596" t="b">
        <f t="shared" si="352"/>
        <v>0</v>
      </c>
      <c r="Z596" s="78">
        <f t="shared" si="353"/>
        <v>-13</v>
      </c>
    </row>
    <row r="597" spans="1:29" x14ac:dyDescent="0.25">
      <c r="A597" s="53">
        <v>2021</v>
      </c>
      <c r="B597" s="53">
        <v>124</v>
      </c>
      <c r="C597" s="71" t="s">
        <v>105</v>
      </c>
      <c r="D597" t="s">
        <v>705</v>
      </c>
      <c r="E597" s="9" t="s">
        <v>1553</v>
      </c>
      <c r="G597" s="1">
        <v>44420</v>
      </c>
      <c r="H597" t="s">
        <v>927</v>
      </c>
      <c r="K597" t="b">
        <f t="shared" si="357"/>
        <v>0</v>
      </c>
      <c r="L597" s="48">
        <v>46.916800000000002</v>
      </c>
      <c r="M597" s="72">
        <v>1</v>
      </c>
      <c r="N597">
        <v>0</v>
      </c>
      <c r="O597" s="31">
        <f t="shared" si="354"/>
        <v>0</v>
      </c>
      <c r="P597" s="31">
        <f t="shared" si="355"/>
        <v>0</v>
      </c>
      <c r="Q597" s="33">
        <f t="shared" si="349"/>
        <v>46.916800000000002</v>
      </c>
      <c r="R597" s="29">
        <f t="shared" si="350"/>
        <v>46.916800000000002</v>
      </c>
      <c r="S597" s="29">
        <f t="shared" si="356"/>
        <v>46.916800000000002</v>
      </c>
      <c r="T597" s="35">
        <f t="shared" si="312"/>
        <v>44515</v>
      </c>
      <c r="U597" s="27"/>
      <c r="V597" s="27">
        <v>20</v>
      </c>
      <c r="W597" s="58">
        <f>IF(K597=TRUE,Q597/J597,Q597)</f>
        <v>46.916800000000002</v>
      </c>
      <c r="X597" s="31">
        <f t="shared" si="351"/>
        <v>9.3833600000000015</v>
      </c>
      <c r="Y597" t="b">
        <f t="shared" si="352"/>
        <v>0</v>
      </c>
      <c r="Z597" s="78">
        <f t="shared" si="353"/>
        <v>-46.916800000000002</v>
      </c>
    </row>
    <row r="598" spans="1:29" x14ac:dyDescent="0.25">
      <c r="A598" s="53">
        <v>2021</v>
      </c>
      <c r="B598" s="53">
        <v>125</v>
      </c>
      <c r="C598" s="71" t="s">
        <v>105</v>
      </c>
      <c r="D598" t="s">
        <v>705</v>
      </c>
      <c r="E598" s="9" t="s">
        <v>1575</v>
      </c>
      <c r="G598" s="1">
        <v>44424</v>
      </c>
      <c r="H598" t="s">
        <v>981</v>
      </c>
      <c r="K598" t="b">
        <f t="shared" si="357"/>
        <v>0</v>
      </c>
      <c r="L598" s="48">
        <v>57.14</v>
      </c>
      <c r="M598" s="72">
        <v>1</v>
      </c>
      <c r="N598">
        <v>20</v>
      </c>
      <c r="O598" s="31">
        <f t="shared" si="354"/>
        <v>11.427999999999999</v>
      </c>
      <c r="P598" s="31">
        <f t="shared" si="355"/>
        <v>11.427999999999999</v>
      </c>
      <c r="Q598" s="33">
        <f t="shared" si="349"/>
        <v>57.14</v>
      </c>
      <c r="R598" s="29">
        <f t="shared" si="350"/>
        <v>68.567999999999998</v>
      </c>
      <c r="S598" s="29">
        <f t="shared" ref="S598:S603" si="358">Q598+P598</f>
        <v>68.567999999999998</v>
      </c>
      <c r="T598" s="35">
        <f t="shared" si="312"/>
        <v>44515</v>
      </c>
      <c r="U598" s="27"/>
      <c r="V598" s="27"/>
      <c r="W598" s="58">
        <f>IF(K598=TRUE,Q598/I598,Q598)</f>
        <v>57.14</v>
      </c>
      <c r="X598" s="31">
        <f t="shared" si="351"/>
        <v>0</v>
      </c>
      <c r="Y598" t="b">
        <f t="shared" si="352"/>
        <v>0</v>
      </c>
      <c r="Z598" s="78">
        <f t="shared" si="353"/>
        <v>-57.14</v>
      </c>
    </row>
    <row r="599" spans="1:29" x14ac:dyDescent="0.25">
      <c r="A599" s="53">
        <v>2021</v>
      </c>
      <c r="B599" s="53">
        <v>126</v>
      </c>
      <c r="C599" s="71" t="s">
        <v>105</v>
      </c>
      <c r="D599" t="s">
        <v>703</v>
      </c>
      <c r="E599" s="131" t="s">
        <v>1637</v>
      </c>
      <c r="G599" s="1">
        <v>44431</v>
      </c>
      <c r="H599" t="s">
        <v>1148</v>
      </c>
      <c r="K599" t="b">
        <f t="shared" si="357"/>
        <v>0</v>
      </c>
      <c r="L599" s="48">
        <v>31.92</v>
      </c>
      <c r="M599" s="72">
        <v>1</v>
      </c>
      <c r="N599">
        <v>20</v>
      </c>
      <c r="O599" s="31">
        <f t="shared" si="354"/>
        <v>6.3840000000000012</v>
      </c>
      <c r="P599" s="31">
        <f t="shared" si="355"/>
        <v>6.3840000000000012</v>
      </c>
      <c r="Q599" s="33">
        <f t="shared" si="349"/>
        <v>31.92</v>
      </c>
      <c r="R599" s="29">
        <f t="shared" si="350"/>
        <v>38.304000000000002</v>
      </c>
      <c r="S599" s="29">
        <f t="shared" si="358"/>
        <v>38.304000000000002</v>
      </c>
      <c r="T599" s="35">
        <f t="shared" si="312"/>
        <v>44515</v>
      </c>
      <c r="U599" s="27"/>
      <c r="V599" s="27"/>
      <c r="W599" s="58">
        <f>IF(K599=TRUE,Q599/I599,Q599)</f>
        <v>31.92</v>
      </c>
      <c r="X599" s="31">
        <f t="shared" si="351"/>
        <v>0</v>
      </c>
      <c r="Y599" t="b">
        <f t="shared" si="352"/>
        <v>0</v>
      </c>
      <c r="Z599" s="78">
        <f t="shared" si="353"/>
        <v>-31.92</v>
      </c>
    </row>
    <row r="600" spans="1:29" x14ac:dyDescent="0.25">
      <c r="A600" s="53">
        <v>2021</v>
      </c>
      <c r="B600" s="53">
        <v>127</v>
      </c>
      <c r="C600" s="71" t="s">
        <v>105</v>
      </c>
      <c r="D600" t="s">
        <v>683</v>
      </c>
      <c r="E600" s="9">
        <v>847269</v>
      </c>
      <c r="G600" s="1">
        <v>44433</v>
      </c>
      <c r="H600" t="s">
        <v>1238</v>
      </c>
      <c r="J600" s="76" t="s">
        <v>958</v>
      </c>
      <c r="K600" t="b">
        <f t="shared" si="357"/>
        <v>0</v>
      </c>
      <c r="L600" s="48">
        <v>139.16999999999999</v>
      </c>
      <c r="M600" s="72">
        <v>1</v>
      </c>
      <c r="N600">
        <v>20</v>
      </c>
      <c r="O600" s="31">
        <f t="shared" si="354"/>
        <v>27.833999999999996</v>
      </c>
      <c r="P600" s="31">
        <f t="shared" si="355"/>
        <v>27.833999999999996</v>
      </c>
      <c r="Q600" s="33">
        <f t="shared" ref="Q600:Q605" si="359">L600*M600</f>
        <v>139.16999999999999</v>
      </c>
      <c r="R600" s="29">
        <f t="shared" ref="R600:R605" si="360">L600+O600</f>
        <v>167.00399999999999</v>
      </c>
      <c r="S600" s="29">
        <f t="shared" si="358"/>
        <v>167.00399999999999</v>
      </c>
      <c r="T600" s="35">
        <f t="shared" si="312"/>
        <v>44515</v>
      </c>
      <c r="U600" s="27"/>
      <c r="V600" s="27"/>
      <c r="W600" s="58">
        <f>IF(K600=TRUE,Q600/I600,Q600)</f>
        <v>139.16999999999999</v>
      </c>
      <c r="X600" s="31">
        <f t="shared" ref="X600:X605" si="361">V600/100*S600</f>
        <v>0</v>
      </c>
      <c r="Y600" t="b">
        <f t="shared" ref="Y600:Y605" si="362">IF(AND(V600&gt;0,N600=V600),TRUE,FALSE)</f>
        <v>0</v>
      </c>
      <c r="Z600" s="78">
        <f t="shared" ref="Z600:Z605" si="363">IF(C600="Einnahmen",Q600,-Q600)</f>
        <v>-139.16999999999999</v>
      </c>
    </row>
    <row r="601" spans="1:29" x14ac:dyDescent="0.25">
      <c r="A601" s="53">
        <v>2021</v>
      </c>
      <c r="B601" s="53">
        <v>128</v>
      </c>
      <c r="C601" s="71" t="s">
        <v>105</v>
      </c>
      <c r="D601" t="s">
        <v>693</v>
      </c>
      <c r="E601" s="9" t="s">
        <v>1576</v>
      </c>
      <c r="G601" s="1">
        <v>44439</v>
      </c>
      <c r="H601" t="s">
        <v>1363</v>
      </c>
      <c r="K601" t="b">
        <f t="shared" si="357"/>
        <v>0</v>
      </c>
      <c r="L601" s="48">
        <v>24.88</v>
      </c>
      <c r="M601" s="72">
        <v>1</v>
      </c>
      <c r="N601">
        <v>0</v>
      </c>
      <c r="O601" s="31">
        <f t="shared" si="354"/>
        <v>0</v>
      </c>
      <c r="P601" s="31">
        <f t="shared" si="355"/>
        <v>0</v>
      </c>
      <c r="Q601" s="33">
        <f t="shared" si="359"/>
        <v>24.88</v>
      </c>
      <c r="R601" s="29">
        <f t="shared" si="360"/>
        <v>24.88</v>
      </c>
      <c r="S601" s="29">
        <f t="shared" si="358"/>
        <v>24.88</v>
      </c>
      <c r="T601" s="35">
        <f t="shared" ref="T601:T664" si="364">voranmeldefrist_vierteljaehrlich(G601)</f>
        <v>44515</v>
      </c>
      <c r="U601" s="27"/>
      <c r="V601" s="27">
        <v>20</v>
      </c>
      <c r="W601" s="58">
        <f>IF(K601=TRUE,Q601/I601,Q601)</f>
        <v>24.88</v>
      </c>
      <c r="X601" s="31">
        <f t="shared" si="361"/>
        <v>4.976</v>
      </c>
      <c r="Y601" t="b">
        <f t="shared" si="362"/>
        <v>0</v>
      </c>
      <c r="Z601" s="78">
        <f t="shared" si="363"/>
        <v>-24.88</v>
      </c>
    </row>
    <row r="602" spans="1:29" x14ac:dyDescent="0.25">
      <c r="A602" s="53">
        <v>2021</v>
      </c>
      <c r="B602" s="53">
        <v>129</v>
      </c>
      <c r="C602" s="71" t="s">
        <v>105</v>
      </c>
      <c r="D602" t="s">
        <v>691</v>
      </c>
      <c r="E602" s="9" t="s">
        <v>1588</v>
      </c>
      <c r="G602" s="1">
        <v>44440</v>
      </c>
      <c r="H602" t="s">
        <v>1113</v>
      </c>
      <c r="K602" t="b">
        <v>0</v>
      </c>
      <c r="L602" s="109">
        <f>564.56/1.2</f>
        <v>470.46666666666664</v>
      </c>
      <c r="M602" s="72">
        <v>1</v>
      </c>
      <c r="N602">
        <v>20</v>
      </c>
      <c r="O602" s="31">
        <f t="shared" si="354"/>
        <v>94.09333333333332</v>
      </c>
      <c r="P602" s="31">
        <f t="shared" si="355"/>
        <v>94.09333333333332</v>
      </c>
      <c r="Q602" s="33">
        <f t="shared" si="359"/>
        <v>470.46666666666664</v>
      </c>
      <c r="R602" s="29">
        <f t="shared" si="360"/>
        <v>564.55999999999995</v>
      </c>
      <c r="S602" s="29">
        <f t="shared" si="358"/>
        <v>564.55999999999995</v>
      </c>
      <c r="T602" s="35">
        <f t="shared" si="364"/>
        <v>44515</v>
      </c>
      <c r="U602" s="27"/>
      <c r="V602" s="27"/>
      <c r="W602" s="58">
        <f>IF(K602=TRUE,Q602/J602,Q602)</f>
        <v>470.46666666666664</v>
      </c>
      <c r="X602" s="31">
        <f t="shared" si="361"/>
        <v>0</v>
      </c>
      <c r="Y602" t="b">
        <f t="shared" si="362"/>
        <v>0</v>
      </c>
      <c r="Z602" s="78">
        <f t="shared" si="363"/>
        <v>-470.46666666666664</v>
      </c>
    </row>
    <row r="603" spans="1:29" x14ac:dyDescent="0.25">
      <c r="A603" s="53">
        <v>2021</v>
      </c>
      <c r="B603" s="53">
        <v>130</v>
      </c>
      <c r="C603" s="71" t="s">
        <v>105</v>
      </c>
      <c r="D603" t="s">
        <v>703</v>
      </c>
      <c r="E603" s="9" t="s">
        <v>1577</v>
      </c>
      <c r="G603" s="1">
        <v>44441</v>
      </c>
      <c r="H603" t="s">
        <v>34</v>
      </c>
      <c r="K603" t="b">
        <f>(IF(AND(I603&lt;&gt;"",AND(J603="",ABS(Q603)&gt;400)),TRUE,FALSE))</f>
        <v>0</v>
      </c>
      <c r="L603" s="48">
        <v>15</v>
      </c>
      <c r="M603" s="72">
        <v>1</v>
      </c>
      <c r="N603">
        <v>20</v>
      </c>
      <c r="O603" s="31">
        <f t="shared" si="354"/>
        <v>3</v>
      </c>
      <c r="P603" s="31">
        <f t="shared" si="355"/>
        <v>3</v>
      </c>
      <c r="Q603" s="33">
        <f t="shared" si="359"/>
        <v>15</v>
      </c>
      <c r="R603" s="29">
        <f t="shared" si="360"/>
        <v>18</v>
      </c>
      <c r="S603" s="29">
        <f t="shared" si="358"/>
        <v>18</v>
      </c>
      <c r="T603" s="35">
        <f t="shared" si="364"/>
        <v>44515</v>
      </c>
      <c r="U603" s="27"/>
      <c r="V603" s="27"/>
      <c r="W603" s="58">
        <f>IF(K603=TRUE,Q603/I603,Q603)</f>
        <v>15</v>
      </c>
      <c r="X603" s="31">
        <f t="shared" si="361"/>
        <v>0</v>
      </c>
      <c r="Y603" t="b">
        <f t="shared" si="362"/>
        <v>0</v>
      </c>
      <c r="Z603" s="78">
        <f t="shared" si="363"/>
        <v>-15</v>
      </c>
    </row>
    <row r="604" spans="1:29" x14ac:dyDescent="0.25">
      <c r="A604" s="53">
        <v>2021</v>
      </c>
      <c r="B604" s="53">
        <v>131</v>
      </c>
      <c r="C604" s="71" t="s">
        <v>105</v>
      </c>
      <c r="D604" t="s">
        <v>705</v>
      </c>
      <c r="E604" s="9" t="s">
        <v>1505</v>
      </c>
      <c r="G604" s="1">
        <v>44442</v>
      </c>
      <c r="H604" t="s">
        <v>1364</v>
      </c>
      <c r="K604" t="b">
        <f>(IF(AND(I604&lt;&gt;"",AND(J604="",ABS(Q604)&gt;400)),TRUE,FALSE))</f>
        <v>0</v>
      </c>
      <c r="L604" s="48">
        <v>2.5</v>
      </c>
      <c r="M604" s="72">
        <v>1</v>
      </c>
      <c r="N604">
        <v>20</v>
      </c>
      <c r="O604" s="31">
        <f t="shared" si="354"/>
        <v>0.5</v>
      </c>
      <c r="P604" s="31">
        <f t="shared" si="355"/>
        <v>0.5</v>
      </c>
      <c r="Q604" s="33">
        <f t="shared" si="359"/>
        <v>2.5</v>
      </c>
      <c r="R604" s="29">
        <f t="shared" si="360"/>
        <v>3</v>
      </c>
      <c r="S604" s="29">
        <v>3</v>
      </c>
      <c r="T604" s="35">
        <f t="shared" si="364"/>
        <v>44515</v>
      </c>
      <c r="U604" s="27"/>
      <c r="V604" s="27"/>
      <c r="W604" s="58">
        <f>IF(K604=TRUE,Q604/J604,Q604)</f>
        <v>2.5</v>
      </c>
      <c r="X604" s="31">
        <f t="shared" si="361"/>
        <v>0</v>
      </c>
      <c r="Y604" t="b">
        <f t="shared" si="362"/>
        <v>0</v>
      </c>
      <c r="Z604" s="78">
        <f t="shared" si="363"/>
        <v>-2.5</v>
      </c>
    </row>
    <row r="605" spans="1:29" x14ac:dyDescent="0.25">
      <c r="A605" s="53">
        <v>2021</v>
      </c>
      <c r="B605" s="53">
        <v>132</v>
      </c>
      <c r="C605" s="71" t="s">
        <v>105</v>
      </c>
      <c r="D605" t="s">
        <v>692</v>
      </c>
      <c r="E605" s="9" t="s">
        <v>1578</v>
      </c>
      <c r="G605" s="1">
        <v>44442</v>
      </c>
      <c r="H605" t="s">
        <v>1403</v>
      </c>
      <c r="K605" t="b">
        <v>0</v>
      </c>
      <c r="L605" s="48">
        <v>53</v>
      </c>
      <c r="M605" s="72">
        <v>1</v>
      </c>
      <c r="N605">
        <v>20</v>
      </c>
      <c r="O605" s="31">
        <f t="shared" si="354"/>
        <v>10.6</v>
      </c>
      <c r="P605" s="31">
        <f t="shared" si="355"/>
        <v>10.6</v>
      </c>
      <c r="Q605" s="33">
        <f t="shared" si="359"/>
        <v>53</v>
      </c>
      <c r="R605" s="29">
        <f t="shared" si="360"/>
        <v>63.6</v>
      </c>
      <c r="S605" s="29">
        <f t="shared" ref="S605:S616" si="365">Q605+P605</f>
        <v>63.6</v>
      </c>
      <c r="T605" s="35">
        <f t="shared" si="364"/>
        <v>44515</v>
      </c>
      <c r="U605" s="27"/>
      <c r="V605" s="27"/>
      <c r="W605" s="58">
        <f>IF(K605=TRUE,Q605/J605,Q605)</f>
        <v>53</v>
      </c>
      <c r="X605" s="31">
        <f t="shared" si="361"/>
        <v>0</v>
      </c>
      <c r="Y605" t="b">
        <f t="shared" si="362"/>
        <v>0</v>
      </c>
      <c r="Z605" s="78">
        <f t="shared" si="363"/>
        <v>-53</v>
      </c>
    </row>
    <row r="606" spans="1:29" x14ac:dyDescent="0.25">
      <c r="A606" s="53">
        <v>2021</v>
      </c>
      <c r="B606" s="53">
        <v>133</v>
      </c>
      <c r="C606" s="71" t="s">
        <v>105</v>
      </c>
      <c r="D606" t="s">
        <v>691</v>
      </c>
      <c r="E606" s="9" t="s">
        <v>1566</v>
      </c>
      <c r="G606" s="1">
        <v>44445</v>
      </c>
      <c r="H606" t="s">
        <v>1558</v>
      </c>
      <c r="K606" t="b">
        <v>0</v>
      </c>
      <c r="L606" s="109">
        <v>74</v>
      </c>
      <c r="M606" s="72">
        <v>1</v>
      </c>
      <c r="N606">
        <v>20</v>
      </c>
      <c r="O606" s="31">
        <f t="shared" si="354"/>
        <v>14.8</v>
      </c>
      <c r="P606" s="31">
        <f t="shared" si="355"/>
        <v>14.8</v>
      </c>
      <c r="Q606" s="33">
        <f t="shared" ref="Q606:Q611" si="366">L606*M606</f>
        <v>74</v>
      </c>
      <c r="R606" s="29">
        <f t="shared" ref="R606:R611" si="367">L606+O606</f>
        <v>88.8</v>
      </c>
      <c r="S606" s="29">
        <f t="shared" si="365"/>
        <v>88.8</v>
      </c>
      <c r="T606" s="35">
        <f t="shared" si="364"/>
        <v>44515</v>
      </c>
      <c r="U606" s="27"/>
      <c r="V606" s="27"/>
      <c r="W606" s="58">
        <f>IF(K606=TRUE,Q606/J606,Q606)</f>
        <v>74</v>
      </c>
      <c r="X606" s="31">
        <f t="shared" ref="X606:X611" si="368">V606/100*S606</f>
        <v>0</v>
      </c>
      <c r="Y606" t="b">
        <f t="shared" ref="Y606:Y611" si="369">IF(AND(V606&gt;0,N606=V606),TRUE,FALSE)</f>
        <v>0</v>
      </c>
      <c r="Z606" s="78">
        <f t="shared" ref="Z606:Z611" si="370">IF(C606="Einnahmen",Q606,-Q606)</f>
        <v>-74</v>
      </c>
    </row>
    <row r="607" spans="1:29" x14ac:dyDescent="0.25">
      <c r="A607" s="53">
        <v>2021</v>
      </c>
      <c r="B607" s="53">
        <v>134</v>
      </c>
      <c r="C607" s="71" t="s">
        <v>105</v>
      </c>
      <c r="D607" t="s">
        <v>705</v>
      </c>
      <c r="E607" s="9" t="s">
        <v>1639</v>
      </c>
      <c r="G607" s="1">
        <v>44445</v>
      </c>
      <c r="H607" t="s">
        <v>1404</v>
      </c>
      <c r="K607" t="b">
        <v>0</v>
      </c>
      <c r="L607" s="109">
        <v>10.039999999999999</v>
      </c>
      <c r="M607" s="72">
        <v>1</v>
      </c>
      <c r="N607">
        <v>0</v>
      </c>
      <c r="O607" s="31">
        <f t="shared" si="354"/>
        <v>0</v>
      </c>
      <c r="P607" s="31">
        <f t="shared" si="355"/>
        <v>0</v>
      </c>
      <c r="Q607" s="33">
        <f t="shared" si="366"/>
        <v>10.039999999999999</v>
      </c>
      <c r="R607" s="29">
        <f t="shared" si="367"/>
        <v>10.039999999999999</v>
      </c>
      <c r="S607" s="29">
        <f t="shared" si="365"/>
        <v>10.039999999999999</v>
      </c>
      <c r="T607" s="35">
        <f t="shared" si="364"/>
        <v>44515</v>
      </c>
      <c r="U607" s="27"/>
      <c r="V607" s="27">
        <v>20</v>
      </c>
      <c r="W607" s="58">
        <f>IF(K607=TRUE,Q607/I607,Q607)</f>
        <v>10.039999999999999</v>
      </c>
      <c r="X607" s="31">
        <f t="shared" si="368"/>
        <v>2.008</v>
      </c>
      <c r="Y607" t="b">
        <f t="shared" si="369"/>
        <v>0</v>
      </c>
      <c r="Z607" s="78">
        <f t="shared" si="370"/>
        <v>-10.039999999999999</v>
      </c>
    </row>
    <row r="608" spans="1:29" x14ac:dyDescent="0.25">
      <c r="A608" s="53">
        <v>2021</v>
      </c>
      <c r="B608" s="53">
        <v>135</v>
      </c>
      <c r="C608" s="71" t="s">
        <v>105</v>
      </c>
      <c r="D608" t="s">
        <v>705</v>
      </c>
      <c r="E608" s="9" t="s">
        <v>1579</v>
      </c>
      <c r="G608" s="1">
        <v>44447</v>
      </c>
      <c r="H608" t="s">
        <v>927</v>
      </c>
      <c r="J608" s="76" t="s">
        <v>958</v>
      </c>
      <c r="K608" t="b">
        <f>(IF(AND(I608&lt;&gt;"",AND(J608="",ABS(Q608)&gt;400)),TRUE,FALSE))</f>
        <v>0</v>
      </c>
      <c r="L608" s="48">
        <v>2.4900000000000002</v>
      </c>
      <c r="M608" s="72">
        <v>1</v>
      </c>
      <c r="N608">
        <v>0</v>
      </c>
      <c r="O608" s="31">
        <f t="shared" si="354"/>
        <v>0</v>
      </c>
      <c r="P608" s="31">
        <f t="shared" si="355"/>
        <v>0</v>
      </c>
      <c r="Q608" s="33">
        <f t="shared" si="366"/>
        <v>2.4900000000000002</v>
      </c>
      <c r="R608" s="29">
        <f t="shared" si="367"/>
        <v>2.4900000000000002</v>
      </c>
      <c r="S608" s="29">
        <f t="shared" si="365"/>
        <v>2.4900000000000002</v>
      </c>
      <c r="T608" s="35">
        <f t="shared" si="364"/>
        <v>44515</v>
      </c>
      <c r="U608" s="27"/>
      <c r="V608" s="27">
        <v>20</v>
      </c>
      <c r="W608" s="58">
        <f>IF(K608=TRUE,Q608/J608,Q608)</f>
        <v>2.4900000000000002</v>
      </c>
      <c r="X608" s="31">
        <f t="shared" si="368"/>
        <v>0.49800000000000005</v>
      </c>
      <c r="Y608" t="b">
        <f t="shared" si="369"/>
        <v>0</v>
      </c>
      <c r="Z608" s="78">
        <f t="shared" si="370"/>
        <v>-2.4900000000000002</v>
      </c>
    </row>
    <row r="609" spans="1:29" x14ac:dyDescent="0.25">
      <c r="A609" s="53">
        <v>2021</v>
      </c>
      <c r="B609" s="53">
        <v>136</v>
      </c>
      <c r="C609" s="71" t="s">
        <v>105</v>
      </c>
      <c r="D609" t="s">
        <v>705</v>
      </c>
      <c r="E609" s="9" t="s">
        <v>1465</v>
      </c>
      <c r="G609" s="1">
        <v>44449</v>
      </c>
      <c r="H609" t="s">
        <v>1466</v>
      </c>
      <c r="K609" t="b">
        <f>(IF(AND(I609&lt;&gt;"",AND(J609="",ABS(Q609)&gt;400)),TRUE,FALSE))</f>
        <v>0</v>
      </c>
      <c r="L609" s="48">
        <v>13</v>
      </c>
      <c r="M609" s="72">
        <v>1</v>
      </c>
      <c r="N609">
        <v>20</v>
      </c>
      <c r="O609" s="31">
        <f t="shared" si="354"/>
        <v>2.6</v>
      </c>
      <c r="P609" s="31">
        <f t="shared" si="355"/>
        <v>2.6</v>
      </c>
      <c r="Q609" s="33">
        <f t="shared" si="366"/>
        <v>13</v>
      </c>
      <c r="R609" s="29">
        <f t="shared" si="367"/>
        <v>15.6</v>
      </c>
      <c r="S609" s="29">
        <f t="shared" si="365"/>
        <v>15.6</v>
      </c>
      <c r="T609" s="35">
        <f t="shared" si="364"/>
        <v>44515</v>
      </c>
      <c r="U609" s="27"/>
      <c r="V609" s="27"/>
      <c r="W609" s="58">
        <f>IF(K609=TRUE,Q609/J609,Q609)</f>
        <v>13</v>
      </c>
      <c r="X609" s="31">
        <f t="shared" si="368"/>
        <v>0</v>
      </c>
      <c r="Y609" t="b">
        <f t="shared" si="369"/>
        <v>0</v>
      </c>
      <c r="Z609" s="78">
        <f t="shared" si="370"/>
        <v>-13</v>
      </c>
    </row>
    <row r="610" spans="1:29" x14ac:dyDescent="0.25">
      <c r="A610" s="53">
        <v>2021</v>
      </c>
      <c r="B610" s="53">
        <v>137</v>
      </c>
      <c r="C610" s="71" t="s">
        <v>105</v>
      </c>
      <c r="D610" t="s">
        <v>705</v>
      </c>
      <c r="E610" s="9" t="s">
        <v>1580</v>
      </c>
      <c r="G610" s="1">
        <v>44452</v>
      </c>
      <c r="H610" t="s">
        <v>927</v>
      </c>
      <c r="K610" t="b">
        <f>(IF(AND(I610&lt;&gt;"",AND(J610="",ABS(Q610)&gt;400)),TRUE,FALSE))</f>
        <v>0</v>
      </c>
      <c r="L610" s="48">
        <v>46.916800000000002</v>
      </c>
      <c r="M610" s="72">
        <v>1</v>
      </c>
      <c r="N610">
        <v>0</v>
      </c>
      <c r="O610" s="31">
        <f t="shared" si="354"/>
        <v>0</v>
      </c>
      <c r="P610" s="31">
        <f t="shared" si="355"/>
        <v>0</v>
      </c>
      <c r="Q610" s="33">
        <f t="shared" si="366"/>
        <v>46.916800000000002</v>
      </c>
      <c r="R610" s="29">
        <f t="shared" si="367"/>
        <v>46.916800000000002</v>
      </c>
      <c r="S610" s="29">
        <f t="shared" si="365"/>
        <v>46.916800000000002</v>
      </c>
      <c r="T610" s="35">
        <f t="shared" si="364"/>
        <v>44515</v>
      </c>
      <c r="U610" s="27"/>
      <c r="V610" s="27">
        <v>20</v>
      </c>
      <c r="W610" s="58">
        <f>IF(K610=TRUE,Q610/J610,Q610)</f>
        <v>46.916800000000002</v>
      </c>
      <c r="X610" s="31">
        <f t="shared" si="368"/>
        <v>9.3833600000000015</v>
      </c>
      <c r="Y610" t="b">
        <f t="shared" si="369"/>
        <v>0</v>
      </c>
      <c r="Z610" s="78">
        <f t="shared" si="370"/>
        <v>-46.916800000000002</v>
      </c>
    </row>
    <row r="611" spans="1:29" x14ac:dyDescent="0.25">
      <c r="A611" s="53">
        <v>2021</v>
      </c>
      <c r="B611" s="53">
        <v>138</v>
      </c>
      <c r="C611" s="71" t="s">
        <v>105</v>
      </c>
      <c r="D611" t="s">
        <v>703</v>
      </c>
      <c r="E611" s="131" t="s">
        <v>1581</v>
      </c>
      <c r="G611" s="1">
        <v>44460</v>
      </c>
      <c r="H611" t="s">
        <v>1148</v>
      </c>
      <c r="K611" t="b">
        <f>(IF(AND(I611&lt;&gt;"",AND(J611="",ABS(Q611)&gt;400)),TRUE,FALSE))</f>
        <v>0</v>
      </c>
      <c r="L611" s="48">
        <v>31.92</v>
      </c>
      <c r="M611" s="72">
        <v>1</v>
      </c>
      <c r="N611">
        <v>20</v>
      </c>
      <c r="O611" s="31">
        <f t="shared" si="354"/>
        <v>6.3840000000000012</v>
      </c>
      <c r="P611" s="31">
        <f t="shared" si="355"/>
        <v>6.3840000000000012</v>
      </c>
      <c r="Q611" s="33">
        <f t="shared" si="366"/>
        <v>31.92</v>
      </c>
      <c r="R611" s="29">
        <f t="shared" si="367"/>
        <v>38.304000000000002</v>
      </c>
      <c r="S611" s="29">
        <f t="shared" si="365"/>
        <v>38.304000000000002</v>
      </c>
      <c r="T611" s="35">
        <f t="shared" si="364"/>
        <v>44515</v>
      </c>
      <c r="U611" s="27"/>
      <c r="V611" s="27"/>
      <c r="W611" s="58">
        <f>IF(K611=TRUE,Q611/I611,Q611)</f>
        <v>31.92</v>
      </c>
      <c r="X611" s="31">
        <f t="shared" si="368"/>
        <v>0</v>
      </c>
      <c r="Y611" t="b">
        <f t="shared" si="369"/>
        <v>0</v>
      </c>
      <c r="Z611" s="78">
        <f t="shared" si="370"/>
        <v>-31.92</v>
      </c>
    </row>
    <row r="612" spans="1:29" x14ac:dyDescent="0.25">
      <c r="A612" s="53">
        <v>2021</v>
      </c>
      <c r="B612" s="53">
        <v>139</v>
      </c>
      <c r="C612" s="71" t="s">
        <v>105</v>
      </c>
      <c r="D612" t="s">
        <v>691</v>
      </c>
      <c r="E612" s="9" t="s">
        <v>1589</v>
      </c>
      <c r="G612" s="1">
        <v>44470</v>
      </c>
      <c r="H612" t="s">
        <v>1113</v>
      </c>
      <c r="K612" t="b">
        <v>0</v>
      </c>
      <c r="L612" s="109">
        <f>564.56/1.2</f>
        <v>470.46666666666664</v>
      </c>
      <c r="M612" s="72">
        <v>1</v>
      </c>
      <c r="N612">
        <v>20</v>
      </c>
      <c r="O612" s="31">
        <f t="shared" si="354"/>
        <v>94.09333333333332</v>
      </c>
      <c r="P612" s="31">
        <f t="shared" si="355"/>
        <v>94.09333333333332</v>
      </c>
      <c r="Q612" s="33">
        <f t="shared" ref="Q612:Q619" si="371">L612*M612</f>
        <v>470.46666666666664</v>
      </c>
      <c r="R612" s="29">
        <f t="shared" ref="R612:R619" si="372">L612+O612</f>
        <v>564.55999999999995</v>
      </c>
      <c r="S612" s="29">
        <f t="shared" si="365"/>
        <v>564.55999999999995</v>
      </c>
      <c r="T612" s="35">
        <f t="shared" si="364"/>
        <v>44607</v>
      </c>
      <c r="U612" s="27"/>
      <c r="V612" s="27"/>
      <c r="W612" s="58">
        <f>IF(K612=TRUE,Q612/J612,Q612)</f>
        <v>470.46666666666664</v>
      </c>
      <c r="X612" s="31">
        <f t="shared" ref="X612:X619" si="373">V612/100*S612</f>
        <v>0</v>
      </c>
      <c r="Y612" t="b">
        <f t="shared" ref="Y612:Y619" si="374">IF(AND(V612&gt;0,N612=V612),TRUE,FALSE)</f>
        <v>0</v>
      </c>
      <c r="Z612" s="78">
        <f t="shared" ref="Z612:Z619" si="375">IF(C612="Einnahmen",Q612,-Q612)</f>
        <v>-470.46666666666664</v>
      </c>
    </row>
    <row r="613" spans="1:29" x14ac:dyDescent="0.25">
      <c r="A613" s="53">
        <v>2021</v>
      </c>
      <c r="B613" s="53">
        <v>140</v>
      </c>
      <c r="C613" s="71" t="s">
        <v>105</v>
      </c>
      <c r="D613" t="s">
        <v>703</v>
      </c>
      <c r="E613" s="9" t="s">
        <v>1582</v>
      </c>
      <c r="G613" s="1">
        <v>44470</v>
      </c>
      <c r="H613" t="s">
        <v>34</v>
      </c>
      <c r="K613" t="b">
        <f>(IF(AND(I613&lt;&gt;"",AND(J613="",ABS(Q613)&gt;400)),TRUE,FALSE))</f>
        <v>0</v>
      </c>
      <c r="L613" s="48">
        <v>15</v>
      </c>
      <c r="M613" s="72">
        <v>1</v>
      </c>
      <c r="N613">
        <v>20</v>
      </c>
      <c r="O613" s="31">
        <f t="shared" si="354"/>
        <v>3</v>
      </c>
      <c r="P613" s="31">
        <f t="shared" si="355"/>
        <v>3</v>
      </c>
      <c r="Q613" s="33">
        <f t="shared" si="371"/>
        <v>15</v>
      </c>
      <c r="R613" s="29">
        <f t="shared" si="372"/>
        <v>18</v>
      </c>
      <c r="S613" s="29">
        <f t="shared" si="365"/>
        <v>18</v>
      </c>
      <c r="T613" s="35">
        <f t="shared" si="364"/>
        <v>44607</v>
      </c>
      <c r="U613" s="27"/>
      <c r="V613" s="27"/>
      <c r="W613" s="58">
        <f>IF(K613=TRUE,Q613/I613,Q613)</f>
        <v>15</v>
      </c>
      <c r="X613" s="31">
        <f t="shared" si="373"/>
        <v>0</v>
      </c>
      <c r="Y613" t="b">
        <f t="shared" si="374"/>
        <v>0</v>
      </c>
      <c r="Z613" s="78">
        <f t="shared" si="375"/>
        <v>-15</v>
      </c>
    </row>
    <row r="614" spans="1:29" x14ac:dyDescent="0.25">
      <c r="A614" s="53">
        <v>2021</v>
      </c>
      <c r="B614" s="53">
        <v>141</v>
      </c>
      <c r="C614" s="71" t="s">
        <v>105</v>
      </c>
      <c r="D614" t="s">
        <v>689</v>
      </c>
      <c r="E614" s="131" t="s">
        <v>1583</v>
      </c>
      <c r="G614" s="1">
        <v>44470</v>
      </c>
      <c r="H614" t="s">
        <v>974</v>
      </c>
      <c r="K614" t="b">
        <v>0</v>
      </c>
      <c r="L614" s="48">
        <v>8.77</v>
      </c>
      <c r="M614" s="72">
        <v>1</v>
      </c>
      <c r="N614">
        <v>20</v>
      </c>
      <c r="O614" s="31">
        <f t="shared" si="354"/>
        <v>1.7539999999999998</v>
      </c>
      <c r="P614" s="31">
        <f t="shared" si="355"/>
        <v>1.7539999999999998</v>
      </c>
      <c r="Q614" s="33">
        <f t="shared" si="371"/>
        <v>8.77</v>
      </c>
      <c r="R614" s="29">
        <f t="shared" si="372"/>
        <v>10.523999999999999</v>
      </c>
      <c r="S614" s="29">
        <f t="shared" si="365"/>
        <v>10.523999999999999</v>
      </c>
      <c r="T614" s="35">
        <f t="shared" si="364"/>
        <v>44607</v>
      </c>
      <c r="U614" s="27"/>
      <c r="V614" s="27"/>
      <c r="W614" s="58">
        <f>IF(K614=TRUE,Q614/J614,Q614)</f>
        <v>8.77</v>
      </c>
      <c r="X614" s="31">
        <f t="shared" si="373"/>
        <v>0</v>
      </c>
      <c r="Y614" t="b">
        <f t="shared" si="374"/>
        <v>0</v>
      </c>
      <c r="Z614" s="78">
        <f t="shared" si="375"/>
        <v>-8.77</v>
      </c>
    </row>
    <row r="615" spans="1:29" x14ac:dyDescent="0.25">
      <c r="A615" s="53">
        <v>2021</v>
      </c>
      <c r="B615" s="53">
        <v>142</v>
      </c>
      <c r="C615" s="71" t="s">
        <v>708</v>
      </c>
      <c r="D615" t="s">
        <v>709</v>
      </c>
      <c r="E615" s="9">
        <v>12021025</v>
      </c>
      <c r="G615" s="1">
        <v>44470</v>
      </c>
      <c r="H615" t="s">
        <v>1513</v>
      </c>
      <c r="K615" t="b">
        <v>0</v>
      </c>
      <c r="L615" s="48">
        <v>400.5</v>
      </c>
      <c r="M615" s="72">
        <v>1</v>
      </c>
      <c r="N615">
        <v>20</v>
      </c>
      <c r="O615" s="31">
        <f t="shared" si="354"/>
        <v>80.099999999999994</v>
      </c>
      <c r="P615" s="31">
        <f t="shared" si="355"/>
        <v>80.099999999999994</v>
      </c>
      <c r="Q615" s="33">
        <f t="shared" si="371"/>
        <v>400.5</v>
      </c>
      <c r="R615" s="29">
        <f t="shared" si="372"/>
        <v>480.6</v>
      </c>
      <c r="S615" s="29">
        <f t="shared" si="365"/>
        <v>480.6</v>
      </c>
      <c r="T615" s="35">
        <f t="shared" si="364"/>
        <v>44607</v>
      </c>
      <c r="U615" s="27"/>
      <c r="V615" s="27"/>
      <c r="W615" s="58">
        <f>IF(K615=TRUE,Q615/J615,Q615)</f>
        <v>400.5</v>
      </c>
      <c r="X615" s="31">
        <f t="shared" si="373"/>
        <v>0</v>
      </c>
      <c r="Y615" t="b">
        <f t="shared" si="374"/>
        <v>0</v>
      </c>
      <c r="Z615" s="78">
        <f t="shared" si="375"/>
        <v>400.5</v>
      </c>
      <c r="AB615" t="b">
        <f>L615*1.2=R615</f>
        <v>1</v>
      </c>
      <c r="AC615" t="b">
        <f>L615*1.2=S615</f>
        <v>1</v>
      </c>
    </row>
    <row r="616" spans="1:29" x14ac:dyDescent="0.25">
      <c r="A616" s="53">
        <v>2021</v>
      </c>
      <c r="B616" s="53">
        <v>143</v>
      </c>
      <c r="C616" s="71" t="s">
        <v>708</v>
      </c>
      <c r="D616" t="s">
        <v>709</v>
      </c>
      <c r="E616" s="9">
        <v>12021024</v>
      </c>
      <c r="G616" s="1">
        <v>44470</v>
      </c>
      <c r="H616" t="s">
        <v>1038</v>
      </c>
      <c r="K616" t="b">
        <f>(IF(AND(I616&lt;&gt;"",AND(J616="",ABS(Q616)&gt;400)),TRUE,FALSE))</f>
        <v>0</v>
      </c>
      <c r="L616" s="48">
        <v>14035.92</v>
      </c>
      <c r="M616" s="72">
        <v>1</v>
      </c>
      <c r="N616">
        <v>20</v>
      </c>
      <c r="O616" s="31">
        <f t="shared" si="354"/>
        <v>2807.1840000000002</v>
      </c>
      <c r="P616" s="31">
        <f t="shared" si="355"/>
        <v>2807.1840000000002</v>
      </c>
      <c r="Q616" s="33">
        <f t="shared" si="371"/>
        <v>14035.92</v>
      </c>
      <c r="R616" s="29">
        <f t="shared" si="372"/>
        <v>16843.103999999999</v>
      </c>
      <c r="S616" s="29">
        <f t="shared" si="365"/>
        <v>16843.103999999999</v>
      </c>
      <c r="T616" s="35">
        <f t="shared" si="364"/>
        <v>44607</v>
      </c>
      <c r="U616" s="27"/>
      <c r="V616" s="27"/>
      <c r="W616" s="58">
        <f>IF(K616=TRUE,Q616/I616,Q616)</f>
        <v>14035.92</v>
      </c>
      <c r="X616" s="31">
        <f t="shared" si="373"/>
        <v>0</v>
      </c>
      <c r="Y616" t="b">
        <f t="shared" si="374"/>
        <v>0</v>
      </c>
      <c r="Z616" s="78">
        <f t="shared" si="375"/>
        <v>14035.92</v>
      </c>
      <c r="AB616" t="b">
        <f>L616*1.2=R616</f>
        <v>1</v>
      </c>
      <c r="AC616" t="b">
        <f>L616*1.2=S616</f>
        <v>1</v>
      </c>
    </row>
    <row r="617" spans="1:29" x14ac:dyDescent="0.25">
      <c r="A617" s="53">
        <v>2021</v>
      </c>
      <c r="B617" s="53">
        <v>144</v>
      </c>
      <c r="C617" s="71" t="s">
        <v>105</v>
      </c>
      <c r="D617" t="s">
        <v>705</v>
      </c>
      <c r="E617" s="144" t="s">
        <v>1638</v>
      </c>
      <c r="G617" s="1">
        <v>44473</v>
      </c>
      <c r="H617" t="s">
        <v>1404</v>
      </c>
      <c r="K617" t="b">
        <v>0</v>
      </c>
      <c r="L617" s="145">
        <v>10.4</v>
      </c>
      <c r="M617" s="72">
        <v>1</v>
      </c>
      <c r="N617">
        <v>0</v>
      </c>
      <c r="O617" s="31">
        <f t="shared" si="354"/>
        <v>0</v>
      </c>
      <c r="P617" s="31">
        <f t="shared" si="355"/>
        <v>0</v>
      </c>
      <c r="Q617" s="33">
        <f t="shared" si="371"/>
        <v>10.4</v>
      </c>
      <c r="R617" s="29">
        <f t="shared" si="372"/>
        <v>10.4</v>
      </c>
      <c r="S617" s="29">
        <f>Q617+P617</f>
        <v>10.4</v>
      </c>
      <c r="T617" s="35">
        <f t="shared" si="364"/>
        <v>44607</v>
      </c>
      <c r="U617" s="27"/>
      <c r="V617" s="27">
        <v>20</v>
      </c>
      <c r="W617" s="58">
        <f>IF(K617=TRUE,Q617/I617,Q617)</f>
        <v>10.4</v>
      </c>
      <c r="X617" s="31">
        <f t="shared" si="373"/>
        <v>2.08</v>
      </c>
      <c r="Y617" t="b">
        <f t="shared" si="374"/>
        <v>0</v>
      </c>
      <c r="Z617" s="78">
        <f t="shared" si="375"/>
        <v>-10.4</v>
      </c>
    </row>
    <row r="618" spans="1:29" x14ac:dyDescent="0.25">
      <c r="A618" s="53">
        <v>2021</v>
      </c>
      <c r="B618" s="53">
        <v>145</v>
      </c>
      <c r="C618" s="71" t="s">
        <v>105</v>
      </c>
      <c r="D618" t="s">
        <v>705</v>
      </c>
      <c r="E618" s="9" t="s">
        <v>1584</v>
      </c>
      <c r="G618" s="1">
        <v>44474</v>
      </c>
      <c r="H618" t="s">
        <v>927</v>
      </c>
      <c r="J618" s="76" t="s">
        <v>958</v>
      </c>
      <c r="K618" t="b">
        <f>(IF(AND(I618&lt;&gt;"",AND(J618="",ABS(Q618)&gt;400)),TRUE,FALSE))</f>
        <v>0</v>
      </c>
      <c r="L618" s="48">
        <v>2.4900000000000002</v>
      </c>
      <c r="M618" s="72">
        <v>1</v>
      </c>
      <c r="N618">
        <v>0</v>
      </c>
      <c r="O618" s="31">
        <f t="shared" si="354"/>
        <v>0</v>
      </c>
      <c r="P618" s="31">
        <f t="shared" si="355"/>
        <v>0</v>
      </c>
      <c r="Q618" s="33">
        <f t="shared" si="371"/>
        <v>2.4900000000000002</v>
      </c>
      <c r="R618" s="29">
        <f t="shared" si="372"/>
        <v>2.4900000000000002</v>
      </c>
      <c r="S618" s="29">
        <f>Q618+P618</f>
        <v>2.4900000000000002</v>
      </c>
      <c r="T618" s="35">
        <f t="shared" si="364"/>
        <v>44607</v>
      </c>
      <c r="U618" s="27"/>
      <c r="V618" s="27">
        <v>20</v>
      </c>
      <c r="W618" s="58">
        <f t="shared" ref="W618:W624" si="376">IF(K618=TRUE,Q618/J618,Q618)</f>
        <v>2.4900000000000002</v>
      </c>
      <c r="X618" s="31">
        <f t="shared" si="373"/>
        <v>0.49800000000000005</v>
      </c>
      <c r="Y618" t="b">
        <f t="shared" si="374"/>
        <v>0</v>
      </c>
      <c r="Z618" s="78">
        <f t="shared" si="375"/>
        <v>-2.4900000000000002</v>
      </c>
    </row>
    <row r="619" spans="1:29" x14ac:dyDescent="0.25">
      <c r="A619" s="53">
        <v>2021</v>
      </c>
      <c r="B619" s="53">
        <v>146</v>
      </c>
      <c r="C619" s="71" t="s">
        <v>105</v>
      </c>
      <c r="D619" t="s">
        <v>705</v>
      </c>
      <c r="E619" s="9" t="s">
        <v>1505</v>
      </c>
      <c r="G619" s="1">
        <v>44474</v>
      </c>
      <c r="H619" t="s">
        <v>1364</v>
      </c>
      <c r="K619" t="b">
        <f>(IF(AND(I619&lt;&gt;"",AND(J619="",ABS(Q619)&gt;400)),TRUE,FALSE))</f>
        <v>0</v>
      </c>
      <c r="L619" s="48">
        <v>2.5</v>
      </c>
      <c r="M619" s="72">
        <v>1</v>
      </c>
      <c r="N619">
        <v>20</v>
      </c>
      <c r="O619" s="31">
        <f t="shared" si="354"/>
        <v>0.5</v>
      </c>
      <c r="P619" s="31">
        <f t="shared" si="355"/>
        <v>0.5</v>
      </c>
      <c r="Q619" s="33">
        <f t="shared" si="371"/>
        <v>2.5</v>
      </c>
      <c r="R619" s="29">
        <f t="shared" si="372"/>
        <v>3</v>
      </c>
      <c r="S619" s="29">
        <v>3</v>
      </c>
      <c r="T619" s="35">
        <f t="shared" si="364"/>
        <v>44607</v>
      </c>
      <c r="U619" s="27"/>
      <c r="V619" s="27"/>
      <c r="W619" s="58">
        <f t="shared" si="376"/>
        <v>2.5</v>
      </c>
      <c r="X619" s="31">
        <f t="shared" si="373"/>
        <v>0</v>
      </c>
      <c r="Y619" t="b">
        <f t="shared" si="374"/>
        <v>0</v>
      </c>
      <c r="Z619" s="78">
        <f t="shared" si="375"/>
        <v>-2.5</v>
      </c>
    </row>
    <row r="620" spans="1:29" x14ac:dyDescent="0.25">
      <c r="A620" s="53">
        <v>2021</v>
      </c>
      <c r="B620" s="53">
        <v>147</v>
      </c>
      <c r="C620" s="71" t="s">
        <v>105</v>
      </c>
      <c r="D620" t="s">
        <v>691</v>
      </c>
      <c r="E620" s="9" t="s">
        <v>1566</v>
      </c>
      <c r="G620" s="1">
        <v>44474</v>
      </c>
      <c r="H620" t="s">
        <v>1558</v>
      </c>
      <c r="K620" t="b">
        <v>0</v>
      </c>
      <c r="L620" s="109">
        <v>74</v>
      </c>
      <c r="M620" s="72">
        <v>1</v>
      </c>
      <c r="N620">
        <v>20</v>
      </c>
      <c r="O620" s="31">
        <f t="shared" ref="O620:O651" si="377">L620*N620/100</f>
        <v>14.8</v>
      </c>
      <c r="P620" s="31">
        <f t="shared" ref="P620:P651" si="378">M620*O620</f>
        <v>14.8</v>
      </c>
      <c r="Q620" s="33">
        <f t="shared" ref="Q620:Q646" si="379">L620*M620</f>
        <v>74</v>
      </c>
      <c r="R620" s="29">
        <f t="shared" ref="R620:R646" si="380">L620+O620</f>
        <v>88.8</v>
      </c>
      <c r="S620" s="29">
        <f t="shared" ref="S620:S633" si="381">Q620+P620</f>
        <v>88.8</v>
      </c>
      <c r="T620" s="35">
        <f t="shared" si="364"/>
        <v>44607</v>
      </c>
      <c r="U620" s="27"/>
      <c r="V620" s="27"/>
      <c r="W620" s="58">
        <f t="shared" si="376"/>
        <v>74</v>
      </c>
      <c r="X620" s="31">
        <f t="shared" ref="X620:X646" si="382">V620/100*S620</f>
        <v>0</v>
      </c>
      <c r="Y620" t="b">
        <f t="shared" ref="Y620:Y646" si="383">IF(AND(V620&gt;0,N620=V620),TRUE,FALSE)</f>
        <v>0</v>
      </c>
      <c r="Z620" s="78">
        <f t="shared" ref="Z620:Z646" si="384">IF(C620="Einnahmen",Q620,-Q620)</f>
        <v>-74</v>
      </c>
    </row>
    <row r="621" spans="1:29" x14ac:dyDescent="0.25">
      <c r="A621" s="53">
        <v>2021</v>
      </c>
      <c r="B621" s="53">
        <v>148</v>
      </c>
      <c r="C621" s="71" t="s">
        <v>105</v>
      </c>
      <c r="D621" t="s">
        <v>705</v>
      </c>
      <c r="E621" s="9" t="s">
        <v>1465</v>
      </c>
      <c r="G621" s="1">
        <v>44480</v>
      </c>
      <c r="H621" t="s">
        <v>1466</v>
      </c>
      <c r="K621" t="b">
        <f>(IF(AND(I621&lt;&gt;"",AND(J621="",ABS(Q621)&gt;400)),TRUE,FALSE))</f>
        <v>0</v>
      </c>
      <c r="L621" s="48">
        <v>13</v>
      </c>
      <c r="M621" s="72">
        <v>1</v>
      </c>
      <c r="N621">
        <v>20</v>
      </c>
      <c r="O621" s="31">
        <f t="shared" si="377"/>
        <v>2.6</v>
      </c>
      <c r="P621" s="31">
        <f t="shared" si="378"/>
        <v>2.6</v>
      </c>
      <c r="Q621" s="33">
        <f t="shared" si="379"/>
        <v>13</v>
      </c>
      <c r="R621" s="29">
        <f t="shared" si="380"/>
        <v>15.6</v>
      </c>
      <c r="S621" s="29">
        <f t="shared" si="381"/>
        <v>15.6</v>
      </c>
      <c r="T621" s="35">
        <f t="shared" si="364"/>
        <v>44607</v>
      </c>
      <c r="U621" s="27"/>
      <c r="V621" s="27"/>
      <c r="W621" s="58">
        <f t="shared" si="376"/>
        <v>13</v>
      </c>
      <c r="X621" s="31">
        <f t="shared" si="382"/>
        <v>0</v>
      </c>
      <c r="Y621" t="b">
        <f t="shared" si="383"/>
        <v>0</v>
      </c>
      <c r="Z621" s="78">
        <f t="shared" si="384"/>
        <v>-13</v>
      </c>
    </row>
    <row r="622" spans="1:29" x14ac:dyDescent="0.25">
      <c r="A622" s="53">
        <v>2021</v>
      </c>
      <c r="B622" s="53">
        <v>149</v>
      </c>
      <c r="C622" s="71" t="s">
        <v>105</v>
      </c>
      <c r="D622" t="s">
        <v>689</v>
      </c>
      <c r="E622" s="131" t="s">
        <v>1640</v>
      </c>
      <c r="G622" s="1">
        <v>44480</v>
      </c>
      <c r="H622" t="s">
        <v>974</v>
      </c>
      <c r="K622" t="b">
        <v>0</v>
      </c>
      <c r="L622" s="48">
        <f>4.92/1.2</f>
        <v>4.1000000000000005</v>
      </c>
      <c r="M622" s="72">
        <v>1</v>
      </c>
      <c r="N622">
        <v>20</v>
      </c>
      <c r="O622" s="31">
        <f t="shared" si="377"/>
        <v>0.82000000000000017</v>
      </c>
      <c r="P622" s="31">
        <f t="shared" si="378"/>
        <v>0.82000000000000017</v>
      </c>
      <c r="Q622" s="33">
        <f t="shared" si="379"/>
        <v>4.1000000000000005</v>
      </c>
      <c r="R622" s="29">
        <f t="shared" si="380"/>
        <v>4.9200000000000008</v>
      </c>
      <c r="S622" s="29">
        <f t="shared" si="381"/>
        <v>4.9200000000000008</v>
      </c>
      <c r="T622" s="35">
        <f t="shared" si="364"/>
        <v>44607</v>
      </c>
      <c r="U622" s="27"/>
      <c r="V622" s="27"/>
      <c r="W622" s="58">
        <f t="shared" si="376"/>
        <v>4.1000000000000005</v>
      </c>
      <c r="X622" s="31">
        <f t="shared" si="382"/>
        <v>0</v>
      </c>
      <c r="Y622" t="b">
        <f t="shared" si="383"/>
        <v>0</v>
      </c>
      <c r="Z622" s="78">
        <f t="shared" si="384"/>
        <v>-4.1000000000000005</v>
      </c>
    </row>
    <row r="623" spans="1:29" x14ac:dyDescent="0.25">
      <c r="A623" s="53">
        <v>2021</v>
      </c>
      <c r="B623" s="53">
        <v>150</v>
      </c>
      <c r="C623" s="71" t="s">
        <v>708</v>
      </c>
      <c r="D623" t="s">
        <v>709</v>
      </c>
      <c r="E623" s="9">
        <v>12021026</v>
      </c>
      <c r="G623" s="1">
        <v>44482</v>
      </c>
      <c r="H623" t="s">
        <v>1384</v>
      </c>
      <c r="K623" t="b">
        <f>(IF(AND(I623&lt;&gt;"",AND(J623="",ABS(Q623)&gt;400)),TRUE,FALSE))</f>
        <v>0</v>
      </c>
      <c r="L623" s="48">
        <v>1620</v>
      </c>
      <c r="M623" s="72">
        <v>1</v>
      </c>
      <c r="N623">
        <v>20</v>
      </c>
      <c r="O623" s="31">
        <f t="shared" si="377"/>
        <v>324</v>
      </c>
      <c r="P623" s="31">
        <f t="shared" si="378"/>
        <v>324</v>
      </c>
      <c r="Q623" s="33">
        <f t="shared" si="379"/>
        <v>1620</v>
      </c>
      <c r="R623" s="29">
        <f t="shared" si="380"/>
        <v>1944</v>
      </c>
      <c r="S623" s="29">
        <f t="shared" si="381"/>
        <v>1944</v>
      </c>
      <c r="T623" s="35">
        <f t="shared" si="364"/>
        <v>44607</v>
      </c>
      <c r="U623" s="27"/>
      <c r="V623" s="27"/>
      <c r="W623" s="58">
        <f t="shared" si="376"/>
        <v>1620</v>
      </c>
      <c r="X623" s="31">
        <f t="shared" si="382"/>
        <v>0</v>
      </c>
      <c r="Y623" t="b">
        <f t="shared" si="383"/>
        <v>0</v>
      </c>
      <c r="Z623" s="78">
        <f t="shared" si="384"/>
        <v>1620</v>
      </c>
      <c r="AB623" t="b">
        <f>L623*1.2=R623</f>
        <v>1</v>
      </c>
      <c r="AC623" t="b">
        <f>L623*1.2=S623</f>
        <v>1</v>
      </c>
    </row>
    <row r="624" spans="1:29" x14ac:dyDescent="0.25">
      <c r="A624" s="53">
        <v>2021</v>
      </c>
      <c r="B624" s="53">
        <v>151</v>
      </c>
      <c r="C624" s="71" t="s">
        <v>105</v>
      </c>
      <c r="D624" t="s">
        <v>705</v>
      </c>
      <c r="E624" s="9" t="s">
        <v>1585</v>
      </c>
      <c r="G624" s="1">
        <v>44482</v>
      </c>
      <c r="H624" t="s">
        <v>927</v>
      </c>
      <c r="K624" t="b">
        <f>(IF(AND(I624&lt;&gt;"",AND(J624="",ABS(Q624)&gt;400)),TRUE,FALSE))</f>
        <v>0</v>
      </c>
      <c r="L624" s="48">
        <v>46.916800000000002</v>
      </c>
      <c r="M624" s="72">
        <v>1</v>
      </c>
      <c r="N624">
        <v>0</v>
      </c>
      <c r="O624" s="31">
        <f t="shared" si="377"/>
        <v>0</v>
      </c>
      <c r="P624" s="31">
        <f t="shared" si="378"/>
        <v>0</v>
      </c>
      <c r="Q624" s="33">
        <f t="shared" si="379"/>
        <v>46.916800000000002</v>
      </c>
      <c r="R624" s="29">
        <f t="shared" si="380"/>
        <v>46.916800000000002</v>
      </c>
      <c r="S624" s="29">
        <f t="shared" si="381"/>
        <v>46.916800000000002</v>
      </c>
      <c r="T624" s="35">
        <f t="shared" si="364"/>
        <v>44607</v>
      </c>
      <c r="U624" s="27"/>
      <c r="V624" s="27">
        <v>20</v>
      </c>
      <c r="W624" s="58">
        <f t="shared" si="376"/>
        <v>46.916800000000002</v>
      </c>
      <c r="X624" s="31">
        <f t="shared" si="382"/>
        <v>9.3833600000000015</v>
      </c>
      <c r="Y624" t="b">
        <f t="shared" si="383"/>
        <v>0</v>
      </c>
      <c r="Z624" s="78">
        <f t="shared" si="384"/>
        <v>-46.916800000000002</v>
      </c>
    </row>
    <row r="625" spans="1:26" x14ac:dyDescent="0.25">
      <c r="A625" s="53">
        <v>2021</v>
      </c>
      <c r="B625" s="53">
        <v>152</v>
      </c>
      <c r="C625" s="71" t="s">
        <v>105</v>
      </c>
      <c r="D625" t="s">
        <v>692</v>
      </c>
      <c r="E625" s="9" t="s">
        <v>1591</v>
      </c>
      <c r="G625" s="1">
        <v>44490</v>
      </c>
      <c r="H625" t="s">
        <v>1592</v>
      </c>
      <c r="J625" s="76" t="s">
        <v>958</v>
      </c>
      <c r="K625" t="b">
        <v>0</v>
      </c>
      <c r="L625" s="48">
        <v>92.11</v>
      </c>
      <c r="M625" s="72">
        <v>1</v>
      </c>
      <c r="N625">
        <v>0</v>
      </c>
      <c r="O625" s="31">
        <f t="shared" si="377"/>
        <v>0</v>
      </c>
      <c r="P625" s="31">
        <f t="shared" si="378"/>
        <v>0</v>
      </c>
      <c r="Q625" s="33">
        <f t="shared" si="379"/>
        <v>92.11</v>
      </c>
      <c r="R625" s="29">
        <f t="shared" si="380"/>
        <v>92.11</v>
      </c>
      <c r="S625" s="29">
        <f t="shared" si="381"/>
        <v>92.11</v>
      </c>
      <c r="T625" s="35">
        <f t="shared" si="364"/>
        <v>44607</v>
      </c>
      <c r="U625" s="27"/>
      <c r="V625" s="27"/>
      <c r="W625" s="58">
        <f>IF(K625=TRUE,Q625/J625,Q625)</f>
        <v>92.11</v>
      </c>
      <c r="X625" s="31">
        <f t="shared" si="382"/>
        <v>0</v>
      </c>
      <c r="Y625" t="b">
        <f t="shared" si="383"/>
        <v>0</v>
      </c>
      <c r="Z625" s="78">
        <f t="shared" si="384"/>
        <v>-92.11</v>
      </c>
    </row>
    <row r="626" spans="1:26" x14ac:dyDescent="0.25">
      <c r="A626" s="53">
        <v>2021</v>
      </c>
      <c r="B626" s="53">
        <v>153</v>
      </c>
      <c r="C626" s="71" t="s">
        <v>105</v>
      </c>
      <c r="D626" t="s">
        <v>703</v>
      </c>
      <c r="E626" s="131" t="s">
        <v>1593</v>
      </c>
      <c r="G626" s="1">
        <v>44490</v>
      </c>
      <c r="H626" t="s">
        <v>1148</v>
      </c>
      <c r="K626" t="b">
        <f>(IF(AND(I626&lt;&gt;"",AND(J626="",ABS(Q626)&gt;400)),TRUE,FALSE))</f>
        <v>0</v>
      </c>
      <c r="L626" s="48">
        <v>31.92</v>
      </c>
      <c r="M626" s="72">
        <v>1</v>
      </c>
      <c r="N626">
        <v>20</v>
      </c>
      <c r="O626" s="31">
        <f t="shared" si="377"/>
        <v>6.3840000000000012</v>
      </c>
      <c r="P626" s="31">
        <f t="shared" si="378"/>
        <v>6.3840000000000012</v>
      </c>
      <c r="Q626" s="33">
        <f t="shared" si="379"/>
        <v>31.92</v>
      </c>
      <c r="R626" s="29">
        <f t="shared" si="380"/>
        <v>38.304000000000002</v>
      </c>
      <c r="S626" s="29">
        <f t="shared" si="381"/>
        <v>38.304000000000002</v>
      </c>
      <c r="T626" s="35">
        <f t="shared" si="364"/>
        <v>44607</v>
      </c>
      <c r="U626" s="27"/>
      <c r="V626" s="27"/>
      <c r="W626" s="58">
        <f>IF(K626=TRUE,Q626/I626,Q626)</f>
        <v>31.92</v>
      </c>
      <c r="X626" s="31">
        <f t="shared" si="382"/>
        <v>0</v>
      </c>
      <c r="Y626" t="b">
        <f t="shared" si="383"/>
        <v>0</v>
      </c>
      <c r="Z626" s="78">
        <f t="shared" si="384"/>
        <v>-31.92</v>
      </c>
    </row>
    <row r="627" spans="1:26" x14ac:dyDescent="0.25">
      <c r="A627" s="53">
        <v>2021</v>
      </c>
      <c r="B627" s="53">
        <v>154</v>
      </c>
      <c r="C627" s="71" t="s">
        <v>105</v>
      </c>
      <c r="D627" t="s">
        <v>689</v>
      </c>
      <c r="E627" s="131" t="s">
        <v>1594</v>
      </c>
      <c r="G627" s="1">
        <v>44494</v>
      </c>
      <c r="H627" t="s">
        <v>974</v>
      </c>
      <c r="K627" t="b">
        <v>0</v>
      </c>
      <c r="L627" s="48">
        <v>1.81</v>
      </c>
      <c r="M627" s="72">
        <v>1</v>
      </c>
      <c r="N627">
        <v>20</v>
      </c>
      <c r="O627" s="31">
        <f t="shared" si="377"/>
        <v>0.36200000000000004</v>
      </c>
      <c r="P627" s="31">
        <f t="shared" si="378"/>
        <v>0.36200000000000004</v>
      </c>
      <c r="Q627" s="33">
        <f t="shared" si="379"/>
        <v>1.81</v>
      </c>
      <c r="R627" s="29">
        <f t="shared" si="380"/>
        <v>2.1720000000000002</v>
      </c>
      <c r="S627" s="29">
        <f t="shared" si="381"/>
        <v>2.1720000000000002</v>
      </c>
      <c r="T627" s="35">
        <f t="shared" si="364"/>
        <v>44607</v>
      </c>
      <c r="U627" s="27"/>
      <c r="V627" s="27"/>
      <c r="W627" s="58">
        <f>IF(K627=TRUE,Q627/J627,Q627)</f>
        <v>1.81</v>
      </c>
      <c r="X627" s="31">
        <f t="shared" si="382"/>
        <v>0</v>
      </c>
      <c r="Y627" t="b">
        <f t="shared" si="383"/>
        <v>0</v>
      </c>
      <c r="Z627" s="78">
        <f t="shared" si="384"/>
        <v>-1.81</v>
      </c>
    </row>
    <row r="628" spans="1:26" x14ac:dyDescent="0.25">
      <c r="A628" s="53">
        <v>2021</v>
      </c>
      <c r="B628" s="53">
        <v>155</v>
      </c>
      <c r="C628" s="71" t="s">
        <v>105</v>
      </c>
      <c r="D628" t="s">
        <v>692</v>
      </c>
      <c r="E628" s="9" t="s">
        <v>1596</v>
      </c>
      <c r="G628" s="1">
        <v>44496</v>
      </c>
      <c r="H628" t="s">
        <v>1595</v>
      </c>
      <c r="K628" t="b">
        <v>0</v>
      </c>
      <c r="L628" s="48">
        <v>20.28</v>
      </c>
      <c r="M628" s="72">
        <v>1</v>
      </c>
      <c r="N628">
        <v>0</v>
      </c>
      <c r="O628" s="31">
        <f t="shared" si="377"/>
        <v>0</v>
      </c>
      <c r="P628" s="31">
        <f t="shared" si="378"/>
        <v>0</v>
      </c>
      <c r="Q628" s="33">
        <f t="shared" si="379"/>
        <v>20.28</v>
      </c>
      <c r="R628" s="29">
        <f t="shared" si="380"/>
        <v>20.28</v>
      </c>
      <c r="S628" s="29">
        <f t="shared" si="381"/>
        <v>20.28</v>
      </c>
      <c r="T628" s="35">
        <f t="shared" si="364"/>
        <v>44607</v>
      </c>
      <c r="U628" s="27"/>
      <c r="V628" s="27">
        <v>20</v>
      </c>
      <c r="W628" s="58">
        <f>IF(K628=TRUE,Q628/J628,Q628)</f>
        <v>20.28</v>
      </c>
      <c r="X628" s="31">
        <f t="shared" si="382"/>
        <v>4.056</v>
      </c>
      <c r="Y628" t="b">
        <f t="shared" si="383"/>
        <v>0</v>
      </c>
      <c r="Z628" s="78">
        <f t="shared" si="384"/>
        <v>-20.28</v>
      </c>
    </row>
    <row r="629" spans="1:26" x14ac:dyDescent="0.25">
      <c r="A629" s="53">
        <v>2021</v>
      </c>
      <c r="B629" s="53">
        <v>156</v>
      </c>
      <c r="C629" s="71" t="s">
        <v>105</v>
      </c>
      <c r="D629" t="s">
        <v>705</v>
      </c>
      <c r="E629" s="9" t="s">
        <v>1597</v>
      </c>
      <c r="G629" s="1">
        <v>44502</v>
      </c>
      <c r="H629" t="s">
        <v>1404</v>
      </c>
      <c r="K629" t="b">
        <v>0</v>
      </c>
      <c r="L629" s="109">
        <v>10.4</v>
      </c>
      <c r="M629" s="72">
        <v>1</v>
      </c>
      <c r="N629">
        <v>0</v>
      </c>
      <c r="O629" s="31">
        <f t="shared" si="377"/>
        <v>0</v>
      </c>
      <c r="P629" s="31">
        <f t="shared" si="378"/>
        <v>0</v>
      </c>
      <c r="Q629" s="33">
        <f t="shared" si="379"/>
        <v>10.4</v>
      </c>
      <c r="R629" s="29">
        <f t="shared" si="380"/>
        <v>10.4</v>
      </c>
      <c r="S629" s="29">
        <f t="shared" si="381"/>
        <v>10.4</v>
      </c>
      <c r="T629" s="35">
        <f t="shared" si="364"/>
        <v>44607</v>
      </c>
      <c r="U629" s="27"/>
      <c r="V629" s="27">
        <v>20</v>
      </c>
      <c r="W629" s="58">
        <f>IF(K629=TRUE,Q629/I629,Q629)</f>
        <v>10.4</v>
      </c>
      <c r="X629" s="31">
        <f t="shared" si="382"/>
        <v>2.08</v>
      </c>
      <c r="Y629" t="b">
        <f t="shared" si="383"/>
        <v>0</v>
      </c>
      <c r="Z629" s="78">
        <f t="shared" si="384"/>
        <v>-10.4</v>
      </c>
    </row>
    <row r="630" spans="1:26" x14ac:dyDescent="0.25">
      <c r="A630" s="53">
        <v>2021</v>
      </c>
      <c r="B630" s="53">
        <v>157</v>
      </c>
      <c r="C630" s="71" t="s">
        <v>105</v>
      </c>
      <c r="D630" t="s">
        <v>691</v>
      </c>
      <c r="E630" s="9" t="s">
        <v>1598</v>
      </c>
      <c r="G630" s="1">
        <v>44502</v>
      </c>
      <c r="H630" t="s">
        <v>1113</v>
      </c>
      <c r="K630" t="b">
        <v>0</v>
      </c>
      <c r="L630" s="109">
        <f>564.56/1.2</f>
        <v>470.46666666666664</v>
      </c>
      <c r="M630" s="72">
        <v>1</v>
      </c>
      <c r="N630">
        <v>20</v>
      </c>
      <c r="O630" s="31">
        <f t="shared" si="377"/>
        <v>94.09333333333332</v>
      </c>
      <c r="P630" s="31">
        <f t="shared" si="378"/>
        <v>94.09333333333332</v>
      </c>
      <c r="Q630" s="33">
        <f t="shared" si="379"/>
        <v>470.46666666666664</v>
      </c>
      <c r="R630" s="29">
        <f t="shared" si="380"/>
        <v>564.55999999999995</v>
      </c>
      <c r="S630" s="29">
        <f t="shared" si="381"/>
        <v>564.55999999999995</v>
      </c>
      <c r="T630" s="35">
        <f t="shared" si="364"/>
        <v>44607</v>
      </c>
      <c r="U630" s="27"/>
      <c r="V630" s="27"/>
      <c r="W630" s="58">
        <f>IF(K630=TRUE,Q630/J630,Q630)</f>
        <v>470.46666666666664</v>
      </c>
      <c r="X630" s="31">
        <f t="shared" si="382"/>
        <v>0</v>
      </c>
      <c r="Y630" t="b">
        <f t="shared" si="383"/>
        <v>0</v>
      </c>
      <c r="Z630" s="78">
        <f t="shared" si="384"/>
        <v>-470.46666666666664</v>
      </c>
    </row>
    <row r="631" spans="1:26" x14ac:dyDescent="0.25">
      <c r="A631" s="53">
        <v>2021</v>
      </c>
      <c r="B631" s="53">
        <v>158</v>
      </c>
      <c r="C631" s="71" t="s">
        <v>105</v>
      </c>
      <c r="D631" t="s">
        <v>703</v>
      </c>
      <c r="E631" s="9" t="s">
        <v>1599</v>
      </c>
      <c r="G631" s="1">
        <v>44502</v>
      </c>
      <c r="H631" t="s">
        <v>34</v>
      </c>
      <c r="K631" t="b">
        <f>(IF(AND(I631&lt;&gt;"",AND(J631="",ABS(Q631)&gt;400)),TRUE,FALSE))</f>
        <v>0</v>
      </c>
      <c r="L631" s="48">
        <v>15</v>
      </c>
      <c r="M631" s="72">
        <v>1</v>
      </c>
      <c r="N631">
        <v>20</v>
      </c>
      <c r="O631" s="31">
        <f t="shared" si="377"/>
        <v>3</v>
      </c>
      <c r="P631" s="31">
        <f t="shared" si="378"/>
        <v>3</v>
      </c>
      <c r="Q631" s="33">
        <f t="shared" si="379"/>
        <v>15</v>
      </c>
      <c r="R631" s="29">
        <f t="shared" si="380"/>
        <v>18</v>
      </c>
      <c r="S631" s="29">
        <f t="shared" si="381"/>
        <v>18</v>
      </c>
      <c r="T631" s="35">
        <f t="shared" si="364"/>
        <v>44607</v>
      </c>
      <c r="U631" s="27"/>
      <c r="V631" s="27"/>
      <c r="W631" s="58">
        <f>IF(K631=TRUE,Q631/I631,Q631)</f>
        <v>15</v>
      </c>
      <c r="X631" s="31">
        <f t="shared" si="382"/>
        <v>0</v>
      </c>
      <c r="Y631" t="b">
        <f t="shared" si="383"/>
        <v>0</v>
      </c>
      <c r="Z631" s="78">
        <f t="shared" si="384"/>
        <v>-15</v>
      </c>
    </row>
    <row r="632" spans="1:26" x14ac:dyDescent="0.25">
      <c r="A632" s="53">
        <v>2021</v>
      </c>
      <c r="B632" s="53">
        <v>159</v>
      </c>
      <c r="C632" s="71" t="s">
        <v>105</v>
      </c>
      <c r="D632" t="s">
        <v>689</v>
      </c>
      <c r="E632" s="131" t="s">
        <v>1600</v>
      </c>
      <c r="G632" s="1">
        <v>44502</v>
      </c>
      <c r="H632" t="s">
        <v>974</v>
      </c>
      <c r="K632" t="b">
        <v>0</v>
      </c>
      <c r="L632" s="48">
        <v>3.62</v>
      </c>
      <c r="M632" s="72">
        <v>1</v>
      </c>
      <c r="N632">
        <v>20</v>
      </c>
      <c r="O632" s="31">
        <f t="shared" si="377"/>
        <v>0.72400000000000009</v>
      </c>
      <c r="P632" s="31">
        <f t="shared" si="378"/>
        <v>0.72400000000000009</v>
      </c>
      <c r="Q632" s="33">
        <f t="shared" si="379"/>
        <v>3.62</v>
      </c>
      <c r="R632" s="29">
        <f t="shared" si="380"/>
        <v>4.3440000000000003</v>
      </c>
      <c r="S632" s="29">
        <f t="shared" si="381"/>
        <v>4.3440000000000003</v>
      </c>
      <c r="T632" s="35">
        <f t="shared" si="364"/>
        <v>44607</v>
      </c>
      <c r="U632" s="27"/>
      <c r="V632" s="27"/>
      <c r="W632" s="58">
        <f t="shared" ref="W632:W642" si="385">IF(K632=TRUE,Q632/J632,Q632)</f>
        <v>3.62</v>
      </c>
      <c r="X632" s="31">
        <f t="shared" si="382"/>
        <v>0</v>
      </c>
      <c r="Y632" t="b">
        <f t="shared" si="383"/>
        <v>0</v>
      </c>
      <c r="Z632" s="78">
        <f t="shared" si="384"/>
        <v>-3.62</v>
      </c>
    </row>
    <row r="633" spans="1:26" x14ac:dyDescent="0.25">
      <c r="A633" s="53">
        <v>2021</v>
      </c>
      <c r="B633" s="53">
        <v>160</v>
      </c>
      <c r="C633" s="71" t="s">
        <v>105</v>
      </c>
      <c r="D633" t="s">
        <v>689</v>
      </c>
      <c r="E633" s="131" t="s">
        <v>1601</v>
      </c>
      <c r="G633" s="1">
        <v>44503</v>
      </c>
      <c r="H633" t="s">
        <v>974</v>
      </c>
      <c r="K633" t="b">
        <v>0</v>
      </c>
      <c r="L633" s="48">
        <v>2.7</v>
      </c>
      <c r="M633" s="72">
        <v>1</v>
      </c>
      <c r="N633">
        <v>20</v>
      </c>
      <c r="O633" s="31">
        <f t="shared" si="377"/>
        <v>0.54</v>
      </c>
      <c r="P633" s="31">
        <f t="shared" si="378"/>
        <v>0.54</v>
      </c>
      <c r="Q633" s="33">
        <f t="shared" si="379"/>
        <v>2.7</v>
      </c>
      <c r="R633" s="29">
        <f t="shared" si="380"/>
        <v>3.24</v>
      </c>
      <c r="S633" s="29">
        <f t="shared" si="381"/>
        <v>3.24</v>
      </c>
      <c r="T633" s="35">
        <f t="shared" si="364"/>
        <v>44607</v>
      </c>
      <c r="U633" s="27"/>
      <c r="V633" s="27"/>
      <c r="W633" s="58">
        <f t="shared" si="385"/>
        <v>2.7</v>
      </c>
      <c r="X633" s="31">
        <f t="shared" si="382"/>
        <v>0</v>
      </c>
      <c r="Y633" t="b">
        <f t="shared" si="383"/>
        <v>0</v>
      </c>
      <c r="Z633" s="78">
        <f t="shared" si="384"/>
        <v>-2.7</v>
      </c>
    </row>
    <row r="634" spans="1:26" x14ac:dyDescent="0.25">
      <c r="A634" s="53">
        <v>2021</v>
      </c>
      <c r="B634" s="53">
        <v>161</v>
      </c>
      <c r="C634" s="71" t="s">
        <v>105</v>
      </c>
      <c r="D634" t="s">
        <v>705</v>
      </c>
      <c r="E634" s="9" t="s">
        <v>1505</v>
      </c>
      <c r="G634" s="1">
        <v>44504</v>
      </c>
      <c r="H634" t="s">
        <v>1364</v>
      </c>
      <c r="K634" t="b">
        <f>(IF(AND(I634&lt;&gt;"",AND(J634="",ABS(Q634)&gt;400)),TRUE,FALSE))</f>
        <v>0</v>
      </c>
      <c r="L634" s="48">
        <v>2.5</v>
      </c>
      <c r="M634" s="72">
        <v>1</v>
      </c>
      <c r="N634">
        <v>20</v>
      </c>
      <c r="O634" s="31">
        <f t="shared" si="377"/>
        <v>0.5</v>
      </c>
      <c r="P634" s="31">
        <f t="shared" si="378"/>
        <v>0.5</v>
      </c>
      <c r="Q634" s="33">
        <f t="shared" si="379"/>
        <v>2.5</v>
      </c>
      <c r="R634" s="29">
        <f t="shared" si="380"/>
        <v>3</v>
      </c>
      <c r="S634" s="29">
        <v>3</v>
      </c>
      <c r="T634" s="35">
        <f t="shared" si="364"/>
        <v>44607</v>
      </c>
      <c r="U634" s="27"/>
      <c r="V634" s="27"/>
      <c r="W634" s="58">
        <f t="shared" si="385"/>
        <v>2.5</v>
      </c>
      <c r="X634" s="31">
        <f t="shared" si="382"/>
        <v>0</v>
      </c>
      <c r="Y634" t="b">
        <f t="shared" si="383"/>
        <v>0</v>
      </c>
      <c r="Z634" s="78">
        <f t="shared" si="384"/>
        <v>-2.5</v>
      </c>
    </row>
    <row r="635" spans="1:26" x14ac:dyDescent="0.25">
      <c r="A635" s="53">
        <v>2021</v>
      </c>
      <c r="B635" s="53">
        <v>162</v>
      </c>
      <c r="C635" s="71" t="s">
        <v>105</v>
      </c>
      <c r="D635" t="s">
        <v>691</v>
      </c>
      <c r="E635" s="9" t="s">
        <v>1566</v>
      </c>
      <c r="G635" s="1">
        <v>44505</v>
      </c>
      <c r="H635" t="s">
        <v>1558</v>
      </c>
      <c r="K635" t="b">
        <v>0</v>
      </c>
      <c r="L635" s="109">
        <v>74</v>
      </c>
      <c r="M635" s="72">
        <v>1</v>
      </c>
      <c r="N635">
        <v>20</v>
      </c>
      <c r="O635" s="31">
        <f t="shared" si="377"/>
        <v>14.8</v>
      </c>
      <c r="P635" s="31">
        <f t="shared" si="378"/>
        <v>14.8</v>
      </c>
      <c r="Q635" s="33">
        <f t="shared" si="379"/>
        <v>74</v>
      </c>
      <c r="R635" s="29">
        <f t="shared" si="380"/>
        <v>88.8</v>
      </c>
      <c r="S635" s="29">
        <f>Q635+P635</f>
        <v>88.8</v>
      </c>
      <c r="T635" s="35">
        <f t="shared" si="364"/>
        <v>44607</v>
      </c>
      <c r="U635" s="27"/>
      <c r="V635" s="27"/>
      <c r="W635" s="58">
        <f t="shared" si="385"/>
        <v>74</v>
      </c>
      <c r="X635" s="31">
        <f t="shared" si="382"/>
        <v>0</v>
      </c>
      <c r="Y635" t="b">
        <f t="shared" si="383"/>
        <v>0</v>
      </c>
      <c r="Z635" s="78">
        <f t="shared" si="384"/>
        <v>-74</v>
      </c>
    </row>
    <row r="636" spans="1:26" x14ac:dyDescent="0.25">
      <c r="A636" s="53">
        <v>2021</v>
      </c>
      <c r="B636" s="53">
        <v>163</v>
      </c>
      <c r="C636" s="71" t="s">
        <v>105</v>
      </c>
      <c r="D636" t="s">
        <v>689</v>
      </c>
      <c r="E636" s="131" t="s">
        <v>1602</v>
      </c>
      <c r="G636" s="1">
        <v>44505</v>
      </c>
      <c r="H636" t="s">
        <v>974</v>
      </c>
      <c r="K636" t="b">
        <v>0</v>
      </c>
      <c r="L636" s="48">
        <v>3.36</v>
      </c>
      <c r="M636" s="72">
        <v>1</v>
      </c>
      <c r="N636">
        <v>20</v>
      </c>
      <c r="O636" s="31">
        <f t="shared" si="377"/>
        <v>0.67200000000000004</v>
      </c>
      <c r="P636" s="31">
        <f t="shared" si="378"/>
        <v>0.67200000000000004</v>
      </c>
      <c r="Q636" s="33">
        <f t="shared" si="379"/>
        <v>3.36</v>
      </c>
      <c r="R636" s="29">
        <f t="shared" si="380"/>
        <v>4.032</v>
      </c>
      <c r="S636" s="29">
        <f>Q636+P636</f>
        <v>4.032</v>
      </c>
      <c r="T636" s="35">
        <f t="shared" si="364"/>
        <v>44607</v>
      </c>
      <c r="U636" s="27"/>
      <c r="V636" s="27"/>
      <c r="W636" s="58">
        <f t="shared" si="385"/>
        <v>3.36</v>
      </c>
      <c r="X636" s="31">
        <f t="shared" si="382"/>
        <v>0</v>
      </c>
      <c r="Y636" t="b">
        <f t="shared" si="383"/>
        <v>0</v>
      </c>
      <c r="Z636" s="78">
        <f t="shared" si="384"/>
        <v>-3.36</v>
      </c>
    </row>
    <row r="637" spans="1:26" x14ac:dyDescent="0.25">
      <c r="A637" s="53">
        <v>2021</v>
      </c>
      <c r="B637" s="53">
        <v>164</v>
      </c>
      <c r="C637" s="71" t="s">
        <v>105</v>
      </c>
      <c r="D637" t="s">
        <v>705</v>
      </c>
      <c r="E637" s="6" t="s">
        <v>1603</v>
      </c>
      <c r="G637" s="1">
        <v>44508</v>
      </c>
      <c r="H637" t="s">
        <v>927</v>
      </c>
      <c r="J637" s="76" t="s">
        <v>958</v>
      </c>
      <c r="K637" t="b">
        <f>(IF(AND(I637&lt;&gt;"",AND(J637="",ABS(Q637)&gt;400)),TRUE,FALSE))</f>
        <v>0</v>
      </c>
      <c r="L637" s="48">
        <v>2.4900000000000002</v>
      </c>
      <c r="M637" s="72">
        <v>1</v>
      </c>
      <c r="N637">
        <v>0</v>
      </c>
      <c r="O637" s="31">
        <f t="shared" si="377"/>
        <v>0</v>
      </c>
      <c r="P637" s="31">
        <f t="shared" si="378"/>
        <v>0</v>
      </c>
      <c r="Q637" s="33">
        <f t="shared" si="379"/>
        <v>2.4900000000000002</v>
      </c>
      <c r="R637" s="29">
        <f t="shared" si="380"/>
        <v>2.4900000000000002</v>
      </c>
      <c r="S637" s="29">
        <f>Q637+P637</f>
        <v>2.4900000000000002</v>
      </c>
      <c r="T637" s="35">
        <f t="shared" si="364"/>
        <v>44607</v>
      </c>
      <c r="U637" s="27"/>
      <c r="V637" s="27">
        <v>20</v>
      </c>
      <c r="W637" s="58">
        <f t="shared" si="385"/>
        <v>2.4900000000000002</v>
      </c>
      <c r="X637" s="31">
        <f t="shared" si="382"/>
        <v>0.49800000000000005</v>
      </c>
      <c r="Y637" t="b">
        <f t="shared" si="383"/>
        <v>0</v>
      </c>
      <c r="Z637" s="78">
        <f t="shared" si="384"/>
        <v>-2.4900000000000002</v>
      </c>
    </row>
    <row r="638" spans="1:26" x14ac:dyDescent="0.25">
      <c r="A638" s="53">
        <v>2021</v>
      </c>
      <c r="B638" s="53">
        <v>165</v>
      </c>
      <c r="C638" s="71" t="s">
        <v>105</v>
      </c>
      <c r="D638" t="s">
        <v>705</v>
      </c>
      <c r="E638" s="9" t="s">
        <v>1465</v>
      </c>
      <c r="G638" s="1">
        <v>44510</v>
      </c>
      <c r="H638" t="s">
        <v>1466</v>
      </c>
      <c r="K638" t="b">
        <f>(IF(AND(I638&lt;&gt;"",AND(J638="",ABS(Q638)&gt;400)),TRUE,FALSE))</f>
        <v>0</v>
      </c>
      <c r="L638" s="48">
        <v>13</v>
      </c>
      <c r="M638" s="72">
        <v>1</v>
      </c>
      <c r="N638">
        <v>20</v>
      </c>
      <c r="O638" s="31">
        <f t="shared" si="377"/>
        <v>2.6</v>
      </c>
      <c r="P638" s="31">
        <f t="shared" si="378"/>
        <v>2.6</v>
      </c>
      <c r="Q638" s="33">
        <f t="shared" si="379"/>
        <v>13</v>
      </c>
      <c r="R638" s="29">
        <f t="shared" si="380"/>
        <v>15.6</v>
      </c>
      <c r="S638" s="29">
        <f>Q638+P638</f>
        <v>15.6</v>
      </c>
      <c r="T638" s="35">
        <f t="shared" si="364"/>
        <v>44607</v>
      </c>
      <c r="U638" s="27"/>
      <c r="V638" s="27"/>
      <c r="W638" s="58">
        <f t="shared" si="385"/>
        <v>13</v>
      </c>
      <c r="X638" s="31">
        <f t="shared" si="382"/>
        <v>0</v>
      </c>
      <c r="Y638" t="b">
        <f t="shared" si="383"/>
        <v>0</v>
      </c>
      <c r="Z638" s="78">
        <f t="shared" si="384"/>
        <v>-13</v>
      </c>
    </row>
    <row r="639" spans="1:26" x14ac:dyDescent="0.25">
      <c r="A639" s="53">
        <v>2021</v>
      </c>
      <c r="B639" s="53">
        <v>166</v>
      </c>
      <c r="C639" s="71" t="s">
        <v>105</v>
      </c>
      <c r="D639" t="s">
        <v>705</v>
      </c>
      <c r="E639" s="9" t="s">
        <v>1604</v>
      </c>
      <c r="G639" s="1">
        <v>44511</v>
      </c>
      <c r="H639" t="s">
        <v>927</v>
      </c>
      <c r="K639" t="b">
        <f>(IF(AND(I639&lt;&gt;"",AND(J639="",ABS(Q639)&gt;400)),TRUE,FALSE))</f>
        <v>0</v>
      </c>
      <c r="L639" s="48">
        <v>46.916800000000002</v>
      </c>
      <c r="M639" s="72">
        <v>1</v>
      </c>
      <c r="N639">
        <v>0</v>
      </c>
      <c r="O639" s="31">
        <f t="shared" si="377"/>
        <v>0</v>
      </c>
      <c r="P639" s="31">
        <f t="shared" si="378"/>
        <v>0</v>
      </c>
      <c r="Q639" s="33">
        <f t="shared" si="379"/>
        <v>46.916800000000002</v>
      </c>
      <c r="R639" s="29">
        <f t="shared" si="380"/>
        <v>46.916800000000002</v>
      </c>
      <c r="S639" s="29">
        <f>Q639+P639</f>
        <v>46.916800000000002</v>
      </c>
      <c r="T639" s="35">
        <f t="shared" si="364"/>
        <v>44607</v>
      </c>
      <c r="U639" s="27"/>
      <c r="V639" s="27">
        <v>20</v>
      </c>
      <c r="W639" s="58">
        <f t="shared" si="385"/>
        <v>46.916800000000002</v>
      </c>
      <c r="X639" s="31">
        <f t="shared" si="382"/>
        <v>9.3833600000000015</v>
      </c>
      <c r="Y639" t="b">
        <f t="shared" si="383"/>
        <v>0</v>
      </c>
      <c r="Z639" s="78">
        <f t="shared" si="384"/>
        <v>-46.916800000000002</v>
      </c>
    </row>
    <row r="640" spans="1:26" x14ac:dyDescent="0.25">
      <c r="A640" s="53">
        <v>2021</v>
      </c>
      <c r="B640" s="53">
        <v>167</v>
      </c>
      <c r="C640" s="71" t="s">
        <v>105</v>
      </c>
      <c r="D640" t="s">
        <v>704</v>
      </c>
      <c r="E640" s="9" t="s">
        <v>1605</v>
      </c>
      <c r="G640" s="1">
        <v>44515</v>
      </c>
      <c r="H640" t="s">
        <v>1606</v>
      </c>
      <c r="K640" t="b">
        <f>(IF(AND(I640&lt;&gt;"",AND(J640="",ABS(Q640)&gt;400)),TRUE,FALSE))</f>
        <v>0</v>
      </c>
      <c r="L640" s="48">
        <v>10.7</v>
      </c>
      <c r="M640" s="72">
        <v>1</v>
      </c>
      <c r="N640">
        <v>0</v>
      </c>
      <c r="O640" s="31">
        <f t="shared" si="377"/>
        <v>0</v>
      </c>
      <c r="P640" s="31">
        <f t="shared" si="378"/>
        <v>0</v>
      </c>
      <c r="Q640" s="33">
        <f t="shared" si="379"/>
        <v>10.7</v>
      </c>
      <c r="R640" s="29">
        <f t="shared" si="380"/>
        <v>10.7</v>
      </c>
      <c r="S640" s="29">
        <f t="shared" ref="S640:S645" si="386">Q640+P640</f>
        <v>10.7</v>
      </c>
      <c r="T640" s="35">
        <f t="shared" si="364"/>
        <v>44607</v>
      </c>
      <c r="U640" s="27"/>
      <c r="V640" s="27"/>
      <c r="W640" s="58">
        <f t="shared" si="385"/>
        <v>10.7</v>
      </c>
      <c r="X640" s="31">
        <f t="shared" si="382"/>
        <v>0</v>
      </c>
      <c r="Y640" t="b">
        <f t="shared" si="383"/>
        <v>0</v>
      </c>
      <c r="Z640" s="78">
        <f t="shared" si="384"/>
        <v>-10.7</v>
      </c>
    </row>
    <row r="641" spans="1:29" x14ac:dyDescent="0.25">
      <c r="A641" s="53">
        <v>2021</v>
      </c>
      <c r="B641" s="53">
        <v>168</v>
      </c>
      <c r="C641" s="71" t="s">
        <v>105</v>
      </c>
      <c r="D641" t="s">
        <v>689</v>
      </c>
      <c r="E641" s="131" t="s">
        <v>1607</v>
      </c>
      <c r="G641" s="1">
        <v>44519</v>
      </c>
      <c r="H641" t="s">
        <v>974</v>
      </c>
      <c r="K641" t="b">
        <v>0</v>
      </c>
      <c r="L641" s="48">
        <v>4.78</v>
      </c>
      <c r="M641" s="72">
        <v>1</v>
      </c>
      <c r="N641">
        <v>20</v>
      </c>
      <c r="O641" s="31">
        <f t="shared" si="377"/>
        <v>0.95600000000000007</v>
      </c>
      <c r="P641" s="31">
        <f t="shared" si="378"/>
        <v>0.95600000000000007</v>
      </c>
      <c r="Q641" s="33">
        <f t="shared" si="379"/>
        <v>4.78</v>
      </c>
      <c r="R641" s="29">
        <f t="shared" si="380"/>
        <v>5.7360000000000007</v>
      </c>
      <c r="S641" s="29">
        <f t="shared" si="386"/>
        <v>5.7360000000000007</v>
      </c>
      <c r="T641" s="35">
        <f t="shared" si="364"/>
        <v>44607</v>
      </c>
      <c r="U641" s="27"/>
      <c r="V641" s="27"/>
      <c r="W641" s="58">
        <f t="shared" si="385"/>
        <v>4.78</v>
      </c>
      <c r="X641" s="31">
        <f t="shared" si="382"/>
        <v>0</v>
      </c>
      <c r="Y641" t="b">
        <f t="shared" si="383"/>
        <v>0</v>
      </c>
      <c r="Z641" s="78">
        <f t="shared" si="384"/>
        <v>-4.78</v>
      </c>
    </row>
    <row r="642" spans="1:29" x14ac:dyDescent="0.25">
      <c r="A642" s="53">
        <v>2021</v>
      </c>
      <c r="B642" s="53">
        <v>169</v>
      </c>
      <c r="C642" s="71" t="s">
        <v>708</v>
      </c>
      <c r="D642" t="s">
        <v>709</v>
      </c>
      <c r="E642" s="6">
        <v>12021023</v>
      </c>
      <c r="G642" s="1">
        <v>44519</v>
      </c>
      <c r="H642" t="s">
        <v>983</v>
      </c>
      <c r="K642" t="b">
        <f>(IF(AND(I642&lt;&gt;"",AND(J642="",ABS(Q642)&gt;400)),TRUE,FALSE))</f>
        <v>0</v>
      </c>
      <c r="L642" s="48">
        <v>585</v>
      </c>
      <c r="M642" s="72">
        <v>1</v>
      </c>
      <c r="N642">
        <v>20</v>
      </c>
      <c r="O642" s="31">
        <f t="shared" si="377"/>
        <v>117</v>
      </c>
      <c r="P642" s="31">
        <f t="shared" si="378"/>
        <v>117</v>
      </c>
      <c r="Q642" s="33">
        <f t="shared" si="379"/>
        <v>585</v>
      </c>
      <c r="R642" s="29">
        <f t="shared" si="380"/>
        <v>702</v>
      </c>
      <c r="S642" s="29">
        <f t="shared" si="386"/>
        <v>702</v>
      </c>
      <c r="T642" s="35">
        <f t="shared" si="364"/>
        <v>44607</v>
      </c>
      <c r="U642" s="27"/>
      <c r="V642" s="27"/>
      <c r="W642" s="58">
        <f t="shared" si="385"/>
        <v>585</v>
      </c>
      <c r="X642" s="31">
        <f t="shared" si="382"/>
        <v>0</v>
      </c>
      <c r="Y642" t="b">
        <f t="shared" si="383"/>
        <v>0</v>
      </c>
      <c r="Z642" s="78">
        <f t="shared" si="384"/>
        <v>585</v>
      </c>
      <c r="AB642" t="b">
        <f>L642*1.2=R642</f>
        <v>1</v>
      </c>
      <c r="AC642" t="b">
        <f>L642*1.2=S642</f>
        <v>1</v>
      </c>
    </row>
    <row r="643" spans="1:29" x14ac:dyDescent="0.25">
      <c r="A643" s="53">
        <v>2021</v>
      </c>
      <c r="B643" s="53">
        <v>170</v>
      </c>
      <c r="C643" s="71" t="s">
        <v>105</v>
      </c>
      <c r="D643" t="s">
        <v>703</v>
      </c>
      <c r="E643" s="131" t="s">
        <v>1608</v>
      </c>
      <c r="G643" s="1">
        <v>44522</v>
      </c>
      <c r="H643" t="s">
        <v>1148</v>
      </c>
      <c r="K643" t="b">
        <f>(IF(AND(I643&lt;&gt;"",AND(J643="",ABS(Q643)&gt;400)),TRUE,FALSE))</f>
        <v>0</v>
      </c>
      <c r="L643" s="48">
        <v>31.92</v>
      </c>
      <c r="M643" s="72">
        <v>1</v>
      </c>
      <c r="N643">
        <v>20</v>
      </c>
      <c r="O643" s="31">
        <f t="shared" si="377"/>
        <v>6.3840000000000012</v>
      </c>
      <c r="P643" s="31">
        <f t="shared" si="378"/>
        <v>6.3840000000000012</v>
      </c>
      <c r="Q643" s="33">
        <f t="shared" si="379"/>
        <v>31.92</v>
      </c>
      <c r="R643" s="29">
        <f t="shared" si="380"/>
        <v>38.304000000000002</v>
      </c>
      <c r="S643" s="29">
        <f t="shared" si="386"/>
        <v>38.304000000000002</v>
      </c>
      <c r="T643" s="35">
        <f t="shared" si="364"/>
        <v>44607</v>
      </c>
      <c r="U643" s="27"/>
      <c r="V643" s="27"/>
      <c r="W643" s="58">
        <f>IF(K643=TRUE,Q643/I643,Q643)</f>
        <v>31.92</v>
      </c>
      <c r="X643" s="31">
        <f t="shared" si="382"/>
        <v>0</v>
      </c>
      <c r="Y643" t="b">
        <f t="shared" si="383"/>
        <v>0</v>
      </c>
      <c r="Z643" s="78">
        <f t="shared" si="384"/>
        <v>-31.92</v>
      </c>
    </row>
    <row r="644" spans="1:29" x14ac:dyDescent="0.25">
      <c r="A644" s="53">
        <v>2021</v>
      </c>
      <c r="B644" s="53">
        <v>171</v>
      </c>
      <c r="C644" s="71" t="s">
        <v>105</v>
      </c>
      <c r="D644" t="s">
        <v>705</v>
      </c>
      <c r="E644" s="6" t="s">
        <v>1609</v>
      </c>
      <c r="G644" s="1">
        <v>44525</v>
      </c>
      <c r="H644" t="s">
        <v>981</v>
      </c>
      <c r="K644" t="b">
        <f>(IF(AND(I644&lt;&gt;"",AND(J644="",ABS(Q644)&gt;400)),TRUE,FALSE))</f>
        <v>0</v>
      </c>
      <c r="L644" s="48">
        <v>26.21</v>
      </c>
      <c r="M644" s="72">
        <v>1</v>
      </c>
      <c r="N644">
        <v>20</v>
      </c>
      <c r="O644" s="31">
        <f t="shared" si="377"/>
        <v>5.2420000000000009</v>
      </c>
      <c r="P644" s="31">
        <f t="shared" si="378"/>
        <v>5.2420000000000009</v>
      </c>
      <c r="Q644" s="33">
        <f t="shared" si="379"/>
        <v>26.21</v>
      </c>
      <c r="R644" s="29">
        <f t="shared" si="380"/>
        <v>31.452000000000002</v>
      </c>
      <c r="S644" s="29">
        <f t="shared" si="386"/>
        <v>31.452000000000002</v>
      </c>
      <c r="T644" s="35">
        <f t="shared" si="364"/>
        <v>44607</v>
      </c>
      <c r="U644" s="27"/>
      <c r="V644" s="27"/>
      <c r="W644" s="58">
        <f>IF(K644=TRUE,Q644/I644,Q644)</f>
        <v>26.21</v>
      </c>
      <c r="X644" s="31">
        <f t="shared" si="382"/>
        <v>0</v>
      </c>
      <c r="Y644" t="b">
        <f t="shared" si="383"/>
        <v>0</v>
      </c>
      <c r="Z644" s="78">
        <f t="shared" si="384"/>
        <v>-26.21</v>
      </c>
    </row>
    <row r="645" spans="1:29" x14ac:dyDescent="0.25">
      <c r="A645" s="53">
        <v>2021</v>
      </c>
      <c r="B645" s="53">
        <v>172</v>
      </c>
      <c r="C645" s="71" t="s">
        <v>708</v>
      </c>
      <c r="D645" t="s">
        <v>709</v>
      </c>
      <c r="E645" s="6">
        <v>12021027</v>
      </c>
      <c r="G645" s="1">
        <v>44526</v>
      </c>
      <c r="H645" t="s">
        <v>1384</v>
      </c>
      <c r="K645" t="b">
        <f>(IF(AND(I645&lt;&gt;"",AND(J645="",ABS(Q645)&gt;400)),TRUE,FALSE))</f>
        <v>0</v>
      </c>
      <c r="L645" s="48">
        <v>3780</v>
      </c>
      <c r="M645" s="72">
        <v>1</v>
      </c>
      <c r="N645">
        <v>20</v>
      </c>
      <c r="O645" s="31">
        <f t="shared" si="377"/>
        <v>756</v>
      </c>
      <c r="P645" s="31">
        <f t="shared" si="378"/>
        <v>756</v>
      </c>
      <c r="Q645" s="33">
        <f t="shared" si="379"/>
        <v>3780</v>
      </c>
      <c r="R645" s="29">
        <f t="shared" si="380"/>
        <v>4536</v>
      </c>
      <c r="S645" s="29">
        <f t="shared" si="386"/>
        <v>4536</v>
      </c>
      <c r="T645" s="35">
        <f t="shared" si="364"/>
        <v>44607</v>
      </c>
      <c r="U645" s="27"/>
      <c r="V645" s="27"/>
      <c r="W645" s="58">
        <f>IF(K645=TRUE,Q645/J645,Q645)</f>
        <v>3780</v>
      </c>
      <c r="X645" s="31">
        <f t="shared" si="382"/>
        <v>0</v>
      </c>
      <c r="Y645" t="b">
        <f t="shared" si="383"/>
        <v>0</v>
      </c>
      <c r="Z645" s="78">
        <f t="shared" si="384"/>
        <v>3780</v>
      </c>
      <c r="AB645" t="b">
        <f>L645*1.2=R645</f>
        <v>1</v>
      </c>
      <c r="AC645" t="b">
        <f>L645*1.2=S645</f>
        <v>1</v>
      </c>
    </row>
    <row r="646" spans="1:29" x14ac:dyDescent="0.25">
      <c r="A646" s="53">
        <v>2021</v>
      </c>
      <c r="B646" s="53">
        <v>173</v>
      </c>
      <c r="C646" s="71" t="s">
        <v>105</v>
      </c>
      <c r="D646" t="s">
        <v>689</v>
      </c>
      <c r="E646" s="131" t="s">
        <v>1610</v>
      </c>
      <c r="G646" s="1">
        <v>44526</v>
      </c>
      <c r="H646" t="s">
        <v>974</v>
      </c>
      <c r="K646" t="b">
        <v>0</v>
      </c>
      <c r="L646" s="48">
        <v>3.08</v>
      </c>
      <c r="M646" s="72">
        <v>1</v>
      </c>
      <c r="N646">
        <v>20</v>
      </c>
      <c r="O646" s="31">
        <f t="shared" si="377"/>
        <v>0.61599999999999999</v>
      </c>
      <c r="P646" s="31">
        <f t="shared" si="378"/>
        <v>0.61599999999999999</v>
      </c>
      <c r="Q646" s="33">
        <f t="shared" si="379"/>
        <v>3.08</v>
      </c>
      <c r="R646" s="29">
        <f t="shared" si="380"/>
        <v>3.6960000000000002</v>
      </c>
      <c r="S646" s="29">
        <f t="shared" ref="S646:S651" si="387">Q646+P646</f>
        <v>3.6960000000000002</v>
      </c>
      <c r="T646" s="35">
        <f t="shared" si="364"/>
        <v>44607</v>
      </c>
      <c r="U646" s="27"/>
      <c r="V646" s="27"/>
      <c r="W646" s="58">
        <f>IF(K646=TRUE,Q646/J646,Q646)</f>
        <v>3.08</v>
      </c>
      <c r="X646" s="31">
        <f t="shared" si="382"/>
        <v>0</v>
      </c>
      <c r="Y646" t="b">
        <f t="shared" si="383"/>
        <v>0</v>
      </c>
      <c r="Z646" s="78">
        <f t="shared" si="384"/>
        <v>-3.08</v>
      </c>
    </row>
    <row r="647" spans="1:29" x14ac:dyDescent="0.25">
      <c r="A647" s="53">
        <v>2021</v>
      </c>
      <c r="B647" s="53">
        <v>174</v>
      </c>
      <c r="C647" s="71" t="s">
        <v>105</v>
      </c>
      <c r="D647" t="s">
        <v>689</v>
      </c>
      <c r="E647" s="131" t="s">
        <v>1611</v>
      </c>
      <c r="G647" s="1">
        <v>44531</v>
      </c>
      <c r="H647" t="s">
        <v>974</v>
      </c>
      <c r="K647" t="b">
        <v>0</v>
      </c>
      <c r="L647" s="48">
        <v>3.48</v>
      </c>
      <c r="M647" s="72">
        <v>1</v>
      </c>
      <c r="N647">
        <v>20</v>
      </c>
      <c r="O647" s="31">
        <f t="shared" si="377"/>
        <v>0.69599999999999995</v>
      </c>
      <c r="P647" s="31">
        <f t="shared" si="378"/>
        <v>0.69599999999999995</v>
      </c>
      <c r="Q647" s="33">
        <f t="shared" ref="Q647:Q652" si="388">L647*M647</f>
        <v>3.48</v>
      </c>
      <c r="R647" s="29">
        <f t="shared" ref="R647:R652" si="389">L647+O647</f>
        <v>4.1760000000000002</v>
      </c>
      <c r="S647" s="29">
        <f t="shared" si="387"/>
        <v>4.1760000000000002</v>
      </c>
      <c r="T647" s="35">
        <f t="shared" si="364"/>
        <v>44607</v>
      </c>
      <c r="U647" s="27"/>
      <c r="V647" s="27"/>
      <c r="W647" s="58">
        <f>IF(K647=TRUE,Q647/J647,Q647)</f>
        <v>3.48</v>
      </c>
      <c r="X647" s="31">
        <f t="shared" ref="X647:X652" si="390">V647/100*S647</f>
        <v>0</v>
      </c>
      <c r="Y647" t="b">
        <f t="shared" ref="Y647:Y652" si="391">IF(AND(V647&gt;0,N647=V647),TRUE,FALSE)</f>
        <v>0</v>
      </c>
      <c r="Z647" s="78">
        <f t="shared" ref="Z647:Z652" si="392">IF(C647="Einnahmen",Q647,-Q647)</f>
        <v>-3.48</v>
      </c>
    </row>
    <row r="648" spans="1:29" x14ac:dyDescent="0.25">
      <c r="A648" s="53">
        <v>2021</v>
      </c>
      <c r="B648" s="53">
        <v>175</v>
      </c>
      <c r="C648" s="71" t="s">
        <v>105</v>
      </c>
      <c r="D648" t="s">
        <v>683</v>
      </c>
      <c r="E648" s="6">
        <v>855501</v>
      </c>
      <c r="G648" s="1">
        <v>44531</v>
      </c>
      <c r="H648" t="s">
        <v>1238</v>
      </c>
      <c r="J648" s="76" t="s">
        <v>958</v>
      </c>
      <c r="K648" t="b">
        <f>(IF(AND(I648&lt;&gt;"",AND(J648="",ABS(Q648)&gt;400)),TRUE,FALSE))</f>
        <v>0</v>
      </c>
      <c r="L648" s="48">
        <v>45.66</v>
      </c>
      <c r="M648" s="72">
        <v>1</v>
      </c>
      <c r="N648">
        <v>20</v>
      </c>
      <c r="O648" s="31">
        <f t="shared" si="377"/>
        <v>9.1319999999999997</v>
      </c>
      <c r="P648" s="31">
        <f t="shared" si="378"/>
        <v>9.1319999999999997</v>
      </c>
      <c r="Q648" s="33">
        <f t="shared" si="388"/>
        <v>45.66</v>
      </c>
      <c r="R648" s="29">
        <f t="shared" si="389"/>
        <v>54.791999999999994</v>
      </c>
      <c r="S648" s="29">
        <f t="shared" si="387"/>
        <v>54.791999999999994</v>
      </c>
      <c r="T648" s="35">
        <f t="shared" si="364"/>
        <v>44607</v>
      </c>
      <c r="U648" s="27"/>
      <c r="V648" s="27"/>
      <c r="W648" s="58">
        <f>IF(K648=TRUE,Q648/I648,Q648)</f>
        <v>45.66</v>
      </c>
      <c r="X648" s="31">
        <f t="shared" si="390"/>
        <v>0</v>
      </c>
      <c r="Y648" t="b">
        <f t="shared" si="391"/>
        <v>0</v>
      </c>
      <c r="Z648" s="78">
        <f t="shared" si="392"/>
        <v>-45.66</v>
      </c>
    </row>
    <row r="649" spans="1:29" x14ac:dyDescent="0.25">
      <c r="A649" s="53">
        <v>2021</v>
      </c>
      <c r="B649" s="53">
        <v>176</v>
      </c>
      <c r="C649" s="71" t="s">
        <v>105</v>
      </c>
      <c r="D649" t="s">
        <v>691</v>
      </c>
      <c r="E649" s="9" t="s">
        <v>1612</v>
      </c>
      <c r="G649" s="1">
        <v>44531</v>
      </c>
      <c r="H649" t="s">
        <v>1113</v>
      </c>
      <c r="K649" t="b">
        <v>0</v>
      </c>
      <c r="L649" s="109">
        <f>564.56/1.2</f>
        <v>470.46666666666664</v>
      </c>
      <c r="M649" s="72">
        <v>1</v>
      </c>
      <c r="N649">
        <v>20</v>
      </c>
      <c r="O649" s="31">
        <f t="shared" si="377"/>
        <v>94.09333333333332</v>
      </c>
      <c r="P649" s="31">
        <f t="shared" si="378"/>
        <v>94.09333333333332</v>
      </c>
      <c r="Q649" s="33">
        <f t="shared" si="388"/>
        <v>470.46666666666664</v>
      </c>
      <c r="R649" s="29">
        <f t="shared" si="389"/>
        <v>564.55999999999995</v>
      </c>
      <c r="S649" s="29">
        <f t="shared" si="387"/>
        <v>564.55999999999995</v>
      </c>
      <c r="T649" s="35">
        <f t="shared" si="364"/>
        <v>44607</v>
      </c>
      <c r="U649" s="27"/>
      <c r="V649" s="27"/>
      <c r="W649" s="58">
        <f>IF(K649=TRUE,Q649/J649,Q649)</f>
        <v>470.46666666666664</v>
      </c>
      <c r="X649" s="31">
        <f t="shared" si="390"/>
        <v>0</v>
      </c>
      <c r="Y649" t="b">
        <f t="shared" si="391"/>
        <v>0</v>
      </c>
      <c r="Z649" s="78">
        <f t="shared" si="392"/>
        <v>-470.46666666666664</v>
      </c>
    </row>
    <row r="650" spans="1:29" x14ac:dyDescent="0.25">
      <c r="A650" s="53">
        <v>2021</v>
      </c>
      <c r="B650" s="53">
        <v>177</v>
      </c>
      <c r="C650" s="71" t="s">
        <v>105</v>
      </c>
      <c r="D650" t="s">
        <v>705</v>
      </c>
      <c r="E650" s="9" t="s">
        <v>1613</v>
      </c>
      <c r="G650" s="1">
        <v>44532</v>
      </c>
      <c r="H650" t="s">
        <v>1404</v>
      </c>
      <c r="K650" t="b">
        <v>0</v>
      </c>
      <c r="L650" s="109">
        <v>10.4</v>
      </c>
      <c r="M650" s="72">
        <v>1</v>
      </c>
      <c r="N650">
        <v>0</v>
      </c>
      <c r="O650" s="31">
        <f t="shared" si="377"/>
        <v>0</v>
      </c>
      <c r="P650" s="31">
        <f t="shared" si="378"/>
        <v>0</v>
      </c>
      <c r="Q650" s="33">
        <f t="shared" si="388"/>
        <v>10.4</v>
      </c>
      <c r="R650" s="29">
        <f t="shared" si="389"/>
        <v>10.4</v>
      </c>
      <c r="S650" s="29">
        <f t="shared" si="387"/>
        <v>10.4</v>
      </c>
      <c r="T650" s="35">
        <f t="shared" si="364"/>
        <v>44607</v>
      </c>
      <c r="U650" s="27"/>
      <c r="V650" s="27">
        <v>20</v>
      </c>
      <c r="W650" s="58">
        <f>IF(K650=TRUE,Q650/I650,Q650)</f>
        <v>10.4</v>
      </c>
      <c r="X650" s="31">
        <f t="shared" si="390"/>
        <v>2.08</v>
      </c>
      <c r="Y650" t="b">
        <f t="shared" si="391"/>
        <v>0</v>
      </c>
      <c r="Z650" s="78">
        <f t="shared" si="392"/>
        <v>-10.4</v>
      </c>
    </row>
    <row r="651" spans="1:29" x14ac:dyDescent="0.25">
      <c r="A651" s="53">
        <v>2021</v>
      </c>
      <c r="B651" s="53">
        <v>178</v>
      </c>
      <c r="C651" s="71" t="s">
        <v>105</v>
      </c>
      <c r="D651" t="s">
        <v>703</v>
      </c>
      <c r="E651" s="9" t="s">
        <v>1614</v>
      </c>
      <c r="G651" s="1">
        <v>44532</v>
      </c>
      <c r="H651" t="s">
        <v>34</v>
      </c>
      <c r="K651" t="b">
        <f>(IF(AND(I651&lt;&gt;"",AND(J651="",ABS(Q651)&gt;400)),TRUE,FALSE))</f>
        <v>0</v>
      </c>
      <c r="L651" s="48">
        <v>15</v>
      </c>
      <c r="M651" s="72">
        <v>1</v>
      </c>
      <c r="N651">
        <v>20</v>
      </c>
      <c r="O651" s="31">
        <f t="shared" si="377"/>
        <v>3</v>
      </c>
      <c r="P651" s="31">
        <f t="shared" si="378"/>
        <v>3</v>
      </c>
      <c r="Q651" s="33">
        <f t="shared" si="388"/>
        <v>15</v>
      </c>
      <c r="R651" s="29">
        <f t="shared" si="389"/>
        <v>18</v>
      </c>
      <c r="S651" s="29">
        <f t="shared" si="387"/>
        <v>18</v>
      </c>
      <c r="T651" s="35">
        <f t="shared" si="364"/>
        <v>44607</v>
      </c>
      <c r="U651" s="27"/>
      <c r="V651" s="27"/>
      <c r="W651" s="58">
        <f>IF(K651=TRUE,Q651/I651,Q651)</f>
        <v>15</v>
      </c>
      <c r="X651" s="31">
        <f t="shared" si="390"/>
        <v>0</v>
      </c>
      <c r="Y651" t="b">
        <f t="shared" si="391"/>
        <v>0</v>
      </c>
      <c r="Z651" s="78">
        <f t="shared" si="392"/>
        <v>-15</v>
      </c>
    </row>
    <row r="652" spans="1:29" x14ac:dyDescent="0.25">
      <c r="A652" s="53">
        <v>2021</v>
      </c>
      <c r="B652" s="53">
        <v>179</v>
      </c>
      <c r="C652" s="71" t="s">
        <v>105</v>
      </c>
      <c r="D652" t="s">
        <v>705</v>
      </c>
      <c r="E652" s="9" t="s">
        <v>1505</v>
      </c>
      <c r="G652" s="1">
        <v>44533</v>
      </c>
      <c r="H652" t="s">
        <v>1364</v>
      </c>
      <c r="K652" t="b">
        <f>(IF(AND(I652&lt;&gt;"",AND(J652="",ABS(Q652)&gt;400)),TRUE,FALSE))</f>
        <v>0</v>
      </c>
      <c r="L652" s="48">
        <v>2.5</v>
      </c>
      <c r="M652" s="72">
        <v>1</v>
      </c>
      <c r="N652">
        <v>20</v>
      </c>
      <c r="O652" s="31">
        <f t="shared" ref="O652:O671" si="393">L652*N652/100</f>
        <v>0.5</v>
      </c>
      <c r="P652" s="31">
        <f t="shared" ref="P652:P671" si="394">M652*O652</f>
        <v>0.5</v>
      </c>
      <c r="Q652" s="33">
        <f t="shared" si="388"/>
        <v>2.5</v>
      </c>
      <c r="R652" s="29">
        <f t="shared" si="389"/>
        <v>3</v>
      </c>
      <c r="S652" s="29">
        <v>3</v>
      </c>
      <c r="T652" s="35">
        <f t="shared" si="364"/>
        <v>44607</v>
      </c>
      <c r="U652" s="27"/>
      <c r="V652" s="27"/>
      <c r="W652" s="58">
        <f>IF(K652=TRUE,Q652/J652,Q652)</f>
        <v>2.5</v>
      </c>
      <c r="X652" s="31">
        <f t="shared" si="390"/>
        <v>0</v>
      </c>
      <c r="Y652" t="b">
        <f t="shared" si="391"/>
        <v>0</v>
      </c>
      <c r="Z652" s="78">
        <f t="shared" si="392"/>
        <v>-2.5</v>
      </c>
    </row>
    <row r="653" spans="1:29" x14ac:dyDescent="0.25">
      <c r="A653" s="53">
        <v>2021</v>
      </c>
      <c r="B653" s="53">
        <v>180</v>
      </c>
      <c r="C653" s="71" t="s">
        <v>105</v>
      </c>
      <c r="D653" t="s">
        <v>691</v>
      </c>
      <c r="E653" s="9" t="s">
        <v>1566</v>
      </c>
      <c r="G653" s="1">
        <v>44536</v>
      </c>
      <c r="H653" t="s">
        <v>1558</v>
      </c>
      <c r="K653" t="b">
        <v>0</v>
      </c>
      <c r="L653" s="109">
        <v>74</v>
      </c>
      <c r="M653" s="72">
        <v>1</v>
      </c>
      <c r="N653">
        <v>20</v>
      </c>
      <c r="O653" s="31">
        <f t="shared" si="393"/>
        <v>14.8</v>
      </c>
      <c r="P653" s="31">
        <f t="shared" si="394"/>
        <v>14.8</v>
      </c>
      <c r="Q653" s="33">
        <f t="shared" ref="Q653:Q671" si="395">L653*M653</f>
        <v>74</v>
      </c>
      <c r="R653" s="29">
        <f t="shared" ref="R653:R671" si="396">L653+O653</f>
        <v>88.8</v>
      </c>
      <c r="S653" s="29">
        <f t="shared" ref="S653:S658" si="397">Q653+P653</f>
        <v>88.8</v>
      </c>
      <c r="T653" s="35">
        <f t="shared" si="364"/>
        <v>44607</v>
      </c>
      <c r="U653" s="27"/>
      <c r="V653" s="27"/>
      <c r="W653" s="58">
        <f>IF(K653=TRUE,Q653/J653,Q653)</f>
        <v>74</v>
      </c>
      <c r="X653" s="31">
        <f t="shared" ref="X653:X671" si="398">V653/100*S653</f>
        <v>0</v>
      </c>
      <c r="Y653" t="b">
        <f t="shared" ref="Y653:Y671" si="399">IF(AND(V653&gt;0,N653=V653),TRUE,FALSE)</f>
        <v>0</v>
      </c>
      <c r="Z653" s="78">
        <f t="shared" ref="Z653:Z671" si="400">IF(C653="Einnahmen",Q653,-Q653)</f>
        <v>-74</v>
      </c>
    </row>
    <row r="654" spans="1:29" x14ac:dyDescent="0.25">
      <c r="A654" s="53">
        <v>2021</v>
      </c>
      <c r="B654" s="53">
        <v>181</v>
      </c>
      <c r="C654" s="71" t="s">
        <v>708</v>
      </c>
      <c r="D654" t="s">
        <v>709</v>
      </c>
      <c r="E654" s="6">
        <v>12021028</v>
      </c>
      <c r="G654" s="1">
        <v>44537</v>
      </c>
      <c r="H654" t="s">
        <v>1197</v>
      </c>
      <c r="K654" t="b">
        <f t="shared" ref="K654:K663" si="401">(IF(AND(I654&lt;&gt;"",AND(J654="",ABS(Q654)&gt;400)),TRUE,FALSE))</f>
        <v>0</v>
      </c>
      <c r="L654" s="109">
        <v>150.78</v>
      </c>
      <c r="M654" s="72">
        <v>1</v>
      </c>
      <c r="N654">
        <v>20</v>
      </c>
      <c r="O654" s="31">
        <f t="shared" si="393"/>
        <v>30.155999999999999</v>
      </c>
      <c r="P654" s="31">
        <f t="shared" si="394"/>
        <v>30.155999999999999</v>
      </c>
      <c r="Q654" s="33">
        <f t="shared" si="395"/>
        <v>150.78</v>
      </c>
      <c r="R654" s="29">
        <f t="shared" si="396"/>
        <v>180.93600000000001</v>
      </c>
      <c r="S654" s="29">
        <f t="shared" si="397"/>
        <v>180.93600000000001</v>
      </c>
      <c r="T654" s="35">
        <f t="shared" si="364"/>
        <v>44607</v>
      </c>
      <c r="U654" s="27"/>
      <c r="V654" s="27"/>
      <c r="W654" s="58">
        <f>IF(K654=TRUE,Q654/I654,Q654)</f>
        <v>150.78</v>
      </c>
      <c r="X654" s="31">
        <f t="shared" si="398"/>
        <v>0</v>
      </c>
      <c r="Y654" t="b">
        <f t="shared" si="399"/>
        <v>0</v>
      </c>
      <c r="Z654" s="78">
        <f t="shared" si="400"/>
        <v>150.78</v>
      </c>
      <c r="AB654" t="b">
        <f>L654*1.2=R654</f>
        <v>1</v>
      </c>
      <c r="AC654" t="b">
        <f>L654*1.2=S654</f>
        <v>1</v>
      </c>
    </row>
    <row r="655" spans="1:29" x14ac:dyDescent="0.25">
      <c r="A655" s="53">
        <v>2021</v>
      </c>
      <c r="B655" s="53">
        <v>182</v>
      </c>
      <c r="C655" s="71" t="s">
        <v>105</v>
      </c>
      <c r="D655" t="s">
        <v>705</v>
      </c>
      <c r="E655" s="6" t="s">
        <v>1615</v>
      </c>
      <c r="G655" s="1">
        <v>44539</v>
      </c>
      <c r="H655" t="s">
        <v>927</v>
      </c>
      <c r="J655" s="76" t="s">
        <v>958</v>
      </c>
      <c r="K655" t="b">
        <f t="shared" si="401"/>
        <v>0</v>
      </c>
      <c r="L655" s="48">
        <v>2.4900000000000002</v>
      </c>
      <c r="M655" s="72">
        <v>1</v>
      </c>
      <c r="N655">
        <v>0</v>
      </c>
      <c r="O655" s="31">
        <f t="shared" si="393"/>
        <v>0</v>
      </c>
      <c r="P655" s="31">
        <f t="shared" si="394"/>
        <v>0</v>
      </c>
      <c r="Q655" s="33">
        <f t="shared" si="395"/>
        <v>2.4900000000000002</v>
      </c>
      <c r="R655" s="29">
        <f t="shared" si="396"/>
        <v>2.4900000000000002</v>
      </c>
      <c r="S655" s="29">
        <f t="shared" si="397"/>
        <v>2.4900000000000002</v>
      </c>
      <c r="T655" s="35">
        <f t="shared" si="364"/>
        <v>44607</v>
      </c>
      <c r="U655" s="27"/>
      <c r="V655" s="27">
        <v>20</v>
      </c>
      <c r="W655" s="58">
        <f>IF(K655=TRUE,Q655/J655,Q655)</f>
        <v>2.4900000000000002</v>
      </c>
      <c r="X655" s="31">
        <f t="shared" si="398"/>
        <v>0.49800000000000005</v>
      </c>
      <c r="Y655" t="b">
        <f t="shared" si="399"/>
        <v>0</v>
      </c>
      <c r="Z655" s="78">
        <f t="shared" si="400"/>
        <v>-2.4900000000000002</v>
      </c>
    </row>
    <row r="656" spans="1:29" x14ac:dyDescent="0.25">
      <c r="A656" s="53">
        <v>2021</v>
      </c>
      <c r="B656" s="53">
        <v>183</v>
      </c>
      <c r="C656" s="71" t="s">
        <v>105</v>
      </c>
      <c r="D656" t="s">
        <v>705</v>
      </c>
      <c r="E656" s="9" t="s">
        <v>1616</v>
      </c>
      <c r="G656" s="1">
        <v>44543</v>
      </c>
      <c r="H656" t="s">
        <v>927</v>
      </c>
      <c r="K656" t="b">
        <f t="shared" si="401"/>
        <v>0</v>
      </c>
      <c r="L656" s="48">
        <v>46.916800000000002</v>
      </c>
      <c r="M656" s="72">
        <v>1</v>
      </c>
      <c r="N656">
        <v>0</v>
      </c>
      <c r="O656" s="31">
        <f t="shared" si="393"/>
        <v>0</v>
      </c>
      <c r="P656" s="31">
        <f t="shared" si="394"/>
        <v>0</v>
      </c>
      <c r="Q656" s="33">
        <f t="shared" si="395"/>
        <v>46.916800000000002</v>
      </c>
      <c r="R656" s="29">
        <f t="shared" si="396"/>
        <v>46.916800000000002</v>
      </c>
      <c r="S656" s="29">
        <f t="shared" si="397"/>
        <v>46.916800000000002</v>
      </c>
      <c r="T656" s="35">
        <f t="shared" si="364"/>
        <v>44607</v>
      </c>
      <c r="U656" s="27"/>
      <c r="V656" s="27">
        <v>20</v>
      </c>
      <c r="W656" s="58">
        <f>IF(K656=TRUE,Q656/J656,Q656)</f>
        <v>46.916800000000002</v>
      </c>
      <c r="X656" s="31">
        <f t="shared" si="398"/>
        <v>9.3833600000000015</v>
      </c>
      <c r="Y656" t="b">
        <f t="shared" si="399"/>
        <v>0</v>
      </c>
      <c r="Z656" s="78">
        <f t="shared" si="400"/>
        <v>-46.916800000000002</v>
      </c>
    </row>
    <row r="657" spans="1:29" x14ac:dyDescent="0.25">
      <c r="A657" s="53">
        <v>2021</v>
      </c>
      <c r="B657" s="53">
        <v>184</v>
      </c>
      <c r="C657" s="71" t="s">
        <v>105</v>
      </c>
      <c r="D657" t="s">
        <v>705</v>
      </c>
      <c r="E657" s="6" t="s">
        <v>1617</v>
      </c>
      <c r="G657" s="1">
        <v>44546</v>
      </c>
      <c r="H657" t="s">
        <v>981</v>
      </c>
      <c r="K657" t="b">
        <f t="shared" si="401"/>
        <v>0</v>
      </c>
      <c r="L657" s="48">
        <v>29.4</v>
      </c>
      <c r="M657" s="72">
        <v>1</v>
      </c>
      <c r="N657">
        <v>20</v>
      </c>
      <c r="O657" s="31">
        <f t="shared" si="393"/>
        <v>5.88</v>
      </c>
      <c r="P657" s="31">
        <f t="shared" si="394"/>
        <v>5.88</v>
      </c>
      <c r="Q657" s="33">
        <f t="shared" si="395"/>
        <v>29.4</v>
      </c>
      <c r="R657" s="29">
        <f t="shared" si="396"/>
        <v>35.28</v>
      </c>
      <c r="S657" s="29">
        <f t="shared" si="397"/>
        <v>35.28</v>
      </c>
      <c r="T657" s="35">
        <f t="shared" si="364"/>
        <v>44607</v>
      </c>
      <c r="U657" s="27"/>
      <c r="V657" s="27"/>
      <c r="W657" s="58">
        <f>IF(K657=TRUE,Q657/I657,Q657)</f>
        <v>29.4</v>
      </c>
      <c r="X657" s="31">
        <f t="shared" si="398"/>
        <v>0</v>
      </c>
      <c r="Y657" t="b">
        <f t="shared" si="399"/>
        <v>0</v>
      </c>
      <c r="Z657" s="78">
        <f t="shared" si="400"/>
        <v>-29.4</v>
      </c>
    </row>
    <row r="658" spans="1:29" x14ac:dyDescent="0.25">
      <c r="A658" s="53">
        <v>2021</v>
      </c>
      <c r="B658" s="53">
        <v>185</v>
      </c>
      <c r="C658" s="71" t="s">
        <v>105</v>
      </c>
      <c r="D658" t="s">
        <v>705</v>
      </c>
      <c r="E658" s="131" t="s">
        <v>1623</v>
      </c>
      <c r="G658" s="1">
        <v>44546</v>
      </c>
      <c r="H658" t="s">
        <v>981</v>
      </c>
      <c r="K658" t="b">
        <f t="shared" si="401"/>
        <v>0</v>
      </c>
      <c r="L658" s="48">
        <v>25.87</v>
      </c>
      <c r="M658" s="72">
        <v>1</v>
      </c>
      <c r="N658">
        <v>20</v>
      </c>
      <c r="O658" s="31">
        <f t="shared" si="393"/>
        <v>5.1739999999999995</v>
      </c>
      <c r="P658" s="31">
        <f t="shared" si="394"/>
        <v>5.1739999999999995</v>
      </c>
      <c r="Q658" s="33">
        <f t="shared" si="395"/>
        <v>25.87</v>
      </c>
      <c r="R658" s="29">
        <f t="shared" si="396"/>
        <v>31.044</v>
      </c>
      <c r="S658" s="29">
        <f t="shared" si="397"/>
        <v>31.044</v>
      </c>
      <c r="T658" s="35">
        <f t="shared" si="364"/>
        <v>44607</v>
      </c>
      <c r="U658" s="27"/>
      <c r="V658" s="27"/>
      <c r="W658" s="58">
        <f>IF(K658=TRUE,Q658/I658,Q658)</f>
        <v>25.87</v>
      </c>
      <c r="X658" s="31">
        <f t="shared" si="398"/>
        <v>0</v>
      </c>
      <c r="Y658" t="b">
        <f t="shared" si="399"/>
        <v>0</v>
      </c>
      <c r="Z658" s="78">
        <f t="shared" si="400"/>
        <v>-25.87</v>
      </c>
    </row>
    <row r="659" spans="1:29" x14ac:dyDescent="0.25">
      <c r="A659" s="53">
        <v>2021</v>
      </c>
      <c r="B659" s="53">
        <v>186</v>
      </c>
      <c r="C659" s="71" t="s">
        <v>105</v>
      </c>
      <c r="D659" t="s">
        <v>703</v>
      </c>
      <c r="E659" s="131" t="s">
        <v>1618</v>
      </c>
      <c r="G659" s="1">
        <v>44551</v>
      </c>
      <c r="H659" t="s">
        <v>1148</v>
      </c>
      <c r="K659" t="b">
        <f t="shared" si="401"/>
        <v>0</v>
      </c>
      <c r="L659" s="48">
        <v>31.92</v>
      </c>
      <c r="M659" s="72">
        <v>1</v>
      </c>
      <c r="N659">
        <v>20</v>
      </c>
      <c r="O659" s="31">
        <f t="shared" si="393"/>
        <v>6.3840000000000012</v>
      </c>
      <c r="P659" s="31">
        <f t="shared" si="394"/>
        <v>6.3840000000000012</v>
      </c>
      <c r="Q659" s="33">
        <f t="shared" si="395"/>
        <v>31.92</v>
      </c>
      <c r="R659" s="29">
        <f t="shared" si="396"/>
        <v>38.304000000000002</v>
      </c>
      <c r="S659" s="29">
        <f t="shared" ref="S659:S664" si="402">Q659+P659</f>
        <v>38.304000000000002</v>
      </c>
      <c r="T659" s="35">
        <f t="shared" si="364"/>
        <v>44607</v>
      </c>
      <c r="U659" s="27"/>
      <c r="V659" s="27"/>
      <c r="W659" s="58">
        <f>IF(K659=TRUE,Q659/I659,Q659)</f>
        <v>31.92</v>
      </c>
      <c r="X659" s="31">
        <f t="shared" si="398"/>
        <v>0</v>
      </c>
      <c r="Y659" t="b">
        <f t="shared" si="399"/>
        <v>0</v>
      </c>
      <c r="Z659" s="78">
        <f t="shared" si="400"/>
        <v>-31.92</v>
      </c>
    </row>
    <row r="660" spans="1:29" x14ac:dyDescent="0.25">
      <c r="A660" s="53">
        <v>2021</v>
      </c>
      <c r="B660" s="53">
        <v>187</v>
      </c>
      <c r="C660" s="71" t="s">
        <v>708</v>
      </c>
      <c r="D660" t="s">
        <v>709</v>
      </c>
      <c r="E660" s="6">
        <v>12021030</v>
      </c>
      <c r="G660" s="1">
        <v>44551</v>
      </c>
      <c r="H660" t="s">
        <v>1038</v>
      </c>
      <c r="K660" t="b">
        <f t="shared" si="401"/>
        <v>0</v>
      </c>
      <c r="L660" s="48">
        <v>6351.81</v>
      </c>
      <c r="M660" s="72">
        <v>1</v>
      </c>
      <c r="N660">
        <v>20</v>
      </c>
      <c r="O660" s="31">
        <f t="shared" si="393"/>
        <v>1270.3620000000001</v>
      </c>
      <c r="P660" s="31">
        <f t="shared" si="394"/>
        <v>1270.3620000000001</v>
      </c>
      <c r="Q660" s="33">
        <f t="shared" si="395"/>
        <v>6351.81</v>
      </c>
      <c r="R660" s="29">
        <f t="shared" si="396"/>
        <v>7622.1720000000005</v>
      </c>
      <c r="S660" s="29">
        <f t="shared" si="402"/>
        <v>7622.1720000000005</v>
      </c>
      <c r="T660" s="35">
        <f t="shared" si="364"/>
        <v>44607</v>
      </c>
      <c r="U660" s="27"/>
      <c r="V660" s="27"/>
      <c r="W660" s="58">
        <f>IF(K660=TRUE,Q660/I660,Q660)</f>
        <v>6351.81</v>
      </c>
      <c r="X660" s="31">
        <f t="shared" si="398"/>
        <v>0</v>
      </c>
      <c r="Y660" t="b">
        <f t="shared" si="399"/>
        <v>0</v>
      </c>
      <c r="Z660" s="78">
        <f t="shared" si="400"/>
        <v>6351.81</v>
      </c>
      <c r="AB660" t="b">
        <f>L660*1.2=R660</f>
        <v>1</v>
      </c>
      <c r="AC660" t="b">
        <f>L660*1.2=S660</f>
        <v>1</v>
      </c>
    </row>
    <row r="661" spans="1:29" x14ac:dyDescent="0.25">
      <c r="A661" s="53">
        <v>2021</v>
      </c>
      <c r="B661" s="53">
        <v>188</v>
      </c>
      <c r="C661" s="71" t="s">
        <v>105</v>
      </c>
      <c r="D661" t="s">
        <v>705</v>
      </c>
      <c r="E661" s="6" t="s">
        <v>1619</v>
      </c>
      <c r="G661" s="1">
        <v>44551</v>
      </c>
      <c r="H661" t="s">
        <v>1032</v>
      </c>
      <c r="K661" t="b">
        <f t="shared" si="401"/>
        <v>0</v>
      </c>
      <c r="L661" s="48">
        <v>10.5</v>
      </c>
      <c r="M661" s="72">
        <v>1</v>
      </c>
      <c r="N661">
        <v>0</v>
      </c>
      <c r="O661" s="31">
        <f t="shared" si="393"/>
        <v>0</v>
      </c>
      <c r="P661" s="31">
        <f t="shared" si="394"/>
        <v>0</v>
      </c>
      <c r="Q661" s="33">
        <f t="shared" si="395"/>
        <v>10.5</v>
      </c>
      <c r="R661" s="29">
        <f t="shared" si="396"/>
        <v>10.5</v>
      </c>
      <c r="S661" s="29">
        <f t="shared" si="402"/>
        <v>10.5</v>
      </c>
      <c r="T661" s="35">
        <f t="shared" si="364"/>
        <v>44607</v>
      </c>
      <c r="U661" s="27"/>
      <c r="V661" s="27">
        <v>20</v>
      </c>
      <c r="W661" s="58">
        <f t="shared" ref="W661:W666" si="403">IF(K661=TRUE,Q661/J661,Q661)</f>
        <v>10.5</v>
      </c>
      <c r="X661" s="31">
        <f t="shared" si="398"/>
        <v>2.1</v>
      </c>
      <c r="Y661" t="b">
        <f t="shared" si="399"/>
        <v>0</v>
      </c>
      <c r="Z661" s="78">
        <f t="shared" si="400"/>
        <v>-10.5</v>
      </c>
    </row>
    <row r="662" spans="1:29" x14ac:dyDescent="0.25">
      <c r="A662" s="53">
        <v>2021</v>
      </c>
      <c r="B662" s="53">
        <v>189</v>
      </c>
      <c r="C662" s="71" t="s">
        <v>105</v>
      </c>
      <c r="D662" t="s">
        <v>689</v>
      </c>
      <c r="E662" s="9" t="s">
        <v>1620</v>
      </c>
      <c r="G662" s="1">
        <v>44552</v>
      </c>
      <c r="H662" t="s">
        <v>962</v>
      </c>
      <c r="K662" t="b">
        <f t="shared" si="401"/>
        <v>0</v>
      </c>
      <c r="L662" s="48">
        <f>40.8</f>
        <v>40.799999999999997</v>
      </c>
      <c r="M662" s="72">
        <v>1</v>
      </c>
      <c r="N662">
        <v>0</v>
      </c>
      <c r="O662" s="31">
        <f t="shared" si="393"/>
        <v>0</v>
      </c>
      <c r="P662" s="31">
        <f t="shared" si="394"/>
        <v>0</v>
      </c>
      <c r="Q662" s="33">
        <f t="shared" si="395"/>
        <v>40.799999999999997</v>
      </c>
      <c r="R662" s="29">
        <f t="shared" si="396"/>
        <v>40.799999999999997</v>
      </c>
      <c r="S662" s="29">
        <f t="shared" si="402"/>
        <v>40.799999999999997</v>
      </c>
      <c r="T662" s="35">
        <f t="shared" si="364"/>
        <v>44607</v>
      </c>
      <c r="U662" s="27"/>
      <c r="V662" s="27"/>
      <c r="W662" s="58">
        <f t="shared" si="403"/>
        <v>40.799999999999997</v>
      </c>
      <c r="X662" s="31">
        <f t="shared" si="398"/>
        <v>0</v>
      </c>
      <c r="Y662" t="b">
        <f t="shared" si="399"/>
        <v>0</v>
      </c>
      <c r="Z662" s="78">
        <f t="shared" si="400"/>
        <v>-40.799999999999997</v>
      </c>
    </row>
    <row r="663" spans="1:29" x14ac:dyDescent="0.25">
      <c r="A663" s="53">
        <v>2021</v>
      </c>
      <c r="B663" s="53">
        <v>190</v>
      </c>
      <c r="C663" s="71" t="s">
        <v>105</v>
      </c>
      <c r="D663" t="s">
        <v>705</v>
      </c>
      <c r="E663" s="6" t="s">
        <v>1621</v>
      </c>
      <c r="G663" s="1">
        <v>44552</v>
      </c>
      <c r="H663" t="s">
        <v>1622</v>
      </c>
      <c r="K663" t="b">
        <f t="shared" si="401"/>
        <v>0</v>
      </c>
      <c r="L663" s="48">
        <v>10</v>
      </c>
      <c r="M663" s="72">
        <v>1</v>
      </c>
      <c r="N663">
        <v>0</v>
      </c>
      <c r="O663" s="31">
        <f t="shared" si="393"/>
        <v>0</v>
      </c>
      <c r="P663" s="31">
        <f t="shared" si="394"/>
        <v>0</v>
      </c>
      <c r="Q663" s="33">
        <f t="shared" si="395"/>
        <v>10</v>
      </c>
      <c r="R663" s="29">
        <f t="shared" si="396"/>
        <v>10</v>
      </c>
      <c r="S663" s="29">
        <f t="shared" si="402"/>
        <v>10</v>
      </c>
      <c r="T663" s="35">
        <f t="shared" si="364"/>
        <v>44607</v>
      </c>
      <c r="U663" s="27"/>
      <c r="V663" s="27">
        <v>20</v>
      </c>
      <c r="W663" s="58">
        <f t="shared" si="403"/>
        <v>10</v>
      </c>
      <c r="X663" s="31">
        <f t="shared" si="398"/>
        <v>2</v>
      </c>
      <c r="Y663" t="b">
        <f t="shared" si="399"/>
        <v>0</v>
      </c>
      <c r="Z663" s="78">
        <f t="shared" si="400"/>
        <v>-10</v>
      </c>
    </row>
    <row r="664" spans="1:29" x14ac:dyDescent="0.25">
      <c r="A664" s="53">
        <v>2021</v>
      </c>
      <c r="B664" s="53">
        <v>191</v>
      </c>
      <c r="C664" s="71" t="s">
        <v>708</v>
      </c>
      <c r="D664" t="s">
        <v>709</v>
      </c>
      <c r="E664" s="6">
        <v>12021032</v>
      </c>
      <c r="G664" s="1">
        <v>44558</v>
      </c>
      <c r="H664" t="s">
        <v>1513</v>
      </c>
      <c r="K664" t="b">
        <v>0</v>
      </c>
      <c r="L664" s="48">
        <v>1134.75</v>
      </c>
      <c r="M664" s="72">
        <v>1</v>
      </c>
      <c r="N664">
        <v>20</v>
      </c>
      <c r="O664" s="31">
        <f t="shared" si="393"/>
        <v>226.95</v>
      </c>
      <c r="P664" s="31">
        <f t="shared" si="394"/>
        <v>226.95</v>
      </c>
      <c r="Q664" s="33">
        <f t="shared" si="395"/>
        <v>1134.75</v>
      </c>
      <c r="R664" s="29">
        <f t="shared" si="396"/>
        <v>1361.7</v>
      </c>
      <c r="S664" s="29">
        <f t="shared" si="402"/>
        <v>1361.7</v>
      </c>
      <c r="T664" s="35">
        <f t="shared" si="364"/>
        <v>44607</v>
      </c>
      <c r="U664" s="27"/>
      <c r="V664" s="27"/>
      <c r="W664" s="58">
        <f t="shared" si="403"/>
        <v>1134.75</v>
      </c>
      <c r="X664" s="31">
        <f t="shared" si="398"/>
        <v>0</v>
      </c>
      <c r="Y664" t="b">
        <f t="shared" si="399"/>
        <v>0</v>
      </c>
      <c r="Z664" s="78">
        <f t="shared" si="400"/>
        <v>1134.75</v>
      </c>
      <c r="AB664" t="b">
        <f>L664*1.2=R664</f>
        <v>1</v>
      </c>
      <c r="AC664" t="b">
        <f>L664*1.2=S664</f>
        <v>1</v>
      </c>
    </row>
    <row r="665" spans="1:29" x14ac:dyDescent="0.25">
      <c r="A665" s="53">
        <v>2021</v>
      </c>
      <c r="B665" s="53">
        <v>192</v>
      </c>
      <c r="C665" s="71" t="s">
        <v>105</v>
      </c>
      <c r="D665" t="s">
        <v>339</v>
      </c>
      <c r="E665" s="9" t="s">
        <v>1624</v>
      </c>
      <c r="G665" s="1">
        <v>44489</v>
      </c>
      <c r="H665" t="s">
        <v>1625</v>
      </c>
      <c r="K665" t="b">
        <f>(IF(AND(I665&lt;&gt;"",AND(J665="",ABS(Q665)&gt;400)),TRUE,FALSE))</f>
        <v>0</v>
      </c>
      <c r="L665" s="48">
        <v>3.58</v>
      </c>
      <c r="M665" s="72">
        <v>1</v>
      </c>
      <c r="N665">
        <v>20</v>
      </c>
      <c r="O665" s="31">
        <f t="shared" si="393"/>
        <v>0.71599999999999997</v>
      </c>
      <c r="P665" s="31">
        <f t="shared" si="394"/>
        <v>0.71599999999999997</v>
      </c>
      <c r="Q665" s="33">
        <f t="shared" si="395"/>
        <v>3.58</v>
      </c>
      <c r="R665" s="29">
        <f t="shared" si="396"/>
        <v>4.2960000000000003</v>
      </c>
      <c r="S665" s="29">
        <f>Q665+P665</f>
        <v>4.2960000000000003</v>
      </c>
      <c r="T665" s="35">
        <f t="shared" ref="T665:T728" si="404">voranmeldefrist_vierteljaehrlich(G665)</f>
        <v>44607</v>
      </c>
      <c r="U665" s="27"/>
      <c r="V665" s="27"/>
      <c r="W665" s="58">
        <f t="shared" si="403"/>
        <v>3.58</v>
      </c>
      <c r="X665" s="31">
        <f t="shared" si="398"/>
        <v>0</v>
      </c>
      <c r="Y665" t="b">
        <f t="shared" si="399"/>
        <v>0</v>
      </c>
      <c r="Z665" s="78">
        <f t="shared" si="400"/>
        <v>-3.58</v>
      </c>
    </row>
    <row r="666" spans="1:29" x14ac:dyDescent="0.25">
      <c r="A666" s="53">
        <v>2021</v>
      </c>
      <c r="B666" s="53">
        <v>193</v>
      </c>
      <c r="C666" s="71" t="s">
        <v>105</v>
      </c>
      <c r="D666" t="s">
        <v>339</v>
      </c>
      <c r="E666" s="9" t="s">
        <v>1626</v>
      </c>
      <c r="G666" s="1">
        <v>44518</v>
      </c>
      <c r="H666" t="s">
        <v>1625</v>
      </c>
      <c r="K666" t="b">
        <f>(IF(AND(I666&lt;&gt;"",AND(J666="",ABS(Q666)&gt;400)),TRUE,FALSE))</f>
        <v>0</v>
      </c>
      <c r="L666" s="48">
        <v>10.32</v>
      </c>
      <c r="M666" s="72">
        <v>1</v>
      </c>
      <c r="N666">
        <v>20</v>
      </c>
      <c r="O666" s="31">
        <f t="shared" si="393"/>
        <v>2.0640000000000001</v>
      </c>
      <c r="P666" s="31">
        <f t="shared" si="394"/>
        <v>2.0640000000000001</v>
      </c>
      <c r="Q666" s="33">
        <f t="shared" si="395"/>
        <v>10.32</v>
      </c>
      <c r="R666" s="29">
        <f t="shared" si="396"/>
        <v>12.384</v>
      </c>
      <c r="S666" s="29">
        <f>Q666+P666</f>
        <v>12.384</v>
      </c>
      <c r="T666" s="35">
        <f t="shared" si="404"/>
        <v>44607</v>
      </c>
      <c r="U666" s="27"/>
      <c r="V666" s="27"/>
      <c r="W666" s="58">
        <f t="shared" si="403"/>
        <v>10.32</v>
      </c>
      <c r="X666" s="31">
        <f t="shared" si="398"/>
        <v>0</v>
      </c>
      <c r="Y666" t="b">
        <f t="shared" si="399"/>
        <v>0</v>
      </c>
      <c r="Z666" s="78">
        <f t="shared" si="400"/>
        <v>-10.32</v>
      </c>
    </row>
    <row r="667" spans="1:29" x14ac:dyDescent="0.25">
      <c r="A667" s="53">
        <v>2022</v>
      </c>
      <c r="B667" s="53">
        <v>1</v>
      </c>
      <c r="C667" s="71" t="s">
        <v>105</v>
      </c>
      <c r="D667" t="s">
        <v>703</v>
      </c>
      <c r="E667" s="9" t="s">
        <v>1644</v>
      </c>
      <c r="G667" s="1">
        <v>44564</v>
      </c>
      <c r="H667" t="s">
        <v>34</v>
      </c>
      <c r="K667" t="b">
        <f>(IF(AND(I667&lt;&gt;"",AND(J667="",ABS(Q667)&gt;400)),TRUE,FALSE))</f>
        <v>0</v>
      </c>
      <c r="L667" s="48">
        <v>15</v>
      </c>
      <c r="M667" s="72">
        <v>1</v>
      </c>
      <c r="N667">
        <v>20</v>
      </c>
      <c r="O667" s="31">
        <f t="shared" si="393"/>
        <v>3</v>
      </c>
      <c r="P667" s="31">
        <f t="shared" si="394"/>
        <v>3</v>
      </c>
      <c r="Q667" s="33">
        <f t="shared" si="395"/>
        <v>15</v>
      </c>
      <c r="R667" s="29">
        <f t="shared" si="396"/>
        <v>18</v>
      </c>
      <c r="S667" s="29">
        <f t="shared" ref="S667:S673" si="405">Q667+P667</f>
        <v>18</v>
      </c>
      <c r="T667" s="35">
        <f t="shared" si="404"/>
        <v>44696</v>
      </c>
      <c r="U667" s="27"/>
      <c r="V667" s="27"/>
      <c r="W667" s="58">
        <f>IF(K667=TRUE,Q667/I667,Q667)</f>
        <v>15</v>
      </c>
      <c r="X667" s="31">
        <f t="shared" si="398"/>
        <v>0</v>
      </c>
      <c r="Y667" t="b">
        <f t="shared" si="399"/>
        <v>0</v>
      </c>
      <c r="Z667" s="78">
        <f t="shared" si="400"/>
        <v>-15</v>
      </c>
      <c r="AB667" t="b">
        <f t="shared" ref="AB667:AB730" si="406">S667=L667*(100+N667)%</f>
        <v>1</v>
      </c>
    </row>
    <row r="668" spans="1:29" x14ac:dyDescent="0.25">
      <c r="A668" s="53">
        <v>2022</v>
      </c>
      <c r="B668" s="53">
        <v>2</v>
      </c>
      <c r="C668" s="71" t="s">
        <v>105</v>
      </c>
      <c r="D668" t="s">
        <v>705</v>
      </c>
      <c r="E668" s="9" t="s">
        <v>1645</v>
      </c>
      <c r="G668" s="1">
        <v>44564</v>
      </c>
      <c r="H668" t="s">
        <v>1404</v>
      </c>
      <c r="K668" t="b">
        <v>0</v>
      </c>
      <c r="L668" s="109">
        <v>10.4</v>
      </c>
      <c r="M668" s="72">
        <v>1</v>
      </c>
      <c r="N668">
        <v>0</v>
      </c>
      <c r="O668" s="31">
        <f t="shared" si="393"/>
        <v>0</v>
      </c>
      <c r="P668" s="31">
        <f t="shared" si="394"/>
        <v>0</v>
      </c>
      <c r="Q668" s="33">
        <f t="shared" si="395"/>
        <v>10.4</v>
      </c>
      <c r="R668" s="29">
        <f t="shared" si="396"/>
        <v>10.4</v>
      </c>
      <c r="S668" s="29">
        <f t="shared" si="405"/>
        <v>10.4</v>
      </c>
      <c r="T668" s="35">
        <f t="shared" si="404"/>
        <v>44696</v>
      </c>
      <c r="U668" s="27"/>
      <c r="V668" s="27">
        <v>20</v>
      </c>
      <c r="W668" s="58">
        <f>IF(K668=TRUE,Q668/I668,Q668)</f>
        <v>10.4</v>
      </c>
      <c r="X668" s="31">
        <f t="shared" si="398"/>
        <v>2.08</v>
      </c>
      <c r="Y668" t="b">
        <f t="shared" si="399"/>
        <v>0</v>
      </c>
      <c r="Z668" s="78">
        <f t="shared" si="400"/>
        <v>-10.4</v>
      </c>
      <c r="AB668" t="b">
        <f t="shared" si="406"/>
        <v>1</v>
      </c>
    </row>
    <row r="669" spans="1:29" x14ac:dyDescent="0.25">
      <c r="A669" s="53">
        <v>2022</v>
      </c>
      <c r="B669" s="53">
        <v>3</v>
      </c>
      <c r="C669" s="71" t="s">
        <v>708</v>
      </c>
      <c r="D669" t="s">
        <v>709</v>
      </c>
      <c r="E669" s="9" t="s">
        <v>1646</v>
      </c>
      <c r="G669" s="1">
        <v>44565</v>
      </c>
      <c r="H669" t="s">
        <v>1266</v>
      </c>
      <c r="K669" t="b">
        <f>(IF(AND(I669&lt;&gt;"",AND(J669="",ABS(Q669)&gt;400)),TRUE,FALSE))</f>
        <v>0</v>
      </c>
      <c r="L669" s="48">
        <v>14.94</v>
      </c>
      <c r="M669" s="72">
        <v>1</v>
      </c>
      <c r="N669">
        <v>20</v>
      </c>
      <c r="O669" s="31">
        <f t="shared" si="393"/>
        <v>2.988</v>
      </c>
      <c r="P669" s="31">
        <f t="shared" si="394"/>
        <v>2.988</v>
      </c>
      <c r="Q669" s="33">
        <f t="shared" si="395"/>
        <v>14.94</v>
      </c>
      <c r="R669" s="29">
        <f t="shared" si="396"/>
        <v>17.928000000000001</v>
      </c>
      <c r="S669" s="29">
        <f t="shared" si="405"/>
        <v>17.928000000000001</v>
      </c>
      <c r="T669" s="35">
        <f t="shared" si="404"/>
        <v>44696</v>
      </c>
      <c r="U669" s="27"/>
      <c r="V669" s="27"/>
      <c r="W669" s="58">
        <f>IF(K669=TRUE,Q669/I669,Q669)</f>
        <v>14.94</v>
      </c>
      <c r="X669" s="31">
        <f t="shared" si="398"/>
        <v>0</v>
      </c>
      <c r="Y669" t="b">
        <f t="shared" si="399"/>
        <v>0</v>
      </c>
      <c r="Z669" s="78">
        <f t="shared" si="400"/>
        <v>14.94</v>
      </c>
      <c r="AB669" t="b">
        <f t="shared" si="406"/>
        <v>1</v>
      </c>
    </row>
    <row r="670" spans="1:29" x14ac:dyDescent="0.25">
      <c r="A670" s="53">
        <v>2022</v>
      </c>
      <c r="B670" s="53">
        <v>4</v>
      </c>
      <c r="C670" s="71" t="s">
        <v>105</v>
      </c>
      <c r="D670" t="s">
        <v>691</v>
      </c>
      <c r="G670" s="1">
        <v>44564</v>
      </c>
      <c r="H670" t="s">
        <v>1113</v>
      </c>
      <c r="K670" t="b">
        <v>0</v>
      </c>
      <c r="L670" s="90">
        <f>574.43/1.2</f>
        <v>478.69166666666666</v>
      </c>
      <c r="M670" s="72">
        <v>1</v>
      </c>
      <c r="N670">
        <v>20</v>
      </c>
      <c r="O670" s="31">
        <f t="shared" si="393"/>
        <v>95.738333333333344</v>
      </c>
      <c r="P670" s="31">
        <f t="shared" si="394"/>
        <v>95.738333333333344</v>
      </c>
      <c r="Q670" s="33">
        <f t="shared" si="395"/>
        <v>478.69166666666666</v>
      </c>
      <c r="R670" s="29">
        <f t="shared" si="396"/>
        <v>574.43000000000006</v>
      </c>
      <c r="S670" s="29">
        <f t="shared" si="405"/>
        <v>574.43000000000006</v>
      </c>
      <c r="T670" s="35">
        <f t="shared" si="404"/>
        <v>44696</v>
      </c>
      <c r="U670" s="27"/>
      <c r="V670" s="27"/>
      <c r="W670" s="58">
        <f t="shared" ref="W670:W681" si="407">IF(K670=TRUE,Q670/J670,Q670)</f>
        <v>478.69166666666666</v>
      </c>
      <c r="X670" s="31">
        <f t="shared" si="398"/>
        <v>0</v>
      </c>
      <c r="Y670" t="b">
        <f t="shared" si="399"/>
        <v>0</v>
      </c>
      <c r="Z670" s="78">
        <f t="shared" si="400"/>
        <v>-478.69166666666666</v>
      </c>
      <c r="AB670" t="b">
        <f t="shared" si="406"/>
        <v>1</v>
      </c>
    </row>
    <row r="671" spans="1:29" x14ac:dyDescent="0.25">
      <c r="A671" s="53">
        <v>2022</v>
      </c>
      <c r="B671" s="53">
        <v>5</v>
      </c>
      <c r="C671" s="71" t="s">
        <v>708</v>
      </c>
      <c r="D671" t="s">
        <v>709</v>
      </c>
      <c r="E671" s="9" t="s">
        <v>1647</v>
      </c>
      <c r="G671" s="1">
        <v>44566</v>
      </c>
      <c r="H671" t="s">
        <v>923</v>
      </c>
      <c r="K671" t="b">
        <f>(IF(AND(I671&lt;&gt;"",AND(J671="",ABS(Q671)&gt;400)),TRUE,FALSE))</f>
        <v>0</v>
      </c>
      <c r="L671" s="48">
        <v>87.5</v>
      </c>
      <c r="M671" s="72">
        <v>1</v>
      </c>
      <c r="N671">
        <v>20</v>
      </c>
      <c r="O671" s="31">
        <f t="shared" si="393"/>
        <v>17.5</v>
      </c>
      <c r="P671" s="31">
        <f t="shared" si="394"/>
        <v>17.5</v>
      </c>
      <c r="Q671" s="33">
        <f t="shared" si="395"/>
        <v>87.5</v>
      </c>
      <c r="R671" s="29">
        <f t="shared" si="396"/>
        <v>105</v>
      </c>
      <c r="S671" s="29">
        <f t="shared" si="405"/>
        <v>105</v>
      </c>
      <c r="T671" s="35">
        <f t="shared" si="404"/>
        <v>44696</v>
      </c>
      <c r="U671" s="27"/>
      <c r="V671" s="27"/>
      <c r="W671" s="58">
        <f t="shared" si="407"/>
        <v>87.5</v>
      </c>
      <c r="X671" s="31">
        <f t="shared" si="398"/>
        <v>0</v>
      </c>
      <c r="Y671" t="b">
        <f t="shared" si="399"/>
        <v>0</v>
      </c>
      <c r="Z671" s="78">
        <f t="shared" si="400"/>
        <v>87.5</v>
      </c>
      <c r="AB671" t="b">
        <f t="shared" si="406"/>
        <v>1</v>
      </c>
    </row>
    <row r="672" spans="1:29" x14ac:dyDescent="0.25">
      <c r="A672" s="53">
        <v>2022</v>
      </c>
      <c r="B672" s="53">
        <v>6</v>
      </c>
      <c r="C672" s="71" t="s">
        <v>105</v>
      </c>
      <c r="D672" t="s">
        <v>691</v>
      </c>
      <c r="E672" s="139" t="s">
        <v>1566</v>
      </c>
      <c r="G672" s="1">
        <v>44566</v>
      </c>
      <c r="H672" t="s">
        <v>1558</v>
      </c>
      <c r="K672" t="b">
        <v>0</v>
      </c>
      <c r="L672" s="109">
        <v>74</v>
      </c>
      <c r="M672" s="72">
        <v>1</v>
      </c>
      <c r="N672">
        <v>20</v>
      </c>
      <c r="O672" s="31">
        <f t="shared" ref="O672:O677" si="408">L672*N672/100</f>
        <v>14.8</v>
      </c>
      <c r="P672" s="31">
        <f t="shared" ref="P672:P677" si="409">M672*O672</f>
        <v>14.8</v>
      </c>
      <c r="Q672" s="33">
        <f t="shared" ref="Q672:Q677" si="410">L672*M672</f>
        <v>74</v>
      </c>
      <c r="R672" s="29">
        <f t="shared" ref="R672:R677" si="411">L672+O672</f>
        <v>88.8</v>
      </c>
      <c r="S672" s="29">
        <f t="shared" si="405"/>
        <v>88.8</v>
      </c>
      <c r="T672" s="35">
        <f t="shared" si="404"/>
        <v>44696</v>
      </c>
      <c r="U672" s="27"/>
      <c r="V672" s="27"/>
      <c r="W672" s="58">
        <f t="shared" si="407"/>
        <v>74</v>
      </c>
      <c r="X672" s="31">
        <f t="shared" ref="X672:X677" si="412">V672/100*S672</f>
        <v>0</v>
      </c>
      <c r="Y672" t="b">
        <f t="shared" ref="Y672:Y677" si="413">IF(AND(V672&gt;0,N672=V672),TRUE,FALSE)</f>
        <v>0</v>
      </c>
      <c r="Z672" s="78">
        <f t="shared" ref="Z672:Z677" si="414">IF(C672="Einnahmen",Q672,-Q672)</f>
        <v>-74</v>
      </c>
      <c r="AB672" t="b">
        <f t="shared" si="406"/>
        <v>1</v>
      </c>
    </row>
    <row r="673" spans="1:28" x14ac:dyDescent="0.25">
      <c r="A673" s="53">
        <v>2022</v>
      </c>
      <c r="B673" s="53">
        <v>7</v>
      </c>
      <c r="C673" s="71" t="s">
        <v>105</v>
      </c>
      <c r="D673" t="s">
        <v>705</v>
      </c>
      <c r="E673" s="6" t="s">
        <v>1648</v>
      </c>
      <c r="G673" s="1">
        <v>44568</v>
      </c>
      <c r="H673" t="s">
        <v>927</v>
      </c>
      <c r="J673" s="76" t="s">
        <v>958</v>
      </c>
      <c r="K673" t="b">
        <f t="shared" ref="K673:K685" si="415">(IF(AND(I673&lt;&gt;"",AND(J673="",ABS(Q673)&gt;400)),TRUE,FALSE))</f>
        <v>0</v>
      </c>
      <c r="L673" s="48">
        <v>2.4900000000000002</v>
      </c>
      <c r="M673" s="72">
        <v>1</v>
      </c>
      <c r="N673">
        <v>0</v>
      </c>
      <c r="O673" s="31">
        <f t="shared" si="408"/>
        <v>0</v>
      </c>
      <c r="P673" s="31">
        <f t="shared" si="409"/>
        <v>0</v>
      </c>
      <c r="Q673" s="33">
        <f t="shared" si="410"/>
        <v>2.4900000000000002</v>
      </c>
      <c r="R673" s="29">
        <f t="shared" si="411"/>
        <v>2.4900000000000002</v>
      </c>
      <c r="S673" s="29">
        <f t="shared" si="405"/>
        <v>2.4900000000000002</v>
      </c>
      <c r="T673" s="35">
        <f t="shared" si="404"/>
        <v>44696</v>
      </c>
      <c r="U673" s="27"/>
      <c r="V673" s="27">
        <v>20</v>
      </c>
      <c r="W673" s="58">
        <f t="shared" si="407"/>
        <v>2.4900000000000002</v>
      </c>
      <c r="X673" s="31">
        <f t="shared" si="412"/>
        <v>0.49800000000000005</v>
      </c>
      <c r="Y673" t="b">
        <f t="shared" si="413"/>
        <v>0</v>
      </c>
      <c r="Z673" s="78">
        <f t="shared" si="414"/>
        <v>-2.4900000000000002</v>
      </c>
      <c r="AB673" t="b">
        <f t="shared" si="406"/>
        <v>1</v>
      </c>
    </row>
    <row r="674" spans="1:28" x14ac:dyDescent="0.25">
      <c r="A674" s="53">
        <v>2022</v>
      </c>
      <c r="B674" s="53">
        <v>8</v>
      </c>
      <c r="C674" s="71" t="s">
        <v>105</v>
      </c>
      <c r="D674" t="s">
        <v>705</v>
      </c>
      <c r="E674" s="139" t="s">
        <v>1505</v>
      </c>
      <c r="G674" s="1">
        <v>44568</v>
      </c>
      <c r="H674" t="s">
        <v>1364</v>
      </c>
      <c r="K674" t="b">
        <f t="shared" si="415"/>
        <v>0</v>
      </c>
      <c r="L674" s="48">
        <v>2.5</v>
      </c>
      <c r="M674" s="72">
        <v>1</v>
      </c>
      <c r="N674">
        <v>20</v>
      </c>
      <c r="O674" s="31">
        <f t="shared" si="408"/>
        <v>0.5</v>
      </c>
      <c r="P674" s="31">
        <f t="shared" si="409"/>
        <v>0.5</v>
      </c>
      <c r="Q674" s="33">
        <f t="shared" si="410"/>
        <v>2.5</v>
      </c>
      <c r="R674" s="29">
        <f t="shared" si="411"/>
        <v>3</v>
      </c>
      <c r="S674" s="29">
        <f t="shared" ref="S674:S680" si="416">Q674+P674</f>
        <v>3</v>
      </c>
      <c r="T674" s="35">
        <f t="shared" si="404"/>
        <v>44696</v>
      </c>
      <c r="U674" s="27"/>
      <c r="V674" s="27"/>
      <c r="W674" s="58">
        <f t="shared" si="407"/>
        <v>2.5</v>
      </c>
      <c r="X674" s="31">
        <f t="shared" si="412"/>
        <v>0</v>
      </c>
      <c r="Y674" t="b">
        <f t="shared" si="413"/>
        <v>0</v>
      </c>
      <c r="Z674" s="78">
        <f t="shared" si="414"/>
        <v>-2.5</v>
      </c>
      <c r="AB674" t="b">
        <f t="shared" si="406"/>
        <v>1</v>
      </c>
    </row>
    <row r="675" spans="1:28" x14ac:dyDescent="0.25">
      <c r="A675" s="53">
        <v>2022</v>
      </c>
      <c r="B675" s="53">
        <v>9</v>
      </c>
      <c r="C675" s="71" t="s">
        <v>708</v>
      </c>
      <c r="D675" t="s">
        <v>709</v>
      </c>
      <c r="E675">
        <v>12021035</v>
      </c>
      <c r="G675" s="1">
        <v>44568</v>
      </c>
      <c r="H675" t="s">
        <v>983</v>
      </c>
      <c r="K675" t="b">
        <f t="shared" si="415"/>
        <v>0</v>
      </c>
      <c r="L675" s="48">
        <v>448.5</v>
      </c>
      <c r="M675" s="72">
        <v>1</v>
      </c>
      <c r="N675">
        <v>20</v>
      </c>
      <c r="O675" s="31">
        <f t="shared" si="408"/>
        <v>89.7</v>
      </c>
      <c r="P675" s="31">
        <f t="shared" si="409"/>
        <v>89.7</v>
      </c>
      <c r="Q675" s="33">
        <f t="shared" si="410"/>
        <v>448.5</v>
      </c>
      <c r="R675" s="29">
        <f t="shared" si="411"/>
        <v>538.20000000000005</v>
      </c>
      <c r="S675" s="29">
        <f t="shared" si="416"/>
        <v>538.20000000000005</v>
      </c>
      <c r="T675" s="35">
        <f t="shared" si="404"/>
        <v>44696</v>
      </c>
      <c r="U675" s="27"/>
      <c r="V675" s="27"/>
      <c r="W675" s="58">
        <f t="shared" si="407"/>
        <v>448.5</v>
      </c>
      <c r="X675" s="31">
        <f t="shared" si="412"/>
        <v>0</v>
      </c>
      <c r="Y675" t="b">
        <f t="shared" si="413"/>
        <v>0</v>
      </c>
      <c r="Z675" s="78">
        <f t="shared" si="414"/>
        <v>448.5</v>
      </c>
      <c r="AB675" t="b">
        <f t="shared" si="406"/>
        <v>1</v>
      </c>
    </row>
    <row r="676" spans="1:28" x14ac:dyDescent="0.25">
      <c r="A676" s="53">
        <v>2022</v>
      </c>
      <c r="B676" s="53">
        <v>10</v>
      </c>
      <c r="C676" s="71" t="s">
        <v>105</v>
      </c>
      <c r="D676" t="s">
        <v>705</v>
      </c>
      <c r="E676" s="139" t="s">
        <v>1649</v>
      </c>
      <c r="G676" s="1">
        <v>44571</v>
      </c>
      <c r="H676" t="s">
        <v>1466</v>
      </c>
      <c r="K676" t="b">
        <f t="shared" si="415"/>
        <v>0</v>
      </c>
      <c r="L676" s="48">
        <v>8.18</v>
      </c>
      <c r="M676" s="72">
        <v>1</v>
      </c>
      <c r="N676">
        <v>20</v>
      </c>
      <c r="O676" s="31">
        <f t="shared" si="408"/>
        <v>1.6359999999999999</v>
      </c>
      <c r="P676" s="31">
        <f t="shared" si="409"/>
        <v>1.6359999999999999</v>
      </c>
      <c r="Q676" s="33">
        <f t="shared" si="410"/>
        <v>8.18</v>
      </c>
      <c r="R676" s="29">
        <f t="shared" si="411"/>
        <v>9.8159999999999989</v>
      </c>
      <c r="S676" s="29">
        <f t="shared" si="416"/>
        <v>9.8159999999999989</v>
      </c>
      <c r="T676" s="35">
        <f t="shared" si="404"/>
        <v>44696</v>
      </c>
      <c r="U676" s="27"/>
      <c r="V676" s="27"/>
      <c r="W676" s="58">
        <f t="shared" si="407"/>
        <v>8.18</v>
      </c>
      <c r="X676" s="31">
        <f t="shared" si="412"/>
        <v>0</v>
      </c>
      <c r="Y676" t="b">
        <f t="shared" si="413"/>
        <v>0</v>
      </c>
      <c r="Z676" s="78">
        <f t="shared" si="414"/>
        <v>-8.18</v>
      </c>
      <c r="AB676" t="b">
        <f t="shared" si="406"/>
        <v>1</v>
      </c>
    </row>
    <row r="677" spans="1:28" x14ac:dyDescent="0.25">
      <c r="A677" s="53">
        <v>2022</v>
      </c>
      <c r="B677" s="53">
        <v>11</v>
      </c>
      <c r="C677" s="71" t="s">
        <v>105</v>
      </c>
      <c r="D677" t="s">
        <v>705</v>
      </c>
      <c r="E677" s="9" t="s">
        <v>1650</v>
      </c>
      <c r="G677" s="1">
        <v>44574</v>
      </c>
      <c r="H677" t="s">
        <v>927</v>
      </c>
      <c r="K677" t="b">
        <f t="shared" si="415"/>
        <v>0</v>
      </c>
      <c r="L677" s="48">
        <v>47.776499999999999</v>
      </c>
      <c r="M677" s="72">
        <v>1</v>
      </c>
      <c r="N677">
        <v>0</v>
      </c>
      <c r="O677" s="31">
        <f t="shared" si="408"/>
        <v>0</v>
      </c>
      <c r="P677" s="31">
        <f t="shared" si="409"/>
        <v>0</v>
      </c>
      <c r="Q677" s="33">
        <f t="shared" si="410"/>
        <v>47.776499999999999</v>
      </c>
      <c r="R677" s="29">
        <f t="shared" si="411"/>
        <v>47.776499999999999</v>
      </c>
      <c r="S677" s="29">
        <f t="shared" si="416"/>
        <v>47.776499999999999</v>
      </c>
      <c r="T677" s="35">
        <f t="shared" si="404"/>
        <v>44696</v>
      </c>
      <c r="U677" s="27"/>
      <c r="V677" s="27">
        <v>20</v>
      </c>
      <c r="W677" s="58">
        <f t="shared" si="407"/>
        <v>47.776499999999999</v>
      </c>
      <c r="X677" s="31">
        <f t="shared" si="412"/>
        <v>9.5553000000000008</v>
      </c>
      <c r="Y677" t="b">
        <f t="shared" si="413"/>
        <v>0</v>
      </c>
      <c r="Z677" s="78">
        <f t="shared" si="414"/>
        <v>-47.776499999999999</v>
      </c>
      <c r="AB677" t="b">
        <f t="shared" si="406"/>
        <v>1</v>
      </c>
    </row>
    <row r="678" spans="1:28" x14ac:dyDescent="0.25">
      <c r="A678" s="53">
        <v>2022</v>
      </c>
      <c r="B678" s="53">
        <v>12</v>
      </c>
      <c r="C678" s="71" t="s">
        <v>708</v>
      </c>
      <c r="D678" t="s">
        <v>709</v>
      </c>
      <c r="E678" s="9" t="s">
        <v>1651</v>
      </c>
      <c r="G678" s="1">
        <v>44574</v>
      </c>
      <c r="H678" t="s">
        <v>1652</v>
      </c>
      <c r="K678" t="b">
        <f t="shared" si="415"/>
        <v>0</v>
      </c>
      <c r="L678" s="48">
        <v>3997.5</v>
      </c>
      <c r="M678" s="72">
        <v>1</v>
      </c>
      <c r="N678">
        <v>20</v>
      </c>
      <c r="O678" s="31">
        <f t="shared" ref="O678:O684" si="417">L678*N678/100</f>
        <v>799.5</v>
      </c>
      <c r="P678" s="31">
        <f t="shared" ref="P678:P684" si="418">M678*O678</f>
        <v>799.5</v>
      </c>
      <c r="Q678" s="33">
        <f t="shared" ref="Q678:Q690" si="419">L678*M678</f>
        <v>3997.5</v>
      </c>
      <c r="R678" s="29">
        <f t="shared" ref="R678:R690" si="420">L678+O678</f>
        <v>4797</v>
      </c>
      <c r="S678" s="29">
        <f t="shared" si="416"/>
        <v>4797</v>
      </c>
      <c r="T678" s="35">
        <f t="shared" si="404"/>
        <v>44696</v>
      </c>
      <c r="U678" s="27"/>
      <c r="V678" s="27">
        <v>20</v>
      </c>
      <c r="W678" s="58">
        <f t="shared" si="407"/>
        <v>3997.5</v>
      </c>
      <c r="X678" s="31">
        <f t="shared" ref="X678:X690" si="421">V678/100*S678</f>
        <v>959.40000000000009</v>
      </c>
      <c r="Y678" t="b">
        <f t="shared" ref="Y678:Y690" si="422">IF(AND(V678&gt;0,N678=V678),TRUE,FALSE)</f>
        <v>1</v>
      </c>
      <c r="Z678" s="78">
        <f t="shared" ref="Z678:Z690" si="423">IF(C678="Einnahmen",Q678,-Q678)</f>
        <v>3997.5</v>
      </c>
      <c r="AB678" t="b">
        <f t="shared" si="406"/>
        <v>1</v>
      </c>
    </row>
    <row r="679" spans="1:28" x14ac:dyDescent="0.25">
      <c r="A679" s="53">
        <v>2022</v>
      </c>
      <c r="B679" s="53">
        <v>13</v>
      </c>
      <c r="C679" s="71" t="s">
        <v>105</v>
      </c>
      <c r="D679" t="s">
        <v>705</v>
      </c>
      <c r="E679" s="153" t="s">
        <v>1698</v>
      </c>
      <c r="G679" s="1">
        <v>44575</v>
      </c>
      <c r="H679" t="s">
        <v>1364</v>
      </c>
      <c r="K679" t="b">
        <f t="shared" si="415"/>
        <v>0</v>
      </c>
      <c r="L679" s="90">
        <f>9.04/1.2</f>
        <v>7.5333333333333332</v>
      </c>
      <c r="M679" s="72">
        <v>1</v>
      </c>
      <c r="N679">
        <v>20</v>
      </c>
      <c r="O679" s="31">
        <f t="shared" si="417"/>
        <v>1.5066666666666666</v>
      </c>
      <c r="P679" s="31">
        <f t="shared" si="418"/>
        <v>1.5066666666666666</v>
      </c>
      <c r="Q679" s="33">
        <f t="shared" si="419"/>
        <v>7.5333333333333332</v>
      </c>
      <c r="R679" s="29">
        <f t="shared" si="420"/>
        <v>9.0399999999999991</v>
      </c>
      <c r="S679" s="29">
        <f t="shared" si="416"/>
        <v>9.0399999999999991</v>
      </c>
      <c r="T679" s="35">
        <f t="shared" si="404"/>
        <v>44696</v>
      </c>
      <c r="U679" s="27"/>
      <c r="V679" s="27"/>
      <c r="W679" s="58">
        <f t="shared" si="407"/>
        <v>7.5333333333333332</v>
      </c>
      <c r="X679" s="31">
        <f t="shared" si="421"/>
        <v>0</v>
      </c>
      <c r="Y679" t="b">
        <f t="shared" si="422"/>
        <v>0</v>
      </c>
      <c r="Z679" s="78">
        <f t="shared" si="423"/>
        <v>-7.5333333333333332</v>
      </c>
      <c r="AB679" t="b">
        <f t="shared" si="406"/>
        <v>1</v>
      </c>
    </row>
    <row r="680" spans="1:28" x14ac:dyDescent="0.25">
      <c r="A680" s="53">
        <v>2022</v>
      </c>
      <c r="B680" s="53">
        <v>14</v>
      </c>
      <c r="C680" s="71" t="s">
        <v>105</v>
      </c>
      <c r="D680" t="s">
        <v>705</v>
      </c>
      <c r="E680" s="9" t="s">
        <v>1655</v>
      </c>
      <c r="G680" s="1">
        <v>44575</v>
      </c>
      <c r="H680" t="s">
        <v>1653</v>
      </c>
      <c r="K680" t="b">
        <f t="shared" si="415"/>
        <v>0</v>
      </c>
      <c r="L680" s="48">
        <v>265.08</v>
      </c>
      <c r="M680" s="72">
        <v>1</v>
      </c>
      <c r="N680">
        <v>0</v>
      </c>
      <c r="O680" s="31">
        <f t="shared" si="417"/>
        <v>0</v>
      </c>
      <c r="P680" s="31">
        <f t="shared" si="418"/>
        <v>0</v>
      </c>
      <c r="Q680" s="33">
        <f t="shared" si="419"/>
        <v>265.08</v>
      </c>
      <c r="R680" s="29">
        <f t="shared" si="420"/>
        <v>265.08</v>
      </c>
      <c r="S680" s="29">
        <f t="shared" si="416"/>
        <v>265.08</v>
      </c>
      <c r="T680" s="35">
        <f t="shared" si="404"/>
        <v>44696</v>
      </c>
      <c r="U680" s="27"/>
      <c r="V680" s="27"/>
      <c r="W680" s="58">
        <f t="shared" si="407"/>
        <v>265.08</v>
      </c>
      <c r="X680" s="31">
        <f t="shared" si="421"/>
        <v>0</v>
      </c>
      <c r="Y680" t="b">
        <f t="shared" si="422"/>
        <v>0</v>
      </c>
      <c r="Z680" s="78">
        <f t="shared" si="423"/>
        <v>-265.08</v>
      </c>
      <c r="AB680" t="b">
        <f t="shared" si="406"/>
        <v>1</v>
      </c>
    </row>
    <row r="681" spans="1:28" x14ac:dyDescent="0.25">
      <c r="A681" s="53">
        <v>2022</v>
      </c>
      <c r="B681" s="53">
        <v>15</v>
      </c>
      <c r="C681" s="71" t="s">
        <v>105</v>
      </c>
      <c r="D681" t="s">
        <v>705</v>
      </c>
      <c r="E681" s="6" t="s">
        <v>1619</v>
      </c>
      <c r="G681" s="1">
        <v>44582</v>
      </c>
      <c r="H681" t="s">
        <v>1032</v>
      </c>
      <c r="K681" t="b">
        <f t="shared" si="415"/>
        <v>0</v>
      </c>
      <c r="L681" s="48">
        <v>10.5</v>
      </c>
      <c r="M681" s="72">
        <v>1</v>
      </c>
      <c r="N681">
        <v>0</v>
      </c>
      <c r="O681" s="31">
        <f t="shared" si="417"/>
        <v>0</v>
      </c>
      <c r="P681" s="31">
        <f t="shared" si="418"/>
        <v>0</v>
      </c>
      <c r="Q681" s="33">
        <f t="shared" si="419"/>
        <v>10.5</v>
      </c>
      <c r="R681" s="29">
        <f t="shared" si="420"/>
        <v>10.5</v>
      </c>
      <c r="S681" s="29">
        <f t="shared" ref="S681:S689" si="424">Q681+P681</f>
        <v>10.5</v>
      </c>
      <c r="T681" s="35">
        <f t="shared" si="404"/>
        <v>44696</v>
      </c>
      <c r="U681" s="27"/>
      <c r="V681" s="27">
        <v>20</v>
      </c>
      <c r="W681" s="58">
        <f t="shared" si="407"/>
        <v>10.5</v>
      </c>
      <c r="X681" s="31">
        <f t="shared" si="421"/>
        <v>2.1</v>
      </c>
      <c r="Y681" t="b">
        <f t="shared" si="422"/>
        <v>0</v>
      </c>
      <c r="Z681" s="78">
        <f t="shared" si="423"/>
        <v>-10.5</v>
      </c>
      <c r="AB681" t="b">
        <f t="shared" si="406"/>
        <v>1</v>
      </c>
    </row>
    <row r="682" spans="1:28" x14ac:dyDescent="0.25">
      <c r="A682" s="53">
        <v>2022</v>
      </c>
      <c r="B682" s="53">
        <v>16</v>
      </c>
      <c r="C682" s="71" t="s">
        <v>105</v>
      </c>
      <c r="D682" t="s">
        <v>703</v>
      </c>
      <c r="E682" s="131" t="s">
        <v>1618</v>
      </c>
      <c r="G682" s="1">
        <v>44585</v>
      </c>
      <c r="H682" t="s">
        <v>1148</v>
      </c>
      <c r="K682" t="b">
        <f t="shared" si="415"/>
        <v>0</v>
      </c>
      <c r="L682" s="48">
        <v>31.92</v>
      </c>
      <c r="M682" s="72">
        <v>1</v>
      </c>
      <c r="N682">
        <v>20</v>
      </c>
      <c r="O682" s="31">
        <f t="shared" si="417"/>
        <v>6.3840000000000012</v>
      </c>
      <c r="P682" s="31">
        <f t="shared" si="418"/>
        <v>6.3840000000000012</v>
      </c>
      <c r="Q682" s="33">
        <f t="shared" si="419"/>
        <v>31.92</v>
      </c>
      <c r="R682" s="29">
        <f t="shared" si="420"/>
        <v>38.304000000000002</v>
      </c>
      <c r="S682" s="29">
        <f t="shared" si="424"/>
        <v>38.304000000000002</v>
      </c>
      <c r="T682" s="35">
        <f t="shared" si="404"/>
        <v>44696</v>
      </c>
      <c r="U682" s="27"/>
      <c r="V682" s="27"/>
      <c r="W682" s="58">
        <f>IF(K682=TRUE,Q682/I682,Q682)</f>
        <v>31.92</v>
      </c>
      <c r="X682" s="31">
        <f t="shared" si="421"/>
        <v>0</v>
      </c>
      <c r="Y682" t="b">
        <f t="shared" si="422"/>
        <v>0</v>
      </c>
      <c r="Z682" s="78">
        <f t="shared" si="423"/>
        <v>-31.92</v>
      </c>
      <c r="AB682" t="b">
        <f t="shared" si="406"/>
        <v>1</v>
      </c>
    </row>
    <row r="683" spans="1:28" x14ac:dyDescent="0.25">
      <c r="A683" s="53">
        <v>2022</v>
      </c>
      <c r="B683" s="53">
        <v>17</v>
      </c>
      <c r="C683" s="71" t="s">
        <v>708</v>
      </c>
      <c r="D683" t="s">
        <v>709</v>
      </c>
      <c r="E683" s="6">
        <v>12021036</v>
      </c>
      <c r="G683" s="1">
        <v>44585</v>
      </c>
      <c r="H683" t="s">
        <v>1384</v>
      </c>
      <c r="K683" t="b">
        <f t="shared" si="415"/>
        <v>0</v>
      </c>
      <c r="L683" s="48">
        <v>92.11</v>
      </c>
      <c r="M683" s="72">
        <v>1</v>
      </c>
      <c r="N683">
        <v>20</v>
      </c>
      <c r="O683" s="31">
        <f t="shared" si="417"/>
        <v>18.422000000000001</v>
      </c>
      <c r="P683" s="31">
        <f t="shared" si="418"/>
        <v>18.422000000000001</v>
      </c>
      <c r="Q683" s="33">
        <f t="shared" si="419"/>
        <v>92.11</v>
      </c>
      <c r="R683" s="29">
        <f t="shared" si="420"/>
        <v>110.532</v>
      </c>
      <c r="S683" s="29">
        <f t="shared" si="424"/>
        <v>110.532</v>
      </c>
      <c r="T683" s="35">
        <f t="shared" si="404"/>
        <v>44696</v>
      </c>
      <c r="U683" s="27"/>
      <c r="V683" s="27"/>
      <c r="W683" s="58">
        <f>IF(K683=TRUE,Q683/J683,Q683)</f>
        <v>92.11</v>
      </c>
      <c r="X683" s="31">
        <f t="shared" si="421"/>
        <v>0</v>
      </c>
      <c r="Y683" t="b">
        <f t="shared" si="422"/>
        <v>0</v>
      </c>
      <c r="Z683" s="78">
        <f t="shared" si="423"/>
        <v>92.11</v>
      </c>
      <c r="AB683" t="b">
        <f t="shared" si="406"/>
        <v>1</v>
      </c>
    </row>
    <row r="684" spans="1:28" x14ac:dyDescent="0.25">
      <c r="A684" s="53">
        <v>2022</v>
      </c>
      <c r="B684" s="53">
        <v>18</v>
      </c>
      <c r="C684" s="71" t="s">
        <v>105</v>
      </c>
      <c r="D684" t="s">
        <v>705</v>
      </c>
      <c r="E684" s="9" t="s">
        <v>1654</v>
      </c>
      <c r="G684" s="1">
        <v>44587</v>
      </c>
      <c r="H684" t="s">
        <v>941</v>
      </c>
      <c r="K684" t="b">
        <f t="shared" si="415"/>
        <v>0</v>
      </c>
      <c r="L684" s="48">
        <v>20.75</v>
      </c>
      <c r="M684" s="72">
        <v>1</v>
      </c>
      <c r="N684">
        <v>20</v>
      </c>
      <c r="O684" s="31">
        <f t="shared" si="417"/>
        <v>4.1500000000000004</v>
      </c>
      <c r="P684" s="31">
        <f t="shared" si="418"/>
        <v>4.1500000000000004</v>
      </c>
      <c r="Q684" s="33">
        <f t="shared" si="419"/>
        <v>20.75</v>
      </c>
      <c r="R684" s="29">
        <f t="shared" si="420"/>
        <v>24.9</v>
      </c>
      <c r="S684" s="29">
        <f t="shared" si="424"/>
        <v>24.9</v>
      </c>
      <c r="T684" s="35">
        <f t="shared" si="404"/>
        <v>44696</v>
      </c>
      <c r="U684" s="27"/>
      <c r="V684" s="27"/>
      <c r="W684" s="58">
        <f>IF(K684=TRUE,Q684/J684,Q684)</f>
        <v>20.75</v>
      </c>
      <c r="X684" s="31">
        <f t="shared" si="421"/>
        <v>0</v>
      </c>
      <c r="Y684" t="b">
        <f t="shared" si="422"/>
        <v>0</v>
      </c>
      <c r="Z684" s="78">
        <f t="shared" si="423"/>
        <v>-20.75</v>
      </c>
      <c r="AB684" t="b">
        <f t="shared" si="406"/>
        <v>1</v>
      </c>
    </row>
    <row r="685" spans="1:28" x14ac:dyDescent="0.25">
      <c r="A685" s="53">
        <v>2022</v>
      </c>
      <c r="B685" s="53">
        <v>19</v>
      </c>
      <c r="C685" s="71" t="s">
        <v>105</v>
      </c>
      <c r="D685" t="s">
        <v>683</v>
      </c>
      <c r="E685" s="9" t="s">
        <v>1696</v>
      </c>
      <c r="G685" s="1">
        <v>44593</v>
      </c>
      <c r="H685" t="s">
        <v>1697</v>
      </c>
      <c r="K685" t="b">
        <f t="shared" si="415"/>
        <v>0</v>
      </c>
      <c r="L685" s="109">
        <f>59.88/1.2</f>
        <v>49.900000000000006</v>
      </c>
      <c r="M685" s="72">
        <v>1</v>
      </c>
      <c r="N685">
        <v>20</v>
      </c>
      <c r="O685" s="31">
        <f>L685*N685/100</f>
        <v>9.98</v>
      </c>
      <c r="P685" s="31">
        <f>M685*O685</f>
        <v>9.98</v>
      </c>
      <c r="Q685" s="33">
        <f t="shared" si="419"/>
        <v>49.900000000000006</v>
      </c>
      <c r="R685" s="29">
        <f t="shared" si="420"/>
        <v>59.88000000000001</v>
      </c>
      <c r="S685" s="29">
        <f t="shared" si="424"/>
        <v>59.88000000000001</v>
      </c>
      <c r="T685" s="35">
        <f t="shared" si="404"/>
        <v>44696</v>
      </c>
      <c r="U685" s="27"/>
      <c r="V685" s="27"/>
      <c r="W685" s="58">
        <f>IF(K685=TRUE,Q685/I685,Q685)</f>
        <v>49.900000000000006</v>
      </c>
      <c r="X685" s="31">
        <f t="shared" si="421"/>
        <v>0</v>
      </c>
      <c r="Y685" t="b">
        <f t="shared" si="422"/>
        <v>0</v>
      </c>
      <c r="Z685" s="78">
        <f t="shared" si="423"/>
        <v>-49.900000000000006</v>
      </c>
      <c r="AB685" t="b">
        <f t="shared" si="406"/>
        <v>1</v>
      </c>
    </row>
    <row r="686" spans="1:28" x14ac:dyDescent="0.25">
      <c r="A686" s="53">
        <v>2022</v>
      </c>
      <c r="B686" s="53">
        <v>20</v>
      </c>
      <c r="C686" s="71" t="s">
        <v>105</v>
      </c>
      <c r="D686" t="s">
        <v>691</v>
      </c>
      <c r="G686" s="1">
        <v>44593</v>
      </c>
      <c r="H686" t="s">
        <v>1113</v>
      </c>
      <c r="K686" t="b">
        <v>0</v>
      </c>
      <c r="L686" s="109">
        <f>574.43/1.2</f>
        <v>478.69166666666666</v>
      </c>
      <c r="M686" s="72">
        <v>1</v>
      </c>
      <c r="N686">
        <v>20</v>
      </c>
      <c r="O686" s="31">
        <f t="shared" ref="O686:O699" si="425">L686*N686/100</f>
        <v>95.738333333333344</v>
      </c>
      <c r="P686" s="31">
        <f t="shared" ref="P686:P699" si="426">M686*O686</f>
        <v>95.738333333333344</v>
      </c>
      <c r="Q686" s="33">
        <f t="shared" si="419"/>
        <v>478.69166666666666</v>
      </c>
      <c r="R686" s="29">
        <f t="shared" si="420"/>
        <v>574.43000000000006</v>
      </c>
      <c r="S686" s="29">
        <f t="shared" si="424"/>
        <v>574.43000000000006</v>
      </c>
      <c r="T686" s="35">
        <f t="shared" si="404"/>
        <v>44696</v>
      </c>
      <c r="U686" s="27"/>
      <c r="V686" s="27"/>
      <c r="W686" s="58">
        <f>IF(K686=TRUE,Q686/J686,Q686)</f>
        <v>478.69166666666666</v>
      </c>
      <c r="X686" s="31">
        <f t="shared" si="421"/>
        <v>0</v>
      </c>
      <c r="Y686" t="b">
        <f t="shared" si="422"/>
        <v>0</v>
      </c>
      <c r="Z686" s="78">
        <f t="shared" si="423"/>
        <v>-478.69166666666666</v>
      </c>
      <c r="AB686" t="b">
        <f t="shared" si="406"/>
        <v>1</v>
      </c>
    </row>
    <row r="687" spans="1:28" x14ac:dyDescent="0.25">
      <c r="A687" s="53">
        <v>2022</v>
      </c>
      <c r="B687" s="53">
        <v>21</v>
      </c>
      <c r="C687" s="71" t="s">
        <v>105</v>
      </c>
      <c r="D687" t="s">
        <v>703</v>
      </c>
      <c r="E687" s="9" t="s">
        <v>1656</v>
      </c>
      <c r="G687" s="1">
        <v>44593</v>
      </c>
      <c r="H687" t="s">
        <v>34</v>
      </c>
      <c r="K687" t="b">
        <f>(IF(AND(I687&lt;&gt;"",AND(J687="",ABS(Q687)&gt;400)),TRUE,FALSE))</f>
        <v>0</v>
      </c>
      <c r="L687" s="48">
        <v>15</v>
      </c>
      <c r="M687" s="72">
        <v>1</v>
      </c>
      <c r="N687">
        <v>20</v>
      </c>
      <c r="O687" s="31">
        <f t="shared" si="425"/>
        <v>3</v>
      </c>
      <c r="P687" s="31">
        <f t="shared" si="426"/>
        <v>3</v>
      </c>
      <c r="Q687" s="33">
        <f t="shared" si="419"/>
        <v>15</v>
      </c>
      <c r="R687" s="29">
        <f t="shared" si="420"/>
        <v>18</v>
      </c>
      <c r="S687" s="29">
        <f t="shared" si="424"/>
        <v>18</v>
      </c>
      <c r="T687" s="35">
        <f t="shared" si="404"/>
        <v>44696</v>
      </c>
      <c r="U687" s="27"/>
      <c r="V687" s="27"/>
      <c r="W687" s="58">
        <f>IF(K687=TRUE,Q687/I687,Q687)</f>
        <v>15</v>
      </c>
      <c r="X687" s="31">
        <f t="shared" si="421"/>
        <v>0</v>
      </c>
      <c r="Y687" t="b">
        <f t="shared" si="422"/>
        <v>0</v>
      </c>
      <c r="Z687" s="78">
        <f t="shared" si="423"/>
        <v>-15</v>
      </c>
      <c r="AB687" t="b">
        <f t="shared" si="406"/>
        <v>1</v>
      </c>
    </row>
    <row r="688" spans="1:28" x14ac:dyDescent="0.25">
      <c r="A688" s="53">
        <v>2022</v>
      </c>
      <c r="B688" s="53">
        <v>22</v>
      </c>
      <c r="C688" s="71" t="s">
        <v>105</v>
      </c>
      <c r="D688" t="s">
        <v>689</v>
      </c>
      <c r="E688" s="131" t="s">
        <v>1657</v>
      </c>
      <c r="G688" s="1">
        <v>44594</v>
      </c>
      <c r="H688" t="s">
        <v>974</v>
      </c>
      <c r="K688" t="b">
        <v>0</v>
      </c>
      <c r="L688" s="48">
        <v>46.23</v>
      </c>
      <c r="M688" s="72">
        <v>1</v>
      </c>
      <c r="N688">
        <v>20</v>
      </c>
      <c r="O688" s="31">
        <f t="shared" si="425"/>
        <v>9.2459999999999987</v>
      </c>
      <c r="P688" s="31">
        <f t="shared" si="426"/>
        <v>9.2459999999999987</v>
      </c>
      <c r="Q688" s="33">
        <f t="shared" si="419"/>
        <v>46.23</v>
      </c>
      <c r="R688" s="29">
        <f t="shared" si="420"/>
        <v>55.475999999999999</v>
      </c>
      <c r="S688" s="29">
        <f t="shared" si="424"/>
        <v>55.475999999999999</v>
      </c>
      <c r="T688" s="35">
        <f t="shared" si="404"/>
        <v>44696</v>
      </c>
      <c r="U688" s="27"/>
      <c r="V688" s="27"/>
      <c r="W688" s="58">
        <f>IF(K688=TRUE,Q688/J688,Q688)</f>
        <v>46.23</v>
      </c>
      <c r="X688" s="31">
        <f t="shared" si="421"/>
        <v>0</v>
      </c>
      <c r="Y688" t="b">
        <f t="shared" si="422"/>
        <v>0</v>
      </c>
      <c r="Z688" s="78">
        <f t="shared" si="423"/>
        <v>-46.23</v>
      </c>
      <c r="AB688" t="b">
        <f t="shared" si="406"/>
        <v>1</v>
      </c>
    </row>
    <row r="689" spans="1:28" x14ac:dyDescent="0.25">
      <c r="A689" s="53">
        <v>2022</v>
      </c>
      <c r="B689" s="53">
        <v>23</v>
      </c>
      <c r="C689" s="71" t="s">
        <v>105</v>
      </c>
      <c r="D689" t="s">
        <v>705</v>
      </c>
      <c r="E689" s="9" t="s">
        <v>1658</v>
      </c>
      <c r="G689" s="1">
        <v>44594</v>
      </c>
      <c r="H689" t="s">
        <v>1404</v>
      </c>
      <c r="K689" t="b">
        <v>0</v>
      </c>
      <c r="L689" s="109">
        <v>10.4</v>
      </c>
      <c r="M689" s="72">
        <v>1</v>
      </c>
      <c r="N689">
        <v>0</v>
      </c>
      <c r="O689" s="31">
        <f t="shared" si="425"/>
        <v>0</v>
      </c>
      <c r="P689" s="31">
        <f t="shared" si="426"/>
        <v>0</v>
      </c>
      <c r="Q689" s="33">
        <f t="shared" si="419"/>
        <v>10.4</v>
      </c>
      <c r="R689" s="29">
        <f t="shared" si="420"/>
        <v>10.4</v>
      </c>
      <c r="S689" s="29">
        <f t="shared" si="424"/>
        <v>10.4</v>
      </c>
      <c r="T689" s="35">
        <f t="shared" si="404"/>
        <v>44696</v>
      </c>
      <c r="U689" s="27"/>
      <c r="V689" s="27">
        <v>20</v>
      </c>
      <c r="W689" s="58">
        <f>IF(K689=TRUE,Q689/I689,Q689)</f>
        <v>10.4</v>
      </c>
      <c r="X689" s="31">
        <f t="shared" si="421"/>
        <v>2.08</v>
      </c>
      <c r="Y689" t="b">
        <f t="shared" si="422"/>
        <v>0</v>
      </c>
      <c r="Z689" s="78">
        <f t="shared" si="423"/>
        <v>-10.4</v>
      </c>
      <c r="AB689" t="b">
        <f t="shared" si="406"/>
        <v>1</v>
      </c>
    </row>
    <row r="690" spans="1:28" x14ac:dyDescent="0.25">
      <c r="A690" s="53">
        <v>2022</v>
      </c>
      <c r="B690" s="53">
        <v>24</v>
      </c>
      <c r="C690" s="71" t="s">
        <v>105</v>
      </c>
      <c r="D690" t="s">
        <v>705</v>
      </c>
      <c r="E690" s="153" t="s">
        <v>1698</v>
      </c>
      <c r="G690" s="1">
        <v>44595</v>
      </c>
      <c r="H690" t="s">
        <v>1364</v>
      </c>
      <c r="K690" t="b">
        <f>(IF(AND(I690&lt;&gt;"",AND(J690="",ABS(Q690)&gt;400)),TRUE,FALSE))</f>
        <v>0</v>
      </c>
      <c r="L690" s="48">
        <v>2.5</v>
      </c>
      <c r="M690" s="72">
        <v>1</v>
      </c>
      <c r="N690">
        <v>20</v>
      </c>
      <c r="O690" s="31">
        <f t="shared" si="425"/>
        <v>0.5</v>
      </c>
      <c r="P690" s="31">
        <f t="shared" si="426"/>
        <v>0.5</v>
      </c>
      <c r="Q690" s="33">
        <f t="shared" si="419"/>
        <v>2.5</v>
      </c>
      <c r="R690" s="29">
        <f t="shared" si="420"/>
        <v>3</v>
      </c>
      <c r="S690" s="29">
        <f>Q690+P690</f>
        <v>3</v>
      </c>
      <c r="T690" s="35">
        <f t="shared" si="404"/>
        <v>44696</v>
      </c>
      <c r="U690" s="27"/>
      <c r="V690" s="27"/>
      <c r="W690" s="58">
        <f t="shared" ref="W690:W695" si="427">IF(K690=TRUE,Q690/J690,Q690)</f>
        <v>2.5</v>
      </c>
      <c r="X690" s="31">
        <f t="shared" si="421"/>
        <v>0</v>
      </c>
      <c r="Y690" t="b">
        <f t="shared" si="422"/>
        <v>0</v>
      </c>
      <c r="Z690" s="78">
        <f t="shared" si="423"/>
        <v>-2.5</v>
      </c>
      <c r="AB690" t="b">
        <f t="shared" si="406"/>
        <v>1</v>
      </c>
    </row>
    <row r="691" spans="1:28" x14ac:dyDescent="0.25">
      <c r="A691" s="53">
        <v>2022</v>
      </c>
      <c r="B691" s="53">
        <v>25</v>
      </c>
      <c r="C691" s="71" t="s">
        <v>708</v>
      </c>
      <c r="D691" t="s">
        <v>709</v>
      </c>
      <c r="E691">
        <v>168041268</v>
      </c>
      <c r="G691" s="1">
        <v>44596</v>
      </c>
      <c r="H691" t="s">
        <v>1652</v>
      </c>
      <c r="K691" t="b">
        <f>(IF(AND(I691&lt;&gt;"",AND(J691="",ABS(Q691)&gt;400)),TRUE,FALSE))</f>
        <v>0</v>
      </c>
      <c r="L691" s="48">
        <v>7872</v>
      </c>
      <c r="M691" s="72">
        <v>1</v>
      </c>
      <c r="N691">
        <v>20</v>
      </c>
      <c r="O691" s="31">
        <f t="shared" si="425"/>
        <v>1574.4</v>
      </c>
      <c r="P691" s="31">
        <f t="shared" si="426"/>
        <v>1574.4</v>
      </c>
      <c r="Q691" s="33">
        <f t="shared" ref="Q691:Q700" si="428">L691*M691</f>
        <v>7872</v>
      </c>
      <c r="R691" s="29">
        <f t="shared" ref="R691:R700" si="429">L691+O691</f>
        <v>9446.4</v>
      </c>
      <c r="S691" s="29">
        <f>Q691+P691</f>
        <v>9446.4</v>
      </c>
      <c r="T691" s="35">
        <f t="shared" si="404"/>
        <v>44696</v>
      </c>
      <c r="U691" s="27"/>
      <c r="V691" s="27">
        <v>20</v>
      </c>
      <c r="W691" s="58">
        <f t="shared" si="427"/>
        <v>7872</v>
      </c>
      <c r="X691" s="31">
        <f t="shared" ref="X691:X700" si="430">V691/100*S691</f>
        <v>1889.28</v>
      </c>
      <c r="Y691" t="b">
        <f t="shared" ref="Y691:Y700" si="431">IF(AND(V691&gt;0,N691=V691),TRUE,FALSE)</f>
        <v>1</v>
      </c>
      <c r="Z691" s="78">
        <f t="shared" ref="Z691:Z700" si="432">IF(C691="Einnahmen",Q691,-Q691)</f>
        <v>7872</v>
      </c>
      <c r="AB691" t="b">
        <f t="shared" si="406"/>
        <v>1</v>
      </c>
    </row>
    <row r="692" spans="1:28" x14ac:dyDescent="0.25">
      <c r="A692" s="53">
        <v>2022</v>
      </c>
      <c r="B692" s="53">
        <v>26</v>
      </c>
      <c r="C692" s="71" t="s">
        <v>105</v>
      </c>
      <c r="D692" t="s">
        <v>705</v>
      </c>
      <c r="E692" s="6" t="s">
        <v>1659</v>
      </c>
      <c r="G692" s="1">
        <v>44598</v>
      </c>
      <c r="H692" t="s">
        <v>927</v>
      </c>
      <c r="J692" s="76" t="s">
        <v>958</v>
      </c>
      <c r="K692" t="b">
        <f>(IF(AND(I692&lt;&gt;"",AND(J692="",ABS(Q692)&gt;400)),TRUE,FALSE))</f>
        <v>0</v>
      </c>
      <c r="L692" s="48">
        <v>2.4900000000000002</v>
      </c>
      <c r="M692" s="72">
        <v>1</v>
      </c>
      <c r="N692">
        <v>0</v>
      </c>
      <c r="O692" s="31">
        <f t="shared" si="425"/>
        <v>0</v>
      </c>
      <c r="P692" s="31">
        <f t="shared" si="426"/>
        <v>0</v>
      </c>
      <c r="Q692" s="33">
        <f t="shared" si="428"/>
        <v>2.4900000000000002</v>
      </c>
      <c r="R692" s="29">
        <f t="shared" si="429"/>
        <v>2.4900000000000002</v>
      </c>
      <c r="S692" s="29">
        <f>Q692+P692</f>
        <v>2.4900000000000002</v>
      </c>
      <c r="T692" s="35">
        <f t="shared" si="404"/>
        <v>44696</v>
      </c>
      <c r="U692" s="27"/>
      <c r="V692" s="27">
        <v>20</v>
      </c>
      <c r="W692" s="58">
        <f t="shared" si="427"/>
        <v>2.4900000000000002</v>
      </c>
      <c r="X692" s="31">
        <f t="shared" si="430"/>
        <v>0.49800000000000005</v>
      </c>
      <c r="Y692" t="b">
        <f t="shared" si="431"/>
        <v>0</v>
      </c>
      <c r="Z692" s="78">
        <f t="shared" si="432"/>
        <v>-2.4900000000000002</v>
      </c>
      <c r="AB692" t="b">
        <f t="shared" si="406"/>
        <v>1</v>
      </c>
    </row>
    <row r="693" spans="1:28" x14ac:dyDescent="0.25">
      <c r="A693" s="53">
        <v>2022</v>
      </c>
      <c r="B693" s="53">
        <v>27</v>
      </c>
      <c r="C693" s="71" t="s">
        <v>105</v>
      </c>
      <c r="D693" t="s">
        <v>691</v>
      </c>
      <c r="E693" s="139" t="s">
        <v>1566</v>
      </c>
      <c r="G693" s="1">
        <v>44599</v>
      </c>
      <c r="H693" t="s">
        <v>1558</v>
      </c>
      <c r="K693" t="b">
        <v>0</v>
      </c>
      <c r="L693" s="109">
        <v>74</v>
      </c>
      <c r="M693" s="72">
        <v>1</v>
      </c>
      <c r="N693">
        <v>20</v>
      </c>
      <c r="O693" s="31">
        <f t="shared" si="425"/>
        <v>14.8</v>
      </c>
      <c r="P693" s="31">
        <f t="shared" si="426"/>
        <v>14.8</v>
      </c>
      <c r="Q693" s="33">
        <f t="shared" si="428"/>
        <v>74</v>
      </c>
      <c r="R693" s="29">
        <f t="shared" si="429"/>
        <v>88.8</v>
      </c>
      <c r="S693" s="29">
        <f>Q693+P693</f>
        <v>88.8</v>
      </c>
      <c r="T693" s="35">
        <f t="shared" si="404"/>
        <v>44696</v>
      </c>
      <c r="U693" s="27"/>
      <c r="V693" s="27"/>
      <c r="W693" s="58">
        <f t="shared" si="427"/>
        <v>74</v>
      </c>
      <c r="X693" s="31">
        <f t="shared" si="430"/>
        <v>0</v>
      </c>
      <c r="Y693" t="b">
        <f t="shared" si="431"/>
        <v>0</v>
      </c>
      <c r="Z693" s="78">
        <f t="shared" si="432"/>
        <v>-74</v>
      </c>
      <c r="AB693" t="b">
        <f t="shared" si="406"/>
        <v>1</v>
      </c>
    </row>
    <row r="694" spans="1:28" x14ac:dyDescent="0.25">
      <c r="A694" s="53">
        <v>2022</v>
      </c>
      <c r="B694" s="53">
        <v>28</v>
      </c>
      <c r="C694" s="71" t="s">
        <v>105</v>
      </c>
      <c r="D694" t="s">
        <v>705</v>
      </c>
      <c r="E694" s="139" t="s">
        <v>1649</v>
      </c>
      <c r="G694" s="1">
        <v>44602</v>
      </c>
      <c r="H694" t="s">
        <v>1466</v>
      </c>
      <c r="K694" t="b">
        <f t="shared" ref="K694:K701" si="433">(IF(AND(I694&lt;&gt;"",AND(J694="",ABS(Q694)&gt;400)),TRUE,FALSE))</f>
        <v>0</v>
      </c>
      <c r="L694" s="48">
        <v>11</v>
      </c>
      <c r="M694" s="72">
        <v>1</v>
      </c>
      <c r="N694">
        <v>20</v>
      </c>
      <c r="O694" s="31">
        <f t="shared" si="425"/>
        <v>2.2000000000000002</v>
      </c>
      <c r="P694" s="31">
        <f t="shared" si="426"/>
        <v>2.2000000000000002</v>
      </c>
      <c r="Q694" s="33">
        <f t="shared" si="428"/>
        <v>11</v>
      </c>
      <c r="R694" s="29">
        <f t="shared" si="429"/>
        <v>13.2</v>
      </c>
      <c r="S694" s="29">
        <f>Q694+P694</f>
        <v>13.2</v>
      </c>
      <c r="T694" s="35">
        <f t="shared" si="404"/>
        <v>44696</v>
      </c>
      <c r="U694" s="27"/>
      <c r="V694" s="27"/>
      <c r="W694" s="58">
        <f t="shared" si="427"/>
        <v>11</v>
      </c>
      <c r="X694" s="31">
        <f t="shared" si="430"/>
        <v>0</v>
      </c>
      <c r="Y694" t="b">
        <f t="shared" si="431"/>
        <v>0</v>
      </c>
      <c r="Z694" s="78">
        <f t="shared" si="432"/>
        <v>-11</v>
      </c>
      <c r="AB694" t="b">
        <f t="shared" si="406"/>
        <v>1</v>
      </c>
    </row>
    <row r="695" spans="1:28" x14ac:dyDescent="0.25">
      <c r="A695" s="53">
        <v>2022</v>
      </c>
      <c r="B695" s="53">
        <v>29</v>
      </c>
      <c r="C695" s="71" t="s">
        <v>105</v>
      </c>
      <c r="D695" t="s">
        <v>705</v>
      </c>
      <c r="E695" s="9" t="s">
        <v>1650</v>
      </c>
      <c r="G695" s="1">
        <v>44603</v>
      </c>
      <c r="H695" t="s">
        <v>927</v>
      </c>
      <c r="K695" t="b">
        <f t="shared" si="433"/>
        <v>0</v>
      </c>
      <c r="L695" s="48">
        <v>47.776499999999999</v>
      </c>
      <c r="M695" s="72">
        <v>1</v>
      </c>
      <c r="N695">
        <v>0</v>
      </c>
      <c r="O695" s="31">
        <f t="shared" si="425"/>
        <v>0</v>
      </c>
      <c r="P695" s="31">
        <f t="shared" si="426"/>
        <v>0</v>
      </c>
      <c r="Q695" s="33">
        <f t="shared" si="428"/>
        <v>47.776499999999999</v>
      </c>
      <c r="R695" s="29">
        <f t="shared" si="429"/>
        <v>47.776499999999999</v>
      </c>
      <c r="S695" s="29">
        <f t="shared" ref="S695:S700" si="434">Q695+P695</f>
        <v>47.776499999999999</v>
      </c>
      <c r="T695" s="35">
        <f t="shared" si="404"/>
        <v>44696</v>
      </c>
      <c r="U695" s="27"/>
      <c r="V695" s="27">
        <v>20</v>
      </c>
      <c r="W695" s="58">
        <f t="shared" si="427"/>
        <v>47.776499999999999</v>
      </c>
      <c r="X695" s="31">
        <f t="shared" si="430"/>
        <v>9.5553000000000008</v>
      </c>
      <c r="Y695" t="b">
        <f t="shared" si="431"/>
        <v>0</v>
      </c>
      <c r="Z695" s="78">
        <f t="shared" si="432"/>
        <v>-47.776499999999999</v>
      </c>
      <c r="AB695" t="b">
        <f t="shared" si="406"/>
        <v>1</v>
      </c>
    </row>
    <row r="696" spans="1:28" x14ac:dyDescent="0.25">
      <c r="A696" s="53">
        <v>2022</v>
      </c>
      <c r="B696" s="53">
        <v>30</v>
      </c>
      <c r="C696" s="71" t="s">
        <v>708</v>
      </c>
      <c r="D696" t="s">
        <v>709</v>
      </c>
      <c r="E696" s="9" t="s">
        <v>1660</v>
      </c>
      <c r="G696" s="1">
        <v>44608</v>
      </c>
      <c r="H696" t="s">
        <v>1266</v>
      </c>
      <c r="K696" t="b">
        <f t="shared" si="433"/>
        <v>0</v>
      </c>
      <c r="L696" s="48">
        <v>2.4900000000000002</v>
      </c>
      <c r="M696" s="72">
        <v>1</v>
      </c>
      <c r="N696">
        <v>20</v>
      </c>
      <c r="O696" s="31">
        <f t="shared" si="425"/>
        <v>0.49800000000000005</v>
      </c>
      <c r="P696" s="31">
        <f t="shared" si="426"/>
        <v>0.49800000000000005</v>
      </c>
      <c r="Q696" s="33">
        <f t="shared" si="428"/>
        <v>2.4900000000000002</v>
      </c>
      <c r="R696" s="29">
        <f t="shared" si="429"/>
        <v>2.9880000000000004</v>
      </c>
      <c r="S696" s="29">
        <f t="shared" si="434"/>
        <v>2.9880000000000004</v>
      </c>
      <c r="T696" s="35">
        <f t="shared" si="404"/>
        <v>44696</v>
      </c>
      <c r="U696" s="27"/>
      <c r="V696" s="27"/>
      <c r="W696" s="58">
        <f>IF(K696=TRUE,Q696/I696,Q696)</f>
        <v>2.4900000000000002</v>
      </c>
      <c r="X696" s="31">
        <f t="shared" si="430"/>
        <v>0</v>
      </c>
      <c r="Y696" t="b">
        <f t="shared" si="431"/>
        <v>0</v>
      </c>
      <c r="Z696" s="78">
        <f t="shared" si="432"/>
        <v>2.4900000000000002</v>
      </c>
      <c r="AB696" t="b">
        <f t="shared" si="406"/>
        <v>1</v>
      </c>
    </row>
    <row r="697" spans="1:28" x14ac:dyDescent="0.25">
      <c r="A697" s="53">
        <v>2022</v>
      </c>
      <c r="B697" s="53">
        <v>31</v>
      </c>
      <c r="C697" s="71" t="s">
        <v>105</v>
      </c>
      <c r="D697" t="s">
        <v>705</v>
      </c>
      <c r="E697" s="6" t="s">
        <v>1661</v>
      </c>
      <c r="G697" s="1">
        <v>44613</v>
      </c>
      <c r="H697" t="s">
        <v>1032</v>
      </c>
      <c r="K697" t="b">
        <f t="shared" si="433"/>
        <v>0</v>
      </c>
      <c r="L697" s="48">
        <v>10.5</v>
      </c>
      <c r="M697" s="72">
        <v>1</v>
      </c>
      <c r="N697">
        <v>0</v>
      </c>
      <c r="O697" s="31">
        <f t="shared" si="425"/>
        <v>0</v>
      </c>
      <c r="P697" s="31">
        <f t="shared" si="426"/>
        <v>0</v>
      </c>
      <c r="Q697" s="33">
        <f t="shared" si="428"/>
        <v>10.5</v>
      </c>
      <c r="R697" s="29">
        <f t="shared" si="429"/>
        <v>10.5</v>
      </c>
      <c r="S697" s="29">
        <f t="shared" si="434"/>
        <v>10.5</v>
      </c>
      <c r="T697" s="35">
        <f t="shared" si="404"/>
        <v>44696</v>
      </c>
      <c r="U697" s="27"/>
      <c r="V697" s="27">
        <v>20</v>
      </c>
      <c r="W697" s="58">
        <f>IF(K697=TRUE,Q697/J697,Q697)</f>
        <v>10.5</v>
      </c>
      <c r="X697" s="31">
        <f t="shared" si="430"/>
        <v>2.1</v>
      </c>
      <c r="Y697" t="b">
        <f t="shared" si="431"/>
        <v>0</v>
      </c>
      <c r="Z697" s="78">
        <f t="shared" si="432"/>
        <v>-10.5</v>
      </c>
      <c r="AB697" t="b">
        <f t="shared" si="406"/>
        <v>1</v>
      </c>
    </row>
    <row r="698" spans="1:28" x14ac:dyDescent="0.25">
      <c r="A698" s="53">
        <v>2022</v>
      </c>
      <c r="B698" s="53">
        <v>32</v>
      </c>
      <c r="C698" s="71" t="s">
        <v>105</v>
      </c>
      <c r="D698" t="s">
        <v>703</v>
      </c>
      <c r="E698" s="131" t="s">
        <v>1662</v>
      </c>
      <c r="G698" s="1">
        <v>44613</v>
      </c>
      <c r="H698" t="s">
        <v>1148</v>
      </c>
      <c r="K698" t="b">
        <f t="shared" si="433"/>
        <v>0</v>
      </c>
      <c r="L698" s="48">
        <v>31.92</v>
      </c>
      <c r="M698" s="72">
        <v>1</v>
      </c>
      <c r="N698">
        <v>20</v>
      </c>
      <c r="O698" s="31">
        <f t="shared" si="425"/>
        <v>6.3840000000000012</v>
      </c>
      <c r="P698" s="31">
        <f t="shared" si="426"/>
        <v>6.3840000000000012</v>
      </c>
      <c r="Q698" s="33">
        <f t="shared" si="428"/>
        <v>31.92</v>
      </c>
      <c r="R698" s="29">
        <f t="shared" si="429"/>
        <v>38.304000000000002</v>
      </c>
      <c r="S698" s="29">
        <f t="shared" si="434"/>
        <v>38.304000000000002</v>
      </c>
      <c r="T698" s="35">
        <f t="shared" si="404"/>
        <v>44696</v>
      </c>
      <c r="U698" s="27"/>
      <c r="V698" s="27"/>
      <c r="W698" s="58">
        <f>IF(K698=TRUE,Q698/I698,Q698)</f>
        <v>31.92</v>
      </c>
      <c r="X698" s="31">
        <f t="shared" si="430"/>
        <v>0</v>
      </c>
      <c r="Y698" t="b">
        <f t="shared" si="431"/>
        <v>0</v>
      </c>
      <c r="Z698" s="78">
        <f t="shared" si="432"/>
        <v>-31.92</v>
      </c>
      <c r="AB698" t="b">
        <f t="shared" si="406"/>
        <v>1</v>
      </c>
    </row>
    <row r="699" spans="1:28" x14ac:dyDescent="0.25">
      <c r="A699" s="53">
        <v>2022</v>
      </c>
      <c r="B699" s="53">
        <v>33</v>
      </c>
      <c r="C699" s="71" t="s">
        <v>105</v>
      </c>
      <c r="D699" t="s">
        <v>695</v>
      </c>
      <c r="E699" s="9">
        <v>11561270283</v>
      </c>
      <c r="G699" s="1">
        <v>44615</v>
      </c>
      <c r="H699" t="s">
        <v>952</v>
      </c>
      <c r="K699" t="b">
        <f t="shared" si="433"/>
        <v>0</v>
      </c>
      <c r="L699" s="48">
        <v>1191.5999999999999</v>
      </c>
      <c r="M699" s="72">
        <v>1</v>
      </c>
      <c r="N699">
        <v>0</v>
      </c>
      <c r="O699" s="31">
        <f t="shared" si="425"/>
        <v>0</v>
      </c>
      <c r="P699" s="31">
        <f t="shared" si="426"/>
        <v>0</v>
      </c>
      <c r="Q699" s="33">
        <f t="shared" si="428"/>
        <v>1191.5999999999999</v>
      </c>
      <c r="R699" s="29">
        <f t="shared" si="429"/>
        <v>1191.5999999999999</v>
      </c>
      <c r="S699" s="29">
        <f t="shared" si="434"/>
        <v>1191.5999999999999</v>
      </c>
      <c r="T699" s="35">
        <f t="shared" si="404"/>
        <v>44696</v>
      </c>
      <c r="U699" s="27"/>
      <c r="V699" s="27"/>
      <c r="W699" s="58">
        <f>IF(K699=TRUE,Q699/J699,Q699)</f>
        <v>1191.5999999999999</v>
      </c>
      <c r="X699" s="31">
        <f t="shared" si="430"/>
        <v>0</v>
      </c>
      <c r="Y699" t="b">
        <f t="shared" si="431"/>
        <v>0</v>
      </c>
      <c r="Z699" s="78">
        <f t="shared" si="432"/>
        <v>-1191.5999999999999</v>
      </c>
      <c r="AB699" t="b">
        <f t="shared" si="406"/>
        <v>1</v>
      </c>
    </row>
    <row r="700" spans="1:28" x14ac:dyDescent="0.25">
      <c r="A700" s="53">
        <v>2022</v>
      </c>
      <c r="B700" s="53">
        <v>34</v>
      </c>
      <c r="C700" s="71" t="s">
        <v>105</v>
      </c>
      <c r="D700" t="s">
        <v>683</v>
      </c>
      <c r="E700" s="61" t="s">
        <v>1064</v>
      </c>
      <c r="G700" s="1">
        <v>44615</v>
      </c>
      <c r="H700" t="s">
        <v>1773</v>
      </c>
      <c r="K700" t="b">
        <f t="shared" si="433"/>
        <v>0</v>
      </c>
      <c r="L700" s="90">
        <f>674.91/1.2</f>
        <v>562.42499999999995</v>
      </c>
      <c r="M700" s="72">
        <v>1</v>
      </c>
      <c r="N700">
        <v>20</v>
      </c>
      <c r="O700" s="31">
        <f t="shared" ref="O700:O709" si="435">L700*N700/100</f>
        <v>112.485</v>
      </c>
      <c r="P700" s="31">
        <f t="shared" ref="P700:P709" si="436">M700*O700</f>
        <v>112.485</v>
      </c>
      <c r="Q700" s="33">
        <f t="shared" si="428"/>
        <v>562.42499999999995</v>
      </c>
      <c r="R700" s="29">
        <f t="shared" si="429"/>
        <v>674.91</v>
      </c>
      <c r="S700" s="29">
        <f t="shared" si="434"/>
        <v>674.91</v>
      </c>
      <c r="T700" s="35">
        <f t="shared" si="404"/>
        <v>44696</v>
      </c>
      <c r="U700" s="27"/>
      <c r="V700" s="27"/>
      <c r="W700" s="58">
        <f>IF(K700=TRUE,Q700/I700,Q700)</f>
        <v>562.42499999999995</v>
      </c>
      <c r="X700" s="31">
        <f t="shared" si="430"/>
        <v>0</v>
      </c>
      <c r="Y700" t="b">
        <f t="shared" si="431"/>
        <v>0</v>
      </c>
      <c r="Z700" s="78">
        <f t="shared" si="432"/>
        <v>-562.42499999999995</v>
      </c>
      <c r="AB700" t="b">
        <f t="shared" si="406"/>
        <v>1</v>
      </c>
    </row>
    <row r="701" spans="1:28" x14ac:dyDescent="0.25">
      <c r="A701" s="53">
        <v>2022</v>
      </c>
      <c r="B701" s="53">
        <v>35</v>
      </c>
      <c r="C701" s="71" t="s">
        <v>105</v>
      </c>
      <c r="D701" t="s">
        <v>705</v>
      </c>
      <c r="E701" s="139" t="s">
        <v>1664</v>
      </c>
      <c r="G701" s="1">
        <v>44619</v>
      </c>
      <c r="H701" t="s">
        <v>1663</v>
      </c>
      <c r="K701" t="b">
        <f t="shared" si="433"/>
        <v>0</v>
      </c>
      <c r="L701" s="90">
        <f>890.35/1.2</f>
        <v>741.95833333333337</v>
      </c>
      <c r="M701" s="72">
        <v>1</v>
      </c>
      <c r="N701">
        <v>20</v>
      </c>
      <c r="O701" s="31">
        <f t="shared" si="435"/>
        <v>148.39166666666668</v>
      </c>
      <c r="P701" s="31">
        <f t="shared" si="436"/>
        <v>148.39166666666668</v>
      </c>
      <c r="Q701" s="33">
        <f t="shared" ref="Q701:Q709" si="437">L701*M701</f>
        <v>741.95833333333337</v>
      </c>
      <c r="R701" s="29">
        <f t="shared" ref="R701:R709" si="438">L701+O701</f>
        <v>890.35</v>
      </c>
      <c r="S701" s="29">
        <f t="shared" ref="S701:S709" si="439">Q701+P701</f>
        <v>890.35</v>
      </c>
      <c r="T701" s="35">
        <f t="shared" si="404"/>
        <v>44696</v>
      </c>
      <c r="U701" s="27"/>
      <c r="V701" s="27"/>
      <c r="W701" s="58">
        <f>IF(K701=TRUE,Q701/I701,Q701)</f>
        <v>741.95833333333337</v>
      </c>
      <c r="X701" s="31">
        <f t="shared" ref="X701:X709" si="440">V701/100*S701</f>
        <v>0</v>
      </c>
      <c r="Y701" t="b">
        <f t="shared" ref="Y701:Y709" si="441">IF(AND(V701&gt;0,N701=V701),TRUE,FALSE)</f>
        <v>0</v>
      </c>
      <c r="Z701" s="78">
        <f t="shared" ref="Z701:Z709" si="442">IF(C701="Einnahmen",Q701,-Q701)</f>
        <v>-741.95833333333337</v>
      </c>
      <c r="AB701" t="b">
        <f t="shared" si="406"/>
        <v>1</v>
      </c>
    </row>
    <row r="702" spans="1:28" x14ac:dyDescent="0.25">
      <c r="A702" s="53">
        <v>2022</v>
      </c>
      <c r="B702" s="53">
        <v>36</v>
      </c>
      <c r="C702" s="71" t="s">
        <v>105</v>
      </c>
      <c r="D702" t="s">
        <v>691</v>
      </c>
      <c r="G702" s="1">
        <v>44621</v>
      </c>
      <c r="H702" t="s">
        <v>1113</v>
      </c>
      <c r="K702" t="b">
        <v>0</v>
      </c>
      <c r="L702" s="109">
        <f>574.43/1.2</f>
        <v>478.69166666666666</v>
      </c>
      <c r="M702" s="72">
        <v>1</v>
      </c>
      <c r="N702">
        <v>20</v>
      </c>
      <c r="O702" s="31">
        <f t="shared" si="435"/>
        <v>95.738333333333344</v>
      </c>
      <c r="P702" s="31">
        <f t="shared" si="436"/>
        <v>95.738333333333344</v>
      </c>
      <c r="Q702" s="33">
        <f t="shared" si="437"/>
        <v>478.69166666666666</v>
      </c>
      <c r="R702" s="29">
        <f t="shared" si="438"/>
        <v>574.43000000000006</v>
      </c>
      <c r="S702" s="29">
        <f t="shared" si="439"/>
        <v>574.43000000000006</v>
      </c>
      <c r="T702" s="35">
        <f t="shared" si="404"/>
        <v>44696</v>
      </c>
      <c r="U702" s="27"/>
      <c r="V702" s="27"/>
      <c r="W702" s="58">
        <f>IF(K702=TRUE,Q702/J702,Q702)</f>
        <v>478.69166666666666</v>
      </c>
      <c r="X702" s="31">
        <f t="shared" si="440"/>
        <v>0</v>
      </c>
      <c r="Y702" t="b">
        <f t="shared" si="441"/>
        <v>0</v>
      </c>
      <c r="Z702" s="78">
        <f t="shared" si="442"/>
        <v>-478.69166666666666</v>
      </c>
      <c r="AB702" t="b">
        <f t="shared" si="406"/>
        <v>1</v>
      </c>
    </row>
    <row r="703" spans="1:28" x14ac:dyDescent="0.25">
      <c r="A703" s="53">
        <v>2022</v>
      </c>
      <c r="B703" s="53">
        <v>37</v>
      </c>
      <c r="C703" s="71" t="s">
        <v>105</v>
      </c>
      <c r="D703" t="s">
        <v>689</v>
      </c>
      <c r="E703" s="131" t="s">
        <v>1665</v>
      </c>
      <c r="G703" s="1">
        <v>44622</v>
      </c>
      <c r="H703" t="s">
        <v>974</v>
      </c>
      <c r="K703" t="b">
        <v>0</v>
      </c>
      <c r="L703" s="48">
        <v>44.38</v>
      </c>
      <c r="M703" s="72">
        <v>1</v>
      </c>
      <c r="N703">
        <v>20</v>
      </c>
      <c r="O703" s="31">
        <f t="shared" si="435"/>
        <v>8.8759999999999994</v>
      </c>
      <c r="P703" s="31">
        <f t="shared" si="436"/>
        <v>8.8759999999999994</v>
      </c>
      <c r="Q703" s="33">
        <f t="shared" si="437"/>
        <v>44.38</v>
      </c>
      <c r="R703" s="29">
        <f t="shared" si="438"/>
        <v>53.256</v>
      </c>
      <c r="S703" s="29">
        <f t="shared" si="439"/>
        <v>53.256</v>
      </c>
      <c r="T703" s="35">
        <f t="shared" si="404"/>
        <v>44696</v>
      </c>
      <c r="U703" s="27"/>
      <c r="V703" s="27"/>
      <c r="W703" s="58">
        <f>IF(K703=TRUE,Q703/J703,Q703)</f>
        <v>44.38</v>
      </c>
      <c r="X703" s="31">
        <f t="shared" si="440"/>
        <v>0</v>
      </c>
      <c r="Y703" t="b">
        <f t="shared" si="441"/>
        <v>0</v>
      </c>
      <c r="Z703" s="78">
        <f t="shared" si="442"/>
        <v>-44.38</v>
      </c>
      <c r="AB703" t="b">
        <f t="shared" si="406"/>
        <v>1</v>
      </c>
    </row>
    <row r="704" spans="1:28" x14ac:dyDescent="0.25">
      <c r="A704" s="53">
        <v>2022</v>
      </c>
      <c r="B704" s="53">
        <v>38</v>
      </c>
      <c r="C704" s="71" t="s">
        <v>105</v>
      </c>
      <c r="D704" t="s">
        <v>705</v>
      </c>
      <c r="E704" s="153" t="s">
        <v>1698</v>
      </c>
      <c r="G704" s="1">
        <v>44623</v>
      </c>
      <c r="H704" t="s">
        <v>1364</v>
      </c>
      <c r="K704" t="b">
        <f>(IF(AND(I704&lt;&gt;"",AND(J704="",ABS(Q704)&gt;400)),TRUE,FALSE))</f>
        <v>0</v>
      </c>
      <c r="L704" s="90">
        <v>2.5</v>
      </c>
      <c r="M704" s="72">
        <v>1</v>
      </c>
      <c r="N704">
        <v>20</v>
      </c>
      <c r="O704" s="31">
        <f t="shared" si="435"/>
        <v>0.5</v>
      </c>
      <c r="P704" s="31">
        <f t="shared" si="436"/>
        <v>0.5</v>
      </c>
      <c r="Q704" s="33">
        <f t="shared" si="437"/>
        <v>2.5</v>
      </c>
      <c r="R704" s="29">
        <f t="shared" si="438"/>
        <v>3</v>
      </c>
      <c r="S704" s="29">
        <f t="shared" si="439"/>
        <v>3</v>
      </c>
      <c r="T704" s="35">
        <f t="shared" si="404"/>
        <v>44696</v>
      </c>
      <c r="U704" s="27"/>
      <c r="V704" s="27"/>
      <c r="W704" s="58">
        <f>IF(K704=TRUE,Q704/J704,Q704)</f>
        <v>2.5</v>
      </c>
      <c r="X704" s="31">
        <f t="shared" si="440"/>
        <v>0</v>
      </c>
      <c r="Y704" t="b">
        <f t="shared" si="441"/>
        <v>0</v>
      </c>
      <c r="Z704" s="78">
        <f t="shared" si="442"/>
        <v>-2.5</v>
      </c>
      <c r="AB704" t="b">
        <f t="shared" si="406"/>
        <v>1</v>
      </c>
    </row>
    <row r="705" spans="1:28" x14ac:dyDescent="0.25">
      <c r="A705" s="53">
        <v>2022</v>
      </c>
      <c r="B705" s="53">
        <v>39</v>
      </c>
      <c r="C705" s="71" t="s">
        <v>105</v>
      </c>
      <c r="D705" t="s">
        <v>705</v>
      </c>
      <c r="E705" s="9" t="s">
        <v>1666</v>
      </c>
      <c r="G705" s="1">
        <v>44623</v>
      </c>
      <c r="H705" t="s">
        <v>1404</v>
      </c>
      <c r="K705" t="b">
        <v>0</v>
      </c>
      <c r="L705" s="109">
        <v>10.4</v>
      </c>
      <c r="M705" s="72">
        <v>1</v>
      </c>
      <c r="N705">
        <v>0</v>
      </c>
      <c r="O705" s="31">
        <f t="shared" si="435"/>
        <v>0</v>
      </c>
      <c r="P705" s="31">
        <f t="shared" si="436"/>
        <v>0</v>
      </c>
      <c r="Q705" s="33">
        <f t="shared" si="437"/>
        <v>10.4</v>
      </c>
      <c r="R705" s="29">
        <f t="shared" si="438"/>
        <v>10.4</v>
      </c>
      <c r="S705" s="29">
        <f t="shared" si="439"/>
        <v>10.4</v>
      </c>
      <c r="T705" s="35">
        <f t="shared" si="404"/>
        <v>44696</v>
      </c>
      <c r="U705" s="27"/>
      <c r="V705" s="27">
        <v>20</v>
      </c>
      <c r="W705" s="58">
        <f>IF(K705=TRUE,Q705/I705,Q705)</f>
        <v>10.4</v>
      </c>
      <c r="X705" s="31">
        <f t="shared" si="440"/>
        <v>2.08</v>
      </c>
      <c r="Y705" t="b">
        <f t="shared" si="441"/>
        <v>0</v>
      </c>
      <c r="Z705" s="78">
        <f t="shared" si="442"/>
        <v>-10.4</v>
      </c>
      <c r="AB705" t="b">
        <f t="shared" si="406"/>
        <v>1</v>
      </c>
    </row>
    <row r="706" spans="1:28" x14ac:dyDescent="0.25">
      <c r="A706" s="53">
        <v>2022</v>
      </c>
      <c r="B706" s="53">
        <v>40</v>
      </c>
      <c r="C706" s="71" t="s">
        <v>105</v>
      </c>
      <c r="D706" t="s">
        <v>691</v>
      </c>
      <c r="E706" s="139" t="s">
        <v>1566</v>
      </c>
      <c r="G706" s="1">
        <v>44624</v>
      </c>
      <c r="H706" t="s">
        <v>1558</v>
      </c>
      <c r="K706" t="b">
        <v>0</v>
      </c>
      <c r="L706" s="109">
        <v>122.6</v>
      </c>
      <c r="M706" s="72">
        <v>1</v>
      </c>
      <c r="N706">
        <v>20</v>
      </c>
      <c r="O706" s="31">
        <f t="shared" si="435"/>
        <v>24.52</v>
      </c>
      <c r="P706" s="31">
        <f t="shared" si="436"/>
        <v>24.52</v>
      </c>
      <c r="Q706" s="33">
        <f t="shared" si="437"/>
        <v>122.6</v>
      </c>
      <c r="R706" s="29">
        <f t="shared" si="438"/>
        <v>147.12</v>
      </c>
      <c r="S706" s="29">
        <f t="shared" si="439"/>
        <v>147.12</v>
      </c>
      <c r="T706" s="35">
        <f t="shared" si="404"/>
        <v>44696</v>
      </c>
      <c r="U706" s="27"/>
      <c r="V706" s="27"/>
      <c r="W706" s="58">
        <f>IF(K706=TRUE,Q706/J706,Q706)</f>
        <v>122.6</v>
      </c>
      <c r="X706" s="31">
        <f t="shared" si="440"/>
        <v>0</v>
      </c>
      <c r="Y706" t="b">
        <f t="shared" si="441"/>
        <v>0</v>
      </c>
      <c r="Z706" s="78">
        <f t="shared" si="442"/>
        <v>-122.6</v>
      </c>
      <c r="AB706" t="b">
        <f t="shared" si="406"/>
        <v>1</v>
      </c>
    </row>
    <row r="707" spans="1:28" x14ac:dyDescent="0.25">
      <c r="A707" s="53">
        <v>2022</v>
      </c>
      <c r="B707" s="53">
        <v>41</v>
      </c>
      <c r="C707" s="71" t="s">
        <v>105</v>
      </c>
      <c r="D707" t="s">
        <v>705</v>
      </c>
      <c r="E707" s="61"/>
      <c r="G707" s="1">
        <v>44625</v>
      </c>
      <c r="H707" t="s">
        <v>1021</v>
      </c>
      <c r="K707" t="b">
        <v>0</v>
      </c>
      <c r="L707" s="48">
        <v>65</v>
      </c>
      <c r="M707" s="72">
        <v>1</v>
      </c>
      <c r="N707">
        <v>0</v>
      </c>
      <c r="O707" s="31">
        <f t="shared" si="435"/>
        <v>0</v>
      </c>
      <c r="P707" s="31">
        <f t="shared" si="436"/>
        <v>0</v>
      </c>
      <c r="Q707" s="33">
        <f t="shared" si="437"/>
        <v>65</v>
      </c>
      <c r="R707" s="29">
        <f t="shared" si="438"/>
        <v>65</v>
      </c>
      <c r="S707" s="29">
        <f t="shared" si="439"/>
        <v>65</v>
      </c>
      <c r="T707" s="35">
        <f t="shared" si="404"/>
        <v>44696</v>
      </c>
      <c r="U707" s="27"/>
      <c r="V707" s="27"/>
      <c r="W707" s="58">
        <f>IF(K707=TRUE,Q707/I707,Q707)</f>
        <v>65</v>
      </c>
      <c r="X707" s="31">
        <f t="shared" si="440"/>
        <v>0</v>
      </c>
      <c r="Y707" t="b">
        <f t="shared" si="441"/>
        <v>0</v>
      </c>
      <c r="Z707" s="78">
        <f t="shared" si="442"/>
        <v>-65</v>
      </c>
      <c r="AB707" t="b">
        <f t="shared" si="406"/>
        <v>1</v>
      </c>
    </row>
    <row r="708" spans="1:28" x14ac:dyDescent="0.25">
      <c r="A708" s="53">
        <v>2022</v>
      </c>
      <c r="B708" s="53">
        <v>42</v>
      </c>
      <c r="C708" s="71" t="s">
        <v>105</v>
      </c>
      <c r="D708" t="s">
        <v>703</v>
      </c>
      <c r="G708" s="1">
        <v>44628</v>
      </c>
      <c r="H708" t="s">
        <v>34</v>
      </c>
      <c r="K708" t="b">
        <f t="shared" ref="K708:K717" si="443">(IF(AND(I708&lt;&gt;"",AND(J708="",ABS(Q708)&gt;400)),TRUE,FALSE))</f>
        <v>0</v>
      </c>
      <c r="L708" s="48">
        <v>15</v>
      </c>
      <c r="M708" s="72">
        <v>1</v>
      </c>
      <c r="N708">
        <v>20</v>
      </c>
      <c r="O708" s="31">
        <f t="shared" si="435"/>
        <v>3</v>
      </c>
      <c r="P708" s="31">
        <f t="shared" si="436"/>
        <v>3</v>
      </c>
      <c r="Q708" s="33">
        <f t="shared" si="437"/>
        <v>15</v>
      </c>
      <c r="R708" s="29">
        <f t="shared" si="438"/>
        <v>18</v>
      </c>
      <c r="S708" s="29">
        <f t="shared" si="439"/>
        <v>18</v>
      </c>
      <c r="T708" s="35">
        <f t="shared" si="404"/>
        <v>44696</v>
      </c>
      <c r="U708" s="27"/>
      <c r="V708" s="27"/>
      <c r="W708" s="58">
        <f>IF(K708=TRUE,Q708/I708,Q708)</f>
        <v>15</v>
      </c>
      <c r="X708" s="31">
        <f t="shared" si="440"/>
        <v>0</v>
      </c>
      <c r="Y708" t="b">
        <f t="shared" si="441"/>
        <v>0</v>
      </c>
      <c r="Z708" s="78">
        <f t="shared" si="442"/>
        <v>-15</v>
      </c>
      <c r="AB708" t="b">
        <f t="shared" si="406"/>
        <v>1</v>
      </c>
    </row>
    <row r="709" spans="1:28" x14ac:dyDescent="0.25">
      <c r="A709" s="53">
        <v>2022</v>
      </c>
      <c r="B709" s="53">
        <v>43</v>
      </c>
      <c r="C709" s="71" t="s">
        <v>105</v>
      </c>
      <c r="D709" t="s">
        <v>705</v>
      </c>
      <c r="E709" s="139" t="s">
        <v>1649</v>
      </c>
      <c r="G709" s="1">
        <v>44602</v>
      </c>
      <c r="H709" t="s">
        <v>1466</v>
      </c>
      <c r="K709" t="b">
        <f t="shared" si="443"/>
        <v>0</v>
      </c>
      <c r="L709" s="48">
        <v>11</v>
      </c>
      <c r="M709" s="72">
        <v>1</v>
      </c>
      <c r="N709">
        <v>20</v>
      </c>
      <c r="O709" s="31">
        <f t="shared" si="435"/>
        <v>2.2000000000000002</v>
      </c>
      <c r="P709" s="31">
        <f t="shared" si="436"/>
        <v>2.2000000000000002</v>
      </c>
      <c r="Q709" s="33">
        <f t="shared" si="437"/>
        <v>11</v>
      </c>
      <c r="R709" s="29">
        <f t="shared" si="438"/>
        <v>13.2</v>
      </c>
      <c r="S709" s="29">
        <f t="shared" si="439"/>
        <v>13.2</v>
      </c>
      <c r="T709" s="35">
        <f t="shared" si="404"/>
        <v>44696</v>
      </c>
      <c r="U709" s="27"/>
      <c r="V709" s="27"/>
      <c r="W709" s="58">
        <f>IF(K709=TRUE,Q709/J709,Q709)</f>
        <v>11</v>
      </c>
      <c r="X709" s="31">
        <f t="shared" si="440"/>
        <v>0</v>
      </c>
      <c r="Y709" t="b">
        <f t="shared" si="441"/>
        <v>0</v>
      </c>
      <c r="Z709" s="78">
        <f t="shared" si="442"/>
        <v>-11</v>
      </c>
      <c r="AB709" t="b">
        <f t="shared" si="406"/>
        <v>1</v>
      </c>
    </row>
    <row r="710" spans="1:28" x14ac:dyDescent="0.25">
      <c r="A710" s="53">
        <v>2022</v>
      </c>
      <c r="B710" s="53">
        <v>44</v>
      </c>
      <c r="C710" s="71" t="s">
        <v>105</v>
      </c>
      <c r="D710" t="s">
        <v>705</v>
      </c>
      <c r="G710" s="1">
        <v>44631</v>
      </c>
      <c r="H710" t="s">
        <v>927</v>
      </c>
      <c r="K710" t="b">
        <f t="shared" si="443"/>
        <v>0</v>
      </c>
      <c r="L710" s="48">
        <v>47.776499999999999</v>
      </c>
      <c r="M710" s="72">
        <v>1</v>
      </c>
      <c r="N710">
        <v>0</v>
      </c>
      <c r="O710" s="31">
        <f t="shared" ref="O710:O715" si="444">L710*N710/100</f>
        <v>0</v>
      </c>
      <c r="P710" s="31">
        <f t="shared" ref="P710:P715" si="445">M710*O710</f>
        <v>0</v>
      </c>
      <c r="Q710" s="33">
        <f t="shared" ref="Q710:Q715" si="446">L710*M710</f>
        <v>47.776499999999999</v>
      </c>
      <c r="R710" s="29">
        <f t="shared" ref="R710:R715" si="447">L710+O710</f>
        <v>47.776499999999999</v>
      </c>
      <c r="S710" s="29">
        <f t="shared" ref="S710:S715" si="448">Q710+P710</f>
        <v>47.776499999999999</v>
      </c>
      <c r="T710" s="35">
        <f t="shared" si="404"/>
        <v>44696</v>
      </c>
      <c r="U710" s="27"/>
      <c r="V710" s="27">
        <v>20</v>
      </c>
      <c r="W710" s="58">
        <f>IF(K710=TRUE,Q710/J710,Q710)</f>
        <v>47.776499999999999</v>
      </c>
      <c r="X710" s="31">
        <f t="shared" ref="X710:X715" si="449">V710/100*S710</f>
        <v>9.5553000000000008</v>
      </c>
      <c r="Y710" t="b">
        <f t="shared" ref="Y710:Y715" si="450">IF(AND(V710&gt;0,N710=V710),TRUE,FALSE)</f>
        <v>0</v>
      </c>
      <c r="Z710" s="78">
        <f t="shared" ref="Z710:Z715" si="451">IF(C710="Einnahmen",Q710,-Q710)</f>
        <v>-47.776499999999999</v>
      </c>
      <c r="AB710" t="b">
        <f t="shared" si="406"/>
        <v>1</v>
      </c>
    </row>
    <row r="711" spans="1:28" x14ac:dyDescent="0.25">
      <c r="A711" s="53">
        <v>2022</v>
      </c>
      <c r="B711" s="53">
        <v>45</v>
      </c>
      <c r="C711" s="71" t="s">
        <v>708</v>
      </c>
      <c r="D711" t="s">
        <v>709</v>
      </c>
      <c r="E711">
        <v>168041268</v>
      </c>
      <c r="G711" s="1">
        <v>44637</v>
      </c>
      <c r="H711" t="s">
        <v>1652</v>
      </c>
      <c r="K711" t="b">
        <f t="shared" si="443"/>
        <v>0</v>
      </c>
      <c r="L711" s="48">
        <v>11890</v>
      </c>
      <c r="M711" s="72">
        <v>1</v>
      </c>
      <c r="N711">
        <v>20</v>
      </c>
      <c r="O711" s="31">
        <f t="shared" si="444"/>
        <v>2378</v>
      </c>
      <c r="P711" s="31">
        <f t="shared" si="445"/>
        <v>2378</v>
      </c>
      <c r="Q711" s="33">
        <f t="shared" si="446"/>
        <v>11890</v>
      </c>
      <c r="R711" s="29">
        <f t="shared" si="447"/>
        <v>14268</v>
      </c>
      <c r="S711" s="29">
        <f t="shared" si="448"/>
        <v>14268</v>
      </c>
      <c r="T711" s="35">
        <f t="shared" si="404"/>
        <v>44696</v>
      </c>
      <c r="U711" s="27"/>
      <c r="V711" s="27">
        <v>20</v>
      </c>
      <c r="W711" s="58">
        <f>IF(K711=TRUE,Q711/J711,Q711)</f>
        <v>11890</v>
      </c>
      <c r="X711" s="31">
        <f t="shared" si="449"/>
        <v>2853.6000000000004</v>
      </c>
      <c r="Y711" t="b">
        <f t="shared" si="450"/>
        <v>1</v>
      </c>
      <c r="Z711" s="78">
        <f t="shared" si="451"/>
        <v>11890</v>
      </c>
      <c r="AB711" t="b">
        <f t="shared" si="406"/>
        <v>1</v>
      </c>
    </row>
    <row r="712" spans="1:28" x14ac:dyDescent="0.25">
      <c r="A712" s="53">
        <v>2022</v>
      </c>
      <c r="B712" s="53">
        <v>46</v>
      </c>
      <c r="C712" s="71" t="s">
        <v>105</v>
      </c>
      <c r="D712" t="s">
        <v>705</v>
      </c>
      <c r="E712" s="6"/>
      <c r="G712" s="1">
        <v>44641</v>
      </c>
      <c r="H712" t="s">
        <v>1032</v>
      </c>
      <c r="K712" t="b">
        <f t="shared" si="443"/>
        <v>0</v>
      </c>
      <c r="L712" s="48">
        <v>10.5</v>
      </c>
      <c r="M712" s="72">
        <v>1</v>
      </c>
      <c r="N712">
        <v>0</v>
      </c>
      <c r="O712" s="31">
        <f t="shared" si="444"/>
        <v>0</v>
      </c>
      <c r="P712" s="31">
        <f t="shared" si="445"/>
        <v>0</v>
      </c>
      <c r="Q712" s="33">
        <f t="shared" si="446"/>
        <v>10.5</v>
      </c>
      <c r="R712" s="29">
        <f t="shared" si="447"/>
        <v>10.5</v>
      </c>
      <c r="S712" s="29">
        <f t="shared" si="448"/>
        <v>10.5</v>
      </c>
      <c r="T712" s="35">
        <f t="shared" si="404"/>
        <v>44696</v>
      </c>
      <c r="U712" s="27"/>
      <c r="V712" s="27">
        <v>20</v>
      </c>
      <c r="W712" s="58">
        <f>IF(K712=TRUE,Q712/J712,Q712)</f>
        <v>10.5</v>
      </c>
      <c r="X712" s="31">
        <f t="shared" si="449"/>
        <v>2.1</v>
      </c>
      <c r="Y712" t="b">
        <f t="shared" si="450"/>
        <v>0</v>
      </c>
      <c r="Z712" s="78">
        <f t="shared" si="451"/>
        <v>-10.5</v>
      </c>
      <c r="AB712" t="b">
        <f t="shared" si="406"/>
        <v>1</v>
      </c>
    </row>
    <row r="713" spans="1:28" x14ac:dyDescent="0.25">
      <c r="A713" s="53">
        <v>2022</v>
      </c>
      <c r="B713" s="53">
        <v>47</v>
      </c>
      <c r="C713" s="71" t="s">
        <v>105</v>
      </c>
      <c r="D713" t="s">
        <v>703</v>
      </c>
      <c r="E713" s="131"/>
      <c r="G713" s="1">
        <v>44641</v>
      </c>
      <c r="H713" t="s">
        <v>1148</v>
      </c>
      <c r="K713" t="b">
        <f t="shared" si="443"/>
        <v>0</v>
      </c>
      <c r="L713" s="48">
        <v>31.92</v>
      </c>
      <c r="M713" s="72">
        <v>1</v>
      </c>
      <c r="N713">
        <v>20</v>
      </c>
      <c r="O713" s="31">
        <f t="shared" si="444"/>
        <v>6.3840000000000012</v>
      </c>
      <c r="P713" s="31">
        <f t="shared" si="445"/>
        <v>6.3840000000000012</v>
      </c>
      <c r="Q713" s="33">
        <f t="shared" si="446"/>
        <v>31.92</v>
      </c>
      <c r="R713" s="29">
        <f t="shared" si="447"/>
        <v>38.304000000000002</v>
      </c>
      <c r="S713" s="29">
        <f t="shared" si="448"/>
        <v>38.304000000000002</v>
      </c>
      <c r="T713" s="35">
        <f t="shared" si="404"/>
        <v>44696</v>
      </c>
      <c r="U713" s="27"/>
      <c r="V713" s="27"/>
      <c r="W713" s="58">
        <f>IF(K713=TRUE,Q713/I713,Q713)</f>
        <v>31.92</v>
      </c>
      <c r="X713" s="31">
        <f t="shared" si="449"/>
        <v>0</v>
      </c>
      <c r="Y713" t="b">
        <f t="shared" si="450"/>
        <v>0</v>
      </c>
      <c r="Z713" s="78">
        <f t="shared" si="451"/>
        <v>-31.92</v>
      </c>
      <c r="AB713" t="b">
        <f t="shared" si="406"/>
        <v>1</v>
      </c>
    </row>
    <row r="714" spans="1:28" x14ac:dyDescent="0.25">
      <c r="A714" s="53">
        <v>2022</v>
      </c>
      <c r="B714" s="53">
        <v>48</v>
      </c>
      <c r="C714" s="71" t="s">
        <v>105</v>
      </c>
      <c r="D714" t="s">
        <v>705</v>
      </c>
      <c r="G714" s="1">
        <v>44644</v>
      </c>
      <c r="H714" t="s">
        <v>941</v>
      </c>
      <c r="K714" t="b">
        <f t="shared" si="443"/>
        <v>0</v>
      </c>
      <c r="L714" s="48">
        <v>15.75</v>
      </c>
      <c r="M714" s="72">
        <v>1</v>
      </c>
      <c r="N714">
        <v>20</v>
      </c>
      <c r="O714" s="31">
        <f t="shared" si="444"/>
        <v>3.15</v>
      </c>
      <c r="P714" s="31">
        <f t="shared" si="445"/>
        <v>3.15</v>
      </c>
      <c r="Q714" s="33">
        <f t="shared" si="446"/>
        <v>15.75</v>
      </c>
      <c r="R714" s="29">
        <f t="shared" si="447"/>
        <v>18.899999999999999</v>
      </c>
      <c r="S714" s="29">
        <f t="shared" si="448"/>
        <v>18.899999999999999</v>
      </c>
      <c r="T714" s="35">
        <f t="shared" si="404"/>
        <v>44696</v>
      </c>
      <c r="U714" s="27"/>
      <c r="V714" s="27"/>
      <c r="W714" s="58">
        <f>IF(K714=TRUE,Q714/J714,Q714)</f>
        <v>15.75</v>
      </c>
      <c r="X714" s="31">
        <f t="shared" si="449"/>
        <v>0</v>
      </c>
      <c r="Y714" t="b">
        <f t="shared" si="450"/>
        <v>0</v>
      </c>
      <c r="Z714" s="78">
        <f t="shared" si="451"/>
        <v>-15.75</v>
      </c>
      <c r="AB714" t="b">
        <f t="shared" si="406"/>
        <v>1</v>
      </c>
    </row>
    <row r="715" spans="1:28" x14ac:dyDescent="0.25">
      <c r="A715" s="53">
        <v>2022</v>
      </c>
      <c r="B715" s="53">
        <v>49</v>
      </c>
      <c r="C715" s="71" t="s">
        <v>105</v>
      </c>
      <c r="D715" t="s">
        <v>705</v>
      </c>
      <c r="E715" s="9" t="s">
        <v>1667</v>
      </c>
      <c r="G715" s="1">
        <v>44648</v>
      </c>
      <c r="H715" t="s">
        <v>1027</v>
      </c>
      <c r="K715" t="b">
        <f t="shared" si="443"/>
        <v>0</v>
      </c>
      <c r="L715" s="48">
        <v>527.5</v>
      </c>
      <c r="M715" s="72">
        <v>1</v>
      </c>
      <c r="N715">
        <v>20</v>
      </c>
      <c r="O715" s="31">
        <f t="shared" si="444"/>
        <v>105.5</v>
      </c>
      <c r="P715" s="31">
        <f t="shared" si="445"/>
        <v>105.5</v>
      </c>
      <c r="Q715" s="33">
        <f t="shared" si="446"/>
        <v>527.5</v>
      </c>
      <c r="R715" s="29">
        <f t="shared" si="447"/>
        <v>633</v>
      </c>
      <c r="S715" s="29">
        <f t="shared" si="448"/>
        <v>633</v>
      </c>
      <c r="T715" s="35">
        <f t="shared" si="404"/>
        <v>44696</v>
      </c>
      <c r="U715" s="27"/>
      <c r="V715" s="27"/>
      <c r="W715" s="58">
        <f>IF(K715=TRUE,Q715/J715,Q715)</f>
        <v>527.5</v>
      </c>
      <c r="X715" s="31">
        <f t="shared" si="449"/>
        <v>0</v>
      </c>
      <c r="Y715" t="b">
        <f t="shared" si="450"/>
        <v>0</v>
      </c>
      <c r="Z715" s="78">
        <f t="shared" si="451"/>
        <v>-527.5</v>
      </c>
      <c r="AB715" t="b">
        <f t="shared" si="406"/>
        <v>1</v>
      </c>
    </row>
    <row r="716" spans="1:28" x14ac:dyDescent="0.25">
      <c r="A716" s="53">
        <v>2022</v>
      </c>
      <c r="B716" s="53">
        <v>50</v>
      </c>
      <c r="C716" s="71" t="s">
        <v>105</v>
      </c>
      <c r="D716" t="s">
        <v>705</v>
      </c>
      <c r="E716" s="9" t="s">
        <v>1668</v>
      </c>
      <c r="G716" s="1">
        <v>44648</v>
      </c>
      <c r="H716" t="s">
        <v>1027</v>
      </c>
      <c r="K716" t="b">
        <f t="shared" si="443"/>
        <v>0</v>
      </c>
      <c r="L716" s="48">
        <v>457.5</v>
      </c>
      <c r="M716" s="72">
        <v>1</v>
      </c>
      <c r="N716">
        <v>20</v>
      </c>
      <c r="O716" s="31">
        <f t="shared" ref="O716:O732" si="452">L716*N716/100</f>
        <v>91.5</v>
      </c>
      <c r="P716" s="31">
        <f t="shared" ref="P716:P732" si="453">M716*O716</f>
        <v>91.5</v>
      </c>
      <c r="Q716" s="33">
        <f t="shared" ref="Q716:Q735" si="454">L716*M716</f>
        <v>457.5</v>
      </c>
      <c r="R716" s="29">
        <f t="shared" ref="R716:R735" si="455">L716+O716</f>
        <v>549</v>
      </c>
      <c r="S716" s="29">
        <f t="shared" ref="S716:S724" si="456">Q716+P716</f>
        <v>549</v>
      </c>
      <c r="T716" s="35">
        <f t="shared" si="404"/>
        <v>44696</v>
      </c>
      <c r="U716" s="27"/>
      <c r="V716" s="27"/>
      <c r="W716" s="58">
        <f>IF(K716=TRUE,Q716/J716,Q716)</f>
        <v>457.5</v>
      </c>
      <c r="X716" s="31">
        <f t="shared" ref="X716:X735" si="457">V716/100*S716</f>
        <v>0</v>
      </c>
      <c r="Y716" t="b">
        <f t="shared" ref="Y716:Y735" si="458">IF(AND(V716&gt;0,N716=V716),TRUE,FALSE)</f>
        <v>0</v>
      </c>
      <c r="Z716" s="78">
        <f t="shared" ref="Z716:Z735" si="459">IF(C716="Einnahmen",Q716,-Q716)</f>
        <v>-457.5</v>
      </c>
      <c r="AB716" t="b">
        <f t="shared" si="406"/>
        <v>1</v>
      </c>
    </row>
    <row r="717" spans="1:28" x14ac:dyDescent="0.25">
      <c r="A717" s="53">
        <v>2022</v>
      </c>
      <c r="B717" s="53">
        <v>51</v>
      </c>
      <c r="C717" s="71" t="s">
        <v>708</v>
      </c>
      <c r="D717" t="s">
        <v>709</v>
      </c>
      <c r="E717" s="6">
        <v>12022006</v>
      </c>
      <c r="G717" s="1">
        <v>44652</v>
      </c>
      <c r="H717" t="s">
        <v>1038</v>
      </c>
      <c r="K717" t="b">
        <f t="shared" si="443"/>
        <v>0</v>
      </c>
      <c r="L717" s="48">
        <v>2835.42</v>
      </c>
      <c r="M717" s="72">
        <v>1</v>
      </c>
      <c r="N717">
        <v>20</v>
      </c>
      <c r="O717" s="31">
        <f t="shared" si="452"/>
        <v>567.08400000000006</v>
      </c>
      <c r="P717" s="31">
        <f t="shared" si="453"/>
        <v>567.08400000000006</v>
      </c>
      <c r="Q717" s="33">
        <f t="shared" si="454"/>
        <v>2835.42</v>
      </c>
      <c r="R717" s="29">
        <f t="shared" si="455"/>
        <v>3402.5039999999999</v>
      </c>
      <c r="S717" s="29">
        <f t="shared" si="456"/>
        <v>3402.5039999999999</v>
      </c>
      <c r="T717" s="35">
        <f t="shared" si="404"/>
        <v>44788</v>
      </c>
      <c r="U717" s="27"/>
      <c r="V717" s="27"/>
      <c r="W717" s="58">
        <f>IF(K717=TRUE,Q717/I717,Q717)</f>
        <v>2835.42</v>
      </c>
      <c r="X717" s="31">
        <f t="shared" si="457"/>
        <v>0</v>
      </c>
      <c r="Y717" t="b">
        <f t="shared" si="458"/>
        <v>0</v>
      </c>
      <c r="Z717" s="78">
        <f t="shared" si="459"/>
        <v>2835.42</v>
      </c>
      <c r="AB717" t="b">
        <f t="shared" si="406"/>
        <v>1</v>
      </c>
    </row>
    <row r="718" spans="1:28" x14ac:dyDescent="0.25">
      <c r="A718" s="53">
        <v>2022</v>
      </c>
      <c r="B718" s="53">
        <v>52</v>
      </c>
      <c r="C718" s="71" t="s">
        <v>105</v>
      </c>
      <c r="D718" t="s">
        <v>691</v>
      </c>
      <c r="G718" s="1">
        <v>44652</v>
      </c>
      <c r="H718" t="s">
        <v>1113</v>
      </c>
      <c r="K718" t="b">
        <v>0</v>
      </c>
      <c r="L718" s="90">
        <f>574.43/1.2</f>
        <v>478.69166666666666</v>
      </c>
      <c r="M718" s="72">
        <v>1</v>
      </c>
      <c r="N718">
        <v>20</v>
      </c>
      <c r="O718" s="31">
        <f t="shared" si="452"/>
        <v>95.738333333333344</v>
      </c>
      <c r="P718" s="31">
        <f t="shared" si="453"/>
        <v>95.738333333333344</v>
      </c>
      <c r="Q718" s="33">
        <f t="shared" si="454"/>
        <v>478.69166666666666</v>
      </c>
      <c r="R718" s="29">
        <f t="shared" si="455"/>
        <v>574.43000000000006</v>
      </c>
      <c r="S718" s="29">
        <f t="shared" si="456"/>
        <v>574.43000000000006</v>
      </c>
      <c r="T718" s="35">
        <f t="shared" si="404"/>
        <v>44788</v>
      </c>
      <c r="U718" s="27"/>
      <c r="V718" s="27"/>
      <c r="W718" s="58">
        <f>IF(K718=TRUE,Q718/J718,Q718)</f>
        <v>478.69166666666666</v>
      </c>
      <c r="X718" s="31">
        <f t="shared" si="457"/>
        <v>0</v>
      </c>
      <c r="Y718" t="b">
        <f t="shared" si="458"/>
        <v>0</v>
      </c>
      <c r="Z718" s="78">
        <f t="shared" si="459"/>
        <v>-478.69166666666666</v>
      </c>
      <c r="AB718" t="b">
        <f t="shared" si="406"/>
        <v>1</v>
      </c>
    </row>
    <row r="719" spans="1:28" x14ac:dyDescent="0.25">
      <c r="A719" s="53">
        <v>2022</v>
      </c>
      <c r="B719" s="53">
        <v>53</v>
      </c>
      <c r="C719" s="71" t="s">
        <v>105</v>
      </c>
      <c r="D719" t="s">
        <v>703</v>
      </c>
      <c r="G719" s="1">
        <v>44652</v>
      </c>
      <c r="H719" t="s">
        <v>34</v>
      </c>
      <c r="K719" t="b">
        <f>(IF(AND(I719&lt;&gt;"",AND(J719="",ABS(Q719)&gt;400)),TRUE,FALSE))</f>
        <v>0</v>
      </c>
      <c r="L719" s="48">
        <v>15</v>
      </c>
      <c r="M719" s="72">
        <v>1</v>
      </c>
      <c r="N719">
        <v>20</v>
      </c>
      <c r="O719" s="31">
        <f t="shared" si="452"/>
        <v>3</v>
      </c>
      <c r="P719" s="31">
        <f t="shared" si="453"/>
        <v>3</v>
      </c>
      <c r="Q719" s="33">
        <f t="shared" si="454"/>
        <v>15</v>
      </c>
      <c r="R719" s="29">
        <f t="shared" si="455"/>
        <v>18</v>
      </c>
      <c r="S719" s="29">
        <f t="shared" si="456"/>
        <v>18</v>
      </c>
      <c r="T719" s="35">
        <f t="shared" si="404"/>
        <v>44788</v>
      </c>
      <c r="U719" s="27"/>
      <c r="V719" s="27"/>
      <c r="W719" s="58">
        <f>IF(K719=TRUE,Q719/I719,Q719)</f>
        <v>15</v>
      </c>
      <c r="X719" s="31">
        <f t="shared" si="457"/>
        <v>0</v>
      </c>
      <c r="Y719" t="b">
        <f t="shared" si="458"/>
        <v>0</v>
      </c>
      <c r="Z719" s="78">
        <f t="shared" si="459"/>
        <v>-15</v>
      </c>
      <c r="AB719" t="b">
        <f t="shared" si="406"/>
        <v>1</v>
      </c>
    </row>
    <row r="720" spans="1:28" x14ac:dyDescent="0.25">
      <c r="A720" s="53">
        <v>2022</v>
      </c>
      <c r="B720" s="53">
        <v>54</v>
      </c>
      <c r="C720" s="71" t="s">
        <v>708</v>
      </c>
      <c r="D720" t="s">
        <v>709</v>
      </c>
      <c r="G720" s="1">
        <v>44652</v>
      </c>
      <c r="H720" t="s">
        <v>1513</v>
      </c>
      <c r="K720" t="b">
        <v>0</v>
      </c>
      <c r="L720" s="48">
        <v>183</v>
      </c>
      <c r="M720" s="72">
        <v>1</v>
      </c>
      <c r="N720">
        <v>20</v>
      </c>
      <c r="O720" s="31">
        <f t="shared" si="452"/>
        <v>36.6</v>
      </c>
      <c r="P720" s="31">
        <f t="shared" si="453"/>
        <v>36.6</v>
      </c>
      <c r="Q720" s="33">
        <f t="shared" si="454"/>
        <v>183</v>
      </c>
      <c r="R720" s="29">
        <f t="shared" si="455"/>
        <v>219.6</v>
      </c>
      <c r="S720" s="29">
        <f t="shared" si="456"/>
        <v>219.6</v>
      </c>
      <c r="T720" s="35">
        <f t="shared" si="404"/>
        <v>44788</v>
      </c>
      <c r="U720" s="27"/>
      <c r="V720" s="27"/>
      <c r="W720" s="58">
        <f>IF(K720=TRUE,Q720/J720,Q720)</f>
        <v>183</v>
      </c>
      <c r="X720" s="31">
        <f t="shared" si="457"/>
        <v>0</v>
      </c>
      <c r="Y720" t="b">
        <f t="shared" si="458"/>
        <v>0</v>
      </c>
      <c r="Z720" s="78">
        <f t="shared" si="459"/>
        <v>183</v>
      </c>
      <c r="AB720" t="b">
        <f t="shared" si="406"/>
        <v>1</v>
      </c>
    </row>
    <row r="721" spans="1:28" x14ac:dyDescent="0.25">
      <c r="A721" s="53">
        <v>2022</v>
      </c>
      <c r="B721" s="53">
        <v>55</v>
      </c>
      <c r="C721" s="71" t="s">
        <v>105</v>
      </c>
      <c r="D721" t="s">
        <v>705</v>
      </c>
      <c r="G721" s="1">
        <v>44655</v>
      </c>
      <c r="H721" t="s">
        <v>1404</v>
      </c>
      <c r="K721" t="b">
        <v>0</v>
      </c>
      <c r="L721" s="109">
        <v>10.4</v>
      </c>
      <c r="M721" s="72">
        <v>1</v>
      </c>
      <c r="N721">
        <v>0</v>
      </c>
      <c r="O721" s="31">
        <f t="shared" si="452"/>
        <v>0</v>
      </c>
      <c r="P721" s="31">
        <f t="shared" si="453"/>
        <v>0</v>
      </c>
      <c r="Q721" s="33">
        <f t="shared" si="454"/>
        <v>10.4</v>
      </c>
      <c r="R721" s="29">
        <f t="shared" si="455"/>
        <v>10.4</v>
      </c>
      <c r="S721" s="29">
        <f t="shared" si="456"/>
        <v>10.4</v>
      </c>
      <c r="T721" s="35">
        <f t="shared" si="404"/>
        <v>44788</v>
      </c>
      <c r="U721" s="27"/>
      <c r="V721" s="27">
        <v>20</v>
      </c>
      <c r="W721" s="58">
        <f>IF(K721=TRUE,Q721/I721,Q721)</f>
        <v>10.4</v>
      </c>
      <c r="X721" s="31">
        <f t="shared" si="457"/>
        <v>2.08</v>
      </c>
      <c r="Y721" t="b">
        <f t="shared" si="458"/>
        <v>0</v>
      </c>
      <c r="Z721" s="78">
        <f t="shared" si="459"/>
        <v>-10.4</v>
      </c>
      <c r="AB721" t="b">
        <f t="shared" si="406"/>
        <v>1</v>
      </c>
    </row>
    <row r="722" spans="1:28" x14ac:dyDescent="0.25">
      <c r="A722" s="53">
        <v>2022</v>
      </c>
      <c r="B722" s="53">
        <v>56</v>
      </c>
      <c r="C722" s="71" t="s">
        <v>105</v>
      </c>
      <c r="D722" t="s">
        <v>689</v>
      </c>
      <c r="E722" s="9" t="s">
        <v>1669</v>
      </c>
      <c r="G722" s="1">
        <v>44655</v>
      </c>
      <c r="H722" t="s">
        <v>962</v>
      </c>
      <c r="K722" t="b">
        <f>(IF(AND(I722&lt;&gt;"",AND(J722="",ABS(Q722)&gt;400)),TRUE,FALSE))</f>
        <v>0</v>
      </c>
      <c r="L722" s="48">
        <f>40.8</f>
        <v>40.799999999999997</v>
      </c>
      <c r="M722" s="72">
        <v>1</v>
      </c>
      <c r="N722">
        <v>0</v>
      </c>
      <c r="O722" s="31">
        <f t="shared" si="452"/>
        <v>0</v>
      </c>
      <c r="P722" s="31">
        <f t="shared" si="453"/>
        <v>0</v>
      </c>
      <c r="Q722" s="33">
        <f t="shared" si="454"/>
        <v>40.799999999999997</v>
      </c>
      <c r="R722" s="29">
        <f t="shared" si="455"/>
        <v>40.799999999999997</v>
      </c>
      <c r="S722" s="29">
        <f t="shared" si="456"/>
        <v>40.799999999999997</v>
      </c>
      <c r="T722" s="35">
        <f t="shared" si="404"/>
        <v>44788</v>
      </c>
      <c r="U722" s="27"/>
      <c r="V722" s="27"/>
      <c r="W722" s="58">
        <f>IF(K722=TRUE,Q722/J722,Q722)</f>
        <v>40.799999999999997</v>
      </c>
      <c r="X722" s="31">
        <f t="shared" si="457"/>
        <v>0</v>
      </c>
      <c r="Y722" t="b">
        <f t="shared" si="458"/>
        <v>0</v>
      </c>
      <c r="Z722" s="78">
        <f t="shared" si="459"/>
        <v>-40.799999999999997</v>
      </c>
      <c r="AB722" t="b">
        <f t="shared" si="406"/>
        <v>1</v>
      </c>
    </row>
    <row r="723" spans="1:28" x14ac:dyDescent="0.25">
      <c r="A723" s="53">
        <v>2022</v>
      </c>
      <c r="B723" s="53">
        <v>57</v>
      </c>
      <c r="C723" s="71" t="s">
        <v>105</v>
      </c>
      <c r="D723" t="s">
        <v>689</v>
      </c>
      <c r="E723" s="131"/>
      <c r="G723" s="1">
        <v>44655</v>
      </c>
      <c r="H723" t="s">
        <v>974</v>
      </c>
      <c r="K723" t="b">
        <v>0</v>
      </c>
      <c r="L723" s="48">
        <v>20.03</v>
      </c>
      <c r="M723" s="72">
        <v>1</v>
      </c>
      <c r="N723">
        <v>20</v>
      </c>
      <c r="O723" s="31">
        <f t="shared" si="452"/>
        <v>4.0060000000000002</v>
      </c>
      <c r="P723" s="31">
        <f t="shared" si="453"/>
        <v>4.0060000000000002</v>
      </c>
      <c r="Q723" s="33">
        <f t="shared" si="454"/>
        <v>20.03</v>
      </c>
      <c r="R723" s="29">
        <f t="shared" si="455"/>
        <v>24.036000000000001</v>
      </c>
      <c r="S723" s="29">
        <f t="shared" si="456"/>
        <v>24.036000000000001</v>
      </c>
      <c r="T723" s="35">
        <f t="shared" si="404"/>
        <v>44788</v>
      </c>
      <c r="U723" s="27"/>
      <c r="V723" s="27"/>
      <c r="W723" s="58">
        <f>IF(K723=TRUE,Q723/J723,Q723)</f>
        <v>20.03</v>
      </c>
      <c r="X723" s="31">
        <f t="shared" si="457"/>
        <v>0</v>
      </c>
      <c r="Y723" t="b">
        <f t="shared" si="458"/>
        <v>0</v>
      </c>
      <c r="Z723" s="78">
        <f t="shared" si="459"/>
        <v>-20.03</v>
      </c>
      <c r="AB723" t="b">
        <f t="shared" si="406"/>
        <v>1</v>
      </c>
    </row>
    <row r="724" spans="1:28" x14ac:dyDescent="0.25">
      <c r="A724" s="53">
        <v>2022</v>
      </c>
      <c r="B724" s="53">
        <v>58</v>
      </c>
      <c r="C724" s="71" t="s">
        <v>105</v>
      </c>
      <c r="D724" t="s">
        <v>705</v>
      </c>
      <c r="E724" s="153" t="s">
        <v>1698</v>
      </c>
      <c r="G724" s="1">
        <v>44656</v>
      </c>
      <c r="H724" t="s">
        <v>1670</v>
      </c>
      <c r="K724" t="b">
        <f>(IF(AND(I724&lt;&gt;"",AND(J724="",ABS(Q724)&gt;400)),TRUE,FALSE))</f>
        <v>0</v>
      </c>
      <c r="L724" s="109">
        <v>2.5</v>
      </c>
      <c r="M724" s="72">
        <v>1</v>
      </c>
      <c r="N724">
        <v>20</v>
      </c>
      <c r="O724" s="31">
        <f t="shared" si="452"/>
        <v>0.5</v>
      </c>
      <c r="P724" s="31">
        <f t="shared" si="453"/>
        <v>0.5</v>
      </c>
      <c r="Q724" s="33">
        <f t="shared" si="454"/>
        <v>2.5</v>
      </c>
      <c r="R724" s="29">
        <f t="shared" si="455"/>
        <v>3</v>
      </c>
      <c r="S724" s="29">
        <f t="shared" si="456"/>
        <v>3</v>
      </c>
      <c r="T724" s="35">
        <f t="shared" si="404"/>
        <v>44788</v>
      </c>
      <c r="U724" s="27"/>
      <c r="V724" s="27"/>
      <c r="W724" s="58">
        <f>IF(K724=TRUE,Q724/J724,Q724)</f>
        <v>2.5</v>
      </c>
      <c r="X724" s="31">
        <f t="shared" si="457"/>
        <v>0</v>
      </c>
      <c r="Y724" t="b">
        <f t="shared" si="458"/>
        <v>0</v>
      </c>
      <c r="Z724" s="78">
        <f t="shared" si="459"/>
        <v>-2.5</v>
      </c>
      <c r="AB724" t="b">
        <f t="shared" si="406"/>
        <v>1</v>
      </c>
    </row>
    <row r="725" spans="1:28" x14ac:dyDescent="0.25">
      <c r="A725" s="53">
        <v>2022</v>
      </c>
      <c r="B725" s="53">
        <v>59</v>
      </c>
      <c r="C725" s="71" t="s">
        <v>105</v>
      </c>
      <c r="D725" t="s">
        <v>691</v>
      </c>
      <c r="E725" s="139"/>
      <c r="G725" s="1">
        <v>44656</v>
      </c>
      <c r="H725" t="s">
        <v>1558</v>
      </c>
      <c r="K725" t="b">
        <v>0</v>
      </c>
      <c r="L725" s="109">
        <v>122.6</v>
      </c>
      <c r="M725" s="72">
        <v>1</v>
      </c>
      <c r="N725">
        <v>20</v>
      </c>
      <c r="O725" s="31">
        <f t="shared" si="452"/>
        <v>24.52</v>
      </c>
      <c r="P725" s="31">
        <f t="shared" si="453"/>
        <v>24.52</v>
      </c>
      <c r="Q725" s="33">
        <f t="shared" si="454"/>
        <v>122.6</v>
      </c>
      <c r="R725" s="29">
        <f t="shared" si="455"/>
        <v>147.12</v>
      </c>
      <c r="S725" s="29">
        <f t="shared" ref="S725:S735" si="460">Q725+P725</f>
        <v>147.12</v>
      </c>
      <c r="T725" s="35">
        <f t="shared" si="404"/>
        <v>44788</v>
      </c>
      <c r="U725" s="27"/>
      <c r="V725" s="27"/>
      <c r="W725" s="58">
        <f>IF(K725=TRUE,Q725/J725,Q725)</f>
        <v>122.6</v>
      </c>
      <c r="X725" s="31">
        <f t="shared" si="457"/>
        <v>0</v>
      </c>
      <c r="Y725" t="b">
        <f t="shared" si="458"/>
        <v>0</v>
      </c>
      <c r="Z725" s="78">
        <f t="shared" si="459"/>
        <v>-122.6</v>
      </c>
      <c r="AB725" t="b">
        <f t="shared" si="406"/>
        <v>1</v>
      </c>
    </row>
    <row r="726" spans="1:28" x14ac:dyDescent="0.25">
      <c r="A726" s="53">
        <v>2022</v>
      </c>
      <c r="B726" s="53">
        <v>60</v>
      </c>
      <c r="C726" s="71" t="s">
        <v>708</v>
      </c>
      <c r="D726" t="s">
        <v>709</v>
      </c>
      <c r="E726">
        <v>12022004</v>
      </c>
      <c r="G726" s="1">
        <v>44657</v>
      </c>
      <c r="H726" t="s">
        <v>1388</v>
      </c>
      <c r="K726" t="b">
        <v>0</v>
      </c>
      <c r="L726" s="48">
        <v>270</v>
      </c>
      <c r="M726" s="72">
        <v>1</v>
      </c>
      <c r="N726">
        <v>20</v>
      </c>
      <c r="O726" s="31">
        <f t="shared" si="452"/>
        <v>54</v>
      </c>
      <c r="P726" s="31">
        <f t="shared" si="453"/>
        <v>54</v>
      </c>
      <c r="Q726" s="33">
        <f t="shared" si="454"/>
        <v>270</v>
      </c>
      <c r="R726" s="29">
        <f t="shared" si="455"/>
        <v>324</v>
      </c>
      <c r="S726" s="29">
        <f t="shared" si="460"/>
        <v>324</v>
      </c>
      <c r="T726" s="35">
        <f t="shared" si="404"/>
        <v>44788</v>
      </c>
      <c r="U726" s="27"/>
      <c r="V726" s="27"/>
      <c r="W726" s="58">
        <f>IF(K726=TRUE,Q726/I726,Q726)</f>
        <v>270</v>
      </c>
      <c r="X726" s="31">
        <f t="shared" si="457"/>
        <v>0</v>
      </c>
      <c r="Y726" t="b">
        <f t="shared" si="458"/>
        <v>0</v>
      </c>
      <c r="Z726" s="78">
        <f t="shared" si="459"/>
        <v>270</v>
      </c>
      <c r="AB726" t="b">
        <f t="shared" si="406"/>
        <v>1</v>
      </c>
    </row>
    <row r="727" spans="1:28" x14ac:dyDescent="0.25">
      <c r="A727" s="53">
        <v>2022</v>
      </c>
      <c r="B727" s="53">
        <v>61</v>
      </c>
      <c r="C727" s="71" t="s">
        <v>708</v>
      </c>
      <c r="D727" t="s">
        <v>709</v>
      </c>
      <c r="E727">
        <v>12022005</v>
      </c>
      <c r="G727" s="1">
        <v>44662</v>
      </c>
      <c r="H727" t="s">
        <v>983</v>
      </c>
      <c r="K727" t="b">
        <f t="shared" ref="K727:K736" si="461">(IF(AND(I727&lt;&gt;"",AND(J727="",ABS(Q727)&gt;400)),TRUE,FALSE))</f>
        <v>0</v>
      </c>
      <c r="L727" s="48">
        <v>520</v>
      </c>
      <c r="M727" s="72">
        <v>1</v>
      </c>
      <c r="N727">
        <v>20</v>
      </c>
      <c r="O727" s="31">
        <f t="shared" si="452"/>
        <v>104</v>
      </c>
      <c r="P727" s="31">
        <f t="shared" si="453"/>
        <v>104</v>
      </c>
      <c r="Q727" s="33">
        <f t="shared" si="454"/>
        <v>520</v>
      </c>
      <c r="R727" s="29">
        <f t="shared" si="455"/>
        <v>624</v>
      </c>
      <c r="S727" s="29">
        <f t="shared" si="460"/>
        <v>624</v>
      </c>
      <c r="T727" s="35">
        <f t="shared" si="404"/>
        <v>44788</v>
      </c>
      <c r="U727" s="27"/>
      <c r="V727" s="27"/>
      <c r="W727" s="58">
        <f>IF(K727=TRUE,Q727/J727,Q727)</f>
        <v>520</v>
      </c>
      <c r="X727" s="31">
        <f t="shared" si="457"/>
        <v>0</v>
      </c>
      <c r="Y727" t="b">
        <f t="shared" si="458"/>
        <v>0</v>
      </c>
      <c r="Z727" s="78">
        <f t="shared" si="459"/>
        <v>520</v>
      </c>
      <c r="AB727" t="b">
        <f t="shared" si="406"/>
        <v>1</v>
      </c>
    </row>
    <row r="728" spans="1:28" x14ac:dyDescent="0.25">
      <c r="A728" s="53">
        <v>2022</v>
      </c>
      <c r="B728" s="53">
        <v>62</v>
      </c>
      <c r="C728" s="71" t="s">
        <v>105</v>
      </c>
      <c r="D728" t="s">
        <v>705</v>
      </c>
      <c r="E728" s="139" t="s">
        <v>1649</v>
      </c>
      <c r="G728" s="1">
        <v>44662</v>
      </c>
      <c r="H728" t="s">
        <v>1466</v>
      </c>
      <c r="K728" t="b">
        <f t="shared" si="461"/>
        <v>0</v>
      </c>
      <c r="L728" s="48">
        <v>11</v>
      </c>
      <c r="M728" s="72">
        <v>1</v>
      </c>
      <c r="N728">
        <v>20</v>
      </c>
      <c r="O728" s="31">
        <f t="shared" si="452"/>
        <v>2.2000000000000002</v>
      </c>
      <c r="P728" s="31">
        <f t="shared" si="453"/>
        <v>2.2000000000000002</v>
      </c>
      <c r="Q728" s="33">
        <f t="shared" si="454"/>
        <v>11</v>
      </c>
      <c r="R728" s="29">
        <f t="shared" si="455"/>
        <v>13.2</v>
      </c>
      <c r="S728" s="29">
        <f t="shared" si="460"/>
        <v>13.2</v>
      </c>
      <c r="T728" s="35">
        <f t="shared" si="404"/>
        <v>44788</v>
      </c>
      <c r="U728" s="27"/>
      <c r="V728" s="27"/>
      <c r="W728" s="58">
        <f>IF(K728=TRUE,Q728/J728,Q728)</f>
        <v>11</v>
      </c>
      <c r="X728" s="31">
        <f t="shared" si="457"/>
        <v>0</v>
      </c>
      <c r="Y728" t="b">
        <f t="shared" si="458"/>
        <v>0</v>
      </c>
      <c r="Z728" s="78">
        <f t="shared" si="459"/>
        <v>-11</v>
      </c>
      <c r="AB728" t="b">
        <f t="shared" si="406"/>
        <v>1</v>
      </c>
    </row>
    <row r="729" spans="1:28" x14ac:dyDescent="0.25">
      <c r="A729" s="53">
        <v>2022</v>
      </c>
      <c r="B729" s="53">
        <v>63</v>
      </c>
      <c r="C729" s="71" t="s">
        <v>105</v>
      </c>
      <c r="D729" t="s">
        <v>705</v>
      </c>
      <c r="G729" s="1">
        <v>44664</v>
      </c>
      <c r="H729" t="s">
        <v>927</v>
      </c>
      <c r="K729" t="b">
        <f t="shared" si="461"/>
        <v>0</v>
      </c>
      <c r="L729" s="48">
        <v>47.776499999999999</v>
      </c>
      <c r="M729" s="72">
        <v>1</v>
      </c>
      <c r="N729">
        <v>0</v>
      </c>
      <c r="O729" s="31">
        <f t="shared" si="452"/>
        <v>0</v>
      </c>
      <c r="P729" s="31">
        <f t="shared" si="453"/>
        <v>0</v>
      </c>
      <c r="Q729" s="33">
        <f t="shared" si="454"/>
        <v>47.776499999999999</v>
      </c>
      <c r="R729" s="29">
        <f t="shared" si="455"/>
        <v>47.776499999999999</v>
      </c>
      <c r="S729" s="29">
        <f t="shared" si="460"/>
        <v>47.776499999999999</v>
      </c>
      <c r="T729" s="35">
        <f t="shared" ref="T729:T792" si="462">voranmeldefrist_vierteljaehrlich(G729)</f>
        <v>44788</v>
      </c>
      <c r="U729" s="27"/>
      <c r="V729" s="27">
        <v>20</v>
      </c>
      <c r="W729" s="58">
        <f>IF(K729=TRUE,Q729/J729,Q729)</f>
        <v>47.776499999999999</v>
      </c>
      <c r="X729" s="31">
        <f t="shared" si="457"/>
        <v>9.5553000000000008</v>
      </c>
      <c r="Y729" t="b">
        <f t="shared" si="458"/>
        <v>0</v>
      </c>
      <c r="Z729" s="78">
        <f t="shared" si="459"/>
        <v>-47.776499999999999</v>
      </c>
      <c r="AB729" t="b">
        <f t="shared" si="406"/>
        <v>1</v>
      </c>
    </row>
    <row r="730" spans="1:28" x14ac:dyDescent="0.25">
      <c r="A730" s="53">
        <v>2022</v>
      </c>
      <c r="B730" s="53">
        <v>64</v>
      </c>
      <c r="C730" s="71" t="s">
        <v>708</v>
      </c>
      <c r="D730" t="s">
        <v>709</v>
      </c>
      <c r="E730">
        <v>168042508</v>
      </c>
      <c r="G730" s="1">
        <v>44665</v>
      </c>
      <c r="H730" t="s">
        <v>1652</v>
      </c>
      <c r="K730" t="b">
        <f t="shared" si="461"/>
        <v>0</v>
      </c>
      <c r="L730" s="48">
        <v>15149.5</v>
      </c>
      <c r="M730" s="72">
        <v>1</v>
      </c>
      <c r="N730">
        <v>20</v>
      </c>
      <c r="O730" s="31">
        <f t="shared" si="452"/>
        <v>3029.9</v>
      </c>
      <c r="P730" s="31">
        <f t="shared" si="453"/>
        <v>3029.9</v>
      </c>
      <c r="Q730" s="33">
        <f t="shared" si="454"/>
        <v>15149.5</v>
      </c>
      <c r="R730" s="29">
        <f t="shared" si="455"/>
        <v>18179.400000000001</v>
      </c>
      <c r="S730" s="29">
        <f t="shared" si="460"/>
        <v>18179.400000000001</v>
      </c>
      <c r="T730" s="35">
        <f t="shared" si="462"/>
        <v>44788</v>
      </c>
      <c r="U730" s="27"/>
      <c r="V730" s="27">
        <v>20</v>
      </c>
      <c r="W730" s="58">
        <f>IF(K730=TRUE,Q730/J730,Q730)</f>
        <v>15149.5</v>
      </c>
      <c r="X730" s="31">
        <f t="shared" si="457"/>
        <v>3635.8800000000006</v>
      </c>
      <c r="Y730" t="b">
        <f t="shared" si="458"/>
        <v>1</v>
      </c>
      <c r="Z730" s="78">
        <f t="shared" si="459"/>
        <v>15149.5</v>
      </c>
      <c r="AB730" t="b">
        <f t="shared" si="406"/>
        <v>1</v>
      </c>
    </row>
    <row r="731" spans="1:28" x14ac:dyDescent="0.25">
      <c r="A731" s="53">
        <v>2022</v>
      </c>
      <c r="B731" s="53">
        <v>65</v>
      </c>
      <c r="C731" s="71" t="s">
        <v>105</v>
      </c>
      <c r="D731" t="s">
        <v>705</v>
      </c>
      <c r="E731" s="6"/>
      <c r="G731" s="1">
        <v>44671</v>
      </c>
      <c r="H731" t="s">
        <v>1032</v>
      </c>
      <c r="K731" t="b">
        <f t="shared" si="461"/>
        <v>0</v>
      </c>
      <c r="L731" s="48">
        <v>10.5</v>
      </c>
      <c r="M731" s="72">
        <v>1</v>
      </c>
      <c r="N731">
        <v>0</v>
      </c>
      <c r="O731" s="31">
        <f t="shared" si="452"/>
        <v>0</v>
      </c>
      <c r="P731" s="31">
        <f t="shared" si="453"/>
        <v>0</v>
      </c>
      <c r="Q731" s="33">
        <f t="shared" si="454"/>
        <v>10.5</v>
      </c>
      <c r="R731" s="29">
        <f t="shared" si="455"/>
        <v>10.5</v>
      </c>
      <c r="S731" s="29">
        <f t="shared" si="460"/>
        <v>10.5</v>
      </c>
      <c r="T731" s="35">
        <f t="shared" si="462"/>
        <v>44788</v>
      </c>
      <c r="U731" s="27"/>
      <c r="V731" s="27">
        <v>20</v>
      </c>
      <c r="W731" s="58">
        <f>IF(K731=TRUE,Q731/J731,Q731)</f>
        <v>10.5</v>
      </c>
      <c r="X731" s="31">
        <f t="shared" si="457"/>
        <v>2.1</v>
      </c>
      <c r="Y731" t="b">
        <f t="shared" si="458"/>
        <v>0</v>
      </c>
      <c r="Z731" s="78">
        <f t="shared" si="459"/>
        <v>-10.5</v>
      </c>
      <c r="AB731" t="b">
        <f t="shared" ref="AB731:AB794" si="463">S731=L731*(100+N731)%</f>
        <v>1</v>
      </c>
    </row>
    <row r="732" spans="1:28" x14ac:dyDescent="0.25">
      <c r="A732" s="53">
        <v>2022</v>
      </c>
      <c r="B732" s="53">
        <v>66</v>
      </c>
      <c r="C732" s="71" t="s">
        <v>105</v>
      </c>
      <c r="D732" t="s">
        <v>703</v>
      </c>
      <c r="E732" s="131"/>
      <c r="G732" s="1">
        <v>44671</v>
      </c>
      <c r="H732" t="s">
        <v>1148</v>
      </c>
      <c r="K732" t="b">
        <f t="shared" si="461"/>
        <v>0</v>
      </c>
      <c r="L732" s="48">
        <v>31.92</v>
      </c>
      <c r="M732" s="72">
        <v>1</v>
      </c>
      <c r="N732">
        <v>20</v>
      </c>
      <c r="O732" s="31">
        <f t="shared" si="452"/>
        <v>6.3840000000000012</v>
      </c>
      <c r="P732" s="31">
        <f t="shared" si="453"/>
        <v>6.3840000000000012</v>
      </c>
      <c r="Q732" s="33">
        <f t="shared" si="454"/>
        <v>31.92</v>
      </c>
      <c r="R732" s="29">
        <f t="shared" si="455"/>
        <v>38.304000000000002</v>
      </c>
      <c r="S732" s="29">
        <f t="shared" si="460"/>
        <v>38.304000000000002</v>
      </c>
      <c r="T732" s="35">
        <f t="shared" si="462"/>
        <v>44788</v>
      </c>
      <c r="U732" s="27"/>
      <c r="V732" s="27"/>
      <c r="W732" s="58">
        <f>IF(K732=TRUE,Q732/I732,Q732)</f>
        <v>31.92</v>
      </c>
      <c r="X732" s="31">
        <f t="shared" si="457"/>
        <v>0</v>
      </c>
      <c r="Y732" t="b">
        <f t="shared" si="458"/>
        <v>0</v>
      </c>
      <c r="Z732" s="78">
        <f t="shared" si="459"/>
        <v>-31.92</v>
      </c>
      <c r="AB732" t="b">
        <f t="shared" si="463"/>
        <v>1</v>
      </c>
    </row>
    <row r="733" spans="1:28" x14ac:dyDescent="0.25">
      <c r="A733" s="53">
        <v>2022</v>
      </c>
      <c r="B733" s="53">
        <v>67</v>
      </c>
      <c r="C733" s="71" t="s">
        <v>105</v>
      </c>
      <c r="D733" t="s">
        <v>705</v>
      </c>
      <c r="E733" s="139" t="s">
        <v>1671</v>
      </c>
      <c r="G733" s="1">
        <v>44676</v>
      </c>
      <c r="H733" t="s">
        <v>1663</v>
      </c>
      <c r="K733" t="b">
        <f t="shared" si="461"/>
        <v>0</v>
      </c>
      <c r="L733" s="109">
        <f>-5.65/1.2</f>
        <v>-4.7083333333333339</v>
      </c>
      <c r="M733" s="72">
        <v>1</v>
      </c>
      <c r="N733">
        <v>20</v>
      </c>
      <c r="O733" s="31">
        <f>L733*N733/100</f>
        <v>-0.94166666666666687</v>
      </c>
      <c r="P733" s="31">
        <f>M733*O733</f>
        <v>-0.94166666666666687</v>
      </c>
      <c r="Q733" s="33">
        <f t="shared" si="454"/>
        <v>-4.7083333333333339</v>
      </c>
      <c r="R733" s="29">
        <f t="shared" si="455"/>
        <v>-5.65</v>
      </c>
      <c r="S733" s="29">
        <f t="shared" si="460"/>
        <v>-5.65</v>
      </c>
      <c r="T733" s="35">
        <f t="shared" si="462"/>
        <v>44788</v>
      </c>
      <c r="U733" s="27"/>
      <c r="V733" s="27"/>
      <c r="W733" s="58">
        <f>IF(K733=TRUE,Q733/I733,Q733)</f>
        <v>-4.7083333333333339</v>
      </c>
      <c r="X733" s="31">
        <f t="shared" si="457"/>
        <v>0</v>
      </c>
      <c r="Y733" t="b">
        <f t="shared" si="458"/>
        <v>0</v>
      </c>
      <c r="Z733" s="78">
        <f t="shared" si="459"/>
        <v>4.7083333333333339</v>
      </c>
      <c r="AB733" t="b">
        <f t="shared" si="463"/>
        <v>1</v>
      </c>
    </row>
    <row r="734" spans="1:28" x14ac:dyDescent="0.25">
      <c r="A734" s="53">
        <v>2022</v>
      </c>
      <c r="B734" s="53">
        <v>68</v>
      </c>
      <c r="C734" s="71" t="s">
        <v>105</v>
      </c>
      <c r="D734" t="s">
        <v>705</v>
      </c>
      <c r="E734" s="9" t="s">
        <v>1672</v>
      </c>
      <c r="G734" s="1">
        <v>44678</v>
      </c>
      <c r="H734" t="s">
        <v>1315</v>
      </c>
      <c r="K734" t="b">
        <f t="shared" si="461"/>
        <v>0</v>
      </c>
      <c r="L734" s="48">
        <v>334.8</v>
      </c>
      <c r="M734" s="72">
        <v>1</v>
      </c>
      <c r="N734">
        <v>0</v>
      </c>
      <c r="O734" s="31">
        <f>L734*N734/100</f>
        <v>0</v>
      </c>
      <c r="P734" s="31">
        <f>M734*O734</f>
        <v>0</v>
      </c>
      <c r="Q734" s="33">
        <f t="shared" si="454"/>
        <v>334.8</v>
      </c>
      <c r="R734" s="29">
        <f t="shared" si="455"/>
        <v>334.8</v>
      </c>
      <c r="S734" s="29">
        <f t="shared" si="460"/>
        <v>334.8</v>
      </c>
      <c r="T734" s="35">
        <f t="shared" si="462"/>
        <v>44788</v>
      </c>
      <c r="U734" s="27"/>
      <c r="V734" s="27">
        <v>20</v>
      </c>
      <c r="W734" s="58">
        <f>IF(K734=TRUE,Q734/J734,Q734)</f>
        <v>334.8</v>
      </c>
      <c r="X734" s="31">
        <f t="shared" si="457"/>
        <v>66.960000000000008</v>
      </c>
      <c r="Y734" t="b">
        <f t="shared" si="458"/>
        <v>0</v>
      </c>
      <c r="Z734" s="78">
        <f t="shared" si="459"/>
        <v>-334.8</v>
      </c>
      <c r="AB734" t="b">
        <f t="shared" si="463"/>
        <v>1</v>
      </c>
    </row>
    <row r="735" spans="1:28" x14ac:dyDescent="0.25">
      <c r="A735" s="53">
        <v>2022</v>
      </c>
      <c r="B735" s="53">
        <v>69</v>
      </c>
      <c r="C735" s="71" t="s">
        <v>105</v>
      </c>
      <c r="D735" t="s">
        <v>705</v>
      </c>
      <c r="E735" s="6"/>
      <c r="G735" s="1">
        <v>44680</v>
      </c>
      <c r="H735" t="s">
        <v>981</v>
      </c>
      <c r="K735" t="b">
        <f t="shared" si="461"/>
        <v>0</v>
      </c>
      <c r="L735" s="48">
        <v>480.22</v>
      </c>
      <c r="M735" s="72">
        <v>1</v>
      </c>
      <c r="N735">
        <v>20</v>
      </c>
      <c r="O735" s="31">
        <f>L735*N735/100</f>
        <v>96.044000000000011</v>
      </c>
      <c r="P735" s="31">
        <f>M735*O735</f>
        <v>96.044000000000011</v>
      </c>
      <c r="Q735" s="33">
        <f t="shared" si="454"/>
        <v>480.22</v>
      </c>
      <c r="R735" s="29">
        <f t="shared" si="455"/>
        <v>576.26400000000001</v>
      </c>
      <c r="S735" s="29">
        <f t="shared" si="460"/>
        <v>576.26400000000001</v>
      </c>
      <c r="T735" s="35">
        <f t="shared" si="462"/>
        <v>44788</v>
      </c>
      <c r="U735" s="27"/>
      <c r="V735" s="27"/>
      <c r="W735" s="58">
        <f>IF(K735=TRUE,Q735/I735,Q735)</f>
        <v>480.22</v>
      </c>
      <c r="X735" s="31">
        <f t="shared" si="457"/>
        <v>0</v>
      </c>
      <c r="Y735" t="b">
        <f t="shared" si="458"/>
        <v>0</v>
      </c>
      <c r="Z735" s="78">
        <f t="shared" si="459"/>
        <v>-480.22</v>
      </c>
      <c r="AB735" t="b">
        <f t="shared" si="463"/>
        <v>1</v>
      </c>
    </row>
    <row r="736" spans="1:28" x14ac:dyDescent="0.25">
      <c r="A736" s="53">
        <v>2022</v>
      </c>
      <c r="B736" s="53">
        <v>70</v>
      </c>
      <c r="C736" s="71" t="s">
        <v>105</v>
      </c>
      <c r="D736" t="s">
        <v>705</v>
      </c>
      <c r="E736" s="6"/>
      <c r="G736" s="1">
        <v>44683</v>
      </c>
      <c r="H736" t="s">
        <v>981</v>
      </c>
      <c r="K736" t="b">
        <f t="shared" si="461"/>
        <v>0</v>
      </c>
      <c r="L736" s="48">
        <v>29.59</v>
      </c>
      <c r="M736" s="72">
        <v>1</v>
      </c>
      <c r="N736">
        <v>20</v>
      </c>
      <c r="O736" s="31">
        <f t="shared" ref="O736:O746" si="464">L736*N736/100</f>
        <v>5.9179999999999993</v>
      </c>
      <c r="P736" s="31">
        <f t="shared" ref="P736:P746" si="465">M736*O736</f>
        <v>5.9179999999999993</v>
      </c>
      <c r="Q736" s="33">
        <f t="shared" ref="Q736:Q746" si="466">L736*M736</f>
        <v>29.59</v>
      </c>
      <c r="R736" s="29">
        <f t="shared" ref="R736:R746" si="467">L736+O736</f>
        <v>35.507999999999996</v>
      </c>
      <c r="S736" s="29">
        <f t="shared" ref="S736:S742" si="468">Q736+P736</f>
        <v>35.507999999999996</v>
      </c>
      <c r="T736" s="35">
        <f t="shared" si="462"/>
        <v>44788</v>
      </c>
      <c r="U736" s="27"/>
      <c r="V736" s="27"/>
      <c r="W736" s="58">
        <f>IF(K736=TRUE,Q736/I736,Q736)</f>
        <v>29.59</v>
      </c>
      <c r="X736" s="31">
        <f t="shared" ref="X736:X746" si="469">V736/100*S736</f>
        <v>0</v>
      </c>
      <c r="Y736" t="b">
        <f t="shared" ref="Y736:Y746" si="470">IF(AND(V736&gt;0,N736=V736),TRUE,FALSE)</f>
        <v>0</v>
      </c>
      <c r="Z736" s="78">
        <f t="shared" ref="Z736:Z746" si="471">IF(C736="Einnahmen",Q736,-Q736)</f>
        <v>-29.59</v>
      </c>
      <c r="AB736" t="b">
        <f t="shared" si="463"/>
        <v>1</v>
      </c>
    </row>
    <row r="737" spans="1:28" x14ac:dyDescent="0.25">
      <c r="A737" s="53">
        <v>2022</v>
      </c>
      <c r="B737" s="53">
        <v>71</v>
      </c>
      <c r="C737" s="71" t="s">
        <v>105</v>
      </c>
      <c r="D737" t="s">
        <v>691</v>
      </c>
      <c r="G737" s="1">
        <v>44683</v>
      </c>
      <c r="H737" t="s">
        <v>1113</v>
      </c>
      <c r="K737" t="b">
        <v>0</v>
      </c>
      <c r="L737" s="90">
        <f>574.43/1.2</f>
        <v>478.69166666666666</v>
      </c>
      <c r="M737" s="72">
        <v>1</v>
      </c>
      <c r="N737">
        <v>20</v>
      </c>
      <c r="O737" s="31">
        <f t="shared" si="464"/>
        <v>95.738333333333344</v>
      </c>
      <c r="P737" s="31">
        <f t="shared" si="465"/>
        <v>95.738333333333344</v>
      </c>
      <c r="Q737" s="33">
        <f t="shared" si="466"/>
        <v>478.69166666666666</v>
      </c>
      <c r="R737" s="29">
        <f t="shared" si="467"/>
        <v>574.43000000000006</v>
      </c>
      <c r="S737" s="29">
        <f t="shared" si="468"/>
        <v>574.43000000000006</v>
      </c>
      <c r="T737" s="35">
        <f t="shared" si="462"/>
        <v>44788</v>
      </c>
      <c r="U737" s="27"/>
      <c r="V737" s="27"/>
      <c r="W737" s="58">
        <f>IF(K737=TRUE,Q737/J737,Q737)</f>
        <v>478.69166666666666</v>
      </c>
      <c r="X737" s="31">
        <f t="shared" si="469"/>
        <v>0</v>
      </c>
      <c r="Y737" t="b">
        <f t="shared" si="470"/>
        <v>0</v>
      </c>
      <c r="Z737" s="78">
        <f t="shared" si="471"/>
        <v>-478.69166666666666</v>
      </c>
      <c r="AB737" t="b">
        <f t="shared" si="463"/>
        <v>1</v>
      </c>
    </row>
    <row r="738" spans="1:28" x14ac:dyDescent="0.25">
      <c r="A738" s="53">
        <v>2022</v>
      </c>
      <c r="B738" s="53">
        <v>72</v>
      </c>
      <c r="C738" s="71" t="s">
        <v>105</v>
      </c>
      <c r="D738" t="s">
        <v>689</v>
      </c>
      <c r="E738" s="131"/>
      <c r="G738" s="1">
        <v>44683</v>
      </c>
      <c r="H738" t="s">
        <v>974</v>
      </c>
      <c r="K738" t="b">
        <v>0</v>
      </c>
      <c r="L738" s="48">
        <v>30.13</v>
      </c>
      <c r="M738" s="72">
        <v>1</v>
      </c>
      <c r="N738">
        <v>20</v>
      </c>
      <c r="O738" s="31">
        <f t="shared" si="464"/>
        <v>6.0259999999999998</v>
      </c>
      <c r="P738" s="31">
        <f t="shared" si="465"/>
        <v>6.0259999999999998</v>
      </c>
      <c r="Q738" s="33">
        <f t="shared" si="466"/>
        <v>30.13</v>
      </c>
      <c r="R738" s="29">
        <f t="shared" si="467"/>
        <v>36.155999999999999</v>
      </c>
      <c r="S738" s="29">
        <f t="shared" si="468"/>
        <v>36.155999999999999</v>
      </c>
      <c r="T738" s="35">
        <f t="shared" si="462"/>
        <v>44788</v>
      </c>
      <c r="U738" s="27"/>
      <c r="V738" s="27"/>
      <c r="W738" s="58">
        <f>IF(K738=TRUE,Q738/J738,Q738)</f>
        <v>30.13</v>
      </c>
      <c r="X738" s="31">
        <f t="shared" si="469"/>
        <v>0</v>
      </c>
      <c r="Y738" t="b">
        <f t="shared" si="470"/>
        <v>0</v>
      </c>
      <c r="Z738" s="78">
        <f t="shared" si="471"/>
        <v>-30.13</v>
      </c>
      <c r="AB738" t="b">
        <f t="shared" si="463"/>
        <v>1</v>
      </c>
    </row>
    <row r="739" spans="1:28" x14ac:dyDescent="0.25">
      <c r="A739" s="53">
        <v>2022</v>
      </c>
      <c r="B739" s="53">
        <v>73</v>
      </c>
      <c r="C739" s="71" t="s">
        <v>105</v>
      </c>
      <c r="D739" t="s">
        <v>705</v>
      </c>
      <c r="G739" s="1">
        <v>44685</v>
      </c>
      <c r="H739" t="s">
        <v>1404</v>
      </c>
      <c r="K739" t="b">
        <v>0</v>
      </c>
      <c r="L739" s="109">
        <v>10.33</v>
      </c>
      <c r="M739" s="72">
        <v>1</v>
      </c>
      <c r="N739">
        <v>0</v>
      </c>
      <c r="O739" s="31">
        <f t="shared" si="464"/>
        <v>0</v>
      </c>
      <c r="P739" s="31">
        <f t="shared" si="465"/>
        <v>0</v>
      </c>
      <c r="Q739" s="33">
        <f t="shared" si="466"/>
        <v>10.33</v>
      </c>
      <c r="R739" s="29">
        <f t="shared" si="467"/>
        <v>10.33</v>
      </c>
      <c r="S739" s="29">
        <f t="shared" si="468"/>
        <v>10.33</v>
      </c>
      <c r="T739" s="35">
        <f t="shared" si="462"/>
        <v>44788</v>
      </c>
      <c r="U739" s="27"/>
      <c r="V739" s="27">
        <v>20</v>
      </c>
      <c r="W739" s="58">
        <f>IF(K739=TRUE,Q739/I739,Q739)</f>
        <v>10.33</v>
      </c>
      <c r="X739" s="31">
        <f t="shared" si="469"/>
        <v>2.0660000000000003</v>
      </c>
      <c r="Y739" t="b">
        <f t="shared" si="470"/>
        <v>0</v>
      </c>
      <c r="Z739" s="78">
        <f t="shared" si="471"/>
        <v>-10.33</v>
      </c>
      <c r="AB739" t="b">
        <f t="shared" si="463"/>
        <v>1</v>
      </c>
    </row>
    <row r="740" spans="1:28" x14ac:dyDescent="0.25">
      <c r="A740" s="53">
        <v>2022</v>
      </c>
      <c r="B740" s="53">
        <v>74</v>
      </c>
      <c r="C740" s="71" t="s">
        <v>105</v>
      </c>
      <c r="D740" t="s">
        <v>703</v>
      </c>
      <c r="G740" s="1">
        <v>44685</v>
      </c>
      <c r="H740" t="s">
        <v>34</v>
      </c>
      <c r="K740" t="b">
        <f>(IF(AND(I740&lt;&gt;"",AND(J740="",ABS(Q740)&gt;400)),TRUE,FALSE))</f>
        <v>0</v>
      </c>
      <c r="L740" s="48">
        <v>15</v>
      </c>
      <c r="M740" s="72">
        <v>1</v>
      </c>
      <c r="N740">
        <v>20</v>
      </c>
      <c r="O740" s="31">
        <f t="shared" si="464"/>
        <v>3</v>
      </c>
      <c r="P740" s="31">
        <f t="shared" si="465"/>
        <v>3</v>
      </c>
      <c r="Q740" s="33">
        <f t="shared" si="466"/>
        <v>15</v>
      </c>
      <c r="R740" s="29">
        <f t="shared" si="467"/>
        <v>18</v>
      </c>
      <c r="S740" s="29">
        <f t="shared" si="468"/>
        <v>18</v>
      </c>
      <c r="T740" s="35">
        <f t="shared" si="462"/>
        <v>44788</v>
      </c>
      <c r="U740" s="27"/>
      <c r="V740" s="27"/>
      <c r="W740" s="58">
        <f>IF(K740=TRUE,Q740/I740,Q740)</f>
        <v>15</v>
      </c>
      <c r="X740" s="31">
        <f t="shared" si="469"/>
        <v>0</v>
      </c>
      <c r="Y740" t="b">
        <f t="shared" si="470"/>
        <v>0</v>
      </c>
      <c r="Z740" s="78">
        <f t="shared" si="471"/>
        <v>-15</v>
      </c>
      <c r="AB740" t="b">
        <f t="shared" si="463"/>
        <v>1</v>
      </c>
    </row>
    <row r="741" spans="1:28" x14ac:dyDescent="0.25">
      <c r="A741" s="53">
        <v>2022</v>
      </c>
      <c r="B741" s="53">
        <v>75</v>
      </c>
      <c r="C741" s="71" t="s">
        <v>105</v>
      </c>
      <c r="D741" t="s">
        <v>689</v>
      </c>
      <c r="E741" s="9" t="s">
        <v>1669</v>
      </c>
      <c r="G741" s="1">
        <v>44685</v>
      </c>
      <c r="H741" t="s">
        <v>962</v>
      </c>
      <c r="K741" t="b">
        <f>(IF(AND(I741&lt;&gt;"",AND(J741="",ABS(Q741)&gt;400)),TRUE,FALSE))</f>
        <v>0</v>
      </c>
      <c r="L741" s="48">
        <v>365</v>
      </c>
      <c r="M741" s="72">
        <v>1</v>
      </c>
      <c r="N741">
        <v>0</v>
      </c>
      <c r="O741" s="31">
        <f t="shared" si="464"/>
        <v>0</v>
      </c>
      <c r="P741" s="31">
        <f t="shared" si="465"/>
        <v>0</v>
      </c>
      <c r="Q741" s="33">
        <f t="shared" si="466"/>
        <v>365</v>
      </c>
      <c r="R741" s="29">
        <f t="shared" si="467"/>
        <v>365</v>
      </c>
      <c r="S741" s="29">
        <f t="shared" si="468"/>
        <v>365</v>
      </c>
      <c r="T741" s="35">
        <f t="shared" si="462"/>
        <v>44788</v>
      </c>
      <c r="U741" s="27"/>
      <c r="V741" s="27"/>
      <c r="W741" s="58">
        <f t="shared" ref="W741:W746" si="472">IF(K741=TRUE,Q741/J741,Q741)</f>
        <v>365</v>
      </c>
      <c r="X741" s="31">
        <f t="shared" si="469"/>
        <v>0</v>
      </c>
      <c r="Y741" t="b">
        <f t="shared" si="470"/>
        <v>0</v>
      </c>
      <c r="Z741" s="78">
        <f t="shared" si="471"/>
        <v>-365</v>
      </c>
      <c r="AB741" t="b">
        <f t="shared" si="463"/>
        <v>1</v>
      </c>
    </row>
    <row r="742" spans="1:28" x14ac:dyDescent="0.25">
      <c r="A742" s="53">
        <v>2022</v>
      </c>
      <c r="B742" s="53">
        <v>76</v>
      </c>
      <c r="C742" s="71" t="s">
        <v>105</v>
      </c>
      <c r="D742" t="s">
        <v>705</v>
      </c>
      <c r="E742" s="153" t="s">
        <v>1698</v>
      </c>
      <c r="G742" s="1">
        <v>44685</v>
      </c>
      <c r="H742" t="s">
        <v>1670</v>
      </c>
      <c r="K742" t="b">
        <f>(IF(AND(I742&lt;&gt;"",AND(J742="",ABS(Q742)&gt;400)),TRUE,FALSE))</f>
        <v>0</v>
      </c>
      <c r="L742" s="109">
        <v>2.5</v>
      </c>
      <c r="M742" s="72">
        <v>1</v>
      </c>
      <c r="N742">
        <v>20</v>
      </c>
      <c r="O742" s="31">
        <f t="shared" si="464"/>
        <v>0.5</v>
      </c>
      <c r="P742" s="31">
        <f t="shared" si="465"/>
        <v>0.5</v>
      </c>
      <c r="Q742" s="33">
        <f t="shared" si="466"/>
        <v>2.5</v>
      </c>
      <c r="R742" s="29">
        <f t="shared" si="467"/>
        <v>3</v>
      </c>
      <c r="S742" s="29">
        <f t="shared" si="468"/>
        <v>3</v>
      </c>
      <c r="T742" s="35">
        <f t="shared" si="462"/>
        <v>44788</v>
      </c>
      <c r="U742" s="27"/>
      <c r="V742" s="27"/>
      <c r="W742" s="58">
        <f t="shared" si="472"/>
        <v>2.5</v>
      </c>
      <c r="X742" s="31">
        <f t="shared" si="469"/>
        <v>0</v>
      </c>
      <c r="Y742" t="b">
        <f t="shared" si="470"/>
        <v>0</v>
      </c>
      <c r="Z742" s="78">
        <f t="shared" si="471"/>
        <v>-2.5</v>
      </c>
      <c r="AB742" t="b">
        <f t="shared" si="463"/>
        <v>1</v>
      </c>
    </row>
    <row r="743" spans="1:28" x14ac:dyDescent="0.25">
      <c r="A743" s="53">
        <v>2022</v>
      </c>
      <c r="B743" s="53">
        <v>77</v>
      </c>
      <c r="C743" s="71" t="s">
        <v>105</v>
      </c>
      <c r="D743" t="s">
        <v>691</v>
      </c>
      <c r="E743" s="139"/>
      <c r="G743" s="1">
        <v>44686</v>
      </c>
      <c r="H743" t="s">
        <v>1558</v>
      </c>
      <c r="K743" t="b">
        <v>0</v>
      </c>
      <c r="L743" s="109">
        <v>122.6</v>
      </c>
      <c r="M743" s="72">
        <v>1</v>
      </c>
      <c r="N743">
        <v>20</v>
      </c>
      <c r="O743" s="31">
        <f t="shared" si="464"/>
        <v>24.52</v>
      </c>
      <c r="P743" s="31">
        <f t="shared" si="465"/>
        <v>24.52</v>
      </c>
      <c r="Q743" s="33">
        <f t="shared" si="466"/>
        <v>122.6</v>
      </c>
      <c r="R743" s="29">
        <f t="shared" si="467"/>
        <v>147.12</v>
      </c>
      <c r="S743" s="29">
        <f>Q743+P743</f>
        <v>147.12</v>
      </c>
      <c r="T743" s="35">
        <f t="shared" si="462"/>
        <v>44788</v>
      </c>
      <c r="U743" s="27"/>
      <c r="V743" s="27"/>
      <c r="W743" s="58">
        <f t="shared" si="472"/>
        <v>122.6</v>
      </c>
      <c r="X743" s="31">
        <f t="shared" si="469"/>
        <v>0</v>
      </c>
      <c r="Y743" t="b">
        <f t="shared" si="470"/>
        <v>0</v>
      </c>
      <c r="Z743" s="78">
        <f t="shared" si="471"/>
        <v>-122.6</v>
      </c>
      <c r="AB743" t="b">
        <f t="shared" si="463"/>
        <v>1</v>
      </c>
    </row>
    <row r="744" spans="1:28" x14ac:dyDescent="0.25">
      <c r="A744" s="53">
        <v>2022</v>
      </c>
      <c r="B744" s="53">
        <v>78</v>
      </c>
      <c r="C744" s="71" t="s">
        <v>105</v>
      </c>
      <c r="D744" t="s">
        <v>705</v>
      </c>
      <c r="E744" s="139" t="s">
        <v>1649</v>
      </c>
      <c r="G744" s="1">
        <v>44691</v>
      </c>
      <c r="H744" t="s">
        <v>1466</v>
      </c>
      <c r="K744" t="b">
        <f>(IF(AND(I744&lt;&gt;"",AND(J744="",ABS(Q744)&gt;400)),TRUE,FALSE))</f>
        <v>0</v>
      </c>
      <c r="L744" s="48">
        <v>11</v>
      </c>
      <c r="M744" s="72">
        <v>1</v>
      </c>
      <c r="N744">
        <v>20</v>
      </c>
      <c r="O744" s="31">
        <f t="shared" si="464"/>
        <v>2.2000000000000002</v>
      </c>
      <c r="P744" s="31">
        <f t="shared" si="465"/>
        <v>2.2000000000000002</v>
      </c>
      <c r="Q744" s="33">
        <f t="shared" si="466"/>
        <v>11</v>
      </c>
      <c r="R744" s="29">
        <f t="shared" si="467"/>
        <v>13.2</v>
      </c>
      <c r="S744" s="29">
        <f>Q744+P744</f>
        <v>13.2</v>
      </c>
      <c r="T744" s="35">
        <f t="shared" si="462"/>
        <v>44788</v>
      </c>
      <c r="U744" s="27"/>
      <c r="V744" s="27"/>
      <c r="W744" s="58">
        <f t="shared" si="472"/>
        <v>11</v>
      </c>
      <c r="X744" s="31">
        <f t="shared" si="469"/>
        <v>0</v>
      </c>
      <c r="Y744" t="b">
        <f t="shared" si="470"/>
        <v>0</v>
      </c>
      <c r="Z744" s="78">
        <f t="shared" si="471"/>
        <v>-11</v>
      </c>
      <c r="AB744" t="b">
        <f t="shared" si="463"/>
        <v>1</v>
      </c>
    </row>
    <row r="745" spans="1:28" x14ac:dyDescent="0.25">
      <c r="A745" s="53">
        <v>2022</v>
      </c>
      <c r="B745" s="53">
        <v>79</v>
      </c>
      <c r="C745" s="71" t="s">
        <v>105</v>
      </c>
      <c r="D745" t="s">
        <v>705</v>
      </c>
      <c r="G745" s="1">
        <v>44693</v>
      </c>
      <c r="H745" t="s">
        <v>927</v>
      </c>
      <c r="K745" t="b">
        <f>(IF(AND(I745&lt;&gt;"",AND(J745="",ABS(Q745)&gt;400)),TRUE,FALSE))</f>
        <v>0</v>
      </c>
      <c r="L745" s="48">
        <v>47.776499999999999</v>
      </c>
      <c r="M745" s="72">
        <v>1</v>
      </c>
      <c r="N745">
        <v>0</v>
      </c>
      <c r="O745" s="31">
        <f t="shared" si="464"/>
        <v>0</v>
      </c>
      <c r="P745" s="31">
        <f t="shared" si="465"/>
        <v>0</v>
      </c>
      <c r="Q745" s="33">
        <f t="shared" si="466"/>
        <v>47.776499999999999</v>
      </c>
      <c r="R745" s="29">
        <f t="shared" si="467"/>
        <v>47.776499999999999</v>
      </c>
      <c r="S745" s="29">
        <f t="shared" ref="S745:S754" si="473">Q745+P745</f>
        <v>47.776499999999999</v>
      </c>
      <c r="T745" s="35">
        <f t="shared" si="462"/>
        <v>44788</v>
      </c>
      <c r="U745" s="27"/>
      <c r="V745" s="27">
        <v>20</v>
      </c>
      <c r="W745" s="58">
        <f t="shared" si="472"/>
        <v>47.776499999999999</v>
      </c>
      <c r="X745" s="31">
        <f t="shared" si="469"/>
        <v>9.5553000000000008</v>
      </c>
      <c r="Y745" t="b">
        <f t="shared" si="470"/>
        <v>0</v>
      </c>
      <c r="Z745" s="78">
        <f t="shared" si="471"/>
        <v>-47.776499999999999</v>
      </c>
      <c r="AB745" t="b">
        <f t="shared" si="463"/>
        <v>1</v>
      </c>
    </row>
    <row r="746" spans="1:28" x14ac:dyDescent="0.25">
      <c r="A746" s="53">
        <v>2022</v>
      </c>
      <c r="B746" s="53">
        <v>80</v>
      </c>
      <c r="C746" s="71" t="s">
        <v>708</v>
      </c>
      <c r="D746" t="s">
        <v>709</v>
      </c>
      <c r="E746" t="s">
        <v>1673</v>
      </c>
      <c r="G746" s="1">
        <v>44694</v>
      </c>
      <c r="H746" t="s">
        <v>1652</v>
      </c>
      <c r="K746" t="b">
        <f>(IF(AND(I746&lt;&gt;"",AND(J746="",ABS(Q746)&gt;400)),TRUE,FALSE))</f>
        <v>0</v>
      </c>
      <c r="L746" s="48">
        <f>15049.46+2150.04</f>
        <v>17199.5</v>
      </c>
      <c r="M746" s="72">
        <v>1</v>
      </c>
      <c r="N746">
        <v>20</v>
      </c>
      <c r="O746" s="31">
        <f t="shared" si="464"/>
        <v>3439.9</v>
      </c>
      <c r="P746" s="31">
        <f t="shared" si="465"/>
        <v>3439.9</v>
      </c>
      <c r="Q746" s="33">
        <f t="shared" si="466"/>
        <v>17199.5</v>
      </c>
      <c r="R746" s="29">
        <f t="shared" si="467"/>
        <v>20639.400000000001</v>
      </c>
      <c r="S746" s="29">
        <f t="shared" si="473"/>
        <v>20639.400000000001</v>
      </c>
      <c r="T746" s="35">
        <f t="shared" si="462"/>
        <v>44788</v>
      </c>
      <c r="U746" s="27"/>
      <c r="V746" s="27">
        <v>20</v>
      </c>
      <c r="W746" s="58">
        <f t="shared" si="472"/>
        <v>17199.5</v>
      </c>
      <c r="X746" s="31">
        <f t="shared" si="469"/>
        <v>4127.88</v>
      </c>
      <c r="Y746" t="b">
        <f t="shared" si="470"/>
        <v>1</v>
      </c>
      <c r="Z746" s="78">
        <f t="shared" si="471"/>
        <v>17199.5</v>
      </c>
      <c r="AB746" t="b">
        <f t="shared" si="463"/>
        <v>1</v>
      </c>
    </row>
    <row r="747" spans="1:28" x14ac:dyDescent="0.25">
      <c r="A747" s="53">
        <v>2022</v>
      </c>
      <c r="B747" s="53">
        <v>81</v>
      </c>
      <c r="C747" s="71" t="s">
        <v>105</v>
      </c>
      <c r="D747" t="s">
        <v>705</v>
      </c>
      <c r="G747" s="1">
        <v>44697</v>
      </c>
      <c r="H747" t="s">
        <v>1404</v>
      </c>
      <c r="K747" t="b">
        <v>0</v>
      </c>
      <c r="L747" s="109">
        <v>0.49</v>
      </c>
      <c r="M747" s="72">
        <v>1</v>
      </c>
      <c r="N747">
        <v>0</v>
      </c>
      <c r="O747" s="31">
        <f t="shared" ref="O747:O756" si="474">L747*N747/100</f>
        <v>0</v>
      </c>
      <c r="P747" s="31">
        <f t="shared" ref="P747:P756" si="475">M747*O747</f>
        <v>0</v>
      </c>
      <c r="Q747" s="33">
        <f t="shared" ref="Q747:Q756" si="476">L747*M747</f>
        <v>0.49</v>
      </c>
      <c r="R747" s="29">
        <f t="shared" ref="R747:R756" si="477">L747+O747</f>
        <v>0.49</v>
      </c>
      <c r="S747" s="29">
        <f t="shared" si="473"/>
        <v>0.49</v>
      </c>
      <c r="T747" s="35">
        <f t="shared" si="462"/>
        <v>44788</v>
      </c>
      <c r="U747" s="27"/>
      <c r="V747" s="27">
        <v>20</v>
      </c>
      <c r="W747" s="58">
        <f>IF(K747=TRUE,Q747/I747,Q747)</f>
        <v>0.49</v>
      </c>
      <c r="X747" s="31">
        <f t="shared" ref="X747:X756" si="478">V747/100*S747</f>
        <v>9.8000000000000004E-2</v>
      </c>
      <c r="Y747" t="b">
        <f t="shared" ref="Y747:Y756" si="479">IF(AND(V747&gt;0,N747=V747),TRUE,FALSE)</f>
        <v>0</v>
      </c>
      <c r="Z747" s="78">
        <f t="shared" ref="Z747:Z756" si="480">IF(C747="Einnahmen",Q747,-Q747)</f>
        <v>-0.49</v>
      </c>
      <c r="AB747" t="b">
        <f t="shared" si="463"/>
        <v>1</v>
      </c>
    </row>
    <row r="748" spans="1:28" x14ac:dyDescent="0.25">
      <c r="A748" s="53">
        <v>2022</v>
      </c>
      <c r="B748" s="53">
        <v>82</v>
      </c>
      <c r="C748" s="71" t="s">
        <v>105</v>
      </c>
      <c r="D748" t="s">
        <v>705</v>
      </c>
      <c r="E748" s="6"/>
      <c r="G748" s="1">
        <v>44704</v>
      </c>
      <c r="H748" t="s">
        <v>1032</v>
      </c>
      <c r="K748" t="b">
        <f>(IF(AND(I748&lt;&gt;"",AND(J748="",ABS(Q748)&gt;400)),TRUE,FALSE))</f>
        <v>0</v>
      </c>
      <c r="L748" s="48">
        <v>10.5</v>
      </c>
      <c r="M748" s="72">
        <v>1</v>
      </c>
      <c r="N748">
        <v>0</v>
      </c>
      <c r="O748" s="31">
        <f t="shared" si="474"/>
        <v>0</v>
      </c>
      <c r="P748" s="31">
        <f t="shared" si="475"/>
        <v>0</v>
      </c>
      <c r="Q748" s="33">
        <f t="shared" si="476"/>
        <v>10.5</v>
      </c>
      <c r="R748" s="29">
        <f t="shared" si="477"/>
        <v>10.5</v>
      </c>
      <c r="S748" s="29">
        <f t="shared" si="473"/>
        <v>10.5</v>
      </c>
      <c r="T748" s="35">
        <f t="shared" si="462"/>
        <v>44788</v>
      </c>
      <c r="U748" s="27"/>
      <c r="V748" s="27">
        <v>20</v>
      </c>
      <c r="W748" s="58">
        <f>IF(K748=TRUE,Q748/J748,Q748)</f>
        <v>10.5</v>
      </c>
      <c r="X748" s="31">
        <f t="shared" si="478"/>
        <v>2.1</v>
      </c>
      <c r="Y748" t="b">
        <f t="shared" si="479"/>
        <v>0</v>
      </c>
      <c r="Z748" s="78">
        <f t="shared" si="480"/>
        <v>-10.5</v>
      </c>
      <c r="AB748" t="b">
        <f t="shared" si="463"/>
        <v>1</v>
      </c>
    </row>
    <row r="749" spans="1:28" x14ac:dyDescent="0.25">
      <c r="A749" s="53">
        <v>2022</v>
      </c>
      <c r="B749" s="53">
        <v>83</v>
      </c>
      <c r="C749" s="71" t="s">
        <v>105</v>
      </c>
      <c r="D749" t="s">
        <v>703</v>
      </c>
      <c r="E749" s="131"/>
      <c r="G749" s="1">
        <v>44705</v>
      </c>
      <c r="H749" t="s">
        <v>1148</v>
      </c>
      <c r="K749" t="b">
        <f>(IF(AND(I749&lt;&gt;"",AND(J749="",ABS(Q749)&gt;400)),TRUE,FALSE))</f>
        <v>0</v>
      </c>
      <c r="L749" s="48">
        <v>31.92</v>
      </c>
      <c r="M749" s="72">
        <v>1</v>
      </c>
      <c r="N749">
        <v>20</v>
      </c>
      <c r="O749" s="31">
        <f t="shared" si="474"/>
        <v>6.3840000000000012</v>
      </c>
      <c r="P749" s="31">
        <f t="shared" si="475"/>
        <v>6.3840000000000012</v>
      </c>
      <c r="Q749" s="33">
        <f t="shared" si="476"/>
        <v>31.92</v>
      </c>
      <c r="R749" s="29">
        <f t="shared" si="477"/>
        <v>38.304000000000002</v>
      </c>
      <c r="S749" s="29">
        <f t="shared" si="473"/>
        <v>38.304000000000002</v>
      </c>
      <c r="T749" s="35">
        <f t="shared" si="462"/>
        <v>44788</v>
      </c>
      <c r="U749" s="27"/>
      <c r="V749" s="27"/>
      <c r="W749" s="58">
        <f>IF(K749=TRUE,Q749/I749,Q749)</f>
        <v>31.92</v>
      </c>
      <c r="X749" s="31">
        <f t="shared" si="478"/>
        <v>0</v>
      </c>
      <c r="Y749" t="b">
        <f t="shared" si="479"/>
        <v>0</v>
      </c>
      <c r="Z749" s="78">
        <f t="shared" si="480"/>
        <v>-31.92</v>
      </c>
      <c r="AB749" t="b">
        <f t="shared" si="463"/>
        <v>1</v>
      </c>
    </row>
    <row r="750" spans="1:28" x14ac:dyDescent="0.25">
      <c r="A750" s="53">
        <v>2022</v>
      </c>
      <c r="B750" s="53">
        <v>84</v>
      </c>
      <c r="C750" s="71" t="s">
        <v>105</v>
      </c>
      <c r="D750" t="s">
        <v>695</v>
      </c>
      <c r="E750" s="9">
        <v>11561270283</v>
      </c>
      <c r="G750" s="1">
        <v>44711</v>
      </c>
      <c r="H750" t="s">
        <v>952</v>
      </c>
      <c r="K750" t="b">
        <f>(IF(AND(I750&lt;&gt;"",AND(J750="",ABS(Q750)&gt;400)),TRUE,FALSE))</f>
        <v>0</v>
      </c>
      <c r="L750" s="48">
        <v>5684.7</v>
      </c>
      <c r="M750" s="72">
        <v>1</v>
      </c>
      <c r="N750">
        <v>0</v>
      </c>
      <c r="O750" s="31">
        <f t="shared" si="474"/>
        <v>0</v>
      </c>
      <c r="P750" s="31">
        <f t="shared" si="475"/>
        <v>0</v>
      </c>
      <c r="Q750" s="33">
        <f t="shared" si="476"/>
        <v>5684.7</v>
      </c>
      <c r="R750" s="29">
        <f t="shared" si="477"/>
        <v>5684.7</v>
      </c>
      <c r="S750" s="29">
        <f t="shared" si="473"/>
        <v>5684.7</v>
      </c>
      <c r="T750" s="35">
        <f t="shared" si="462"/>
        <v>44788</v>
      </c>
      <c r="U750" s="27"/>
      <c r="V750" s="27"/>
      <c r="W750" s="58">
        <f>IF(K750=TRUE,Q750/J750,Q750)</f>
        <v>5684.7</v>
      </c>
      <c r="X750" s="31">
        <f t="shared" si="478"/>
        <v>0</v>
      </c>
      <c r="Y750" t="b">
        <f t="shared" si="479"/>
        <v>0</v>
      </c>
      <c r="Z750" s="78">
        <f t="shared" si="480"/>
        <v>-5684.7</v>
      </c>
      <c r="AB750" t="b">
        <f t="shared" si="463"/>
        <v>1</v>
      </c>
    </row>
    <row r="751" spans="1:28" x14ac:dyDescent="0.25">
      <c r="A751" s="53">
        <v>2022</v>
      </c>
      <c r="B751" s="53">
        <v>85</v>
      </c>
      <c r="C751" s="71" t="s">
        <v>105</v>
      </c>
      <c r="D751" t="s">
        <v>691</v>
      </c>
      <c r="G751" s="1">
        <v>44713</v>
      </c>
      <c r="H751" t="s">
        <v>1113</v>
      </c>
      <c r="K751" t="b">
        <v>0</v>
      </c>
      <c r="L751" s="109">
        <f>586.63/1.2</f>
        <v>488.85833333333335</v>
      </c>
      <c r="M751" s="72">
        <v>1</v>
      </c>
      <c r="N751">
        <v>20</v>
      </c>
      <c r="O751" s="31">
        <f t="shared" si="474"/>
        <v>97.771666666666675</v>
      </c>
      <c r="P751" s="31">
        <f t="shared" si="475"/>
        <v>97.771666666666675</v>
      </c>
      <c r="Q751" s="33">
        <f t="shared" si="476"/>
        <v>488.85833333333335</v>
      </c>
      <c r="R751" s="29">
        <f t="shared" si="477"/>
        <v>586.63</v>
      </c>
      <c r="S751" s="29">
        <f t="shared" si="473"/>
        <v>586.63</v>
      </c>
      <c r="T751" s="35">
        <f t="shared" si="462"/>
        <v>44788</v>
      </c>
      <c r="U751" s="27"/>
      <c r="V751" s="27"/>
      <c r="W751" s="58">
        <f>IF(K751=TRUE,Q751/J751,Q751)</f>
        <v>488.85833333333335</v>
      </c>
      <c r="X751" s="31">
        <f t="shared" si="478"/>
        <v>0</v>
      </c>
      <c r="Y751" t="b">
        <f t="shared" si="479"/>
        <v>0</v>
      </c>
      <c r="Z751" s="78">
        <f t="shared" si="480"/>
        <v>-488.85833333333335</v>
      </c>
      <c r="AB751" t="b">
        <f t="shared" si="463"/>
        <v>1</v>
      </c>
    </row>
    <row r="752" spans="1:28" x14ac:dyDescent="0.25">
      <c r="A752" s="53">
        <v>2022</v>
      </c>
      <c r="B752" s="53">
        <v>86</v>
      </c>
      <c r="C752" s="71" t="s">
        <v>105</v>
      </c>
      <c r="D752" t="s">
        <v>689</v>
      </c>
      <c r="E752" s="131"/>
      <c r="G752" s="1">
        <v>44714</v>
      </c>
      <c r="H752" t="s">
        <v>974</v>
      </c>
      <c r="K752" t="b">
        <v>0</v>
      </c>
      <c r="L752" s="48">
        <v>6.57</v>
      </c>
      <c r="M752" s="72">
        <v>1</v>
      </c>
      <c r="N752">
        <v>20</v>
      </c>
      <c r="O752" s="31">
        <f t="shared" si="474"/>
        <v>1.3140000000000001</v>
      </c>
      <c r="P752" s="31">
        <f t="shared" si="475"/>
        <v>1.3140000000000001</v>
      </c>
      <c r="Q752" s="33">
        <f t="shared" si="476"/>
        <v>6.57</v>
      </c>
      <c r="R752" s="29">
        <f t="shared" si="477"/>
        <v>7.8840000000000003</v>
      </c>
      <c r="S752" s="29">
        <f t="shared" si="473"/>
        <v>7.8840000000000003</v>
      </c>
      <c r="T752" s="35">
        <f t="shared" si="462"/>
        <v>44788</v>
      </c>
      <c r="U752" s="27"/>
      <c r="V752" s="27"/>
      <c r="W752" s="58">
        <f>IF(K752=TRUE,Q752/J752,Q752)</f>
        <v>6.57</v>
      </c>
      <c r="X752" s="31">
        <f t="shared" si="478"/>
        <v>0</v>
      </c>
      <c r="Y752" t="b">
        <f t="shared" si="479"/>
        <v>0</v>
      </c>
      <c r="Z752" s="78">
        <f t="shared" si="480"/>
        <v>-6.57</v>
      </c>
      <c r="AB752" t="b">
        <f t="shared" si="463"/>
        <v>1</v>
      </c>
    </row>
    <row r="753" spans="1:28" x14ac:dyDescent="0.25">
      <c r="A753" s="53">
        <v>2022</v>
      </c>
      <c r="B753" s="53">
        <v>87</v>
      </c>
      <c r="C753" s="71" t="s">
        <v>105</v>
      </c>
      <c r="D753" t="s">
        <v>705</v>
      </c>
      <c r="G753" s="1">
        <v>44715</v>
      </c>
      <c r="H753" t="s">
        <v>1404</v>
      </c>
      <c r="K753" t="b">
        <v>0</v>
      </c>
      <c r="L753" s="109">
        <v>9.36</v>
      </c>
      <c r="M753" s="72">
        <v>1</v>
      </c>
      <c r="N753">
        <v>0</v>
      </c>
      <c r="O753" s="31">
        <f t="shared" si="474"/>
        <v>0</v>
      </c>
      <c r="P753" s="31">
        <f t="shared" si="475"/>
        <v>0</v>
      </c>
      <c r="Q753" s="33">
        <f t="shared" si="476"/>
        <v>9.36</v>
      </c>
      <c r="R753" s="29">
        <f t="shared" si="477"/>
        <v>9.36</v>
      </c>
      <c r="S753" s="29">
        <f t="shared" si="473"/>
        <v>9.36</v>
      </c>
      <c r="T753" s="35">
        <f t="shared" si="462"/>
        <v>44788</v>
      </c>
      <c r="U753" s="27"/>
      <c r="V753" s="27">
        <v>20</v>
      </c>
      <c r="W753" s="58">
        <f>IF(K753=TRUE,Q753/I753,Q753)</f>
        <v>9.36</v>
      </c>
      <c r="X753" s="31">
        <f t="shared" si="478"/>
        <v>1.8719999999999999</v>
      </c>
      <c r="Y753" t="b">
        <f t="shared" si="479"/>
        <v>0</v>
      </c>
      <c r="Z753" s="78">
        <f t="shared" si="480"/>
        <v>-9.36</v>
      </c>
      <c r="AB753" t="b">
        <f t="shared" si="463"/>
        <v>1</v>
      </c>
    </row>
    <row r="754" spans="1:28" x14ac:dyDescent="0.25">
      <c r="A754" s="53">
        <v>2022</v>
      </c>
      <c r="B754" s="53">
        <v>88</v>
      </c>
      <c r="C754" s="71" t="s">
        <v>105</v>
      </c>
      <c r="D754" t="s">
        <v>705</v>
      </c>
      <c r="E754" s="153" t="s">
        <v>1698</v>
      </c>
      <c r="G754" s="1">
        <v>44715</v>
      </c>
      <c r="H754" t="s">
        <v>1670</v>
      </c>
      <c r="K754" t="b">
        <f>(IF(AND(I754&lt;&gt;"",AND(J754="",ABS(Q754)&gt;400)),TRUE,FALSE))</f>
        <v>0</v>
      </c>
      <c r="L754" s="109">
        <v>2.5</v>
      </c>
      <c r="M754" s="72">
        <v>1</v>
      </c>
      <c r="N754">
        <v>20</v>
      </c>
      <c r="O754" s="31">
        <f t="shared" si="474"/>
        <v>0.5</v>
      </c>
      <c r="P754" s="31">
        <f t="shared" si="475"/>
        <v>0.5</v>
      </c>
      <c r="Q754" s="33">
        <f t="shared" si="476"/>
        <v>2.5</v>
      </c>
      <c r="R754" s="29">
        <f t="shared" si="477"/>
        <v>3</v>
      </c>
      <c r="S754" s="29">
        <f t="shared" si="473"/>
        <v>3</v>
      </c>
      <c r="T754" s="35">
        <f t="shared" si="462"/>
        <v>44788</v>
      </c>
      <c r="U754" s="27"/>
      <c r="V754" s="27"/>
      <c r="W754" s="58">
        <f>IF(K754=TRUE,Q754/J754,Q754)</f>
        <v>2.5</v>
      </c>
      <c r="X754" s="31">
        <f t="shared" si="478"/>
        <v>0</v>
      </c>
      <c r="Y754" t="b">
        <f t="shared" si="479"/>
        <v>0</v>
      </c>
      <c r="Z754" s="78">
        <f t="shared" si="480"/>
        <v>-2.5</v>
      </c>
      <c r="AB754" t="b">
        <f t="shared" si="463"/>
        <v>1</v>
      </c>
    </row>
    <row r="755" spans="1:28" x14ac:dyDescent="0.25">
      <c r="A755" s="53">
        <v>2022</v>
      </c>
      <c r="B755" s="53">
        <v>89</v>
      </c>
      <c r="C755" s="71" t="s">
        <v>105</v>
      </c>
      <c r="D755" t="s">
        <v>691</v>
      </c>
      <c r="E755" s="139"/>
      <c r="G755" s="1">
        <v>44719</v>
      </c>
      <c r="H755" t="s">
        <v>1558</v>
      </c>
      <c r="K755" t="b">
        <v>0</v>
      </c>
      <c r="L755" s="109">
        <v>122.6</v>
      </c>
      <c r="M755" s="72">
        <v>1</v>
      </c>
      <c r="N755">
        <v>20</v>
      </c>
      <c r="O755" s="31">
        <f t="shared" si="474"/>
        <v>24.52</v>
      </c>
      <c r="P755" s="31">
        <f t="shared" si="475"/>
        <v>24.52</v>
      </c>
      <c r="Q755" s="33">
        <f t="shared" si="476"/>
        <v>122.6</v>
      </c>
      <c r="R755" s="29">
        <f t="shared" si="477"/>
        <v>147.12</v>
      </c>
      <c r="S755" s="29">
        <f t="shared" ref="S755:S763" si="481">Q755+P755</f>
        <v>147.12</v>
      </c>
      <c r="T755" s="35">
        <f t="shared" si="462"/>
        <v>44788</v>
      </c>
      <c r="U755" s="27"/>
      <c r="V755" s="27"/>
      <c r="W755" s="58">
        <f>IF(K755=TRUE,Q755/J755,Q755)</f>
        <v>122.6</v>
      </c>
      <c r="X755" s="31">
        <f t="shared" si="478"/>
        <v>0</v>
      </c>
      <c r="Y755" t="b">
        <f t="shared" si="479"/>
        <v>0</v>
      </c>
      <c r="Z755" s="78">
        <f t="shared" si="480"/>
        <v>-122.6</v>
      </c>
      <c r="AB755" t="b">
        <f t="shared" si="463"/>
        <v>1</v>
      </c>
    </row>
    <row r="756" spans="1:28" x14ac:dyDescent="0.25">
      <c r="A756" s="53">
        <v>2022</v>
      </c>
      <c r="B756" s="53">
        <v>90</v>
      </c>
      <c r="C756" s="71" t="s">
        <v>105</v>
      </c>
      <c r="D756" t="s">
        <v>703</v>
      </c>
      <c r="G756" s="1">
        <v>44720</v>
      </c>
      <c r="H756" t="s">
        <v>34</v>
      </c>
      <c r="K756" t="b">
        <f>(IF(AND(I756&lt;&gt;"",AND(J756="",ABS(Q756)&gt;400)),TRUE,FALSE))</f>
        <v>0</v>
      </c>
      <c r="L756" s="48">
        <v>15</v>
      </c>
      <c r="M756" s="72">
        <v>1</v>
      </c>
      <c r="N756">
        <v>20</v>
      </c>
      <c r="O756" s="31">
        <f t="shared" si="474"/>
        <v>3</v>
      </c>
      <c r="P756" s="31">
        <f t="shared" si="475"/>
        <v>3</v>
      </c>
      <c r="Q756" s="33">
        <f t="shared" si="476"/>
        <v>15</v>
      </c>
      <c r="R756" s="29">
        <f t="shared" si="477"/>
        <v>18</v>
      </c>
      <c r="S756" s="29">
        <f t="shared" si="481"/>
        <v>18</v>
      </c>
      <c r="T756" s="35">
        <f t="shared" si="462"/>
        <v>44788</v>
      </c>
      <c r="U756" s="27"/>
      <c r="V756" s="27"/>
      <c r="W756" s="58">
        <f>IF(K756=TRUE,Q756/I756,Q756)</f>
        <v>15</v>
      </c>
      <c r="X756" s="31">
        <f t="shared" si="478"/>
        <v>0</v>
      </c>
      <c r="Y756" t="b">
        <f t="shared" si="479"/>
        <v>0</v>
      </c>
      <c r="Z756" s="78">
        <f t="shared" si="480"/>
        <v>-15</v>
      </c>
      <c r="AB756" t="b">
        <f t="shared" si="463"/>
        <v>1</v>
      </c>
    </row>
    <row r="757" spans="1:28" x14ac:dyDescent="0.25">
      <c r="A757" s="53">
        <v>2022</v>
      </c>
      <c r="B757" s="53">
        <v>91</v>
      </c>
      <c r="C757" s="71" t="s">
        <v>105</v>
      </c>
      <c r="D757" t="s">
        <v>691</v>
      </c>
      <c r="E757" s="139"/>
      <c r="G757" s="1">
        <v>44721</v>
      </c>
      <c r="H757" t="s">
        <v>1558</v>
      </c>
      <c r="K757" t="b">
        <v>0</v>
      </c>
      <c r="L757" s="109">
        <f>-10.71/1.2</f>
        <v>-8.9250000000000007</v>
      </c>
      <c r="M757" s="72">
        <v>1</v>
      </c>
      <c r="N757">
        <v>20</v>
      </c>
      <c r="O757" s="31">
        <f t="shared" ref="O757:O763" si="482">L757*N757/100</f>
        <v>-1.7849999999999999</v>
      </c>
      <c r="P757" s="31">
        <f t="shared" ref="P757:P763" si="483">M757*O757</f>
        <v>-1.7849999999999999</v>
      </c>
      <c r="Q757" s="33">
        <f t="shared" ref="Q757:Q763" si="484">L757*M757</f>
        <v>-8.9250000000000007</v>
      </c>
      <c r="R757" s="29">
        <f t="shared" ref="R757:R763" si="485">L757+O757</f>
        <v>-10.71</v>
      </c>
      <c r="S757" s="29">
        <f t="shared" si="481"/>
        <v>-10.71</v>
      </c>
      <c r="T757" s="35">
        <f t="shared" si="462"/>
        <v>44788</v>
      </c>
      <c r="U757" s="27"/>
      <c r="V757" s="27"/>
      <c r="W757" s="58">
        <f>IF(K757=TRUE,Q757/J757,Q757)</f>
        <v>-8.9250000000000007</v>
      </c>
      <c r="X757" s="31">
        <f t="shared" ref="X757:X763" si="486">V757/100*S757</f>
        <v>0</v>
      </c>
      <c r="Y757" t="b">
        <f t="shared" ref="Y757:Y763" si="487">IF(AND(V757&gt;0,N757=V757),TRUE,FALSE)</f>
        <v>0</v>
      </c>
      <c r="Z757" s="78">
        <f t="shared" ref="Z757:Z763" si="488">IF(C757="Einnahmen",Q757,-Q757)</f>
        <v>8.9250000000000007</v>
      </c>
      <c r="AB757" t="b">
        <f t="shared" si="463"/>
        <v>1</v>
      </c>
    </row>
    <row r="758" spans="1:28" x14ac:dyDescent="0.25">
      <c r="A758" s="53">
        <v>2022</v>
      </c>
      <c r="B758" s="53">
        <v>92</v>
      </c>
      <c r="C758" s="71" t="s">
        <v>105</v>
      </c>
      <c r="D758" t="s">
        <v>705</v>
      </c>
      <c r="E758" s="139" t="s">
        <v>1649</v>
      </c>
      <c r="G758" s="1">
        <v>44722</v>
      </c>
      <c r="H758" t="s">
        <v>1466</v>
      </c>
      <c r="K758" t="b">
        <f>(IF(AND(I758&lt;&gt;"",AND(J758="",ABS(Q758)&gt;400)),TRUE,FALSE))</f>
        <v>0</v>
      </c>
      <c r="L758" s="48">
        <v>11</v>
      </c>
      <c r="M758" s="72">
        <v>1</v>
      </c>
      <c r="N758">
        <v>20</v>
      </c>
      <c r="O758" s="31">
        <f t="shared" si="482"/>
        <v>2.2000000000000002</v>
      </c>
      <c r="P758" s="31">
        <f t="shared" si="483"/>
        <v>2.2000000000000002</v>
      </c>
      <c r="Q758" s="33">
        <f t="shared" si="484"/>
        <v>11</v>
      </c>
      <c r="R758" s="29">
        <f t="shared" si="485"/>
        <v>13.2</v>
      </c>
      <c r="S758" s="29">
        <f t="shared" si="481"/>
        <v>13.2</v>
      </c>
      <c r="T758" s="35">
        <f t="shared" si="462"/>
        <v>44788</v>
      </c>
      <c r="U758" s="27"/>
      <c r="V758" s="27"/>
      <c r="W758" s="58">
        <f>IF(K758=TRUE,Q758/J758,Q758)</f>
        <v>11</v>
      </c>
      <c r="X758" s="31">
        <f t="shared" si="486"/>
        <v>0</v>
      </c>
      <c r="Y758" t="b">
        <f t="shared" si="487"/>
        <v>0</v>
      </c>
      <c r="Z758" s="78">
        <f t="shared" si="488"/>
        <v>-11</v>
      </c>
      <c r="AB758" t="b">
        <f t="shared" si="463"/>
        <v>1</v>
      </c>
    </row>
    <row r="759" spans="1:28" x14ac:dyDescent="0.25">
      <c r="A759" s="53">
        <v>2022</v>
      </c>
      <c r="B759" s="53">
        <v>93</v>
      </c>
      <c r="C759" s="71" t="s">
        <v>105</v>
      </c>
      <c r="D759" t="s">
        <v>705</v>
      </c>
      <c r="G759" s="1">
        <v>44725</v>
      </c>
      <c r="H759" t="s">
        <v>1368</v>
      </c>
      <c r="K759" t="b">
        <f>(IF(AND(I759&lt;&gt;"",AND(J759="",ABS(Q759)&gt;400)),TRUE,FALSE))</f>
        <v>0</v>
      </c>
      <c r="L759" s="48">
        <v>27.75</v>
      </c>
      <c r="M759" s="72">
        <v>1</v>
      </c>
      <c r="N759">
        <v>0</v>
      </c>
      <c r="O759" s="31">
        <f t="shared" si="482"/>
        <v>0</v>
      </c>
      <c r="P759" s="31">
        <f t="shared" si="483"/>
        <v>0</v>
      </c>
      <c r="Q759" s="33">
        <f t="shared" si="484"/>
        <v>27.75</v>
      </c>
      <c r="R759" s="29">
        <f t="shared" si="485"/>
        <v>27.75</v>
      </c>
      <c r="S759" s="29">
        <f t="shared" si="481"/>
        <v>27.75</v>
      </c>
      <c r="T759" s="35">
        <f t="shared" si="462"/>
        <v>44788</v>
      </c>
      <c r="U759" s="27"/>
      <c r="V759" s="27">
        <v>20</v>
      </c>
      <c r="W759" s="58">
        <f>IF(K759=TRUE,Q759/J759,Q759)</f>
        <v>27.75</v>
      </c>
      <c r="X759" s="31">
        <f t="shared" si="486"/>
        <v>5.5500000000000007</v>
      </c>
      <c r="Y759" t="b">
        <f t="shared" si="487"/>
        <v>0</v>
      </c>
      <c r="Z759" s="78">
        <f t="shared" si="488"/>
        <v>-27.75</v>
      </c>
      <c r="AB759" t="b">
        <f t="shared" si="463"/>
        <v>1</v>
      </c>
    </row>
    <row r="760" spans="1:28" x14ac:dyDescent="0.25">
      <c r="A760" s="53">
        <v>2022</v>
      </c>
      <c r="B760" s="53">
        <v>94</v>
      </c>
      <c r="C760" s="71" t="s">
        <v>105</v>
      </c>
      <c r="D760" t="s">
        <v>705</v>
      </c>
      <c r="G760" s="1">
        <v>44725</v>
      </c>
      <c r="H760" t="s">
        <v>927</v>
      </c>
      <c r="K760" t="b">
        <f>(IF(AND(I760&lt;&gt;"",AND(J760="",ABS(Q760)&gt;400)),TRUE,FALSE))</f>
        <v>0</v>
      </c>
      <c r="L760" s="48">
        <v>47.776499999999999</v>
      </c>
      <c r="M760" s="72">
        <v>1</v>
      </c>
      <c r="N760">
        <v>0</v>
      </c>
      <c r="O760" s="31">
        <f t="shared" si="482"/>
        <v>0</v>
      </c>
      <c r="P760" s="31">
        <f t="shared" si="483"/>
        <v>0</v>
      </c>
      <c r="Q760" s="33">
        <f t="shared" si="484"/>
        <v>47.776499999999999</v>
      </c>
      <c r="R760" s="29">
        <f t="shared" si="485"/>
        <v>47.776499999999999</v>
      </c>
      <c r="S760" s="29">
        <f t="shared" si="481"/>
        <v>47.776499999999999</v>
      </c>
      <c r="T760" s="35">
        <f t="shared" si="462"/>
        <v>44788</v>
      </c>
      <c r="U760" s="27"/>
      <c r="V760" s="27">
        <v>20</v>
      </c>
      <c r="W760" s="58">
        <f>IF(K760=TRUE,Q760/J760,Q760)</f>
        <v>47.776499999999999</v>
      </c>
      <c r="X760" s="31">
        <f t="shared" si="486"/>
        <v>9.5553000000000008</v>
      </c>
      <c r="Y760" t="b">
        <f t="shared" si="487"/>
        <v>0</v>
      </c>
      <c r="Z760" s="78">
        <f t="shared" si="488"/>
        <v>-47.776499999999999</v>
      </c>
      <c r="AB760" t="b">
        <f t="shared" si="463"/>
        <v>1</v>
      </c>
    </row>
    <row r="761" spans="1:28" x14ac:dyDescent="0.25">
      <c r="A761" s="53">
        <v>2022</v>
      </c>
      <c r="B761" s="53">
        <v>95</v>
      </c>
      <c r="C761" s="71" t="s">
        <v>105</v>
      </c>
      <c r="D761" t="s">
        <v>705</v>
      </c>
      <c r="G761" s="1">
        <v>44728</v>
      </c>
      <c r="H761" t="s">
        <v>1404</v>
      </c>
      <c r="K761" t="b">
        <v>0</v>
      </c>
      <c r="L761" s="109">
        <v>19.989999999999998</v>
      </c>
      <c r="M761" s="72">
        <v>1</v>
      </c>
      <c r="N761">
        <v>0</v>
      </c>
      <c r="O761" s="31">
        <f t="shared" si="482"/>
        <v>0</v>
      </c>
      <c r="P761" s="31">
        <f t="shared" si="483"/>
        <v>0</v>
      </c>
      <c r="Q761" s="33">
        <f t="shared" si="484"/>
        <v>19.989999999999998</v>
      </c>
      <c r="R761" s="29">
        <f t="shared" si="485"/>
        <v>19.989999999999998</v>
      </c>
      <c r="S761" s="29">
        <f t="shared" si="481"/>
        <v>19.989999999999998</v>
      </c>
      <c r="T761" s="35">
        <f t="shared" si="462"/>
        <v>44788</v>
      </c>
      <c r="U761" s="27"/>
      <c r="V761" s="27">
        <v>20</v>
      </c>
      <c r="W761" s="58">
        <f>IF(K761=TRUE,Q761/I761,Q761)</f>
        <v>19.989999999999998</v>
      </c>
      <c r="X761" s="31">
        <f t="shared" si="486"/>
        <v>3.9979999999999998</v>
      </c>
      <c r="Y761" t="b">
        <f t="shared" si="487"/>
        <v>0</v>
      </c>
      <c r="Z761" s="78">
        <f t="shared" si="488"/>
        <v>-19.989999999999998</v>
      </c>
      <c r="AB761" t="b">
        <f t="shared" si="463"/>
        <v>1</v>
      </c>
    </row>
    <row r="762" spans="1:28" x14ac:dyDescent="0.25">
      <c r="A762" s="53">
        <v>2022</v>
      </c>
      <c r="B762" s="53">
        <v>96</v>
      </c>
      <c r="C762" s="71" t="s">
        <v>708</v>
      </c>
      <c r="D762" t="s">
        <v>709</v>
      </c>
      <c r="E762">
        <v>168043527</v>
      </c>
      <c r="G762" s="1">
        <v>44729</v>
      </c>
      <c r="H762" t="s">
        <v>1652</v>
      </c>
      <c r="K762" t="b">
        <f>(IF(AND(I762&lt;&gt;"",AND(J762="",ABS(Q762)&gt;400)),TRUE,FALSE))</f>
        <v>0</v>
      </c>
      <c r="L762" s="48">
        <v>11910.5</v>
      </c>
      <c r="M762" s="72">
        <v>1</v>
      </c>
      <c r="N762">
        <v>20</v>
      </c>
      <c r="O762" s="31">
        <f t="shared" si="482"/>
        <v>2382.1</v>
      </c>
      <c r="P762" s="31">
        <f t="shared" si="483"/>
        <v>2382.1</v>
      </c>
      <c r="Q762" s="33">
        <f t="shared" si="484"/>
        <v>11910.5</v>
      </c>
      <c r="R762" s="29">
        <f t="shared" si="485"/>
        <v>14292.6</v>
      </c>
      <c r="S762" s="29">
        <f t="shared" si="481"/>
        <v>14292.6</v>
      </c>
      <c r="T762" s="35">
        <f t="shared" si="462"/>
        <v>44788</v>
      </c>
      <c r="U762" s="27"/>
      <c r="V762" s="27">
        <v>20</v>
      </c>
      <c r="W762" s="58">
        <f>IF(K762=TRUE,Q762/J762,Q762)</f>
        <v>11910.5</v>
      </c>
      <c r="X762" s="31">
        <f t="shared" si="486"/>
        <v>2858.5200000000004</v>
      </c>
      <c r="Y762" t="b">
        <f t="shared" si="487"/>
        <v>1</v>
      </c>
      <c r="Z762" s="78">
        <f t="shared" si="488"/>
        <v>11910.5</v>
      </c>
      <c r="AB762" t="b">
        <f t="shared" si="463"/>
        <v>1</v>
      </c>
    </row>
    <row r="763" spans="1:28" x14ac:dyDescent="0.25">
      <c r="A763" s="53">
        <v>2022</v>
      </c>
      <c r="B763" s="53">
        <v>97</v>
      </c>
      <c r="C763" s="71" t="s">
        <v>105</v>
      </c>
      <c r="D763" t="s">
        <v>705</v>
      </c>
      <c r="E763" s="6"/>
      <c r="G763" s="1">
        <v>44732</v>
      </c>
      <c r="H763" t="s">
        <v>1032</v>
      </c>
      <c r="K763" t="b">
        <f>(IF(AND(I763&lt;&gt;"",AND(J763="",ABS(Q763)&gt;400)),TRUE,FALSE))</f>
        <v>0</v>
      </c>
      <c r="L763" s="48">
        <v>10.5</v>
      </c>
      <c r="M763" s="72">
        <v>1</v>
      </c>
      <c r="N763">
        <v>0</v>
      </c>
      <c r="O763" s="31">
        <f t="shared" si="482"/>
        <v>0</v>
      </c>
      <c r="P763" s="31">
        <f t="shared" si="483"/>
        <v>0</v>
      </c>
      <c r="Q763" s="33">
        <f t="shared" si="484"/>
        <v>10.5</v>
      </c>
      <c r="R763" s="29">
        <f t="shared" si="485"/>
        <v>10.5</v>
      </c>
      <c r="S763" s="29">
        <f t="shared" si="481"/>
        <v>10.5</v>
      </c>
      <c r="T763" s="35">
        <f t="shared" si="462"/>
        <v>44788</v>
      </c>
      <c r="U763" s="27"/>
      <c r="V763" s="27">
        <v>20</v>
      </c>
      <c r="W763" s="58">
        <f>IF(K763=TRUE,Q763/J763,Q763)</f>
        <v>10.5</v>
      </c>
      <c r="X763" s="31">
        <f t="shared" si="486"/>
        <v>2.1</v>
      </c>
      <c r="Y763" t="b">
        <f t="shared" si="487"/>
        <v>0</v>
      </c>
      <c r="Z763" s="78">
        <f t="shared" si="488"/>
        <v>-10.5</v>
      </c>
      <c r="AB763" t="b">
        <f t="shared" si="463"/>
        <v>1</v>
      </c>
    </row>
    <row r="764" spans="1:28" x14ac:dyDescent="0.25">
      <c r="A764" s="53">
        <v>2022</v>
      </c>
      <c r="B764" s="53">
        <v>98</v>
      </c>
      <c r="C764" s="71" t="s">
        <v>105</v>
      </c>
      <c r="D764" t="s">
        <v>705</v>
      </c>
      <c r="E764" s="61" t="s">
        <v>1064</v>
      </c>
      <c r="G764" s="1">
        <v>44733</v>
      </c>
      <c r="H764" t="s">
        <v>1032</v>
      </c>
      <c r="K764" t="b">
        <f>(IF(AND(I764&lt;&gt;"",AND(J764="",ABS(Q764)&gt;400)),TRUE,FALSE))</f>
        <v>0</v>
      </c>
      <c r="L764" s="48">
        <v>69</v>
      </c>
      <c r="M764" s="72">
        <v>1</v>
      </c>
      <c r="N764">
        <v>0</v>
      </c>
      <c r="O764" s="31">
        <f t="shared" ref="O764:O778" si="489">L764*N764/100</f>
        <v>0</v>
      </c>
      <c r="P764" s="31">
        <f t="shared" ref="P764:P778" si="490">M764*O764</f>
        <v>0</v>
      </c>
      <c r="Q764" s="33">
        <f t="shared" ref="Q764:Q778" si="491">L764*M764</f>
        <v>69</v>
      </c>
      <c r="R764" s="29">
        <f t="shared" ref="R764:R778" si="492">L764+O764</f>
        <v>69</v>
      </c>
      <c r="S764" s="29">
        <f t="shared" ref="S764:S772" si="493">Q764+P764</f>
        <v>69</v>
      </c>
      <c r="T764" s="35">
        <f t="shared" si="462"/>
        <v>44788</v>
      </c>
      <c r="U764" s="27"/>
      <c r="V764" s="27">
        <v>20</v>
      </c>
      <c r="W764" s="58">
        <f>IF(K764=TRUE,Q764/J764,Q764)</f>
        <v>69</v>
      </c>
      <c r="X764" s="31">
        <f t="shared" ref="X764:X778" si="494">V764/100*S764</f>
        <v>13.8</v>
      </c>
      <c r="Y764" t="b">
        <f t="shared" ref="Y764:Y778" si="495">IF(AND(V764&gt;0,N764=V764),TRUE,FALSE)</f>
        <v>0</v>
      </c>
      <c r="Z764" s="78">
        <f t="shared" ref="Z764:Z778" si="496">IF(C764="Einnahmen",Q764,-Q764)</f>
        <v>-69</v>
      </c>
      <c r="AB764" t="b">
        <f t="shared" si="463"/>
        <v>1</v>
      </c>
    </row>
    <row r="765" spans="1:28" x14ac:dyDescent="0.25">
      <c r="A765" s="53">
        <v>2022</v>
      </c>
      <c r="B765" s="53">
        <v>99</v>
      </c>
      <c r="C765" s="71" t="s">
        <v>105</v>
      </c>
      <c r="D765" t="s">
        <v>703</v>
      </c>
      <c r="E765" s="131"/>
      <c r="G765" s="1">
        <v>44734</v>
      </c>
      <c r="H765" t="s">
        <v>1148</v>
      </c>
      <c r="K765" t="b">
        <f>(IF(AND(I765&lt;&gt;"",AND(J765="",ABS(Q765)&gt;400)),TRUE,FALSE))</f>
        <v>0</v>
      </c>
      <c r="L765" s="48">
        <v>31.92</v>
      </c>
      <c r="M765" s="72">
        <v>1</v>
      </c>
      <c r="N765">
        <v>20</v>
      </c>
      <c r="O765" s="31">
        <f t="shared" si="489"/>
        <v>6.3840000000000012</v>
      </c>
      <c r="P765" s="31">
        <f t="shared" si="490"/>
        <v>6.3840000000000012</v>
      </c>
      <c r="Q765" s="33">
        <f t="shared" si="491"/>
        <v>31.92</v>
      </c>
      <c r="R765" s="29">
        <f t="shared" si="492"/>
        <v>38.304000000000002</v>
      </c>
      <c r="S765" s="29">
        <f t="shared" si="493"/>
        <v>38.304000000000002</v>
      </c>
      <c r="T765" s="35">
        <f t="shared" si="462"/>
        <v>44788</v>
      </c>
      <c r="U765" s="27"/>
      <c r="V765" s="27"/>
      <c r="W765" s="58">
        <f>IF(K765=TRUE,Q765/I765,Q765)</f>
        <v>31.92</v>
      </c>
      <c r="X765" s="31">
        <f t="shared" si="494"/>
        <v>0</v>
      </c>
      <c r="Y765" t="b">
        <f t="shared" si="495"/>
        <v>0</v>
      </c>
      <c r="Z765" s="78">
        <f t="shared" si="496"/>
        <v>-31.92</v>
      </c>
      <c r="AB765" t="b">
        <f t="shared" si="463"/>
        <v>1</v>
      </c>
    </row>
    <row r="766" spans="1:28" x14ac:dyDescent="0.25">
      <c r="A766" s="53">
        <v>2022</v>
      </c>
      <c r="B766" s="53">
        <v>100</v>
      </c>
      <c r="C766" s="71" t="s">
        <v>105</v>
      </c>
      <c r="D766" t="s">
        <v>691</v>
      </c>
      <c r="G766" s="1">
        <v>44743</v>
      </c>
      <c r="H766" t="s">
        <v>1113</v>
      </c>
      <c r="K766" t="b">
        <v>0</v>
      </c>
      <c r="L766" s="109">
        <f>595.73/1.2</f>
        <v>496.44166666666672</v>
      </c>
      <c r="M766" s="72">
        <v>1</v>
      </c>
      <c r="N766">
        <v>20</v>
      </c>
      <c r="O766" s="31">
        <f t="shared" si="489"/>
        <v>99.288333333333341</v>
      </c>
      <c r="P766" s="31">
        <f t="shared" si="490"/>
        <v>99.288333333333341</v>
      </c>
      <c r="Q766" s="33">
        <f t="shared" si="491"/>
        <v>496.44166666666672</v>
      </c>
      <c r="R766" s="29">
        <f t="shared" si="492"/>
        <v>595.73</v>
      </c>
      <c r="S766" s="29">
        <f t="shared" si="493"/>
        <v>595.73</v>
      </c>
      <c r="T766" s="35">
        <f t="shared" si="462"/>
        <v>44880</v>
      </c>
      <c r="U766" s="27"/>
      <c r="V766" s="27"/>
      <c r="W766" s="58">
        <f>IF(K766=TRUE,Q766/J766,Q766)</f>
        <v>496.44166666666672</v>
      </c>
      <c r="X766" s="31">
        <f t="shared" si="494"/>
        <v>0</v>
      </c>
      <c r="Y766" t="b">
        <f t="shared" si="495"/>
        <v>0</v>
      </c>
      <c r="Z766" s="78">
        <f t="shared" si="496"/>
        <v>-496.44166666666672</v>
      </c>
      <c r="AB766" t="b">
        <f t="shared" si="463"/>
        <v>1</v>
      </c>
    </row>
    <row r="767" spans="1:28" x14ac:dyDescent="0.25">
      <c r="A767" s="53">
        <v>2022</v>
      </c>
      <c r="B767" s="53">
        <v>101</v>
      </c>
      <c r="C767" s="71" t="s">
        <v>105</v>
      </c>
      <c r="D767" t="s">
        <v>705</v>
      </c>
      <c r="E767" s="6"/>
      <c r="G767" s="1">
        <v>44743</v>
      </c>
      <c r="H767" t="s">
        <v>981</v>
      </c>
      <c r="K767" t="b">
        <f>(IF(AND(I767&lt;&gt;"",AND(J767="",ABS(Q767)&gt;400)),TRUE,FALSE))</f>
        <v>0</v>
      </c>
      <c r="L767" s="48">
        <v>15.61</v>
      </c>
      <c r="M767" s="72">
        <v>1</v>
      </c>
      <c r="N767">
        <v>0</v>
      </c>
      <c r="O767" s="31">
        <f t="shared" si="489"/>
        <v>0</v>
      </c>
      <c r="P767" s="31">
        <f t="shared" si="490"/>
        <v>0</v>
      </c>
      <c r="Q767" s="33">
        <f t="shared" si="491"/>
        <v>15.61</v>
      </c>
      <c r="R767" s="29">
        <f t="shared" si="492"/>
        <v>15.61</v>
      </c>
      <c r="S767" s="29">
        <f t="shared" si="493"/>
        <v>15.61</v>
      </c>
      <c r="T767" s="35">
        <f t="shared" si="462"/>
        <v>44880</v>
      </c>
      <c r="U767" s="27"/>
      <c r="V767" s="27">
        <v>20</v>
      </c>
      <c r="W767" s="58">
        <f>IF(K767=TRUE,Q767/I767,Q767)</f>
        <v>15.61</v>
      </c>
      <c r="X767" s="31">
        <f t="shared" si="494"/>
        <v>3.1219999999999999</v>
      </c>
      <c r="Y767" t="b">
        <f>IF(AND(V767&gt;0,N767=V767),TRUE,FALSE)</f>
        <v>0</v>
      </c>
      <c r="Z767" s="78">
        <f t="shared" si="496"/>
        <v>-15.61</v>
      </c>
      <c r="AB767" t="b">
        <f t="shared" si="463"/>
        <v>1</v>
      </c>
    </row>
    <row r="768" spans="1:28" x14ac:dyDescent="0.25">
      <c r="A768" s="53">
        <v>2022</v>
      </c>
      <c r="B768" s="53">
        <v>102</v>
      </c>
      <c r="C768" s="71" t="s">
        <v>105</v>
      </c>
      <c r="D768" t="s">
        <v>689</v>
      </c>
      <c r="E768" s="131"/>
      <c r="G768" s="1">
        <v>44746</v>
      </c>
      <c r="H768" t="s">
        <v>974</v>
      </c>
      <c r="K768" t="b">
        <v>0</v>
      </c>
      <c r="L768" s="48">
        <v>14.48</v>
      </c>
      <c r="M768" s="72">
        <v>1</v>
      </c>
      <c r="N768">
        <v>20</v>
      </c>
      <c r="O768" s="31">
        <f t="shared" si="489"/>
        <v>2.8960000000000004</v>
      </c>
      <c r="P768" s="31">
        <f t="shared" si="490"/>
        <v>2.8960000000000004</v>
      </c>
      <c r="Q768" s="33">
        <f t="shared" si="491"/>
        <v>14.48</v>
      </c>
      <c r="R768" s="29">
        <f t="shared" si="492"/>
        <v>17.376000000000001</v>
      </c>
      <c r="S768" s="29">
        <f t="shared" si="493"/>
        <v>17.376000000000001</v>
      </c>
      <c r="T768" s="35">
        <f t="shared" si="462"/>
        <v>44880</v>
      </c>
      <c r="U768" s="27"/>
      <c r="V768" s="27"/>
      <c r="W768" s="58">
        <f>IF(K768=TRUE,Q768/J768,Q768)</f>
        <v>14.48</v>
      </c>
      <c r="X768" s="31">
        <f t="shared" si="494"/>
        <v>0</v>
      </c>
      <c r="Y768" t="b">
        <f t="shared" si="495"/>
        <v>0</v>
      </c>
      <c r="Z768" s="78">
        <f t="shared" si="496"/>
        <v>-14.48</v>
      </c>
      <c r="AB768" t="b">
        <f t="shared" si="463"/>
        <v>1</v>
      </c>
    </row>
    <row r="769" spans="1:28" x14ac:dyDescent="0.25">
      <c r="A769" s="53">
        <v>2022</v>
      </c>
      <c r="B769" s="53">
        <v>103</v>
      </c>
      <c r="C769" s="71" t="s">
        <v>105</v>
      </c>
      <c r="D769" t="s">
        <v>705</v>
      </c>
      <c r="G769" s="1">
        <v>44746</v>
      </c>
      <c r="H769" t="s">
        <v>1404</v>
      </c>
      <c r="K769" t="b">
        <v>0</v>
      </c>
      <c r="L769" s="109">
        <v>9.36</v>
      </c>
      <c r="M769" s="72">
        <v>1</v>
      </c>
      <c r="N769">
        <v>0</v>
      </c>
      <c r="O769" s="31">
        <f t="shared" si="489"/>
        <v>0</v>
      </c>
      <c r="P769" s="31">
        <f t="shared" si="490"/>
        <v>0</v>
      </c>
      <c r="Q769" s="33">
        <f t="shared" si="491"/>
        <v>9.36</v>
      </c>
      <c r="R769" s="29">
        <f t="shared" si="492"/>
        <v>9.36</v>
      </c>
      <c r="S769" s="29">
        <f t="shared" si="493"/>
        <v>9.36</v>
      </c>
      <c r="T769" s="35">
        <f t="shared" si="462"/>
        <v>44880</v>
      </c>
      <c r="U769" s="27"/>
      <c r="V769" s="27">
        <v>20</v>
      </c>
      <c r="W769" s="58">
        <f>IF(K769=TRUE,Q769/I769,Q769)</f>
        <v>9.36</v>
      </c>
      <c r="X769" s="31">
        <f t="shared" si="494"/>
        <v>1.8719999999999999</v>
      </c>
      <c r="Y769" t="b">
        <f t="shared" si="495"/>
        <v>0</v>
      </c>
      <c r="Z769" s="78">
        <f t="shared" si="496"/>
        <v>-9.36</v>
      </c>
      <c r="AB769" t="b">
        <f t="shared" si="463"/>
        <v>1</v>
      </c>
    </row>
    <row r="770" spans="1:28" x14ac:dyDescent="0.25">
      <c r="A770" s="53">
        <v>2022</v>
      </c>
      <c r="B770" s="53">
        <v>104</v>
      </c>
      <c r="C770" s="71" t="s">
        <v>708</v>
      </c>
      <c r="D770" t="s">
        <v>709</v>
      </c>
      <c r="E770" s="6">
        <v>12022012</v>
      </c>
      <c r="G770" s="1">
        <v>44746</v>
      </c>
      <c r="H770" t="s">
        <v>1038</v>
      </c>
      <c r="K770" t="b">
        <f>(IF(AND(I770&lt;&gt;"",AND(J770="",ABS(Q770)&gt;400)),TRUE,FALSE))</f>
        <v>0</v>
      </c>
      <c r="L770" s="48">
        <v>1667.3</v>
      </c>
      <c r="M770" s="72">
        <v>1</v>
      </c>
      <c r="N770">
        <v>20</v>
      </c>
      <c r="O770" s="31">
        <f t="shared" si="489"/>
        <v>333.46</v>
      </c>
      <c r="P770" s="31">
        <f t="shared" si="490"/>
        <v>333.46</v>
      </c>
      <c r="Q770" s="33">
        <f t="shared" si="491"/>
        <v>1667.3</v>
      </c>
      <c r="R770" s="29">
        <f t="shared" si="492"/>
        <v>2000.76</v>
      </c>
      <c r="S770" s="29">
        <f t="shared" si="493"/>
        <v>2000.76</v>
      </c>
      <c r="T770" s="35">
        <f t="shared" si="462"/>
        <v>44880</v>
      </c>
      <c r="U770" s="27"/>
      <c r="V770" s="27"/>
      <c r="W770" s="58">
        <f>IF(K770=TRUE,Q770/I770,Q770)</f>
        <v>1667.3</v>
      </c>
      <c r="X770" s="31">
        <f t="shared" si="494"/>
        <v>0</v>
      </c>
      <c r="Y770" t="b">
        <f t="shared" si="495"/>
        <v>0</v>
      </c>
      <c r="Z770" s="78">
        <f t="shared" si="496"/>
        <v>1667.3</v>
      </c>
      <c r="AB770" t="b">
        <f t="shared" si="463"/>
        <v>1</v>
      </c>
    </row>
    <row r="771" spans="1:28" x14ac:dyDescent="0.25">
      <c r="A771" s="53">
        <v>2022</v>
      </c>
      <c r="B771" s="53">
        <v>105</v>
      </c>
      <c r="C771" s="71" t="s">
        <v>708</v>
      </c>
      <c r="D771" t="s">
        <v>709</v>
      </c>
      <c r="E771" s="9" t="s">
        <v>1674</v>
      </c>
      <c r="G771" s="1">
        <v>44746</v>
      </c>
      <c r="H771" t="s">
        <v>1513</v>
      </c>
      <c r="K771" t="b">
        <v>0</v>
      </c>
      <c r="L771" s="48">
        <v>91.5</v>
      </c>
      <c r="M771" s="72">
        <v>1</v>
      </c>
      <c r="N771">
        <v>20</v>
      </c>
      <c r="O771" s="31">
        <f t="shared" si="489"/>
        <v>18.3</v>
      </c>
      <c r="P771" s="31">
        <f t="shared" si="490"/>
        <v>18.3</v>
      </c>
      <c r="Q771" s="33">
        <f t="shared" si="491"/>
        <v>91.5</v>
      </c>
      <c r="R771" s="29">
        <f t="shared" si="492"/>
        <v>109.8</v>
      </c>
      <c r="S771" s="29">
        <f t="shared" si="493"/>
        <v>109.8</v>
      </c>
      <c r="T771" s="35">
        <f t="shared" si="462"/>
        <v>44880</v>
      </c>
      <c r="U771" s="27"/>
      <c r="V771" s="27"/>
      <c r="W771" s="58">
        <f>IF(K771=TRUE,Q771/J771,Q771)</f>
        <v>91.5</v>
      </c>
      <c r="X771" s="31">
        <f t="shared" si="494"/>
        <v>0</v>
      </c>
      <c r="Y771" t="b">
        <f t="shared" si="495"/>
        <v>0</v>
      </c>
      <c r="Z771" s="78">
        <f t="shared" si="496"/>
        <v>91.5</v>
      </c>
      <c r="AB771" t="b">
        <f t="shared" si="463"/>
        <v>1</v>
      </c>
    </row>
    <row r="772" spans="1:28" x14ac:dyDescent="0.25">
      <c r="A772" s="53">
        <v>2022</v>
      </c>
      <c r="B772" s="53">
        <v>106</v>
      </c>
      <c r="C772" s="71" t="s">
        <v>105</v>
      </c>
      <c r="D772" t="s">
        <v>705</v>
      </c>
      <c r="E772" s="153" t="s">
        <v>1698</v>
      </c>
      <c r="G772" s="1">
        <v>44747</v>
      </c>
      <c r="H772" t="s">
        <v>1670</v>
      </c>
      <c r="K772" t="b">
        <f>(IF(AND(I772&lt;&gt;"",AND(J772="",ABS(Q772)&gt;400)),TRUE,FALSE))</f>
        <v>0</v>
      </c>
      <c r="L772" s="109">
        <v>2.5</v>
      </c>
      <c r="M772" s="72">
        <v>1</v>
      </c>
      <c r="N772">
        <v>20</v>
      </c>
      <c r="O772" s="31">
        <f t="shared" si="489"/>
        <v>0.5</v>
      </c>
      <c r="P772" s="31">
        <f t="shared" si="490"/>
        <v>0.5</v>
      </c>
      <c r="Q772" s="33">
        <f t="shared" si="491"/>
        <v>2.5</v>
      </c>
      <c r="R772" s="29">
        <f t="shared" si="492"/>
        <v>3</v>
      </c>
      <c r="S772" s="29">
        <f t="shared" si="493"/>
        <v>3</v>
      </c>
      <c r="T772" s="35">
        <f t="shared" si="462"/>
        <v>44880</v>
      </c>
      <c r="U772" s="27"/>
      <c r="V772" s="27"/>
      <c r="W772" s="58">
        <f>IF(K772=TRUE,Q772/J772,Q772)</f>
        <v>2.5</v>
      </c>
      <c r="X772" s="31">
        <f t="shared" si="494"/>
        <v>0</v>
      </c>
      <c r="Y772" t="b">
        <f t="shared" si="495"/>
        <v>0</v>
      </c>
      <c r="Z772" s="78">
        <f t="shared" si="496"/>
        <v>-2.5</v>
      </c>
      <c r="AB772" t="b">
        <f t="shared" si="463"/>
        <v>1</v>
      </c>
    </row>
    <row r="773" spans="1:28" x14ac:dyDescent="0.25">
      <c r="A773" s="53">
        <v>2022</v>
      </c>
      <c r="B773" s="53">
        <v>107</v>
      </c>
      <c r="C773" s="71" t="s">
        <v>105</v>
      </c>
      <c r="D773" t="s">
        <v>703</v>
      </c>
      <c r="G773" s="1">
        <v>44747</v>
      </c>
      <c r="H773" t="s">
        <v>34</v>
      </c>
      <c r="K773" t="b">
        <f>(IF(AND(I773&lt;&gt;"",AND(J773="",ABS(Q773)&gt;400)),TRUE,FALSE))</f>
        <v>0</v>
      </c>
      <c r="L773" s="48">
        <v>15</v>
      </c>
      <c r="M773" s="72">
        <v>1</v>
      </c>
      <c r="N773">
        <v>20</v>
      </c>
      <c r="O773" s="31">
        <f t="shared" si="489"/>
        <v>3</v>
      </c>
      <c r="P773" s="31">
        <f t="shared" si="490"/>
        <v>3</v>
      </c>
      <c r="Q773" s="33">
        <f t="shared" si="491"/>
        <v>15</v>
      </c>
      <c r="R773" s="29">
        <f t="shared" si="492"/>
        <v>18</v>
      </c>
      <c r="S773" s="29">
        <f>Q773+P773</f>
        <v>18</v>
      </c>
      <c r="T773" s="35">
        <f t="shared" si="462"/>
        <v>44880</v>
      </c>
      <c r="U773" s="27"/>
      <c r="V773" s="27"/>
      <c r="W773" s="58">
        <f>IF(K773=TRUE,Q773/I773,Q773)</f>
        <v>15</v>
      </c>
      <c r="X773" s="31">
        <f t="shared" si="494"/>
        <v>0</v>
      </c>
      <c r="Y773" t="b">
        <f t="shared" si="495"/>
        <v>0</v>
      </c>
      <c r="Z773" s="78">
        <f t="shared" si="496"/>
        <v>-15</v>
      </c>
      <c r="AB773" t="b">
        <f t="shared" si="463"/>
        <v>1</v>
      </c>
    </row>
    <row r="774" spans="1:28" x14ac:dyDescent="0.25">
      <c r="A774" s="53">
        <v>2022</v>
      </c>
      <c r="B774" s="53">
        <v>108</v>
      </c>
      <c r="C774" s="71" t="s">
        <v>105</v>
      </c>
      <c r="D774" t="s">
        <v>691</v>
      </c>
      <c r="E774" s="139"/>
      <c r="G774" s="1">
        <v>44748</v>
      </c>
      <c r="H774" t="s">
        <v>1558</v>
      </c>
      <c r="K774" t="b">
        <v>0</v>
      </c>
      <c r="L774" s="109">
        <v>122.6</v>
      </c>
      <c r="M774" s="72">
        <v>1</v>
      </c>
      <c r="N774">
        <v>20</v>
      </c>
      <c r="O774" s="31">
        <f t="shared" si="489"/>
        <v>24.52</v>
      </c>
      <c r="P774" s="31">
        <f t="shared" si="490"/>
        <v>24.52</v>
      </c>
      <c r="Q774" s="33">
        <f t="shared" si="491"/>
        <v>122.6</v>
      </c>
      <c r="R774" s="29">
        <f t="shared" si="492"/>
        <v>147.12</v>
      </c>
      <c r="S774" s="29">
        <f>Q774+P774</f>
        <v>147.12</v>
      </c>
      <c r="T774" s="35">
        <f t="shared" si="462"/>
        <v>44880</v>
      </c>
      <c r="U774" s="27"/>
      <c r="V774" s="27"/>
      <c r="W774" s="58">
        <f>IF(K774=TRUE,Q774/J774,Q774)</f>
        <v>122.6</v>
      </c>
      <c r="X774" s="31">
        <f t="shared" si="494"/>
        <v>0</v>
      </c>
      <c r="Y774" t="b">
        <f t="shared" si="495"/>
        <v>0</v>
      </c>
      <c r="Z774" s="78">
        <f t="shared" si="496"/>
        <v>-122.6</v>
      </c>
      <c r="AB774" t="b">
        <f t="shared" si="463"/>
        <v>1</v>
      </c>
    </row>
    <row r="775" spans="1:28" x14ac:dyDescent="0.25">
      <c r="A775" s="53">
        <v>2022</v>
      </c>
      <c r="B775" s="53">
        <v>109</v>
      </c>
      <c r="C775" s="71" t="s">
        <v>105</v>
      </c>
      <c r="D775" t="s">
        <v>705</v>
      </c>
      <c r="E775" s="139" t="s">
        <v>1649</v>
      </c>
      <c r="G775" s="1">
        <v>44753</v>
      </c>
      <c r="H775" t="s">
        <v>1466</v>
      </c>
      <c r="K775" t="b">
        <f t="shared" ref="K775:K780" si="497">(IF(AND(I775&lt;&gt;"",AND(J775="",ABS(Q775)&gt;400)),TRUE,FALSE))</f>
        <v>0</v>
      </c>
      <c r="L775" s="48">
        <v>11</v>
      </c>
      <c r="M775" s="72">
        <v>1</v>
      </c>
      <c r="N775">
        <v>20</v>
      </c>
      <c r="O775" s="31">
        <f t="shared" si="489"/>
        <v>2.2000000000000002</v>
      </c>
      <c r="P775" s="31">
        <f t="shared" si="490"/>
        <v>2.2000000000000002</v>
      </c>
      <c r="Q775" s="33">
        <f t="shared" si="491"/>
        <v>11</v>
      </c>
      <c r="R775" s="29">
        <f t="shared" si="492"/>
        <v>13.2</v>
      </c>
      <c r="S775" s="29">
        <f>Q775+P775</f>
        <v>13.2</v>
      </c>
      <c r="T775" s="35">
        <f t="shared" si="462"/>
        <v>44880</v>
      </c>
      <c r="U775" s="27"/>
      <c r="V775" s="27"/>
      <c r="W775" s="58">
        <f>IF(K775=TRUE,Q775/J775,Q775)</f>
        <v>11</v>
      </c>
      <c r="X775" s="31">
        <f t="shared" si="494"/>
        <v>0</v>
      </c>
      <c r="Y775" t="b">
        <f t="shared" si="495"/>
        <v>0</v>
      </c>
      <c r="Z775" s="78">
        <f t="shared" si="496"/>
        <v>-11</v>
      </c>
      <c r="AB775" t="b">
        <f t="shared" si="463"/>
        <v>1</v>
      </c>
    </row>
    <row r="776" spans="1:28" x14ac:dyDescent="0.25">
      <c r="A776" s="53">
        <v>2022</v>
      </c>
      <c r="B776" s="53">
        <v>110</v>
      </c>
      <c r="C776" s="71" t="s">
        <v>105</v>
      </c>
      <c r="D776" t="s">
        <v>705</v>
      </c>
      <c r="G776" s="1">
        <v>44755</v>
      </c>
      <c r="H776" t="s">
        <v>927</v>
      </c>
      <c r="K776" t="b">
        <f t="shared" si="497"/>
        <v>0</v>
      </c>
      <c r="L776" s="48">
        <v>47.776499999999999</v>
      </c>
      <c r="M776" s="72">
        <v>1</v>
      </c>
      <c r="N776">
        <v>0</v>
      </c>
      <c r="O776" s="31">
        <f t="shared" si="489"/>
        <v>0</v>
      </c>
      <c r="P776" s="31">
        <f t="shared" si="490"/>
        <v>0</v>
      </c>
      <c r="Q776" s="33">
        <f t="shared" si="491"/>
        <v>47.776499999999999</v>
      </c>
      <c r="R776" s="29">
        <f t="shared" si="492"/>
        <v>47.776499999999999</v>
      </c>
      <c r="S776" s="29">
        <f t="shared" ref="S776:S781" si="498">Q776+P776</f>
        <v>47.776499999999999</v>
      </c>
      <c r="T776" s="35">
        <f t="shared" si="462"/>
        <v>44880</v>
      </c>
      <c r="U776" s="27"/>
      <c r="V776" s="27">
        <v>20</v>
      </c>
      <c r="W776" s="58">
        <f>IF(K776=TRUE,Q776/J776,Q776)</f>
        <v>47.776499999999999</v>
      </c>
      <c r="X776" s="31">
        <f t="shared" si="494"/>
        <v>9.5553000000000008</v>
      </c>
      <c r="Y776" t="b">
        <f t="shared" si="495"/>
        <v>0</v>
      </c>
      <c r="Z776" s="78">
        <f t="shared" si="496"/>
        <v>-47.776499999999999</v>
      </c>
      <c r="AB776" t="b">
        <f t="shared" si="463"/>
        <v>1</v>
      </c>
    </row>
    <row r="777" spans="1:28" x14ac:dyDescent="0.25">
      <c r="A777" s="53">
        <v>2022</v>
      </c>
      <c r="B777" s="53">
        <v>111</v>
      </c>
      <c r="C777" s="71" t="s">
        <v>708</v>
      </c>
      <c r="D777" t="s">
        <v>709</v>
      </c>
      <c r="E777">
        <v>168043885</v>
      </c>
      <c r="G777" s="1">
        <v>44756</v>
      </c>
      <c r="H777" t="s">
        <v>1652</v>
      </c>
      <c r="K777" t="b">
        <f t="shared" si="497"/>
        <v>0</v>
      </c>
      <c r="L777" s="48">
        <v>13571</v>
      </c>
      <c r="M777" s="72">
        <v>1</v>
      </c>
      <c r="N777">
        <v>20</v>
      </c>
      <c r="O777" s="31">
        <f t="shared" si="489"/>
        <v>2714.2</v>
      </c>
      <c r="P777" s="31">
        <f t="shared" si="490"/>
        <v>2714.2</v>
      </c>
      <c r="Q777" s="33">
        <f t="shared" si="491"/>
        <v>13571</v>
      </c>
      <c r="R777" s="29">
        <f t="shared" si="492"/>
        <v>16285.2</v>
      </c>
      <c r="S777" s="29">
        <f t="shared" si="498"/>
        <v>16285.2</v>
      </c>
      <c r="T777" s="35">
        <f t="shared" si="462"/>
        <v>44880</v>
      </c>
      <c r="U777" s="27"/>
      <c r="V777" s="27">
        <v>20</v>
      </c>
      <c r="W777" s="58">
        <f>IF(K777=TRUE,Q777/J777,Q777)</f>
        <v>13571</v>
      </c>
      <c r="X777" s="31">
        <f t="shared" si="494"/>
        <v>3257.0400000000004</v>
      </c>
      <c r="Y777" t="b">
        <f t="shared" si="495"/>
        <v>1</v>
      </c>
      <c r="Z777" s="78">
        <f t="shared" si="496"/>
        <v>13571</v>
      </c>
      <c r="AB777" t="b">
        <f t="shared" si="463"/>
        <v>1</v>
      </c>
    </row>
    <row r="778" spans="1:28" x14ac:dyDescent="0.25">
      <c r="A778" s="53">
        <v>2022</v>
      </c>
      <c r="B778" s="53">
        <v>112</v>
      </c>
      <c r="C778" s="71" t="s">
        <v>708</v>
      </c>
      <c r="D778" t="s">
        <v>709</v>
      </c>
      <c r="E778">
        <v>12022015</v>
      </c>
      <c r="G778" s="1">
        <v>44757</v>
      </c>
      <c r="H778" t="s">
        <v>983</v>
      </c>
      <c r="K778" t="b">
        <f t="shared" si="497"/>
        <v>0</v>
      </c>
      <c r="L778" s="48">
        <v>240</v>
      </c>
      <c r="M778" s="72">
        <v>1</v>
      </c>
      <c r="N778">
        <v>20</v>
      </c>
      <c r="O778" s="31">
        <f t="shared" si="489"/>
        <v>48</v>
      </c>
      <c r="P778" s="31">
        <f t="shared" si="490"/>
        <v>48</v>
      </c>
      <c r="Q778" s="33">
        <f t="shared" si="491"/>
        <v>240</v>
      </c>
      <c r="R778" s="29">
        <f t="shared" si="492"/>
        <v>288</v>
      </c>
      <c r="S778" s="29">
        <f t="shared" si="498"/>
        <v>288</v>
      </c>
      <c r="T778" s="35">
        <f t="shared" si="462"/>
        <v>44880</v>
      </c>
      <c r="U778" s="27"/>
      <c r="V778" s="27"/>
      <c r="W778" s="58">
        <f>IF(K778=TRUE,Q778/J778,Q778)</f>
        <v>240</v>
      </c>
      <c r="X778" s="31">
        <f t="shared" si="494"/>
        <v>0</v>
      </c>
      <c r="Y778" t="b">
        <f t="shared" si="495"/>
        <v>0</v>
      </c>
      <c r="Z778" s="78">
        <f t="shared" si="496"/>
        <v>240</v>
      </c>
      <c r="AB778" t="b">
        <f t="shared" si="463"/>
        <v>1</v>
      </c>
    </row>
    <row r="779" spans="1:28" x14ac:dyDescent="0.25">
      <c r="A779" s="53">
        <v>2022</v>
      </c>
      <c r="B779" s="53">
        <v>113</v>
      </c>
      <c r="C779" s="71" t="s">
        <v>105</v>
      </c>
      <c r="D779" t="s">
        <v>703</v>
      </c>
      <c r="E779" s="131"/>
      <c r="G779" s="1">
        <v>44762</v>
      </c>
      <c r="H779" t="s">
        <v>1148</v>
      </c>
      <c r="K779" t="b">
        <f t="shared" si="497"/>
        <v>0</v>
      </c>
      <c r="L779" s="48">
        <v>31.92</v>
      </c>
      <c r="M779" s="72">
        <v>1</v>
      </c>
      <c r="N779">
        <v>20</v>
      </c>
      <c r="O779" s="31">
        <f>L779*N779/100</f>
        <v>6.3840000000000012</v>
      </c>
      <c r="P779" s="31">
        <f>M779*O779</f>
        <v>6.3840000000000012</v>
      </c>
      <c r="Q779" s="33">
        <f>L779*M779</f>
        <v>31.92</v>
      </c>
      <c r="R779" s="29">
        <f>L779+O779</f>
        <v>38.304000000000002</v>
      </c>
      <c r="S779" s="29">
        <f t="shared" si="498"/>
        <v>38.304000000000002</v>
      </c>
      <c r="T779" s="35">
        <f t="shared" si="462"/>
        <v>44880</v>
      </c>
      <c r="U779" s="27"/>
      <c r="V779" s="27"/>
      <c r="W779" s="58">
        <f>IF(K779=TRUE,Q779/I779,Q779)</f>
        <v>31.92</v>
      </c>
      <c r="X779" s="31">
        <f>V779/100*S779</f>
        <v>0</v>
      </c>
      <c r="Y779" t="b">
        <f>IF(AND(V779&gt;0,N779=V779),TRUE,FALSE)</f>
        <v>0</v>
      </c>
      <c r="Z779" s="78">
        <f>IF(C779="Einnahmen",Q779,-Q779)</f>
        <v>-31.92</v>
      </c>
      <c r="AB779" t="b">
        <f t="shared" si="463"/>
        <v>1</v>
      </c>
    </row>
    <row r="780" spans="1:28" x14ac:dyDescent="0.25">
      <c r="A780" s="53">
        <v>2022</v>
      </c>
      <c r="B780" s="53">
        <v>114</v>
      </c>
      <c r="C780" s="71" t="s">
        <v>105</v>
      </c>
      <c r="D780" t="s">
        <v>705</v>
      </c>
      <c r="E780" s="6"/>
      <c r="G780" s="1">
        <v>44762</v>
      </c>
      <c r="H780" t="s">
        <v>1032</v>
      </c>
      <c r="K780" t="b">
        <f t="shared" si="497"/>
        <v>0</v>
      </c>
      <c r="L780" s="48">
        <v>10.5</v>
      </c>
      <c r="M780" s="72">
        <v>1</v>
      </c>
      <c r="N780">
        <v>0</v>
      </c>
      <c r="O780" s="31">
        <f>L780*N780/100</f>
        <v>0</v>
      </c>
      <c r="P780" s="31">
        <f>M780*O780</f>
        <v>0</v>
      </c>
      <c r="Q780" s="33">
        <f>L780*M780</f>
        <v>10.5</v>
      </c>
      <c r="R780" s="29">
        <f>L780+O780</f>
        <v>10.5</v>
      </c>
      <c r="S780" s="29">
        <f t="shared" si="498"/>
        <v>10.5</v>
      </c>
      <c r="T780" s="35">
        <f t="shared" si="462"/>
        <v>44880</v>
      </c>
      <c r="U780" s="27"/>
      <c r="V780" s="27">
        <v>20</v>
      </c>
      <c r="W780" s="58">
        <f>IF(K780=TRUE,Q780/J780,Q780)</f>
        <v>10.5</v>
      </c>
      <c r="X780" s="31">
        <f>V780/100*S780</f>
        <v>2.1</v>
      </c>
      <c r="Y780" t="b">
        <f>IF(AND(V780&gt;0,N780=V780),TRUE,FALSE)</f>
        <v>0</v>
      </c>
      <c r="Z780" s="78">
        <f>IF(C780="Einnahmen",Q780,-Q780)</f>
        <v>-10.5</v>
      </c>
      <c r="AB780" t="b">
        <f t="shared" si="463"/>
        <v>1</v>
      </c>
    </row>
    <row r="781" spans="1:28" x14ac:dyDescent="0.25">
      <c r="A781" s="53">
        <v>2022</v>
      </c>
      <c r="B781" s="53">
        <v>115</v>
      </c>
      <c r="C781" s="71" t="s">
        <v>105</v>
      </c>
      <c r="D781" t="s">
        <v>705</v>
      </c>
      <c r="G781" s="1">
        <v>44764</v>
      </c>
      <c r="H781" t="s">
        <v>1404</v>
      </c>
      <c r="K781" t="b">
        <v>0</v>
      </c>
      <c r="L781" s="109">
        <v>-0.33</v>
      </c>
      <c r="M781" s="72">
        <v>1</v>
      </c>
      <c r="N781">
        <v>0</v>
      </c>
      <c r="O781" s="31">
        <f>L781*N781/100</f>
        <v>0</v>
      </c>
      <c r="P781" s="31">
        <f>M781*O781</f>
        <v>0</v>
      </c>
      <c r="Q781" s="33">
        <f>L781*M781</f>
        <v>-0.33</v>
      </c>
      <c r="R781" s="29">
        <f>L781+O781</f>
        <v>-0.33</v>
      </c>
      <c r="S781" s="29">
        <f t="shared" si="498"/>
        <v>-0.33</v>
      </c>
      <c r="T781" s="35">
        <f t="shared" si="462"/>
        <v>44880</v>
      </c>
      <c r="U781" s="27"/>
      <c r="V781" s="27">
        <v>20</v>
      </c>
      <c r="W781" s="58">
        <f>IF(K781=TRUE,Q781/I781,Q781)</f>
        <v>-0.33</v>
      </c>
      <c r="X781" s="31">
        <f>V781/100*S781</f>
        <v>-6.6000000000000003E-2</v>
      </c>
      <c r="Y781" t="b">
        <f>IF(AND(V781&gt;0,N781=V781),TRUE,FALSE)</f>
        <v>0</v>
      </c>
      <c r="Z781" s="78">
        <f>IF(C781="Einnahmen",Q781,-Q781)</f>
        <v>0.33</v>
      </c>
      <c r="AB781" t="b">
        <f t="shared" si="463"/>
        <v>1</v>
      </c>
    </row>
    <row r="782" spans="1:28" x14ac:dyDescent="0.25">
      <c r="A782" s="53">
        <v>2022</v>
      </c>
      <c r="B782" s="53">
        <v>116</v>
      </c>
      <c r="C782" s="71" t="s">
        <v>105</v>
      </c>
      <c r="D782" t="s">
        <v>339</v>
      </c>
      <c r="E782" s="9" t="s">
        <v>1680</v>
      </c>
      <c r="G782" s="1">
        <v>44768</v>
      </c>
      <c r="H782" t="s">
        <v>981</v>
      </c>
      <c r="K782" t="b">
        <v>0</v>
      </c>
      <c r="L782" s="109">
        <v>26.44</v>
      </c>
      <c r="M782" s="72">
        <v>1</v>
      </c>
      <c r="N782">
        <v>20</v>
      </c>
      <c r="O782" s="31">
        <f>L782*N782/100</f>
        <v>5.2880000000000003</v>
      </c>
      <c r="P782" s="31">
        <f>M782*O782</f>
        <v>5.2880000000000003</v>
      </c>
      <c r="Q782" s="33">
        <f t="shared" ref="Q782:Q792" si="499">L782*M782</f>
        <v>26.44</v>
      </c>
      <c r="R782" s="29">
        <f t="shared" ref="R782:R792" si="500">L782+O782</f>
        <v>31.728000000000002</v>
      </c>
      <c r="S782" s="29">
        <f t="shared" ref="S782:S788" si="501">Q782+P782</f>
        <v>31.728000000000002</v>
      </c>
      <c r="T782" s="35">
        <f t="shared" si="462"/>
        <v>44880</v>
      </c>
      <c r="U782" s="27"/>
      <c r="V782" s="27"/>
      <c r="W782" s="58">
        <f>IF(K782=TRUE,Q782/I782,Q782)</f>
        <v>26.44</v>
      </c>
      <c r="X782" s="31">
        <f t="shared" ref="X782:X792" si="502">V782/100*S782</f>
        <v>0</v>
      </c>
      <c r="Y782" t="b">
        <f t="shared" ref="Y782:Y792" si="503">IF(AND(V782&gt;0,N782=V782),TRUE,FALSE)</f>
        <v>0</v>
      </c>
      <c r="Z782" s="78">
        <f t="shared" ref="Z782:Z792" si="504">IF(C782="Einnahmen",Q782,-Q782)</f>
        <v>-26.44</v>
      </c>
      <c r="AB782" t="b">
        <f t="shared" si="463"/>
        <v>1</v>
      </c>
    </row>
    <row r="783" spans="1:28" x14ac:dyDescent="0.25">
      <c r="A783" s="53">
        <v>2022</v>
      </c>
      <c r="B783" s="53">
        <v>117</v>
      </c>
      <c r="C783" s="71" t="s">
        <v>105</v>
      </c>
      <c r="D783" t="s">
        <v>683</v>
      </c>
      <c r="G783" s="1">
        <v>44768</v>
      </c>
      <c r="H783" t="s">
        <v>1238</v>
      </c>
      <c r="K783" t="b">
        <f>(IF(AND(I783&lt;&gt;"",AND(J783="",ABS(Q783)&gt;400)),TRUE,FALSE))</f>
        <v>0</v>
      </c>
      <c r="L783" s="48">
        <v>184.56</v>
      </c>
      <c r="M783" s="72">
        <v>1</v>
      </c>
      <c r="N783">
        <v>20</v>
      </c>
      <c r="O783" s="31">
        <f>L783*N783/100</f>
        <v>36.911999999999999</v>
      </c>
      <c r="P783" s="31">
        <f>M783*O783</f>
        <v>36.911999999999999</v>
      </c>
      <c r="Q783" s="33">
        <f t="shared" si="499"/>
        <v>184.56</v>
      </c>
      <c r="R783" s="29">
        <f t="shared" si="500"/>
        <v>221.47200000000001</v>
      </c>
      <c r="S783" s="29">
        <f t="shared" si="501"/>
        <v>221.47200000000001</v>
      </c>
      <c r="T783" s="35">
        <f t="shared" si="462"/>
        <v>44880</v>
      </c>
      <c r="U783" s="27"/>
      <c r="V783" s="27"/>
      <c r="W783" s="58">
        <f>IF(K783=TRUE,Q783/I783,Q783)</f>
        <v>184.56</v>
      </c>
      <c r="X783" s="31">
        <f t="shared" si="502"/>
        <v>0</v>
      </c>
      <c r="Y783" t="b">
        <f t="shared" si="503"/>
        <v>0</v>
      </c>
      <c r="Z783" s="78">
        <f t="shared" si="504"/>
        <v>-184.56</v>
      </c>
      <c r="AB783" t="b">
        <f t="shared" si="463"/>
        <v>1</v>
      </c>
    </row>
    <row r="784" spans="1:28" x14ac:dyDescent="0.25">
      <c r="A784" s="53">
        <v>2022</v>
      </c>
      <c r="B784" s="53">
        <v>118</v>
      </c>
      <c r="C784" s="71" t="s">
        <v>708</v>
      </c>
      <c r="D784" t="s">
        <v>709</v>
      </c>
      <c r="E784">
        <v>12022013</v>
      </c>
      <c r="G784" s="1">
        <v>44770</v>
      </c>
      <c r="H784" t="s">
        <v>1388</v>
      </c>
      <c r="K784" t="b">
        <v>0</v>
      </c>
      <c r="L784" s="48">
        <v>27.75</v>
      </c>
      <c r="M784" s="72">
        <v>1</v>
      </c>
      <c r="N784">
        <v>20</v>
      </c>
      <c r="O784" s="31">
        <f t="shared" ref="O784:O796" si="505">L784*N784/100</f>
        <v>5.55</v>
      </c>
      <c r="P784" s="31">
        <f t="shared" ref="P784:P796" si="506">M784*O784</f>
        <v>5.55</v>
      </c>
      <c r="Q784" s="33">
        <f t="shared" si="499"/>
        <v>27.75</v>
      </c>
      <c r="R784" s="29">
        <f t="shared" si="500"/>
        <v>33.299999999999997</v>
      </c>
      <c r="S784" s="29">
        <f t="shared" si="501"/>
        <v>33.299999999999997</v>
      </c>
      <c r="T784" s="35">
        <f t="shared" si="462"/>
        <v>44880</v>
      </c>
      <c r="U784" s="27"/>
      <c r="V784" s="27"/>
      <c r="W784" s="58">
        <f>IF(K784=TRUE,Q784/I784,Q784)</f>
        <v>27.75</v>
      </c>
      <c r="X784" s="31">
        <f t="shared" si="502"/>
        <v>0</v>
      </c>
      <c r="Y784" t="b">
        <f t="shared" si="503"/>
        <v>0</v>
      </c>
      <c r="Z784" s="78">
        <f t="shared" si="504"/>
        <v>27.75</v>
      </c>
      <c r="AB784" t="b">
        <f t="shared" si="463"/>
        <v>1</v>
      </c>
    </row>
    <row r="785" spans="1:28" x14ac:dyDescent="0.25">
      <c r="A785" s="53">
        <v>2022</v>
      </c>
      <c r="B785" s="53">
        <v>119</v>
      </c>
      <c r="C785" s="71" t="s">
        <v>105</v>
      </c>
      <c r="D785" t="s">
        <v>691</v>
      </c>
      <c r="G785" s="1">
        <v>44774</v>
      </c>
      <c r="H785" t="s">
        <v>1113</v>
      </c>
      <c r="K785" t="b">
        <v>0</v>
      </c>
      <c r="L785" s="109">
        <f>153.75/1.2</f>
        <v>128.125</v>
      </c>
      <c r="M785" s="72">
        <v>1</v>
      </c>
      <c r="N785">
        <v>20</v>
      </c>
      <c r="O785" s="31">
        <f t="shared" si="505"/>
        <v>25.625</v>
      </c>
      <c r="P785" s="31">
        <f t="shared" si="506"/>
        <v>25.625</v>
      </c>
      <c r="Q785" s="33">
        <f t="shared" si="499"/>
        <v>128.125</v>
      </c>
      <c r="R785" s="29">
        <f t="shared" si="500"/>
        <v>153.75</v>
      </c>
      <c r="S785" s="29">
        <f t="shared" si="501"/>
        <v>153.75</v>
      </c>
      <c r="T785" s="35">
        <f t="shared" si="462"/>
        <v>44880</v>
      </c>
      <c r="U785" s="27"/>
      <c r="V785" s="27"/>
      <c r="W785" s="58">
        <f>IF(K785=TRUE,Q785/J785,Q785)</f>
        <v>128.125</v>
      </c>
      <c r="X785" s="31">
        <f t="shared" si="502"/>
        <v>0</v>
      </c>
      <c r="Y785" t="b">
        <f t="shared" si="503"/>
        <v>0</v>
      </c>
      <c r="Z785" s="78">
        <f t="shared" si="504"/>
        <v>-128.125</v>
      </c>
      <c r="AB785" t="b">
        <f t="shared" si="463"/>
        <v>1</v>
      </c>
    </row>
    <row r="786" spans="1:28" x14ac:dyDescent="0.25">
      <c r="A786" s="53">
        <v>2022</v>
      </c>
      <c r="B786" s="53">
        <v>120</v>
      </c>
      <c r="C786" s="71" t="s">
        <v>105</v>
      </c>
      <c r="D786" t="s">
        <v>703</v>
      </c>
      <c r="E786" s="9" t="s">
        <v>1681</v>
      </c>
      <c r="G786" s="1">
        <v>44775</v>
      </c>
      <c r="H786" t="s">
        <v>34</v>
      </c>
      <c r="K786" t="b">
        <f>(IF(AND(I786&lt;&gt;"",AND(J786="",ABS(Q786)&gt;400)),TRUE,FALSE))</f>
        <v>0</v>
      </c>
      <c r="L786" s="48">
        <v>15</v>
      </c>
      <c r="M786" s="72">
        <v>1</v>
      </c>
      <c r="N786">
        <v>20</v>
      </c>
      <c r="O786" s="31">
        <f t="shared" si="505"/>
        <v>3</v>
      </c>
      <c r="P786" s="31">
        <f t="shared" si="506"/>
        <v>3</v>
      </c>
      <c r="Q786" s="33">
        <f t="shared" si="499"/>
        <v>15</v>
      </c>
      <c r="R786" s="29">
        <f t="shared" si="500"/>
        <v>18</v>
      </c>
      <c r="S786" s="29">
        <f t="shared" si="501"/>
        <v>18</v>
      </c>
      <c r="T786" s="35">
        <f t="shared" si="462"/>
        <v>44880</v>
      </c>
      <c r="U786" s="27"/>
      <c r="V786" s="27"/>
      <c r="W786" s="58">
        <f>IF(K786=TRUE,Q786/I786,Q786)</f>
        <v>15</v>
      </c>
      <c r="X786" s="31">
        <f t="shared" si="502"/>
        <v>0</v>
      </c>
      <c r="Y786" t="b">
        <f t="shared" si="503"/>
        <v>0</v>
      </c>
      <c r="Z786" s="78">
        <f t="shared" si="504"/>
        <v>-15</v>
      </c>
      <c r="AB786" t="b">
        <f t="shared" si="463"/>
        <v>1</v>
      </c>
    </row>
    <row r="787" spans="1:28" x14ac:dyDescent="0.25">
      <c r="A787" s="53">
        <v>2022</v>
      </c>
      <c r="B787" s="53">
        <v>121</v>
      </c>
      <c r="C787" s="71" t="s">
        <v>105</v>
      </c>
      <c r="D787" t="s">
        <v>705</v>
      </c>
      <c r="E787" s="9" t="s">
        <v>1682</v>
      </c>
      <c r="G787" s="1">
        <v>44776</v>
      </c>
      <c r="H787" t="s">
        <v>1404</v>
      </c>
      <c r="K787" t="b">
        <v>0</v>
      </c>
      <c r="L787" s="109">
        <v>9.36</v>
      </c>
      <c r="M787" s="72">
        <v>1</v>
      </c>
      <c r="N787">
        <v>0</v>
      </c>
      <c r="O787" s="31">
        <f t="shared" si="505"/>
        <v>0</v>
      </c>
      <c r="P787" s="31">
        <f t="shared" si="506"/>
        <v>0</v>
      </c>
      <c r="Q787" s="33">
        <f t="shared" si="499"/>
        <v>9.36</v>
      </c>
      <c r="R787" s="29">
        <f t="shared" si="500"/>
        <v>9.36</v>
      </c>
      <c r="S787" s="29">
        <f t="shared" si="501"/>
        <v>9.36</v>
      </c>
      <c r="T787" s="35">
        <f t="shared" si="462"/>
        <v>44880</v>
      </c>
      <c r="U787" s="27"/>
      <c r="V787" s="27">
        <v>20</v>
      </c>
      <c r="W787" s="58">
        <f>IF(K787=TRUE,Q787/I787,Q787)</f>
        <v>9.36</v>
      </c>
      <c r="X787" s="31">
        <f t="shared" si="502"/>
        <v>1.8719999999999999</v>
      </c>
      <c r="Y787" t="b">
        <f t="shared" si="503"/>
        <v>0</v>
      </c>
      <c r="Z787" s="78">
        <f t="shared" si="504"/>
        <v>-9.36</v>
      </c>
      <c r="AB787" t="b">
        <f t="shared" si="463"/>
        <v>1</v>
      </c>
    </row>
    <row r="788" spans="1:28" x14ac:dyDescent="0.25">
      <c r="A788" s="53">
        <v>2022</v>
      </c>
      <c r="B788" s="53">
        <v>122</v>
      </c>
      <c r="C788" s="71" t="s">
        <v>105</v>
      </c>
      <c r="D788" t="s">
        <v>705</v>
      </c>
      <c r="E788" s="153" t="s">
        <v>1698</v>
      </c>
      <c r="G788" s="1">
        <v>44776</v>
      </c>
      <c r="H788" t="s">
        <v>1670</v>
      </c>
      <c r="K788" t="b">
        <f>(IF(AND(I788&lt;&gt;"",AND(J788="",ABS(Q788)&gt;400)),TRUE,FALSE))</f>
        <v>0</v>
      </c>
      <c r="L788" s="109">
        <v>2.5</v>
      </c>
      <c r="M788" s="72">
        <v>1</v>
      </c>
      <c r="N788">
        <v>20</v>
      </c>
      <c r="O788" s="31">
        <f t="shared" si="505"/>
        <v>0.5</v>
      </c>
      <c r="P788" s="31">
        <f t="shared" si="506"/>
        <v>0.5</v>
      </c>
      <c r="Q788" s="33">
        <f t="shared" si="499"/>
        <v>2.5</v>
      </c>
      <c r="R788" s="29">
        <f t="shared" si="500"/>
        <v>3</v>
      </c>
      <c r="S788" s="29">
        <f t="shared" si="501"/>
        <v>3</v>
      </c>
      <c r="T788" s="35">
        <f t="shared" si="462"/>
        <v>44880</v>
      </c>
      <c r="U788" s="27"/>
      <c r="V788" s="27"/>
      <c r="W788" s="58">
        <f>IF(K788=TRUE,Q788/J788,Q788)</f>
        <v>2.5</v>
      </c>
      <c r="X788" s="31">
        <f t="shared" si="502"/>
        <v>0</v>
      </c>
      <c r="Y788" t="b">
        <f t="shared" si="503"/>
        <v>0</v>
      </c>
      <c r="Z788" s="78">
        <f t="shared" si="504"/>
        <v>-2.5</v>
      </c>
      <c r="AB788" t="b">
        <f t="shared" si="463"/>
        <v>1</v>
      </c>
    </row>
    <row r="789" spans="1:28" x14ac:dyDescent="0.25">
      <c r="A789" s="53">
        <v>2022</v>
      </c>
      <c r="B789" s="53">
        <v>123</v>
      </c>
      <c r="C789" s="71" t="s">
        <v>105</v>
      </c>
      <c r="D789" t="s">
        <v>691</v>
      </c>
      <c r="E789" s="61" t="s">
        <v>1064</v>
      </c>
      <c r="G789" s="1">
        <v>44778</v>
      </c>
      <c r="H789" t="s">
        <v>1558</v>
      </c>
      <c r="K789" t="b">
        <v>0</v>
      </c>
      <c r="L789" s="109">
        <v>122.6</v>
      </c>
      <c r="M789" s="72">
        <v>1</v>
      </c>
      <c r="N789">
        <v>20</v>
      </c>
      <c r="O789" s="31">
        <f t="shared" si="505"/>
        <v>24.52</v>
      </c>
      <c r="P789" s="31">
        <f t="shared" si="506"/>
        <v>24.52</v>
      </c>
      <c r="Q789" s="33">
        <f t="shared" si="499"/>
        <v>122.6</v>
      </c>
      <c r="R789" s="29">
        <f t="shared" si="500"/>
        <v>147.12</v>
      </c>
      <c r="S789" s="29">
        <f>Q789+P789</f>
        <v>147.12</v>
      </c>
      <c r="T789" s="35">
        <f t="shared" si="462"/>
        <v>44880</v>
      </c>
      <c r="U789" s="27"/>
      <c r="V789" s="27"/>
      <c r="W789" s="58">
        <f>IF(K789=TRUE,Q789/J789,Q789)</f>
        <v>122.6</v>
      </c>
      <c r="X789" s="31">
        <f t="shared" si="502"/>
        <v>0</v>
      </c>
      <c r="Y789" t="b">
        <f t="shared" si="503"/>
        <v>0</v>
      </c>
      <c r="Z789" s="78">
        <f t="shared" si="504"/>
        <v>-122.6</v>
      </c>
      <c r="AB789" t="b">
        <f t="shared" si="463"/>
        <v>1</v>
      </c>
    </row>
    <row r="790" spans="1:28" x14ac:dyDescent="0.25">
      <c r="A790" s="53">
        <v>2022</v>
      </c>
      <c r="B790" s="53">
        <v>124</v>
      </c>
      <c r="C790" s="71" t="s">
        <v>105</v>
      </c>
      <c r="D790" t="s">
        <v>705</v>
      </c>
      <c r="E790" s="61" t="s">
        <v>1064</v>
      </c>
      <c r="G790" s="1">
        <v>44783</v>
      </c>
      <c r="H790" t="s">
        <v>1466</v>
      </c>
      <c r="K790" t="b">
        <f>(IF(AND(I790&lt;&gt;"",AND(J790="",ABS(Q790)&gt;400)),TRUE,FALSE))</f>
        <v>0</v>
      </c>
      <c r="L790" s="48">
        <v>11</v>
      </c>
      <c r="M790" s="72">
        <v>1</v>
      </c>
      <c r="N790">
        <v>20</v>
      </c>
      <c r="O790" s="31">
        <f t="shared" si="505"/>
        <v>2.2000000000000002</v>
      </c>
      <c r="P790" s="31">
        <f t="shared" si="506"/>
        <v>2.2000000000000002</v>
      </c>
      <c r="Q790" s="33">
        <f t="shared" si="499"/>
        <v>11</v>
      </c>
      <c r="R790" s="29">
        <f t="shared" si="500"/>
        <v>13.2</v>
      </c>
      <c r="S790" s="29">
        <f>Q790+P790</f>
        <v>13.2</v>
      </c>
      <c r="T790" s="35">
        <f t="shared" si="462"/>
        <v>44880</v>
      </c>
      <c r="U790" s="27"/>
      <c r="V790" s="27"/>
      <c r="W790" s="58">
        <f>IF(K790=TRUE,Q790/J790,Q790)</f>
        <v>11</v>
      </c>
      <c r="X790" s="31">
        <f t="shared" si="502"/>
        <v>0</v>
      </c>
      <c r="Y790" t="b">
        <f t="shared" si="503"/>
        <v>0</v>
      </c>
      <c r="Z790" s="78">
        <f t="shared" si="504"/>
        <v>-11</v>
      </c>
      <c r="AB790" t="b">
        <f t="shared" si="463"/>
        <v>1</v>
      </c>
    </row>
    <row r="791" spans="1:28" x14ac:dyDescent="0.25">
      <c r="A791" s="53">
        <v>2022</v>
      </c>
      <c r="B791" s="53">
        <v>125</v>
      </c>
      <c r="C791" s="71" t="s">
        <v>105</v>
      </c>
      <c r="D791" t="s">
        <v>705</v>
      </c>
      <c r="E791" s="9" t="s">
        <v>1683</v>
      </c>
      <c r="G791" s="1">
        <v>44784</v>
      </c>
      <c r="H791" t="s">
        <v>927</v>
      </c>
      <c r="K791" t="b">
        <f>(IF(AND(I791&lt;&gt;"",AND(J791="",ABS(Q791)&gt;400)),TRUE,FALSE))</f>
        <v>0</v>
      </c>
      <c r="L791" s="48">
        <v>47.776499999999999</v>
      </c>
      <c r="M791" s="72">
        <v>1</v>
      </c>
      <c r="N791">
        <v>0</v>
      </c>
      <c r="O791" s="31">
        <f t="shared" si="505"/>
        <v>0</v>
      </c>
      <c r="P791" s="31">
        <f t="shared" si="506"/>
        <v>0</v>
      </c>
      <c r="Q791" s="33">
        <f t="shared" si="499"/>
        <v>47.776499999999999</v>
      </c>
      <c r="R791" s="29">
        <f t="shared" si="500"/>
        <v>47.776499999999999</v>
      </c>
      <c r="S791" s="29">
        <f t="shared" ref="S791:S801" si="507">Q791+P791</f>
        <v>47.776499999999999</v>
      </c>
      <c r="T791" s="35">
        <f t="shared" si="462"/>
        <v>44880</v>
      </c>
      <c r="U791" s="27"/>
      <c r="V791" s="27">
        <v>20</v>
      </c>
      <c r="W791" s="58">
        <f>IF(K791=TRUE,Q791/J791,Q791)</f>
        <v>47.776499999999999</v>
      </c>
      <c r="X791" s="31">
        <f t="shared" si="502"/>
        <v>9.5553000000000008</v>
      </c>
      <c r="Y791" t="b">
        <f t="shared" si="503"/>
        <v>0</v>
      </c>
      <c r="Z791" s="78">
        <f t="shared" si="504"/>
        <v>-47.776499999999999</v>
      </c>
      <c r="AB791" t="b">
        <f t="shared" si="463"/>
        <v>1</v>
      </c>
    </row>
    <row r="792" spans="1:28" x14ac:dyDescent="0.25">
      <c r="A792" s="53">
        <v>2022</v>
      </c>
      <c r="B792" s="53">
        <v>126</v>
      </c>
      <c r="C792" s="71" t="s">
        <v>708</v>
      </c>
      <c r="D792" t="s">
        <v>709</v>
      </c>
      <c r="E792">
        <v>168044680</v>
      </c>
      <c r="G792" s="1">
        <v>44790</v>
      </c>
      <c r="H792" t="s">
        <v>1652</v>
      </c>
      <c r="K792" t="b">
        <f>(IF(AND(I792&lt;&gt;"",AND(J792="",ABS(Q792)&gt;400)),TRUE,FALSE))</f>
        <v>0</v>
      </c>
      <c r="L792" s="48">
        <v>15293</v>
      </c>
      <c r="M792" s="72">
        <v>1</v>
      </c>
      <c r="N792">
        <v>20</v>
      </c>
      <c r="O792" s="31">
        <f t="shared" si="505"/>
        <v>3058.6</v>
      </c>
      <c r="P792" s="31">
        <f t="shared" si="506"/>
        <v>3058.6</v>
      </c>
      <c r="Q792" s="33">
        <f t="shared" si="499"/>
        <v>15293</v>
      </c>
      <c r="R792" s="29">
        <f t="shared" si="500"/>
        <v>18351.599999999999</v>
      </c>
      <c r="S792" s="29">
        <f t="shared" si="507"/>
        <v>18351.599999999999</v>
      </c>
      <c r="T792" s="35">
        <f t="shared" si="462"/>
        <v>44880</v>
      </c>
      <c r="U792" s="27"/>
      <c r="V792" s="27">
        <v>20</v>
      </c>
      <c r="W792" s="58">
        <f>IF(K792=TRUE,Q792/J792,Q792)</f>
        <v>15293</v>
      </c>
      <c r="X792" s="31">
        <f t="shared" si="502"/>
        <v>3670.3199999999997</v>
      </c>
      <c r="Y792" t="b">
        <f t="shared" si="503"/>
        <v>1</v>
      </c>
      <c r="Z792" s="78">
        <f t="shared" si="504"/>
        <v>15293</v>
      </c>
      <c r="AB792" t="b">
        <f t="shared" si="463"/>
        <v>1</v>
      </c>
    </row>
    <row r="793" spans="1:28" x14ac:dyDescent="0.25">
      <c r="A793" s="53">
        <v>2022</v>
      </c>
      <c r="B793" s="53">
        <v>127</v>
      </c>
      <c r="C793" s="71" t="s">
        <v>105</v>
      </c>
      <c r="D793" t="s">
        <v>339</v>
      </c>
      <c r="E793" s="9" t="s">
        <v>1684</v>
      </c>
      <c r="G793" s="1">
        <v>44790</v>
      </c>
      <c r="H793" t="s">
        <v>981</v>
      </c>
      <c r="K793" t="b">
        <v>0</v>
      </c>
      <c r="L793" s="109">
        <v>29.57</v>
      </c>
      <c r="M793" s="72">
        <v>1</v>
      </c>
      <c r="N793">
        <v>20</v>
      </c>
      <c r="O793" s="31">
        <f t="shared" si="505"/>
        <v>5.9139999999999997</v>
      </c>
      <c r="P793" s="31">
        <f t="shared" si="506"/>
        <v>5.9139999999999997</v>
      </c>
      <c r="Q793" s="33">
        <f t="shared" ref="Q793:Q805" si="508">L793*M793</f>
        <v>29.57</v>
      </c>
      <c r="R793" s="29">
        <f t="shared" ref="R793:R805" si="509">L793+O793</f>
        <v>35.484000000000002</v>
      </c>
      <c r="S793" s="29">
        <f t="shared" si="507"/>
        <v>35.484000000000002</v>
      </c>
      <c r="T793" s="35">
        <f t="shared" ref="T793:T856" si="510">voranmeldefrist_vierteljaehrlich(G793)</f>
        <v>44880</v>
      </c>
      <c r="U793" s="27"/>
      <c r="V793" s="27"/>
      <c r="W793" s="58">
        <f>IF(K793=TRUE,Q793/I793,Q793)</f>
        <v>29.57</v>
      </c>
      <c r="X793" s="31">
        <f t="shared" ref="X793:X805" si="511">V793/100*S793</f>
        <v>0</v>
      </c>
      <c r="Y793" t="b">
        <f t="shared" ref="Y793:Y805" si="512">IF(AND(V793&gt;0,N793=V793),TRUE,FALSE)</f>
        <v>0</v>
      </c>
      <c r="Z793" s="78">
        <f t="shared" ref="Z793:Z805" si="513">IF(C793="Einnahmen",Q793,-Q793)</f>
        <v>-29.57</v>
      </c>
      <c r="AB793" t="b">
        <f t="shared" si="463"/>
        <v>1</v>
      </c>
    </row>
    <row r="794" spans="1:28" x14ac:dyDescent="0.25">
      <c r="A794" s="53">
        <v>2022</v>
      </c>
      <c r="B794" s="53">
        <v>128</v>
      </c>
      <c r="C794" s="71" t="s">
        <v>105</v>
      </c>
      <c r="D794" t="s">
        <v>683</v>
      </c>
      <c r="E794" s="9" t="s">
        <v>1685</v>
      </c>
      <c r="G794" s="1">
        <v>44790</v>
      </c>
      <c r="H794" t="s">
        <v>1099</v>
      </c>
      <c r="J794" s="76" t="s">
        <v>958</v>
      </c>
      <c r="K794" t="b">
        <f>(IF(AND(I794&lt;&gt;"",AND(J794="",ABS(Q794)&gt;400)),TRUE,FALSE))</f>
        <v>0</v>
      </c>
      <c r="L794" s="48">
        <v>347.5</v>
      </c>
      <c r="M794" s="72">
        <v>1</v>
      </c>
      <c r="N794">
        <v>20</v>
      </c>
      <c r="O794" s="31">
        <f t="shared" si="505"/>
        <v>69.5</v>
      </c>
      <c r="P794" s="31">
        <f t="shared" si="506"/>
        <v>69.5</v>
      </c>
      <c r="Q794" s="33">
        <f t="shared" si="508"/>
        <v>347.5</v>
      </c>
      <c r="R794" s="29">
        <f t="shared" si="509"/>
        <v>417</v>
      </c>
      <c r="S794" s="29">
        <f t="shared" si="507"/>
        <v>417</v>
      </c>
      <c r="T794" s="35">
        <f t="shared" si="510"/>
        <v>44880</v>
      </c>
      <c r="U794" s="27"/>
      <c r="V794" s="27"/>
      <c r="W794" s="58">
        <f>IF(K794=TRUE,Q794/I794,Q794)</f>
        <v>347.5</v>
      </c>
      <c r="X794" s="31">
        <f t="shared" si="511"/>
        <v>0</v>
      </c>
      <c r="Y794" t="b">
        <f t="shared" si="512"/>
        <v>0</v>
      </c>
      <c r="Z794" s="78">
        <f t="shared" si="513"/>
        <v>-347.5</v>
      </c>
      <c r="AB794" t="b">
        <f t="shared" si="463"/>
        <v>1</v>
      </c>
    </row>
    <row r="795" spans="1:28" x14ac:dyDescent="0.25">
      <c r="A795" s="53">
        <v>2022</v>
      </c>
      <c r="B795" s="53">
        <v>129</v>
      </c>
      <c r="C795" s="71" t="s">
        <v>105</v>
      </c>
      <c r="D795" t="s">
        <v>703</v>
      </c>
      <c r="E795" s="131" t="s">
        <v>1686</v>
      </c>
      <c r="G795" s="1">
        <v>44792</v>
      </c>
      <c r="H795" t="s">
        <v>1148</v>
      </c>
      <c r="K795" t="b">
        <f>(IF(AND(I795&lt;&gt;"",AND(J795="",ABS(Q795)&gt;400)),TRUE,FALSE))</f>
        <v>0</v>
      </c>
      <c r="L795" s="48">
        <v>31.92</v>
      </c>
      <c r="M795" s="72">
        <v>1</v>
      </c>
      <c r="N795">
        <v>20</v>
      </c>
      <c r="O795" s="31">
        <f t="shared" si="505"/>
        <v>6.3840000000000012</v>
      </c>
      <c r="P795" s="31">
        <f t="shared" si="506"/>
        <v>6.3840000000000012</v>
      </c>
      <c r="Q795" s="33">
        <f t="shared" si="508"/>
        <v>31.92</v>
      </c>
      <c r="R795" s="29">
        <f t="shared" si="509"/>
        <v>38.304000000000002</v>
      </c>
      <c r="S795" s="29">
        <f t="shared" si="507"/>
        <v>38.304000000000002</v>
      </c>
      <c r="T795" s="35">
        <f t="shared" si="510"/>
        <v>44880</v>
      </c>
      <c r="U795" s="27"/>
      <c r="V795" s="27"/>
      <c r="W795" s="58">
        <f>IF(K795=TRUE,Q795/I795,Q795)</f>
        <v>31.92</v>
      </c>
      <c r="X795" s="31">
        <f t="shared" si="511"/>
        <v>0</v>
      </c>
      <c r="Y795" t="b">
        <f t="shared" si="512"/>
        <v>0</v>
      </c>
      <c r="Z795" s="78">
        <f t="shared" si="513"/>
        <v>-31.92</v>
      </c>
      <c r="AB795" t="b">
        <f t="shared" ref="AB795:AB858" si="514">S795=L795*(100+N795)%</f>
        <v>1</v>
      </c>
    </row>
    <row r="796" spans="1:28" x14ac:dyDescent="0.25">
      <c r="A796" s="53">
        <v>2022</v>
      </c>
      <c r="B796" s="53">
        <v>130</v>
      </c>
      <c r="C796" s="71" t="s">
        <v>105</v>
      </c>
      <c r="D796" t="s">
        <v>705</v>
      </c>
      <c r="E796" s="6" t="s">
        <v>1687</v>
      </c>
      <c r="G796" s="1">
        <v>44793</v>
      </c>
      <c r="H796" t="s">
        <v>1032</v>
      </c>
      <c r="K796" t="b">
        <f>(IF(AND(I796&lt;&gt;"",AND(J796="",ABS(Q796)&gt;400)),TRUE,FALSE))</f>
        <v>0</v>
      </c>
      <c r="L796" s="48">
        <v>10.5</v>
      </c>
      <c r="M796" s="72">
        <v>1</v>
      </c>
      <c r="N796">
        <v>0</v>
      </c>
      <c r="O796" s="31">
        <f t="shared" si="505"/>
        <v>0</v>
      </c>
      <c r="P796" s="31">
        <f t="shared" si="506"/>
        <v>0</v>
      </c>
      <c r="Q796" s="33">
        <f t="shared" si="508"/>
        <v>10.5</v>
      </c>
      <c r="R796" s="29">
        <f t="shared" si="509"/>
        <v>10.5</v>
      </c>
      <c r="S796" s="29">
        <f t="shared" si="507"/>
        <v>10.5</v>
      </c>
      <c r="T796" s="35">
        <f t="shared" si="510"/>
        <v>44880</v>
      </c>
      <c r="U796" s="27"/>
      <c r="V796" s="27">
        <v>20</v>
      </c>
      <c r="W796" s="58">
        <f>IF(K796=TRUE,Q796/J796,Q796)</f>
        <v>10.5</v>
      </c>
      <c r="X796" s="31">
        <f t="shared" si="511"/>
        <v>2.1</v>
      </c>
      <c r="Y796" t="b">
        <f t="shared" si="512"/>
        <v>0</v>
      </c>
      <c r="Z796" s="78">
        <f t="shared" si="513"/>
        <v>-10.5</v>
      </c>
      <c r="AB796" t="b">
        <f t="shared" si="514"/>
        <v>1</v>
      </c>
    </row>
    <row r="797" spans="1:28" x14ac:dyDescent="0.25">
      <c r="A797" s="53">
        <v>2022</v>
      </c>
      <c r="B797" s="53">
        <v>131</v>
      </c>
      <c r="C797" s="71" t="s">
        <v>105</v>
      </c>
      <c r="D797" t="s">
        <v>691</v>
      </c>
      <c r="G797" s="1">
        <v>44805</v>
      </c>
      <c r="H797" t="s">
        <v>1113</v>
      </c>
      <c r="K797" t="b">
        <v>0</v>
      </c>
      <c r="L797" s="109">
        <f>595.73/1.2</f>
        <v>496.44166666666672</v>
      </c>
      <c r="M797" s="72">
        <v>1</v>
      </c>
      <c r="N797">
        <v>20</v>
      </c>
      <c r="O797" s="31">
        <f t="shared" ref="O797:O805" si="515">L797*N797/100</f>
        <v>99.288333333333341</v>
      </c>
      <c r="P797" s="31">
        <f t="shared" ref="P797:P805" si="516">M797*O797</f>
        <v>99.288333333333341</v>
      </c>
      <c r="Q797" s="33">
        <f t="shared" si="508"/>
        <v>496.44166666666672</v>
      </c>
      <c r="R797" s="29">
        <f t="shared" si="509"/>
        <v>595.73</v>
      </c>
      <c r="S797" s="29">
        <f t="shared" si="507"/>
        <v>595.73</v>
      </c>
      <c r="T797" s="35">
        <f t="shared" si="510"/>
        <v>44880</v>
      </c>
      <c r="U797" s="27"/>
      <c r="V797" s="27"/>
      <c r="W797" s="58">
        <f>IF(K797=TRUE,Q797/J797,Q797)</f>
        <v>496.44166666666672</v>
      </c>
      <c r="X797" s="31">
        <f t="shared" si="511"/>
        <v>0</v>
      </c>
      <c r="Y797" t="b">
        <f t="shared" si="512"/>
        <v>0</v>
      </c>
      <c r="Z797" s="78">
        <f t="shared" si="513"/>
        <v>-496.44166666666672</v>
      </c>
      <c r="AB797" t="b">
        <f t="shared" si="514"/>
        <v>1</v>
      </c>
    </row>
    <row r="798" spans="1:28" x14ac:dyDescent="0.25">
      <c r="A798" s="53">
        <v>2022</v>
      </c>
      <c r="B798" s="53">
        <v>132</v>
      </c>
      <c r="C798" s="71" t="s">
        <v>105</v>
      </c>
      <c r="D798" t="s">
        <v>703</v>
      </c>
      <c r="E798" s="9" t="s">
        <v>1681</v>
      </c>
      <c r="G798" s="1">
        <v>44805</v>
      </c>
      <c r="H798" t="s">
        <v>34</v>
      </c>
      <c r="K798" t="b">
        <f>(IF(AND(I798&lt;&gt;"",AND(J798="",ABS(Q798)&gt;400)),TRUE,FALSE))</f>
        <v>0</v>
      </c>
      <c r="L798" s="48">
        <v>15</v>
      </c>
      <c r="M798" s="72">
        <v>1</v>
      </c>
      <c r="N798">
        <v>20</v>
      </c>
      <c r="O798" s="31">
        <f t="shared" si="515"/>
        <v>3</v>
      </c>
      <c r="P798" s="31">
        <f t="shared" si="516"/>
        <v>3</v>
      </c>
      <c r="Q798" s="33">
        <f t="shared" si="508"/>
        <v>15</v>
      </c>
      <c r="R798" s="29">
        <f t="shared" si="509"/>
        <v>18</v>
      </c>
      <c r="S798" s="29">
        <f t="shared" si="507"/>
        <v>18</v>
      </c>
      <c r="T798" s="35">
        <f t="shared" si="510"/>
        <v>44880</v>
      </c>
      <c r="U798" s="27"/>
      <c r="V798" s="27"/>
      <c r="W798" s="58">
        <f>IF(K798=TRUE,Q798/I798,Q798)</f>
        <v>15</v>
      </c>
      <c r="X798" s="31">
        <f t="shared" si="511"/>
        <v>0</v>
      </c>
      <c r="Y798" t="b">
        <f t="shared" si="512"/>
        <v>0</v>
      </c>
      <c r="Z798" s="78">
        <f t="shared" si="513"/>
        <v>-15</v>
      </c>
      <c r="AB798" t="b">
        <f t="shared" si="514"/>
        <v>1</v>
      </c>
    </row>
    <row r="799" spans="1:28" x14ac:dyDescent="0.25">
      <c r="A799" s="53">
        <v>2022</v>
      </c>
      <c r="B799" s="53">
        <v>133</v>
      </c>
      <c r="C799" s="71" t="s">
        <v>105</v>
      </c>
      <c r="D799" t="s">
        <v>339</v>
      </c>
      <c r="E799" s="61" t="s">
        <v>1064</v>
      </c>
      <c r="G799" s="1">
        <v>44806</v>
      </c>
      <c r="H799" t="s">
        <v>975</v>
      </c>
      <c r="K799" t="b">
        <f>(IF(AND(I799&lt;&gt;"",AND(J799="",ABS(Q799)&gt;400)),TRUE,FALSE))</f>
        <v>0</v>
      </c>
      <c r="L799" s="48">
        <f>7.45/1.2</f>
        <v>6.2083333333333339</v>
      </c>
      <c r="M799" s="72">
        <v>1</v>
      </c>
      <c r="N799">
        <v>20</v>
      </c>
      <c r="O799" s="31">
        <f t="shared" si="515"/>
        <v>1.2416666666666669</v>
      </c>
      <c r="P799" s="31">
        <f t="shared" si="516"/>
        <v>1.2416666666666669</v>
      </c>
      <c r="Q799" s="33">
        <f t="shared" si="508"/>
        <v>6.2083333333333339</v>
      </c>
      <c r="R799" s="29">
        <f t="shared" si="509"/>
        <v>7.4500000000000011</v>
      </c>
      <c r="S799" s="29">
        <f t="shared" si="507"/>
        <v>7.4500000000000011</v>
      </c>
      <c r="T799" s="35">
        <f t="shared" si="510"/>
        <v>44880</v>
      </c>
      <c r="U799" s="27"/>
      <c r="V799" s="27"/>
      <c r="W799" s="58">
        <f>IF(K799=TRUE,Q799/I799,Q799)</f>
        <v>6.2083333333333339</v>
      </c>
      <c r="X799" s="31">
        <f t="shared" si="511"/>
        <v>0</v>
      </c>
      <c r="Y799" t="b">
        <f t="shared" si="512"/>
        <v>0</v>
      </c>
      <c r="Z799" s="78">
        <f t="shared" si="513"/>
        <v>-6.2083333333333339</v>
      </c>
      <c r="AB799" t="b">
        <f t="shared" si="514"/>
        <v>1</v>
      </c>
    </row>
    <row r="800" spans="1:28" x14ac:dyDescent="0.25">
      <c r="A800" s="53">
        <v>2022</v>
      </c>
      <c r="B800" s="53">
        <v>134</v>
      </c>
      <c r="C800" s="71" t="s">
        <v>105</v>
      </c>
      <c r="D800" t="s">
        <v>705</v>
      </c>
      <c r="E800" s="9" t="s">
        <v>1682</v>
      </c>
      <c r="G800" s="1">
        <v>44807</v>
      </c>
      <c r="H800" t="s">
        <v>1404</v>
      </c>
      <c r="K800" t="b">
        <v>0</v>
      </c>
      <c r="L800" s="109">
        <v>9.36</v>
      </c>
      <c r="M800" s="72">
        <v>1</v>
      </c>
      <c r="N800">
        <v>0</v>
      </c>
      <c r="O800" s="31">
        <f t="shared" si="515"/>
        <v>0</v>
      </c>
      <c r="P800" s="31">
        <f t="shared" si="516"/>
        <v>0</v>
      </c>
      <c r="Q800" s="33">
        <f t="shared" si="508"/>
        <v>9.36</v>
      </c>
      <c r="R800" s="29">
        <f t="shared" si="509"/>
        <v>9.36</v>
      </c>
      <c r="S800" s="29">
        <f t="shared" si="507"/>
        <v>9.36</v>
      </c>
      <c r="T800" s="35">
        <f t="shared" si="510"/>
        <v>44880</v>
      </c>
      <c r="U800" s="27"/>
      <c r="V800" s="27">
        <v>20</v>
      </c>
      <c r="W800" s="58">
        <f>IF(K800=TRUE,Q800/I800,Q800)</f>
        <v>9.36</v>
      </c>
      <c r="X800" s="31">
        <f t="shared" si="511"/>
        <v>1.8719999999999999</v>
      </c>
      <c r="Y800" t="b">
        <f t="shared" si="512"/>
        <v>0</v>
      </c>
      <c r="Z800" s="78">
        <f t="shared" si="513"/>
        <v>-9.36</v>
      </c>
      <c r="AB800" t="b">
        <f t="shared" si="514"/>
        <v>1</v>
      </c>
    </row>
    <row r="801" spans="1:28" x14ac:dyDescent="0.25">
      <c r="A801" s="53">
        <v>2022</v>
      </c>
      <c r="B801" s="53">
        <v>135</v>
      </c>
      <c r="C801" s="71" t="s">
        <v>105</v>
      </c>
      <c r="D801" t="s">
        <v>705</v>
      </c>
      <c r="E801" s="153" t="s">
        <v>1698</v>
      </c>
      <c r="G801" s="1">
        <v>44809</v>
      </c>
      <c r="H801" t="s">
        <v>1670</v>
      </c>
      <c r="K801" t="b">
        <f>(IF(AND(I801&lt;&gt;"",AND(J801="",ABS(Q801)&gt;400)),TRUE,FALSE))</f>
        <v>0</v>
      </c>
      <c r="L801" s="109">
        <v>2.5</v>
      </c>
      <c r="M801" s="72">
        <v>1</v>
      </c>
      <c r="N801">
        <v>20</v>
      </c>
      <c r="O801" s="31">
        <f t="shared" si="515"/>
        <v>0.5</v>
      </c>
      <c r="P801" s="31">
        <f t="shared" si="516"/>
        <v>0.5</v>
      </c>
      <c r="Q801" s="33">
        <f t="shared" si="508"/>
        <v>2.5</v>
      </c>
      <c r="R801" s="29">
        <f t="shared" si="509"/>
        <v>3</v>
      </c>
      <c r="S801" s="29">
        <f t="shared" si="507"/>
        <v>3</v>
      </c>
      <c r="T801" s="35">
        <f t="shared" si="510"/>
        <v>44880</v>
      </c>
      <c r="U801" s="27"/>
      <c r="V801" s="27"/>
      <c r="W801" s="58">
        <f t="shared" ref="W801:W807" si="517">IF(K801=TRUE,Q801/J801,Q801)</f>
        <v>2.5</v>
      </c>
      <c r="X801" s="31">
        <f t="shared" si="511"/>
        <v>0</v>
      </c>
      <c r="Y801" t="b">
        <f t="shared" si="512"/>
        <v>0</v>
      </c>
      <c r="Z801" s="78">
        <f t="shared" si="513"/>
        <v>-2.5</v>
      </c>
      <c r="AB801" t="b">
        <f t="shared" si="514"/>
        <v>1</v>
      </c>
    </row>
    <row r="802" spans="1:28" x14ac:dyDescent="0.25">
      <c r="A802" s="53">
        <v>2022</v>
      </c>
      <c r="B802" s="53">
        <v>136</v>
      </c>
      <c r="C802" s="71" t="s">
        <v>105</v>
      </c>
      <c r="D802" t="s">
        <v>691</v>
      </c>
      <c r="E802" s="61" t="s">
        <v>1064</v>
      </c>
      <c r="G802" s="1">
        <v>44809</v>
      </c>
      <c r="H802" t="s">
        <v>1558</v>
      </c>
      <c r="K802" t="b">
        <v>0</v>
      </c>
      <c r="L802" s="109">
        <v>122.6</v>
      </c>
      <c r="M802" s="72">
        <v>1</v>
      </c>
      <c r="N802">
        <v>20</v>
      </c>
      <c r="O802" s="31">
        <f t="shared" si="515"/>
        <v>24.52</v>
      </c>
      <c r="P802" s="31">
        <f t="shared" si="516"/>
        <v>24.52</v>
      </c>
      <c r="Q802" s="33">
        <f t="shared" si="508"/>
        <v>122.6</v>
      </c>
      <c r="R802" s="29">
        <f t="shared" si="509"/>
        <v>147.12</v>
      </c>
      <c r="S802" s="29">
        <f t="shared" ref="S802:S810" si="518">Q802+P802</f>
        <v>147.12</v>
      </c>
      <c r="T802" s="35">
        <f t="shared" si="510"/>
        <v>44880</v>
      </c>
      <c r="U802" s="27"/>
      <c r="V802" s="27"/>
      <c r="W802" s="58">
        <f t="shared" si="517"/>
        <v>122.6</v>
      </c>
      <c r="X802" s="31">
        <f t="shared" si="511"/>
        <v>0</v>
      </c>
      <c r="Y802" t="b">
        <f t="shared" si="512"/>
        <v>0</v>
      </c>
      <c r="Z802" s="78">
        <f t="shared" si="513"/>
        <v>-122.6</v>
      </c>
      <c r="AB802" t="b">
        <f t="shared" si="514"/>
        <v>1</v>
      </c>
    </row>
    <row r="803" spans="1:28" x14ac:dyDescent="0.25">
      <c r="A803" s="53">
        <v>2022</v>
      </c>
      <c r="B803" s="53">
        <v>137</v>
      </c>
      <c r="C803" s="71" t="s">
        <v>105</v>
      </c>
      <c r="D803" t="s">
        <v>705</v>
      </c>
      <c r="E803" s="61" t="s">
        <v>1064</v>
      </c>
      <c r="G803" s="1">
        <v>44816</v>
      </c>
      <c r="H803" t="s">
        <v>1466</v>
      </c>
      <c r="K803" t="b">
        <f>(IF(AND(I803&lt;&gt;"",AND(J803="",ABS(Q803)&gt;400)),TRUE,FALSE))</f>
        <v>0</v>
      </c>
      <c r="L803" s="48">
        <v>11</v>
      </c>
      <c r="M803" s="72">
        <v>1</v>
      </c>
      <c r="N803">
        <v>20</v>
      </c>
      <c r="O803" s="31">
        <f t="shared" si="515"/>
        <v>2.2000000000000002</v>
      </c>
      <c r="P803" s="31">
        <f t="shared" si="516"/>
        <v>2.2000000000000002</v>
      </c>
      <c r="Q803" s="33">
        <f t="shared" si="508"/>
        <v>11</v>
      </c>
      <c r="R803" s="29">
        <f t="shared" si="509"/>
        <v>13.2</v>
      </c>
      <c r="S803" s="29">
        <f t="shared" si="518"/>
        <v>13.2</v>
      </c>
      <c r="T803" s="35">
        <f t="shared" si="510"/>
        <v>44880</v>
      </c>
      <c r="U803" s="27"/>
      <c r="V803" s="27"/>
      <c r="W803" s="58">
        <f t="shared" si="517"/>
        <v>11</v>
      </c>
      <c r="X803" s="31">
        <f t="shared" si="511"/>
        <v>0</v>
      </c>
      <c r="Y803" t="b">
        <f t="shared" si="512"/>
        <v>0</v>
      </c>
      <c r="Z803" s="78">
        <f t="shared" si="513"/>
        <v>-11</v>
      </c>
      <c r="AB803" t="b">
        <f t="shared" si="514"/>
        <v>1</v>
      </c>
    </row>
    <row r="804" spans="1:28" x14ac:dyDescent="0.25">
      <c r="A804" s="53">
        <v>2022</v>
      </c>
      <c r="B804" s="53">
        <v>138</v>
      </c>
      <c r="C804" s="71" t="s">
        <v>105</v>
      </c>
      <c r="D804" t="s">
        <v>705</v>
      </c>
      <c r="E804" s="9" t="s">
        <v>1688</v>
      </c>
      <c r="G804" s="1">
        <v>44817</v>
      </c>
      <c r="H804" t="s">
        <v>927</v>
      </c>
      <c r="K804" t="b">
        <f t="shared" ref="K804:K809" si="519">(IF(AND(I804&lt;&gt;"",AND(J804="",ABS(Q804)&gt;400)),TRUE,FALSE))</f>
        <v>0</v>
      </c>
      <c r="L804" s="48">
        <v>47.776499999999999</v>
      </c>
      <c r="M804" s="72">
        <v>1</v>
      </c>
      <c r="N804">
        <v>0</v>
      </c>
      <c r="O804" s="31">
        <f t="shared" si="515"/>
        <v>0</v>
      </c>
      <c r="P804" s="31">
        <f t="shared" si="516"/>
        <v>0</v>
      </c>
      <c r="Q804" s="33">
        <f t="shared" si="508"/>
        <v>47.776499999999999</v>
      </c>
      <c r="R804" s="29">
        <f t="shared" si="509"/>
        <v>47.776499999999999</v>
      </c>
      <c r="S804" s="29">
        <f t="shared" si="518"/>
        <v>47.776499999999999</v>
      </c>
      <c r="T804" s="35">
        <f t="shared" si="510"/>
        <v>44880</v>
      </c>
      <c r="U804" s="27"/>
      <c r="V804" s="27">
        <v>20</v>
      </c>
      <c r="W804" s="58">
        <f t="shared" si="517"/>
        <v>47.776499999999999</v>
      </c>
      <c r="X804" s="31">
        <f t="shared" si="511"/>
        <v>9.5553000000000008</v>
      </c>
      <c r="Y804" t="b">
        <f t="shared" si="512"/>
        <v>0</v>
      </c>
      <c r="Z804" s="78">
        <f t="shared" si="513"/>
        <v>-47.776499999999999</v>
      </c>
      <c r="AB804" t="b">
        <f t="shared" si="514"/>
        <v>1</v>
      </c>
    </row>
    <row r="805" spans="1:28" x14ac:dyDescent="0.25">
      <c r="A805" s="53">
        <v>2022</v>
      </c>
      <c r="B805" s="53">
        <v>139</v>
      </c>
      <c r="C805" s="71" t="s">
        <v>708</v>
      </c>
      <c r="D805" t="s">
        <v>709</v>
      </c>
      <c r="E805">
        <v>168045114</v>
      </c>
      <c r="G805" s="1">
        <v>44818</v>
      </c>
      <c r="H805" t="s">
        <v>1652</v>
      </c>
      <c r="K805" t="b">
        <f t="shared" si="519"/>
        <v>0</v>
      </c>
      <c r="L805" s="48">
        <v>19950</v>
      </c>
      <c r="M805" s="72">
        <v>1</v>
      </c>
      <c r="N805">
        <v>20</v>
      </c>
      <c r="O805" s="31">
        <f t="shared" si="515"/>
        <v>3990</v>
      </c>
      <c r="P805" s="31">
        <f t="shared" si="516"/>
        <v>3990</v>
      </c>
      <c r="Q805" s="33">
        <f t="shared" si="508"/>
        <v>19950</v>
      </c>
      <c r="R805" s="29">
        <f t="shared" si="509"/>
        <v>23940</v>
      </c>
      <c r="S805" s="29">
        <f t="shared" si="518"/>
        <v>23940</v>
      </c>
      <c r="T805" s="35">
        <f t="shared" si="510"/>
        <v>44880</v>
      </c>
      <c r="U805" s="27"/>
      <c r="V805" s="27">
        <v>20</v>
      </c>
      <c r="W805" s="58">
        <f t="shared" si="517"/>
        <v>19950</v>
      </c>
      <c r="X805" s="31">
        <f t="shared" si="511"/>
        <v>4788</v>
      </c>
      <c r="Y805" t="b">
        <f t="shared" si="512"/>
        <v>1</v>
      </c>
      <c r="Z805" s="78">
        <f t="shared" si="513"/>
        <v>19950</v>
      </c>
      <c r="AB805" t="b">
        <f t="shared" si="514"/>
        <v>1</v>
      </c>
    </row>
    <row r="806" spans="1:28" x14ac:dyDescent="0.25">
      <c r="A806" s="53">
        <v>2022</v>
      </c>
      <c r="B806" s="53">
        <v>140</v>
      </c>
      <c r="C806" s="71" t="s">
        <v>105</v>
      </c>
      <c r="D806" t="s">
        <v>685</v>
      </c>
      <c r="G806" s="1">
        <v>44819</v>
      </c>
      <c r="H806" t="s">
        <v>1689</v>
      </c>
      <c r="K806" t="b">
        <f t="shared" si="519"/>
        <v>0</v>
      </c>
      <c r="L806" s="48">
        <v>365</v>
      </c>
      <c r="M806" s="72">
        <v>1</v>
      </c>
      <c r="N806">
        <v>0</v>
      </c>
      <c r="O806" s="31">
        <f>L806*N806/100</f>
        <v>0</v>
      </c>
      <c r="P806" s="31">
        <f>M806*O806</f>
        <v>0</v>
      </c>
      <c r="Q806" s="33">
        <f>L806*M806</f>
        <v>365</v>
      </c>
      <c r="R806" s="29">
        <f>L806+O806</f>
        <v>365</v>
      </c>
      <c r="S806" s="29">
        <f t="shared" si="518"/>
        <v>365</v>
      </c>
      <c r="T806" s="35">
        <f t="shared" si="510"/>
        <v>44880</v>
      </c>
      <c r="U806" s="27"/>
      <c r="V806" s="27"/>
      <c r="W806" s="58">
        <f t="shared" si="517"/>
        <v>365</v>
      </c>
      <c r="X806" s="31">
        <f>V806/100*S806</f>
        <v>0</v>
      </c>
      <c r="Y806" t="b">
        <f>IF(AND(V806&gt;0,N806=V806),TRUE,FALSE)</f>
        <v>0</v>
      </c>
      <c r="Z806" s="78">
        <f>IF(C806="Einnahmen",Q806,-Q806)</f>
        <v>-365</v>
      </c>
      <c r="AB806" t="b">
        <f t="shared" si="514"/>
        <v>1</v>
      </c>
    </row>
    <row r="807" spans="1:28" x14ac:dyDescent="0.25">
      <c r="A807" s="53">
        <v>2022</v>
      </c>
      <c r="B807" s="53">
        <v>141</v>
      </c>
      <c r="C807" s="71" t="s">
        <v>105</v>
      </c>
      <c r="D807" t="s">
        <v>705</v>
      </c>
      <c r="E807" s="6"/>
      <c r="G807" s="1">
        <v>44824</v>
      </c>
      <c r="H807" t="s">
        <v>1032</v>
      </c>
      <c r="K807" t="b">
        <f t="shared" si="519"/>
        <v>0</v>
      </c>
      <c r="L807" s="48">
        <v>10.5</v>
      </c>
      <c r="M807" s="72">
        <v>1</v>
      </c>
      <c r="N807">
        <v>0</v>
      </c>
      <c r="O807" s="31">
        <f>L807*N807/100</f>
        <v>0</v>
      </c>
      <c r="P807" s="31">
        <f>M807*O807</f>
        <v>0</v>
      </c>
      <c r="Q807" s="33">
        <f>L807*M807</f>
        <v>10.5</v>
      </c>
      <c r="R807" s="29">
        <f>L807+O807</f>
        <v>10.5</v>
      </c>
      <c r="S807" s="29">
        <f t="shared" si="518"/>
        <v>10.5</v>
      </c>
      <c r="T807" s="35">
        <f t="shared" si="510"/>
        <v>44880</v>
      </c>
      <c r="U807" s="27"/>
      <c r="V807" s="27">
        <v>20</v>
      </c>
      <c r="W807" s="58">
        <f t="shared" si="517"/>
        <v>10.5</v>
      </c>
      <c r="X807" s="31">
        <f>V807/100*S807</f>
        <v>2.1</v>
      </c>
      <c r="Y807" t="b">
        <f>IF(AND(V807&gt;0,N807=V807),TRUE,FALSE)</f>
        <v>0</v>
      </c>
      <c r="Z807" s="78">
        <f>IF(C807="Einnahmen",Q807,-Q807)</f>
        <v>-10.5</v>
      </c>
      <c r="AB807" t="b">
        <f t="shared" si="514"/>
        <v>1</v>
      </c>
    </row>
    <row r="808" spans="1:28" x14ac:dyDescent="0.25">
      <c r="A808" s="53">
        <v>2022</v>
      </c>
      <c r="B808" s="53">
        <v>142</v>
      </c>
      <c r="C808" s="71" t="s">
        <v>105</v>
      </c>
      <c r="D808" t="s">
        <v>703</v>
      </c>
      <c r="E808" s="131" t="s">
        <v>1690</v>
      </c>
      <c r="G808" s="1">
        <v>44825</v>
      </c>
      <c r="H808" t="s">
        <v>1148</v>
      </c>
      <c r="K808" t="b">
        <f t="shared" si="519"/>
        <v>0</v>
      </c>
      <c r="L808" s="48">
        <v>31.92</v>
      </c>
      <c r="M808" s="72">
        <v>1</v>
      </c>
      <c r="N808">
        <v>20</v>
      </c>
      <c r="O808" s="31">
        <f>L808*N808/100</f>
        <v>6.3840000000000012</v>
      </c>
      <c r="P808" s="31">
        <f>M808*O808</f>
        <v>6.3840000000000012</v>
      </c>
      <c r="Q808" s="33">
        <f>L808*M808</f>
        <v>31.92</v>
      </c>
      <c r="R808" s="29">
        <f>L808+O808</f>
        <v>38.304000000000002</v>
      </c>
      <c r="S808" s="29">
        <f t="shared" si="518"/>
        <v>38.304000000000002</v>
      </c>
      <c r="T808" s="35">
        <f t="shared" si="510"/>
        <v>44880</v>
      </c>
      <c r="U808" s="27"/>
      <c r="V808" s="27"/>
      <c r="W808" s="58">
        <f>IF(K808=TRUE,Q808/I808,Q808)</f>
        <v>31.92</v>
      </c>
      <c r="X808" s="31">
        <f>V808/100*S808</f>
        <v>0</v>
      </c>
      <c r="Y808" t="b">
        <f>IF(AND(V808&gt;0,N808=V808),TRUE,FALSE)</f>
        <v>0</v>
      </c>
      <c r="Z808" s="78">
        <f>IF(C808="Einnahmen",Q808,-Q808)</f>
        <v>-31.92</v>
      </c>
      <c r="AB808" t="b">
        <f t="shared" si="514"/>
        <v>1</v>
      </c>
    </row>
    <row r="809" spans="1:28" x14ac:dyDescent="0.25">
      <c r="A809" s="53">
        <v>2022</v>
      </c>
      <c r="B809" s="53">
        <v>143</v>
      </c>
      <c r="C809" s="71" t="s">
        <v>105</v>
      </c>
      <c r="D809" t="s">
        <v>695</v>
      </c>
      <c r="E809" s="9">
        <v>11561270283</v>
      </c>
      <c r="G809" s="1">
        <v>44833</v>
      </c>
      <c r="H809" t="s">
        <v>952</v>
      </c>
      <c r="K809" t="b">
        <f t="shared" si="519"/>
        <v>0</v>
      </c>
      <c r="L809" s="48">
        <v>1.51</v>
      </c>
      <c r="M809" s="72">
        <v>1</v>
      </c>
      <c r="N809">
        <v>0</v>
      </c>
      <c r="O809" s="31">
        <f>L809*N809/100</f>
        <v>0</v>
      </c>
      <c r="P809" s="31">
        <f>M809*O809</f>
        <v>0</v>
      </c>
      <c r="Q809" s="33">
        <f>L809*M809</f>
        <v>1.51</v>
      </c>
      <c r="R809" s="29">
        <f>L809+O809</f>
        <v>1.51</v>
      </c>
      <c r="S809" s="29">
        <f t="shared" si="518"/>
        <v>1.51</v>
      </c>
      <c r="T809" s="35">
        <f t="shared" si="510"/>
        <v>44880</v>
      </c>
      <c r="U809" s="27"/>
      <c r="V809" s="27"/>
      <c r="W809" s="58">
        <f>IF(K809=TRUE,Q809/J809,Q809)</f>
        <v>1.51</v>
      </c>
      <c r="X809" s="31">
        <f>V809/100*S809</f>
        <v>0</v>
      </c>
      <c r="Y809" t="b">
        <f>IF(AND(V809&gt;0,N809=V809),TRUE,FALSE)</f>
        <v>0</v>
      </c>
      <c r="Z809" s="78">
        <f>IF(C809="Einnahmen",Q809,-Q809)</f>
        <v>-1.51</v>
      </c>
      <c r="AB809" t="b">
        <f t="shared" si="514"/>
        <v>1</v>
      </c>
    </row>
    <row r="810" spans="1:28" x14ac:dyDescent="0.25">
      <c r="A810" s="53">
        <v>2022</v>
      </c>
      <c r="B810" s="53">
        <v>144</v>
      </c>
      <c r="C810" s="71" t="s">
        <v>105</v>
      </c>
      <c r="D810" t="s">
        <v>695</v>
      </c>
      <c r="E810" s="9">
        <v>11561270283</v>
      </c>
      <c r="G810" s="1">
        <v>44833</v>
      </c>
      <c r="H810" t="s">
        <v>952</v>
      </c>
      <c r="K810" t="b">
        <f>(IF(AND(I810&lt;&gt;"",AND(J810="",ABS(Q810)&gt;400)),TRUE,FALSE))</f>
        <v>0</v>
      </c>
      <c r="L810" s="48">
        <v>5684.7</v>
      </c>
      <c r="M810" s="72">
        <v>1</v>
      </c>
      <c r="N810">
        <v>0</v>
      </c>
      <c r="O810" s="31">
        <f>L810*N810/100</f>
        <v>0</v>
      </c>
      <c r="P810" s="31">
        <f>M810*O810</f>
        <v>0</v>
      </c>
      <c r="Q810" s="33">
        <f>L810*M810</f>
        <v>5684.7</v>
      </c>
      <c r="R810" s="29">
        <f>L810+O810</f>
        <v>5684.7</v>
      </c>
      <c r="S810" s="29">
        <f t="shared" si="518"/>
        <v>5684.7</v>
      </c>
      <c r="T810" s="35">
        <f t="shared" si="510"/>
        <v>44880</v>
      </c>
      <c r="U810" s="27"/>
      <c r="V810" s="27"/>
      <c r="W810" s="58">
        <f>IF(K810=TRUE,Q810/J810,Q810)</f>
        <v>5684.7</v>
      </c>
      <c r="X810" s="31">
        <f>V810/100*S810</f>
        <v>0</v>
      </c>
      <c r="Y810" t="b">
        <f>IF(AND(V810&gt;0,N810=V810),TRUE,FALSE)</f>
        <v>0</v>
      </c>
      <c r="Z810" s="78">
        <f>IF(C810="Einnahmen",Q810,-Q810)</f>
        <v>-5684.7</v>
      </c>
      <c r="AB810" t="b">
        <f t="shared" si="514"/>
        <v>1</v>
      </c>
    </row>
    <row r="811" spans="1:28" x14ac:dyDescent="0.25">
      <c r="A811" s="53">
        <v>2022</v>
      </c>
      <c r="B811" s="53">
        <v>145</v>
      </c>
      <c r="C811" s="71" t="s">
        <v>105</v>
      </c>
      <c r="D811" t="s">
        <v>695</v>
      </c>
      <c r="E811" s="9">
        <v>11561270283</v>
      </c>
      <c r="G811" s="1">
        <v>44836</v>
      </c>
      <c r="H811" t="s">
        <v>952</v>
      </c>
      <c r="K811" t="b">
        <f>(IF(AND(I811&lt;&gt;"",AND(J811="",ABS(Q811)&gt;400)),TRUE,FALSE))</f>
        <v>0</v>
      </c>
      <c r="L811" s="48">
        <v>4.0999999999999996</v>
      </c>
      <c r="M811" s="72">
        <v>1</v>
      </c>
      <c r="N811">
        <v>0</v>
      </c>
      <c r="O811" s="31">
        <f t="shared" ref="O811:O816" si="520">L811*N811/100</f>
        <v>0</v>
      </c>
      <c r="P811" s="31">
        <f t="shared" ref="P811:P816" si="521">M811*O811</f>
        <v>0</v>
      </c>
      <c r="Q811" s="33">
        <f t="shared" ref="Q811:Q816" si="522">L811*M811</f>
        <v>4.0999999999999996</v>
      </c>
      <c r="R811" s="29">
        <f t="shared" ref="R811:R816" si="523">L811+O811</f>
        <v>4.0999999999999996</v>
      </c>
      <c r="S811" s="29">
        <f t="shared" ref="S811:S816" si="524">Q811+P811</f>
        <v>4.0999999999999996</v>
      </c>
      <c r="T811" s="35">
        <f t="shared" si="510"/>
        <v>44972</v>
      </c>
      <c r="U811" s="27"/>
      <c r="V811" s="27"/>
      <c r="W811" s="58">
        <f>IF(K811=TRUE,Q811/J811,Q811)</f>
        <v>4.0999999999999996</v>
      </c>
      <c r="X811" s="31">
        <f t="shared" ref="X811:X816" si="525">V811/100*S811</f>
        <v>0</v>
      </c>
      <c r="Y811" t="b">
        <f t="shared" ref="Y811:Y816" si="526">IF(AND(V811&gt;0,N811=V811),TRUE,FALSE)</f>
        <v>0</v>
      </c>
      <c r="Z811" s="78">
        <f t="shared" ref="Z811:Z816" si="527">IF(C811="Einnahmen",Q811,-Q811)</f>
        <v>-4.0999999999999996</v>
      </c>
      <c r="AB811" t="b">
        <f t="shared" si="514"/>
        <v>1</v>
      </c>
    </row>
    <row r="812" spans="1:28" x14ac:dyDescent="0.25">
      <c r="A812" s="53">
        <v>2022</v>
      </c>
      <c r="B812" s="53">
        <v>146</v>
      </c>
      <c r="C812" s="71" t="s">
        <v>708</v>
      </c>
      <c r="D812" t="s">
        <v>709</v>
      </c>
      <c r="E812" s="9" t="s">
        <v>1691</v>
      </c>
      <c r="G812" s="1">
        <v>44837</v>
      </c>
      <c r="H812" t="s">
        <v>1513</v>
      </c>
      <c r="K812" t="b">
        <v>0</v>
      </c>
      <c r="L812" s="48">
        <v>228.75</v>
      </c>
      <c r="M812" s="72">
        <v>1</v>
      </c>
      <c r="N812">
        <v>20</v>
      </c>
      <c r="O812" s="31">
        <f t="shared" si="520"/>
        <v>45.75</v>
      </c>
      <c r="P812" s="31">
        <f t="shared" si="521"/>
        <v>45.75</v>
      </c>
      <c r="Q812" s="33">
        <f t="shared" si="522"/>
        <v>228.75</v>
      </c>
      <c r="R812" s="29">
        <f t="shared" si="523"/>
        <v>274.5</v>
      </c>
      <c r="S812" s="29">
        <f t="shared" si="524"/>
        <v>274.5</v>
      </c>
      <c r="T812" s="35">
        <f t="shared" si="510"/>
        <v>44972</v>
      </c>
      <c r="U812" s="27"/>
      <c r="V812" s="27"/>
      <c r="W812" s="58">
        <f>IF(K812=TRUE,Q812/J812,Q812)</f>
        <v>228.75</v>
      </c>
      <c r="X812" s="31">
        <f t="shared" si="525"/>
        <v>0</v>
      </c>
      <c r="Y812" t="b">
        <f t="shared" si="526"/>
        <v>0</v>
      </c>
      <c r="Z812" s="78">
        <f t="shared" si="527"/>
        <v>228.75</v>
      </c>
      <c r="AB812" t="b">
        <f t="shared" si="514"/>
        <v>1</v>
      </c>
    </row>
    <row r="813" spans="1:28" x14ac:dyDescent="0.25">
      <c r="A813" s="53">
        <v>2022</v>
      </c>
      <c r="B813" s="53">
        <v>147</v>
      </c>
      <c r="C813" s="71" t="s">
        <v>708</v>
      </c>
      <c r="D813" t="s">
        <v>709</v>
      </c>
      <c r="E813" s="6">
        <v>12022019</v>
      </c>
      <c r="G813" s="1">
        <v>44837</v>
      </c>
      <c r="H813" t="s">
        <v>1038</v>
      </c>
      <c r="K813" t="b">
        <f>(IF(AND(I813&lt;&gt;"",AND(J813="",ABS(Q813)&gt;400)),TRUE,FALSE))</f>
        <v>0</v>
      </c>
      <c r="L813" s="48">
        <v>2110.2800000000002</v>
      </c>
      <c r="M813" s="72">
        <v>1</v>
      </c>
      <c r="N813">
        <v>20</v>
      </c>
      <c r="O813" s="31">
        <f t="shared" si="520"/>
        <v>422.05600000000004</v>
      </c>
      <c r="P813" s="31">
        <f t="shared" si="521"/>
        <v>422.05600000000004</v>
      </c>
      <c r="Q813" s="33">
        <f t="shared" si="522"/>
        <v>2110.2800000000002</v>
      </c>
      <c r="R813" s="29">
        <f t="shared" si="523"/>
        <v>2532.3360000000002</v>
      </c>
      <c r="S813" s="29">
        <f t="shared" si="524"/>
        <v>2532.3360000000002</v>
      </c>
      <c r="T813" s="35">
        <f t="shared" si="510"/>
        <v>44972</v>
      </c>
      <c r="U813" s="27"/>
      <c r="V813" s="27"/>
      <c r="W813" s="58">
        <f>IF(K813=TRUE,Q813/I813,Q813)</f>
        <v>2110.2800000000002</v>
      </c>
      <c r="X813" s="31">
        <f t="shared" si="525"/>
        <v>0</v>
      </c>
      <c r="Y813" t="b">
        <f t="shared" si="526"/>
        <v>0</v>
      </c>
      <c r="Z813" s="78">
        <f t="shared" si="527"/>
        <v>2110.2800000000002</v>
      </c>
      <c r="AB813" t="b">
        <f t="shared" si="514"/>
        <v>1</v>
      </c>
    </row>
    <row r="814" spans="1:28" x14ac:dyDescent="0.25">
      <c r="A814" s="53">
        <v>2022</v>
      </c>
      <c r="B814" s="53">
        <v>148</v>
      </c>
      <c r="C814" s="71" t="s">
        <v>105</v>
      </c>
      <c r="D814" t="s">
        <v>691</v>
      </c>
      <c r="G814" s="1">
        <v>44837</v>
      </c>
      <c r="H814" t="s">
        <v>1113</v>
      </c>
      <c r="K814" t="b">
        <v>0</v>
      </c>
      <c r="L814" s="109">
        <f>606.78/1.2</f>
        <v>505.65</v>
      </c>
      <c r="M814" s="72">
        <v>1</v>
      </c>
      <c r="N814">
        <v>20</v>
      </c>
      <c r="O814" s="31">
        <f t="shared" si="520"/>
        <v>101.13</v>
      </c>
      <c r="P814" s="31">
        <f t="shared" si="521"/>
        <v>101.13</v>
      </c>
      <c r="Q814" s="33">
        <f t="shared" si="522"/>
        <v>505.65</v>
      </c>
      <c r="R814" s="29">
        <f t="shared" si="523"/>
        <v>606.78</v>
      </c>
      <c r="S814" s="29">
        <f t="shared" si="524"/>
        <v>606.78</v>
      </c>
      <c r="T814" s="35">
        <f t="shared" si="510"/>
        <v>44972</v>
      </c>
      <c r="U814" s="27"/>
      <c r="V814" s="27"/>
      <c r="W814" s="58">
        <f>IF(K814=TRUE,Q814/J814,Q814)</f>
        <v>505.65</v>
      </c>
      <c r="X814" s="31">
        <f t="shared" si="525"/>
        <v>0</v>
      </c>
      <c r="Y814" t="b">
        <f t="shared" si="526"/>
        <v>0</v>
      </c>
      <c r="Z814" s="78">
        <f t="shared" si="527"/>
        <v>-505.65</v>
      </c>
      <c r="AB814" t="b">
        <f t="shared" si="514"/>
        <v>1</v>
      </c>
    </row>
    <row r="815" spans="1:28" x14ac:dyDescent="0.25">
      <c r="A815" s="53">
        <v>2022</v>
      </c>
      <c r="B815" s="53">
        <v>149</v>
      </c>
      <c r="C815" s="71" t="s">
        <v>105</v>
      </c>
      <c r="D815" t="s">
        <v>689</v>
      </c>
      <c r="E815" s="131" t="s">
        <v>1692</v>
      </c>
      <c r="G815" s="1">
        <v>44837</v>
      </c>
      <c r="H815" t="s">
        <v>974</v>
      </c>
      <c r="K815" t="b">
        <v>0</v>
      </c>
      <c r="L815" s="48">
        <v>41.53</v>
      </c>
      <c r="M815" s="72">
        <v>1</v>
      </c>
      <c r="N815">
        <v>20</v>
      </c>
      <c r="O815" s="31">
        <f t="shared" si="520"/>
        <v>8.3060000000000009</v>
      </c>
      <c r="P815" s="31">
        <f t="shared" si="521"/>
        <v>8.3060000000000009</v>
      </c>
      <c r="Q815" s="33">
        <f t="shared" si="522"/>
        <v>41.53</v>
      </c>
      <c r="R815" s="29">
        <f t="shared" si="523"/>
        <v>49.835999999999999</v>
      </c>
      <c r="S815" s="29">
        <f t="shared" si="524"/>
        <v>49.835999999999999</v>
      </c>
      <c r="T815" s="35">
        <f t="shared" si="510"/>
        <v>44972</v>
      </c>
      <c r="U815" s="27"/>
      <c r="V815" s="27"/>
      <c r="W815" s="58">
        <f>IF(K815=TRUE,Q815/J815,Q815)</f>
        <v>41.53</v>
      </c>
      <c r="X815" s="31">
        <f t="shared" si="525"/>
        <v>0</v>
      </c>
      <c r="Y815" t="b">
        <f t="shared" si="526"/>
        <v>0</v>
      </c>
      <c r="Z815" s="78">
        <f t="shared" si="527"/>
        <v>-41.53</v>
      </c>
      <c r="AB815" t="b">
        <f t="shared" si="514"/>
        <v>1</v>
      </c>
    </row>
    <row r="816" spans="1:28" x14ac:dyDescent="0.25">
      <c r="A816" s="53">
        <v>2022</v>
      </c>
      <c r="B816" s="53">
        <v>150</v>
      </c>
      <c r="C816" s="71" t="s">
        <v>105</v>
      </c>
      <c r="D816" t="s">
        <v>705</v>
      </c>
      <c r="G816" s="1">
        <v>44839</v>
      </c>
      <c r="H816" t="s">
        <v>1404</v>
      </c>
      <c r="K816" t="b">
        <v>0</v>
      </c>
      <c r="L816" s="109">
        <v>9.36</v>
      </c>
      <c r="M816" s="72">
        <v>1</v>
      </c>
      <c r="N816">
        <v>0</v>
      </c>
      <c r="O816" s="31">
        <f t="shared" si="520"/>
        <v>0</v>
      </c>
      <c r="P816" s="31">
        <f t="shared" si="521"/>
        <v>0</v>
      </c>
      <c r="Q816" s="33">
        <f t="shared" si="522"/>
        <v>9.36</v>
      </c>
      <c r="R816" s="29">
        <f t="shared" si="523"/>
        <v>9.36</v>
      </c>
      <c r="S816" s="29">
        <f t="shared" si="524"/>
        <v>9.36</v>
      </c>
      <c r="T816" s="35">
        <f t="shared" si="510"/>
        <v>44972</v>
      </c>
      <c r="U816" s="27"/>
      <c r="V816" s="27">
        <v>20</v>
      </c>
      <c r="W816" s="58">
        <f>IF(K816=TRUE,Q816/I816,Q816)</f>
        <v>9.36</v>
      </c>
      <c r="X816" s="31">
        <f t="shared" si="525"/>
        <v>1.8719999999999999</v>
      </c>
      <c r="Y816" t="b">
        <f t="shared" si="526"/>
        <v>0</v>
      </c>
      <c r="Z816" s="78">
        <f t="shared" si="527"/>
        <v>-9.36</v>
      </c>
      <c r="AB816" t="b">
        <f t="shared" si="514"/>
        <v>1</v>
      </c>
    </row>
    <row r="817" spans="1:28" x14ac:dyDescent="0.25">
      <c r="A817" s="53">
        <v>2022</v>
      </c>
      <c r="B817" s="53">
        <v>151</v>
      </c>
      <c r="C817" s="71" t="s">
        <v>105</v>
      </c>
      <c r="D817" t="s">
        <v>685</v>
      </c>
      <c r="G817" s="1">
        <v>44838</v>
      </c>
      <c r="H817" t="s">
        <v>1693</v>
      </c>
      <c r="K817" t="b">
        <v>0</v>
      </c>
      <c r="L817" s="109">
        <v>34.270000000000003</v>
      </c>
      <c r="M817" s="72">
        <v>1</v>
      </c>
      <c r="N817">
        <v>0</v>
      </c>
      <c r="O817" s="31">
        <f t="shared" ref="O817:O831" si="528">L817*N817/100</f>
        <v>0</v>
      </c>
      <c r="P817" s="31">
        <f t="shared" ref="P817:P831" si="529">M817*O817</f>
        <v>0</v>
      </c>
      <c r="Q817" s="33">
        <f t="shared" ref="Q817:Q831" si="530">L817*M817</f>
        <v>34.270000000000003</v>
      </c>
      <c r="R817" s="29">
        <f t="shared" ref="R817:R831" si="531">L817+O817</f>
        <v>34.270000000000003</v>
      </c>
      <c r="S817" s="29">
        <f t="shared" ref="S817:S822" si="532">Q817+P817</f>
        <v>34.270000000000003</v>
      </c>
      <c r="T817" s="35">
        <f t="shared" si="510"/>
        <v>44972</v>
      </c>
      <c r="U817" s="27"/>
      <c r="V817" s="27"/>
      <c r="W817" s="58">
        <f>IF(K817=TRUE,Q817/I817,Q817)</f>
        <v>34.270000000000003</v>
      </c>
      <c r="X817" s="31">
        <f t="shared" ref="X817:X831" si="533">V817/100*S817</f>
        <v>0</v>
      </c>
      <c r="Y817" t="b">
        <f t="shared" ref="Y817:Y831" si="534">IF(AND(V817&gt;0,N817=V817),TRUE,FALSE)</f>
        <v>0</v>
      </c>
      <c r="Z817" s="78">
        <f t="shared" ref="Z817:Z831" si="535">IF(C817="Einnahmen",Q817,-Q817)</f>
        <v>-34.270000000000003</v>
      </c>
      <c r="AB817" t="b">
        <f t="shared" si="514"/>
        <v>1</v>
      </c>
    </row>
    <row r="818" spans="1:28" x14ac:dyDescent="0.25">
      <c r="A818" s="53">
        <v>2022</v>
      </c>
      <c r="B818" s="53">
        <v>152</v>
      </c>
      <c r="C818" s="71" t="s">
        <v>105</v>
      </c>
      <c r="D818" t="s">
        <v>703</v>
      </c>
      <c r="G818" s="1">
        <v>44838</v>
      </c>
      <c r="H818" t="s">
        <v>34</v>
      </c>
      <c r="K818" t="b">
        <f>(IF(AND(I818&lt;&gt;"",AND(J818="",ABS(Q818)&gt;400)),TRUE,FALSE))</f>
        <v>0</v>
      </c>
      <c r="L818" s="48">
        <v>15</v>
      </c>
      <c r="M818" s="72">
        <v>1</v>
      </c>
      <c r="N818">
        <v>20</v>
      </c>
      <c r="O818" s="31">
        <f t="shared" si="528"/>
        <v>3</v>
      </c>
      <c r="P818" s="31">
        <f t="shared" si="529"/>
        <v>3</v>
      </c>
      <c r="Q818" s="33">
        <f t="shared" si="530"/>
        <v>15</v>
      </c>
      <c r="R818" s="29">
        <f t="shared" si="531"/>
        <v>18</v>
      </c>
      <c r="S818" s="29">
        <f t="shared" si="532"/>
        <v>18</v>
      </c>
      <c r="T818" s="35">
        <f t="shared" si="510"/>
        <v>44972</v>
      </c>
      <c r="U818" s="27"/>
      <c r="V818" s="27"/>
      <c r="W818" s="58">
        <f>IF(K818=TRUE,Q818/I818,Q818)</f>
        <v>15</v>
      </c>
      <c r="X818" s="31">
        <f t="shared" si="533"/>
        <v>0</v>
      </c>
      <c r="Y818" t="b">
        <f t="shared" si="534"/>
        <v>0</v>
      </c>
      <c r="Z818" s="78">
        <f t="shared" si="535"/>
        <v>-15</v>
      </c>
      <c r="AB818" t="b">
        <f t="shared" si="514"/>
        <v>1</v>
      </c>
    </row>
    <row r="819" spans="1:28" x14ac:dyDescent="0.25">
      <c r="A819" s="53">
        <v>2022</v>
      </c>
      <c r="B819" s="53">
        <v>153</v>
      </c>
      <c r="C819" s="71" t="s">
        <v>105</v>
      </c>
      <c r="D819" t="s">
        <v>691</v>
      </c>
      <c r="E819" s="61" t="s">
        <v>1064</v>
      </c>
      <c r="G819" s="1">
        <v>44839</v>
      </c>
      <c r="H819" t="s">
        <v>1558</v>
      </c>
      <c r="K819" t="b">
        <v>0</v>
      </c>
      <c r="L819" s="109">
        <v>122.6</v>
      </c>
      <c r="M819" s="72">
        <v>1</v>
      </c>
      <c r="N819">
        <v>20</v>
      </c>
      <c r="O819" s="31">
        <f t="shared" si="528"/>
        <v>24.52</v>
      </c>
      <c r="P819" s="31">
        <f t="shared" si="529"/>
        <v>24.52</v>
      </c>
      <c r="Q819" s="33">
        <f t="shared" si="530"/>
        <v>122.6</v>
      </c>
      <c r="R819" s="29">
        <f t="shared" si="531"/>
        <v>147.12</v>
      </c>
      <c r="S819" s="29">
        <f t="shared" si="532"/>
        <v>147.12</v>
      </c>
      <c r="T819" s="35">
        <f t="shared" si="510"/>
        <v>44972</v>
      </c>
      <c r="U819" s="27"/>
      <c r="V819" s="27"/>
      <c r="W819" s="58">
        <f>IF(K819=TRUE,Q819/J819,Q819)</f>
        <v>122.6</v>
      </c>
      <c r="X819" s="31">
        <f t="shared" si="533"/>
        <v>0</v>
      </c>
      <c r="Y819" t="b">
        <f t="shared" si="534"/>
        <v>0</v>
      </c>
      <c r="Z819" s="78">
        <f t="shared" si="535"/>
        <v>-122.6</v>
      </c>
      <c r="AB819" t="b">
        <f t="shared" si="514"/>
        <v>1</v>
      </c>
    </row>
    <row r="820" spans="1:28" x14ac:dyDescent="0.25">
      <c r="A820" s="53">
        <v>2022</v>
      </c>
      <c r="B820" s="53">
        <v>154</v>
      </c>
      <c r="C820" s="71" t="s">
        <v>105</v>
      </c>
      <c r="D820" t="s">
        <v>705</v>
      </c>
      <c r="E820" s="153" t="s">
        <v>1698</v>
      </c>
      <c r="G820" s="1">
        <v>44840</v>
      </c>
      <c r="H820" t="s">
        <v>1670</v>
      </c>
      <c r="K820" t="b">
        <f>(IF(AND(I820&lt;&gt;"",AND(J820="",ABS(Q820)&gt;400)),TRUE,FALSE))</f>
        <v>0</v>
      </c>
      <c r="L820" s="109">
        <v>2.5</v>
      </c>
      <c r="M820" s="72">
        <v>1</v>
      </c>
      <c r="N820">
        <v>20</v>
      </c>
      <c r="O820" s="31">
        <f t="shared" si="528"/>
        <v>0.5</v>
      </c>
      <c r="P820" s="31">
        <f t="shared" si="529"/>
        <v>0.5</v>
      </c>
      <c r="Q820" s="33">
        <f t="shared" si="530"/>
        <v>2.5</v>
      </c>
      <c r="R820" s="29">
        <f t="shared" si="531"/>
        <v>3</v>
      </c>
      <c r="S820" s="29">
        <f t="shared" si="532"/>
        <v>3</v>
      </c>
      <c r="T820" s="35">
        <f t="shared" si="510"/>
        <v>44972</v>
      </c>
      <c r="U820" s="27"/>
      <c r="V820" s="27"/>
      <c r="W820" s="58">
        <f>IF(K820=TRUE,Q820/J820,Q820)</f>
        <v>2.5</v>
      </c>
      <c r="X820" s="31">
        <f t="shared" si="533"/>
        <v>0</v>
      </c>
      <c r="Y820" t="b">
        <f t="shared" si="534"/>
        <v>0</v>
      </c>
      <c r="Z820" s="78">
        <f t="shared" si="535"/>
        <v>-2.5</v>
      </c>
      <c r="AB820" t="b">
        <f t="shared" si="514"/>
        <v>1</v>
      </c>
    </row>
    <row r="821" spans="1:28" x14ac:dyDescent="0.25">
      <c r="A821" s="53">
        <v>2022</v>
      </c>
      <c r="B821" s="53">
        <v>155</v>
      </c>
      <c r="C821" s="71" t="s">
        <v>708</v>
      </c>
      <c r="D821" t="s">
        <v>705</v>
      </c>
      <c r="G821" s="1">
        <v>44836</v>
      </c>
      <c r="H821" t="s">
        <v>1217</v>
      </c>
      <c r="K821" t="b">
        <v>0</v>
      </c>
      <c r="L821" s="48">
        <v>380</v>
      </c>
      <c r="M821" s="72">
        <v>1</v>
      </c>
      <c r="N821">
        <v>20</v>
      </c>
      <c r="O821" s="31">
        <f t="shared" si="528"/>
        <v>76</v>
      </c>
      <c r="P821" s="31">
        <f t="shared" si="529"/>
        <v>76</v>
      </c>
      <c r="Q821" s="33">
        <f t="shared" si="530"/>
        <v>380</v>
      </c>
      <c r="R821" s="29">
        <f t="shared" si="531"/>
        <v>456</v>
      </c>
      <c r="S821" s="29">
        <f t="shared" si="532"/>
        <v>456</v>
      </c>
      <c r="T821" s="35">
        <f t="shared" si="510"/>
        <v>44972</v>
      </c>
      <c r="U821" s="27"/>
      <c r="V821" s="27"/>
      <c r="W821" s="58">
        <f>IF(K821=TRUE,Q821/I821,Q821)</f>
        <v>380</v>
      </c>
      <c r="X821" s="31">
        <f t="shared" si="533"/>
        <v>0</v>
      </c>
      <c r="Y821" t="b">
        <f t="shared" si="534"/>
        <v>0</v>
      </c>
      <c r="Z821" s="78">
        <f t="shared" si="535"/>
        <v>380</v>
      </c>
      <c r="AB821" t="b">
        <f t="shared" si="514"/>
        <v>1</v>
      </c>
    </row>
    <row r="822" spans="1:28" x14ac:dyDescent="0.25">
      <c r="A822" s="53">
        <v>2022</v>
      </c>
      <c r="B822" s="53">
        <v>156</v>
      </c>
      <c r="C822" s="71" t="s">
        <v>105</v>
      </c>
      <c r="D822" t="s">
        <v>705</v>
      </c>
      <c r="E822" s="61" t="s">
        <v>1064</v>
      </c>
      <c r="G822" s="1">
        <v>44844</v>
      </c>
      <c r="H822" t="s">
        <v>1466</v>
      </c>
      <c r="K822" t="b">
        <f t="shared" ref="K822:K828" si="536">(IF(AND(I822&lt;&gt;"",AND(J822="",ABS(Q822)&gt;400)),TRUE,FALSE))</f>
        <v>0</v>
      </c>
      <c r="L822" s="48">
        <v>11</v>
      </c>
      <c r="M822" s="72">
        <v>1</v>
      </c>
      <c r="N822">
        <v>20</v>
      </c>
      <c r="O822" s="31">
        <f t="shared" si="528"/>
        <v>2.2000000000000002</v>
      </c>
      <c r="P822" s="31">
        <f t="shared" si="529"/>
        <v>2.2000000000000002</v>
      </c>
      <c r="Q822" s="33">
        <f t="shared" si="530"/>
        <v>11</v>
      </c>
      <c r="R822" s="29">
        <f t="shared" si="531"/>
        <v>13.2</v>
      </c>
      <c r="S822" s="29">
        <f t="shared" si="532"/>
        <v>13.2</v>
      </c>
      <c r="T822" s="35">
        <f t="shared" si="510"/>
        <v>44972</v>
      </c>
      <c r="U822" s="27"/>
      <c r="V822" s="27"/>
      <c r="W822" s="58">
        <f t="shared" ref="W822:W827" si="537">IF(K822=TRUE,Q822/J822,Q822)</f>
        <v>11</v>
      </c>
      <c r="X822" s="31">
        <f t="shared" si="533"/>
        <v>0</v>
      </c>
      <c r="Y822" t="b">
        <f t="shared" si="534"/>
        <v>0</v>
      </c>
      <c r="Z822" s="78">
        <f t="shared" si="535"/>
        <v>-11</v>
      </c>
      <c r="AB822" t="b">
        <f t="shared" si="514"/>
        <v>1</v>
      </c>
    </row>
    <row r="823" spans="1:28" x14ac:dyDescent="0.25">
      <c r="A823" s="53">
        <v>2022</v>
      </c>
      <c r="B823" s="53">
        <v>157</v>
      </c>
      <c r="C823" s="71" t="s">
        <v>105</v>
      </c>
      <c r="D823" t="s">
        <v>705</v>
      </c>
      <c r="G823" s="1">
        <v>44847</v>
      </c>
      <c r="H823" t="s">
        <v>927</v>
      </c>
      <c r="K823" t="b">
        <f t="shared" si="536"/>
        <v>0</v>
      </c>
      <c r="L823" s="48">
        <v>47.776499999999999</v>
      </c>
      <c r="M823" s="72">
        <v>1</v>
      </c>
      <c r="N823">
        <v>0</v>
      </c>
      <c r="O823" s="31">
        <f t="shared" si="528"/>
        <v>0</v>
      </c>
      <c r="P823" s="31">
        <f t="shared" si="529"/>
        <v>0</v>
      </c>
      <c r="Q823" s="33">
        <f t="shared" si="530"/>
        <v>47.776499999999999</v>
      </c>
      <c r="R823" s="29">
        <f t="shared" si="531"/>
        <v>47.776499999999999</v>
      </c>
      <c r="S823" s="29">
        <f t="shared" ref="S823:S835" si="538">Q823+P823</f>
        <v>47.776499999999999</v>
      </c>
      <c r="T823" s="35">
        <f t="shared" si="510"/>
        <v>44972</v>
      </c>
      <c r="U823" s="27"/>
      <c r="V823" s="27">
        <v>20</v>
      </c>
      <c r="W823" s="58">
        <f t="shared" si="537"/>
        <v>47.776499999999999</v>
      </c>
      <c r="X823" s="31">
        <f t="shared" si="533"/>
        <v>9.5553000000000008</v>
      </c>
      <c r="Y823" t="b">
        <f t="shared" si="534"/>
        <v>0</v>
      </c>
      <c r="Z823" s="78">
        <f t="shared" si="535"/>
        <v>-47.776499999999999</v>
      </c>
      <c r="AB823" t="b">
        <f t="shared" si="514"/>
        <v>1</v>
      </c>
    </row>
    <row r="824" spans="1:28" x14ac:dyDescent="0.25">
      <c r="A824" s="53">
        <v>2022</v>
      </c>
      <c r="B824" s="53">
        <v>158</v>
      </c>
      <c r="C824" s="71" t="s">
        <v>708</v>
      </c>
      <c r="D824" t="s">
        <v>709</v>
      </c>
      <c r="E824" s="9">
        <v>12021026</v>
      </c>
      <c r="G824" s="1">
        <v>44848</v>
      </c>
      <c r="H824" t="s">
        <v>1384</v>
      </c>
      <c r="K824" t="b">
        <f t="shared" si="536"/>
        <v>0</v>
      </c>
      <c r="L824" s="48">
        <v>138</v>
      </c>
      <c r="M824" s="72">
        <v>1</v>
      </c>
      <c r="N824">
        <v>20</v>
      </c>
      <c r="O824" s="31">
        <f t="shared" si="528"/>
        <v>27.6</v>
      </c>
      <c r="P824" s="31">
        <f t="shared" si="529"/>
        <v>27.6</v>
      </c>
      <c r="Q824" s="33">
        <f t="shared" si="530"/>
        <v>138</v>
      </c>
      <c r="R824" s="29">
        <f t="shared" si="531"/>
        <v>165.6</v>
      </c>
      <c r="S824" s="29">
        <f t="shared" si="538"/>
        <v>165.6</v>
      </c>
      <c r="T824" s="35">
        <f t="shared" si="510"/>
        <v>44972</v>
      </c>
      <c r="U824" s="27"/>
      <c r="V824" s="27"/>
      <c r="W824" s="58">
        <f t="shared" si="537"/>
        <v>138</v>
      </c>
      <c r="X824" s="31">
        <f t="shared" si="533"/>
        <v>0</v>
      </c>
      <c r="Y824" t="b">
        <f t="shared" si="534"/>
        <v>0</v>
      </c>
      <c r="Z824" s="78">
        <f t="shared" si="535"/>
        <v>138</v>
      </c>
      <c r="AB824" t="b">
        <f t="shared" si="514"/>
        <v>1</v>
      </c>
    </row>
    <row r="825" spans="1:28" x14ac:dyDescent="0.25">
      <c r="A825" s="53">
        <v>2022</v>
      </c>
      <c r="B825" s="53">
        <v>159</v>
      </c>
      <c r="C825" s="71" t="s">
        <v>708</v>
      </c>
      <c r="D825" t="s">
        <v>709</v>
      </c>
      <c r="E825">
        <v>168045568</v>
      </c>
      <c r="G825" s="1">
        <v>44848</v>
      </c>
      <c r="H825" t="s">
        <v>1652</v>
      </c>
      <c r="K825" t="b">
        <f t="shared" si="536"/>
        <v>0</v>
      </c>
      <c r="L825" s="48">
        <v>20139</v>
      </c>
      <c r="M825" s="72">
        <v>1</v>
      </c>
      <c r="N825">
        <v>20</v>
      </c>
      <c r="O825" s="31">
        <f t="shared" si="528"/>
        <v>4027.8</v>
      </c>
      <c r="P825" s="31">
        <f t="shared" si="529"/>
        <v>4027.8</v>
      </c>
      <c r="Q825" s="33">
        <f t="shared" si="530"/>
        <v>20139</v>
      </c>
      <c r="R825" s="29">
        <f t="shared" si="531"/>
        <v>24166.799999999999</v>
      </c>
      <c r="S825" s="29">
        <f t="shared" si="538"/>
        <v>24166.799999999999</v>
      </c>
      <c r="T825" s="35">
        <f t="shared" si="510"/>
        <v>44972</v>
      </c>
      <c r="U825" s="27"/>
      <c r="V825" s="27"/>
      <c r="W825" s="58">
        <f t="shared" si="537"/>
        <v>20139</v>
      </c>
      <c r="X825" s="31">
        <f t="shared" si="533"/>
        <v>0</v>
      </c>
      <c r="Y825" t="b">
        <f t="shared" si="534"/>
        <v>0</v>
      </c>
      <c r="Z825" s="78">
        <f t="shared" si="535"/>
        <v>20139</v>
      </c>
      <c r="AB825" t="b">
        <f t="shared" si="514"/>
        <v>1</v>
      </c>
    </row>
    <row r="826" spans="1:28" x14ac:dyDescent="0.25">
      <c r="A826" s="53">
        <v>2022</v>
      </c>
      <c r="B826" s="53">
        <v>160</v>
      </c>
      <c r="C826" s="71" t="s">
        <v>105</v>
      </c>
      <c r="D826" t="s">
        <v>685</v>
      </c>
      <c r="E826" s="9" t="s">
        <v>1699</v>
      </c>
      <c r="G826" s="1">
        <v>44851</v>
      </c>
      <c r="H826" t="s">
        <v>1689</v>
      </c>
      <c r="K826" t="b">
        <f t="shared" si="536"/>
        <v>0</v>
      </c>
      <c r="L826" s="48">
        <v>365</v>
      </c>
      <c r="M826" s="72">
        <v>1</v>
      </c>
      <c r="N826">
        <v>0</v>
      </c>
      <c r="O826" s="31">
        <f t="shared" si="528"/>
        <v>0</v>
      </c>
      <c r="P826" s="31">
        <f t="shared" si="529"/>
        <v>0</v>
      </c>
      <c r="Q826" s="33">
        <f t="shared" si="530"/>
        <v>365</v>
      </c>
      <c r="R826" s="29">
        <f t="shared" si="531"/>
        <v>365</v>
      </c>
      <c r="S826" s="29">
        <f t="shared" si="538"/>
        <v>365</v>
      </c>
      <c r="T826" s="35">
        <f t="shared" si="510"/>
        <v>44972</v>
      </c>
      <c r="U826" s="27"/>
      <c r="V826" s="27"/>
      <c r="W826" s="58">
        <f t="shared" si="537"/>
        <v>365</v>
      </c>
      <c r="X826" s="31">
        <f t="shared" si="533"/>
        <v>0</v>
      </c>
      <c r="Y826" t="b">
        <f t="shared" si="534"/>
        <v>0</v>
      </c>
      <c r="Z826" s="78">
        <f t="shared" si="535"/>
        <v>-365</v>
      </c>
      <c r="AB826" t="b">
        <f t="shared" si="514"/>
        <v>1</v>
      </c>
    </row>
    <row r="827" spans="1:28" x14ac:dyDescent="0.25">
      <c r="A827" s="53">
        <v>2022</v>
      </c>
      <c r="B827" s="53">
        <v>161</v>
      </c>
      <c r="C827" s="71" t="s">
        <v>105</v>
      </c>
      <c r="D827" t="s">
        <v>705</v>
      </c>
      <c r="E827" s="6"/>
      <c r="G827" s="1">
        <v>44853</v>
      </c>
      <c r="H827" t="s">
        <v>1032</v>
      </c>
      <c r="K827" t="b">
        <f t="shared" si="536"/>
        <v>0</v>
      </c>
      <c r="L827" s="48">
        <v>10.5</v>
      </c>
      <c r="M827" s="72">
        <v>1</v>
      </c>
      <c r="N827">
        <v>0</v>
      </c>
      <c r="O827" s="31">
        <f t="shared" si="528"/>
        <v>0</v>
      </c>
      <c r="P827" s="31">
        <f t="shared" si="529"/>
        <v>0</v>
      </c>
      <c r="Q827" s="33">
        <f t="shared" si="530"/>
        <v>10.5</v>
      </c>
      <c r="R827" s="29">
        <f t="shared" si="531"/>
        <v>10.5</v>
      </c>
      <c r="S827" s="29">
        <f t="shared" si="538"/>
        <v>10.5</v>
      </c>
      <c r="T827" s="35">
        <f t="shared" si="510"/>
        <v>44972</v>
      </c>
      <c r="U827" s="27"/>
      <c r="V827" s="27">
        <v>20</v>
      </c>
      <c r="W827" s="58">
        <f t="shared" si="537"/>
        <v>10.5</v>
      </c>
      <c r="X827" s="31">
        <f t="shared" si="533"/>
        <v>2.1</v>
      </c>
      <c r="Y827" t="b">
        <f t="shared" si="534"/>
        <v>0</v>
      </c>
      <c r="Z827" s="78">
        <f t="shared" si="535"/>
        <v>-10.5</v>
      </c>
      <c r="AB827" t="b">
        <f t="shared" si="514"/>
        <v>1</v>
      </c>
    </row>
    <row r="828" spans="1:28" x14ac:dyDescent="0.25">
      <c r="A828" s="53">
        <v>2022</v>
      </c>
      <c r="B828" s="53">
        <v>162</v>
      </c>
      <c r="C828" s="71" t="s">
        <v>105</v>
      </c>
      <c r="D828" t="s">
        <v>703</v>
      </c>
      <c r="E828" s="131" t="s">
        <v>1690</v>
      </c>
      <c r="G828" s="1">
        <v>44855</v>
      </c>
      <c r="H828" t="s">
        <v>1148</v>
      </c>
      <c r="K828" t="b">
        <f t="shared" si="536"/>
        <v>0</v>
      </c>
      <c r="L828" s="48">
        <v>31.92</v>
      </c>
      <c r="M828" s="72">
        <v>1</v>
      </c>
      <c r="N828">
        <v>20</v>
      </c>
      <c r="O828" s="31">
        <f t="shared" si="528"/>
        <v>6.3840000000000012</v>
      </c>
      <c r="P828" s="31">
        <f t="shared" si="529"/>
        <v>6.3840000000000012</v>
      </c>
      <c r="Q828" s="33">
        <f t="shared" si="530"/>
        <v>31.92</v>
      </c>
      <c r="R828" s="29">
        <f t="shared" si="531"/>
        <v>38.304000000000002</v>
      </c>
      <c r="S828" s="29">
        <f t="shared" si="538"/>
        <v>38.304000000000002</v>
      </c>
      <c r="T828" s="35">
        <f t="shared" si="510"/>
        <v>44972</v>
      </c>
      <c r="U828" s="27"/>
      <c r="V828" s="27"/>
      <c r="W828" s="58">
        <f>IF(K828=TRUE,Q828/I828,Q828)</f>
        <v>31.92</v>
      </c>
      <c r="X828" s="31">
        <f t="shared" si="533"/>
        <v>0</v>
      </c>
      <c r="Y828" t="b">
        <f t="shared" si="534"/>
        <v>0</v>
      </c>
      <c r="Z828" s="78">
        <f t="shared" si="535"/>
        <v>-31.92</v>
      </c>
      <c r="AB828" t="b">
        <f t="shared" si="514"/>
        <v>1</v>
      </c>
    </row>
    <row r="829" spans="1:28" x14ac:dyDescent="0.25">
      <c r="A829" s="53">
        <v>2022</v>
      </c>
      <c r="B829" s="53">
        <v>163</v>
      </c>
      <c r="C829" s="71" t="s">
        <v>105</v>
      </c>
      <c r="D829" t="s">
        <v>339</v>
      </c>
      <c r="G829" s="1">
        <v>44858</v>
      </c>
      <c r="H829" t="s">
        <v>1694</v>
      </c>
      <c r="K829" t="b">
        <v>0</v>
      </c>
      <c r="L829" s="109">
        <v>75</v>
      </c>
      <c r="M829" s="72">
        <v>1</v>
      </c>
      <c r="N829">
        <v>20</v>
      </c>
      <c r="O829" s="31">
        <f t="shared" si="528"/>
        <v>15</v>
      </c>
      <c r="P829" s="31">
        <f t="shared" si="529"/>
        <v>15</v>
      </c>
      <c r="Q829" s="33">
        <f t="shared" si="530"/>
        <v>75</v>
      </c>
      <c r="R829" s="29">
        <f t="shared" si="531"/>
        <v>90</v>
      </c>
      <c r="S829" s="29">
        <f t="shared" si="538"/>
        <v>90</v>
      </c>
      <c r="T829" s="35">
        <f t="shared" si="510"/>
        <v>44972</v>
      </c>
      <c r="U829" s="27"/>
      <c r="V829" s="27"/>
      <c r="W829" s="58">
        <f>IF(K829=TRUE,Q829/I829,Q829)</f>
        <v>75</v>
      </c>
      <c r="X829" s="31">
        <f t="shared" si="533"/>
        <v>0</v>
      </c>
      <c r="Y829" t="b">
        <f t="shared" si="534"/>
        <v>0</v>
      </c>
      <c r="Z829" s="78">
        <f t="shared" si="535"/>
        <v>-75</v>
      </c>
      <c r="AB829" t="b">
        <f t="shared" si="514"/>
        <v>1</v>
      </c>
    </row>
    <row r="830" spans="1:28" x14ac:dyDescent="0.25">
      <c r="A830" s="53">
        <v>2022</v>
      </c>
      <c r="B830" s="53">
        <v>164</v>
      </c>
      <c r="C830" s="71" t="s">
        <v>105</v>
      </c>
      <c r="D830" t="s">
        <v>339</v>
      </c>
      <c r="E830" s="9" t="s">
        <v>1695</v>
      </c>
      <c r="G830" s="1">
        <v>44858</v>
      </c>
      <c r="H830" t="s">
        <v>981</v>
      </c>
      <c r="K830" t="b">
        <v>0</v>
      </c>
      <c r="L830" s="109">
        <v>8.16</v>
      </c>
      <c r="M830" s="72">
        <v>1</v>
      </c>
      <c r="N830">
        <v>20</v>
      </c>
      <c r="O830" s="31">
        <f t="shared" si="528"/>
        <v>1.6319999999999999</v>
      </c>
      <c r="P830" s="31">
        <f t="shared" si="529"/>
        <v>1.6319999999999999</v>
      </c>
      <c r="Q830" s="33">
        <f t="shared" si="530"/>
        <v>8.16</v>
      </c>
      <c r="R830" s="29">
        <f t="shared" si="531"/>
        <v>9.7919999999999998</v>
      </c>
      <c r="S830" s="29">
        <f t="shared" si="538"/>
        <v>9.7919999999999998</v>
      </c>
      <c r="T830" s="35">
        <f t="shared" si="510"/>
        <v>44972</v>
      </c>
      <c r="U830" s="27"/>
      <c r="V830" s="27"/>
      <c r="W830" s="58">
        <f>IF(K830=TRUE,Q830/I830,Q830)</f>
        <v>8.16</v>
      </c>
      <c r="X830" s="31">
        <f t="shared" si="533"/>
        <v>0</v>
      </c>
      <c r="Y830" t="b">
        <f t="shared" si="534"/>
        <v>0</v>
      </c>
      <c r="Z830" s="78">
        <f t="shared" si="535"/>
        <v>-8.16</v>
      </c>
      <c r="AB830" t="b">
        <f t="shared" si="514"/>
        <v>1</v>
      </c>
    </row>
    <row r="831" spans="1:28" x14ac:dyDescent="0.25">
      <c r="A831" s="53">
        <v>2022</v>
      </c>
      <c r="B831" s="53">
        <v>165</v>
      </c>
      <c r="C831" s="71" t="s">
        <v>105</v>
      </c>
      <c r="D831" t="s">
        <v>692</v>
      </c>
      <c r="G831" s="1">
        <v>44861</v>
      </c>
      <c r="H831" t="s">
        <v>1595</v>
      </c>
      <c r="K831" t="b">
        <v>0</v>
      </c>
      <c r="L831" s="48">
        <v>20.28</v>
      </c>
      <c r="M831" s="72">
        <v>1</v>
      </c>
      <c r="N831">
        <v>0</v>
      </c>
      <c r="O831" s="31">
        <f t="shared" si="528"/>
        <v>0</v>
      </c>
      <c r="P831" s="31">
        <f t="shared" si="529"/>
        <v>0</v>
      </c>
      <c r="Q831" s="33">
        <f t="shared" si="530"/>
        <v>20.28</v>
      </c>
      <c r="R831" s="29">
        <f t="shared" si="531"/>
        <v>20.28</v>
      </c>
      <c r="S831" s="29">
        <f t="shared" si="538"/>
        <v>20.28</v>
      </c>
      <c r="T831" s="35">
        <f t="shared" si="510"/>
        <v>44972</v>
      </c>
      <c r="U831" s="27"/>
      <c r="V831" s="27">
        <v>20</v>
      </c>
      <c r="W831" s="58">
        <f>IF(K831=TRUE,Q831/J831,Q831)</f>
        <v>20.28</v>
      </c>
      <c r="X831" s="31">
        <f t="shared" si="533"/>
        <v>4.056</v>
      </c>
      <c r="Y831" t="b">
        <f t="shared" si="534"/>
        <v>0</v>
      </c>
      <c r="Z831" s="78">
        <f t="shared" si="535"/>
        <v>-20.28</v>
      </c>
      <c r="AB831" t="b">
        <f t="shared" si="514"/>
        <v>1</v>
      </c>
    </row>
    <row r="832" spans="1:28" x14ac:dyDescent="0.25">
      <c r="A832" s="53">
        <v>2022</v>
      </c>
      <c r="B832" s="53">
        <v>166</v>
      </c>
      <c r="C832" s="71" t="s">
        <v>105</v>
      </c>
      <c r="D832" t="s">
        <v>703</v>
      </c>
      <c r="G832" s="1">
        <v>44867</v>
      </c>
      <c r="H832" t="s">
        <v>34</v>
      </c>
      <c r="K832" t="b">
        <f>(IF(AND(I832&lt;&gt;"",AND(J832="",ABS(Q832)&gt;400)),TRUE,FALSE))</f>
        <v>0</v>
      </c>
      <c r="L832" s="48">
        <v>15</v>
      </c>
      <c r="M832" s="72">
        <v>1</v>
      </c>
      <c r="N832">
        <v>20</v>
      </c>
      <c r="O832" s="31">
        <f>L832*N832/100</f>
        <v>3</v>
      </c>
      <c r="P832" s="31">
        <f>M832*O832</f>
        <v>3</v>
      </c>
      <c r="Q832" s="33">
        <f>L832*M832</f>
        <v>15</v>
      </c>
      <c r="R832" s="29">
        <f>L832+O832</f>
        <v>18</v>
      </c>
      <c r="S832" s="29">
        <f t="shared" si="538"/>
        <v>18</v>
      </c>
      <c r="T832" s="35">
        <f t="shared" si="510"/>
        <v>44972</v>
      </c>
      <c r="U832" s="27"/>
      <c r="V832" s="27"/>
      <c r="W832" s="58">
        <f>IF(K832=TRUE,Q832/I832,Q832)</f>
        <v>15</v>
      </c>
      <c r="X832" s="31">
        <f>V832/100*S832</f>
        <v>0</v>
      </c>
      <c r="Y832" t="b">
        <f>IF(AND(V832&gt;0,N832=V832),TRUE,FALSE)</f>
        <v>0</v>
      </c>
      <c r="Z832" s="78">
        <f>IF(C832="Einnahmen",Q832,-Q832)</f>
        <v>-15</v>
      </c>
      <c r="AB832" t="b">
        <f t="shared" si="514"/>
        <v>1</v>
      </c>
    </row>
    <row r="833" spans="1:28" x14ac:dyDescent="0.25">
      <c r="A833" s="53">
        <v>2022</v>
      </c>
      <c r="B833" s="53">
        <v>167</v>
      </c>
      <c r="C833" s="71" t="s">
        <v>105</v>
      </c>
      <c r="D833" t="s">
        <v>691</v>
      </c>
      <c r="G833" s="1">
        <v>44867</v>
      </c>
      <c r="H833" t="s">
        <v>1113</v>
      </c>
      <c r="K833" t="b">
        <v>0</v>
      </c>
      <c r="L833" s="109">
        <f>606.78/1.2</f>
        <v>505.65</v>
      </c>
      <c r="M833" s="72">
        <v>1</v>
      </c>
      <c r="N833">
        <v>20</v>
      </c>
      <c r="O833" s="31">
        <f>L833*N833/100</f>
        <v>101.13</v>
      </c>
      <c r="P833" s="31">
        <f>M833*O833</f>
        <v>101.13</v>
      </c>
      <c r="Q833" s="33">
        <f>L833*M833</f>
        <v>505.65</v>
      </c>
      <c r="R833" s="29">
        <f>L833+O833</f>
        <v>606.78</v>
      </c>
      <c r="S833" s="29">
        <f t="shared" si="538"/>
        <v>606.78</v>
      </c>
      <c r="T833" s="35">
        <f t="shared" si="510"/>
        <v>44972</v>
      </c>
      <c r="U833" s="27"/>
      <c r="V833" s="27"/>
      <c r="W833" s="58">
        <f>IF(K833=TRUE,Q833/J833,Q833)</f>
        <v>505.65</v>
      </c>
      <c r="X833" s="31">
        <f>V833/100*S833</f>
        <v>0</v>
      </c>
      <c r="Y833" t="b">
        <f>IF(AND(V833&gt;0,N833=V833),TRUE,FALSE)</f>
        <v>0</v>
      </c>
      <c r="Z833" s="78">
        <f>IF(C833="Einnahmen",Q833,-Q833)</f>
        <v>-505.65</v>
      </c>
      <c r="AB833" t="b">
        <f t="shared" si="514"/>
        <v>1</v>
      </c>
    </row>
    <row r="834" spans="1:28" x14ac:dyDescent="0.25">
      <c r="A834" s="53">
        <v>2022</v>
      </c>
      <c r="B834" s="53">
        <v>168</v>
      </c>
      <c r="C834" s="71" t="s">
        <v>105</v>
      </c>
      <c r="D834" t="s">
        <v>689</v>
      </c>
      <c r="E834" s="131"/>
      <c r="G834" s="1">
        <v>44867</v>
      </c>
      <c r="H834" t="s">
        <v>974</v>
      </c>
      <c r="K834" t="b">
        <v>0</v>
      </c>
      <c r="L834" s="48">
        <v>18.98</v>
      </c>
      <c r="M834" s="72">
        <v>1</v>
      </c>
      <c r="N834">
        <v>20</v>
      </c>
      <c r="O834" s="31">
        <f>L834*N834/100</f>
        <v>3.7960000000000003</v>
      </c>
      <c r="P834" s="31">
        <f>M834*O834</f>
        <v>3.7960000000000003</v>
      </c>
      <c r="Q834" s="33">
        <f>L834*M834</f>
        <v>18.98</v>
      </c>
      <c r="R834" s="29">
        <f>L834+O834</f>
        <v>22.776</v>
      </c>
      <c r="S834" s="29">
        <f t="shared" si="538"/>
        <v>22.776</v>
      </c>
      <c r="T834" s="35">
        <f t="shared" si="510"/>
        <v>44972</v>
      </c>
      <c r="U834" s="27"/>
      <c r="V834" s="27"/>
      <c r="W834" s="58">
        <f>IF(K834=TRUE,Q834/J834,Q834)</f>
        <v>18.98</v>
      </c>
      <c r="X834" s="31">
        <f>V834/100*S834</f>
        <v>0</v>
      </c>
      <c r="Y834" t="b">
        <f>IF(AND(V834&gt;0,N834=V834),TRUE,FALSE)</f>
        <v>0</v>
      </c>
      <c r="Z834" s="78">
        <f>IF(C834="Einnahmen",Q834,-Q834)</f>
        <v>-18.98</v>
      </c>
      <c r="AB834" t="b">
        <f t="shared" si="514"/>
        <v>1</v>
      </c>
    </row>
    <row r="835" spans="1:28" x14ac:dyDescent="0.25">
      <c r="A835" s="53">
        <v>2022</v>
      </c>
      <c r="B835" s="53">
        <v>169</v>
      </c>
      <c r="C835" s="71" t="s">
        <v>105</v>
      </c>
      <c r="D835" t="s">
        <v>705</v>
      </c>
      <c r="G835" s="1">
        <v>44867</v>
      </c>
      <c r="H835" t="s">
        <v>1404</v>
      </c>
      <c r="K835" t="b">
        <v>0</v>
      </c>
      <c r="L835" s="109">
        <v>9.36</v>
      </c>
      <c r="M835" s="72">
        <v>1</v>
      </c>
      <c r="N835">
        <v>0</v>
      </c>
      <c r="O835" s="31">
        <f>L835*N835/100</f>
        <v>0</v>
      </c>
      <c r="P835" s="31">
        <f>M835*O835</f>
        <v>0</v>
      </c>
      <c r="Q835" s="33">
        <f>L835*M835</f>
        <v>9.36</v>
      </c>
      <c r="R835" s="29">
        <f>L835+O835</f>
        <v>9.36</v>
      </c>
      <c r="S835" s="29">
        <f t="shared" si="538"/>
        <v>9.36</v>
      </c>
      <c r="T835" s="35">
        <f t="shared" si="510"/>
        <v>44972</v>
      </c>
      <c r="U835" s="27"/>
      <c r="V835" s="27">
        <v>20</v>
      </c>
      <c r="W835" s="58">
        <f t="shared" ref="W835:W840" si="539">IF(K835=TRUE,Q835/I835,Q835)</f>
        <v>9.36</v>
      </c>
      <c r="X835" s="31">
        <f>V835/100*S835</f>
        <v>1.8719999999999999</v>
      </c>
      <c r="Y835" t="b">
        <f>IF(AND(V835&gt;0,N835=V835),TRUE,FALSE)</f>
        <v>0</v>
      </c>
      <c r="Z835" s="78">
        <f>IF(C835="Einnahmen",Q835,-Q835)</f>
        <v>-9.36</v>
      </c>
      <c r="AB835" t="b">
        <f t="shared" si="514"/>
        <v>1</v>
      </c>
    </row>
    <row r="836" spans="1:28" x14ac:dyDescent="0.25">
      <c r="A836" s="53">
        <v>2022</v>
      </c>
      <c r="B836" s="53">
        <v>170</v>
      </c>
      <c r="C836" s="71" t="s">
        <v>105</v>
      </c>
      <c r="D836" t="s">
        <v>692</v>
      </c>
      <c r="G836" s="1">
        <v>44861</v>
      </c>
      <c r="H836" s="154" t="s">
        <v>1702</v>
      </c>
      <c r="L836" s="48">
        <v>20.28</v>
      </c>
      <c r="M836" s="72">
        <v>1</v>
      </c>
      <c r="N836">
        <v>0</v>
      </c>
      <c r="O836" s="31">
        <f t="shared" ref="O836:O842" si="540">L836*N836/100</f>
        <v>0</v>
      </c>
      <c r="P836" s="31">
        <f t="shared" ref="P836:P842" si="541">M836*O836</f>
        <v>0</v>
      </c>
      <c r="Q836" s="33">
        <f t="shared" ref="Q836:Q842" si="542">L836*M836</f>
        <v>20.28</v>
      </c>
      <c r="R836" s="29">
        <f t="shared" ref="R836:R842" si="543">L836+O836</f>
        <v>20.28</v>
      </c>
      <c r="S836" s="29">
        <f t="shared" ref="S836:S846" si="544">Q836+P836</f>
        <v>20.28</v>
      </c>
      <c r="T836" s="35">
        <f t="shared" si="510"/>
        <v>44972</v>
      </c>
      <c r="U836" s="27"/>
      <c r="V836" s="27">
        <v>20</v>
      </c>
      <c r="W836" s="58">
        <f t="shared" si="539"/>
        <v>20.28</v>
      </c>
      <c r="X836" s="31">
        <f t="shared" ref="X836:X842" si="545">V836/100*S836</f>
        <v>4.056</v>
      </c>
      <c r="Y836" t="b">
        <f t="shared" ref="Y836:Y842" si="546">IF(AND(V836&gt;0,N836=V836),TRUE,FALSE)</f>
        <v>0</v>
      </c>
      <c r="Z836" s="78">
        <f t="shared" ref="Z836:Z842" si="547">IF(C836="Einnahmen",Q836,-Q836)</f>
        <v>-20.28</v>
      </c>
      <c r="AB836" t="b">
        <f t="shared" si="514"/>
        <v>1</v>
      </c>
    </row>
    <row r="837" spans="1:28" x14ac:dyDescent="0.25">
      <c r="A837" s="53">
        <v>2022</v>
      </c>
      <c r="B837" s="53">
        <v>171</v>
      </c>
      <c r="C837" s="71" t="s">
        <v>105</v>
      </c>
      <c r="D837" t="s">
        <v>689</v>
      </c>
      <c r="G837" s="1">
        <v>44867</v>
      </c>
      <c r="H837" s="154" t="s">
        <v>1704</v>
      </c>
      <c r="L837" s="48">
        <v>18.98</v>
      </c>
      <c r="M837" s="72">
        <v>1</v>
      </c>
      <c r="N837">
        <v>20</v>
      </c>
      <c r="O837" s="31">
        <f t="shared" si="540"/>
        <v>3.7960000000000003</v>
      </c>
      <c r="P837" s="31">
        <f t="shared" si="541"/>
        <v>3.7960000000000003</v>
      </c>
      <c r="Q837" s="33">
        <f t="shared" si="542"/>
        <v>18.98</v>
      </c>
      <c r="R837" s="29">
        <f t="shared" si="543"/>
        <v>22.776</v>
      </c>
      <c r="S837" s="29">
        <f t="shared" si="544"/>
        <v>22.776</v>
      </c>
      <c r="T837" s="35">
        <f t="shared" si="510"/>
        <v>44972</v>
      </c>
      <c r="U837" s="27"/>
      <c r="V837" s="27"/>
      <c r="W837" s="58">
        <f t="shared" si="539"/>
        <v>18.98</v>
      </c>
      <c r="X837" s="31">
        <f t="shared" si="545"/>
        <v>0</v>
      </c>
      <c r="Y837" t="b">
        <f t="shared" si="546"/>
        <v>0</v>
      </c>
      <c r="Z837" s="78">
        <f t="shared" si="547"/>
        <v>-18.98</v>
      </c>
      <c r="AB837" t="b">
        <f t="shared" si="514"/>
        <v>1</v>
      </c>
    </row>
    <row r="838" spans="1:28" x14ac:dyDescent="0.25">
      <c r="A838" s="53">
        <v>2022</v>
      </c>
      <c r="B838" s="53">
        <v>172</v>
      </c>
      <c r="C838" s="71" t="s">
        <v>105</v>
      </c>
      <c r="D838" t="s">
        <v>705</v>
      </c>
      <c r="G838" s="1">
        <v>44867</v>
      </c>
      <c r="H838" s="154" t="s">
        <v>1703</v>
      </c>
      <c r="L838" s="109">
        <v>9.36</v>
      </c>
      <c r="M838" s="72">
        <v>1</v>
      </c>
      <c r="N838">
        <v>0</v>
      </c>
      <c r="O838" s="31">
        <f t="shared" si="540"/>
        <v>0</v>
      </c>
      <c r="P838" s="31">
        <f t="shared" si="541"/>
        <v>0</v>
      </c>
      <c r="Q838" s="33">
        <f t="shared" si="542"/>
        <v>9.36</v>
      </c>
      <c r="R838" s="29">
        <f t="shared" si="543"/>
        <v>9.36</v>
      </c>
      <c r="S838" s="29">
        <f t="shared" si="544"/>
        <v>9.36</v>
      </c>
      <c r="T838" s="35">
        <f t="shared" si="510"/>
        <v>44972</v>
      </c>
      <c r="U838" s="27"/>
      <c r="V838" s="27">
        <v>20</v>
      </c>
      <c r="W838" s="58">
        <f t="shared" si="539"/>
        <v>9.36</v>
      </c>
      <c r="X838" s="31">
        <f t="shared" si="545"/>
        <v>1.8719999999999999</v>
      </c>
      <c r="Y838" t="b">
        <f t="shared" si="546"/>
        <v>0</v>
      </c>
      <c r="Z838" s="78">
        <f t="shared" si="547"/>
        <v>-9.36</v>
      </c>
      <c r="AB838" t="b">
        <f t="shared" si="514"/>
        <v>1</v>
      </c>
    </row>
    <row r="839" spans="1:28" x14ac:dyDescent="0.25">
      <c r="A839" s="53">
        <v>2022</v>
      </c>
      <c r="B839" s="53">
        <v>173</v>
      </c>
      <c r="C839" s="71" t="s">
        <v>105</v>
      </c>
      <c r="D839" t="s">
        <v>691</v>
      </c>
      <c r="G839" s="1">
        <v>44867</v>
      </c>
      <c r="H839" s="154" t="s">
        <v>1705</v>
      </c>
      <c r="L839" s="109">
        <f>606.78/1.2</f>
        <v>505.65</v>
      </c>
      <c r="M839" s="72">
        <v>1</v>
      </c>
      <c r="N839">
        <v>20</v>
      </c>
      <c r="O839" s="31">
        <f t="shared" si="540"/>
        <v>101.13</v>
      </c>
      <c r="P839" s="31">
        <f t="shared" si="541"/>
        <v>101.13</v>
      </c>
      <c r="Q839" s="33">
        <f t="shared" si="542"/>
        <v>505.65</v>
      </c>
      <c r="R839" s="29">
        <f t="shared" si="543"/>
        <v>606.78</v>
      </c>
      <c r="S839" s="29">
        <f t="shared" si="544"/>
        <v>606.78</v>
      </c>
      <c r="T839" s="35">
        <f t="shared" si="510"/>
        <v>44972</v>
      </c>
      <c r="U839" s="27"/>
      <c r="V839" s="27"/>
      <c r="W839" s="58">
        <f t="shared" si="539"/>
        <v>505.65</v>
      </c>
      <c r="X839" s="31">
        <f t="shared" si="545"/>
        <v>0</v>
      </c>
      <c r="Y839" t="b">
        <f t="shared" si="546"/>
        <v>0</v>
      </c>
      <c r="Z839" s="78">
        <f t="shared" si="547"/>
        <v>-505.65</v>
      </c>
      <c r="AB839" t="b">
        <f t="shared" si="514"/>
        <v>1</v>
      </c>
    </row>
    <row r="840" spans="1:28" x14ac:dyDescent="0.25">
      <c r="A840" s="53">
        <v>2022</v>
      </c>
      <c r="B840" s="53">
        <v>174</v>
      </c>
      <c r="C840" s="71" t="s">
        <v>105</v>
      </c>
      <c r="D840" t="s">
        <v>703</v>
      </c>
      <c r="G840" s="1">
        <v>44867</v>
      </c>
      <c r="H840" s="154" t="s">
        <v>1706</v>
      </c>
      <c r="L840" s="48">
        <v>15</v>
      </c>
      <c r="M840" s="72">
        <v>1</v>
      </c>
      <c r="N840">
        <v>20</v>
      </c>
      <c r="O840" s="31">
        <f t="shared" si="540"/>
        <v>3</v>
      </c>
      <c r="P840" s="31">
        <f t="shared" si="541"/>
        <v>3</v>
      </c>
      <c r="Q840" s="33">
        <f t="shared" si="542"/>
        <v>15</v>
      </c>
      <c r="R840" s="29">
        <f t="shared" si="543"/>
        <v>18</v>
      </c>
      <c r="S840" s="29">
        <f t="shared" si="544"/>
        <v>18</v>
      </c>
      <c r="T840" s="35">
        <f t="shared" si="510"/>
        <v>44972</v>
      </c>
      <c r="U840" s="27"/>
      <c r="V840" s="27"/>
      <c r="W840" s="58">
        <f t="shared" si="539"/>
        <v>15</v>
      </c>
      <c r="X840" s="31">
        <f t="shared" si="545"/>
        <v>0</v>
      </c>
      <c r="Y840" t="b">
        <f t="shared" si="546"/>
        <v>0</v>
      </c>
      <c r="Z840" s="78">
        <f t="shared" si="547"/>
        <v>-15</v>
      </c>
      <c r="AB840" t="b">
        <f t="shared" si="514"/>
        <v>1</v>
      </c>
    </row>
    <row r="841" spans="1:28" x14ac:dyDescent="0.25">
      <c r="A841" s="53">
        <v>2022</v>
      </c>
      <c r="B841" s="53">
        <v>175</v>
      </c>
      <c r="C841" s="71" t="s">
        <v>105</v>
      </c>
      <c r="D841" t="s">
        <v>705</v>
      </c>
      <c r="E841" s="153" t="s">
        <v>1698</v>
      </c>
      <c r="G841" s="1">
        <v>44869</v>
      </c>
      <c r="H841" t="s">
        <v>1670</v>
      </c>
      <c r="K841" t="b">
        <f>(IF(AND(I841&lt;&gt;"",AND(J841="",ABS(Q841)&gt;400)),TRUE,FALSE))</f>
        <v>0</v>
      </c>
      <c r="L841" s="109">
        <v>2.5</v>
      </c>
      <c r="M841" s="72">
        <v>1</v>
      </c>
      <c r="N841">
        <v>20</v>
      </c>
      <c r="O841" s="31">
        <f t="shared" si="540"/>
        <v>0.5</v>
      </c>
      <c r="P841" s="31">
        <f t="shared" si="541"/>
        <v>0.5</v>
      </c>
      <c r="Q841" s="33">
        <f t="shared" si="542"/>
        <v>2.5</v>
      </c>
      <c r="R841" s="29">
        <f t="shared" si="543"/>
        <v>3</v>
      </c>
      <c r="S841" s="29">
        <f t="shared" si="544"/>
        <v>3</v>
      </c>
      <c r="T841" s="35">
        <f t="shared" si="510"/>
        <v>44972</v>
      </c>
      <c r="U841" s="27"/>
      <c r="V841" s="27"/>
      <c r="W841" s="58">
        <f t="shared" ref="W841:W847" si="548">IF(K841=TRUE,Q841/J841,Q841)</f>
        <v>2.5</v>
      </c>
      <c r="X841" s="31">
        <f t="shared" si="545"/>
        <v>0</v>
      </c>
      <c r="Y841" t="b">
        <f t="shared" si="546"/>
        <v>0</v>
      </c>
      <c r="Z841" s="78">
        <f t="shared" si="547"/>
        <v>-2.5</v>
      </c>
      <c r="AB841" t="b">
        <f t="shared" si="514"/>
        <v>1</v>
      </c>
    </row>
    <row r="842" spans="1:28" x14ac:dyDescent="0.25">
      <c r="A842" s="53">
        <v>2022</v>
      </c>
      <c r="B842" s="53">
        <v>176</v>
      </c>
      <c r="C842" s="71" t="s">
        <v>105</v>
      </c>
      <c r="D842" t="s">
        <v>691</v>
      </c>
      <c r="E842" s="61" t="s">
        <v>1064</v>
      </c>
      <c r="G842" s="1">
        <v>44839</v>
      </c>
      <c r="H842" t="s">
        <v>1558</v>
      </c>
      <c r="K842" t="b">
        <v>0</v>
      </c>
      <c r="L842" s="109">
        <v>122.6</v>
      </c>
      <c r="M842" s="72">
        <v>1</v>
      </c>
      <c r="N842">
        <v>20</v>
      </c>
      <c r="O842" s="31">
        <f t="shared" si="540"/>
        <v>24.52</v>
      </c>
      <c r="P842" s="31">
        <f t="shared" si="541"/>
        <v>24.52</v>
      </c>
      <c r="Q842" s="33">
        <f t="shared" si="542"/>
        <v>122.6</v>
      </c>
      <c r="R842" s="29">
        <f t="shared" si="543"/>
        <v>147.12</v>
      </c>
      <c r="S842" s="29">
        <f t="shared" si="544"/>
        <v>147.12</v>
      </c>
      <c r="T842" s="35">
        <f t="shared" si="510"/>
        <v>44972</v>
      </c>
      <c r="U842" s="27"/>
      <c r="V842" s="27"/>
      <c r="W842" s="58">
        <f t="shared" si="548"/>
        <v>122.6</v>
      </c>
      <c r="X842" s="31">
        <f t="shared" si="545"/>
        <v>0</v>
      </c>
      <c r="Y842" t="b">
        <f t="shared" si="546"/>
        <v>0</v>
      </c>
      <c r="Z842" s="78">
        <f t="shared" si="547"/>
        <v>-122.6</v>
      </c>
      <c r="AB842" t="b">
        <f t="shared" si="514"/>
        <v>1</v>
      </c>
    </row>
    <row r="843" spans="1:28" x14ac:dyDescent="0.25">
      <c r="A843" s="53">
        <v>2022</v>
      </c>
      <c r="B843" s="53">
        <v>177</v>
      </c>
      <c r="C843" s="71" t="s">
        <v>105</v>
      </c>
      <c r="D843" t="s">
        <v>339</v>
      </c>
      <c r="E843" s="9" t="s">
        <v>1707</v>
      </c>
      <c r="G843" s="1">
        <v>44875</v>
      </c>
      <c r="H843" t="s">
        <v>981</v>
      </c>
      <c r="K843" t="b">
        <v>0</v>
      </c>
      <c r="L843" s="109">
        <f>10.32/1.2</f>
        <v>8.6000000000000014</v>
      </c>
      <c r="M843" s="72">
        <v>1</v>
      </c>
      <c r="N843">
        <v>20</v>
      </c>
      <c r="O843" s="31">
        <f t="shared" ref="O843:O850" si="549">L843*N843/100</f>
        <v>1.7200000000000002</v>
      </c>
      <c r="P843" s="31">
        <f t="shared" ref="P843:P850" si="550">M843*O843</f>
        <v>1.7200000000000002</v>
      </c>
      <c r="Q843" s="33">
        <f>L843*M843</f>
        <v>8.6000000000000014</v>
      </c>
      <c r="R843" s="29">
        <f>L843+O843</f>
        <v>10.320000000000002</v>
      </c>
      <c r="S843" s="29">
        <f t="shared" si="544"/>
        <v>10.320000000000002</v>
      </c>
      <c r="T843" s="35">
        <f t="shared" si="510"/>
        <v>44972</v>
      </c>
      <c r="U843" s="27"/>
      <c r="V843" s="27"/>
      <c r="W843" s="58">
        <f t="shared" si="548"/>
        <v>8.6000000000000014</v>
      </c>
      <c r="X843" s="31">
        <f>V843/100*S843</f>
        <v>0</v>
      </c>
      <c r="Y843" t="b">
        <f>IF(AND(V843&gt;0,N843=V843),TRUE,FALSE)</f>
        <v>0</v>
      </c>
      <c r="Z843" s="78">
        <f>IF(C843="Einnahmen",Q843,-Q843)</f>
        <v>-8.6000000000000014</v>
      </c>
      <c r="AB843" t="b">
        <f t="shared" si="514"/>
        <v>1</v>
      </c>
    </row>
    <row r="844" spans="1:28" x14ac:dyDescent="0.25">
      <c r="A844" s="53">
        <v>2022</v>
      </c>
      <c r="B844" s="53">
        <v>178</v>
      </c>
      <c r="C844" s="71" t="s">
        <v>105</v>
      </c>
      <c r="D844" t="s">
        <v>705</v>
      </c>
      <c r="G844" s="1">
        <v>44876</v>
      </c>
      <c r="H844" t="s">
        <v>927</v>
      </c>
      <c r="K844" t="b">
        <f t="shared" ref="K844:K851" si="551">(IF(AND(I844&lt;&gt;"",AND(J844="",ABS(Q844)&gt;400)),TRUE,FALSE))</f>
        <v>0</v>
      </c>
      <c r="L844" s="48">
        <v>47.776499999999999</v>
      </c>
      <c r="M844" s="72">
        <v>1</v>
      </c>
      <c r="N844">
        <v>0</v>
      </c>
      <c r="O844" s="31">
        <f t="shared" si="549"/>
        <v>0</v>
      </c>
      <c r="P844" s="31">
        <f t="shared" si="550"/>
        <v>0</v>
      </c>
      <c r="Q844" s="33">
        <f>L844*M844</f>
        <v>47.776499999999999</v>
      </c>
      <c r="R844" s="29">
        <f>L844+O844</f>
        <v>47.776499999999999</v>
      </c>
      <c r="S844" s="29">
        <f t="shared" si="544"/>
        <v>47.776499999999999</v>
      </c>
      <c r="T844" s="35">
        <f t="shared" si="510"/>
        <v>44972</v>
      </c>
      <c r="U844" s="27"/>
      <c r="V844" s="27">
        <v>20</v>
      </c>
      <c r="W844" s="58">
        <f t="shared" si="548"/>
        <v>47.776499999999999</v>
      </c>
      <c r="X844" s="31">
        <f>V844/100*S844</f>
        <v>9.5553000000000008</v>
      </c>
      <c r="Y844" t="b">
        <f>IF(AND(V844&gt;0,N844=V844),TRUE,FALSE)</f>
        <v>0</v>
      </c>
      <c r="Z844" s="78">
        <f>IF(C844="Einnahmen",Q844,-Q844)</f>
        <v>-47.776499999999999</v>
      </c>
      <c r="AB844" t="b">
        <f t="shared" si="514"/>
        <v>1</v>
      </c>
    </row>
    <row r="845" spans="1:28" x14ac:dyDescent="0.25">
      <c r="A845" s="53">
        <v>2022</v>
      </c>
      <c r="B845" s="53">
        <v>179</v>
      </c>
      <c r="C845" s="71" t="s">
        <v>105</v>
      </c>
      <c r="D845" t="s">
        <v>685</v>
      </c>
      <c r="E845" s="9" t="s">
        <v>1699</v>
      </c>
      <c r="G845" s="1">
        <v>44880</v>
      </c>
      <c r="H845" t="s">
        <v>1689</v>
      </c>
      <c r="K845" t="b">
        <f t="shared" si="551"/>
        <v>0</v>
      </c>
      <c r="L845" s="48">
        <v>365</v>
      </c>
      <c r="M845" s="72">
        <v>1</v>
      </c>
      <c r="N845">
        <v>0</v>
      </c>
      <c r="O845" s="31">
        <f t="shared" si="549"/>
        <v>0</v>
      </c>
      <c r="P845" s="31">
        <f t="shared" si="550"/>
        <v>0</v>
      </c>
      <c r="Q845" s="33">
        <f>L845*M845</f>
        <v>365</v>
      </c>
      <c r="R845" s="29">
        <f>L845+O845</f>
        <v>365</v>
      </c>
      <c r="S845" s="29">
        <f t="shared" si="544"/>
        <v>365</v>
      </c>
      <c r="T845" s="35">
        <f t="shared" si="510"/>
        <v>44972</v>
      </c>
      <c r="U845" s="27"/>
      <c r="V845" s="27"/>
      <c r="W845" s="58">
        <f t="shared" si="548"/>
        <v>365</v>
      </c>
      <c r="X845" s="31">
        <f>V845/100*S845</f>
        <v>0</v>
      </c>
      <c r="Y845" t="b">
        <f>IF(AND(V845&gt;0,N845=V845),TRUE,FALSE)</f>
        <v>0</v>
      </c>
      <c r="Z845" s="78">
        <f>IF(C845="Einnahmen",Q845,-Q845)</f>
        <v>-365</v>
      </c>
      <c r="AB845" t="b">
        <f t="shared" si="514"/>
        <v>1</v>
      </c>
    </row>
    <row r="846" spans="1:28" x14ac:dyDescent="0.25">
      <c r="A846" s="53">
        <v>2022</v>
      </c>
      <c r="B846" s="53">
        <v>180</v>
      </c>
      <c r="C846" s="71" t="s">
        <v>708</v>
      </c>
      <c r="D846" t="s">
        <v>709</v>
      </c>
      <c r="E846">
        <v>168046160</v>
      </c>
      <c r="G846" s="1">
        <v>44882</v>
      </c>
      <c r="H846" t="s">
        <v>1652</v>
      </c>
      <c r="K846" t="b">
        <f t="shared" si="551"/>
        <v>0</v>
      </c>
      <c r="L846" s="48">
        <f>15141</f>
        <v>15141</v>
      </c>
      <c r="M846" s="72">
        <v>1</v>
      </c>
      <c r="N846">
        <v>20</v>
      </c>
      <c r="O846" s="31">
        <f t="shared" si="549"/>
        <v>3028.2</v>
      </c>
      <c r="P846" s="31">
        <f t="shared" si="550"/>
        <v>3028.2</v>
      </c>
      <c r="Q846" s="33">
        <f>L846*M846</f>
        <v>15141</v>
      </c>
      <c r="R846" s="29">
        <f>L846+O846</f>
        <v>18169.2</v>
      </c>
      <c r="S846" s="29">
        <f t="shared" si="544"/>
        <v>18169.2</v>
      </c>
      <c r="T846" s="35">
        <f t="shared" si="510"/>
        <v>44972</v>
      </c>
      <c r="U846" s="27"/>
      <c r="V846" s="27"/>
      <c r="W846" s="58">
        <f t="shared" si="548"/>
        <v>15141</v>
      </c>
      <c r="X846" s="31">
        <f>V846/100*S846</f>
        <v>0</v>
      </c>
      <c r="Y846" t="b">
        <f>IF(AND(V846&gt;0,N846=V846),TRUE,FALSE)</f>
        <v>0</v>
      </c>
      <c r="Z846" s="78">
        <f>IF(C846="Einnahmen",Q846,-Q846)</f>
        <v>15141</v>
      </c>
      <c r="AB846" t="b">
        <f t="shared" si="514"/>
        <v>1</v>
      </c>
    </row>
    <row r="847" spans="1:28" x14ac:dyDescent="0.25">
      <c r="A847" s="53">
        <v>2022</v>
      </c>
      <c r="B847" s="53">
        <v>181</v>
      </c>
      <c r="C847" s="71" t="s">
        <v>105</v>
      </c>
      <c r="D847" t="s">
        <v>692</v>
      </c>
      <c r="E847" s="9" t="s">
        <v>1708</v>
      </c>
      <c r="G847" s="1">
        <v>44886</v>
      </c>
      <c r="H847" t="s">
        <v>1709</v>
      </c>
      <c r="K847" t="b">
        <f t="shared" si="551"/>
        <v>0</v>
      </c>
      <c r="L847" s="48">
        <v>285</v>
      </c>
      <c r="M847" s="72">
        <v>1</v>
      </c>
      <c r="N847">
        <v>0</v>
      </c>
      <c r="O847" s="31">
        <f t="shared" si="549"/>
        <v>0</v>
      </c>
      <c r="P847" s="31">
        <f t="shared" si="550"/>
        <v>0</v>
      </c>
      <c r="Q847" s="33">
        <f t="shared" ref="Q847:Q857" si="552">L847*M847</f>
        <v>285</v>
      </c>
      <c r="R847" s="29">
        <f t="shared" ref="R847:R857" si="553">L847+O847</f>
        <v>285</v>
      </c>
      <c r="S847" s="29">
        <f t="shared" ref="S847:S856" si="554">Q847+P847</f>
        <v>285</v>
      </c>
      <c r="T847" s="35">
        <f t="shared" si="510"/>
        <v>44972</v>
      </c>
      <c r="U847" s="27"/>
      <c r="V847" s="27">
        <v>20</v>
      </c>
      <c r="W847" s="58">
        <f t="shared" si="548"/>
        <v>285</v>
      </c>
      <c r="X847" s="31">
        <f t="shared" ref="X847:X857" si="555">V847/100*S847</f>
        <v>57</v>
      </c>
      <c r="Y847" t="b">
        <f t="shared" ref="Y847:Y857" si="556">IF(AND(V847&gt;0,N847=V847),TRUE,FALSE)</f>
        <v>0</v>
      </c>
      <c r="Z847" s="78">
        <f t="shared" ref="Z847:Z857" si="557">IF(C847="Einnahmen",Q847,-Q847)</f>
        <v>-285</v>
      </c>
      <c r="AB847" t="b">
        <f t="shared" si="514"/>
        <v>1</v>
      </c>
    </row>
    <row r="848" spans="1:28" x14ac:dyDescent="0.25">
      <c r="A848" s="53">
        <v>2022</v>
      </c>
      <c r="B848" s="53">
        <v>182</v>
      </c>
      <c r="C848" s="71" t="s">
        <v>105</v>
      </c>
      <c r="D848" t="s">
        <v>705</v>
      </c>
      <c r="E848" s="6"/>
      <c r="G848" s="1">
        <v>44884</v>
      </c>
      <c r="H848" t="s">
        <v>1032</v>
      </c>
      <c r="K848" t="b">
        <f t="shared" si="551"/>
        <v>0</v>
      </c>
      <c r="L848" s="48">
        <v>10.5</v>
      </c>
      <c r="M848" s="72">
        <v>1</v>
      </c>
      <c r="N848">
        <v>0</v>
      </c>
      <c r="O848" s="31">
        <f t="shared" si="549"/>
        <v>0</v>
      </c>
      <c r="P848" s="31">
        <f t="shared" si="550"/>
        <v>0</v>
      </c>
      <c r="Q848" s="33">
        <f t="shared" si="552"/>
        <v>10.5</v>
      </c>
      <c r="R848" s="29">
        <f t="shared" si="553"/>
        <v>10.5</v>
      </c>
      <c r="S848" s="29">
        <f t="shared" si="554"/>
        <v>10.5</v>
      </c>
      <c r="T848" s="35">
        <f t="shared" si="510"/>
        <v>44972</v>
      </c>
      <c r="U848" s="27"/>
      <c r="V848" s="27">
        <v>20</v>
      </c>
      <c r="W848" s="58">
        <f>IF(K848=TRUE,Q848/J848,Q848)</f>
        <v>10.5</v>
      </c>
      <c r="X848" s="31">
        <f t="shared" si="555"/>
        <v>2.1</v>
      </c>
      <c r="Y848" t="b">
        <f t="shared" si="556"/>
        <v>0</v>
      </c>
      <c r="Z848" s="78">
        <f t="shared" si="557"/>
        <v>-10.5</v>
      </c>
      <c r="AB848" t="b">
        <f t="shared" si="514"/>
        <v>1</v>
      </c>
    </row>
    <row r="849" spans="1:28" x14ac:dyDescent="0.25">
      <c r="A849" s="53">
        <v>2022</v>
      </c>
      <c r="B849" s="53">
        <v>183</v>
      </c>
      <c r="C849" s="71" t="s">
        <v>105</v>
      </c>
      <c r="D849" t="s">
        <v>703</v>
      </c>
      <c r="E849" s="131" t="s">
        <v>1710</v>
      </c>
      <c r="G849" s="1">
        <v>44887</v>
      </c>
      <c r="H849" t="s">
        <v>1148</v>
      </c>
      <c r="K849" t="b">
        <f t="shared" si="551"/>
        <v>0</v>
      </c>
      <c r="L849" s="48">
        <v>31.92</v>
      </c>
      <c r="M849" s="72">
        <v>1</v>
      </c>
      <c r="N849">
        <v>20</v>
      </c>
      <c r="O849" s="31">
        <f t="shared" si="549"/>
        <v>6.3840000000000012</v>
      </c>
      <c r="P849" s="31">
        <f t="shared" si="550"/>
        <v>6.3840000000000012</v>
      </c>
      <c r="Q849" s="33">
        <f t="shared" si="552"/>
        <v>31.92</v>
      </c>
      <c r="R849" s="29">
        <f t="shared" si="553"/>
        <v>38.304000000000002</v>
      </c>
      <c r="S849" s="29">
        <f t="shared" si="554"/>
        <v>38.304000000000002</v>
      </c>
      <c r="T849" s="35">
        <f t="shared" si="510"/>
        <v>44972</v>
      </c>
      <c r="U849" s="27"/>
      <c r="V849" s="27"/>
      <c r="W849" s="58">
        <f>IF(K849=TRUE,Q849/I849,Q849)</f>
        <v>31.92</v>
      </c>
      <c r="X849" s="31">
        <f t="shared" si="555"/>
        <v>0</v>
      </c>
      <c r="Y849" t="b">
        <f t="shared" si="556"/>
        <v>0</v>
      </c>
      <c r="Z849" s="78">
        <f t="shared" si="557"/>
        <v>-31.92</v>
      </c>
      <c r="AB849" t="b">
        <f t="shared" si="514"/>
        <v>1</v>
      </c>
    </row>
    <row r="850" spans="1:28" x14ac:dyDescent="0.25">
      <c r="A850" s="53">
        <v>2022</v>
      </c>
      <c r="B850" s="53">
        <v>184</v>
      </c>
      <c r="C850" s="71" t="s">
        <v>105</v>
      </c>
      <c r="D850" t="s">
        <v>683</v>
      </c>
      <c r="G850" s="1">
        <v>44887</v>
      </c>
      <c r="H850" t="s">
        <v>1238</v>
      </c>
      <c r="K850" t="b">
        <f t="shared" si="551"/>
        <v>0</v>
      </c>
      <c r="L850" s="109">
        <v>44.79</v>
      </c>
      <c r="M850" s="72">
        <v>1</v>
      </c>
      <c r="N850">
        <v>20</v>
      </c>
      <c r="O850" s="31">
        <f t="shared" si="549"/>
        <v>8.9580000000000002</v>
      </c>
      <c r="P850" s="31">
        <f t="shared" si="550"/>
        <v>8.9580000000000002</v>
      </c>
      <c r="Q850" s="33">
        <f t="shared" si="552"/>
        <v>44.79</v>
      </c>
      <c r="R850" s="29">
        <f t="shared" si="553"/>
        <v>53.747999999999998</v>
      </c>
      <c r="S850" s="29">
        <f t="shared" si="554"/>
        <v>53.747999999999998</v>
      </c>
      <c r="T850" s="35">
        <f t="shared" si="510"/>
        <v>44972</v>
      </c>
      <c r="U850" s="27"/>
      <c r="V850" s="27"/>
      <c r="W850" s="58">
        <f>IF(K850=TRUE,Q850/I850,Q850)</f>
        <v>44.79</v>
      </c>
      <c r="X850" s="31">
        <f t="shared" si="555"/>
        <v>0</v>
      </c>
      <c r="Y850" t="b">
        <f t="shared" si="556"/>
        <v>0</v>
      </c>
      <c r="Z850" s="78">
        <f t="shared" si="557"/>
        <v>-44.79</v>
      </c>
      <c r="AB850" t="b">
        <f t="shared" si="514"/>
        <v>1</v>
      </c>
    </row>
    <row r="851" spans="1:28" x14ac:dyDescent="0.25">
      <c r="A851" s="53">
        <v>2022</v>
      </c>
      <c r="B851" s="53">
        <v>185</v>
      </c>
      <c r="C851" s="71" t="s">
        <v>105</v>
      </c>
      <c r="D851" t="s">
        <v>695</v>
      </c>
      <c r="E851" s="9" t="s">
        <v>1711</v>
      </c>
      <c r="G851" s="1">
        <v>44894</v>
      </c>
      <c r="H851" t="s">
        <v>952</v>
      </c>
      <c r="K851" t="b">
        <f t="shared" si="551"/>
        <v>0</v>
      </c>
      <c r="L851" s="48">
        <v>5683.5</v>
      </c>
      <c r="M851" s="72">
        <v>1</v>
      </c>
      <c r="N851">
        <v>0</v>
      </c>
      <c r="O851" s="31">
        <f t="shared" ref="O851:O857" si="558">L851*N851/100</f>
        <v>0</v>
      </c>
      <c r="P851" s="31">
        <f t="shared" ref="P851:P857" si="559">M851*O851</f>
        <v>0</v>
      </c>
      <c r="Q851" s="33">
        <f t="shared" si="552"/>
        <v>5683.5</v>
      </c>
      <c r="R851" s="29">
        <f t="shared" si="553"/>
        <v>5683.5</v>
      </c>
      <c r="S851" s="29">
        <f t="shared" si="554"/>
        <v>5683.5</v>
      </c>
      <c r="T851" s="35">
        <f t="shared" si="510"/>
        <v>44972</v>
      </c>
      <c r="U851" s="27"/>
      <c r="V851" s="27"/>
      <c r="W851" s="58">
        <f>IF(K851=TRUE,Q851/J851,Q851)</f>
        <v>5683.5</v>
      </c>
      <c r="X851" s="31">
        <f t="shared" si="555"/>
        <v>0</v>
      </c>
      <c r="Y851" t="b">
        <f t="shared" si="556"/>
        <v>0</v>
      </c>
      <c r="Z851" s="78">
        <f t="shared" si="557"/>
        <v>-5683.5</v>
      </c>
      <c r="AB851" t="b">
        <f t="shared" si="514"/>
        <v>1</v>
      </c>
    </row>
    <row r="852" spans="1:28" x14ac:dyDescent="0.25">
      <c r="A852" s="53">
        <v>2022</v>
      </c>
      <c r="B852" s="53">
        <v>186</v>
      </c>
      <c r="C852" s="71" t="s">
        <v>105</v>
      </c>
      <c r="D852" t="s">
        <v>691</v>
      </c>
      <c r="G852" s="1">
        <v>44896</v>
      </c>
      <c r="H852" t="s">
        <v>1113</v>
      </c>
      <c r="K852" t="b">
        <v>0</v>
      </c>
      <c r="L852" s="109">
        <f>606.78/1.2</f>
        <v>505.65</v>
      </c>
      <c r="M852" s="72">
        <v>1</v>
      </c>
      <c r="N852">
        <v>20</v>
      </c>
      <c r="O852" s="31">
        <f t="shared" si="558"/>
        <v>101.13</v>
      </c>
      <c r="P852" s="31">
        <f t="shared" si="559"/>
        <v>101.13</v>
      </c>
      <c r="Q852" s="33">
        <f t="shared" si="552"/>
        <v>505.65</v>
      </c>
      <c r="R852" s="29">
        <f t="shared" si="553"/>
        <v>606.78</v>
      </c>
      <c r="S852" s="29">
        <f t="shared" si="554"/>
        <v>606.78</v>
      </c>
      <c r="T852" s="35">
        <f t="shared" si="510"/>
        <v>44972</v>
      </c>
      <c r="U852" s="27"/>
      <c r="V852" s="27"/>
      <c r="W852" s="58">
        <f>IF(K852=TRUE,Q852/J852,Q852)</f>
        <v>505.65</v>
      </c>
      <c r="X852" s="31">
        <f t="shared" si="555"/>
        <v>0</v>
      </c>
      <c r="Y852" t="b">
        <f t="shared" si="556"/>
        <v>0</v>
      </c>
      <c r="Z852" s="78">
        <f t="shared" si="557"/>
        <v>-505.65</v>
      </c>
      <c r="AB852" t="b">
        <f t="shared" si="514"/>
        <v>1</v>
      </c>
    </row>
    <row r="853" spans="1:28" x14ac:dyDescent="0.25">
      <c r="A853" s="53">
        <v>2022</v>
      </c>
      <c r="B853" s="53">
        <v>187</v>
      </c>
      <c r="C853" s="71" t="s">
        <v>105</v>
      </c>
      <c r="D853" t="s">
        <v>689</v>
      </c>
      <c r="E853" s="131"/>
      <c r="G853" s="1">
        <v>44897</v>
      </c>
      <c r="H853" t="s">
        <v>974</v>
      </c>
      <c r="K853" t="b">
        <v>0</v>
      </c>
      <c r="L853" s="48">
        <v>10.119999999999999</v>
      </c>
      <c r="M853" s="72">
        <v>1</v>
      </c>
      <c r="N853">
        <v>20</v>
      </c>
      <c r="O853" s="31">
        <f t="shared" si="558"/>
        <v>2.0239999999999996</v>
      </c>
      <c r="P853" s="31">
        <f t="shared" si="559"/>
        <v>2.0239999999999996</v>
      </c>
      <c r="Q853" s="33">
        <f t="shared" si="552"/>
        <v>10.119999999999999</v>
      </c>
      <c r="R853" s="29">
        <f t="shared" si="553"/>
        <v>12.143999999999998</v>
      </c>
      <c r="S853" s="29">
        <f t="shared" si="554"/>
        <v>12.143999999999998</v>
      </c>
      <c r="T853" s="35">
        <f t="shared" si="510"/>
        <v>44972</v>
      </c>
      <c r="U853" s="27"/>
      <c r="V853" s="27"/>
      <c r="W853" s="58">
        <f>IF(K853=TRUE,Q853/J853,Q853)</f>
        <v>10.119999999999999</v>
      </c>
      <c r="X853" s="31">
        <f t="shared" si="555"/>
        <v>0</v>
      </c>
      <c r="Y853" t="b">
        <f t="shared" si="556"/>
        <v>0</v>
      </c>
      <c r="Z853" s="78">
        <f t="shared" si="557"/>
        <v>-10.119999999999999</v>
      </c>
      <c r="AB853" t="b">
        <f t="shared" si="514"/>
        <v>1</v>
      </c>
    </row>
    <row r="854" spans="1:28" x14ac:dyDescent="0.25">
      <c r="A854" s="53">
        <v>2022</v>
      </c>
      <c r="B854" s="53">
        <v>188</v>
      </c>
      <c r="C854" s="71" t="s">
        <v>105</v>
      </c>
      <c r="D854" t="s">
        <v>703</v>
      </c>
      <c r="G854" s="1">
        <v>44897</v>
      </c>
      <c r="H854" t="s">
        <v>34</v>
      </c>
      <c r="K854" t="b">
        <f>(IF(AND(I854&lt;&gt;"",AND(J854="",ABS(Q854)&gt;400)),TRUE,FALSE))</f>
        <v>0</v>
      </c>
      <c r="L854" s="48">
        <v>15</v>
      </c>
      <c r="M854" s="72">
        <v>1</v>
      </c>
      <c r="N854">
        <v>20</v>
      </c>
      <c r="O854" s="31">
        <f t="shared" si="558"/>
        <v>3</v>
      </c>
      <c r="P854" s="31">
        <f t="shared" si="559"/>
        <v>3</v>
      </c>
      <c r="Q854" s="33">
        <f t="shared" si="552"/>
        <v>15</v>
      </c>
      <c r="R854" s="29">
        <f t="shared" si="553"/>
        <v>18</v>
      </c>
      <c r="S854" s="29">
        <f t="shared" si="554"/>
        <v>18</v>
      </c>
      <c r="T854" s="35">
        <f t="shared" si="510"/>
        <v>44972</v>
      </c>
      <c r="U854" s="27"/>
      <c r="V854" s="27"/>
      <c r="W854" s="58">
        <f>IF(K854=TRUE,Q854/I854,Q854)</f>
        <v>15</v>
      </c>
      <c r="X854" s="31">
        <f t="shared" si="555"/>
        <v>0</v>
      </c>
      <c r="Y854" t="b">
        <f t="shared" si="556"/>
        <v>0</v>
      </c>
      <c r="Z854" s="78">
        <f t="shared" si="557"/>
        <v>-15</v>
      </c>
      <c r="AB854" t="b">
        <f t="shared" si="514"/>
        <v>1</v>
      </c>
    </row>
    <row r="855" spans="1:28" x14ac:dyDescent="0.25">
      <c r="A855" s="53">
        <v>2022</v>
      </c>
      <c r="B855" s="53">
        <v>189</v>
      </c>
      <c r="C855" s="71" t="s">
        <v>105</v>
      </c>
      <c r="D855" t="s">
        <v>705</v>
      </c>
      <c r="G855" s="1">
        <v>44900</v>
      </c>
      <c r="H855" t="s">
        <v>1404</v>
      </c>
      <c r="K855" t="b">
        <v>0</v>
      </c>
      <c r="L855" s="109">
        <v>9.36</v>
      </c>
      <c r="M855" s="72">
        <v>1</v>
      </c>
      <c r="N855">
        <v>0</v>
      </c>
      <c r="O855" s="31">
        <f t="shared" si="558"/>
        <v>0</v>
      </c>
      <c r="P855" s="31">
        <f t="shared" si="559"/>
        <v>0</v>
      </c>
      <c r="Q855" s="33">
        <f t="shared" si="552"/>
        <v>9.36</v>
      </c>
      <c r="R855" s="29">
        <f t="shared" si="553"/>
        <v>9.36</v>
      </c>
      <c r="S855" s="29">
        <f t="shared" si="554"/>
        <v>9.36</v>
      </c>
      <c r="T855" s="35">
        <f t="shared" si="510"/>
        <v>44972</v>
      </c>
      <c r="U855" s="27"/>
      <c r="V855" s="27">
        <v>20</v>
      </c>
      <c r="W855" s="58">
        <f>IF(K855=TRUE,Q855/I855,Q855)</f>
        <v>9.36</v>
      </c>
      <c r="X855" s="31">
        <f t="shared" si="555"/>
        <v>1.8719999999999999</v>
      </c>
      <c r="Y855" t="b">
        <f t="shared" si="556"/>
        <v>0</v>
      </c>
      <c r="Z855" s="78">
        <f t="shared" si="557"/>
        <v>-9.36</v>
      </c>
      <c r="AB855" t="b">
        <f t="shared" si="514"/>
        <v>1</v>
      </c>
    </row>
    <row r="856" spans="1:28" x14ac:dyDescent="0.25">
      <c r="A856" s="53">
        <v>2022</v>
      </c>
      <c r="B856" s="53">
        <v>190</v>
      </c>
      <c r="C856" s="71" t="s">
        <v>105</v>
      </c>
      <c r="D856" t="s">
        <v>705</v>
      </c>
      <c r="E856" s="153" t="s">
        <v>1698</v>
      </c>
      <c r="G856" s="1">
        <v>44900</v>
      </c>
      <c r="H856" t="s">
        <v>1670</v>
      </c>
      <c r="K856" t="b">
        <f>(IF(AND(I856&lt;&gt;"",AND(J856="",ABS(Q856)&gt;400)),TRUE,FALSE))</f>
        <v>0</v>
      </c>
      <c r="L856" s="109">
        <v>2.5</v>
      </c>
      <c r="M856" s="72">
        <v>1</v>
      </c>
      <c r="N856">
        <v>20</v>
      </c>
      <c r="O856" s="31">
        <f t="shared" si="558"/>
        <v>0.5</v>
      </c>
      <c r="P856" s="31">
        <f t="shared" si="559"/>
        <v>0.5</v>
      </c>
      <c r="Q856" s="33">
        <f t="shared" si="552"/>
        <v>2.5</v>
      </c>
      <c r="R856" s="29">
        <f t="shared" si="553"/>
        <v>3</v>
      </c>
      <c r="S856" s="29">
        <f t="shared" si="554"/>
        <v>3</v>
      </c>
      <c r="T856" s="35">
        <f t="shared" si="510"/>
        <v>44972</v>
      </c>
      <c r="U856" s="27"/>
      <c r="V856" s="27"/>
      <c r="W856" s="58">
        <f t="shared" ref="W856:W862" si="560">IF(K856=TRUE,Q856/J856,Q856)</f>
        <v>2.5</v>
      </c>
      <c r="X856" s="31">
        <f t="shared" si="555"/>
        <v>0</v>
      </c>
      <c r="Y856" t="b">
        <f t="shared" si="556"/>
        <v>0</v>
      </c>
      <c r="Z856" s="78">
        <f t="shared" si="557"/>
        <v>-2.5</v>
      </c>
      <c r="AB856" t="b">
        <f t="shared" si="514"/>
        <v>1</v>
      </c>
    </row>
    <row r="857" spans="1:28" x14ac:dyDescent="0.25">
      <c r="A857" s="53">
        <v>2022</v>
      </c>
      <c r="B857" s="53">
        <v>191</v>
      </c>
      <c r="C857" s="71" t="s">
        <v>105</v>
      </c>
      <c r="D857" t="s">
        <v>691</v>
      </c>
      <c r="E857" s="61" t="s">
        <v>1064</v>
      </c>
      <c r="G857" s="1">
        <v>44900</v>
      </c>
      <c r="H857" t="s">
        <v>1558</v>
      </c>
      <c r="K857" t="b">
        <v>0</v>
      </c>
      <c r="L857" s="109">
        <v>122.6</v>
      </c>
      <c r="M857" s="72">
        <v>1</v>
      </c>
      <c r="N857">
        <v>20</v>
      </c>
      <c r="O857" s="31">
        <f t="shared" si="558"/>
        <v>24.52</v>
      </c>
      <c r="P857" s="31">
        <f t="shared" si="559"/>
        <v>24.52</v>
      </c>
      <c r="Q857" s="33">
        <f t="shared" si="552"/>
        <v>122.6</v>
      </c>
      <c r="R857" s="29">
        <f t="shared" si="553"/>
        <v>147.12</v>
      </c>
      <c r="S857" s="29">
        <f>Q857+P857</f>
        <v>147.12</v>
      </c>
      <c r="T857" s="35">
        <f t="shared" ref="T857:T873" si="561">voranmeldefrist_vierteljaehrlich(G857)</f>
        <v>44972</v>
      </c>
      <c r="U857" s="27"/>
      <c r="V857" s="27"/>
      <c r="W857" s="58">
        <f t="shared" si="560"/>
        <v>122.6</v>
      </c>
      <c r="X857" s="31">
        <f t="shared" si="555"/>
        <v>0</v>
      </c>
      <c r="Y857" t="b">
        <f t="shared" si="556"/>
        <v>0</v>
      </c>
      <c r="Z857" s="78">
        <f t="shared" si="557"/>
        <v>-122.6</v>
      </c>
      <c r="AB857" t="b">
        <f t="shared" si="514"/>
        <v>1</v>
      </c>
    </row>
    <row r="858" spans="1:28" x14ac:dyDescent="0.25">
      <c r="A858" s="53">
        <v>2022</v>
      </c>
      <c r="B858" s="53">
        <v>192</v>
      </c>
      <c r="C858" s="71" t="s">
        <v>105</v>
      </c>
      <c r="D858" t="s">
        <v>705</v>
      </c>
      <c r="E858" s="9" t="s">
        <v>1712</v>
      </c>
      <c r="G858" s="1">
        <v>44908</v>
      </c>
      <c r="H858" t="s">
        <v>1713</v>
      </c>
      <c r="K858" t="b">
        <v>0</v>
      </c>
      <c r="L858" s="109">
        <v>14</v>
      </c>
      <c r="M858" s="72">
        <v>1</v>
      </c>
      <c r="N858">
        <v>10</v>
      </c>
      <c r="O858" s="31">
        <f t="shared" ref="O858:O865" si="562">L858*N858/100</f>
        <v>1.4</v>
      </c>
      <c r="P858" s="31">
        <f t="shared" ref="P858:P865" si="563">M858*O858</f>
        <v>1.4</v>
      </c>
      <c r="Q858" s="33">
        <f t="shared" ref="Q858:Q865" si="564">L858*M858</f>
        <v>14</v>
      </c>
      <c r="R858" s="29">
        <f t="shared" ref="R858:R865" si="565">L858+O858</f>
        <v>15.4</v>
      </c>
      <c r="S858" s="29">
        <f t="shared" ref="S858:S865" si="566">Q858+P858</f>
        <v>15.4</v>
      </c>
      <c r="T858" s="35">
        <f t="shared" si="561"/>
        <v>44972</v>
      </c>
      <c r="U858" s="27"/>
      <c r="V858" s="27"/>
      <c r="W858" s="58">
        <f t="shared" si="560"/>
        <v>14</v>
      </c>
      <c r="X858" s="31">
        <f t="shared" ref="X858:X865" si="567">V858/100*S858</f>
        <v>0</v>
      </c>
      <c r="Y858" t="b">
        <f t="shared" ref="Y858:Y865" si="568">IF(AND(V858&gt;0,N858=V858),TRUE,FALSE)</f>
        <v>0</v>
      </c>
      <c r="Z858" s="78">
        <f t="shared" ref="Z858:Z865" si="569">IF(C858="Einnahmen",Q858,-Q858)</f>
        <v>-14</v>
      </c>
      <c r="AB858" t="b">
        <f t="shared" si="514"/>
        <v>1</v>
      </c>
    </row>
    <row r="859" spans="1:28" x14ac:dyDescent="0.25">
      <c r="A859" s="53">
        <v>2022</v>
      </c>
      <c r="B859" s="53">
        <v>193</v>
      </c>
      <c r="C859" s="71" t="s">
        <v>105</v>
      </c>
      <c r="D859" t="s">
        <v>705</v>
      </c>
      <c r="G859" s="1">
        <v>44908</v>
      </c>
      <c r="H859" t="s">
        <v>927</v>
      </c>
      <c r="K859" t="b">
        <f>(IF(AND(I859&lt;&gt;"",AND(J859="",ABS(Q859)&gt;400)),TRUE,FALSE))</f>
        <v>0</v>
      </c>
      <c r="L859" s="48">
        <v>47.776499999999999</v>
      </c>
      <c r="M859" s="72">
        <v>1</v>
      </c>
      <c r="N859">
        <v>0</v>
      </c>
      <c r="O859" s="31">
        <f t="shared" si="562"/>
        <v>0</v>
      </c>
      <c r="P859" s="31">
        <f t="shared" si="563"/>
        <v>0</v>
      </c>
      <c r="Q859" s="33">
        <f t="shared" si="564"/>
        <v>47.776499999999999</v>
      </c>
      <c r="R859" s="29">
        <f t="shared" si="565"/>
        <v>47.776499999999999</v>
      </c>
      <c r="S859" s="29">
        <f t="shared" si="566"/>
        <v>47.776499999999999</v>
      </c>
      <c r="T859" s="35">
        <f t="shared" si="561"/>
        <v>44972</v>
      </c>
      <c r="U859" s="27"/>
      <c r="V859" s="27">
        <v>20</v>
      </c>
      <c r="W859" s="58">
        <f t="shared" si="560"/>
        <v>47.776499999999999</v>
      </c>
      <c r="X859" s="31">
        <f t="shared" si="567"/>
        <v>9.5553000000000008</v>
      </c>
      <c r="Y859" t="b">
        <f t="shared" si="568"/>
        <v>0</v>
      </c>
      <c r="Z859" s="78">
        <f t="shared" si="569"/>
        <v>-47.776499999999999</v>
      </c>
      <c r="AB859" t="b">
        <f t="shared" ref="AB859:AB874" si="570">S859=L859*(100+N859)%</f>
        <v>1</v>
      </c>
    </row>
    <row r="860" spans="1:28" x14ac:dyDescent="0.25">
      <c r="A860" s="53">
        <v>2022</v>
      </c>
      <c r="B860" s="53">
        <v>194</v>
      </c>
      <c r="C860" s="71" t="s">
        <v>105</v>
      </c>
      <c r="D860" t="s">
        <v>685</v>
      </c>
      <c r="E860" s="9" t="s">
        <v>1699</v>
      </c>
      <c r="G860" s="1">
        <v>44910</v>
      </c>
      <c r="H860" t="s">
        <v>1689</v>
      </c>
      <c r="K860" t="b">
        <f>(IF(AND(I860&lt;&gt;"",AND(J860="",ABS(Q860)&gt;400)),TRUE,FALSE))</f>
        <v>0</v>
      </c>
      <c r="L860" s="48">
        <v>365</v>
      </c>
      <c r="M860" s="72">
        <v>1</v>
      </c>
      <c r="N860">
        <v>0</v>
      </c>
      <c r="O860" s="31">
        <f t="shared" si="562"/>
        <v>0</v>
      </c>
      <c r="P860" s="31">
        <f t="shared" si="563"/>
        <v>0</v>
      </c>
      <c r="Q860" s="33">
        <f t="shared" si="564"/>
        <v>365</v>
      </c>
      <c r="R860" s="29">
        <f t="shared" si="565"/>
        <v>365</v>
      </c>
      <c r="S860" s="29">
        <f t="shared" si="566"/>
        <v>365</v>
      </c>
      <c r="T860" s="35">
        <f t="shared" si="561"/>
        <v>44972</v>
      </c>
      <c r="U860" s="27"/>
      <c r="V860" s="27"/>
      <c r="W860" s="58">
        <f t="shared" si="560"/>
        <v>365</v>
      </c>
      <c r="X860" s="31">
        <f t="shared" si="567"/>
        <v>0</v>
      </c>
      <c r="Y860" t="b">
        <f t="shared" si="568"/>
        <v>0</v>
      </c>
      <c r="Z860" s="78">
        <f t="shared" si="569"/>
        <v>-365</v>
      </c>
      <c r="AB860" t="b">
        <f t="shared" si="570"/>
        <v>1</v>
      </c>
    </row>
    <row r="861" spans="1:28" x14ac:dyDescent="0.25">
      <c r="A861" s="53">
        <v>2022</v>
      </c>
      <c r="B861" s="53">
        <v>195</v>
      </c>
      <c r="C861" s="71" t="s">
        <v>105</v>
      </c>
      <c r="D861" t="s">
        <v>691</v>
      </c>
      <c r="G861" s="1">
        <v>44911</v>
      </c>
      <c r="H861" t="s">
        <v>1113</v>
      </c>
      <c r="K861" t="b">
        <v>0</v>
      </c>
      <c r="L861" s="109">
        <v>161.59</v>
      </c>
      <c r="M861" s="72">
        <v>1</v>
      </c>
      <c r="N861">
        <v>0</v>
      </c>
      <c r="O861" s="31">
        <f t="shared" si="562"/>
        <v>0</v>
      </c>
      <c r="P861" s="31">
        <f t="shared" si="563"/>
        <v>0</v>
      </c>
      <c r="Q861" s="33">
        <f t="shared" si="564"/>
        <v>161.59</v>
      </c>
      <c r="R861" s="29">
        <f t="shared" si="565"/>
        <v>161.59</v>
      </c>
      <c r="S861" s="29">
        <f t="shared" si="566"/>
        <v>161.59</v>
      </c>
      <c r="T861" s="35">
        <f t="shared" si="561"/>
        <v>44972</v>
      </c>
      <c r="U861" s="27"/>
      <c r="V861" s="27"/>
      <c r="W861" s="58">
        <f t="shared" si="560"/>
        <v>161.59</v>
      </c>
      <c r="X861" s="31">
        <f t="shared" si="567"/>
        <v>0</v>
      </c>
      <c r="Y861" t="b">
        <f t="shared" si="568"/>
        <v>0</v>
      </c>
      <c r="Z861" s="78">
        <f t="shared" si="569"/>
        <v>-161.59</v>
      </c>
      <c r="AB861" t="b">
        <f t="shared" si="570"/>
        <v>1</v>
      </c>
    </row>
    <row r="862" spans="1:28" x14ac:dyDescent="0.25">
      <c r="A862" s="53">
        <v>2022</v>
      </c>
      <c r="B862" s="53">
        <v>196</v>
      </c>
      <c r="C862" s="71" t="s">
        <v>708</v>
      </c>
      <c r="D862" t="s">
        <v>709</v>
      </c>
      <c r="E862">
        <v>168046740</v>
      </c>
      <c r="G862" s="1">
        <v>44911</v>
      </c>
      <c r="H862" t="s">
        <v>1652</v>
      </c>
      <c r="K862" t="b">
        <f>(IF(AND(I862&lt;&gt;"",AND(J862="",ABS(Q862)&gt;400)),TRUE,FALSE))</f>
        <v>0</v>
      </c>
      <c r="L862" s="48">
        <v>12222</v>
      </c>
      <c r="M862" s="72">
        <v>1</v>
      </c>
      <c r="N862">
        <v>20</v>
      </c>
      <c r="O862" s="31">
        <f t="shared" si="562"/>
        <v>2444.4</v>
      </c>
      <c r="P862" s="31">
        <f t="shared" si="563"/>
        <v>2444.4</v>
      </c>
      <c r="Q862" s="33">
        <f t="shared" si="564"/>
        <v>12222</v>
      </c>
      <c r="R862" s="29">
        <f t="shared" si="565"/>
        <v>14666.4</v>
      </c>
      <c r="S862" s="29">
        <f t="shared" si="566"/>
        <v>14666.4</v>
      </c>
      <c r="T862" s="35">
        <f t="shared" si="561"/>
        <v>44972</v>
      </c>
      <c r="U862" s="27"/>
      <c r="V862" s="27"/>
      <c r="W862" s="58">
        <f t="shared" si="560"/>
        <v>12222</v>
      </c>
      <c r="X862" s="31">
        <f t="shared" si="567"/>
        <v>0</v>
      </c>
      <c r="Y862" t="b">
        <f t="shared" si="568"/>
        <v>0</v>
      </c>
      <c r="Z862" s="78">
        <f t="shared" si="569"/>
        <v>12222</v>
      </c>
      <c r="AB862" t="b">
        <f t="shared" si="570"/>
        <v>1</v>
      </c>
    </row>
    <row r="863" spans="1:28" x14ac:dyDescent="0.25">
      <c r="A863" s="53">
        <v>2022</v>
      </c>
      <c r="B863" s="53">
        <v>197</v>
      </c>
      <c r="C863" s="71" t="s">
        <v>105</v>
      </c>
      <c r="D863" t="s">
        <v>339</v>
      </c>
      <c r="E863" s="9" t="s">
        <v>1714</v>
      </c>
      <c r="G863" s="1">
        <v>44914</v>
      </c>
      <c r="H863" t="s">
        <v>981</v>
      </c>
      <c r="K863" t="b">
        <v>0</v>
      </c>
      <c r="L863" s="109">
        <v>16.8</v>
      </c>
      <c r="M863" s="72">
        <v>1</v>
      </c>
      <c r="N863">
        <v>20</v>
      </c>
      <c r="O863" s="31">
        <f t="shared" si="562"/>
        <v>3.36</v>
      </c>
      <c r="P863" s="31">
        <f t="shared" si="563"/>
        <v>3.36</v>
      </c>
      <c r="Q863" s="33">
        <f t="shared" si="564"/>
        <v>16.8</v>
      </c>
      <c r="R863" s="29">
        <f t="shared" si="565"/>
        <v>20.16</v>
      </c>
      <c r="S863" s="29">
        <f t="shared" si="566"/>
        <v>20.16</v>
      </c>
      <c r="T863" s="35">
        <f t="shared" si="561"/>
        <v>44972</v>
      </c>
      <c r="U863" s="27"/>
      <c r="V863" s="27"/>
      <c r="W863" s="58">
        <f>IF(K863=TRUE,Q863/I863,Q863)</f>
        <v>16.8</v>
      </c>
      <c r="X863" s="31">
        <f t="shared" si="567"/>
        <v>0</v>
      </c>
      <c r="Y863" t="b">
        <f t="shared" si="568"/>
        <v>0</v>
      </c>
      <c r="Z863" s="78">
        <f t="shared" si="569"/>
        <v>-16.8</v>
      </c>
      <c r="AB863" t="b">
        <f t="shared" si="570"/>
        <v>1</v>
      </c>
    </row>
    <row r="864" spans="1:28" x14ac:dyDescent="0.25">
      <c r="A864" s="53">
        <v>2022</v>
      </c>
      <c r="B864" s="53">
        <v>198</v>
      </c>
      <c r="C864" s="71" t="s">
        <v>105</v>
      </c>
      <c r="D864" t="s">
        <v>705</v>
      </c>
      <c r="E864"/>
      <c r="G864" s="1">
        <v>44914</v>
      </c>
      <c r="H864" t="s">
        <v>1032</v>
      </c>
      <c r="K864" t="b">
        <f>(IF(AND(I864&lt;&gt;"",AND(J864="",ABS(Q864)&gt;400)),TRUE,FALSE))</f>
        <v>0</v>
      </c>
      <c r="L864" s="109">
        <v>10.5</v>
      </c>
      <c r="M864" s="72">
        <v>1</v>
      </c>
      <c r="N864">
        <v>0</v>
      </c>
      <c r="O864" s="31">
        <f t="shared" si="562"/>
        <v>0</v>
      </c>
      <c r="P864" s="31">
        <f t="shared" si="563"/>
        <v>0</v>
      </c>
      <c r="Q864" s="33">
        <f t="shared" si="564"/>
        <v>10.5</v>
      </c>
      <c r="R864" s="29">
        <f t="shared" si="565"/>
        <v>10.5</v>
      </c>
      <c r="S864" s="29">
        <f t="shared" si="566"/>
        <v>10.5</v>
      </c>
      <c r="T864" s="35">
        <f t="shared" si="561"/>
        <v>44972</v>
      </c>
      <c r="U864" s="27"/>
      <c r="V864" s="27">
        <v>20</v>
      </c>
      <c r="W864" s="58">
        <f>IF(K864=TRUE,Q864/J864,Q864)</f>
        <v>10.5</v>
      </c>
      <c r="X864" s="31">
        <f t="shared" si="567"/>
        <v>2.1</v>
      </c>
      <c r="Y864" t="b">
        <f t="shared" si="568"/>
        <v>0</v>
      </c>
      <c r="Z864" s="78">
        <f t="shared" si="569"/>
        <v>-10.5</v>
      </c>
      <c r="AB864" t="b">
        <f t="shared" si="570"/>
        <v>1</v>
      </c>
    </row>
    <row r="865" spans="1:28" x14ac:dyDescent="0.25">
      <c r="A865" s="53">
        <v>2022</v>
      </c>
      <c r="B865" s="53">
        <v>199</v>
      </c>
      <c r="C865" s="71" t="s">
        <v>105</v>
      </c>
      <c r="D865" t="s">
        <v>703</v>
      </c>
      <c r="E865" s="131" t="s">
        <v>1715</v>
      </c>
      <c r="G865" s="1">
        <v>44916</v>
      </c>
      <c r="H865" t="s">
        <v>1148</v>
      </c>
      <c r="K865" t="b">
        <f>(IF(AND(I865&lt;&gt;"",AND(J865="",ABS(Q865)&gt;400)),TRUE,FALSE))</f>
        <v>0</v>
      </c>
      <c r="L865" s="48">
        <v>31.92</v>
      </c>
      <c r="M865" s="72">
        <v>1</v>
      </c>
      <c r="N865">
        <v>20</v>
      </c>
      <c r="O865" s="31">
        <f t="shared" si="562"/>
        <v>6.3840000000000012</v>
      </c>
      <c r="P865" s="31">
        <f t="shared" si="563"/>
        <v>6.3840000000000012</v>
      </c>
      <c r="Q865" s="33">
        <f t="shared" si="564"/>
        <v>31.92</v>
      </c>
      <c r="R865" s="29">
        <f t="shared" si="565"/>
        <v>38.304000000000002</v>
      </c>
      <c r="S865" s="29">
        <f t="shared" si="566"/>
        <v>38.304000000000002</v>
      </c>
      <c r="T865" s="35">
        <f t="shared" si="561"/>
        <v>44972</v>
      </c>
      <c r="U865" s="27"/>
      <c r="V865" s="27"/>
      <c r="W865" s="58">
        <f>IF(K865=TRUE,Q865/I865,Q865)</f>
        <v>31.92</v>
      </c>
      <c r="X865" s="31">
        <f t="shared" si="567"/>
        <v>0</v>
      </c>
      <c r="Y865" t="b">
        <f t="shared" si="568"/>
        <v>0</v>
      </c>
      <c r="Z865" s="78">
        <f t="shared" si="569"/>
        <v>-31.92</v>
      </c>
      <c r="AB865" t="b">
        <f t="shared" si="570"/>
        <v>1</v>
      </c>
    </row>
    <row r="866" spans="1:28" x14ac:dyDescent="0.25">
      <c r="A866" s="53">
        <v>2022</v>
      </c>
      <c r="B866" s="53">
        <v>200</v>
      </c>
      <c r="C866" s="71" t="s">
        <v>105</v>
      </c>
      <c r="D866" t="s">
        <v>705</v>
      </c>
      <c r="G866" s="1">
        <v>44918</v>
      </c>
      <c r="H866" t="s">
        <v>927</v>
      </c>
      <c r="K866" t="b">
        <f>(IF(AND(I866&lt;&gt;"",AND(J866="",ABS(Q866)&gt;400)),TRUE,FALSE))</f>
        <v>0</v>
      </c>
      <c r="L866" s="48">
        <v>10</v>
      </c>
      <c r="M866" s="72">
        <v>1</v>
      </c>
      <c r="N866">
        <v>0</v>
      </c>
      <c r="O866" s="31">
        <f t="shared" ref="O866:O881" si="571">L866*N866/100</f>
        <v>0</v>
      </c>
      <c r="P866" s="31">
        <f t="shared" ref="P866:P881" si="572">M866*O866</f>
        <v>0</v>
      </c>
      <c r="Q866" s="33">
        <f t="shared" ref="Q866:Q881" si="573">L866*M866</f>
        <v>10</v>
      </c>
      <c r="R866" s="29">
        <f t="shared" ref="R866:R881" si="574">L866+O866</f>
        <v>10</v>
      </c>
      <c r="S866" s="29">
        <f>Q866+P866</f>
        <v>10</v>
      </c>
      <c r="T866" s="35">
        <f t="shared" si="561"/>
        <v>44972</v>
      </c>
      <c r="U866" s="27"/>
      <c r="V866" s="27">
        <v>20</v>
      </c>
      <c r="W866" s="58">
        <f>IF(K866=TRUE,Q866/J866,Q866)</f>
        <v>10</v>
      </c>
      <c r="X866" s="31">
        <f t="shared" ref="X866:X881" si="575">V866/100*S866</f>
        <v>2</v>
      </c>
      <c r="Y866" t="b">
        <f t="shared" ref="Y866:Y881" si="576">IF(AND(V866&gt;0,N866=V866),TRUE,FALSE)</f>
        <v>0</v>
      </c>
      <c r="Z866" s="78">
        <f t="shared" ref="Z866:Z881" si="577">IF(C866="Einnahmen",Q866,-Q866)</f>
        <v>-10</v>
      </c>
      <c r="AB866" t="b">
        <f t="shared" si="570"/>
        <v>1</v>
      </c>
    </row>
    <row r="867" spans="1:28" x14ac:dyDescent="0.25">
      <c r="A867" s="53">
        <v>2022</v>
      </c>
      <c r="B867" s="53">
        <v>201</v>
      </c>
      <c r="C867" s="71" t="s">
        <v>105</v>
      </c>
      <c r="D867" t="s">
        <v>705</v>
      </c>
      <c r="E867" s="61" t="s">
        <v>1064</v>
      </c>
      <c r="G867" s="1">
        <v>44922</v>
      </c>
      <c r="H867" t="s">
        <v>1466</v>
      </c>
      <c r="K867" t="b">
        <f>(IF(AND(I867&lt;&gt;"",AND(J867="",ABS(Q867)&gt;400)),TRUE,FALSE))</f>
        <v>0</v>
      </c>
      <c r="L867" s="48">
        <f>7.38/1.2</f>
        <v>6.15</v>
      </c>
      <c r="M867" s="72">
        <v>1</v>
      </c>
      <c r="N867">
        <v>20</v>
      </c>
      <c r="O867" s="31">
        <f t="shared" si="571"/>
        <v>1.23</v>
      </c>
      <c r="P867" s="31">
        <f t="shared" si="572"/>
        <v>1.23</v>
      </c>
      <c r="Q867" s="33">
        <f t="shared" si="573"/>
        <v>6.15</v>
      </c>
      <c r="R867" s="29">
        <f t="shared" si="574"/>
        <v>7.3800000000000008</v>
      </c>
      <c r="S867" s="29">
        <f>Q867+P867</f>
        <v>7.3800000000000008</v>
      </c>
      <c r="T867" s="35">
        <f t="shared" si="561"/>
        <v>44972</v>
      </c>
      <c r="U867" s="27"/>
      <c r="V867" s="27"/>
      <c r="W867" s="58">
        <f>IF(K867=TRUE,Q867/J867,Q867)</f>
        <v>6.15</v>
      </c>
      <c r="X867" s="31">
        <f t="shared" si="575"/>
        <v>0</v>
      </c>
      <c r="Y867" t="b">
        <f t="shared" si="576"/>
        <v>0</v>
      </c>
      <c r="Z867" s="78">
        <f t="shared" si="577"/>
        <v>-6.15</v>
      </c>
      <c r="AB867" t="b">
        <f t="shared" si="570"/>
        <v>1</v>
      </c>
    </row>
    <row r="868" spans="1:28" x14ac:dyDescent="0.25">
      <c r="A868" s="53">
        <v>2022</v>
      </c>
      <c r="B868" s="53">
        <v>202</v>
      </c>
      <c r="C868" s="71" t="s">
        <v>105</v>
      </c>
      <c r="D868" t="s">
        <v>695</v>
      </c>
      <c r="E868" s="9" t="s">
        <v>1711</v>
      </c>
      <c r="G868" s="1">
        <v>44924</v>
      </c>
      <c r="H868" t="s">
        <v>952</v>
      </c>
      <c r="K868" t="b">
        <f>(IF(AND(I868&lt;&gt;"",AND(J868="",ABS(Q868)&gt;400)),TRUE,FALSE))</f>
        <v>0</v>
      </c>
      <c r="L868" s="48">
        <v>15000</v>
      </c>
      <c r="M868" s="72">
        <v>1</v>
      </c>
      <c r="N868">
        <v>0</v>
      </c>
      <c r="O868" s="31">
        <f t="shared" si="571"/>
        <v>0</v>
      </c>
      <c r="P868" s="31">
        <f t="shared" si="572"/>
        <v>0</v>
      </c>
      <c r="Q868" s="33">
        <f t="shared" si="573"/>
        <v>15000</v>
      </c>
      <c r="R868" s="29">
        <f t="shared" si="574"/>
        <v>15000</v>
      </c>
      <c r="S868" s="29">
        <f t="shared" ref="S868:S880" si="578">Q868+P868</f>
        <v>15000</v>
      </c>
      <c r="T868" s="35">
        <f t="shared" si="561"/>
        <v>44972</v>
      </c>
      <c r="U868" s="27"/>
      <c r="V868" s="27"/>
      <c r="W868" s="58">
        <f>IF(K868=TRUE,Q868/J868,Q868)</f>
        <v>15000</v>
      </c>
      <c r="X868" s="31">
        <f t="shared" si="575"/>
        <v>0</v>
      </c>
      <c r="Y868" t="b">
        <f t="shared" si="576"/>
        <v>0</v>
      </c>
      <c r="Z868" s="78">
        <f t="shared" si="577"/>
        <v>-15000</v>
      </c>
      <c r="AB868" t="b">
        <f t="shared" si="570"/>
        <v>1</v>
      </c>
    </row>
    <row r="869" spans="1:28" x14ac:dyDescent="0.25">
      <c r="A869" s="53">
        <v>2022</v>
      </c>
      <c r="B869" s="53">
        <v>203</v>
      </c>
      <c r="C869" s="71" t="s">
        <v>105</v>
      </c>
      <c r="D869" t="s">
        <v>692</v>
      </c>
      <c r="E869" s="6"/>
      <c r="G869" s="1">
        <v>44926</v>
      </c>
      <c r="H869" s="154" t="s">
        <v>1716</v>
      </c>
      <c r="L869" s="48">
        <v>-20.28</v>
      </c>
      <c r="M869" s="72">
        <v>1</v>
      </c>
      <c r="N869">
        <v>0</v>
      </c>
      <c r="O869" s="31">
        <f t="shared" si="571"/>
        <v>0</v>
      </c>
      <c r="P869" s="31">
        <f t="shared" si="572"/>
        <v>0</v>
      </c>
      <c r="Q869" s="33">
        <f t="shared" si="573"/>
        <v>-20.28</v>
      </c>
      <c r="R869" s="29">
        <f t="shared" si="574"/>
        <v>-20.28</v>
      </c>
      <c r="S869" s="29">
        <f t="shared" si="578"/>
        <v>-20.28</v>
      </c>
      <c r="T869" s="35">
        <f t="shared" si="561"/>
        <v>44972</v>
      </c>
      <c r="U869" s="27"/>
      <c r="V869" s="27"/>
      <c r="W869" s="58">
        <f t="shared" ref="W869:W876" si="579">IF(K869=TRUE,Q869/I869,Q869)</f>
        <v>-20.28</v>
      </c>
      <c r="X869" s="31">
        <f t="shared" si="575"/>
        <v>0</v>
      </c>
      <c r="Y869" t="b">
        <f t="shared" si="576"/>
        <v>0</v>
      </c>
      <c r="Z869" s="78">
        <f t="shared" si="577"/>
        <v>20.28</v>
      </c>
      <c r="AB869" t="b">
        <f t="shared" si="570"/>
        <v>1</v>
      </c>
    </row>
    <row r="870" spans="1:28" x14ac:dyDescent="0.25">
      <c r="A870" s="53">
        <v>2022</v>
      </c>
      <c r="B870" s="53">
        <v>204</v>
      </c>
      <c r="C870" s="71" t="s">
        <v>105</v>
      </c>
      <c r="D870" t="s">
        <v>689</v>
      </c>
      <c r="G870" s="1">
        <v>44926</v>
      </c>
      <c r="H870" s="154" t="s">
        <v>1717</v>
      </c>
      <c r="L870" s="48">
        <v>-18.98</v>
      </c>
      <c r="M870" s="72">
        <v>1</v>
      </c>
      <c r="N870">
        <v>20</v>
      </c>
      <c r="O870" s="31">
        <f t="shared" si="571"/>
        <v>-3.7960000000000003</v>
      </c>
      <c r="P870" s="31">
        <f t="shared" si="572"/>
        <v>-3.7960000000000003</v>
      </c>
      <c r="Q870" s="33">
        <f t="shared" si="573"/>
        <v>-18.98</v>
      </c>
      <c r="R870" s="29">
        <f t="shared" si="574"/>
        <v>-22.776</v>
      </c>
      <c r="S870" s="29">
        <f t="shared" si="578"/>
        <v>-22.776</v>
      </c>
      <c r="T870" s="35">
        <f t="shared" si="561"/>
        <v>44972</v>
      </c>
      <c r="U870" s="27"/>
      <c r="V870" s="27"/>
      <c r="W870" s="58">
        <f t="shared" si="579"/>
        <v>-18.98</v>
      </c>
      <c r="X870" s="31">
        <f t="shared" si="575"/>
        <v>0</v>
      </c>
      <c r="Y870" t="b">
        <f t="shared" si="576"/>
        <v>0</v>
      </c>
      <c r="Z870" s="78">
        <f t="shared" si="577"/>
        <v>18.98</v>
      </c>
      <c r="AB870" t="b">
        <f t="shared" si="570"/>
        <v>1</v>
      </c>
    </row>
    <row r="871" spans="1:28" x14ac:dyDescent="0.25">
      <c r="A871" s="53">
        <v>2022</v>
      </c>
      <c r="B871" s="53">
        <v>205</v>
      </c>
      <c r="C871" s="71" t="s">
        <v>105</v>
      </c>
      <c r="D871" t="s">
        <v>705</v>
      </c>
      <c r="G871" s="1">
        <v>44926</v>
      </c>
      <c r="H871" s="154" t="s">
        <v>1718</v>
      </c>
      <c r="L871" s="109">
        <v>-9.36</v>
      </c>
      <c r="M871" s="72">
        <v>1</v>
      </c>
      <c r="N871">
        <v>0</v>
      </c>
      <c r="O871" s="31">
        <f t="shared" si="571"/>
        <v>0</v>
      </c>
      <c r="P871" s="31">
        <f t="shared" si="572"/>
        <v>0</v>
      </c>
      <c r="Q871" s="33">
        <f t="shared" si="573"/>
        <v>-9.36</v>
      </c>
      <c r="R871" s="29">
        <f t="shared" si="574"/>
        <v>-9.36</v>
      </c>
      <c r="S871" s="29">
        <f t="shared" si="578"/>
        <v>-9.36</v>
      </c>
      <c r="T871" s="35">
        <f t="shared" si="561"/>
        <v>44972</v>
      </c>
      <c r="U871" s="27"/>
      <c r="V871" s="27"/>
      <c r="W871" s="58">
        <f t="shared" si="579"/>
        <v>-9.36</v>
      </c>
      <c r="X871" s="31">
        <f t="shared" si="575"/>
        <v>0</v>
      </c>
      <c r="Y871" t="b">
        <f t="shared" si="576"/>
        <v>0</v>
      </c>
      <c r="Z871" s="78">
        <f t="shared" si="577"/>
        <v>9.36</v>
      </c>
      <c r="AB871" t="b">
        <f t="shared" si="570"/>
        <v>1</v>
      </c>
    </row>
    <row r="872" spans="1:28" x14ac:dyDescent="0.25">
      <c r="A872" s="53">
        <v>2022</v>
      </c>
      <c r="B872" s="53">
        <v>206</v>
      </c>
      <c r="C872" s="71" t="s">
        <v>105</v>
      </c>
      <c r="D872" t="s">
        <v>691</v>
      </c>
      <c r="G872" s="1">
        <v>44926</v>
      </c>
      <c r="H872" s="154" t="s">
        <v>1719</v>
      </c>
      <c r="L872" s="109">
        <f>-606.78/1.2</f>
        <v>-505.65</v>
      </c>
      <c r="M872" s="72">
        <v>1</v>
      </c>
      <c r="N872">
        <v>20</v>
      </c>
      <c r="O872" s="31">
        <f t="shared" si="571"/>
        <v>-101.13</v>
      </c>
      <c r="P872" s="31">
        <f t="shared" si="572"/>
        <v>-101.13</v>
      </c>
      <c r="Q872" s="33">
        <f t="shared" si="573"/>
        <v>-505.65</v>
      </c>
      <c r="R872" s="29">
        <f t="shared" si="574"/>
        <v>-606.78</v>
      </c>
      <c r="S872" s="29">
        <f t="shared" si="578"/>
        <v>-606.78</v>
      </c>
      <c r="T872" s="35">
        <f t="shared" si="561"/>
        <v>44972</v>
      </c>
      <c r="U872" s="27"/>
      <c r="V872" s="27"/>
      <c r="W872" s="58">
        <f t="shared" si="579"/>
        <v>-505.65</v>
      </c>
      <c r="X872" s="31">
        <f t="shared" si="575"/>
        <v>0</v>
      </c>
      <c r="Y872" t="b">
        <f t="shared" si="576"/>
        <v>0</v>
      </c>
      <c r="Z872" s="78">
        <f t="shared" si="577"/>
        <v>505.65</v>
      </c>
      <c r="AB872" t="b">
        <f t="shared" si="570"/>
        <v>1</v>
      </c>
    </row>
    <row r="873" spans="1:28" x14ac:dyDescent="0.25">
      <c r="A873" s="53">
        <v>2022</v>
      </c>
      <c r="B873" s="53">
        <v>207</v>
      </c>
      <c r="C873" s="71" t="s">
        <v>105</v>
      </c>
      <c r="D873" t="s">
        <v>703</v>
      </c>
      <c r="G873" s="1">
        <v>44926</v>
      </c>
      <c r="H873" s="154" t="s">
        <v>1720</v>
      </c>
      <c r="L873" s="48">
        <v>-15</v>
      </c>
      <c r="M873" s="72">
        <v>1</v>
      </c>
      <c r="N873">
        <v>20</v>
      </c>
      <c r="O873" s="31">
        <f t="shared" si="571"/>
        <v>-3</v>
      </c>
      <c r="P873" s="31">
        <f t="shared" si="572"/>
        <v>-3</v>
      </c>
      <c r="Q873" s="33">
        <f t="shared" si="573"/>
        <v>-15</v>
      </c>
      <c r="R873" s="29">
        <f t="shared" si="574"/>
        <v>-18</v>
      </c>
      <c r="S873" s="29">
        <f t="shared" si="578"/>
        <v>-18</v>
      </c>
      <c r="T873" s="35">
        <f t="shared" si="561"/>
        <v>44972</v>
      </c>
      <c r="U873" s="27"/>
      <c r="V873" s="27"/>
      <c r="W873" s="58">
        <f t="shared" si="579"/>
        <v>-15</v>
      </c>
      <c r="X873" s="31">
        <f t="shared" si="575"/>
        <v>0</v>
      </c>
      <c r="Y873" t="b">
        <f t="shared" si="576"/>
        <v>0</v>
      </c>
      <c r="Z873" s="78">
        <f t="shared" si="577"/>
        <v>15</v>
      </c>
      <c r="AB873" t="b">
        <f t="shared" si="570"/>
        <v>1</v>
      </c>
    </row>
    <row r="874" spans="1:28" x14ac:dyDescent="0.25">
      <c r="A874" s="53">
        <v>2022</v>
      </c>
      <c r="B874" s="53">
        <v>208</v>
      </c>
      <c r="C874" s="71" t="s">
        <v>105</v>
      </c>
      <c r="D874" t="s">
        <v>339</v>
      </c>
      <c r="E874" s="9" t="s">
        <v>1726</v>
      </c>
      <c r="G874" s="1">
        <v>44909</v>
      </c>
      <c r="H874" t="s">
        <v>1749</v>
      </c>
      <c r="K874" t="b">
        <f>(IF(AND(I874&lt;&gt;"",AND(J874="",ABS(Q874)&gt;400)),TRUE,FALSE))</f>
        <v>0</v>
      </c>
      <c r="L874" s="48">
        <f>8.68/1.2</f>
        <v>7.2333333333333334</v>
      </c>
      <c r="M874" s="72">
        <v>1</v>
      </c>
      <c r="N874">
        <v>20</v>
      </c>
      <c r="O874" s="31">
        <f>L874*N874/100</f>
        <v>1.4466666666666665</v>
      </c>
      <c r="P874" s="31">
        <f>M874*O874</f>
        <v>1.4466666666666665</v>
      </c>
      <c r="Q874" s="33">
        <f>L874*M874</f>
        <v>7.2333333333333334</v>
      </c>
      <c r="R874" s="29">
        <f>L874+O874</f>
        <v>8.68</v>
      </c>
      <c r="S874" s="29">
        <f t="shared" si="578"/>
        <v>8.68</v>
      </c>
      <c r="T874" s="35">
        <f>DATE(YEAR(EOMONTH(G874,2)),MONTH(EOMONTH(G874,2)),15)</f>
        <v>44972</v>
      </c>
      <c r="U874" s="27"/>
      <c r="V874" s="27"/>
      <c r="W874" s="58">
        <f>IF(K874=TRUE,Q874/J874,Q874)</f>
        <v>7.2333333333333334</v>
      </c>
      <c r="X874" s="31">
        <f>V874/100*S874</f>
        <v>0</v>
      </c>
      <c r="Y874" t="b">
        <f>IF(AND(V874&gt;0,N874=V874),TRUE,FALSE)</f>
        <v>0</v>
      </c>
      <c r="Z874" s="78">
        <f>IF(C874="Einnahmen",Q874,-Q874)</f>
        <v>-7.2333333333333334</v>
      </c>
      <c r="AB874" t="b">
        <f t="shared" si="570"/>
        <v>1</v>
      </c>
    </row>
    <row r="875" spans="1:28" x14ac:dyDescent="0.25">
      <c r="A875" s="53">
        <v>2023</v>
      </c>
      <c r="B875" s="53">
        <v>1</v>
      </c>
      <c r="C875" s="71" t="s">
        <v>708</v>
      </c>
      <c r="D875" t="s">
        <v>709</v>
      </c>
      <c r="E875" s="6">
        <v>12022027</v>
      </c>
      <c r="G875" s="1">
        <v>44948</v>
      </c>
      <c r="H875" t="s">
        <v>1038</v>
      </c>
      <c r="K875" t="b">
        <f>(IF(AND(I875&lt;&gt;"",AND(J875="",ABS(Q875)&gt;400)),TRUE,FALSE))</f>
        <v>0</v>
      </c>
      <c r="L875" s="48">
        <v>529.29999999999995</v>
      </c>
      <c r="M875" s="72">
        <v>1</v>
      </c>
      <c r="N875">
        <v>20</v>
      </c>
      <c r="O875" s="31">
        <f t="shared" si="571"/>
        <v>105.86</v>
      </c>
      <c r="P875" s="31">
        <f t="shared" si="572"/>
        <v>105.86</v>
      </c>
      <c r="Q875" s="33">
        <f t="shared" si="573"/>
        <v>529.29999999999995</v>
      </c>
      <c r="R875" s="29">
        <f t="shared" si="574"/>
        <v>635.16</v>
      </c>
      <c r="S875" s="29">
        <f t="shared" si="578"/>
        <v>635.16</v>
      </c>
      <c r="T875" s="35">
        <f>DATE(YEAR(EOMONTH(G875,2)),MONTH(EOMONTH(G875,2)),15)</f>
        <v>45000</v>
      </c>
      <c r="U875" s="27"/>
      <c r="V875" s="27"/>
      <c r="W875" s="58">
        <f t="shared" si="579"/>
        <v>529.29999999999995</v>
      </c>
      <c r="X875" s="31">
        <f t="shared" si="575"/>
        <v>0</v>
      </c>
      <c r="Y875" t="b">
        <f t="shared" si="576"/>
        <v>0</v>
      </c>
      <c r="Z875" s="78">
        <f t="shared" si="577"/>
        <v>529.29999999999995</v>
      </c>
    </row>
    <row r="876" spans="1:28" x14ac:dyDescent="0.25">
      <c r="A876" s="53">
        <v>2023</v>
      </c>
      <c r="B876" s="53">
        <v>2</v>
      </c>
      <c r="C876" s="71" t="s">
        <v>105</v>
      </c>
      <c r="D876" t="s">
        <v>705</v>
      </c>
      <c r="G876" s="1">
        <v>44928</v>
      </c>
      <c r="H876" t="s">
        <v>1404</v>
      </c>
      <c r="K876" t="b">
        <v>0</v>
      </c>
      <c r="L876" s="109">
        <v>9.36</v>
      </c>
      <c r="M876" s="72">
        <v>1</v>
      </c>
      <c r="N876">
        <v>0</v>
      </c>
      <c r="O876" s="31">
        <f t="shared" si="571"/>
        <v>0</v>
      </c>
      <c r="P876" s="31">
        <f t="shared" si="572"/>
        <v>0</v>
      </c>
      <c r="Q876" s="33">
        <f t="shared" si="573"/>
        <v>9.36</v>
      </c>
      <c r="R876" s="29">
        <f t="shared" si="574"/>
        <v>9.36</v>
      </c>
      <c r="S876" s="29">
        <f t="shared" si="578"/>
        <v>9.36</v>
      </c>
      <c r="T876" s="35">
        <f t="shared" ref="T876:T928" si="580">DATE(YEAR(EOMONTH(G876,2)),MONTH(EOMONTH(G876,2)),15)</f>
        <v>45000</v>
      </c>
      <c r="U876" s="27"/>
      <c r="V876" s="27">
        <v>20</v>
      </c>
      <c r="W876" s="58">
        <f t="shared" si="579"/>
        <v>9.36</v>
      </c>
      <c r="X876" s="31">
        <f t="shared" si="575"/>
        <v>1.8719999999999999</v>
      </c>
      <c r="Y876" t="b">
        <f t="shared" si="576"/>
        <v>0</v>
      </c>
      <c r="Z876" s="78">
        <f t="shared" si="577"/>
        <v>-9.36</v>
      </c>
    </row>
    <row r="877" spans="1:28" x14ac:dyDescent="0.25">
      <c r="A877" s="53">
        <v>2023</v>
      </c>
      <c r="B877" s="53">
        <v>3</v>
      </c>
      <c r="C877" s="71" t="s">
        <v>105</v>
      </c>
      <c r="D877" t="s">
        <v>689</v>
      </c>
      <c r="E877" s="131"/>
      <c r="G877" s="1">
        <v>44928</v>
      </c>
      <c r="H877" t="s">
        <v>974</v>
      </c>
      <c r="K877" t="b">
        <v>0</v>
      </c>
      <c r="L877" s="48">
        <v>44.62</v>
      </c>
      <c r="M877" s="72">
        <v>1</v>
      </c>
      <c r="N877">
        <v>20</v>
      </c>
      <c r="O877" s="31">
        <f t="shared" si="571"/>
        <v>8.9239999999999995</v>
      </c>
      <c r="P877" s="31">
        <f t="shared" si="572"/>
        <v>8.9239999999999995</v>
      </c>
      <c r="Q877" s="33">
        <f t="shared" si="573"/>
        <v>44.62</v>
      </c>
      <c r="R877" s="29">
        <f t="shared" si="574"/>
        <v>53.543999999999997</v>
      </c>
      <c r="S877" s="29">
        <f t="shared" si="578"/>
        <v>53.543999999999997</v>
      </c>
      <c r="T877" s="35">
        <f t="shared" si="580"/>
        <v>45000</v>
      </c>
      <c r="U877" s="27"/>
      <c r="V877" s="27"/>
      <c r="W877" s="58">
        <f>IF(K877=TRUE,Q877/J877,Q877)</f>
        <v>44.62</v>
      </c>
      <c r="X877" s="31">
        <f t="shared" si="575"/>
        <v>0</v>
      </c>
      <c r="Y877" t="b">
        <f t="shared" si="576"/>
        <v>0</v>
      </c>
      <c r="Z877" s="78">
        <f t="shared" si="577"/>
        <v>-44.62</v>
      </c>
    </row>
    <row r="878" spans="1:28" x14ac:dyDescent="0.25">
      <c r="A878" s="53">
        <v>2023</v>
      </c>
      <c r="B878" s="53">
        <v>4</v>
      </c>
      <c r="C878" s="71" t="s">
        <v>105</v>
      </c>
      <c r="D878" t="s">
        <v>691</v>
      </c>
      <c r="G878" s="1">
        <v>44928</v>
      </c>
      <c r="H878" t="s">
        <v>1113</v>
      </c>
      <c r="K878" t="b">
        <v>0</v>
      </c>
      <c r="L878" s="109">
        <v>515.85</v>
      </c>
      <c r="M878" s="72">
        <v>1</v>
      </c>
      <c r="N878">
        <v>20</v>
      </c>
      <c r="O878" s="31">
        <f t="shared" si="571"/>
        <v>103.17</v>
      </c>
      <c r="P878" s="31">
        <f t="shared" si="572"/>
        <v>103.17</v>
      </c>
      <c r="Q878" s="33">
        <f t="shared" si="573"/>
        <v>515.85</v>
      </c>
      <c r="R878" s="29">
        <f t="shared" si="574"/>
        <v>619.02</v>
      </c>
      <c r="S878" s="29">
        <f t="shared" si="578"/>
        <v>619.02</v>
      </c>
      <c r="T878" s="35">
        <f t="shared" si="580"/>
        <v>45000</v>
      </c>
      <c r="U878" s="27"/>
      <c r="V878" s="27"/>
      <c r="W878" s="58">
        <f>IF(K878=TRUE,Q878/J878,Q878)</f>
        <v>515.85</v>
      </c>
      <c r="X878" s="31">
        <f t="shared" si="575"/>
        <v>0</v>
      </c>
      <c r="Y878" t="b">
        <f t="shared" si="576"/>
        <v>0</v>
      </c>
      <c r="Z878" s="78">
        <f t="shared" si="577"/>
        <v>-515.85</v>
      </c>
    </row>
    <row r="879" spans="1:28" x14ac:dyDescent="0.25">
      <c r="A879" s="53">
        <v>2023</v>
      </c>
      <c r="B879" s="53">
        <v>5</v>
      </c>
      <c r="C879" s="71" t="s">
        <v>105</v>
      </c>
      <c r="D879" t="s">
        <v>703</v>
      </c>
      <c r="G879" s="1">
        <v>44930</v>
      </c>
      <c r="H879" t="s">
        <v>34</v>
      </c>
      <c r="K879" t="b">
        <f>(IF(AND(I879&lt;&gt;"",AND(J879="",ABS(Q879)&gt;400)),TRUE,FALSE))</f>
        <v>0</v>
      </c>
      <c r="L879" s="48">
        <v>15</v>
      </c>
      <c r="M879" s="72">
        <v>1</v>
      </c>
      <c r="N879">
        <v>20</v>
      </c>
      <c r="O879" s="31">
        <f t="shared" si="571"/>
        <v>3</v>
      </c>
      <c r="P879" s="31">
        <f t="shared" si="572"/>
        <v>3</v>
      </c>
      <c r="Q879" s="33">
        <f t="shared" si="573"/>
        <v>15</v>
      </c>
      <c r="R879" s="29">
        <f t="shared" si="574"/>
        <v>18</v>
      </c>
      <c r="S879" s="29">
        <f t="shared" si="578"/>
        <v>18</v>
      </c>
      <c r="T879" s="35">
        <f t="shared" si="580"/>
        <v>45000</v>
      </c>
      <c r="U879" s="27"/>
      <c r="V879" s="27"/>
      <c r="W879" s="58">
        <f>IF(K879=TRUE,Q879/I879,Q879)</f>
        <v>15</v>
      </c>
      <c r="X879" s="31">
        <f t="shared" si="575"/>
        <v>0</v>
      </c>
      <c r="Y879" t="b">
        <f t="shared" si="576"/>
        <v>0</v>
      </c>
      <c r="Z879" s="78">
        <f t="shared" si="577"/>
        <v>-15</v>
      </c>
    </row>
    <row r="880" spans="1:28" x14ac:dyDescent="0.25">
      <c r="A880" s="53">
        <v>2023</v>
      </c>
      <c r="B880" s="53">
        <v>6</v>
      </c>
      <c r="C880" s="71" t="s">
        <v>105</v>
      </c>
      <c r="D880" t="s">
        <v>705</v>
      </c>
      <c r="E880"/>
      <c r="G880" s="1">
        <v>44931</v>
      </c>
      <c r="H880" t="s">
        <v>1670</v>
      </c>
      <c r="K880" t="b">
        <f>(IF(AND(I880&lt;&gt;"",AND(J880="",ABS(Q880)&gt;400)),TRUE,FALSE))</f>
        <v>0</v>
      </c>
      <c r="L880" s="48">
        <v>5</v>
      </c>
      <c r="M880" s="72">
        <v>1</v>
      </c>
      <c r="N880">
        <v>20</v>
      </c>
      <c r="O880" s="31">
        <f t="shared" si="571"/>
        <v>1</v>
      </c>
      <c r="P880" s="31">
        <f t="shared" si="572"/>
        <v>1</v>
      </c>
      <c r="Q880" s="33">
        <f t="shared" si="573"/>
        <v>5</v>
      </c>
      <c r="R880" s="29">
        <f t="shared" si="574"/>
        <v>6</v>
      </c>
      <c r="S880" s="29">
        <f t="shared" si="578"/>
        <v>6</v>
      </c>
      <c r="T880" s="35">
        <f t="shared" si="580"/>
        <v>45000</v>
      </c>
      <c r="U880" s="27"/>
      <c r="V880" s="27"/>
      <c r="W880" s="58">
        <f>IF(K880=TRUE,Q880/J880,Q880)</f>
        <v>5</v>
      </c>
      <c r="X880" s="31">
        <f t="shared" si="575"/>
        <v>0</v>
      </c>
      <c r="Y880" t="b">
        <f t="shared" si="576"/>
        <v>0</v>
      </c>
      <c r="Z880" s="78">
        <f t="shared" si="577"/>
        <v>-5</v>
      </c>
    </row>
    <row r="881" spans="1:26" x14ac:dyDescent="0.25">
      <c r="A881" s="53">
        <v>2023</v>
      </c>
      <c r="B881" s="53">
        <v>7</v>
      </c>
      <c r="C881" s="71" t="s">
        <v>105</v>
      </c>
      <c r="D881" t="s">
        <v>691</v>
      </c>
      <c r="E881" s="61" t="s">
        <v>1064</v>
      </c>
      <c r="G881" s="1">
        <v>44935</v>
      </c>
      <c r="H881" t="s">
        <v>1558</v>
      </c>
      <c r="K881" t="b">
        <v>0</v>
      </c>
      <c r="L881" s="109">
        <v>122.6</v>
      </c>
      <c r="M881" s="72">
        <v>1</v>
      </c>
      <c r="N881">
        <v>20</v>
      </c>
      <c r="O881" s="31">
        <f t="shared" si="571"/>
        <v>24.52</v>
      </c>
      <c r="P881" s="31">
        <f t="shared" si="572"/>
        <v>24.52</v>
      </c>
      <c r="Q881" s="33">
        <f t="shared" si="573"/>
        <v>122.6</v>
      </c>
      <c r="R881" s="29">
        <f t="shared" si="574"/>
        <v>147.12</v>
      </c>
      <c r="S881" s="29">
        <f>Q881+P881</f>
        <v>147.12</v>
      </c>
      <c r="T881" s="35">
        <f t="shared" si="580"/>
        <v>45000</v>
      </c>
      <c r="U881" s="27"/>
      <c r="V881" s="27"/>
      <c r="W881" s="58">
        <f>IF(K881=TRUE,Q881/J881,Q881)</f>
        <v>122.6</v>
      </c>
      <c r="X881" s="31">
        <f t="shared" si="575"/>
        <v>0</v>
      </c>
      <c r="Y881" t="b">
        <f t="shared" si="576"/>
        <v>0</v>
      </c>
      <c r="Z881" s="78">
        <f t="shared" si="577"/>
        <v>-122.6</v>
      </c>
    </row>
    <row r="882" spans="1:26" x14ac:dyDescent="0.25">
      <c r="A882" s="53">
        <v>2023</v>
      </c>
      <c r="B882" s="53">
        <v>8</v>
      </c>
      <c r="C882" s="71" t="s">
        <v>105</v>
      </c>
      <c r="D882" t="s">
        <v>705</v>
      </c>
      <c r="E882"/>
      <c r="G882" s="1">
        <v>44935</v>
      </c>
      <c r="H882" t="s">
        <v>1670</v>
      </c>
      <c r="K882" t="b">
        <f t="shared" ref="K882:K891" si="581">(IF(AND(I882&lt;&gt;"",AND(J882="",ABS(Q882)&gt;400)),TRUE,FALSE))</f>
        <v>0</v>
      </c>
      <c r="L882" s="48">
        <f>0.96/1.2</f>
        <v>0.8</v>
      </c>
      <c r="M882" s="72">
        <v>1</v>
      </c>
      <c r="N882">
        <v>20</v>
      </c>
      <c r="O882" s="31">
        <f t="shared" ref="O882:O897" si="582">L882*N882/100</f>
        <v>0.16</v>
      </c>
      <c r="P882" s="31">
        <f t="shared" ref="P882:P897" si="583">M882*O882</f>
        <v>0.16</v>
      </c>
      <c r="Q882" s="33">
        <f t="shared" ref="Q882:Q897" si="584">L882*M882</f>
        <v>0.8</v>
      </c>
      <c r="R882" s="29">
        <f t="shared" ref="R882:R897" si="585">L882+O882</f>
        <v>0.96000000000000008</v>
      </c>
      <c r="S882" s="29">
        <f t="shared" ref="S882:S898" si="586">Q882+P882</f>
        <v>0.96000000000000008</v>
      </c>
      <c r="T882" s="35">
        <f t="shared" si="580"/>
        <v>45000</v>
      </c>
      <c r="U882" s="27"/>
      <c r="V882" s="27"/>
      <c r="W882" s="58">
        <f>IF(K882=TRUE,Q882/J882,Q882)</f>
        <v>0.8</v>
      </c>
      <c r="X882" s="31">
        <f t="shared" ref="X882:X887" si="587">V882/100*S882</f>
        <v>0</v>
      </c>
      <c r="Y882" t="b">
        <f t="shared" ref="Y882:Y887" si="588">IF(AND(V882&gt;0,N882=V882),TRUE,FALSE)</f>
        <v>0</v>
      </c>
      <c r="Z882" s="78">
        <f t="shared" ref="Z882:Z887" si="589">IF(C882="Einnahmen",Q882,-Q882)</f>
        <v>-0.8</v>
      </c>
    </row>
    <row r="883" spans="1:26" x14ac:dyDescent="0.25">
      <c r="A883" s="53">
        <v>2023</v>
      </c>
      <c r="B883" s="53">
        <v>9</v>
      </c>
      <c r="C883" s="71" t="s">
        <v>105</v>
      </c>
      <c r="D883" t="s">
        <v>705</v>
      </c>
      <c r="E883" s="9" t="s">
        <v>1721</v>
      </c>
      <c r="G883" s="1">
        <v>44937</v>
      </c>
      <c r="H883" t="s">
        <v>1197</v>
      </c>
      <c r="K883" t="b">
        <f t="shared" si="581"/>
        <v>0</v>
      </c>
      <c r="L883" s="48">
        <v>58.22</v>
      </c>
      <c r="M883" s="72">
        <v>1</v>
      </c>
      <c r="N883">
        <v>20</v>
      </c>
      <c r="O883" s="31">
        <f t="shared" si="582"/>
        <v>11.644</v>
      </c>
      <c r="P883" s="31">
        <f t="shared" si="583"/>
        <v>11.644</v>
      </c>
      <c r="Q883" s="33">
        <f t="shared" si="584"/>
        <v>58.22</v>
      </c>
      <c r="R883" s="29">
        <f t="shared" si="585"/>
        <v>69.864000000000004</v>
      </c>
      <c r="S883" s="29">
        <f t="shared" si="586"/>
        <v>69.864000000000004</v>
      </c>
      <c r="T883" s="35">
        <f t="shared" si="580"/>
        <v>45000</v>
      </c>
      <c r="U883" s="27"/>
      <c r="V883" s="27"/>
      <c r="W883" s="58">
        <f>IF(K883=TRUE,Q883/I883,Q883)</f>
        <v>58.22</v>
      </c>
      <c r="X883" s="31">
        <f t="shared" si="587"/>
        <v>0</v>
      </c>
      <c r="Y883" t="b">
        <f t="shared" si="588"/>
        <v>0</v>
      </c>
      <c r="Z883" s="78">
        <f t="shared" si="589"/>
        <v>-58.22</v>
      </c>
    </row>
    <row r="884" spans="1:26" x14ac:dyDescent="0.25">
      <c r="A884" s="53">
        <v>2023</v>
      </c>
      <c r="B884" s="53">
        <v>10</v>
      </c>
      <c r="C884" s="71" t="s">
        <v>105</v>
      </c>
      <c r="D884" t="s">
        <v>705</v>
      </c>
      <c r="G884" s="1">
        <v>44938</v>
      </c>
      <c r="H884" t="s">
        <v>927</v>
      </c>
      <c r="K884" t="b">
        <f t="shared" si="581"/>
        <v>0</v>
      </c>
      <c r="L884" s="48">
        <v>51.340299999999999</v>
      </c>
      <c r="M884" s="72">
        <v>1</v>
      </c>
      <c r="N884">
        <v>0</v>
      </c>
      <c r="O884" s="31">
        <f t="shared" si="582"/>
        <v>0</v>
      </c>
      <c r="P884" s="31">
        <f t="shared" si="583"/>
        <v>0</v>
      </c>
      <c r="Q884" s="33">
        <f t="shared" si="584"/>
        <v>51.340299999999999</v>
      </c>
      <c r="R884" s="29">
        <f t="shared" si="585"/>
        <v>51.340299999999999</v>
      </c>
      <c r="S884" s="29">
        <f t="shared" si="586"/>
        <v>51.340299999999999</v>
      </c>
      <c r="T884" s="35">
        <f t="shared" si="580"/>
        <v>45000</v>
      </c>
      <c r="U884" s="27"/>
      <c r="V884" s="27">
        <v>20</v>
      </c>
      <c r="W884" s="58">
        <f>IF(K884=TRUE,Q884/J884,Q884)</f>
        <v>51.340299999999999</v>
      </c>
      <c r="X884" s="31">
        <f t="shared" si="587"/>
        <v>10.26806</v>
      </c>
      <c r="Y884" t="b">
        <f t="shared" si="588"/>
        <v>0</v>
      </c>
      <c r="Z884" s="78">
        <f t="shared" si="589"/>
        <v>-51.340299999999999</v>
      </c>
    </row>
    <row r="885" spans="1:26" x14ac:dyDescent="0.25">
      <c r="A885" s="53">
        <v>2023</v>
      </c>
      <c r="B885" s="53">
        <v>11</v>
      </c>
      <c r="C885" s="71" t="s">
        <v>708</v>
      </c>
      <c r="D885" t="s">
        <v>709</v>
      </c>
      <c r="E885">
        <v>168047262</v>
      </c>
      <c r="G885" s="1">
        <v>44939</v>
      </c>
      <c r="H885" t="s">
        <v>1652</v>
      </c>
      <c r="K885" t="b">
        <f t="shared" si="581"/>
        <v>0</v>
      </c>
      <c r="L885" s="48">
        <v>15708</v>
      </c>
      <c r="M885" s="72">
        <v>1</v>
      </c>
      <c r="N885">
        <v>20</v>
      </c>
      <c r="O885" s="31">
        <f t="shared" si="582"/>
        <v>3141.6</v>
      </c>
      <c r="P885" s="31">
        <f t="shared" si="583"/>
        <v>3141.6</v>
      </c>
      <c r="Q885" s="33">
        <f t="shared" si="584"/>
        <v>15708</v>
      </c>
      <c r="R885" s="29">
        <f t="shared" si="585"/>
        <v>18849.599999999999</v>
      </c>
      <c r="S885" s="29">
        <f t="shared" si="586"/>
        <v>18849.599999999999</v>
      </c>
      <c r="T885" s="35">
        <f t="shared" si="580"/>
        <v>45000</v>
      </c>
      <c r="U885" s="27"/>
      <c r="V885" s="27"/>
      <c r="W885" s="58">
        <f>IF(K885=TRUE,Q885/J885,Q885)</f>
        <v>15708</v>
      </c>
      <c r="X885" s="31">
        <f t="shared" si="587"/>
        <v>0</v>
      </c>
      <c r="Y885" t="b">
        <f t="shared" si="588"/>
        <v>0</v>
      </c>
      <c r="Z885" s="78">
        <f t="shared" si="589"/>
        <v>15708</v>
      </c>
    </row>
    <row r="886" spans="1:26" x14ac:dyDescent="0.25">
      <c r="A886" s="53">
        <v>2023</v>
      </c>
      <c r="B886" s="53">
        <v>12</v>
      </c>
      <c r="C886" s="71" t="s">
        <v>105</v>
      </c>
      <c r="D886" t="s">
        <v>685</v>
      </c>
      <c r="E886" s="9" t="s">
        <v>1699</v>
      </c>
      <c r="G886" s="1">
        <v>44942</v>
      </c>
      <c r="H886" t="s">
        <v>1689</v>
      </c>
      <c r="K886" t="b">
        <f t="shared" si="581"/>
        <v>0</v>
      </c>
      <c r="L886" s="48">
        <v>365</v>
      </c>
      <c r="M886" s="72">
        <v>1</v>
      </c>
      <c r="N886">
        <v>0</v>
      </c>
      <c r="O886" s="31">
        <f t="shared" si="582"/>
        <v>0</v>
      </c>
      <c r="P886" s="31">
        <f t="shared" si="583"/>
        <v>0</v>
      </c>
      <c r="Q886" s="33">
        <f t="shared" si="584"/>
        <v>365</v>
      </c>
      <c r="R886" s="29">
        <f t="shared" si="585"/>
        <v>365</v>
      </c>
      <c r="S886" s="29">
        <f t="shared" si="586"/>
        <v>365</v>
      </c>
      <c r="T886" s="35">
        <f t="shared" si="580"/>
        <v>45000</v>
      </c>
      <c r="U886" s="27"/>
      <c r="V886" s="27"/>
      <c r="W886" s="58">
        <f>IF(K886=TRUE,Q886/J886,Q886)</f>
        <v>365</v>
      </c>
      <c r="X886" s="31">
        <f t="shared" si="587"/>
        <v>0</v>
      </c>
      <c r="Y886" t="b">
        <f t="shared" si="588"/>
        <v>0</v>
      </c>
      <c r="Z886" s="78">
        <f t="shared" si="589"/>
        <v>-365</v>
      </c>
    </row>
    <row r="887" spans="1:26" x14ac:dyDescent="0.25">
      <c r="A887" s="53">
        <v>2023</v>
      </c>
      <c r="B887" s="53">
        <v>13</v>
      </c>
      <c r="C887" s="71" t="s">
        <v>708</v>
      </c>
      <c r="D887" t="s">
        <v>709</v>
      </c>
      <c r="E887" s="9" t="s">
        <v>1722</v>
      </c>
      <c r="G887" s="1">
        <v>44943</v>
      </c>
      <c r="H887" t="s">
        <v>1384</v>
      </c>
      <c r="K887" t="b">
        <f t="shared" si="581"/>
        <v>0</v>
      </c>
      <c r="L887" s="48">
        <v>178</v>
      </c>
      <c r="M887" s="72">
        <v>1</v>
      </c>
      <c r="N887">
        <v>20</v>
      </c>
      <c r="O887" s="31">
        <f t="shared" si="582"/>
        <v>35.6</v>
      </c>
      <c r="P887" s="31">
        <f t="shared" si="583"/>
        <v>35.6</v>
      </c>
      <c r="Q887" s="33">
        <f t="shared" si="584"/>
        <v>178</v>
      </c>
      <c r="R887" s="29">
        <f t="shared" si="585"/>
        <v>213.6</v>
      </c>
      <c r="S887" s="29">
        <f t="shared" si="586"/>
        <v>213.6</v>
      </c>
      <c r="T887" s="35">
        <f t="shared" si="580"/>
        <v>45000</v>
      </c>
      <c r="U887" s="27"/>
      <c r="V887" s="27"/>
      <c r="W887" s="58">
        <f>IF(K887=TRUE,Q887/J887,Q887)</f>
        <v>178</v>
      </c>
      <c r="X887" s="31">
        <f t="shared" si="587"/>
        <v>0</v>
      </c>
      <c r="Y887" t="b">
        <f t="shared" si="588"/>
        <v>0</v>
      </c>
      <c r="Z887" s="78">
        <f t="shared" si="589"/>
        <v>178</v>
      </c>
    </row>
    <row r="888" spans="1:26" x14ac:dyDescent="0.25">
      <c r="A888" s="53">
        <v>2023</v>
      </c>
      <c r="B888" s="53">
        <v>14</v>
      </c>
      <c r="C888" s="71" t="s">
        <v>105</v>
      </c>
      <c r="D888" t="s">
        <v>705</v>
      </c>
      <c r="E888"/>
      <c r="G888" s="1">
        <v>44945</v>
      </c>
      <c r="H888" t="s">
        <v>1032</v>
      </c>
      <c r="K888" t="b">
        <f t="shared" si="581"/>
        <v>0</v>
      </c>
      <c r="L888" s="109">
        <v>10.5</v>
      </c>
      <c r="M888" s="72">
        <v>1</v>
      </c>
      <c r="N888">
        <v>0</v>
      </c>
      <c r="O888" s="31">
        <f t="shared" si="582"/>
        <v>0</v>
      </c>
      <c r="P888" s="31">
        <f t="shared" si="583"/>
        <v>0</v>
      </c>
      <c r="Q888" s="33">
        <f t="shared" si="584"/>
        <v>10.5</v>
      </c>
      <c r="R888" s="29">
        <f t="shared" si="585"/>
        <v>10.5</v>
      </c>
      <c r="S888" s="29">
        <f t="shared" si="586"/>
        <v>10.5</v>
      </c>
      <c r="T888" s="35">
        <f t="shared" si="580"/>
        <v>45000</v>
      </c>
      <c r="U888" s="27"/>
      <c r="V888" s="27">
        <v>20</v>
      </c>
      <c r="W888" s="58">
        <f>IF(K888=TRUE,Q888/J888,Q888)</f>
        <v>10.5</v>
      </c>
      <c r="X888" s="31">
        <f t="shared" ref="X888:X897" si="590">V888/100*S888</f>
        <v>2.1</v>
      </c>
      <c r="Y888" t="b">
        <f t="shared" ref="Y888:Y897" si="591">IF(AND(V888&gt;0,N888=V888),TRUE,FALSE)</f>
        <v>0</v>
      </c>
      <c r="Z888" s="78">
        <f t="shared" ref="Z888:Z897" si="592">IF(C888="Einnahmen",Q888,-Q888)</f>
        <v>-10.5</v>
      </c>
    </row>
    <row r="889" spans="1:26" x14ac:dyDescent="0.25">
      <c r="A889" s="53">
        <v>2023</v>
      </c>
      <c r="B889" s="53">
        <v>15</v>
      </c>
      <c r="C889" s="71" t="s">
        <v>105</v>
      </c>
      <c r="D889" t="s">
        <v>703</v>
      </c>
      <c r="E889" s="131" t="s">
        <v>1715</v>
      </c>
      <c r="G889" s="1">
        <v>44946</v>
      </c>
      <c r="H889" t="s">
        <v>1148</v>
      </c>
      <c r="K889" t="b">
        <f t="shared" si="581"/>
        <v>0</v>
      </c>
      <c r="L889" s="48">
        <v>31.92</v>
      </c>
      <c r="M889" s="72">
        <v>1</v>
      </c>
      <c r="N889">
        <v>20</v>
      </c>
      <c r="O889" s="31">
        <f t="shared" si="582"/>
        <v>6.3840000000000012</v>
      </c>
      <c r="P889" s="31">
        <f t="shared" si="583"/>
        <v>6.3840000000000012</v>
      </c>
      <c r="Q889" s="33">
        <f t="shared" si="584"/>
        <v>31.92</v>
      </c>
      <c r="R889" s="29">
        <f t="shared" si="585"/>
        <v>38.304000000000002</v>
      </c>
      <c r="S889" s="29">
        <f t="shared" si="586"/>
        <v>38.304000000000002</v>
      </c>
      <c r="T889" s="35">
        <f t="shared" si="580"/>
        <v>45000</v>
      </c>
      <c r="U889" s="27"/>
      <c r="V889" s="27"/>
      <c r="W889" s="58">
        <f>IF(K889=TRUE,Q889/I889,Q889)</f>
        <v>31.92</v>
      </c>
      <c r="X889" s="31">
        <f t="shared" si="590"/>
        <v>0</v>
      </c>
      <c r="Y889" t="b">
        <f t="shared" si="591"/>
        <v>0</v>
      </c>
      <c r="Z889" s="78">
        <f t="shared" si="592"/>
        <v>-31.92</v>
      </c>
    </row>
    <row r="890" spans="1:26" x14ac:dyDescent="0.25">
      <c r="A890" s="53">
        <v>2023</v>
      </c>
      <c r="B890" s="53">
        <v>16</v>
      </c>
      <c r="C890" s="71" t="s">
        <v>105</v>
      </c>
      <c r="D890" t="s">
        <v>705</v>
      </c>
      <c r="E890" s="9" t="s">
        <v>1723</v>
      </c>
      <c r="G890" s="1">
        <v>44950</v>
      </c>
      <c r="H890" t="s">
        <v>934</v>
      </c>
      <c r="K890" t="b">
        <f t="shared" si="581"/>
        <v>0</v>
      </c>
      <c r="L890" s="48">
        <v>265.08</v>
      </c>
      <c r="M890" s="72">
        <v>1</v>
      </c>
      <c r="N890">
        <v>0</v>
      </c>
      <c r="O890" s="31">
        <f t="shared" si="582"/>
        <v>0</v>
      </c>
      <c r="P890" s="31">
        <f t="shared" si="583"/>
        <v>0</v>
      </c>
      <c r="Q890" s="33">
        <f t="shared" si="584"/>
        <v>265.08</v>
      </c>
      <c r="R890" s="29">
        <f t="shared" si="585"/>
        <v>265.08</v>
      </c>
      <c r="S890" s="29">
        <f t="shared" si="586"/>
        <v>265.08</v>
      </c>
      <c r="T890" s="35">
        <f t="shared" si="580"/>
        <v>45000</v>
      </c>
      <c r="U890" s="27"/>
      <c r="V890" s="27"/>
      <c r="W890" s="58">
        <f>IF(K890=TRUE,Q890/J890,Q890)</f>
        <v>265.08</v>
      </c>
      <c r="X890" s="31">
        <f t="shared" si="590"/>
        <v>0</v>
      </c>
      <c r="Y890" t="b">
        <f t="shared" si="591"/>
        <v>0</v>
      </c>
      <c r="Z890" s="78">
        <f t="shared" si="592"/>
        <v>-265.08</v>
      </c>
    </row>
    <row r="891" spans="1:26" x14ac:dyDescent="0.25">
      <c r="A891" s="53">
        <v>2023</v>
      </c>
      <c r="B891" s="53">
        <v>17</v>
      </c>
      <c r="C891" s="71" t="s">
        <v>105</v>
      </c>
      <c r="D891" t="s">
        <v>705</v>
      </c>
      <c r="E891" s="9" t="s">
        <v>1724</v>
      </c>
      <c r="G891" s="1">
        <v>44952</v>
      </c>
      <c r="H891" t="s">
        <v>941</v>
      </c>
      <c r="K891" t="b">
        <f t="shared" si="581"/>
        <v>0</v>
      </c>
      <c r="L891" s="48">
        <v>20.75</v>
      </c>
      <c r="M891" s="72">
        <v>1</v>
      </c>
      <c r="N891">
        <v>20</v>
      </c>
      <c r="O891" s="31">
        <f t="shared" si="582"/>
        <v>4.1500000000000004</v>
      </c>
      <c r="P891" s="31">
        <f t="shared" si="583"/>
        <v>4.1500000000000004</v>
      </c>
      <c r="Q891" s="33">
        <f t="shared" si="584"/>
        <v>20.75</v>
      </c>
      <c r="R891" s="29">
        <f t="shared" si="585"/>
        <v>24.9</v>
      </c>
      <c r="S891" s="29">
        <f t="shared" si="586"/>
        <v>24.9</v>
      </c>
      <c r="T891" s="35">
        <f t="shared" si="580"/>
        <v>45000</v>
      </c>
      <c r="U891" s="27"/>
      <c r="V891" s="27"/>
      <c r="W891" s="58">
        <f>IF(K891=TRUE,Q891/J891,Q891)</f>
        <v>20.75</v>
      </c>
      <c r="X891" s="31">
        <f t="shared" si="590"/>
        <v>0</v>
      </c>
      <c r="Y891" t="b">
        <f t="shared" si="591"/>
        <v>0</v>
      </c>
      <c r="Z891" s="78">
        <f t="shared" si="592"/>
        <v>-20.75</v>
      </c>
    </row>
    <row r="892" spans="1:26" x14ac:dyDescent="0.25">
      <c r="A892" s="53">
        <v>2023</v>
      </c>
      <c r="B892" s="53">
        <v>18</v>
      </c>
      <c r="C892" s="71" t="s">
        <v>105</v>
      </c>
      <c r="D892" t="s">
        <v>339</v>
      </c>
      <c r="E892" s="9" t="s">
        <v>1725</v>
      </c>
      <c r="G892" s="1">
        <v>44956</v>
      </c>
      <c r="H892" t="s">
        <v>981</v>
      </c>
      <c r="K892" t="b">
        <v>0</v>
      </c>
      <c r="L892" s="109">
        <v>55.44</v>
      </c>
      <c r="M892" s="72">
        <v>1</v>
      </c>
      <c r="N892">
        <v>20</v>
      </c>
      <c r="O892" s="31">
        <f t="shared" si="582"/>
        <v>11.087999999999999</v>
      </c>
      <c r="P892" s="31">
        <f t="shared" si="583"/>
        <v>11.087999999999999</v>
      </c>
      <c r="Q892" s="33">
        <f t="shared" si="584"/>
        <v>55.44</v>
      </c>
      <c r="R892" s="29">
        <f t="shared" si="585"/>
        <v>66.527999999999992</v>
      </c>
      <c r="S892" s="29">
        <f t="shared" si="586"/>
        <v>66.527999999999992</v>
      </c>
      <c r="T892" s="35">
        <f t="shared" si="580"/>
        <v>45000</v>
      </c>
      <c r="U892" s="27"/>
      <c r="V892" s="27"/>
      <c r="W892" s="58">
        <f>IF(K892=TRUE,Q892/I892,Q892)</f>
        <v>55.44</v>
      </c>
      <c r="X892" s="31">
        <f t="shared" si="590"/>
        <v>0</v>
      </c>
      <c r="Y892" t="b">
        <f t="shared" si="591"/>
        <v>0</v>
      </c>
      <c r="Z892" s="78">
        <f t="shared" si="592"/>
        <v>-55.44</v>
      </c>
    </row>
    <row r="893" spans="1:26" x14ac:dyDescent="0.25">
      <c r="A893" s="53">
        <v>2023</v>
      </c>
      <c r="B893" s="53">
        <v>19</v>
      </c>
      <c r="C893" s="71" t="s">
        <v>105</v>
      </c>
      <c r="D893" t="s">
        <v>691</v>
      </c>
      <c r="G893" s="1">
        <v>44958</v>
      </c>
      <c r="H893" t="s">
        <v>1113</v>
      </c>
      <c r="K893" t="b">
        <v>0</v>
      </c>
      <c r="L893" s="109">
        <v>515.85</v>
      </c>
      <c r="M893" s="72">
        <v>1</v>
      </c>
      <c r="N893">
        <v>20</v>
      </c>
      <c r="O893" s="31">
        <f t="shared" si="582"/>
        <v>103.17</v>
      </c>
      <c r="P893" s="31">
        <f t="shared" si="583"/>
        <v>103.17</v>
      </c>
      <c r="Q893" s="33">
        <f t="shared" si="584"/>
        <v>515.85</v>
      </c>
      <c r="R893" s="29">
        <f t="shared" si="585"/>
        <v>619.02</v>
      </c>
      <c r="S893" s="29">
        <f t="shared" si="586"/>
        <v>619.02</v>
      </c>
      <c r="T893" s="35">
        <f t="shared" si="580"/>
        <v>45031</v>
      </c>
      <c r="U893" s="27"/>
      <c r="V893" s="27"/>
      <c r="W893" s="58">
        <f>IF(K893=TRUE,Q893/J893,Q893)</f>
        <v>515.85</v>
      </c>
      <c r="X893" s="31">
        <f t="shared" si="590"/>
        <v>0</v>
      </c>
      <c r="Y893" t="b">
        <f t="shared" si="591"/>
        <v>0</v>
      </c>
      <c r="Z893" s="78">
        <f t="shared" si="592"/>
        <v>-515.85</v>
      </c>
    </row>
    <row r="894" spans="1:26" x14ac:dyDescent="0.25">
      <c r="A894" s="53">
        <v>2023</v>
      </c>
      <c r="B894" s="53">
        <v>20</v>
      </c>
      <c r="C894" s="71" t="s">
        <v>105</v>
      </c>
      <c r="D894" t="s">
        <v>689</v>
      </c>
      <c r="E894" s="131"/>
      <c r="G894" s="1">
        <v>44958</v>
      </c>
      <c r="H894" t="s">
        <v>974</v>
      </c>
      <c r="K894" t="b">
        <v>0</v>
      </c>
      <c r="L894" s="48">
        <v>21.8</v>
      </c>
      <c r="M894" s="72">
        <v>1</v>
      </c>
      <c r="N894">
        <v>20</v>
      </c>
      <c r="O894" s="31">
        <f t="shared" si="582"/>
        <v>4.3600000000000003</v>
      </c>
      <c r="P894" s="31">
        <f t="shared" si="583"/>
        <v>4.3600000000000003</v>
      </c>
      <c r="Q894" s="33">
        <f t="shared" si="584"/>
        <v>21.8</v>
      </c>
      <c r="R894" s="29">
        <f t="shared" si="585"/>
        <v>26.16</v>
      </c>
      <c r="S894" s="29">
        <f t="shared" si="586"/>
        <v>26.16</v>
      </c>
      <c r="T894" s="35">
        <f t="shared" si="580"/>
        <v>45031</v>
      </c>
      <c r="U894" s="27"/>
      <c r="V894" s="27"/>
      <c r="W894" s="58">
        <f>IF(K894=TRUE,Q894/J894,Q894)</f>
        <v>21.8</v>
      </c>
      <c r="X894" s="31">
        <f t="shared" si="590"/>
        <v>0</v>
      </c>
      <c r="Y894" t="b">
        <f t="shared" si="591"/>
        <v>0</v>
      </c>
      <c r="Z894" s="78">
        <f t="shared" si="592"/>
        <v>-21.8</v>
      </c>
    </row>
    <row r="895" spans="1:26" x14ac:dyDescent="0.25">
      <c r="A895" s="53">
        <v>2023</v>
      </c>
      <c r="B895" s="53">
        <v>21</v>
      </c>
      <c r="C895" s="71" t="s">
        <v>105</v>
      </c>
      <c r="D895" t="s">
        <v>705</v>
      </c>
      <c r="G895" s="1">
        <v>44960</v>
      </c>
      <c r="H895" t="s">
        <v>1404</v>
      </c>
      <c r="K895" t="b">
        <v>0</v>
      </c>
      <c r="L895" s="109">
        <v>9.36</v>
      </c>
      <c r="M895" s="72">
        <v>1</v>
      </c>
      <c r="N895">
        <v>0</v>
      </c>
      <c r="O895" s="31">
        <f t="shared" si="582"/>
        <v>0</v>
      </c>
      <c r="P895" s="31">
        <f t="shared" si="583"/>
        <v>0</v>
      </c>
      <c r="Q895" s="33">
        <f t="shared" si="584"/>
        <v>9.36</v>
      </c>
      <c r="R895" s="29">
        <f t="shared" si="585"/>
        <v>9.36</v>
      </c>
      <c r="S895" s="29">
        <f t="shared" si="586"/>
        <v>9.36</v>
      </c>
      <c r="T895" s="35">
        <f t="shared" si="580"/>
        <v>45031</v>
      </c>
      <c r="U895" s="27"/>
      <c r="V895" s="27">
        <v>20</v>
      </c>
      <c r="W895" s="58">
        <f>IF(K895=TRUE,Q895/I895,Q895)</f>
        <v>9.36</v>
      </c>
      <c r="X895" s="31">
        <f t="shared" si="590"/>
        <v>1.8719999999999999</v>
      </c>
      <c r="Y895" t="b">
        <f t="shared" si="591"/>
        <v>0</v>
      </c>
      <c r="Z895" s="78">
        <f t="shared" si="592"/>
        <v>-9.36</v>
      </c>
    </row>
    <row r="896" spans="1:26" x14ac:dyDescent="0.25">
      <c r="A896" s="53">
        <v>2023</v>
      </c>
      <c r="B896" s="53">
        <v>22</v>
      </c>
      <c r="C896" s="71" t="s">
        <v>105</v>
      </c>
      <c r="D896" t="s">
        <v>703</v>
      </c>
      <c r="G896" s="1">
        <v>44959</v>
      </c>
      <c r="H896" t="s">
        <v>34</v>
      </c>
      <c r="K896" t="b">
        <f>(IF(AND(I896&lt;&gt;"",AND(J896="",ABS(Q896)&gt;400)),TRUE,FALSE))</f>
        <v>0</v>
      </c>
      <c r="L896" s="48">
        <v>15</v>
      </c>
      <c r="M896" s="72">
        <v>1</v>
      </c>
      <c r="N896">
        <v>20</v>
      </c>
      <c r="O896" s="31">
        <f t="shared" si="582"/>
        <v>3</v>
      </c>
      <c r="P896" s="31">
        <f t="shared" si="583"/>
        <v>3</v>
      </c>
      <c r="Q896" s="33">
        <f t="shared" si="584"/>
        <v>15</v>
      </c>
      <c r="R896" s="29">
        <f t="shared" si="585"/>
        <v>18</v>
      </c>
      <c r="S896" s="29">
        <f t="shared" si="586"/>
        <v>18</v>
      </c>
      <c r="T896" s="35">
        <f t="shared" si="580"/>
        <v>45031</v>
      </c>
      <c r="U896" s="27"/>
      <c r="V896" s="27"/>
      <c r="W896" s="58">
        <f>IF(K896=TRUE,Q896/I896,Q896)</f>
        <v>15</v>
      </c>
      <c r="X896" s="31">
        <f t="shared" si="590"/>
        <v>0</v>
      </c>
      <c r="Y896" t="b">
        <f t="shared" si="591"/>
        <v>0</v>
      </c>
      <c r="Z896" s="78">
        <f t="shared" si="592"/>
        <v>-15</v>
      </c>
    </row>
    <row r="897" spans="1:26" x14ac:dyDescent="0.25">
      <c r="A897" s="53">
        <v>2023</v>
      </c>
      <c r="B897" s="53">
        <v>23</v>
      </c>
      <c r="C897" s="71" t="s">
        <v>105</v>
      </c>
      <c r="D897" t="s">
        <v>705</v>
      </c>
      <c r="E897"/>
      <c r="G897" s="1">
        <v>44960</v>
      </c>
      <c r="H897" t="s">
        <v>1670</v>
      </c>
      <c r="K897" t="b">
        <f>(IF(AND(I897&lt;&gt;"",AND(J897="",ABS(Q897)&gt;400)),TRUE,FALSE))</f>
        <v>0</v>
      </c>
      <c r="L897" s="48">
        <v>5</v>
      </c>
      <c r="M897" s="72">
        <v>1</v>
      </c>
      <c r="N897">
        <v>20</v>
      </c>
      <c r="O897" s="31">
        <f t="shared" si="582"/>
        <v>1</v>
      </c>
      <c r="P897" s="31">
        <f t="shared" si="583"/>
        <v>1</v>
      </c>
      <c r="Q897" s="33">
        <f t="shared" si="584"/>
        <v>5</v>
      </c>
      <c r="R897" s="29">
        <f t="shared" si="585"/>
        <v>6</v>
      </c>
      <c r="S897" s="29">
        <f t="shared" si="586"/>
        <v>6</v>
      </c>
      <c r="T897" s="35">
        <f t="shared" si="580"/>
        <v>45031</v>
      </c>
      <c r="U897" s="27"/>
      <c r="V897" s="27"/>
      <c r="W897" s="58">
        <f>IF(K897=TRUE,Q897/J897,Q897)</f>
        <v>5</v>
      </c>
      <c r="X897" s="31">
        <f t="shared" si="590"/>
        <v>0</v>
      </c>
      <c r="Y897" t="b">
        <f t="shared" si="591"/>
        <v>0</v>
      </c>
      <c r="Z897" s="78">
        <f t="shared" si="592"/>
        <v>-5</v>
      </c>
    </row>
    <row r="898" spans="1:26" x14ac:dyDescent="0.25">
      <c r="A898" s="53">
        <v>2023</v>
      </c>
      <c r="B898" s="53">
        <v>24</v>
      </c>
      <c r="C898" s="71" t="s">
        <v>105</v>
      </c>
      <c r="D898" t="s">
        <v>339</v>
      </c>
      <c r="G898" s="1">
        <v>44961</v>
      </c>
      <c r="H898" t="s">
        <v>975</v>
      </c>
      <c r="K898" t="b">
        <f>(IF(AND(I898&lt;&gt;"",AND(J898="",ABS(Q898)&gt;400)),TRUE,FALSE))</f>
        <v>0</v>
      </c>
      <c r="L898" s="48">
        <f>13.84/1.2</f>
        <v>11.533333333333333</v>
      </c>
      <c r="M898" s="72">
        <v>1</v>
      </c>
      <c r="N898">
        <v>20</v>
      </c>
      <c r="O898" s="31">
        <f>L898*N898/100</f>
        <v>2.3066666666666666</v>
      </c>
      <c r="P898" s="31">
        <f>M898*O898</f>
        <v>2.3066666666666666</v>
      </c>
      <c r="Q898" s="33">
        <f>L898*M898</f>
        <v>11.533333333333333</v>
      </c>
      <c r="R898" s="29">
        <f>L898+O898</f>
        <v>13.84</v>
      </c>
      <c r="S898" s="29">
        <f t="shared" si="586"/>
        <v>13.84</v>
      </c>
      <c r="T898" s="35">
        <f t="shared" si="580"/>
        <v>45031</v>
      </c>
      <c r="U898" s="27"/>
      <c r="V898" s="27"/>
      <c r="W898" s="58">
        <f>IF(K898=TRUE,Q898/J898,Q898)</f>
        <v>11.533333333333333</v>
      </c>
      <c r="X898" s="31">
        <f>V898/100*S898</f>
        <v>0</v>
      </c>
      <c r="Y898" t="b">
        <f>IF(AND(V898&gt;0,N898=V898),TRUE,FALSE)</f>
        <v>0</v>
      </c>
      <c r="Z898" s="78">
        <f>IF(C898="Einnahmen",Q898,-Q898)</f>
        <v>-11.533333333333333</v>
      </c>
    </row>
    <row r="899" spans="1:26" x14ac:dyDescent="0.25">
      <c r="A899" s="53">
        <v>2023</v>
      </c>
      <c r="B899" s="53">
        <v>25</v>
      </c>
      <c r="C899" s="71" t="s">
        <v>105</v>
      </c>
      <c r="D899" t="s">
        <v>339</v>
      </c>
      <c r="E899" s="9" t="s">
        <v>1726</v>
      </c>
      <c r="G899" s="1">
        <v>44927</v>
      </c>
      <c r="H899" t="s">
        <v>1748</v>
      </c>
      <c r="K899" t="b">
        <f>(IF(AND(I899&lt;&gt;"",AND(J899="",ABS(Q899)&gt;400)),TRUE,FALSE))</f>
        <v>0</v>
      </c>
      <c r="L899" s="48">
        <f>8.68/1.2</f>
        <v>7.2333333333333334</v>
      </c>
      <c r="M899" s="72">
        <v>1</v>
      </c>
      <c r="N899">
        <v>20</v>
      </c>
      <c r="O899" s="31">
        <f>L899*N899/100</f>
        <v>1.4466666666666665</v>
      </c>
      <c r="P899" s="31">
        <f>M899*O899</f>
        <v>1.4466666666666665</v>
      </c>
      <c r="Q899" s="33">
        <f>L899*M899</f>
        <v>7.2333333333333334</v>
      </c>
      <c r="R899" s="29">
        <f>L899+O899</f>
        <v>8.68</v>
      </c>
      <c r="S899" s="29">
        <f t="shared" ref="S899:S917" si="593">Q899+P899</f>
        <v>8.68</v>
      </c>
      <c r="T899" s="35">
        <f t="shared" si="580"/>
        <v>45000</v>
      </c>
      <c r="U899" s="27"/>
      <c r="V899" s="27"/>
      <c r="W899" s="58">
        <f>IF(K899=TRUE,Q899/J899,Q899)</f>
        <v>7.2333333333333334</v>
      </c>
      <c r="X899" s="31">
        <f>V899/100*S899</f>
        <v>0</v>
      </c>
      <c r="Y899" t="b">
        <f>IF(AND(V899&gt;0,N899=V899),TRUE,FALSE)</f>
        <v>0</v>
      </c>
      <c r="Z899" s="78">
        <f>IF(C899="Einnahmen",Q899,-Q899)</f>
        <v>-7.2333333333333334</v>
      </c>
    </row>
    <row r="900" spans="1:26" x14ac:dyDescent="0.25">
      <c r="A900" s="155">
        <v>2023</v>
      </c>
      <c r="B900" s="155">
        <v>26</v>
      </c>
      <c r="C900" s="71" t="s">
        <v>105</v>
      </c>
      <c r="D900" t="s">
        <v>339</v>
      </c>
      <c r="E900" s="9" t="s">
        <v>1714</v>
      </c>
      <c r="G900" s="1">
        <v>44963</v>
      </c>
      <c r="H900" t="s">
        <v>981</v>
      </c>
      <c r="K900" t="b">
        <v>0</v>
      </c>
      <c r="L900" s="109">
        <v>-16.8</v>
      </c>
      <c r="M900" s="72">
        <v>1</v>
      </c>
      <c r="N900">
        <v>20</v>
      </c>
      <c r="O900" s="31">
        <f>L900*N900/100</f>
        <v>-3.36</v>
      </c>
      <c r="P900" s="31">
        <f>M900*O900</f>
        <v>-3.36</v>
      </c>
      <c r="Q900" s="33">
        <f>L900*M900</f>
        <v>-16.8</v>
      </c>
      <c r="R900" s="29">
        <f>L900+O900</f>
        <v>-20.16</v>
      </c>
      <c r="S900" s="29">
        <f t="shared" si="593"/>
        <v>-20.16</v>
      </c>
      <c r="T900" s="35">
        <f t="shared" si="580"/>
        <v>45031</v>
      </c>
      <c r="U900" s="27"/>
      <c r="V900" s="27"/>
      <c r="W900" s="58">
        <f>IF(K900=TRUE,Q900/I900,Q900)</f>
        <v>-16.8</v>
      </c>
      <c r="X900" s="31">
        <f>V900/100*S900</f>
        <v>0</v>
      </c>
      <c r="Y900" t="b">
        <f>IF(AND(V900&gt;0,N900=V900),TRUE,FALSE)</f>
        <v>0</v>
      </c>
      <c r="Z900" s="78">
        <f>IF(C900="Einnahmen",Q900,-Q900)</f>
        <v>16.8</v>
      </c>
    </row>
    <row r="901" spans="1:26" x14ac:dyDescent="0.25">
      <c r="A901" s="155">
        <v>2023</v>
      </c>
      <c r="B901" s="155">
        <v>27</v>
      </c>
      <c r="C901" s="71" t="s">
        <v>105</v>
      </c>
      <c r="D901" t="s">
        <v>685</v>
      </c>
      <c r="E901" s="9" t="s">
        <v>1735</v>
      </c>
      <c r="G901" s="1">
        <v>44963</v>
      </c>
      <c r="H901" t="s">
        <v>1734</v>
      </c>
      <c r="L901" s="109">
        <v>119.52</v>
      </c>
      <c r="M901" s="72">
        <v>1</v>
      </c>
      <c r="N901">
        <v>0</v>
      </c>
      <c r="O901" s="31">
        <f t="shared" ref="O901:O910" si="594">L901*N901/100</f>
        <v>0</v>
      </c>
      <c r="P901" s="31">
        <f t="shared" ref="P901:P910" si="595">M901*O901</f>
        <v>0</v>
      </c>
      <c r="Q901" s="33">
        <f t="shared" ref="Q901:Q910" si="596">L901*M901</f>
        <v>119.52</v>
      </c>
      <c r="R901" s="29">
        <f t="shared" ref="R901:R910" si="597">L901+O901</f>
        <v>119.52</v>
      </c>
      <c r="S901" s="29">
        <f t="shared" si="593"/>
        <v>119.52</v>
      </c>
      <c r="T901" s="35">
        <f t="shared" si="580"/>
        <v>45031</v>
      </c>
      <c r="U901" s="27"/>
      <c r="V901" s="27"/>
      <c r="W901" s="58">
        <f>IF(K901=TRUE,Q901/I901,Q901)</f>
        <v>119.52</v>
      </c>
      <c r="X901" s="31">
        <f t="shared" ref="X901:X910" si="598">V901/100*S901</f>
        <v>0</v>
      </c>
      <c r="Y901" t="b">
        <f t="shared" ref="Y901:Y910" si="599">IF(AND(V901&gt;0,N901=V901),TRUE,FALSE)</f>
        <v>0</v>
      </c>
      <c r="Z901" s="78">
        <f t="shared" ref="Z901:Z910" si="600">IF(C901="Einnahmen",Q901,-Q901)</f>
        <v>-119.52</v>
      </c>
    </row>
    <row r="902" spans="1:26" x14ac:dyDescent="0.25">
      <c r="A902" s="155">
        <v>2023</v>
      </c>
      <c r="B902" s="155">
        <v>28</v>
      </c>
      <c r="C902" s="71" t="s">
        <v>105</v>
      </c>
      <c r="D902" t="s">
        <v>691</v>
      </c>
      <c r="E902" s="61" t="s">
        <v>1064</v>
      </c>
      <c r="G902" s="1">
        <v>44963</v>
      </c>
      <c r="H902" t="s">
        <v>1558</v>
      </c>
      <c r="K902" t="b">
        <v>0</v>
      </c>
      <c r="L902" s="109">
        <v>122.6</v>
      </c>
      <c r="M902" s="72">
        <v>1</v>
      </c>
      <c r="N902">
        <v>20</v>
      </c>
      <c r="O902" s="31">
        <f t="shared" si="594"/>
        <v>24.52</v>
      </c>
      <c r="P902" s="31">
        <f t="shared" si="595"/>
        <v>24.52</v>
      </c>
      <c r="Q902" s="33">
        <f t="shared" si="596"/>
        <v>122.6</v>
      </c>
      <c r="R902" s="29">
        <f t="shared" si="597"/>
        <v>147.12</v>
      </c>
      <c r="S902" s="29">
        <f t="shared" si="593"/>
        <v>147.12</v>
      </c>
      <c r="T902" s="35">
        <f t="shared" si="580"/>
        <v>45031</v>
      </c>
      <c r="U902" s="27"/>
      <c r="V902" s="27"/>
      <c r="W902" s="58">
        <f>IF(K902=TRUE,Q902/J902,Q902)</f>
        <v>122.6</v>
      </c>
      <c r="X902" s="31">
        <f t="shared" si="598"/>
        <v>0</v>
      </c>
      <c r="Y902" t="b">
        <f t="shared" si="599"/>
        <v>0</v>
      </c>
      <c r="Z902" s="78">
        <f t="shared" si="600"/>
        <v>-122.6</v>
      </c>
    </row>
    <row r="903" spans="1:26" x14ac:dyDescent="0.25">
      <c r="A903" s="155">
        <v>2023</v>
      </c>
      <c r="B903" s="155">
        <v>29</v>
      </c>
      <c r="C903" s="71" t="s">
        <v>708</v>
      </c>
      <c r="D903" t="s">
        <v>709</v>
      </c>
      <c r="E903">
        <v>12022029</v>
      </c>
      <c r="G903" s="1">
        <v>44965</v>
      </c>
      <c r="H903" t="s">
        <v>1388</v>
      </c>
      <c r="K903" t="b">
        <v>0</v>
      </c>
      <c r="L903" s="48">
        <v>540</v>
      </c>
      <c r="M903" s="72">
        <v>1</v>
      </c>
      <c r="N903">
        <v>20</v>
      </c>
      <c r="O903" s="31">
        <f t="shared" si="594"/>
        <v>108</v>
      </c>
      <c r="P903" s="31">
        <f t="shared" si="595"/>
        <v>108</v>
      </c>
      <c r="Q903" s="33">
        <f t="shared" si="596"/>
        <v>540</v>
      </c>
      <c r="R903" s="29">
        <f t="shared" si="597"/>
        <v>648</v>
      </c>
      <c r="S903" s="29">
        <f t="shared" si="593"/>
        <v>648</v>
      </c>
      <c r="T903" s="35">
        <f t="shared" si="580"/>
        <v>45031</v>
      </c>
      <c r="U903" s="27"/>
      <c r="V903" s="27"/>
      <c r="W903" s="58">
        <f>IF(K903=TRUE,Q903/I903,Q903)</f>
        <v>540</v>
      </c>
      <c r="X903" s="31">
        <f t="shared" si="598"/>
        <v>0</v>
      </c>
      <c r="Y903" t="b">
        <f t="shared" si="599"/>
        <v>0</v>
      </c>
      <c r="Z903" s="78">
        <f t="shared" si="600"/>
        <v>540</v>
      </c>
    </row>
    <row r="904" spans="1:26" x14ac:dyDescent="0.25">
      <c r="A904" s="155">
        <v>2023</v>
      </c>
      <c r="B904" s="155">
        <v>30</v>
      </c>
      <c r="C904" s="71" t="s">
        <v>708</v>
      </c>
      <c r="D904" t="s">
        <v>709</v>
      </c>
      <c r="E904">
        <v>12022026</v>
      </c>
      <c r="G904" s="1">
        <v>44965</v>
      </c>
      <c r="H904" t="s">
        <v>1652</v>
      </c>
      <c r="K904" t="b">
        <f>(IF(AND(I904&lt;&gt;"",AND(J904="",ABS(Q904)&gt;400)),TRUE,FALSE))</f>
        <v>0</v>
      </c>
      <c r="L904" s="48">
        <v>12537</v>
      </c>
      <c r="M904" s="72">
        <v>1</v>
      </c>
      <c r="N904">
        <v>20</v>
      </c>
      <c r="O904" s="31">
        <f t="shared" si="594"/>
        <v>2507.4</v>
      </c>
      <c r="P904" s="31">
        <f t="shared" si="595"/>
        <v>2507.4</v>
      </c>
      <c r="Q904" s="33">
        <f t="shared" si="596"/>
        <v>12537</v>
      </c>
      <c r="R904" s="29">
        <f t="shared" si="597"/>
        <v>15044.4</v>
      </c>
      <c r="S904" s="29">
        <f t="shared" si="593"/>
        <v>15044.4</v>
      </c>
      <c r="T904" s="35">
        <f t="shared" si="580"/>
        <v>45031</v>
      </c>
      <c r="U904" s="27"/>
      <c r="V904" s="27"/>
      <c r="W904" s="58">
        <f>IF(K904=TRUE,Q904/J904,Q904)</f>
        <v>12537</v>
      </c>
      <c r="X904" s="31">
        <f t="shared" si="598"/>
        <v>0</v>
      </c>
      <c r="Y904" t="b">
        <f t="shared" si="599"/>
        <v>0</v>
      </c>
      <c r="Z904" s="78">
        <f t="shared" si="600"/>
        <v>12537</v>
      </c>
    </row>
    <row r="905" spans="1:26" x14ac:dyDescent="0.25">
      <c r="A905" s="155">
        <v>2023</v>
      </c>
      <c r="B905" s="155">
        <v>31</v>
      </c>
      <c r="C905" s="71" t="s">
        <v>105</v>
      </c>
      <c r="D905" t="s">
        <v>705</v>
      </c>
      <c r="G905" s="1">
        <v>44970</v>
      </c>
      <c r="H905" t="s">
        <v>927</v>
      </c>
      <c r="K905" t="b">
        <f>(IF(AND(I905&lt;&gt;"",AND(J905="",ABS(Q905)&gt;400)),TRUE,FALSE))</f>
        <v>0</v>
      </c>
      <c r="L905" s="48">
        <v>52.214100000000002</v>
      </c>
      <c r="M905" s="72">
        <v>1</v>
      </c>
      <c r="N905">
        <v>0</v>
      </c>
      <c r="O905" s="31">
        <f>L905*N905/100</f>
        <v>0</v>
      </c>
      <c r="P905" s="31">
        <f>M905*O905</f>
        <v>0</v>
      </c>
      <c r="Q905" s="33">
        <f>L905*M905</f>
        <v>52.214100000000002</v>
      </c>
      <c r="R905" s="29">
        <f>L905+O905</f>
        <v>52.214100000000002</v>
      </c>
      <c r="S905" s="29">
        <f t="shared" si="593"/>
        <v>52.214100000000002</v>
      </c>
      <c r="T905" s="35">
        <f t="shared" si="580"/>
        <v>45031</v>
      </c>
      <c r="U905" s="27"/>
      <c r="V905" s="27">
        <v>20</v>
      </c>
      <c r="W905" s="58">
        <f>IF(K905=TRUE,Q905/J905,Q905)</f>
        <v>52.214100000000002</v>
      </c>
      <c r="X905" s="31">
        <f>V905/100*S905</f>
        <v>10.442820000000001</v>
      </c>
      <c r="Y905" t="b">
        <f>IF(AND(V905&gt;0,N905=V905),TRUE,FALSE)</f>
        <v>0</v>
      </c>
      <c r="Z905" s="78">
        <f>IF(C905="Einnahmen",Q905,-Q905)</f>
        <v>-52.214100000000002</v>
      </c>
    </row>
    <row r="906" spans="1:26" x14ac:dyDescent="0.25">
      <c r="A906" s="155">
        <v>2023</v>
      </c>
      <c r="B906" s="155">
        <v>32</v>
      </c>
      <c r="C906" s="71" t="s">
        <v>105</v>
      </c>
      <c r="D906" t="s">
        <v>705</v>
      </c>
      <c r="E906" s="61" t="s">
        <v>1064</v>
      </c>
      <c r="G906" s="1">
        <v>44967</v>
      </c>
      <c r="H906" t="s">
        <v>1466</v>
      </c>
      <c r="K906" t="b">
        <f>(IF(AND(I906&lt;&gt;"",AND(J906="",ABS(Q906)&gt;400)),TRUE,FALSE))</f>
        <v>0</v>
      </c>
      <c r="L906" s="48">
        <v>12</v>
      </c>
      <c r="M906" s="72">
        <v>1</v>
      </c>
      <c r="N906">
        <v>20</v>
      </c>
      <c r="O906" s="31">
        <f t="shared" si="594"/>
        <v>2.4</v>
      </c>
      <c r="P906" s="31">
        <f t="shared" si="595"/>
        <v>2.4</v>
      </c>
      <c r="Q906" s="33">
        <f t="shared" si="596"/>
        <v>12</v>
      </c>
      <c r="R906" s="29">
        <f t="shared" si="597"/>
        <v>14.4</v>
      </c>
      <c r="S906" s="29">
        <f t="shared" si="593"/>
        <v>14.4</v>
      </c>
      <c r="T906" s="35">
        <f t="shared" si="580"/>
        <v>45031</v>
      </c>
      <c r="U906" s="27"/>
      <c r="V906" s="27"/>
      <c r="W906" s="58">
        <f>IF(K906=TRUE,Q906/J906,Q906)</f>
        <v>12</v>
      </c>
      <c r="X906" s="31">
        <f t="shared" si="598"/>
        <v>0</v>
      </c>
      <c r="Y906" t="b">
        <f t="shared" si="599"/>
        <v>0</v>
      </c>
      <c r="Z906" s="78">
        <f t="shared" si="600"/>
        <v>-12</v>
      </c>
    </row>
    <row r="907" spans="1:26" x14ac:dyDescent="0.25">
      <c r="A907" s="155">
        <v>2023</v>
      </c>
      <c r="B907" s="155">
        <v>33</v>
      </c>
      <c r="C907" s="71" t="s">
        <v>105</v>
      </c>
      <c r="D907" t="s">
        <v>339</v>
      </c>
      <c r="E907" s="9" t="s">
        <v>1736</v>
      </c>
      <c r="G907" s="1">
        <v>44971</v>
      </c>
      <c r="H907" t="s">
        <v>981</v>
      </c>
      <c r="K907" t="b">
        <v>0</v>
      </c>
      <c r="L907" s="109">
        <v>8.0500000000000007</v>
      </c>
      <c r="M907" s="72">
        <v>1</v>
      </c>
      <c r="N907">
        <v>20</v>
      </c>
      <c r="O907" s="31">
        <f t="shared" si="594"/>
        <v>1.61</v>
      </c>
      <c r="P907" s="31">
        <f t="shared" si="595"/>
        <v>1.61</v>
      </c>
      <c r="Q907" s="33">
        <f t="shared" si="596"/>
        <v>8.0500000000000007</v>
      </c>
      <c r="R907" s="29">
        <f t="shared" si="597"/>
        <v>9.66</v>
      </c>
      <c r="S907" s="29">
        <f t="shared" si="593"/>
        <v>9.66</v>
      </c>
      <c r="T907" s="35">
        <f t="shared" si="580"/>
        <v>45031</v>
      </c>
      <c r="U907" s="27"/>
      <c r="V907" s="27"/>
      <c r="W907" s="58">
        <f>IF(K907=TRUE,Q907/I907,Q907)</f>
        <v>8.0500000000000007</v>
      </c>
      <c r="X907" s="31">
        <f t="shared" si="598"/>
        <v>0</v>
      </c>
      <c r="Y907" t="b">
        <f t="shared" si="599"/>
        <v>0</v>
      </c>
      <c r="Z907" s="78">
        <f t="shared" si="600"/>
        <v>-8.0500000000000007</v>
      </c>
    </row>
    <row r="908" spans="1:26" x14ac:dyDescent="0.25">
      <c r="A908" s="155">
        <v>2023</v>
      </c>
      <c r="B908" s="155">
        <v>34</v>
      </c>
      <c r="C908" s="71" t="s">
        <v>105</v>
      </c>
      <c r="D908" t="s">
        <v>685</v>
      </c>
      <c r="E908" s="9" t="s">
        <v>1699</v>
      </c>
      <c r="G908" s="1">
        <v>44972</v>
      </c>
      <c r="H908" t="s">
        <v>1689</v>
      </c>
      <c r="K908" t="b">
        <f>(IF(AND(I908&lt;&gt;"",AND(J908="",ABS(Q908)&gt;400)),TRUE,FALSE))</f>
        <v>0</v>
      </c>
      <c r="L908" s="48">
        <v>365</v>
      </c>
      <c r="M908" s="72">
        <v>1</v>
      </c>
      <c r="N908">
        <v>0</v>
      </c>
      <c r="O908" s="31">
        <f t="shared" si="594"/>
        <v>0</v>
      </c>
      <c r="P908" s="31">
        <f t="shared" si="595"/>
        <v>0</v>
      </c>
      <c r="Q908" s="33">
        <f t="shared" si="596"/>
        <v>365</v>
      </c>
      <c r="R908" s="29">
        <f t="shared" si="597"/>
        <v>365</v>
      </c>
      <c r="S908" s="29">
        <f t="shared" si="593"/>
        <v>365</v>
      </c>
      <c r="T908" s="35">
        <f t="shared" si="580"/>
        <v>45031</v>
      </c>
      <c r="U908" s="27"/>
      <c r="V908" s="27"/>
      <c r="W908" s="58">
        <f>IF(K908=TRUE,Q908/J908,Q908)</f>
        <v>365</v>
      </c>
      <c r="X908" s="31">
        <f t="shared" si="598"/>
        <v>0</v>
      </c>
      <c r="Y908" t="b">
        <f t="shared" si="599"/>
        <v>0</v>
      </c>
      <c r="Z908" s="78">
        <f t="shared" si="600"/>
        <v>-365</v>
      </c>
    </row>
    <row r="909" spans="1:26" x14ac:dyDescent="0.25">
      <c r="A909" s="155">
        <v>2023</v>
      </c>
      <c r="B909" s="155">
        <v>35</v>
      </c>
      <c r="C909" s="71" t="s">
        <v>105</v>
      </c>
      <c r="D909" t="s">
        <v>689</v>
      </c>
      <c r="E909" s="131"/>
      <c r="G909" s="1">
        <v>44973</v>
      </c>
      <c r="H909" t="s">
        <v>974</v>
      </c>
      <c r="K909" t="b">
        <v>0</v>
      </c>
      <c r="L909" s="48">
        <v>16.670000000000002</v>
      </c>
      <c r="M909" s="72">
        <v>1</v>
      </c>
      <c r="N909">
        <v>20</v>
      </c>
      <c r="O909" s="31">
        <f t="shared" si="594"/>
        <v>3.3340000000000005</v>
      </c>
      <c r="P909" s="31">
        <f t="shared" si="595"/>
        <v>3.3340000000000005</v>
      </c>
      <c r="Q909" s="33">
        <f t="shared" si="596"/>
        <v>16.670000000000002</v>
      </c>
      <c r="R909" s="29">
        <f t="shared" si="597"/>
        <v>20.004000000000001</v>
      </c>
      <c r="S909" s="29">
        <f t="shared" si="593"/>
        <v>20.004000000000001</v>
      </c>
      <c r="T909" s="35">
        <f t="shared" si="580"/>
        <v>45031</v>
      </c>
      <c r="U909" s="27"/>
      <c r="V909" s="27"/>
      <c r="W909" s="58">
        <f>IF(K909=TRUE,Q909/J909,Q909)</f>
        <v>16.670000000000002</v>
      </c>
      <c r="X909" s="31">
        <f t="shared" si="598"/>
        <v>0</v>
      </c>
      <c r="Y909" t="b">
        <f t="shared" si="599"/>
        <v>0</v>
      </c>
      <c r="Z909" s="78">
        <f t="shared" si="600"/>
        <v>-16.670000000000002</v>
      </c>
    </row>
    <row r="910" spans="1:26" x14ac:dyDescent="0.25">
      <c r="A910" s="155">
        <v>2023</v>
      </c>
      <c r="B910" s="155">
        <v>36</v>
      </c>
      <c r="C910" s="71" t="s">
        <v>105</v>
      </c>
      <c r="D910" t="s">
        <v>705</v>
      </c>
      <c r="E910" s="1"/>
      <c r="G910" s="1">
        <v>44977</v>
      </c>
      <c r="H910" t="s">
        <v>1032</v>
      </c>
      <c r="K910" t="b">
        <f>(IF(AND(I910&lt;&gt;"",AND(J910="",ABS(Q910)&gt;400)),TRUE,FALSE))</f>
        <v>0</v>
      </c>
      <c r="L910" s="109">
        <v>10.5</v>
      </c>
      <c r="M910" s="72">
        <v>1</v>
      </c>
      <c r="N910">
        <v>0</v>
      </c>
      <c r="O910" s="31">
        <f t="shared" si="594"/>
        <v>0</v>
      </c>
      <c r="P910" s="31">
        <f t="shared" si="595"/>
        <v>0</v>
      </c>
      <c r="Q910" s="33">
        <f t="shared" si="596"/>
        <v>10.5</v>
      </c>
      <c r="R910" s="29">
        <f t="shared" si="597"/>
        <v>10.5</v>
      </c>
      <c r="S910" s="29">
        <f t="shared" si="593"/>
        <v>10.5</v>
      </c>
      <c r="T910" s="35">
        <f t="shared" si="580"/>
        <v>45031</v>
      </c>
      <c r="U910" s="27"/>
      <c r="V910" s="27">
        <v>20</v>
      </c>
      <c r="W910" s="58">
        <f>IF(K910=TRUE,Q910/J910,Q910)</f>
        <v>10.5</v>
      </c>
      <c r="X910" s="31">
        <f t="shared" si="598"/>
        <v>2.1</v>
      </c>
      <c r="Y910" t="b">
        <f t="shared" si="599"/>
        <v>0</v>
      </c>
      <c r="Z910" s="78">
        <f t="shared" si="600"/>
        <v>-10.5</v>
      </c>
    </row>
    <row r="911" spans="1:26" x14ac:dyDescent="0.25">
      <c r="A911" s="155">
        <v>2023</v>
      </c>
      <c r="B911" s="155">
        <v>37</v>
      </c>
      <c r="C911" s="71" t="s">
        <v>105</v>
      </c>
      <c r="D911" t="s">
        <v>339</v>
      </c>
      <c r="E911" s="9" t="s">
        <v>101</v>
      </c>
      <c r="G911" s="1">
        <v>44978</v>
      </c>
      <c r="H911" t="s">
        <v>981</v>
      </c>
      <c r="K911" t="b">
        <v>0</v>
      </c>
      <c r="L911" s="109">
        <f>77.44</f>
        <v>77.44</v>
      </c>
      <c r="M911" s="72">
        <v>1</v>
      </c>
      <c r="N911">
        <v>20</v>
      </c>
      <c r="O911" s="31">
        <f>L911*N911/100</f>
        <v>15.488</v>
      </c>
      <c r="P911" s="31">
        <f>M911*O911</f>
        <v>15.488</v>
      </c>
      <c r="Q911" s="33">
        <f>L911*M911</f>
        <v>77.44</v>
      </c>
      <c r="R911" s="29">
        <f>L911+O911</f>
        <v>92.927999999999997</v>
      </c>
      <c r="S911" s="29">
        <f t="shared" si="593"/>
        <v>92.927999999999997</v>
      </c>
      <c r="T911" s="35">
        <f t="shared" si="580"/>
        <v>45031</v>
      </c>
      <c r="U911" s="27"/>
      <c r="V911" s="27"/>
      <c r="W911" s="58">
        <f>IF(K911=TRUE,Q911/I911,Q911)</f>
        <v>77.44</v>
      </c>
      <c r="X911" s="31">
        <f>V911/100*S911</f>
        <v>0</v>
      </c>
      <c r="Y911" t="b">
        <f>IF(AND(V911&gt;0,N911=V911),TRUE,FALSE)</f>
        <v>0</v>
      </c>
      <c r="Z911" s="78">
        <f>IF(C911="Einnahmen",Q911,-Q911)</f>
        <v>-77.44</v>
      </c>
    </row>
    <row r="912" spans="1:26" x14ac:dyDescent="0.25">
      <c r="A912" s="155">
        <v>2023</v>
      </c>
      <c r="B912" s="155">
        <v>38</v>
      </c>
      <c r="C912" s="71" t="s">
        <v>105</v>
      </c>
      <c r="D912" t="s">
        <v>339</v>
      </c>
      <c r="G912" s="1">
        <v>44978</v>
      </c>
      <c r="H912" t="s">
        <v>981</v>
      </c>
      <c r="K912" t="b">
        <v>0</v>
      </c>
      <c r="L912" s="109">
        <v>6.71</v>
      </c>
      <c r="M912" s="72">
        <v>1</v>
      </c>
      <c r="N912">
        <v>20</v>
      </c>
      <c r="O912" s="31">
        <f t="shared" ref="O912:O925" si="601">L912*N912/100</f>
        <v>1.3419999999999999</v>
      </c>
      <c r="P912" s="31">
        <f t="shared" ref="P912:P925" si="602">M912*O912</f>
        <v>1.3419999999999999</v>
      </c>
      <c r="Q912" s="33">
        <f t="shared" ref="Q912:Q925" si="603">L912*M912</f>
        <v>6.71</v>
      </c>
      <c r="R912" s="29">
        <f t="shared" ref="R912:R925" si="604">L912+O912</f>
        <v>8.0519999999999996</v>
      </c>
      <c r="S912" s="29">
        <f t="shared" si="593"/>
        <v>8.0519999999999996</v>
      </c>
      <c r="T912" s="35">
        <f t="shared" si="580"/>
        <v>45031</v>
      </c>
      <c r="U912" s="27"/>
      <c r="V912" s="27"/>
      <c r="W912" s="58">
        <f>IF(K912=TRUE,Q912/I912,Q912)</f>
        <v>6.71</v>
      </c>
      <c r="X912" s="31">
        <f t="shared" ref="X912:X925" si="605">V912/100*S912</f>
        <v>0</v>
      </c>
      <c r="Y912" t="b">
        <f t="shared" ref="Y912:Y925" si="606">IF(AND(V912&gt;0,N912=V912),TRUE,FALSE)</f>
        <v>0</v>
      </c>
      <c r="Z912" s="78">
        <f t="shared" ref="Z912:Z925" si="607">IF(C912="Einnahmen",Q912,-Q912)</f>
        <v>-6.71</v>
      </c>
    </row>
    <row r="913" spans="1:26" x14ac:dyDescent="0.25">
      <c r="A913" s="155">
        <v>2023</v>
      </c>
      <c r="B913" s="155">
        <v>39</v>
      </c>
      <c r="C913" s="71" t="s">
        <v>105</v>
      </c>
      <c r="D913" t="s">
        <v>703</v>
      </c>
      <c r="E913" s="131" t="s">
        <v>1737</v>
      </c>
      <c r="G913" s="1">
        <v>44978</v>
      </c>
      <c r="H913" t="s">
        <v>1148</v>
      </c>
      <c r="K913" t="b">
        <f>(IF(AND(I913&lt;&gt;"",AND(J913="",ABS(Q913)&gt;400)),TRUE,FALSE))</f>
        <v>0</v>
      </c>
      <c r="L913" s="48">
        <v>31.92</v>
      </c>
      <c r="M913" s="72">
        <v>1</v>
      </c>
      <c r="N913">
        <v>20</v>
      </c>
      <c r="O913" s="31">
        <f t="shared" si="601"/>
        <v>6.3840000000000012</v>
      </c>
      <c r="P913" s="31">
        <f t="shared" si="602"/>
        <v>6.3840000000000012</v>
      </c>
      <c r="Q913" s="33">
        <f t="shared" si="603"/>
        <v>31.92</v>
      </c>
      <c r="R913" s="29">
        <f t="shared" si="604"/>
        <v>38.304000000000002</v>
      </c>
      <c r="S913" s="29">
        <f t="shared" si="593"/>
        <v>38.304000000000002</v>
      </c>
      <c r="T913" s="35">
        <f t="shared" si="580"/>
        <v>45031</v>
      </c>
      <c r="U913" s="27"/>
      <c r="V913" s="27"/>
      <c r="W913" s="58">
        <f>IF(K913=TRUE,Q913/I913,Q913)</f>
        <v>31.92</v>
      </c>
      <c r="X913" s="31">
        <f t="shared" si="605"/>
        <v>0</v>
      </c>
      <c r="Y913" t="b">
        <f t="shared" si="606"/>
        <v>0</v>
      </c>
      <c r="Z913" s="78">
        <f t="shared" si="607"/>
        <v>-31.92</v>
      </c>
    </row>
    <row r="914" spans="1:26" x14ac:dyDescent="0.25">
      <c r="A914" s="155">
        <v>2023</v>
      </c>
      <c r="B914" s="155">
        <v>40</v>
      </c>
      <c r="C914" s="71" t="s">
        <v>105</v>
      </c>
      <c r="D914" t="s">
        <v>691</v>
      </c>
      <c r="G914" s="1">
        <v>44986</v>
      </c>
      <c r="H914" t="s">
        <v>1113</v>
      </c>
      <c r="K914" t="b">
        <v>0</v>
      </c>
      <c r="L914" s="109">
        <v>515.85</v>
      </c>
      <c r="M914" s="72">
        <v>1</v>
      </c>
      <c r="N914">
        <v>20</v>
      </c>
      <c r="O914" s="31">
        <f t="shared" si="601"/>
        <v>103.17</v>
      </c>
      <c r="P914" s="31">
        <f t="shared" si="602"/>
        <v>103.17</v>
      </c>
      <c r="Q914" s="33">
        <f t="shared" si="603"/>
        <v>515.85</v>
      </c>
      <c r="R914" s="29">
        <f t="shared" si="604"/>
        <v>619.02</v>
      </c>
      <c r="S914" s="29">
        <f t="shared" si="593"/>
        <v>619.02</v>
      </c>
      <c r="T914" s="35">
        <f t="shared" si="580"/>
        <v>45061</v>
      </c>
      <c r="U914" s="27"/>
      <c r="V914" s="27"/>
      <c r="W914" s="58">
        <f>IF(K914=TRUE,Q914/J914,Q914)</f>
        <v>515.85</v>
      </c>
      <c r="X914" s="31">
        <f t="shared" si="605"/>
        <v>0</v>
      </c>
      <c r="Y914" t="b">
        <f t="shared" si="606"/>
        <v>0</v>
      </c>
      <c r="Z914" s="78">
        <f t="shared" si="607"/>
        <v>-515.85</v>
      </c>
    </row>
    <row r="915" spans="1:26" x14ac:dyDescent="0.25">
      <c r="A915" s="155">
        <v>2023</v>
      </c>
      <c r="B915" s="155">
        <v>41</v>
      </c>
      <c r="C915" s="71" t="s">
        <v>105</v>
      </c>
      <c r="D915" t="s">
        <v>689</v>
      </c>
      <c r="E915" s="131"/>
      <c r="G915" s="1">
        <v>44987</v>
      </c>
      <c r="H915" t="s">
        <v>974</v>
      </c>
      <c r="K915" t="b">
        <v>0</v>
      </c>
      <c r="L915" s="48">
        <v>16.670000000000002</v>
      </c>
      <c r="M915" s="72">
        <v>1</v>
      </c>
      <c r="N915">
        <v>20</v>
      </c>
      <c r="O915" s="31">
        <f t="shared" si="601"/>
        <v>3.3340000000000005</v>
      </c>
      <c r="P915" s="31">
        <f t="shared" si="602"/>
        <v>3.3340000000000005</v>
      </c>
      <c r="Q915" s="33">
        <f t="shared" si="603"/>
        <v>16.670000000000002</v>
      </c>
      <c r="R915" s="29">
        <f t="shared" si="604"/>
        <v>20.004000000000001</v>
      </c>
      <c r="S915" s="29">
        <f t="shared" si="593"/>
        <v>20.004000000000001</v>
      </c>
      <c r="T915" s="35">
        <f t="shared" si="580"/>
        <v>45061</v>
      </c>
      <c r="U915" s="27"/>
      <c r="V915" s="27"/>
      <c r="W915" s="58">
        <f>IF(K915=TRUE,Q915/J915,Q915)</f>
        <v>16.670000000000002</v>
      </c>
      <c r="X915" s="31">
        <f t="shared" si="605"/>
        <v>0</v>
      </c>
      <c r="Y915" t="b">
        <f t="shared" si="606"/>
        <v>0</v>
      </c>
      <c r="Z915" s="78">
        <f t="shared" si="607"/>
        <v>-16.670000000000002</v>
      </c>
    </row>
    <row r="916" spans="1:26" x14ac:dyDescent="0.25">
      <c r="A916" s="155">
        <v>2023</v>
      </c>
      <c r="B916" s="155">
        <v>42</v>
      </c>
      <c r="C916" s="71" t="s">
        <v>105</v>
      </c>
      <c r="D916" t="s">
        <v>705</v>
      </c>
      <c r="G916" s="1">
        <v>44988</v>
      </c>
      <c r="H916" t="s">
        <v>1404</v>
      </c>
      <c r="K916" t="b">
        <v>0</v>
      </c>
      <c r="L916" s="109">
        <v>9.36</v>
      </c>
      <c r="M916" s="72">
        <v>1</v>
      </c>
      <c r="N916">
        <v>0</v>
      </c>
      <c r="O916" s="31">
        <f t="shared" si="601"/>
        <v>0</v>
      </c>
      <c r="P916" s="31">
        <f t="shared" si="602"/>
        <v>0</v>
      </c>
      <c r="Q916" s="33">
        <f t="shared" si="603"/>
        <v>9.36</v>
      </c>
      <c r="R916" s="29">
        <f t="shared" si="604"/>
        <v>9.36</v>
      </c>
      <c r="S916" s="29">
        <f t="shared" si="593"/>
        <v>9.36</v>
      </c>
      <c r="T916" s="35">
        <f t="shared" si="580"/>
        <v>45061</v>
      </c>
      <c r="U916" s="27"/>
      <c r="V916" s="27">
        <v>20</v>
      </c>
      <c r="W916" s="58">
        <f>IF(K916=TRUE,Q916/I916,Q916)</f>
        <v>9.36</v>
      </c>
      <c r="X916" s="31">
        <f t="shared" si="605"/>
        <v>1.8719999999999999</v>
      </c>
      <c r="Y916" t="b">
        <f t="shared" si="606"/>
        <v>0</v>
      </c>
      <c r="Z916" s="78">
        <f t="shared" si="607"/>
        <v>-9.36</v>
      </c>
    </row>
    <row r="917" spans="1:26" x14ac:dyDescent="0.25">
      <c r="A917" s="155">
        <v>2023</v>
      </c>
      <c r="B917" s="155">
        <v>43</v>
      </c>
      <c r="C917" s="71" t="s">
        <v>105</v>
      </c>
      <c r="D917" t="s">
        <v>691</v>
      </c>
      <c r="E917" s="61" t="s">
        <v>1064</v>
      </c>
      <c r="G917" s="1">
        <v>44991</v>
      </c>
      <c r="H917" t="s">
        <v>1558</v>
      </c>
      <c r="K917" t="b">
        <v>0</v>
      </c>
      <c r="L917" s="109">
        <v>122.6</v>
      </c>
      <c r="M917" s="72">
        <v>1</v>
      </c>
      <c r="N917">
        <v>20</v>
      </c>
      <c r="O917" s="31">
        <f t="shared" si="601"/>
        <v>24.52</v>
      </c>
      <c r="P917" s="31">
        <f t="shared" si="602"/>
        <v>24.52</v>
      </c>
      <c r="Q917" s="33">
        <f t="shared" si="603"/>
        <v>122.6</v>
      </c>
      <c r="R917" s="29">
        <f t="shared" si="604"/>
        <v>147.12</v>
      </c>
      <c r="S917" s="29">
        <f t="shared" si="593"/>
        <v>147.12</v>
      </c>
      <c r="T917" s="35">
        <f t="shared" si="580"/>
        <v>45061</v>
      </c>
      <c r="U917" s="27"/>
      <c r="V917" s="27"/>
      <c r="W917" s="58">
        <f>IF(K917=TRUE,Q917/J917,Q917)</f>
        <v>122.6</v>
      </c>
      <c r="X917" s="31">
        <f t="shared" si="605"/>
        <v>0</v>
      </c>
      <c r="Y917" t="b">
        <f t="shared" si="606"/>
        <v>0</v>
      </c>
      <c r="Z917" s="78">
        <f t="shared" si="607"/>
        <v>-122.6</v>
      </c>
    </row>
    <row r="918" spans="1:26" x14ac:dyDescent="0.25">
      <c r="A918" s="155">
        <v>2023</v>
      </c>
      <c r="B918" s="155">
        <v>44</v>
      </c>
      <c r="C918" s="71" t="s">
        <v>105</v>
      </c>
      <c r="D918" t="s">
        <v>705</v>
      </c>
      <c r="E918"/>
      <c r="G918" s="1">
        <v>44988</v>
      </c>
      <c r="H918" t="s">
        <v>1670</v>
      </c>
      <c r="K918" t="b">
        <f t="shared" ref="K918:K924" si="608">(IF(AND(I918&lt;&gt;"",AND(J918="",ABS(Q918)&gt;400)),TRUE,FALSE))</f>
        <v>0</v>
      </c>
      <c r="L918" s="48">
        <v>5</v>
      </c>
      <c r="M918" s="72">
        <v>1</v>
      </c>
      <c r="N918">
        <v>20</v>
      </c>
      <c r="O918" s="31">
        <f>L918*N918/100</f>
        <v>1</v>
      </c>
      <c r="P918" s="31">
        <f>M918*O918</f>
        <v>1</v>
      </c>
      <c r="Q918" s="33">
        <f>L918*M918</f>
        <v>5</v>
      </c>
      <c r="R918" s="29">
        <f>L918+O918</f>
        <v>6</v>
      </c>
      <c r="S918" s="29">
        <f t="shared" ref="S918:S926" si="609">Q918+P918</f>
        <v>6</v>
      </c>
      <c r="T918" s="35">
        <f t="shared" si="580"/>
        <v>45061</v>
      </c>
      <c r="U918" s="27"/>
      <c r="V918" s="27"/>
      <c r="W918" s="58">
        <f>IF(K918=TRUE,Q918/J918,Q918)</f>
        <v>5</v>
      </c>
      <c r="X918" s="31">
        <f>V918/100*S918</f>
        <v>0</v>
      </c>
      <c r="Y918" t="b">
        <f>IF(AND(V918&gt;0,N918=V918),TRUE,FALSE)</f>
        <v>0</v>
      </c>
      <c r="Z918" s="78">
        <f>IF(C918="Einnahmen",Q918,-Q918)</f>
        <v>-5</v>
      </c>
    </row>
    <row r="919" spans="1:26" x14ac:dyDescent="0.25">
      <c r="A919" s="155">
        <v>2023</v>
      </c>
      <c r="B919" s="155">
        <v>45</v>
      </c>
      <c r="C919" s="71" t="s">
        <v>105</v>
      </c>
      <c r="D919" t="s">
        <v>703</v>
      </c>
      <c r="G919" s="1">
        <v>44992</v>
      </c>
      <c r="H919" t="s">
        <v>34</v>
      </c>
      <c r="K919" t="b">
        <f t="shared" si="608"/>
        <v>0</v>
      </c>
      <c r="L919" s="48">
        <v>15</v>
      </c>
      <c r="M919" s="72">
        <v>1</v>
      </c>
      <c r="N919">
        <v>20</v>
      </c>
      <c r="O919" s="31">
        <f t="shared" si="601"/>
        <v>3</v>
      </c>
      <c r="P919" s="31">
        <f t="shared" si="602"/>
        <v>3</v>
      </c>
      <c r="Q919" s="33">
        <f t="shared" si="603"/>
        <v>15</v>
      </c>
      <c r="R919" s="29">
        <f t="shared" si="604"/>
        <v>18</v>
      </c>
      <c r="S919" s="29">
        <f t="shared" si="609"/>
        <v>18</v>
      </c>
      <c r="T919" s="35">
        <f t="shared" si="580"/>
        <v>45061</v>
      </c>
      <c r="U919" s="27"/>
      <c r="V919" s="27"/>
      <c r="W919" s="58">
        <f>IF(K919=TRUE,Q919/I919,Q919)</f>
        <v>15</v>
      </c>
      <c r="X919" s="31">
        <f t="shared" si="605"/>
        <v>0</v>
      </c>
      <c r="Y919" t="b">
        <f t="shared" si="606"/>
        <v>0</v>
      </c>
      <c r="Z919" s="78">
        <f t="shared" si="607"/>
        <v>-15</v>
      </c>
    </row>
    <row r="920" spans="1:26" x14ac:dyDescent="0.25">
      <c r="A920" s="155">
        <v>2023</v>
      </c>
      <c r="B920" s="155">
        <v>46</v>
      </c>
      <c r="C920" s="71" t="s">
        <v>105</v>
      </c>
      <c r="D920" t="s">
        <v>705</v>
      </c>
      <c r="G920" s="1">
        <v>44998</v>
      </c>
      <c r="H920" t="s">
        <v>927</v>
      </c>
      <c r="K920" t="b">
        <f t="shared" si="608"/>
        <v>0</v>
      </c>
      <c r="L920" s="48">
        <v>52.214100000000002</v>
      </c>
      <c r="M920" s="72">
        <v>1</v>
      </c>
      <c r="N920">
        <v>0</v>
      </c>
      <c r="O920" s="31">
        <f>L920*N920/100</f>
        <v>0</v>
      </c>
      <c r="P920" s="31">
        <f>M920*O920</f>
        <v>0</v>
      </c>
      <c r="Q920" s="33">
        <f>L920*M920</f>
        <v>52.214100000000002</v>
      </c>
      <c r="R920" s="29">
        <f>L920+O920</f>
        <v>52.214100000000002</v>
      </c>
      <c r="S920" s="29">
        <f t="shared" si="609"/>
        <v>52.214100000000002</v>
      </c>
      <c r="T920" s="35">
        <f t="shared" si="580"/>
        <v>45061</v>
      </c>
      <c r="U920" s="27"/>
      <c r="V920" s="27">
        <v>20</v>
      </c>
      <c r="W920" s="58">
        <f>IF(K920=TRUE,Q920/J920,Q920)</f>
        <v>52.214100000000002</v>
      </c>
      <c r="X920" s="31">
        <f>V920/100*S920</f>
        <v>10.442820000000001</v>
      </c>
      <c r="Y920" t="b">
        <f>IF(AND(V920&gt;0,N920=V920),TRUE,FALSE)</f>
        <v>0</v>
      </c>
      <c r="Z920" s="78">
        <f>IF(C920="Einnahmen",Q920,-Q920)</f>
        <v>-52.214100000000002</v>
      </c>
    </row>
    <row r="921" spans="1:26" x14ac:dyDescent="0.25">
      <c r="A921" s="155">
        <v>2023</v>
      </c>
      <c r="B921" s="155">
        <v>47</v>
      </c>
      <c r="C921" s="71" t="s">
        <v>105</v>
      </c>
      <c r="D921" t="s">
        <v>705</v>
      </c>
      <c r="E921" s="61" t="s">
        <v>1064</v>
      </c>
      <c r="G921" s="1">
        <v>44995</v>
      </c>
      <c r="H921" t="s">
        <v>1466</v>
      </c>
      <c r="K921" t="b">
        <f t="shared" si="608"/>
        <v>0</v>
      </c>
      <c r="L921" s="48">
        <v>12</v>
      </c>
      <c r="M921" s="72">
        <v>1</v>
      </c>
      <c r="N921">
        <v>20</v>
      </c>
      <c r="O921" s="31">
        <f t="shared" si="601"/>
        <v>2.4</v>
      </c>
      <c r="P921" s="31">
        <f t="shared" si="602"/>
        <v>2.4</v>
      </c>
      <c r="Q921" s="33">
        <f t="shared" si="603"/>
        <v>12</v>
      </c>
      <c r="R921" s="29">
        <f t="shared" si="604"/>
        <v>14.4</v>
      </c>
      <c r="S921" s="29">
        <f t="shared" si="609"/>
        <v>14.4</v>
      </c>
      <c r="T921" s="35">
        <f t="shared" si="580"/>
        <v>45061</v>
      </c>
      <c r="U921" s="27"/>
      <c r="V921" s="27"/>
      <c r="W921" s="58">
        <f>IF(K921=TRUE,Q921/J921,Q921)</f>
        <v>12</v>
      </c>
      <c r="X921" s="31">
        <f t="shared" si="605"/>
        <v>0</v>
      </c>
      <c r="Y921" t="b">
        <f t="shared" si="606"/>
        <v>0</v>
      </c>
      <c r="Z921" s="78">
        <f t="shared" si="607"/>
        <v>-12</v>
      </c>
    </row>
    <row r="922" spans="1:26" x14ac:dyDescent="0.25">
      <c r="A922" s="155">
        <v>2023</v>
      </c>
      <c r="B922" s="155">
        <v>48</v>
      </c>
      <c r="C922" s="71" t="s">
        <v>105</v>
      </c>
      <c r="D922" t="s">
        <v>685</v>
      </c>
      <c r="E922" s="9" t="s">
        <v>1699</v>
      </c>
      <c r="G922" s="1">
        <v>45005</v>
      </c>
      <c r="H922" t="s">
        <v>1689</v>
      </c>
      <c r="K922" t="b">
        <f t="shared" si="608"/>
        <v>0</v>
      </c>
      <c r="L922" s="48">
        <v>365</v>
      </c>
      <c r="M922" s="72">
        <v>1</v>
      </c>
      <c r="N922">
        <v>0</v>
      </c>
      <c r="O922" s="31">
        <f t="shared" si="601"/>
        <v>0</v>
      </c>
      <c r="P922" s="31">
        <f t="shared" si="602"/>
        <v>0</v>
      </c>
      <c r="Q922" s="33">
        <f t="shared" si="603"/>
        <v>365</v>
      </c>
      <c r="R922" s="29">
        <f t="shared" si="604"/>
        <v>365</v>
      </c>
      <c r="S922" s="29">
        <f t="shared" si="609"/>
        <v>365</v>
      </c>
      <c r="T922" s="35">
        <f t="shared" si="580"/>
        <v>45061</v>
      </c>
      <c r="U922" s="27"/>
      <c r="V922" s="27"/>
      <c r="W922" s="58">
        <f>IF(K922=TRUE,Q922/J922,Q922)</f>
        <v>365</v>
      </c>
      <c r="X922" s="31">
        <f t="shared" si="605"/>
        <v>0</v>
      </c>
      <c r="Y922" t="b">
        <f t="shared" si="606"/>
        <v>0</v>
      </c>
      <c r="Z922" s="78">
        <f t="shared" si="607"/>
        <v>-365</v>
      </c>
    </row>
    <row r="923" spans="1:26" x14ac:dyDescent="0.25">
      <c r="A923" s="155">
        <v>2023</v>
      </c>
      <c r="B923" s="155">
        <v>49</v>
      </c>
      <c r="C923" s="71" t="s">
        <v>708</v>
      </c>
      <c r="D923" t="s">
        <v>709</v>
      </c>
      <c r="E923">
        <v>12023002</v>
      </c>
      <c r="G923" s="1">
        <v>45002</v>
      </c>
      <c r="H923" t="s">
        <v>1652</v>
      </c>
      <c r="K923" t="b">
        <f t="shared" si="608"/>
        <v>0</v>
      </c>
      <c r="L923" s="48">
        <v>103.42</v>
      </c>
      <c r="M923" s="72">
        <v>1</v>
      </c>
      <c r="N923">
        <v>20</v>
      </c>
      <c r="O923" s="31">
        <f>L923*N923/100</f>
        <v>20.684000000000001</v>
      </c>
      <c r="P923" s="31">
        <f>M923*O923</f>
        <v>20.684000000000001</v>
      </c>
      <c r="Q923" s="33">
        <f>L923*M923</f>
        <v>103.42</v>
      </c>
      <c r="R923" s="29">
        <f>L923+O923</f>
        <v>124.104</v>
      </c>
      <c r="S923" s="29">
        <f t="shared" si="609"/>
        <v>124.104</v>
      </c>
      <c r="T923" s="35">
        <f>DATE(YEAR(EOMONTH(G923,2)),MONTH(EOMONTH(G923,2)),15)</f>
        <v>45061</v>
      </c>
      <c r="U923" s="27"/>
      <c r="V923" s="27"/>
      <c r="W923" s="58">
        <f>IF(K923=TRUE,Q923/J923,Q923)</f>
        <v>103.42</v>
      </c>
      <c r="X923" s="31">
        <f>V923/100*S923</f>
        <v>0</v>
      </c>
      <c r="Y923" t="b">
        <f>IF(AND(V923&gt;0,N923=V923),TRUE,FALSE)</f>
        <v>0</v>
      </c>
      <c r="Z923" s="78">
        <f>IF(C923="Einnahmen",Q923,-Q923)</f>
        <v>103.42</v>
      </c>
    </row>
    <row r="924" spans="1:26" x14ac:dyDescent="0.25">
      <c r="A924" s="155">
        <v>2023</v>
      </c>
      <c r="B924" s="155">
        <v>50</v>
      </c>
      <c r="C924" s="71" t="s">
        <v>708</v>
      </c>
      <c r="D924" t="s">
        <v>709</v>
      </c>
      <c r="E924">
        <v>12023001</v>
      </c>
      <c r="G924" s="1">
        <v>45002</v>
      </c>
      <c r="H924" t="s">
        <v>1652</v>
      </c>
      <c r="K924" t="b">
        <f t="shared" si="608"/>
        <v>0</v>
      </c>
      <c r="L924" s="48">
        <v>13075.88</v>
      </c>
      <c r="M924" s="72">
        <v>1</v>
      </c>
      <c r="N924">
        <v>20</v>
      </c>
      <c r="O924" s="31">
        <f t="shared" si="601"/>
        <v>2615.1759999999999</v>
      </c>
      <c r="P924" s="31">
        <f t="shared" si="602"/>
        <v>2615.1759999999999</v>
      </c>
      <c r="Q924" s="33">
        <f t="shared" si="603"/>
        <v>13075.88</v>
      </c>
      <c r="R924" s="29">
        <f t="shared" si="604"/>
        <v>15691.055999999999</v>
      </c>
      <c r="S924" s="29">
        <f t="shared" si="609"/>
        <v>15691.055999999999</v>
      </c>
      <c r="T924" s="35">
        <f t="shared" si="580"/>
        <v>45061</v>
      </c>
      <c r="U924" s="27"/>
      <c r="V924" s="27"/>
      <c r="W924" s="58">
        <f>IF(K924=TRUE,Q924/J924,Q924)</f>
        <v>13075.88</v>
      </c>
      <c r="X924" s="31">
        <f t="shared" si="605"/>
        <v>0</v>
      </c>
      <c r="Y924" t="b">
        <f t="shared" si="606"/>
        <v>0</v>
      </c>
      <c r="Z924" s="78">
        <f t="shared" si="607"/>
        <v>13075.88</v>
      </c>
    </row>
    <row r="925" spans="1:26" x14ac:dyDescent="0.25">
      <c r="A925" s="155">
        <v>2023</v>
      </c>
      <c r="B925" s="155">
        <v>51</v>
      </c>
      <c r="C925" s="71" t="s">
        <v>105</v>
      </c>
      <c r="D925" t="s">
        <v>339</v>
      </c>
      <c r="G925" s="1">
        <v>45005</v>
      </c>
      <c r="H925" t="s">
        <v>981</v>
      </c>
      <c r="K925" t="b">
        <v>0</v>
      </c>
      <c r="L925" s="109">
        <v>-31.28</v>
      </c>
      <c r="M925" s="72">
        <v>1</v>
      </c>
      <c r="N925">
        <v>20</v>
      </c>
      <c r="O925" s="31">
        <f t="shared" si="601"/>
        <v>-6.2560000000000002</v>
      </c>
      <c r="P925" s="31">
        <f t="shared" si="602"/>
        <v>-6.2560000000000002</v>
      </c>
      <c r="Q925" s="33">
        <f t="shared" si="603"/>
        <v>-31.28</v>
      </c>
      <c r="R925" s="29">
        <f t="shared" si="604"/>
        <v>-37.536000000000001</v>
      </c>
      <c r="S925" s="29">
        <f t="shared" si="609"/>
        <v>-37.536000000000001</v>
      </c>
      <c r="T925" s="35">
        <f t="shared" si="580"/>
        <v>45061</v>
      </c>
      <c r="U925" s="27"/>
      <c r="V925" s="27"/>
      <c r="W925" s="58">
        <f>IF(K925=TRUE,Q925/I925,Q925)</f>
        <v>-31.28</v>
      </c>
      <c r="X925" s="31">
        <f t="shared" si="605"/>
        <v>0</v>
      </c>
      <c r="Y925" t="b">
        <f t="shared" si="606"/>
        <v>0</v>
      </c>
      <c r="Z925" s="78">
        <f t="shared" si="607"/>
        <v>31.28</v>
      </c>
    </row>
    <row r="926" spans="1:26" x14ac:dyDescent="0.25">
      <c r="A926" s="155">
        <v>2023</v>
      </c>
      <c r="B926" s="155">
        <v>52</v>
      </c>
      <c r="C926" s="71" t="s">
        <v>105</v>
      </c>
      <c r="D926" t="s">
        <v>339</v>
      </c>
      <c r="G926" s="1">
        <v>45005</v>
      </c>
      <c r="H926" t="s">
        <v>981</v>
      </c>
      <c r="K926" t="b">
        <v>0</v>
      </c>
      <c r="L926" s="109">
        <v>-6.71</v>
      </c>
      <c r="M926" s="72">
        <v>1</v>
      </c>
      <c r="N926">
        <v>20</v>
      </c>
      <c r="O926" s="31">
        <f>L926*N926/100</f>
        <v>-1.3419999999999999</v>
      </c>
      <c r="P926" s="31">
        <f>M926*O926</f>
        <v>-1.3419999999999999</v>
      </c>
      <c r="Q926" s="33">
        <f>L926*M926</f>
        <v>-6.71</v>
      </c>
      <c r="R926" s="29">
        <f>L926+O926</f>
        <v>-8.0519999999999996</v>
      </c>
      <c r="S926" s="29">
        <f t="shared" si="609"/>
        <v>-8.0519999999999996</v>
      </c>
      <c r="T926" s="35">
        <f t="shared" si="580"/>
        <v>45061</v>
      </c>
      <c r="U926" s="27"/>
      <c r="V926" s="27"/>
      <c r="W926" s="58">
        <f>IF(K926=TRUE,Q926/I926,Q926)</f>
        <v>-6.71</v>
      </c>
      <c r="X926" s="31">
        <f>V926/100*S926</f>
        <v>0</v>
      </c>
      <c r="Y926" t="b">
        <f>IF(AND(V926&gt;0,N926=V926),TRUE,FALSE)</f>
        <v>0</v>
      </c>
      <c r="Z926" s="78">
        <f>IF(C926="Einnahmen",Q926,-Q926)</f>
        <v>6.71</v>
      </c>
    </row>
    <row r="927" spans="1:26" x14ac:dyDescent="0.25">
      <c r="A927" s="155">
        <v>2023</v>
      </c>
      <c r="B927" s="155">
        <v>53</v>
      </c>
      <c r="C927" s="71" t="s">
        <v>105</v>
      </c>
      <c r="D927" t="s">
        <v>339</v>
      </c>
      <c r="G927" s="1">
        <v>45005</v>
      </c>
      <c r="H927" t="s">
        <v>981</v>
      </c>
      <c r="K927" t="b">
        <v>0</v>
      </c>
      <c r="L927" s="109">
        <v>-40.71</v>
      </c>
      <c r="M927" s="72">
        <v>1</v>
      </c>
      <c r="N927">
        <v>20</v>
      </c>
      <c r="O927" s="31">
        <f t="shared" ref="O927:O938" si="610">L927*N927/100</f>
        <v>-8.1420000000000012</v>
      </c>
      <c r="P927" s="31">
        <f t="shared" ref="P927:P938" si="611">M927*O927</f>
        <v>-8.1420000000000012</v>
      </c>
      <c r="Q927" s="33">
        <f t="shared" ref="Q927:Q938" si="612">L927*M927</f>
        <v>-40.71</v>
      </c>
      <c r="R927" s="29">
        <f t="shared" ref="R927:R938" si="613">L927+O927</f>
        <v>-48.852000000000004</v>
      </c>
      <c r="S927" s="29">
        <f t="shared" ref="S927:S938" si="614">Q927+P927</f>
        <v>-48.852000000000004</v>
      </c>
      <c r="T927" s="35">
        <f t="shared" si="580"/>
        <v>45061</v>
      </c>
      <c r="U927" s="27"/>
      <c r="V927" s="27"/>
      <c r="W927" s="58">
        <f>IF(K927=TRUE,Q927/I927,Q927)</f>
        <v>-40.71</v>
      </c>
      <c r="X927" s="31">
        <f t="shared" ref="X927:X938" si="615">V927/100*S927</f>
        <v>0</v>
      </c>
      <c r="Y927" t="b">
        <f t="shared" ref="Y927:Y938" si="616">IF(AND(V927&gt;0,N927=V927),TRUE,FALSE)</f>
        <v>0</v>
      </c>
      <c r="Z927" s="78">
        <f t="shared" ref="Z927:Z938" si="617">IF(C927="Einnahmen",Q927,-Q927)</f>
        <v>40.71</v>
      </c>
    </row>
    <row r="928" spans="1:26" x14ac:dyDescent="0.25">
      <c r="A928" s="156">
        <v>2023</v>
      </c>
      <c r="B928" s="156">
        <v>54</v>
      </c>
      <c r="C928" s="71" t="s">
        <v>105</v>
      </c>
      <c r="D928" t="s">
        <v>689</v>
      </c>
      <c r="E928" s="9" t="s">
        <v>1802</v>
      </c>
      <c r="G928" s="1">
        <v>45005</v>
      </c>
      <c r="H928" t="s">
        <v>962</v>
      </c>
      <c r="K928" t="b">
        <f>(IF(AND(I928&lt;&gt;"",AND(J928="",ABS(Q928)&gt;400)),TRUE,FALSE))</f>
        <v>0</v>
      </c>
      <c r="L928" s="48">
        <f>365-33.18</f>
        <v>331.82</v>
      </c>
      <c r="M928" s="72">
        <v>1</v>
      </c>
      <c r="N928">
        <v>10</v>
      </c>
      <c r="O928" s="31">
        <f t="shared" si="610"/>
        <v>33.181999999999995</v>
      </c>
      <c r="P928" s="31">
        <f t="shared" si="611"/>
        <v>33.181999999999995</v>
      </c>
      <c r="Q928" s="33">
        <f t="shared" si="612"/>
        <v>331.82</v>
      </c>
      <c r="R928" s="29">
        <f t="shared" si="613"/>
        <v>365.00200000000001</v>
      </c>
      <c r="S928" s="29">
        <f t="shared" si="614"/>
        <v>365.00200000000001</v>
      </c>
      <c r="T928" s="35">
        <f t="shared" si="580"/>
        <v>45061</v>
      </c>
      <c r="U928" s="27"/>
      <c r="V928" s="27"/>
      <c r="W928" s="58">
        <f>IF(K928=TRUE,Q928/I928,Q928)</f>
        <v>331.82</v>
      </c>
      <c r="X928" s="31">
        <f t="shared" si="615"/>
        <v>0</v>
      </c>
      <c r="Y928" t="b">
        <f t="shared" si="616"/>
        <v>0</v>
      </c>
      <c r="Z928" s="78">
        <f t="shared" si="617"/>
        <v>-331.82</v>
      </c>
    </row>
    <row r="929" spans="1:26" x14ac:dyDescent="0.25">
      <c r="A929" s="53">
        <v>2023</v>
      </c>
      <c r="B929" s="53">
        <v>55</v>
      </c>
      <c r="C929" s="71" t="s">
        <v>105</v>
      </c>
      <c r="D929" t="s">
        <v>705</v>
      </c>
      <c r="E929" s="1"/>
      <c r="G929" s="1">
        <v>45005</v>
      </c>
      <c r="H929" t="s">
        <v>1032</v>
      </c>
      <c r="K929" t="b">
        <f>(IF(AND(I929&lt;&gt;"",AND(J929="",ABS(Q929)&gt;400)),TRUE,FALSE))</f>
        <v>0</v>
      </c>
      <c r="L929" s="109">
        <v>10.5</v>
      </c>
      <c r="M929" s="72">
        <v>1</v>
      </c>
      <c r="N929">
        <v>0</v>
      </c>
      <c r="O929" s="31">
        <f t="shared" si="610"/>
        <v>0</v>
      </c>
      <c r="P929" s="31">
        <f t="shared" si="611"/>
        <v>0</v>
      </c>
      <c r="Q929" s="33">
        <f t="shared" si="612"/>
        <v>10.5</v>
      </c>
      <c r="R929" s="29">
        <f t="shared" si="613"/>
        <v>10.5</v>
      </c>
      <c r="S929" s="29">
        <f t="shared" si="614"/>
        <v>10.5</v>
      </c>
      <c r="T929" s="35">
        <f>DATE(YEAR(EOMONTH(G929,2)),MONTH(EOMONTH(G929,2)),15)</f>
        <v>45061</v>
      </c>
      <c r="U929" s="27"/>
      <c r="V929" s="27">
        <v>20</v>
      </c>
      <c r="W929" s="58">
        <f>IF(K929=TRUE,Q929/J929,Q929)</f>
        <v>10.5</v>
      </c>
      <c r="X929" s="31">
        <f t="shared" si="615"/>
        <v>2.1</v>
      </c>
      <c r="Y929" t="b">
        <f t="shared" si="616"/>
        <v>0</v>
      </c>
      <c r="Z929" s="78">
        <f t="shared" si="617"/>
        <v>-10.5</v>
      </c>
    </row>
    <row r="930" spans="1:26" x14ac:dyDescent="0.25">
      <c r="A930" s="53">
        <v>2023</v>
      </c>
      <c r="B930" s="53">
        <v>56</v>
      </c>
      <c r="C930" s="71" t="s">
        <v>105</v>
      </c>
      <c r="D930" t="s">
        <v>703</v>
      </c>
      <c r="E930" s="131" t="s">
        <v>1737</v>
      </c>
      <c r="G930" s="1">
        <v>45006</v>
      </c>
      <c r="H930" t="s">
        <v>1148</v>
      </c>
      <c r="K930" t="b">
        <f>(IF(AND(I930&lt;&gt;"",AND(J930="",ABS(Q930)&gt;400)),TRUE,FALSE))</f>
        <v>0</v>
      </c>
      <c r="L930" s="48">
        <v>31.92</v>
      </c>
      <c r="M930" s="72">
        <v>1</v>
      </c>
      <c r="N930">
        <v>20</v>
      </c>
      <c r="O930" s="31">
        <f t="shared" si="610"/>
        <v>6.3840000000000012</v>
      </c>
      <c r="P930" s="31">
        <f t="shared" si="611"/>
        <v>6.3840000000000012</v>
      </c>
      <c r="Q930" s="33">
        <f t="shared" si="612"/>
        <v>31.92</v>
      </c>
      <c r="R930" s="29">
        <f t="shared" si="613"/>
        <v>38.304000000000002</v>
      </c>
      <c r="S930" s="29">
        <f t="shared" si="614"/>
        <v>38.304000000000002</v>
      </c>
      <c r="T930" s="35">
        <f>DATE(YEAR(EOMONTH(G930,2)),MONTH(EOMONTH(G930,2)),15)</f>
        <v>45061</v>
      </c>
      <c r="U930" s="27"/>
      <c r="V930" s="27"/>
      <c r="W930" s="58">
        <f>IF(K930=TRUE,Q930/I930,Q930)</f>
        <v>31.92</v>
      </c>
      <c r="X930" s="31">
        <f t="shared" si="615"/>
        <v>0</v>
      </c>
      <c r="Y930" t="b">
        <f t="shared" si="616"/>
        <v>0</v>
      </c>
      <c r="Z930" s="78">
        <f t="shared" si="617"/>
        <v>-31.92</v>
      </c>
    </row>
    <row r="931" spans="1:26" x14ac:dyDescent="0.25">
      <c r="A931" s="53">
        <v>2023</v>
      </c>
      <c r="B931" s="53">
        <v>57</v>
      </c>
      <c r="C931" s="71" t="s">
        <v>105</v>
      </c>
      <c r="D931" t="s">
        <v>705</v>
      </c>
      <c r="G931" s="1">
        <v>45009</v>
      </c>
      <c r="H931" t="s">
        <v>941</v>
      </c>
      <c r="K931" t="b">
        <f>(IF(AND(I931&lt;&gt;"",AND(J931="",ABS(Q931)&gt;400)),TRUE,FALSE))</f>
        <v>0</v>
      </c>
      <c r="L931" s="48">
        <v>15.75</v>
      </c>
      <c r="M931" s="72">
        <v>1</v>
      </c>
      <c r="N931">
        <v>20</v>
      </c>
      <c r="O931" s="31">
        <f t="shared" si="610"/>
        <v>3.15</v>
      </c>
      <c r="P931" s="31">
        <f t="shared" si="611"/>
        <v>3.15</v>
      </c>
      <c r="Q931" s="33">
        <f t="shared" si="612"/>
        <v>15.75</v>
      </c>
      <c r="R931" s="29">
        <f t="shared" si="613"/>
        <v>18.899999999999999</v>
      </c>
      <c r="S931" s="29">
        <f t="shared" si="614"/>
        <v>18.899999999999999</v>
      </c>
      <c r="T931" s="35">
        <f>voranmeldefrist_vierteljaehrlich(G931)</f>
        <v>45061</v>
      </c>
      <c r="U931" s="27"/>
      <c r="V931" s="27"/>
      <c r="W931" s="58">
        <f>IF(K931=TRUE,Q931/J931,Q931)</f>
        <v>15.75</v>
      </c>
      <c r="X931" s="31">
        <f t="shared" si="615"/>
        <v>0</v>
      </c>
      <c r="Y931" t="b">
        <f t="shared" si="616"/>
        <v>0</v>
      </c>
      <c r="Z931" s="78">
        <f t="shared" si="617"/>
        <v>-15.75</v>
      </c>
    </row>
    <row r="932" spans="1:26" x14ac:dyDescent="0.25">
      <c r="A932" s="53">
        <v>2023</v>
      </c>
      <c r="B932" s="53">
        <v>58</v>
      </c>
      <c r="C932" s="71" t="s">
        <v>105</v>
      </c>
      <c r="D932" t="s">
        <v>705</v>
      </c>
      <c r="G932" s="1">
        <v>45008</v>
      </c>
      <c r="H932" t="s">
        <v>1021</v>
      </c>
      <c r="K932" t="b">
        <v>0</v>
      </c>
      <c r="L932" s="48">
        <v>65</v>
      </c>
      <c r="M932" s="72">
        <v>1</v>
      </c>
      <c r="N932">
        <v>0</v>
      </c>
      <c r="O932" s="31">
        <f t="shared" si="610"/>
        <v>0</v>
      </c>
      <c r="P932" s="31">
        <f t="shared" si="611"/>
        <v>0</v>
      </c>
      <c r="Q932" s="33">
        <f t="shared" si="612"/>
        <v>65</v>
      </c>
      <c r="R932" s="29">
        <f t="shared" si="613"/>
        <v>65</v>
      </c>
      <c r="S932" s="29">
        <f t="shared" si="614"/>
        <v>65</v>
      </c>
      <c r="T932" s="35">
        <f>voranmeldefrist_vierteljaehrlich(G932)</f>
        <v>45061</v>
      </c>
      <c r="U932" s="27"/>
      <c r="V932" s="27"/>
      <c r="W932" s="58">
        <f>IF(K932=TRUE,Q932/I932,Q932)</f>
        <v>65</v>
      </c>
      <c r="X932" s="31">
        <f t="shared" si="615"/>
        <v>0</v>
      </c>
      <c r="Y932" t="b">
        <f t="shared" si="616"/>
        <v>0</v>
      </c>
      <c r="Z932" s="78">
        <f t="shared" si="617"/>
        <v>-65</v>
      </c>
    </row>
    <row r="933" spans="1:26" x14ac:dyDescent="0.25">
      <c r="A933" s="53">
        <v>2023</v>
      </c>
      <c r="B933" s="53">
        <v>59</v>
      </c>
      <c r="C933" s="71" t="s">
        <v>105</v>
      </c>
      <c r="D933" t="s">
        <v>705</v>
      </c>
      <c r="E933"/>
      <c r="G933" s="1">
        <v>45019</v>
      </c>
      <c r="H933" t="s">
        <v>1404</v>
      </c>
      <c r="K933" t="b">
        <v>0</v>
      </c>
      <c r="L933" s="109">
        <v>9.36</v>
      </c>
      <c r="M933" s="72">
        <v>1</v>
      </c>
      <c r="N933">
        <v>0</v>
      </c>
      <c r="O933" s="31">
        <f t="shared" si="610"/>
        <v>0</v>
      </c>
      <c r="P933" s="31">
        <f t="shared" si="611"/>
        <v>0</v>
      </c>
      <c r="Q933" s="33">
        <f t="shared" si="612"/>
        <v>9.36</v>
      </c>
      <c r="R933" s="29">
        <f t="shared" si="613"/>
        <v>9.36</v>
      </c>
      <c r="S933" s="29">
        <f t="shared" si="614"/>
        <v>9.36</v>
      </c>
      <c r="T933" s="35">
        <f>DATE(YEAR(EOMONTH(G933,2)),MONTH(EOMONTH(G933,2)),15)</f>
        <v>45092</v>
      </c>
      <c r="U933" s="27"/>
      <c r="V933" s="27">
        <v>20</v>
      </c>
      <c r="W933" s="58">
        <f>IF(K933=TRUE,Q933/I933,Q933)</f>
        <v>9.36</v>
      </c>
      <c r="X933" s="31">
        <f t="shared" si="615"/>
        <v>1.8719999999999999</v>
      </c>
      <c r="Y933" t="b">
        <f t="shared" si="616"/>
        <v>0</v>
      </c>
      <c r="Z933" s="78">
        <f t="shared" si="617"/>
        <v>-9.36</v>
      </c>
    </row>
    <row r="934" spans="1:26" x14ac:dyDescent="0.25">
      <c r="A934" s="53">
        <v>2023</v>
      </c>
      <c r="B934" s="53">
        <v>60</v>
      </c>
      <c r="C934" s="71" t="s">
        <v>708</v>
      </c>
      <c r="D934" t="s">
        <v>709</v>
      </c>
      <c r="E934" s="9" t="s">
        <v>1741</v>
      </c>
      <c r="G934" s="1">
        <v>45019</v>
      </c>
      <c r="H934" t="s">
        <v>1197</v>
      </c>
      <c r="K934" t="b">
        <f>(IF(AND(I934&lt;&gt;"",AND(J934="",ABS(Q934)&gt;400)),TRUE,FALSE))</f>
        <v>0</v>
      </c>
      <c r="L934" s="48">
        <v>89</v>
      </c>
      <c r="M934" s="72">
        <v>1</v>
      </c>
      <c r="N934">
        <v>20</v>
      </c>
      <c r="O934" s="31">
        <f t="shared" si="610"/>
        <v>17.8</v>
      </c>
      <c r="P934" s="31">
        <f t="shared" si="611"/>
        <v>17.8</v>
      </c>
      <c r="Q934" s="33">
        <f t="shared" si="612"/>
        <v>89</v>
      </c>
      <c r="R934" s="29">
        <f t="shared" si="613"/>
        <v>106.8</v>
      </c>
      <c r="S934" s="29">
        <f t="shared" si="614"/>
        <v>106.8</v>
      </c>
      <c r="T934" s="35">
        <f>DATE(YEAR(EOMONTH(G934,2)),MONTH(EOMONTH(G934,2)),15)</f>
        <v>45092</v>
      </c>
      <c r="U934" s="27"/>
      <c r="V934" s="27"/>
      <c r="W934" s="58">
        <f>IF(K934=TRUE,Q934/I934,Q934)</f>
        <v>89</v>
      </c>
      <c r="X934" s="31">
        <f t="shared" si="615"/>
        <v>0</v>
      </c>
      <c r="Y934" t="b">
        <f t="shared" si="616"/>
        <v>0</v>
      </c>
      <c r="Z934" s="78">
        <f t="shared" si="617"/>
        <v>89</v>
      </c>
    </row>
    <row r="935" spans="1:26" x14ac:dyDescent="0.25">
      <c r="A935" s="53">
        <v>2023</v>
      </c>
      <c r="B935" s="53">
        <v>61</v>
      </c>
      <c r="C935" s="71" t="s">
        <v>708</v>
      </c>
      <c r="D935" t="s">
        <v>709</v>
      </c>
      <c r="E935" s="6">
        <v>12023003</v>
      </c>
      <c r="G935" s="1">
        <v>45019</v>
      </c>
      <c r="H935" t="s">
        <v>1038</v>
      </c>
      <c r="K935" t="b">
        <f>(IF(AND(I935&lt;&gt;"",AND(J935="",ABS(Q935)&gt;400)),TRUE,FALSE))</f>
        <v>0</v>
      </c>
      <c r="L935" s="48">
        <v>2300</v>
      </c>
      <c r="M935" s="72">
        <v>1</v>
      </c>
      <c r="N935">
        <v>20</v>
      </c>
      <c r="O935" s="31">
        <f t="shared" si="610"/>
        <v>460</v>
      </c>
      <c r="P935" s="31">
        <f t="shared" si="611"/>
        <v>460</v>
      </c>
      <c r="Q935" s="33">
        <f t="shared" si="612"/>
        <v>2300</v>
      </c>
      <c r="R935" s="29">
        <f t="shared" si="613"/>
        <v>2760</v>
      </c>
      <c r="S935" s="29">
        <f t="shared" si="614"/>
        <v>2760</v>
      </c>
      <c r="T935" s="35">
        <f>voranmeldefrist_vierteljaehrlich(G935)</f>
        <v>45153</v>
      </c>
      <c r="U935" s="27"/>
      <c r="V935" s="27"/>
      <c r="W935" s="58">
        <f>IF(K935=TRUE,Q935/I935,Q935)</f>
        <v>2300</v>
      </c>
      <c r="X935" s="31">
        <f t="shared" si="615"/>
        <v>0</v>
      </c>
      <c r="Y935" t="b">
        <f t="shared" si="616"/>
        <v>0</v>
      </c>
      <c r="Z935" s="78">
        <f t="shared" si="617"/>
        <v>2300</v>
      </c>
    </row>
    <row r="936" spans="1:26" x14ac:dyDescent="0.25">
      <c r="A936" s="53">
        <v>2023</v>
      </c>
      <c r="B936" s="53">
        <v>62</v>
      </c>
      <c r="C936" s="71" t="s">
        <v>708</v>
      </c>
      <c r="D936" t="s">
        <v>709</v>
      </c>
      <c r="E936" s="9" t="s">
        <v>1742</v>
      </c>
      <c r="G936" s="1">
        <v>45019</v>
      </c>
      <c r="H936" t="s">
        <v>1513</v>
      </c>
      <c r="K936" t="b">
        <v>0</v>
      </c>
      <c r="L936" s="48">
        <v>485</v>
      </c>
      <c r="M936" s="72">
        <v>1</v>
      </c>
      <c r="N936">
        <v>20</v>
      </c>
      <c r="O936" s="31">
        <f t="shared" si="610"/>
        <v>97</v>
      </c>
      <c r="P936" s="31">
        <f t="shared" si="611"/>
        <v>97</v>
      </c>
      <c r="Q936" s="33">
        <f t="shared" si="612"/>
        <v>485</v>
      </c>
      <c r="R936" s="29">
        <f t="shared" si="613"/>
        <v>582</v>
      </c>
      <c r="S936" s="29">
        <f t="shared" si="614"/>
        <v>582</v>
      </c>
      <c r="T936" s="35">
        <f>voranmeldefrist_vierteljaehrlich(G936)</f>
        <v>45153</v>
      </c>
      <c r="U936" s="27"/>
      <c r="V936" s="27"/>
      <c r="W936" s="58">
        <f t="shared" ref="W936:W941" si="618">IF(K936=TRUE,Q936/J936,Q936)</f>
        <v>485</v>
      </c>
      <c r="X936" s="31">
        <f t="shared" si="615"/>
        <v>0</v>
      </c>
      <c r="Y936" t="b">
        <f t="shared" si="616"/>
        <v>0</v>
      </c>
      <c r="Z936" s="78">
        <f t="shared" si="617"/>
        <v>485</v>
      </c>
    </row>
    <row r="937" spans="1:26" x14ac:dyDescent="0.25">
      <c r="A937" s="53">
        <v>2023</v>
      </c>
      <c r="B937" s="53">
        <v>63</v>
      </c>
      <c r="C937" s="71" t="s">
        <v>105</v>
      </c>
      <c r="D937" t="s">
        <v>691</v>
      </c>
      <c r="G937" s="1">
        <v>45019</v>
      </c>
      <c r="H937" t="s">
        <v>1113</v>
      </c>
      <c r="K937" t="b">
        <v>0</v>
      </c>
      <c r="L937" s="109">
        <v>515.85</v>
      </c>
      <c r="M937" s="72">
        <v>1</v>
      </c>
      <c r="N937">
        <v>20</v>
      </c>
      <c r="O937" s="31">
        <f t="shared" si="610"/>
        <v>103.17</v>
      </c>
      <c r="P937" s="31">
        <f t="shared" si="611"/>
        <v>103.17</v>
      </c>
      <c r="Q937" s="33">
        <f t="shared" si="612"/>
        <v>515.85</v>
      </c>
      <c r="R937" s="29">
        <f t="shared" si="613"/>
        <v>619.02</v>
      </c>
      <c r="S937" s="29">
        <f t="shared" si="614"/>
        <v>619.02</v>
      </c>
      <c r="T937" s="35">
        <f>DATE(YEAR(EOMONTH(G937,2)),MONTH(EOMONTH(G937,2)),15)</f>
        <v>45092</v>
      </c>
      <c r="U937" s="27"/>
      <c r="V937" s="27"/>
      <c r="W937" s="58">
        <f t="shared" si="618"/>
        <v>515.85</v>
      </c>
      <c r="X937" s="31">
        <f t="shared" si="615"/>
        <v>0</v>
      </c>
      <c r="Y937" t="b">
        <f t="shared" si="616"/>
        <v>0</v>
      </c>
      <c r="Z937" s="78">
        <f t="shared" si="617"/>
        <v>-515.85</v>
      </c>
    </row>
    <row r="938" spans="1:26" x14ac:dyDescent="0.25">
      <c r="A938" s="53">
        <v>2023</v>
      </c>
      <c r="B938" s="53">
        <v>64</v>
      </c>
      <c r="C938" s="71" t="s">
        <v>105</v>
      </c>
      <c r="D938" t="s">
        <v>689</v>
      </c>
      <c r="E938" s="131"/>
      <c r="G938" s="1">
        <v>45019</v>
      </c>
      <c r="H938" t="s">
        <v>974</v>
      </c>
      <c r="K938" t="b">
        <v>0</v>
      </c>
      <c r="L938" s="48">
        <v>63.87</v>
      </c>
      <c r="M938" s="72">
        <v>1</v>
      </c>
      <c r="N938">
        <v>20</v>
      </c>
      <c r="O938" s="31">
        <f t="shared" si="610"/>
        <v>12.773999999999999</v>
      </c>
      <c r="P938" s="31">
        <f t="shared" si="611"/>
        <v>12.773999999999999</v>
      </c>
      <c r="Q938" s="33">
        <f t="shared" si="612"/>
        <v>63.87</v>
      </c>
      <c r="R938" s="29">
        <f t="shared" si="613"/>
        <v>76.643999999999991</v>
      </c>
      <c r="S938" s="29">
        <f t="shared" si="614"/>
        <v>76.643999999999991</v>
      </c>
      <c r="T938" s="35">
        <f>DATE(YEAR(EOMONTH(G938,2)),MONTH(EOMONTH(G938,2)),15)</f>
        <v>45092</v>
      </c>
      <c r="U938" s="27"/>
      <c r="V938" s="27"/>
      <c r="W938" s="58">
        <f t="shared" si="618"/>
        <v>63.87</v>
      </c>
      <c r="X938" s="31">
        <f t="shared" si="615"/>
        <v>0</v>
      </c>
      <c r="Y938" t="b">
        <f t="shared" si="616"/>
        <v>0</v>
      </c>
      <c r="Z938" s="78">
        <f t="shared" si="617"/>
        <v>-63.87</v>
      </c>
    </row>
    <row r="939" spans="1:26" x14ac:dyDescent="0.25">
      <c r="A939" s="53">
        <v>2023</v>
      </c>
      <c r="B939" s="53">
        <v>65</v>
      </c>
      <c r="C939" s="71" t="s">
        <v>105</v>
      </c>
      <c r="D939" t="s">
        <v>705</v>
      </c>
      <c r="G939" s="1">
        <v>45019</v>
      </c>
      <c r="H939" t="s">
        <v>37</v>
      </c>
      <c r="J939" s="76" t="s">
        <v>958</v>
      </c>
      <c r="K939" t="b">
        <v>0</v>
      </c>
      <c r="L939" s="48">
        <v>50.82</v>
      </c>
      <c r="M939" s="72">
        <v>1</v>
      </c>
      <c r="N939">
        <v>20</v>
      </c>
      <c r="O939" s="31">
        <f>L939*N939/100</f>
        <v>10.164</v>
      </c>
      <c r="P939" s="31">
        <f>M939*O939</f>
        <v>10.164</v>
      </c>
      <c r="Q939" s="33">
        <f>L939*M939</f>
        <v>50.82</v>
      </c>
      <c r="R939" s="29">
        <f>L939+O939</f>
        <v>60.984000000000002</v>
      </c>
      <c r="S939" s="29">
        <f>Q939+P939</f>
        <v>60.984000000000002</v>
      </c>
      <c r="T939" s="35">
        <f>DATE(YEAR(EOMONTH(G939,2)),MONTH(EOMONTH(G939,2)),15)</f>
        <v>45092</v>
      </c>
      <c r="U939" s="27"/>
      <c r="V939" s="27"/>
      <c r="W939" s="58">
        <f t="shared" si="618"/>
        <v>50.82</v>
      </c>
      <c r="X939" s="31">
        <f>V939/100*S939</f>
        <v>0</v>
      </c>
      <c r="Y939" t="b">
        <f>IF(AND(V939&gt;0,N939=V939),TRUE,FALSE)</f>
        <v>0</v>
      </c>
      <c r="Z939" s="78">
        <f>IF(C939="Einnahmen",Q939,-Q939)</f>
        <v>-50.82</v>
      </c>
    </row>
    <row r="940" spans="1:26" x14ac:dyDescent="0.25">
      <c r="A940" s="53">
        <v>2023</v>
      </c>
      <c r="B940" s="53">
        <v>66</v>
      </c>
      <c r="C940" s="71" t="s">
        <v>105</v>
      </c>
      <c r="D940" t="s">
        <v>705</v>
      </c>
      <c r="E940"/>
      <c r="G940" s="1">
        <v>45020</v>
      </c>
      <c r="H940" t="s">
        <v>1670</v>
      </c>
      <c r="K940" t="b">
        <f>(IF(AND(I940&lt;&gt;"",AND(J940="",ABS(Q940)&gt;400)),TRUE,FALSE))</f>
        <v>0</v>
      </c>
      <c r="L940" s="48">
        <v>5</v>
      </c>
      <c r="M940" s="72">
        <v>1</v>
      </c>
      <c r="N940">
        <v>20</v>
      </c>
      <c r="O940" s="31">
        <f>L940*N940/100</f>
        <v>1</v>
      </c>
      <c r="P940" s="31">
        <f>M940*O940</f>
        <v>1</v>
      </c>
      <c r="Q940" s="33">
        <f>L940*M940</f>
        <v>5</v>
      </c>
      <c r="R940" s="29">
        <f>L940+O940</f>
        <v>6</v>
      </c>
      <c r="S940" s="29">
        <f>Q940+P940</f>
        <v>6</v>
      </c>
      <c r="T940" s="35">
        <f>DATE(YEAR(EOMONTH(G940,2)),MONTH(EOMONTH(G940,2)),15)</f>
        <v>45092</v>
      </c>
      <c r="U940" s="27"/>
      <c r="V940" s="27"/>
      <c r="W940" s="58">
        <f t="shared" si="618"/>
        <v>5</v>
      </c>
      <c r="X940" s="31">
        <f>V940/100*S940</f>
        <v>0</v>
      </c>
      <c r="Y940" t="b">
        <f>IF(AND(V940&gt;0,N940=V940),TRUE,FALSE)</f>
        <v>0</v>
      </c>
      <c r="Z940" s="78">
        <f>IF(C940="Einnahmen",Q940,-Q940)</f>
        <v>-5</v>
      </c>
    </row>
    <row r="941" spans="1:26" x14ac:dyDescent="0.25">
      <c r="A941" s="53">
        <v>2023</v>
      </c>
      <c r="B941" s="53">
        <v>67</v>
      </c>
      <c r="C941" s="71" t="s">
        <v>708</v>
      </c>
      <c r="D941" t="s">
        <v>709</v>
      </c>
      <c r="E941" s="9">
        <v>12018015</v>
      </c>
      <c r="G941" s="1">
        <v>45021</v>
      </c>
      <c r="H941" t="s">
        <v>923</v>
      </c>
      <c r="K941" t="b">
        <f>(IF(AND(I941&lt;&gt;"",AND(J941="",ABS(Q941)&gt;400)),TRUE,FALSE))</f>
        <v>0</v>
      </c>
      <c r="L941" s="48">
        <v>1064</v>
      </c>
      <c r="M941" s="72">
        <v>1</v>
      </c>
      <c r="N941">
        <v>20</v>
      </c>
      <c r="O941" s="31">
        <f t="shared" ref="O941:O946" si="619">L941*N941/100</f>
        <v>212.8</v>
      </c>
      <c r="P941" s="31">
        <f t="shared" ref="P941:P946" si="620">M941*O941</f>
        <v>212.8</v>
      </c>
      <c r="Q941" s="33">
        <f t="shared" ref="Q941:Q946" si="621">L941*M941</f>
        <v>1064</v>
      </c>
      <c r="R941" s="29">
        <f t="shared" ref="R941:R946" si="622">L941+O941</f>
        <v>1276.8</v>
      </c>
      <c r="S941" s="29">
        <f t="shared" ref="S941:S947" si="623">Q941+P941</f>
        <v>1276.8</v>
      </c>
      <c r="T941" s="35">
        <f>voranmeldefrist_vierteljaehrlich(G941)</f>
        <v>45153</v>
      </c>
      <c r="U941" s="27"/>
      <c r="V941" s="27"/>
      <c r="W941" s="58">
        <f t="shared" si="618"/>
        <v>1064</v>
      </c>
      <c r="X941" s="31">
        <f t="shared" ref="X941:X946" si="624">V941/100*S941</f>
        <v>0</v>
      </c>
      <c r="Y941" t="b">
        <f t="shared" ref="Y941:Y946" si="625">IF(AND(V941&gt;0,N941=V941),TRUE,FALSE)</f>
        <v>0</v>
      </c>
      <c r="Z941" s="78">
        <f t="shared" ref="Z941:Z946" si="626">IF(C941="Einnahmen",Q941,-Q941)</f>
        <v>1064</v>
      </c>
    </row>
    <row r="942" spans="1:26" x14ac:dyDescent="0.25">
      <c r="A942" s="53">
        <v>2023</v>
      </c>
      <c r="B942" s="53">
        <v>68</v>
      </c>
      <c r="C942" s="71" t="s">
        <v>105</v>
      </c>
      <c r="D942" t="s">
        <v>703</v>
      </c>
      <c r="G942" s="1">
        <v>45021</v>
      </c>
      <c r="H942" t="s">
        <v>34</v>
      </c>
      <c r="K942" t="b">
        <f>(IF(AND(I942&lt;&gt;"",AND(J942="",ABS(Q942)&gt;400)),TRUE,FALSE))</f>
        <v>0</v>
      </c>
      <c r="L942" s="48">
        <v>15</v>
      </c>
      <c r="M942" s="72">
        <v>1</v>
      </c>
      <c r="N942">
        <v>20</v>
      </c>
      <c r="O942" s="31">
        <f t="shared" si="619"/>
        <v>3</v>
      </c>
      <c r="P942" s="31">
        <f t="shared" si="620"/>
        <v>3</v>
      </c>
      <c r="Q942" s="33">
        <f t="shared" si="621"/>
        <v>15</v>
      </c>
      <c r="R942" s="29">
        <f t="shared" si="622"/>
        <v>18</v>
      </c>
      <c r="S942" s="29">
        <f t="shared" si="623"/>
        <v>18</v>
      </c>
      <c r="T942" s="35">
        <f>DATE(YEAR(EOMONTH(G942,2)),MONTH(EOMONTH(G942,2)),15)</f>
        <v>45092</v>
      </c>
      <c r="U942" s="27"/>
      <c r="V942" s="27"/>
      <c r="W942" s="58">
        <f>IF(K942=TRUE,Q942/I942,Q942)</f>
        <v>15</v>
      </c>
      <c r="X942" s="31">
        <f t="shared" si="624"/>
        <v>0</v>
      </c>
      <c r="Y942" t="b">
        <f t="shared" si="625"/>
        <v>0</v>
      </c>
      <c r="Z942" s="78">
        <f t="shared" si="626"/>
        <v>-15</v>
      </c>
    </row>
    <row r="943" spans="1:26" x14ac:dyDescent="0.25">
      <c r="A943" s="53">
        <v>2023</v>
      </c>
      <c r="B943" s="53">
        <v>69</v>
      </c>
      <c r="C943" s="71" t="s">
        <v>105</v>
      </c>
      <c r="D943" t="s">
        <v>691</v>
      </c>
      <c r="E943" s="61" t="s">
        <v>1064</v>
      </c>
      <c r="G943" s="1">
        <v>45022</v>
      </c>
      <c r="H943" t="s">
        <v>1558</v>
      </c>
      <c r="K943" t="b">
        <v>0</v>
      </c>
      <c r="L943" s="109">
        <v>122.6</v>
      </c>
      <c r="M943" s="72">
        <v>1</v>
      </c>
      <c r="N943">
        <v>20</v>
      </c>
      <c r="O943" s="31">
        <f t="shared" si="619"/>
        <v>24.52</v>
      </c>
      <c r="P943" s="31">
        <f t="shared" si="620"/>
        <v>24.52</v>
      </c>
      <c r="Q943" s="33">
        <f t="shared" si="621"/>
        <v>122.6</v>
      </c>
      <c r="R943" s="29">
        <f t="shared" si="622"/>
        <v>147.12</v>
      </c>
      <c r="S943" s="29">
        <f t="shared" si="623"/>
        <v>147.12</v>
      </c>
      <c r="T943" s="35">
        <f>DATE(YEAR(EOMONTH(G943,2)),MONTH(EOMONTH(G943,2)),15)</f>
        <v>45092</v>
      </c>
      <c r="U943" s="27"/>
      <c r="V943" s="27"/>
      <c r="W943" s="58">
        <f t="shared" ref="W943:W949" si="627">IF(K943=TRUE,Q943/J943,Q943)</f>
        <v>122.6</v>
      </c>
      <c r="X943" s="31">
        <f t="shared" si="624"/>
        <v>0</v>
      </c>
      <c r="Y943" t="b">
        <f t="shared" si="625"/>
        <v>0</v>
      </c>
      <c r="Z943" s="78">
        <f t="shared" si="626"/>
        <v>-122.6</v>
      </c>
    </row>
    <row r="944" spans="1:26" x14ac:dyDescent="0.25">
      <c r="A944" s="53">
        <v>2023</v>
      </c>
      <c r="B944" s="53">
        <v>70</v>
      </c>
      <c r="C944" s="71" t="s">
        <v>105</v>
      </c>
      <c r="D944" t="s">
        <v>705</v>
      </c>
      <c r="E944" s="61" t="s">
        <v>1064</v>
      </c>
      <c r="G944" s="1">
        <v>45027</v>
      </c>
      <c r="H944" t="s">
        <v>1466</v>
      </c>
      <c r="K944" t="b">
        <f t="shared" ref="K944:K950" si="628">(IF(AND(I944&lt;&gt;"",AND(J944="",ABS(Q944)&gt;400)),TRUE,FALSE))</f>
        <v>0</v>
      </c>
      <c r="L944" s="48">
        <v>12</v>
      </c>
      <c r="M944" s="72">
        <v>1</v>
      </c>
      <c r="N944">
        <v>20</v>
      </c>
      <c r="O944" s="31">
        <f t="shared" si="619"/>
        <v>2.4</v>
      </c>
      <c r="P944" s="31">
        <f t="shared" si="620"/>
        <v>2.4</v>
      </c>
      <c r="Q944" s="33">
        <f t="shared" si="621"/>
        <v>12</v>
      </c>
      <c r="R944" s="29">
        <f t="shared" si="622"/>
        <v>14.4</v>
      </c>
      <c r="S944" s="29">
        <f t="shared" si="623"/>
        <v>14.4</v>
      </c>
      <c r="T944" s="35">
        <f>DATE(YEAR(EOMONTH(G944,2)),MONTH(EOMONTH(G944,2)),15)</f>
        <v>45092</v>
      </c>
      <c r="U944" s="27"/>
      <c r="V944" s="27"/>
      <c r="W944" s="58">
        <f t="shared" si="627"/>
        <v>12</v>
      </c>
      <c r="X944" s="31">
        <f t="shared" si="624"/>
        <v>0</v>
      </c>
      <c r="Y944" t="b">
        <f t="shared" si="625"/>
        <v>0</v>
      </c>
      <c r="Z944" s="78">
        <f t="shared" si="626"/>
        <v>-12</v>
      </c>
    </row>
    <row r="945" spans="1:26" x14ac:dyDescent="0.25">
      <c r="A945" s="53">
        <v>2023</v>
      </c>
      <c r="B945" s="53">
        <v>71</v>
      </c>
      <c r="C945" s="71" t="s">
        <v>708</v>
      </c>
      <c r="D945" t="s">
        <v>709</v>
      </c>
      <c r="E945">
        <v>12023008</v>
      </c>
      <c r="G945" s="1">
        <v>45029</v>
      </c>
      <c r="H945" t="s">
        <v>1652</v>
      </c>
      <c r="K945" t="b">
        <f t="shared" si="628"/>
        <v>0</v>
      </c>
      <c r="L945" s="48">
        <v>16638</v>
      </c>
      <c r="M945" s="72">
        <v>1</v>
      </c>
      <c r="N945">
        <v>20</v>
      </c>
      <c r="O945" s="31">
        <f t="shared" si="619"/>
        <v>3327.6</v>
      </c>
      <c r="P945" s="31">
        <f t="shared" si="620"/>
        <v>3327.6</v>
      </c>
      <c r="Q945" s="33">
        <f t="shared" si="621"/>
        <v>16638</v>
      </c>
      <c r="R945" s="29">
        <f t="shared" si="622"/>
        <v>19965.599999999999</v>
      </c>
      <c r="S945" s="29">
        <f t="shared" si="623"/>
        <v>19965.599999999999</v>
      </c>
      <c r="T945" s="35">
        <f>DATE(YEAR(EOMONTH(G945,2)),MONTH(EOMONTH(G945,2)),15)</f>
        <v>45092</v>
      </c>
      <c r="U945" s="27"/>
      <c r="V945" s="27"/>
      <c r="W945" s="58">
        <f t="shared" si="627"/>
        <v>16638</v>
      </c>
      <c r="X945" s="31">
        <f t="shared" si="624"/>
        <v>0</v>
      </c>
      <c r="Y945" t="b">
        <f t="shared" si="625"/>
        <v>0</v>
      </c>
      <c r="Z945" s="78">
        <f t="shared" si="626"/>
        <v>16638</v>
      </c>
    </row>
    <row r="946" spans="1:26" x14ac:dyDescent="0.25">
      <c r="A946" s="53">
        <v>2023</v>
      </c>
      <c r="B946" s="53">
        <v>72</v>
      </c>
      <c r="C946" s="71" t="s">
        <v>105</v>
      </c>
      <c r="D946" t="s">
        <v>705</v>
      </c>
      <c r="G946" s="1">
        <v>45035</v>
      </c>
      <c r="H946" t="s">
        <v>1315</v>
      </c>
      <c r="J946" s="76" t="s">
        <v>958</v>
      </c>
      <c r="K946" t="b">
        <f t="shared" si="628"/>
        <v>0</v>
      </c>
      <c r="L946" s="48">
        <v>394.8</v>
      </c>
      <c r="M946" s="72">
        <v>1</v>
      </c>
      <c r="N946">
        <v>0</v>
      </c>
      <c r="O946" s="31">
        <f t="shared" si="619"/>
        <v>0</v>
      </c>
      <c r="P946" s="31">
        <f t="shared" si="620"/>
        <v>0</v>
      </c>
      <c r="Q946" s="33">
        <f t="shared" si="621"/>
        <v>394.8</v>
      </c>
      <c r="R946" s="29">
        <f t="shared" si="622"/>
        <v>394.8</v>
      </c>
      <c r="S946" s="29">
        <f t="shared" si="623"/>
        <v>394.8</v>
      </c>
      <c r="T946" s="35">
        <f>voranmeldefrist_vierteljaehrlich(G946)</f>
        <v>45153</v>
      </c>
      <c r="U946" s="27"/>
      <c r="V946" s="27">
        <v>20</v>
      </c>
      <c r="W946" s="58">
        <f t="shared" si="627"/>
        <v>394.8</v>
      </c>
      <c r="X946" s="31">
        <f t="shared" si="624"/>
        <v>78.960000000000008</v>
      </c>
      <c r="Y946" t="b">
        <f t="shared" si="625"/>
        <v>0</v>
      </c>
      <c r="Z946" s="78">
        <f t="shared" si="626"/>
        <v>-394.8</v>
      </c>
    </row>
    <row r="947" spans="1:26" x14ac:dyDescent="0.25">
      <c r="A947" s="53">
        <v>2023</v>
      </c>
      <c r="B947" s="53">
        <v>73</v>
      </c>
      <c r="C947" s="71" t="s">
        <v>105</v>
      </c>
      <c r="D947" t="s">
        <v>705</v>
      </c>
      <c r="G947" s="1">
        <v>45030</v>
      </c>
      <c r="H947" t="s">
        <v>927</v>
      </c>
      <c r="K947" t="b">
        <f t="shared" si="628"/>
        <v>0</v>
      </c>
      <c r="L947" s="48">
        <v>52.214100000000002</v>
      </c>
      <c r="M947" s="72">
        <v>1</v>
      </c>
      <c r="N947">
        <v>0</v>
      </c>
      <c r="O947" s="31">
        <f>L947*N947/100</f>
        <v>0</v>
      </c>
      <c r="P947" s="31">
        <f>M947*O947</f>
        <v>0</v>
      </c>
      <c r="Q947" s="33">
        <f>L947*M947</f>
        <v>52.214100000000002</v>
      </c>
      <c r="R947" s="29">
        <f>L947+O947</f>
        <v>52.214100000000002</v>
      </c>
      <c r="S947" s="29">
        <f t="shared" si="623"/>
        <v>52.214100000000002</v>
      </c>
      <c r="T947" s="35">
        <f t="shared" ref="T947:T957" si="629">DATE(YEAR(EOMONTH(G947,2)),MONTH(EOMONTH(G947,2)),15)</f>
        <v>45092</v>
      </c>
      <c r="U947" s="27"/>
      <c r="V947" s="27">
        <v>20</v>
      </c>
      <c r="W947" s="58">
        <f t="shared" si="627"/>
        <v>52.214100000000002</v>
      </c>
      <c r="X947" s="31">
        <f>V947/100*S947</f>
        <v>10.442820000000001</v>
      </c>
      <c r="Y947" t="b">
        <f>IF(AND(V947&gt;0,N947=V947),TRUE,FALSE)</f>
        <v>0</v>
      </c>
      <c r="Z947" s="78">
        <f>IF(C947="Einnahmen",Q947,-Q947)</f>
        <v>-52.214100000000002</v>
      </c>
    </row>
    <row r="948" spans="1:26" x14ac:dyDescent="0.25">
      <c r="A948" s="53">
        <v>2023</v>
      </c>
      <c r="B948" s="53">
        <v>74</v>
      </c>
      <c r="C948" s="71" t="s">
        <v>105</v>
      </c>
      <c r="D948" t="s">
        <v>685</v>
      </c>
      <c r="E948" s="9" t="s">
        <v>1699</v>
      </c>
      <c r="G948" s="1">
        <v>45033</v>
      </c>
      <c r="H948" t="s">
        <v>1689</v>
      </c>
      <c r="K948" t="b">
        <f t="shared" si="628"/>
        <v>0</v>
      </c>
      <c r="L948" s="48">
        <v>365</v>
      </c>
      <c r="M948" s="72">
        <v>1</v>
      </c>
      <c r="N948">
        <v>0</v>
      </c>
      <c r="O948" s="31">
        <f t="shared" ref="O948:O955" si="630">L948*N948/100</f>
        <v>0</v>
      </c>
      <c r="P948" s="31">
        <f t="shared" ref="P948:P955" si="631">M948*O948</f>
        <v>0</v>
      </c>
      <c r="Q948" s="33">
        <f t="shared" ref="Q948:Q955" si="632">L948*M948</f>
        <v>365</v>
      </c>
      <c r="R948" s="29">
        <f t="shared" ref="R948:R955" si="633">L948+O948</f>
        <v>365</v>
      </c>
      <c r="S948" s="29">
        <f t="shared" ref="S948:S956" si="634">Q948+P948</f>
        <v>365</v>
      </c>
      <c r="T948" s="35">
        <f t="shared" si="629"/>
        <v>45092</v>
      </c>
      <c r="U948" s="27"/>
      <c r="V948" s="27"/>
      <c r="W948" s="58">
        <f t="shared" si="627"/>
        <v>365</v>
      </c>
      <c r="X948" s="31">
        <f t="shared" ref="X948:X955" si="635">V948/100*S948</f>
        <v>0</v>
      </c>
      <c r="Y948" t="b">
        <f t="shared" ref="Y948:Y955" si="636">IF(AND(V948&gt;0,N948=V948),TRUE,FALSE)</f>
        <v>0</v>
      </c>
      <c r="Z948" s="78">
        <f t="shared" ref="Z948:Z955" si="637">IF(C948="Einnahmen",Q948,-Q948)</f>
        <v>-365</v>
      </c>
    </row>
    <row r="949" spans="1:26" x14ac:dyDescent="0.25">
      <c r="A949" s="53">
        <v>2023</v>
      </c>
      <c r="B949" s="53">
        <v>75</v>
      </c>
      <c r="C949" s="71" t="s">
        <v>105</v>
      </c>
      <c r="D949" t="s">
        <v>705</v>
      </c>
      <c r="E949" s="1"/>
      <c r="G949" s="1">
        <v>45036</v>
      </c>
      <c r="H949" t="s">
        <v>1032</v>
      </c>
      <c r="K949" t="b">
        <f t="shared" si="628"/>
        <v>0</v>
      </c>
      <c r="L949" s="109">
        <v>10.5</v>
      </c>
      <c r="M949" s="72">
        <v>1</v>
      </c>
      <c r="N949">
        <v>0</v>
      </c>
      <c r="O949" s="31">
        <f t="shared" si="630"/>
        <v>0</v>
      </c>
      <c r="P949" s="31">
        <f t="shared" si="631"/>
        <v>0</v>
      </c>
      <c r="Q949" s="33">
        <f t="shared" si="632"/>
        <v>10.5</v>
      </c>
      <c r="R949" s="29">
        <f t="shared" si="633"/>
        <v>10.5</v>
      </c>
      <c r="S949" s="29">
        <f t="shared" si="634"/>
        <v>10.5</v>
      </c>
      <c r="T949" s="35">
        <f t="shared" si="629"/>
        <v>45092</v>
      </c>
      <c r="U949" s="27"/>
      <c r="V949" s="27">
        <v>20</v>
      </c>
      <c r="W949" s="58">
        <f t="shared" si="627"/>
        <v>10.5</v>
      </c>
      <c r="X949" s="31">
        <f t="shared" si="635"/>
        <v>2.1</v>
      </c>
      <c r="Y949" t="b">
        <f t="shared" si="636"/>
        <v>0</v>
      </c>
      <c r="Z949" s="78">
        <f t="shared" si="637"/>
        <v>-10.5</v>
      </c>
    </row>
    <row r="950" spans="1:26" x14ac:dyDescent="0.25">
      <c r="A950" s="53">
        <v>2023</v>
      </c>
      <c r="B950" s="53">
        <v>76</v>
      </c>
      <c r="C950" s="71" t="s">
        <v>105</v>
      </c>
      <c r="D950" t="s">
        <v>703</v>
      </c>
      <c r="E950" s="131"/>
      <c r="G950" s="1">
        <v>45037</v>
      </c>
      <c r="H950" t="s">
        <v>1148</v>
      </c>
      <c r="K950" t="b">
        <f t="shared" si="628"/>
        <v>0</v>
      </c>
      <c r="L950" s="48">
        <v>31.92</v>
      </c>
      <c r="M950" s="72">
        <v>1</v>
      </c>
      <c r="N950">
        <v>20</v>
      </c>
      <c r="O950" s="31">
        <f t="shared" si="630"/>
        <v>6.3840000000000012</v>
      </c>
      <c r="P950" s="31">
        <f t="shared" si="631"/>
        <v>6.3840000000000012</v>
      </c>
      <c r="Q950" s="33">
        <f t="shared" si="632"/>
        <v>31.92</v>
      </c>
      <c r="R950" s="29">
        <f t="shared" si="633"/>
        <v>38.304000000000002</v>
      </c>
      <c r="S950" s="29">
        <f t="shared" si="634"/>
        <v>38.304000000000002</v>
      </c>
      <c r="T950" s="35">
        <f t="shared" si="629"/>
        <v>45092</v>
      </c>
      <c r="U950" s="27"/>
      <c r="V950" s="27"/>
      <c r="W950" s="58">
        <f>IF(K950=TRUE,Q950/I950,Q950)</f>
        <v>31.92</v>
      </c>
      <c r="X950" s="31">
        <f t="shared" si="635"/>
        <v>0</v>
      </c>
      <c r="Y950" t="b">
        <f t="shared" si="636"/>
        <v>0</v>
      </c>
      <c r="Z950" s="78">
        <f t="shared" si="637"/>
        <v>-31.92</v>
      </c>
    </row>
    <row r="951" spans="1:26" x14ac:dyDescent="0.25">
      <c r="A951" s="53">
        <v>2023</v>
      </c>
      <c r="B951" s="53">
        <v>77</v>
      </c>
      <c r="C951" s="71" t="s">
        <v>708</v>
      </c>
      <c r="D951" t="s">
        <v>709</v>
      </c>
      <c r="E951">
        <v>12023004</v>
      </c>
      <c r="G951" s="1">
        <v>45040</v>
      </c>
      <c r="H951" t="s">
        <v>1388</v>
      </c>
      <c r="K951" t="b">
        <v>0</v>
      </c>
      <c r="L951" s="48">
        <v>192</v>
      </c>
      <c r="M951" s="72">
        <v>1</v>
      </c>
      <c r="N951">
        <v>20</v>
      </c>
      <c r="O951" s="31">
        <f t="shared" si="630"/>
        <v>38.4</v>
      </c>
      <c r="P951" s="31">
        <f t="shared" si="631"/>
        <v>38.4</v>
      </c>
      <c r="Q951" s="33">
        <f t="shared" si="632"/>
        <v>192</v>
      </c>
      <c r="R951" s="29">
        <f t="shared" si="633"/>
        <v>230.4</v>
      </c>
      <c r="S951" s="29">
        <f t="shared" si="634"/>
        <v>230.4</v>
      </c>
      <c r="T951" s="35">
        <f t="shared" si="629"/>
        <v>45092</v>
      </c>
      <c r="U951" s="27"/>
      <c r="V951" s="27"/>
      <c r="W951" s="58">
        <f>IF(K951=TRUE,Q951/I951,Q951)</f>
        <v>192</v>
      </c>
      <c r="X951" s="31">
        <f t="shared" si="635"/>
        <v>0</v>
      </c>
      <c r="Y951" t="b">
        <f t="shared" si="636"/>
        <v>0</v>
      </c>
      <c r="Z951" s="78">
        <f t="shared" si="637"/>
        <v>192</v>
      </c>
    </row>
    <row r="952" spans="1:26" x14ac:dyDescent="0.25">
      <c r="A952" s="53">
        <v>2023</v>
      </c>
      <c r="B952" s="53">
        <v>78</v>
      </c>
      <c r="C952" s="71" t="s">
        <v>105</v>
      </c>
      <c r="D952" t="s">
        <v>689</v>
      </c>
      <c r="E952" s="131"/>
      <c r="G952" s="1">
        <v>45048</v>
      </c>
      <c r="H952" t="s">
        <v>974</v>
      </c>
      <c r="K952" t="b">
        <v>0</v>
      </c>
      <c r="L952" s="48">
        <v>29.62</v>
      </c>
      <c r="M952" s="72">
        <v>1</v>
      </c>
      <c r="N952">
        <v>20</v>
      </c>
      <c r="O952" s="31">
        <f t="shared" si="630"/>
        <v>5.9239999999999995</v>
      </c>
      <c r="P952" s="31">
        <f t="shared" si="631"/>
        <v>5.9239999999999995</v>
      </c>
      <c r="Q952" s="33">
        <f t="shared" si="632"/>
        <v>29.62</v>
      </c>
      <c r="R952" s="29">
        <f t="shared" si="633"/>
        <v>35.543999999999997</v>
      </c>
      <c r="S952" s="29">
        <f t="shared" si="634"/>
        <v>35.543999999999997</v>
      </c>
      <c r="T952" s="35">
        <f t="shared" si="629"/>
        <v>45122</v>
      </c>
      <c r="U952" s="27"/>
      <c r="V952" s="27"/>
      <c r="W952" s="58">
        <f>IF(K952=TRUE,Q952/J952,Q952)</f>
        <v>29.62</v>
      </c>
      <c r="X952" s="31">
        <f t="shared" si="635"/>
        <v>0</v>
      </c>
      <c r="Y952" t="b">
        <f t="shared" si="636"/>
        <v>0</v>
      </c>
      <c r="Z952" s="78">
        <f t="shared" si="637"/>
        <v>-29.62</v>
      </c>
    </row>
    <row r="953" spans="1:26" x14ac:dyDescent="0.25">
      <c r="A953" s="53">
        <v>2023</v>
      </c>
      <c r="B953" s="53">
        <v>79</v>
      </c>
      <c r="C953" s="71" t="s">
        <v>105</v>
      </c>
      <c r="D953" t="s">
        <v>691</v>
      </c>
      <c r="G953" s="1">
        <v>45048</v>
      </c>
      <c r="H953" t="s">
        <v>1113</v>
      </c>
      <c r="K953" t="b">
        <v>0</v>
      </c>
      <c r="L953" s="109">
        <f>629.72/1.2</f>
        <v>524.76666666666677</v>
      </c>
      <c r="M953" s="72">
        <v>1</v>
      </c>
      <c r="N953">
        <v>20</v>
      </c>
      <c r="O953" s="31">
        <f t="shared" si="630"/>
        <v>104.95333333333336</v>
      </c>
      <c r="P953" s="31">
        <f t="shared" si="631"/>
        <v>104.95333333333336</v>
      </c>
      <c r="Q953" s="33">
        <f t="shared" si="632"/>
        <v>524.76666666666677</v>
      </c>
      <c r="R953" s="29">
        <f t="shared" si="633"/>
        <v>629.72000000000014</v>
      </c>
      <c r="S953" s="29">
        <f t="shared" si="634"/>
        <v>629.72000000000014</v>
      </c>
      <c r="T953" s="35">
        <f t="shared" si="629"/>
        <v>45122</v>
      </c>
      <c r="U953" s="27"/>
      <c r="V953" s="27"/>
      <c r="W953" s="58">
        <f>IF(K953=TRUE,Q953/J953,Q953)</f>
        <v>524.76666666666677</v>
      </c>
      <c r="X953" s="31">
        <f t="shared" si="635"/>
        <v>0</v>
      </c>
      <c r="Y953" t="b">
        <f t="shared" si="636"/>
        <v>0</v>
      </c>
      <c r="Z953" s="78">
        <f t="shared" si="637"/>
        <v>-524.76666666666677</v>
      </c>
    </row>
    <row r="954" spans="1:26" x14ac:dyDescent="0.25">
      <c r="A954" s="53">
        <v>2023</v>
      </c>
      <c r="B954" s="53">
        <v>80</v>
      </c>
      <c r="C954" s="71" t="s">
        <v>105</v>
      </c>
      <c r="D954" t="s">
        <v>339</v>
      </c>
      <c r="G954" s="1">
        <v>45048</v>
      </c>
      <c r="H954" t="s">
        <v>981</v>
      </c>
      <c r="K954" t="b">
        <v>0</v>
      </c>
      <c r="L954" s="109">
        <v>16.8</v>
      </c>
      <c r="M954" s="72">
        <v>1</v>
      </c>
      <c r="N954">
        <v>20</v>
      </c>
      <c r="O954" s="31">
        <f t="shared" si="630"/>
        <v>3.36</v>
      </c>
      <c r="P954" s="31">
        <f t="shared" si="631"/>
        <v>3.36</v>
      </c>
      <c r="Q954" s="33">
        <f t="shared" si="632"/>
        <v>16.8</v>
      </c>
      <c r="R954" s="29">
        <f t="shared" si="633"/>
        <v>20.16</v>
      </c>
      <c r="S954" s="29">
        <f t="shared" si="634"/>
        <v>20.16</v>
      </c>
      <c r="T954" s="35">
        <f t="shared" si="629"/>
        <v>45122</v>
      </c>
      <c r="U954" s="27"/>
      <c r="V954" s="27"/>
      <c r="W954" s="58">
        <f>IF(K954=TRUE,Q954/I954,Q954)</f>
        <v>16.8</v>
      </c>
      <c r="X954" s="31">
        <f t="shared" si="635"/>
        <v>0</v>
      </c>
      <c r="Y954" t="b">
        <f t="shared" si="636"/>
        <v>0</v>
      </c>
      <c r="Z954" s="78">
        <f t="shared" si="637"/>
        <v>-16.8</v>
      </c>
    </row>
    <row r="955" spans="1:26" x14ac:dyDescent="0.25">
      <c r="A955" s="53">
        <v>2023</v>
      </c>
      <c r="B955" s="53">
        <v>81</v>
      </c>
      <c r="C955" s="71" t="s">
        <v>105</v>
      </c>
      <c r="D955" t="s">
        <v>705</v>
      </c>
      <c r="E955"/>
      <c r="G955" s="1">
        <v>45049</v>
      </c>
      <c r="H955" t="s">
        <v>1404</v>
      </c>
      <c r="K955" t="b">
        <v>0</v>
      </c>
      <c r="L955" s="109">
        <v>9.43</v>
      </c>
      <c r="M955" s="72">
        <v>1</v>
      </c>
      <c r="N955">
        <v>0</v>
      </c>
      <c r="O955" s="31">
        <f t="shared" si="630"/>
        <v>0</v>
      </c>
      <c r="P955" s="31">
        <f t="shared" si="631"/>
        <v>0</v>
      </c>
      <c r="Q955" s="33">
        <f t="shared" si="632"/>
        <v>9.43</v>
      </c>
      <c r="R955" s="29">
        <f t="shared" si="633"/>
        <v>9.43</v>
      </c>
      <c r="S955" s="29">
        <f t="shared" si="634"/>
        <v>9.43</v>
      </c>
      <c r="T955" s="35">
        <f t="shared" si="629"/>
        <v>45122</v>
      </c>
      <c r="U955" s="27"/>
      <c r="V955" s="27">
        <v>20</v>
      </c>
      <c r="W955" s="58">
        <f>IF(K955=TRUE,Q955/I955,Q955)</f>
        <v>9.43</v>
      </c>
      <c r="X955" s="31">
        <f t="shared" si="635"/>
        <v>1.8860000000000001</v>
      </c>
      <c r="Y955" t="b">
        <f t="shared" si="636"/>
        <v>0</v>
      </c>
      <c r="Z955" s="78">
        <f t="shared" si="637"/>
        <v>-9.43</v>
      </c>
    </row>
    <row r="956" spans="1:26" x14ac:dyDescent="0.25">
      <c r="A956" s="53">
        <v>2023</v>
      </c>
      <c r="B956" s="53">
        <v>82</v>
      </c>
      <c r="C956" s="71" t="s">
        <v>105</v>
      </c>
      <c r="D956" t="s">
        <v>705</v>
      </c>
      <c r="E956"/>
      <c r="G956" s="1">
        <v>45050</v>
      </c>
      <c r="H956" t="s">
        <v>1670</v>
      </c>
      <c r="K956" t="b">
        <f t="shared" ref="K956:K961" si="638">(IF(AND(I956&lt;&gt;"",AND(J956="",ABS(Q956)&gt;400)),TRUE,FALSE))</f>
        <v>0</v>
      </c>
      <c r="L956" s="48">
        <v>5</v>
      </c>
      <c r="M956" s="72">
        <v>1</v>
      </c>
      <c r="N956">
        <v>20</v>
      </c>
      <c r="O956" s="31">
        <f>L956*N956/100</f>
        <v>1</v>
      </c>
      <c r="P956" s="31">
        <f>M956*O956</f>
        <v>1</v>
      </c>
      <c r="Q956" s="33">
        <f>L956*M956</f>
        <v>5</v>
      </c>
      <c r="R956" s="29">
        <f>L956+O956</f>
        <v>6</v>
      </c>
      <c r="S956" s="29">
        <f t="shared" si="634"/>
        <v>6</v>
      </c>
      <c r="T956" s="35">
        <f t="shared" si="629"/>
        <v>45122</v>
      </c>
      <c r="U956" s="27"/>
      <c r="V956" s="27"/>
      <c r="W956" s="58">
        <f>IF(K956=TRUE,Q956/J956,Q956)</f>
        <v>5</v>
      </c>
      <c r="X956" s="31">
        <f>V956/100*S956</f>
        <v>0</v>
      </c>
      <c r="Y956" t="b">
        <f>IF(AND(V956&gt;0,N956=V956),TRUE,FALSE)</f>
        <v>0</v>
      </c>
      <c r="Z956" s="78">
        <f>IF(C956="Einnahmen",Q956,-Q956)</f>
        <v>-5</v>
      </c>
    </row>
    <row r="957" spans="1:26" x14ac:dyDescent="0.25">
      <c r="A957" s="53">
        <v>2023</v>
      </c>
      <c r="B957" s="53">
        <v>83</v>
      </c>
      <c r="C957" s="71" t="s">
        <v>105</v>
      </c>
      <c r="D957" t="s">
        <v>703</v>
      </c>
      <c r="G957" s="1">
        <v>45050</v>
      </c>
      <c r="H957" t="s">
        <v>34</v>
      </c>
      <c r="K957" t="b">
        <f t="shared" si="638"/>
        <v>0</v>
      </c>
      <c r="L957" s="48">
        <v>15</v>
      </c>
      <c r="M957" s="72">
        <v>1</v>
      </c>
      <c r="N957">
        <v>20</v>
      </c>
      <c r="O957" s="31">
        <f>L957*N957/100</f>
        <v>3</v>
      </c>
      <c r="P957" s="31">
        <f>M957*O957</f>
        <v>3</v>
      </c>
      <c r="Q957" s="33">
        <f>L957*M957</f>
        <v>15</v>
      </c>
      <c r="R957" s="29">
        <f>L957+O957</f>
        <v>18</v>
      </c>
      <c r="S957" s="29">
        <f>Q957+P957</f>
        <v>18</v>
      </c>
      <c r="T957" s="35">
        <f t="shared" si="629"/>
        <v>45122</v>
      </c>
      <c r="U957" s="27"/>
      <c r="V957" s="27"/>
      <c r="W957" s="58">
        <f>IF(K957=TRUE,Q957/I957,Q957)</f>
        <v>15</v>
      </c>
      <c r="X957" s="31">
        <f>V957/100*S957</f>
        <v>0</v>
      </c>
      <c r="Y957" t="b">
        <f>IF(AND(V957&gt;0,N957=V957),TRUE,FALSE)</f>
        <v>0</v>
      </c>
      <c r="Z957" s="78">
        <f>IF(C957="Einnahmen",Q957,-Q957)</f>
        <v>-15</v>
      </c>
    </row>
    <row r="958" spans="1:26" x14ac:dyDescent="0.25">
      <c r="A958" s="53">
        <v>2023</v>
      </c>
      <c r="B958" s="53">
        <v>84</v>
      </c>
      <c r="C958" s="71" t="s">
        <v>105</v>
      </c>
      <c r="D958" t="s">
        <v>705</v>
      </c>
      <c r="G958" s="1">
        <v>45054</v>
      </c>
      <c r="H958" t="s">
        <v>1743</v>
      </c>
      <c r="K958" t="b">
        <f t="shared" si="638"/>
        <v>0</v>
      </c>
      <c r="L958" s="48">
        <v>108.36</v>
      </c>
      <c r="M958" s="72">
        <v>1</v>
      </c>
      <c r="N958">
        <v>20</v>
      </c>
      <c r="O958" s="31">
        <f>L958*N958/100</f>
        <v>21.671999999999997</v>
      </c>
      <c r="P958" s="31">
        <f>M958*O958</f>
        <v>21.671999999999997</v>
      </c>
      <c r="Q958" s="33">
        <f>L958*M958</f>
        <v>108.36</v>
      </c>
      <c r="R958" s="29">
        <f>L958+O958</f>
        <v>130.03199999999998</v>
      </c>
      <c r="S958" s="29">
        <f>Q958+P958</f>
        <v>130.03199999999998</v>
      </c>
      <c r="T958" s="35">
        <f t="shared" ref="T958:T971" si="639">DATE(YEAR(EOMONTH(G958,2)),MONTH(EOMONTH(G958,2)),15)</f>
        <v>45122</v>
      </c>
      <c r="U958" s="27"/>
      <c r="V958" s="27"/>
      <c r="W958" s="58">
        <f>IF(K958=TRUE,Q958/I958,Q958)</f>
        <v>108.36</v>
      </c>
      <c r="X958" s="31">
        <f>V958/100*S958</f>
        <v>0</v>
      </c>
      <c r="Y958" t="b">
        <f>IF(AND(V958&gt;0,N958=V958),TRUE,FALSE)</f>
        <v>0</v>
      </c>
      <c r="Z958" s="78">
        <f>IF(C958="Einnahmen",Q958,-Q958)</f>
        <v>-108.36</v>
      </c>
    </row>
    <row r="959" spans="1:26" x14ac:dyDescent="0.25">
      <c r="A959" s="53">
        <v>2023</v>
      </c>
      <c r="B959" s="53">
        <v>85</v>
      </c>
      <c r="C959" s="71" t="s">
        <v>105</v>
      </c>
      <c r="D959" t="s">
        <v>705</v>
      </c>
      <c r="E959" s="61" t="s">
        <v>1064</v>
      </c>
      <c r="G959" s="1">
        <v>45056</v>
      </c>
      <c r="H959" t="s">
        <v>1466</v>
      </c>
      <c r="K959" t="b">
        <f t="shared" si="638"/>
        <v>0</v>
      </c>
      <c r="L959" s="48">
        <v>12</v>
      </c>
      <c r="M959" s="72">
        <v>1</v>
      </c>
      <c r="N959">
        <v>20</v>
      </c>
      <c r="O959" s="31">
        <f>L959*N959/100</f>
        <v>2.4</v>
      </c>
      <c r="P959" s="31">
        <f>M959*O959</f>
        <v>2.4</v>
      </c>
      <c r="Q959" s="33">
        <f>L959*M959</f>
        <v>12</v>
      </c>
      <c r="R959" s="29">
        <f>L959+O959</f>
        <v>14.4</v>
      </c>
      <c r="S959" s="29">
        <f>Q959+P959</f>
        <v>14.4</v>
      </c>
      <c r="T959" s="35">
        <f t="shared" si="639"/>
        <v>45122</v>
      </c>
      <c r="U959" s="27"/>
      <c r="V959" s="27"/>
      <c r="W959" s="58">
        <f>IF(K959=TRUE,Q959/J959,Q959)</f>
        <v>12</v>
      </c>
      <c r="X959" s="31">
        <f>V959/100*S959</f>
        <v>0</v>
      </c>
      <c r="Y959" t="b">
        <f>IF(AND(V959&gt;0,N959=V959),TRUE,FALSE)</f>
        <v>0</v>
      </c>
      <c r="Z959" s="78">
        <f>IF(C959="Einnahmen",Q959,-Q959)</f>
        <v>-12</v>
      </c>
    </row>
    <row r="960" spans="1:26" x14ac:dyDescent="0.25">
      <c r="A960" s="53">
        <v>2023</v>
      </c>
      <c r="B960" s="53">
        <v>86</v>
      </c>
      <c r="C960" s="71" t="s">
        <v>105</v>
      </c>
      <c r="D960" t="s">
        <v>705</v>
      </c>
      <c r="G960" s="1">
        <v>45057</v>
      </c>
      <c r="H960" t="s">
        <v>927</v>
      </c>
      <c r="K960" t="b">
        <f t="shared" si="638"/>
        <v>0</v>
      </c>
      <c r="L960" s="48">
        <v>52.214100000000002</v>
      </c>
      <c r="M960" s="72">
        <v>1</v>
      </c>
      <c r="N960">
        <v>0</v>
      </c>
      <c r="O960" s="31">
        <f>L960*N960/100</f>
        <v>0</v>
      </c>
      <c r="P960" s="31">
        <f>M960*O960</f>
        <v>0</v>
      </c>
      <c r="Q960" s="33">
        <f>L960*M960</f>
        <v>52.214100000000002</v>
      </c>
      <c r="R960" s="29">
        <f>L960+O960</f>
        <v>52.214100000000002</v>
      </c>
      <c r="S960" s="29">
        <f>Q960+P960</f>
        <v>52.214100000000002</v>
      </c>
      <c r="T960" s="35">
        <f t="shared" si="639"/>
        <v>45122</v>
      </c>
      <c r="U960" s="27"/>
      <c r="V960" s="27">
        <v>20</v>
      </c>
      <c r="W960" s="58">
        <f>IF(K960=TRUE,Q960/J960,Q960)</f>
        <v>52.214100000000002</v>
      </c>
      <c r="X960" s="31">
        <f>V960/100*S960</f>
        <v>10.442820000000001</v>
      </c>
      <c r="Y960" t="b">
        <f>IF(AND(V960&gt;0,N960=V960),TRUE,FALSE)</f>
        <v>0</v>
      </c>
      <c r="Z960" s="78">
        <f>IF(C960="Einnahmen",Q960,-Q960)</f>
        <v>-52.214100000000002</v>
      </c>
    </row>
    <row r="961" spans="1:26" x14ac:dyDescent="0.25">
      <c r="A961" s="53">
        <v>2023</v>
      </c>
      <c r="B961" s="53">
        <v>87</v>
      </c>
      <c r="C961" s="71" t="s">
        <v>105</v>
      </c>
      <c r="D961" t="s">
        <v>685</v>
      </c>
      <c r="E961" s="9" t="s">
        <v>1699</v>
      </c>
      <c r="G961" s="1">
        <v>45061</v>
      </c>
      <c r="H961" t="s">
        <v>1689</v>
      </c>
      <c r="K961" t="b">
        <f t="shared" si="638"/>
        <v>0</v>
      </c>
      <c r="L961" s="48">
        <v>365</v>
      </c>
      <c r="M961" s="72">
        <v>1</v>
      </c>
      <c r="N961">
        <v>0</v>
      </c>
      <c r="O961" s="31">
        <f t="shared" ref="O961:O969" si="640">L961*N961/100</f>
        <v>0</v>
      </c>
      <c r="P961" s="31">
        <f t="shared" ref="P961:P969" si="641">M961*O961</f>
        <v>0</v>
      </c>
      <c r="Q961" s="33">
        <f t="shared" ref="Q961:Q969" si="642">L961*M961</f>
        <v>365</v>
      </c>
      <c r="R961" s="29">
        <f t="shared" ref="R961:R969" si="643">L961+O961</f>
        <v>365</v>
      </c>
      <c r="S961" s="29">
        <f t="shared" ref="S961:S970" si="644">Q961+P961</f>
        <v>365</v>
      </c>
      <c r="T961" s="35">
        <f t="shared" si="639"/>
        <v>45122</v>
      </c>
      <c r="U961" s="27"/>
      <c r="V961" s="27"/>
      <c r="W961" s="58">
        <f>IF(K961=TRUE,Q961/J961,Q961)</f>
        <v>365</v>
      </c>
      <c r="X961" s="31">
        <f t="shared" ref="X961:X969" si="645">V961/100*S961</f>
        <v>0</v>
      </c>
      <c r="Y961" t="b">
        <f t="shared" ref="Y961:Y969" si="646">IF(AND(V961&gt;0,N961=V961),TRUE,FALSE)</f>
        <v>0</v>
      </c>
      <c r="Z961" s="78">
        <f t="shared" ref="Z961:Z969" si="647">IF(C961="Einnahmen",Q961,-Q961)</f>
        <v>-365</v>
      </c>
    </row>
    <row r="962" spans="1:26" x14ac:dyDescent="0.25">
      <c r="A962" s="53">
        <v>2023</v>
      </c>
      <c r="B962" s="53">
        <v>88</v>
      </c>
      <c r="C962" s="71" t="s">
        <v>105</v>
      </c>
      <c r="D962" t="s">
        <v>691</v>
      </c>
      <c r="E962" s="61" t="s">
        <v>1064</v>
      </c>
      <c r="G962" s="1">
        <v>45062</v>
      </c>
      <c r="H962" t="s">
        <v>1558</v>
      </c>
      <c r="K962" t="b">
        <v>0</v>
      </c>
      <c r="L962" s="109">
        <v>122.6</v>
      </c>
      <c r="M962" s="72">
        <v>1</v>
      </c>
      <c r="N962">
        <v>20</v>
      </c>
      <c r="O962" s="31">
        <f t="shared" si="640"/>
        <v>24.52</v>
      </c>
      <c r="P962" s="31">
        <f t="shared" si="641"/>
        <v>24.52</v>
      </c>
      <c r="Q962" s="33">
        <f t="shared" si="642"/>
        <v>122.6</v>
      </c>
      <c r="R962" s="29">
        <f t="shared" si="643"/>
        <v>147.12</v>
      </c>
      <c r="S962" s="29">
        <f t="shared" si="644"/>
        <v>147.12</v>
      </c>
      <c r="T962" s="35">
        <f t="shared" si="639"/>
        <v>45122</v>
      </c>
      <c r="U962" s="27"/>
      <c r="V962" s="27"/>
      <c r="W962" s="58">
        <f>IF(K962=TRUE,Q962/J962,Q962)</f>
        <v>122.6</v>
      </c>
      <c r="X962" s="31">
        <f t="shared" si="645"/>
        <v>0</v>
      </c>
      <c r="Y962" t="b">
        <f t="shared" si="646"/>
        <v>0</v>
      </c>
      <c r="Z962" s="78">
        <f t="shared" si="647"/>
        <v>-122.6</v>
      </c>
    </row>
    <row r="963" spans="1:26" x14ac:dyDescent="0.25">
      <c r="A963" s="53">
        <v>2023</v>
      </c>
      <c r="B963" s="53">
        <v>89</v>
      </c>
      <c r="C963" s="71" t="s">
        <v>708</v>
      </c>
      <c r="D963" t="s">
        <v>709</v>
      </c>
      <c r="E963">
        <v>12023009</v>
      </c>
      <c r="G963" s="1">
        <v>45062</v>
      </c>
      <c r="H963" t="s">
        <v>1652</v>
      </c>
      <c r="K963" t="b">
        <f>(IF(AND(I963&lt;&gt;"",AND(J963="",ABS(Q963)&gt;400)),TRUE,FALSE))</f>
        <v>0</v>
      </c>
      <c r="L963" s="48">
        <v>17523</v>
      </c>
      <c r="M963" s="72">
        <v>1</v>
      </c>
      <c r="N963">
        <v>20</v>
      </c>
      <c r="O963" s="31">
        <f t="shared" si="640"/>
        <v>3504.6</v>
      </c>
      <c r="P963" s="31">
        <f t="shared" si="641"/>
        <v>3504.6</v>
      </c>
      <c r="Q963" s="33">
        <f t="shared" si="642"/>
        <v>17523</v>
      </c>
      <c r="R963" s="29">
        <f t="shared" si="643"/>
        <v>21027.599999999999</v>
      </c>
      <c r="S963" s="29">
        <f t="shared" si="644"/>
        <v>21027.599999999999</v>
      </c>
      <c r="T963" s="35">
        <f t="shared" si="639"/>
        <v>45122</v>
      </c>
      <c r="U963" s="27"/>
      <c r="V963" s="27"/>
      <c r="W963" s="58">
        <f>IF(K963=TRUE,Q963/J963,Q963)</f>
        <v>17523</v>
      </c>
      <c r="X963" s="31">
        <f t="shared" si="645"/>
        <v>0</v>
      </c>
      <c r="Y963" t="b">
        <f t="shared" si="646"/>
        <v>0</v>
      </c>
      <c r="Z963" s="78">
        <f t="shared" si="647"/>
        <v>17523</v>
      </c>
    </row>
    <row r="964" spans="1:26" x14ac:dyDescent="0.25">
      <c r="A964" s="53">
        <v>2023</v>
      </c>
      <c r="B964" s="53">
        <v>90</v>
      </c>
      <c r="C964" s="71" t="s">
        <v>105</v>
      </c>
      <c r="D964" t="s">
        <v>703</v>
      </c>
      <c r="E964" s="131"/>
      <c r="G964" s="1">
        <v>45065</v>
      </c>
      <c r="H964" t="s">
        <v>1148</v>
      </c>
      <c r="K964" t="b">
        <f>(IF(AND(I964&lt;&gt;"",AND(J964="",ABS(Q964)&gt;400)),TRUE,FALSE))</f>
        <v>0</v>
      </c>
      <c r="L964" s="48">
        <v>31.92</v>
      </c>
      <c r="M964" s="72">
        <v>1</v>
      </c>
      <c r="N964">
        <v>20</v>
      </c>
      <c r="O964" s="31">
        <f t="shared" si="640"/>
        <v>6.3840000000000012</v>
      </c>
      <c r="P964" s="31">
        <f t="shared" si="641"/>
        <v>6.3840000000000012</v>
      </c>
      <c r="Q964" s="33">
        <f t="shared" si="642"/>
        <v>31.92</v>
      </c>
      <c r="R964" s="29">
        <f t="shared" si="643"/>
        <v>38.304000000000002</v>
      </c>
      <c r="S964" s="29">
        <f t="shared" si="644"/>
        <v>38.304000000000002</v>
      </c>
      <c r="T964" s="35">
        <f t="shared" si="639"/>
        <v>45122</v>
      </c>
      <c r="U964" s="27"/>
      <c r="V964" s="27"/>
      <c r="W964" s="58">
        <f>IF(K964=TRUE,Q964/I964,Q964)</f>
        <v>31.92</v>
      </c>
      <c r="X964" s="31">
        <f t="shared" si="645"/>
        <v>0</v>
      </c>
      <c r="Y964" t="b">
        <f t="shared" si="646"/>
        <v>0</v>
      </c>
      <c r="Z964" s="78">
        <f t="shared" si="647"/>
        <v>-31.92</v>
      </c>
    </row>
    <row r="965" spans="1:26" x14ac:dyDescent="0.25">
      <c r="A965" s="53">
        <v>2023</v>
      </c>
      <c r="B965" s="53">
        <v>91</v>
      </c>
      <c r="C965" s="71" t="s">
        <v>105</v>
      </c>
      <c r="D965" t="s">
        <v>705</v>
      </c>
      <c r="E965" s="1"/>
      <c r="G965" s="1">
        <v>45068</v>
      </c>
      <c r="H965" t="s">
        <v>1032</v>
      </c>
      <c r="K965" t="b">
        <f>(IF(AND(I965&lt;&gt;"",AND(J965="",ABS(Q965)&gt;400)),TRUE,FALSE))</f>
        <v>0</v>
      </c>
      <c r="L965" s="109">
        <v>10.5</v>
      </c>
      <c r="M965" s="72">
        <v>1</v>
      </c>
      <c r="N965">
        <v>0</v>
      </c>
      <c r="O965" s="31">
        <f t="shared" si="640"/>
        <v>0</v>
      </c>
      <c r="P965" s="31">
        <f t="shared" si="641"/>
        <v>0</v>
      </c>
      <c r="Q965" s="33">
        <f t="shared" si="642"/>
        <v>10.5</v>
      </c>
      <c r="R965" s="29">
        <f t="shared" si="643"/>
        <v>10.5</v>
      </c>
      <c r="S965" s="29">
        <f t="shared" si="644"/>
        <v>10.5</v>
      </c>
      <c r="T965" s="35">
        <f t="shared" si="639"/>
        <v>45122</v>
      </c>
      <c r="U965" s="27"/>
      <c r="V965" s="27">
        <v>20</v>
      </c>
      <c r="W965" s="58">
        <f>IF(K965=TRUE,Q965/J965,Q965)</f>
        <v>10.5</v>
      </c>
      <c r="X965" s="31">
        <f t="shared" si="645"/>
        <v>2.1</v>
      </c>
      <c r="Y965" t="b">
        <f t="shared" si="646"/>
        <v>0</v>
      </c>
      <c r="Z965" s="78">
        <f t="shared" si="647"/>
        <v>-10.5</v>
      </c>
    </row>
    <row r="966" spans="1:26" x14ac:dyDescent="0.25">
      <c r="A966" s="53">
        <v>2023</v>
      </c>
      <c r="B966" s="53">
        <v>92</v>
      </c>
      <c r="C966" s="71" t="s">
        <v>105</v>
      </c>
      <c r="D966" t="s">
        <v>689</v>
      </c>
      <c r="E966" s="131"/>
      <c r="G966" s="1">
        <v>45079</v>
      </c>
      <c r="H966" t="s">
        <v>974</v>
      </c>
      <c r="K966" t="b">
        <v>0</v>
      </c>
      <c r="L966" s="48">
        <v>12.08</v>
      </c>
      <c r="M966" s="72">
        <v>1</v>
      </c>
      <c r="N966">
        <v>20</v>
      </c>
      <c r="O966" s="31">
        <f t="shared" si="640"/>
        <v>2.4159999999999999</v>
      </c>
      <c r="P966" s="31">
        <f t="shared" si="641"/>
        <v>2.4159999999999999</v>
      </c>
      <c r="Q966" s="33">
        <f t="shared" si="642"/>
        <v>12.08</v>
      </c>
      <c r="R966" s="29">
        <f t="shared" si="643"/>
        <v>14.496</v>
      </c>
      <c r="S966" s="29">
        <f t="shared" si="644"/>
        <v>14.496</v>
      </c>
      <c r="T966" s="35">
        <f t="shared" si="639"/>
        <v>45153</v>
      </c>
      <c r="U966" s="27"/>
      <c r="V966" s="27"/>
      <c r="W966" s="58">
        <f>IF(K966=TRUE,Q966/J966,Q966)</f>
        <v>12.08</v>
      </c>
      <c r="X966" s="31">
        <f t="shared" si="645"/>
        <v>0</v>
      </c>
      <c r="Y966" t="b">
        <f t="shared" si="646"/>
        <v>0</v>
      </c>
      <c r="Z966" s="78">
        <f t="shared" si="647"/>
        <v>-12.08</v>
      </c>
    </row>
    <row r="967" spans="1:26" x14ac:dyDescent="0.25">
      <c r="A967" s="53">
        <v>2023</v>
      </c>
      <c r="B967" s="53">
        <v>93</v>
      </c>
      <c r="C967" s="71" t="s">
        <v>105</v>
      </c>
      <c r="D967" t="s">
        <v>691</v>
      </c>
      <c r="G967" s="1">
        <v>45078</v>
      </c>
      <c r="H967" t="s">
        <v>1113</v>
      </c>
      <c r="K967" t="b">
        <v>0</v>
      </c>
      <c r="L967" s="109">
        <f>629.72/1.2</f>
        <v>524.76666666666677</v>
      </c>
      <c r="M967" s="72">
        <v>1</v>
      </c>
      <c r="N967">
        <v>20</v>
      </c>
      <c r="O967" s="31">
        <f t="shared" si="640"/>
        <v>104.95333333333336</v>
      </c>
      <c r="P967" s="31">
        <f t="shared" si="641"/>
        <v>104.95333333333336</v>
      </c>
      <c r="Q967" s="33">
        <f t="shared" si="642"/>
        <v>524.76666666666677</v>
      </c>
      <c r="R967" s="29">
        <f t="shared" si="643"/>
        <v>629.72000000000014</v>
      </c>
      <c r="S967" s="29">
        <f t="shared" si="644"/>
        <v>629.72000000000014</v>
      </c>
      <c r="T967" s="35">
        <f t="shared" si="639"/>
        <v>45153</v>
      </c>
      <c r="U967" s="27"/>
      <c r="V967" s="27"/>
      <c r="W967" s="58">
        <f>IF(K967=TRUE,Q967/J967,Q967)</f>
        <v>524.76666666666677</v>
      </c>
      <c r="X967" s="31">
        <f t="shared" si="645"/>
        <v>0</v>
      </c>
      <c r="Y967" t="b">
        <f t="shared" si="646"/>
        <v>0</v>
      </c>
      <c r="Z967" s="78">
        <f t="shared" si="647"/>
        <v>-524.76666666666677</v>
      </c>
    </row>
    <row r="968" spans="1:26" x14ac:dyDescent="0.25">
      <c r="A968" s="53">
        <v>2023</v>
      </c>
      <c r="B968" s="53">
        <v>94</v>
      </c>
      <c r="C968" s="71" t="s">
        <v>105</v>
      </c>
      <c r="D968" t="s">
        <v>705</v>
      </c>
      <c r="E968"/>
      <c r="G968" s="1">
        <v>45082</v>
      </c>
      <c r="H968" t="s">
        <v>1404</v>
      </c>
      <c r="K968" t="b">
        <v>0</v>
      </c>
      <c r="L968" s="109">
        <v>10.4</v>
      </c>
      <c r="M968" s="72">
        <v>1</v>
      </c>
      <c r="N968">
        <v>0</v>
      </c>
      <c r="O968" s="31">
        <f t="shared" si="640"/>
        <v>0</v>
      </c>
      <c r="P968" s="31">
        <f t="shared" si="641"/>
        <v>0</v>
      </c>
      <c r="Q968" s="33">
        <f t="shared" si="642"/>
        <v>10.4</v>
      </c>
      <c r="R968" s="29">
        <f t="shared" si="643"/>
        <v>10.4</v>
      </c>
      <c r="S968" s="29">
        <f t="shared" si="644"/>
        <v>10.4</v>
      </c>
      <c r="T968" s="35">
        <f t="shared" si="639"/>
        <v>45153</v>
      </c>
      <c r="U968" s="27"/>
      <c r="V968" s="27">
        <v>20</v>
      </c>
      <c r="W968" s="58">
        <f>IF(K968=TRUE,Q968/I968,Q968)</f>
        <v>10.4</v>
      </c>
      <c r="X968" s="31">
        <f t="shared" si="645"/>
        <v>2.08</v>
      </c>
      <c r="Y968" t="b">
        <f t="shared" si="646"/>
        <v>0</v>
      </c>
      <c r="Z968" s="78">
        <f t="shared" si="647"/>
        <v>-10.4</v>
      </c>
    </row>
    <row r="969" spans="1:26" x14ac:dyDescent="0.25">
      <c r="A969" s="53">
        <v>2023</v>
      </c>
      <c r="B969" s="53">
        <v>95</v>
      </c>
      <c r="C969" s="71" t="s">
        <v>105</v>
      </c>
      <c r="D969" t="s">
        <v>703</v>
      </c>
      <c r="G969" s="1">
        <v>45082</v>
      </c>
      <c r="H969" t="s">
        <v>34</v>
      </c>
      <c r="K969" t="b">
        <f>(IF(AND(I969&lt;&gt;"",AND(J969="",ABS(Q969)&gt;400)),TRUE,FALSE))</f>
        <v>0</v>
      </c>
      <c r="L969" s="48">
        <v>31.71</v>
      </c>
      <c r="M969" s="72">
        <v>1</v>
      </c>
      <c r="N969">
        <v>20</v>
      </c>
      <c r="O969" s="31">
        <f t="shared" si="640"/>
        <v>6.3420000000000005</v>
      </c>
      <c r="P969" s="31">
        <f t="shared" si="641"/>
        <v>6.3420000000000005</v>
      </c>
      <c r="Q969" s="33">
        <f t="shared" si="642"/>
        <v>31.71</v>
      </c>
      <c r="R969" s="29">
        <f t="shared" si="643"/>
        <v>38.052</v>
      </c>
      <c r="S969" s="29">
        <f t="shared" si="644"/>
        <v>38.052</v>
      </c>
      <c r="T969" s="35">
        <f t="shared" si="639"/>
        <v>45153</v>
      </c>
      <c r="U969" s="27"/>
      <c r="V969" s="27"/>
      <c r="W969" s="58">
        <f>IF(K969=TRUE,Q969/I969,Q969)</f>
        <v>31.71</v>
      </c>
      <c r="X969" s="31">
        <f t="shared" si="645"/>
        <v>0</v>
      </c>
      <c r="Y969" t="b">
        <f t="shared" si="646"/>
        <v>0</v>
      </c>
      <c r="Z969" s="78">
        <f t="shared" si="647"/>
        <v>-31.71</v>
      </c>
    </row>
    <row r="970" spans="1:26" x14ac:dyDescent="0.25">
      <c r="A970" s="53">
        <v>2023</v>
      </c>
      <c r="B970" s="53">
        <v>96</v>
      </c>
      <c r="C970" s="71" t="s">
        <v>105</v>
      </c>
      <c r="D970" t="s">
        <v>705</v>
      </c>
      <c r="E970"/>
      <c r="G970" s="1">
        <v>45082</v>
      </c>
      <c r="H970" t="s">
        <v>1670</v>
      </c>
      <c r="K970" t="b">
        <f>(IF(AND(I970&lt;&gt;"",AND(J970="",ABS(Q970)&gt;400)),TRUE,FALSE))</f>
        <v>0</v>
      </c>
      <c r="L970" s="48">
        <v>5</v>
      </c>
      <c r="M970" s="72">
        <v>1</v>
      </c>
      <c r="N970">
        <v>20</v>
      </c>
      <c r="O970" s="31">
        <f t="shared" ref="O970:O976" si="648">L970*N970/100</f>
        <v>1</v>
      </c>
      <c r="P970" s="31">
        <f t="shared" ref="P970:P976" si="649">M970*O970</f>
        <v>1</v>
      </c>
      <c r="Q970" s="33">
        <f t="shared" ref="Q970:Q976" si="650">L970*M970</f>
        <v>5</v>
      </c>
      <c r="R970" s="29">
        <f t="shared" ref="R970:R976" si="651">L970+O970</f>
        <v>6</v>
      </c>
      <c r="S970" s="29">
        <f t="shared" si="644"/>
        <v>6</v>
      </c>
      <c r="T970" s="35">
        <f t="shared" si="639"/>
        <v>45153</v>
      </c>
      <c r="U970" s="27"/>
      <c r="V970" s="27"/>
      <c r="W970" s="58">
        <f>IF(K970=TRUE,Q970/J970,Q970)</f>
        <v>5</v>
      </c>
      <c r="X970" s="31">
        <f t="shared" ref="X970:X976" si="652">V970/100*S970</f>
        <v>0</v>
      </c>
      <c r="Y970" t="b">
        <f t="shared" ref="Y970:Y976" si="653">IF(AND(V970&gt;0,N970=V970),TRUE,FALSE)</f>
        <v>0</v>
      </c>
      <c r="Z970" s="78">
        <f t="shared" ref="Z970:Z976" si="654">IF(C970="Einnahmen",Q970,-Q970)</f>
        <v>-5</v>
      </c>
    </row>
    <row r="971" spans="1:26" x14ac:dyDescent="0.25">
      <c r="A971" s="53">
        <v>2023</v>
      </c>
      <c r="B971" s="53">
        <v>97</v>
      </c>
      <c r="C971" s="71" t="s">
        <v>105</v>
      </c>
      <c r="D971" t="s">
        <v>339</v>
      </c>
      <c r="G971" s="1">
        <v>45083</v>
      </c>
      <c r="H971" t="s">
        <v>979</v>
      </c>
      <c r="J971" s="76" t="s">
        <v>958</v>
      </c>
      <c r="K971" t="b">
        <v>0</v>
      </c>
      <c r="L971" s="109">
        <v>38.81</v>
      </c>
      <c r="M971" s="72">
        <v>1</v>
      </c>
      <c r="N971">
        <v>20</v>
      </c>
      <c r="O971" s="31">
        <f t="shared" si="648"/>
        <v>7.7620000000000005</v>
      </c>
      <c r="P971" s="31">
        <f t="shared" si="649"/>
        <v>7.7620000000000005</v>
      </c>
      <c r="Q971" s="33">
        <f t="shared" si="650"/>
        <v>38.81</v>
      </c>
      <c r="R971" s="29">
        <f t="shared" si="651"/>
        <v>46.572000000000003</v>
      </c>
      <c r="S971" s="29">
        <f t="shared" ref="S971:S976" si="655">Q971+P971</f>
        <v>46.572000000000003</v>
      </c>
      <c r="T971" s="35">
        <f t="shared" si="639"/>
        <v>45153</v>
      </c>
      <c r="U971" s="27"/>
      <c r="V971" s="27"/>
      <c r="W971" s="58">
        <f>IF(K971=TRUE,Q971/I971,Q971)</f>
        <v>38.81</v>
      </c>
      <c r="X971" s="31">
        <f t="shared" si="652"/>
        <v>0</v>
      </c>
      <c r="Y971" t="b">
        <f t="shared" si="653"/>
        <v>0</v>
      </c>
      <c r="Z971" s="78">
        <f t="shared" si="654"/>
        <v>-38.81</v>
      </c>
    </row>
    <row r="972" spans="1:26" x14ac:dyDescent="0.25">
      <c r="A972" s="53">
        <v>2023</v>
      </c>
      <c r="B972" s="53">
        <v>98</v>
      </c>
      <c r="C972" s="71" t="s">
        <v>105</v>
      </c>
      <c r="D972" t="s">
        <v>691</v>
      </c>
      <c r="E972" s="61" t="s">
        <v>1064</v>
      </c>
      <c r="G972" s="1">
        <v>45082</v>
      </c>
      <c r="H972" t="s">
        <v>1558</v>
      </c>
      <c r="K972" t="b">
        <v>0</v>
      </c>
      <c r="L972" s="109">
        <v>122.6</v>
      </c>
      <c r="M972" s="72">
        <v>1</v>
      </c>
      <c r="N972">
        <v>20</v>
      </c>
      <c r="O972" s="31">
        <f t="shared" si="648"/>
        <v>24.52</v>
      </c>
      <c r="P972" s="31">
        <f t="shared" si="649"/>
        <v>24.52</v>
      </c>
      <c r="Q972" s="33">
        <f t="shared" si="650"/>
        <v>122.6</v>
      </c>
      <c r="R972" s="29">
        <f t="shared" si="651"/>
        <v>147.12</v>
      </c>
      <c r="S972" s="29">
        <f t="shared" si="655"/>
        <v>147.12</v>
      </c>
      <c r="T972" s="35">
        <f>DATE(YEAR(EOMONTH(G972,2)),MONTH(EOMONTH(G972,2)),15)</f>
        <v>45153</v>
      </c>
      <c r="U972" s="27"/>
      <c r="V972" s="27"/>
      <c r="W972" s="58">
        <f>IF(K972=TRUE,Q972/J972,Q972)</f>
        <v>122.6</v>
      </c>
      <c r="X972" s="31">
        <f t="shared" si="652"/>
        <v>0</v>
      </c>
      <c r="Y972" t="b">
        <f t="shared" si="653"/>
        <v>0</v>
      </c>
      <c r="Z972" s="78">
        <f t="shared" si="654"/>
        <v>-122.6</v>
      </c>
    </row>
    <row r="973" spans="1:26" x14ac:dyDescent="0.25">
      <c r="A973" s="53">
        <v>2023</v>
      </c>
      <c r="B973" s="53">
        <v>99</v>
      </c>
      <c r="C973" s="71" t="s">
        <v>105</v>
      </c>
      <c r="D973" t="s">
        <v>339</v>
      </c>
      <c r="G973" s="1">
        <v>45084</v>
      </c>
      <c r="H973" t="s">
        <v>979</v>
      </c>
      <c r="J973" s="76" t="s">
        <v>958</v>
      </c>
      <c r="K973" t="b">
        <v>0</v>
      </c>
      <c r="L973" s="109">
        <v>48.98</v>
      </c>
      <c r="M973" s="72">
        <v>1</v>
      </c>
      <c r="N973">
        <v>20</v>
      </c>
      <c r="O973" s="31">
        <f t="shared" si="648"/>
        <v>9.7959999999999994</v>
      </c>
      <c r="P973" s="31">
        <f t="shared" si="649"/>
        <v>9.7959999999999994</v>
      </c>
      <c r="Q973" s="33">
        <f t="shared" si="650"/>
        <v>48.98</v>
      </c>
      <c r="R973" s="29">
        <f t="shared" si="651"/>
        <v>58.775999999999996</v>
      </c>
      <c r="S973" s="29">
        <f t="shared" si="655"/>
        <v>58.775999999999996</v>
      </c>
      <c r="T973" s="35">
        <f>DATE(YEAR(EOMONTH(G973,2)),MONTH(EOMONTH(G973,2)),15)</f>
        <v>45153</v>
      </c>
      <c r="U973" s="27"/>
      <c r="V973" s="27"/>
      <c r="W973" s="58">
        <f>IF(K973=TRUE,Q973/I973,Q973)</f>
        <v>48.98</v>
      </c>
      <c r="X973" s="31">
        <f t="shared" si="652"/>
        <v>0</v>
      </c>
      <c r="Y973" t="b">
        <f t="shared" si="653"/>
        <v>0</v>
      </c>
      <c r="Z973" s="78">
        <f t="shared" si="654"/>
        <v>-48.98</v>
      </c>
    </row>
    <row r="974" spans="1:26" x14ac:dyDescent="0.25">
      <c r="A974" s="53">
        <v>2023</v>
      </c>
      <c r="B974" s="53">
        <v>100</v>
      </c>
      <c r="C974" s="71" t="s">
        <v>105</v>
      </c>
      <c r="D974" t="s">
        <v>705</v>
      </c>
      <c r="E974" s="61" t="s">
        <v>1064</v>
      </c>
      <c r="G974" s="1">
        <v>45089</v>
      </c>
      <c r="H974" t="s">
        <v>1368</v>
      </c>
      <c r="J974" s="76" t="s">
        <v>958</v>
      </c>
      <c r="K974" t="b">
        <f>(IF(AND(I974&lt;&gt;"",AND(J974="",ABS(Q974)&gt;400)),TRUE,FALSE))</f>
        <v>0</v>
      </c>
      <c r="L974" s="48">
        <v>27.41</v>
      </c>
      <c r="M974" s="72">
        <v>1</v>
      </c>
      <c r="N974">
        <v>0</v>
      </c>
      <c r="O974" s="31">
        <f t="shared" si="648"/>
        <v>0</v>
      </c>
      <c r="P974" s="31">
        <f t="shared" si="649"/>
        <v>0</v>
      </c>
      <c r="Q974" s="33">
        <f t="shared" si="650"/>
        <v>27.41</v>
      </c>
      <c r="R974" s="29">
        <f t="shared" si="651"/>
        <v>27.41</v>
      </c>
      <c r="S974" s="29">
        <f t="shared" si="655"/>
        <v>27.41</v>
      </c>
      <c r="T974" s="35">
        <f>voranmeldefrist_vierteljaehrlich(G974)</f>
        <v>45153</v>
      </c>
      <c r="U974" s="27"/>
      <c r="V974" s="27">
        <v>20</v>
      </c>
      <c r="W974" s="58">
        <f>IF(K974=TRUE,Q974/J974,Q974)</f>
        <v>27.41</v>
      </c>
      <c r="X974" s="31">
        <f t="shared" si="652"/>
        <v>5.4820000000000002</v>
      </c>
      <c r="Y974" t="b">
        <f t="shared" si="653"/>
        <v>0</v>
      </c>
      <c r="Z974" s="78">
        <f t="shared" si="654"/>
        <v>-27.41</v>
      </c>
    </row>
    <row r="975" spans="1:26" x14ac:dyDescent="0.25">
      <c r="A975" s="53">
        <v>2023</v>
      </c>
      <c r="B975" s="53">
        <v>101</v>
      </c>
      <c r="C975" s="71" t="s">
        <v>105</v>
      </c>
      <c r="D975" t="s">
        <v>705</v>
      </c>
      <c r="E975" s="61" t="s">
        <v>1064</v>
      </c>
      <c r="G975" s="1">
        <v>45089</v>
      </c>
      <c r="H975" t="s">
        <v>1466</v>
      </c>
      <c r="K975" t="b">
        <f>(IF(AND(I975&lt;&gt;"",AND(J975="",ABS(Q975)&gt;400)),TRUE,FALSE))</f>
        <v>0</v>
      </c>
      <c r="L975" s="48">
        <v>12</v>
      </c>
      <c r="M975" s="72">
        <v>1</v>
      </c>
      <c r="N975">
        <v>20</v>
      </c>
      <c r="O975" s="31">
        <f t="shared" si="648"/>
        <v>2.4</v>
      </c>
      <c r="P975" s="31">
        <f t="shared" si="649"/>
        <v>2.4</v>
      </c>
      <c r="Q975" s="33">
        <f t="shared" si="650"/>
        <v>12</v>
      </c>
      <c r="R975" s="29">
        <f t="shared" si="651"/>
        <v>14.4</v>
      </c>
      <c r="S975" s="29">
        <f t="shared" si="655"/>
        <v>14.4</v>
      </c>
      <c r="T975" s="35">
        <f t="shared" ref="T975:T982" si="656">DATE(YEAR(EOMONTH(G975,2)),MONTH(EOMONTH(G975,2)),15)</f>
        <v>45153</v>
      </c>
      <c r="U975" s="27"/>
      <c r="V975" s="27"/>
      <c r="W975" s="58">
        <f>IF(K975=TRUE,Q975/J975,Q975)</f>
        <v>12</v>
      </c>
      <c r="X975" s="31">
        <f t="shared" si="652"/>
        <v>0</v>
      </c>
      <c r="Y975" t="b">
        <f t="shared" si="653"/>
        <v>0</v>
      </c>
      <c r="Z975" s="78">
        <f t="shared" si="654"/>
        <v>-12</v>
      </c>
    </row>
    <row r="976" spans="1:26" x14ac:dyDescent="0.25">
      <c r="A976" s="53">
        <v>2023</v>
      </c>
      <c r="B976" s="53">
        <v>102</v>
      </c>
      <c r="C976" s="71" t="s">
        <v>105</v>
      </c>
      <c r="D976" t="s">
        <v>705</v>
      </c>
      <c r="G976" s="1">
        <v>45091</v>
      </c>
      <c r="H976" t="s">
        <v>927</v>
      </c>
      <c r="K976" t="b">
        <f>(IF(AND(I976&lt;&gt;"",AND(J976="",ABS(Q976)&gt;400)),TRUE,FALSE))</f>
        <v>0</v>
      </c>
      <c r="L976" s="48">
        <v>52.214100000000002</v>
      </c>
      <c r="M976" s="72">
        <v>1</v>
      </c>
      <c r="N976">
        <v>0</v>
      </c>
      <c r="O976" s="31">
        <f t="shared" si="648"/>
        <v>0</v>
      </c>
      <c r="P976" s="31">
        <f t="shared" si="649"/>
        <v>0</v>
      </c>
      <c r="Q976" s="33">
        <f t="shared" si="650"/>
        <v>52.214100000000002</v>
      </c>
      <c r="R976" s="29">
        <f t="shared" si="651"/>
        <v>52.214100000000002</v>
      </c>
      <c r="S976" s="29">
        <f t="shared" si="655"/>
        <v>52.214100000000002</v>
      </c>
      <c r="T976" s="35">
        <f t="shared" si="656"/>
        <v>45153</v>
      </c>
      <c r="U976" s="27"/>
      <c r="V976" s="27">
        <v>20</v>
      </c>
      <c r="W976" s="58">
        <f>IF(K976=TRUE,Q976/J976,Q976)</f>
        <v>52.214100000000002</v>
      </c>
      <c r="X976" s="31">
        <f t="shared" si="652"/>
        <v>10.442820000000001</v>
      </c>
      <c r="Y976" t="b">
        <f t="shared" si="653"/>
        <v>0</v>
      </c>
      <c r="Z976" s="78">
        <f t="shared" si="654"/>
        <v>-52.214100000000002</v>
      </c>
    </row>
    <row r="977" spans="1:26" x14ac:dyDescent="0.25">
      <c r="A977" s="53">
        <v>2023</v>
      </c>
      <c r="B977" s="53">
        <v>103</v>
      </c>
      <c r="C977" s="71" t="s">
        <v>105</v>
      </c>
      <c r="D977" t="s">
        <v>705</v>
      </c>
      <c r="E977"/>
      <c r="G977" s="1">
        <v>45092</v>
      </c>
      <c r="H977" t="s">
        <v>1404</v>
      </c>
      <c r="K977" t="b">
        <v>0</v>
      </c>
      <c r="L977" s="157">
        <f>19.99/1.2</f>
        <v>16.658333333333331</v>
      </c>
      <c r="M977" s="72">
        <v>1</v>
      </c>
      <c r="N977">
        <v>20</v>
      </c>
      <c r="O977" s="31">
        <f t="shared" ref="O977:O982" si="657">L977*N977/100</f>
        <v>3.3316666666666661</v>
      </c>
      <c r="P977" s="31">
        <f t="shared" ref="P977:P982" si="658">M977*O977</f>
        <v>3.3316666666666661</v>
      </c>
      <c r="Q977" s="33">
        <f t="shared" ref="Q977:Q982" si="659">L977*M977</f>
        <v>16.658333333333331</v>
      </c>
      <c r="R977" s="29">
        <f t="shared" ref="R977:R982" si="660">L977+O977</f>
        <v>19.989999999999998</v>
      </c>
      <c r="S977" s="29">
        <f t="shared" ref="S977:S982" si="661">Q977+P977</f>
        <v>19.989999999999998</v>
      </c>
      <c r="T977" s="35">
        <f t="shared" si="656"/>
        <v>45153</v>
      </c>
      <c r="U977" s="27"/>
      <c r="V977" s="27"/>
      <c r="W977" s="58">
        <f>IF(K977=TRUE,Q977/I977,Q977)</f>
        <v>16.658333333333331</v>
      </c>
      <c r="X977" s="31">
        <f t="shared" ref="X977:X982" si="662">V977/100*S977</f>
        <v>0</v>
      </c>
      <c r="Y977" t="b">
        <f t="shared" ref="Y977:Y982" si="663">IF(AND(V977&gt;0,N977=V977),TRUE,FALSE)</f>
        <v>0</v>
      </c>
      <c r="Z977" s="78">
        <f t="shared" ref="Z977:Z982" si="664">IF(C977="Einnahmen",Q977,-Q977)</f>
        <v>-16.658333333333331</v>
      </c>
    </row>
    <row r="978" spans="1:26" x14ac:dyDescent="0.25">
      <c r="A978" s="53">
        <v>2023</v>
      </c>
      <c r="B978" s="53">
        <v>104</v>
      </c>
      <c r="C978" s="71" t="s">
        <v>105</v>
      </c>
      <c r="D978" t="s">
        <v>705</v>
      </c>
      <c r="E978" s="1"/>
      <c r="G978" s="1">
        <v>45096</v>
      </c>
      <c r="H978" t="s">
        <v>1032</v>
      </c>
      <c r="K978" t="b">
        <f>(IF(AND(I978&lt;&gt;"",AND(J978="",ABS(Q978)&gt;400)),TRUE,FALSE))</f>
        <v>0</v>
      </c>
      <c r="L978" s="109">
        <v>10.5</v>
      </c>
      <c r="M978" s="72">
        <v>1</v>
      </c>
      <c r="N978">
        <v>0</v>
      </c>
      <c r="O978" s="31">
        <f t="shared" si="657"/>
        <v>0</v>
      </c>
      <c r="P978" s="31">
        <f t="shared" si="658"/>
        <v>0</v>
      </c>
      <c r="Q978" s="33">
        <f t="shared" si="659"/>
        <v>10.5</v>
      </c>
      <c r="R978" s="29">
        <f t="shared" si="660"/>
        <v>10.5</v>
      </c>
      <c r="S978" s="29">
        <f t="shared" si="661"/>
        <v>10.5</v>
      </c>
      <c r="T978" s="35">
        <f t="shared" si="656"/>
        <v>45153</v>
      </c>
      <c r="U978" s="27"/>
      <c r="V978" s="27">
        <v>20</v>
      </c>
      <c r="W978" s="58">
        <f>IF(K978=TRUE,Q978/J978,Q978)</f>
        <v>10.5</v>
      </c>
      <c r="X978" s="31">
        <f t="shared" si="662"/>
        <v>2.1</v>
      </c>
      <c r="Y978" t="b">
        <f t="shared" si="663"/>
        <v>0</v>
      </c>
      <c r="Z978" s="78">
        <f t="shared" si="664"/>
        <v>-10.5</v>
      </c>
    </row>
    <row r="979" spans="1:26" x14ac:dyDescent="0.25">
      <c r="A979" s="53">
        <v>2023</v>
      </c>
      <c r="B979" s="53">
        <v>105</v>
      </c>
      <c r="C979" s="71" t="s">
        <v>105</v>
      </c>
      <c r="D979" t="s">
        <v>685</v>
      </c>
      <c r="E979" s="9" t="s">
        <v>1699</v>
      </c>
      <c r="G979" s="1">
        <v>45092</v>
      </c>
      <c r="H979" t="s">
        <v>1689</v>
      </c>
      <c r="K979" t="b">
        <f>(IF(AND(I979&lt;&gt;"",AND(J979="",ABS(Q979)&gt;400)),TRUE,FALSE))</f>
        <v>0</v>
      </c>
      <c r="L979" s="48">
        <v>365</v>
      </c>
      <c r="M979" s="72">
        <v>1</v>
      </c>
      <c r="N979">
        <v>0</v>
      </c>
      <c r="O979" s="31">
        <f t="shared" si="657"/>
        <v>0</v>
      </c>
      <c r="P979" s="31">
        <f t="shared" si="658"/>
        <v>0</v>
      </c>
      <c r="Q979" s="33">
        <f t="shared" si="659"/>
        <v>365</v>
      </c>
      <c r="R979" s="29">
        <f t="shared" si="660"/>
        <v>365</v>
      </c>
      <c r="S979" s="29">
        <f t="shared" si="661"/>
        <v>365</v>
      </c>
      <c r="T979" s="35">
        <f t="shared" si="656"/>
        <v>45153</v>
      </c>
      <c r="U979" s="27"/>
      <c r="V979" s="27"/>
      <c r="W979" s="58">
        <f>IF(K979=TRUE,Q979/J979,Q979)</f>
        <v>365</v>
      </c>
      <c r="X979" s="31">
        <f t="shared" si="662"/>
        <v>0</v>
      </c>
      <c r="Y979" t="b">
        <f t="shared" si="663"/>
        <v>0</v>
      </c>
      <c r="Z979" s="78">
        <f t="shared" si="664"/>
        <v>-365</v>
      </c>
    </row>
    <row r="980" spans="1:26" x14ac:dyDescent="0.25">
      <c r="A980" s="53">
        <v>2023</v>
      </c>
      <c r="B980" s="53">
        <v>106</v>
      </c>
      <c r="C980" s="71" t="s">
        <v>708</v>
      </c>
      <c r="D980" t="s">
        <v>709</v>
      </c>
      <c r="E980">
        <v>12023010</v>
      </c>
      <c r="G980" s="1">
        <v>45092</v>
      </c>
      <c r="H980" t="s">
        <v>1652</v>
      </c>
      <c r="K980" t="b">
        <f>(IF(AND(I980&lt;&gt;"",AND(J980="",ABS(Q980)&gt;400)),TRUE,FALSE))</f>
        <v>0</v>
      </c>
      <c r="L980" s="48">
        <v>17058.38</v>
      </c>
      <c r="M980" s="72">
        <v>1</v>
      </c>
      <c r="N980">
        <v>20</v>
      </c>
      <c r="O980" s="31">
        <f t="shared" si="657"/>
        <v>3411.6760000000004</v>
      </c>
      <c r="P980" s="31">
        <f t="shared" si="658"/>
        <v>3411.6760000000004</v>
      </c>
      <c r="Q980" s="33">
        <f t="shared" si="659"/>
        <v>17058.38</v>
      </c>
      <c r="R980" s="29">
        <f t="shared" si="660"/>
        <v>20470.056</v>
      </c>
      <c r="S980" s="29">
        <f t="shared" si="661"/>
        <v>20470.056</v>
      </c>
      <c r="T980" s="35">
        <f t="shared" si="656"/>
        <v>45153</v>
      </c>
      <c r="U980" s="27"/>
      <c r="V980" s="27"/>
      <c r="W980" s="58">
        <f>IF(K980=TRUE,Q980/J980,Q980)</f>
        <v>17058.38</v>
      </c>
      <c r="X980" s="31">
        <f t="shared" si="662"/>
        <v>0</v>
      </c>
      <c r="Y980" t="b">
        <f t="shared" si="663"/>
        <v>0</v>
      </c>
      <c r="Z980" s="78">
        <f t="shared" si="664"/>
        <v>17058.38</v>
      </c>
    </row>
    <row r="981" spans="1:26" x14ac:dyDescent="0.25">
      <c r="A981" s="53">
        <v>2023</v>
      </c>
      <c r="B981" s="53">
        <v>107</v>
      </c>
      <c r="C981" s="71" t="s">
        <v>105</v>
      </c>
      <c r="D981" t="s">
        <v>703</v>
      </c>
      <c r="E981" s="131"/>
      <c r="G981" s="1">
        <v>45098</v>
      </c>
      <c r="H981" t="s">
        <v>1148</v>
      </c>
      <c r="K981" t="b">
        <f>(IF(AND(I981&lt;&gt;"",AND(J981="",ABS(Q981)&gt;400)),TRUE,FALSE))</f>
        <v>0</v>
      </c>
      <c r="L981" s="48">
        <v>31.92</v>
      </c>
      <c r="M981" s="72">
        <v>1</v>
      </c>
      <c r="N981">
        <v>20</v>
      </c>
      <c r="O981" s="31">
        <f t="shared" si="657"/>
        <v>6.3840000000000012</v>
      </c>
      <c r="P981" s="31">
        <f t="shared" si="658"/>
        <v>6.3840000000000012</v>
      </c>
      <c r="Q981" s="33">
        <f t="shared" si="659"/>
        <v>31.92</v>
      </c>
      <c r="R981" s="29">
        <f t="shared" si="660"/>
        <v>38.304000000000002</v>
      </c>
      <c r="S981" s="29">
        <f t="shared" si="661"/>
        <v>38.304000000000002</v>
      </c>
      <c r="T981" s="35">
        <f t="shared" si="656"/>
        <v>45153</v>
      </c>
      <c r="U981" s="27"/>
      <c r="V981" s="27"/>
      <c r="W981" s="58">
        <f>IF(K981=TRUE,Q981/I981,Q981)</f>
        <v>31.92</v>
      </c>
      <c r="X981" s="31">
        <f t="shared" si="662"/>
        <v>0</v>
      </c>
      <c r="Y981" t="b">
        <f t="shared" si="663"/>
        <v>0</v>
      </c>
      <c r="Z981" s="78">
        <f t="shared" si="664"/>
        <v>-31.92</v>
      </c>
    </row>
    <row r="982" spans="1:26" x14ac:dyDescent="0.25">
      <c r="A982" s="53">
        <v>2023</v>
      </c>
      <c r="B982" s="53">
        <v>108</v>
      </c>
      <c r="C982" s="71" t="s">
        <v>105</v>
      </c>
      <c r="D982" t="s">
        <v>339</v>
      </c>
      <c r="G982" s="1">
        <v>45099</v>
      </c>
      <c r="H982" t="s">
        <v>979</v>
      </c>
      <c r="J982" s="76" t="s">
        <v>958</v>
      </c>
      <c r="K982" t="b">
        <v>0</v>
      </c>
      <c r="L982" s="158">
        <v>43.66</v>
      </c>
      <c r="M982" s="159">
        <v>1</v>
      </c>
      <c r="N982">
        <v>20</v>
      </c>
      <c r="O982" s="31">
        <f t="shared" si="657"/>
        <v>8.7319999999999993</v>
      </c>
      <c r="P982" s="31">
        <f t="shared" si="658"/>
        <v>8.7319999999999993</v>
      </c>
      <c r="Q982" s="33">
        <f t="shared" si="659"/>
        <v>43.66</v>
      </c>
      <c r="R982" s="29">
        <f t="shared" si="660"/>
        <v>52.391999999999996</v>
      </c>
      <c r="S982" s="29">
        <f t="shared" si="661"/>
        <v>52.391999999999996</v>
      </c>
      <c r="T982" s="35">
        <f t="shared" si="656"/>
        <v>45153</v>
      </c>
      <c r="U982" s="27"/>
      <c r="V982" s="27"/>
      <c r="W982" s="160">
        <f>IF(K982=TRUE,Q982/I982,Q982)</f>
        <v>43.66</v>
      </c>
      <c r="X982" s="31">
        <f t="shared" si="662"/>
        <v>0</v>
      </c>
      <c r="Y982" t="b">
        <f t="shared" si="663"/>
        <v>0</v>
      </c>
      <c r="Z982" s="161">
        <f t="shared" si="664"/>
        <v>-43.66</v>
      </c>
    </row>
    <row r="983" spans="1:26" s="166" customFormat="1" x14ac:dyDescent="0.25">
      <c r="A983" s="164">
        <v>2023</v>
      </c>
      <c r="B983" s="164">
        <v>109</v>
      </c>
      <c r="C983" s="165" t="s">
        <v>105</v>
      </c>
      <c r="D983" s="166" t="s">
        <v>339</v>
      </c>
      <c r="E983" s="167"/>
      <c r="G983" s="168">
        <v>45105</v>
      </c>
      <c r="H983" s="166" t="s">
        <v>979</v>
      </c>
      <c r="J983" s="169" t="s">
        <v>958</v>
      </c>
      <c r="K983" s="166" t="b">
        <v>0</v>
      </c>
      <c r="L983" s="170">
        <v>40.92</v>
      </c>
      <c r="M983" s="171">
        <v>1</v>
      </c>
      <c r="N983" s="166">
        <v>20</v>
      </c>
      <c r="O983" s="172">
        <f>L983*N983/100</f>
        <v>8.1840000000000011</v>
      </c>
      <c r="P983" s="172">
        <f>M983*O983</f>
        <v>8.1840000000000011</v>
      </c>
      <c r="Q983" s="173">
        <f>L983*M983</f>
        <v>40.92</v>
      </c>
      <c r="R983" s="174">
        <f>L983+O983</f>
        <v>49.103999999999999</v>
      </c>
      <c r="S983" s="174">
        <f t="shared" ref="S983:S989" si="665">Q983+P983</f>
        <v>49.103999999999999</v>
      </c>
      <c r="T983" s="175">
        <f>DATE(YEAR(EOMONTH(G983,2)),MONTH(EOMONTH(G983,2)),15)</f>
        <v>45153</v>
      </c>
      <c r="U983" s="176"/>
      <c r="V983" s="176"/>
      <c r="W983" s="177">
        <f>IF(K983=TRUE,Q983/I983,Q983)</f>
        <v>40.92</v>
      </c>
      <c r="X983" s="172">
        <f>V983/100*S983</f>
        <v>0</v>
      </c>
      <c r="Y983" s="166" t="b">
        <f>IF(AND(V983&gt;0,N983=V983),TRUE,FALSE)</f>
        <v>0</v>
      </c>
      <c r="Z983" s="178">
        <f>IF(C983="Einnahmen",Q983,-Q983)</f>
        <v>-40.92</v>
      </c>
    </row>
    <row r="984" spans="1:26" x14ac:dyDescent="0.25">
      <c r="A984" s="53">
        <v>2023</v>
      </c>
      <c r="B984" s="53">
        <v>110</v>
      </c>
      <c r="C984" s="71" t="s">
        <v>105</v>
      </c>
      <c r="D984" t="s">
        <v>689</v>
      </c>
      <c r="E984" s="131"/>
      <c r="G984" s="1">
        <v>45110</v>
      </c>
      <c r="H984" t="s">
        <v>974</v>
      </c>
      <c r="K984" t="b">
        <v>0</v>
      </c>
      <c r="L984" s="162">
        <f>7.41/1.2</f>
        <v>6.1750000000000007</v>
      </c>
      <c r="M984" s="159">
        <v>1</v>
      </c>
      <c r="N984">
        <v>20</v>
      </c>
      <c r="O984" s="31">
        <f t="shared" ref="O984:O998" si="666">L984*N984/100</f>
        <v>1.2350000000000001</v>
      </c>
      <c r="P984" s="31">
        <f t="shared" ref="P984:P998" si="667">M984*O984</f>
        <v>1.2350000000000001</v>
      </c>
      <c r="Q984" s="33">
        <f t="shared" ref="Q984:Q998" si="668">L984*M984</f>
        <v>6.1750000000000007</v>
      </c>
      <c r="R984" s="29">
        <f t="shared" ref="R984:R998" si="669">L984+O984</f>
        <v>7.410000000000001</v>
      </c>
      <c r="S984" s="29">
        <f t="shared" si="665"/>
        <v>7.410000000000001</v>
      </c>
      <c r="T984" s="35">
        <f>DATE(YEAR(EOMONTH(G984,2)),MONTH(EOMONTH(G984,2)),15)</f>
        <v>45184</v>
      </c>
      <c r="U984" s="27"/>
      <c r="V984" s="27"/>
      <c r="W984" s="160">
        <f>IF(K984=TRUE,Q984/J984,Q984)</f>
        <v>6.1750000000000007</v>
      </c>
      <c r="X984" s="31">
        <f t="shared" ref="X984:X998" si="670">V984/100*S984</f>
        <v>0</v>
      </c>
      <c r="Y984" t="b">
        <f t="shared" ref="Y984:Y998" si="671">IF(AND(V984&gt;0,N984=V984),TRUE,FALSE)</f>
        <v>0</v>
      </c>
      <c r="Z984" s="161">
        <f t="shared" ref="Z984:Z1001" si="672">IF(C984="Einnahmen",Q984,-Q984)</f>
        <v>-6.1750000000000007</v>
      </c>
    </row>
    <row r="985" spans="1:26" x14ac:dyDescent="0.25">
      <c r="A985" s="53">
        <v>2023</v>
      </c>
      <c r="B985" s="53">
        <v>111</v>
      </c>
      <c r="C985" s="71" t="s">
        <v>105</v>
      </c>
      <c r="D985" t="s">
        <v>705</v>
      </c>
      <c r="E985"/>
      <c r="G985" s="1">
        <v>45110</v>
      </c>
      <c r="H985" t="s">
        <v>1404</v>
      </c>
      <c r="K985" t="b">
        <v>0</v>
      </c>
      <c r="L985" s="158">
        <v>10.4</v>
      </c>
      <c r="M985" s="159">
        <v>1</v>
      </c>
      <c r="N985">
        <v>0</v>
      </c>
      <c r="O985" s="31">
        <f t="shared" si="666"/>
        <v>0</v>
      </c>
      <c r="P985" s="31">
        <f t="shared" si="667"/>
        <v>0</v>
      </c>
      <c r="Q985" s="33">
        <f t="shared" si="668"/>
        <v>10.4</v>
      </c>
      <c r="R985" s="29">
        <f t="shared" si="669"/>
        <v>10.4</v>
      </c>
      <c r="S985" s="29">
        <f t="shared" si="665"/>
        <v>10.4</v>
      </c>
      <c r="T985" s="35">
        <f>DATE(YEAR(EOMONTH(G985,2)),MONTH(EOMONTH(G985,2)),15)</f>
        <v>45184</v>
      </c>
      <c r="U985" s="27"/>
      <c r="V985" s="27">
        <v>20</v>
      </c>
      <c r="W985" s="160">
        <f>IF(K985=TRUE,Q985/I985,Q985)</f>
        <v>10.4</v>
      </c>
      <c r="X985" s="31">
        <f t="shared" si="670"/>
        <v>2.08</v>
      </c>
      <c r="Y985" t="b">
        <f t="shared" si="671"/>
        <v>0</v>
      </c>
      <c r="Z985" s="161">
        <f t="shared" si="672"/>
        <v>-10.4</v>
      </c>
    </row>
    <row r="986" spans="1:26" x14ac:dyDescent="0.25">
      <c r="A986" s="53">
        <v>2023</v>
      </c>
      <c r="B986" s="53">
        <v>112</v>
      </c>
      <c r="C986" s="71" t="s">
        <v>708</v>
      </c>
      <c r="D986" t="s">
        <v>709</v>
      </c>
      <c r="E986" s="6">
        <v>12023003</v>
      </c>
      <c r="G986" s="1">
        <v>45110</v>
      </c>
      <c r="H986" t="s">
        <v>1038</v>
      </c>
      <c r="K986" t="b">
        <f>(IF(AND(I986&lt;&gt;"",AND(J986="",ABS(Q986)&gt;400)),TRUE,FALSE))</f>
        <v>0</v>
      </c>
      <c r="L986" s="162">
        <v>1352.6</v>
      </c>
      <c r="M986" s="159">
        <v>1</v>
      </c>
      <c r="N986">
        <v>20</v>
      </c>
      <c r="O986" s="31">
        <f t="shared" si="666"/>
        <v>270.52</v>
      </c>
      <c r="P986" s="31">
        <f t="shared" si="667"/>
        <v>270.52</v>
      </c>
      <c r="Q986" s="33">
        <f t="shared" si="668"/>
        <v>1352.6</v>
      </c>
      <c r="R986" s="29">
        <f t="shared" si="669"/>
        <v>1623.12</v>
      </c>
      <c r="S986" s="29">
        <f t="shared" si="665"/>
        <v>1623.12</v>
      </c>
      <c r="T986" s="35">
        <f>voranmeldefrist_vierteljaehrlich(G986)</f>
        <v>45245</v>
      </c>
      <c r="U986" s="27"/>
      <c r="V986" s="27"/>
      <c r="W986" s="160">
        <f>IF(K986=TRUE,Q986/I986,Q986)</f>
        <v>1352.6</v>
      </c>
      <c r="X986" s="31">
        <f t="shared" si="670"/>
        <v>0</v>
      </c>
      <c r="Y986" t="b">
        <f t="shared" si="671"/>
        <v>0</v>
      </c>
      <c r="Z986" s="161">
        <f t="shared" si="672"/>
        <v>1352.6</v>
      </c>
    </row>
    <row r="987" spans="1:26" x14ac:dyDescent="0.25">
      <c r="A987" s="53">
        <v>2023</v>
      </c>
      <c r="B987" s="53">
        <v>113</v>
      </c>
      <c r="C987" s="71" t="s">
        <v>105</v>
      </c>
      <c r="D987" t="s">
        <v>691</v>
      </c>
      <c r="G987" s="1">
        <v>45110</v>
      </c>
      <c r="H987" t="s">
        <v>1113</v>
      </c>
      <c r="K987" t="b">
        <v>0</v>
      </c>
      <c r="L987" s="158">
        <f>629.72/1.2</f>
        <v>524.76666666666677</v>
      </c>
      <c r="M987" s="159">
        <v>1</v>
      </c>
      <c r="N987">
        <v>20</v>
      </c>
      <c r="O987" s="31">
        <f t="shared" si="666"/>
        <v>104.95333333333336</v>
      </c>
      <c r="P987" s="31">
        <f t="shared" si="667"/>
        <v>104.95333333333336</v>
      </c>
      <c r="Q987" s="33">
        <f t="shared" si="668"/>
        <v>524.76666666666677</v>
      </c>
      <c r="R987" s="29">
        <f t="shared" si="669"/>
        <v>629.72000000000014</v>
      </c>
      <c r="S987" s="29">
        <f t="shared" si="665"/>
        <v>629.72000000000014</v>
      </c>
      <c r="T987" s="35">
        <f>DATE(YEAR(EOMONTH(G987,2)),MONTH(EOMONTH(G987,2)),15)</f>
        <v>45184</v>
      </c>
      <c r="U987" s="27"/>
      <c r="V987" s="27"/>
      <c r="W987" s="160">
        <f>IF(K987=TRUE,Q987/J987,Q987)</f>
        <v>524.76666666666677</v>
      </c>
      <c r="X987" s="31">
        <f t="shared" si="670"/>
        <v>0</v>
      </c>
      <c r="Y987" t="b">
        <f t="shared" si="671"/>
        <v>0</v>
      </c>
      <c r="Z987" s="161">
        <f t="shared" si="672"/>
        <v>-524.76666666666677</v>
      </c>
    </row>
    <row r="988" spans="1:26" x14ac:dyDescent="0.25">
      <c r="A988" s="53">
        <v>2023</v>
      </c>
      <c r="B988" s="53">
        <v>114</v>
      </c>
      <c r="C988" s="71" t="s">
        <v>105</v>
      </c>
      <c r="D988" t="s">
        <v>703</v>
      </c>
      <c r="G988" s="1">
        <v>45111</v>
      </c>
      <c r="H988" t="s">
        <v>34</v>
      </c>
      <c r="K988" t="b">
        <f>(IF(AND(I988&lt;&gt;"",AND(J988="",ABS(Q988)&gt;400)),TRUE,FALSE))</f>
        <v>0</v>
      </c>
      <c r="L988" s="162">
        <f>12.9/1.2</f>
        <v>10.75</v>
      </c>
      <c r="M988" s="159">
        <v>1</v>
      </c>
      <c r="N988">
        <v>20</v>
      </c>
      <c r="O988" s="31">
        <f t="shared" si="666"/>
        <v>2.15</v>
      </c>
      <c r="P988" s="31">
        <f t="shared" si="667"/>
        <v>2.15</v>
      </c>
      <c r="Q988" s="33">
        <f t="shared" si="668"/>
        <v>10.75</v>
      </c>
      <c r="R988" s="29">
        <f t="shared" si="669"/>
        <v>12.9</v>
      </c>
      <c r="S988" s="29">
        <f t="shared" si="665"/>
        <v>12.9</v>
      </c>
      <c r="T988" s="35">
        <f>DATE(YEAR(EOMONTH(G988,2)),MONTH(EOMONTH(G988,2)),15)</f>
        <v>45184</v>
      </c>
      <c r="U988" s="27"/>
      <c r="V988" s="27"/>
      <c r="W988" s="160">
        <f>IF(K988=TRUE,Q988/I988,Q988)</f>
        <v>10.75</v>
      </c>
      <c r="X988" s="31">
        <f t="shared" si="670"/>
        <v>0</v>
      </c>
      <c r="Y988" t="b">
        <f t="shared" si="671"/>
        <v>0</v>
      </c>
      <c r="Z988" s="161">
        <f t="shared" si="672"/>
        <v>-10.75</v>
      </c>
    </row>
    <row r="989" spans="1:26" x14ac:dyDescent="0.25">
      <c r="A989" s="53">
        <v>2023</v>
      </c>
      <c r="B989" s="53">
        <v>115</v>
      </c>
      <c r="C989" s="71" t="s">
        <v>105</v>
      </c>
      <c r="D989" t="s">
        <v>705</v>
      </c>
      <c r="E989"/>
      <c r="G989" s="1">
        <v>45112</v>
      </c>
      <c r="H989" t="s">
        <v>1670</v>
      </c>
      <c r="K989" t="b">
        <f>(IF(AND(I989&lt;&gt;"",AND(J989="",ABS(Q989)&gt;400)),TRUE,FALSE))</f>
        <v>0</v>
      </c>
      <c r="L989" s="162">
        <v>5</v>
      </c>
      <c r="M989" s="159">
        <v>1</v>
      </c>
      <c r="N989">
        <v>20</v>
      </c>
      <c r="O989" s="31">
        <f t="shared" si="666"/>
        <v>1</v>
      </c>
      <c r="P989" s="31">
        <f t="shared" si="667"/>
        <v>1</v>
      </c>
      <c r="Q989" s="33">
        <f t="shared" si="668"/>
        <v>5</v>
      </c>
      <c r="R989" s="29">
        <f t="shared" si="669"/>
        <v>6</v>
      </c>
      <c r="S989" s="29">
        <f t="shared" si="665"/>
        <v>6</v>
      </c>
      <c r="T989" s="35">
        <f>DATE(YEAR(EOMONTH(G989,2)),MONTH(EOMONTH(G989,2)),15)</f>
        <v>45184</v>
      </c>
      <c r="U989" s="27"/>
      <c r="V989" s="27"/>
      <c r="W989" s="160">
        <f>IF(K989=TRUE,Q989/J989,Q989)</f>
        <v>5</v>
      </c>
      <c r="X989" s="31">
        <f t="shared" si="670"/>
        <v>0</v>
      </c>
      <c r="Y989" t="b">
        <f t="shared" si="671"/>
        <v>0</v>
      </c>
      <c r="Z989" s="161">
        <f t="shared" si="672"/>
        <v>-5</v>
      </c>
    </row>
    <row r="990" spans="1:26" x14ac:dyDescent="0.25">
      <c r="A990" s="53">
        <v>2023</v>
      </c>
      <c r="B990" s="53">
        <v>116</v>
      </c>
      <c r="C990" s="71" t="s">
        <v>708</v>
      </c>
      <c r="D990" t="s">
        <v>709</v>
      </c>
      <c r="E990" s="163" t="s">
        <v>1744</v>
      </c>
      <c r="G990" s="1">
        <v>45113</v>
      </c>
      <c r="H990" t="s">
        <v>1513</v>
      </c>
      <c r="K990" t="b">
        <v>0</v>
      </c>
      <c r="L990" s="162">
        <f>465.6/1.2</f>
        <v>388.00000000000006</v>
      </c>
      <c r="M990" s="159">
        <v>1</v>
      </c>
      <c r="N990">
        <v>20</v>
      </c>
      <c r="O990" s="31">
        <f t="shared" si="666"/>
        <v>77.600000000000009</v>
      </c>
      <c r="P990" s="31">
        <f t="shared" si="667"/>
        <v>77.600000000000009</v>
      </c>
      <c r="Q990" s="33">
        <f t="shared" si="668"/>
        <v>388.00000000000006</v>
      </c>
      <c r="R990" s="29">
        <f t="shared" si="669"/>
        <v>465.60000000000008</v>
      </c>
      <c r="S990" s="29">
        <f t="shared" ref="S990:S998" si="673">Q990+P990</f>
        <v>465.60000000000008</v>
      </c>
      <c r="T990" s="35">
        <f>voranmeldefrist_vierteljaehrlich(G990)</f>
        <v>45245</v>
      </c>
      <c r="U990" s="27"/>
      <c r="V990" s="27"/>
      <c r="W990" s="160">
        <f>IF(K990=TRUE,Q990/J990,Q990)</f>
        <v>388.00000000000006</v>
      </c>
      <c r="X990" s="31">
        <f t="shared" si="670"/>
        <v>0</v>
      </c>
      <c r="Y990" t="b">
        <f t="shared" si="671"/>
        <v>0</v>
      </c>
      <c r="Z990" s="161">
        <f t="shared" si="672"/>
        <v>388.00000000000006</v>
      </c>
    </row>
    <row r="991" spans="1:26" x14ac:dyDescent="0.25">
      <c r="A991" s="53">
        <v>2023</v>
      </c>
      <c r="B991" s="53">
        <v>117</v>
      </c>
      <c r="C991" s="71" t="s">
        <v>105</v>
      </c>
      <c r="D991" t="s">
        <v>691</v>
      </c>
      <c r="E991" s="61" t="s">
        <v>1064</v>
      </c>
      <c r="G991" s="1">
        <v>45114</v>
      </c>
      <c r="H991" t="s">
        <v>1558</v>
      </c>
      <c r="K991" t="b">
        <v>0</v>
      </c>
      <c r="L991" s="158">
        <v>122.6</v>
      </c>
      <c r="M991" s="159">
        <v>1</v>
      </c>
      <c r="N991">
        <v>20</v>
      </c>
      <c r="O991" s="31">
        <f t="shared" si="666"/>
        <v>24.52</v>
      </c>
      <c r="P991" s="31">
        <f t="shared" si="667"/>
        <v>24.52</v>
      </c>
      <c r="Q991" s="33">
        <f t="shared" si="668"/>
        <v>122.6</v>
      </c>
      <c r="R991" s="29">
        <f t="shared" si="669"/>
        <v>147.12</v>
      </c>
      <c r="S991" s="29">
        <f t="shared" si="673"/>
        <v>147.12</v>
      </c>
      <c r="T991" s="35">
        <f>DATE(YEAR(EOMONTH(G991,2)),MONTH(EOMONTH(G991,2)),15)</f>
        <v>45184</v>
      </c>
      <c r="U991" s="27"/>
      <c r="V991" s="27"/>
      <c r="W991" s="160">
        <f>IF(K991=TRUE,Q991/J991,Q991)</f>
        <v>122.6</v>
      </c>
      <c r="X991" s="31">
        <f t="shared" si="670"/>
        <v>0</v>
      </c>
      <c r="Y991" t="b">
        <f t="shared" si="671"/>
        <v>0</v>
      </c>
      <c r="Z991" s="161">
        <f t="shared" si="672"/>
        <v>-122.6</v>
      </c>
    </row>
    <row r="992" spans="1:26" x14ac:dyDescent="0.25">
      <c r="A992" s="53">
        <v>2023</v>
      </c>
      <c r="B992" s="53">
        <v>118</v>
      </c>
      <c r="C992" s="71" t="s">
        <v>105</v>
      </c>
      <c r="D992" t="s">
        <v>705</v>
      </c>
      <c r="E992" s="61" t="s">
        <v>1064</v>
      </c>
      <c r="G992" s="1">
        <v>45117</v>
      </c>
      <c r="H992" t="s">
        <v>1466</v>
      </c>
      <c r="K992" t="b">
        <f>(IF(AND(I992&lt;&gt;"",AND(J992="",ABS(Q992)&gt;400)),TRUE,FALSE))</f>
        <v>0</v>
      </c>
      <c r="L992" s="162">
        <v>12</v>
      </c>
      <c r="M992" s="159">
        <v>1</v>
      </c>
      <c r="N992">
        <v>20</v>
      </c>
      <c r="O992" s="31">
        <f t="shared" si="666"/>
        <v>2.4</v>
      </c>
      <c r="P992" s="31">
        <f t="shared" si="667"/>
        <v>2.4</v>
      </c>
      <c r="Q992" s="33">
        <f t="shared" si="668"/>
        <v>12</v>
      </c>
      <c r="R992" s="29">
        <f t="shared" si="669"/>
        <v>14.4</v>
      </c>
      <c r="S992" s="29">
        <f t="shared" si="673"/>
        <v>14.4</v>
      </c>
      <c r="T992" s="35">
        <f t="shared" ref="T992:T998" si="674">DATE(YEAR(EOMONTH(G992,2)),MONTH(EOMONTH(G992,2)),15)</f>
        <v>45184</v>
      </c>
      <c r="U992" s="27"/>
      <c r="V992" s="27"/>
      <c r="W992" s="160">
        <f>IF(K992=TRUE,Q992/J992,Q992)</f>
        <v>12</v>
      </c>
      <c r="X992" s="31">
        <f t="shared" si="670"/>
        <v>0</v>
      </c>
      <c r="Y992" t="b">
        <f t="shared" si="671"/>
        <v>0</v>
      </c>
      <c r="Z992" s="161">
        <f t="shared" si="672"/>
        <v>-12</v>
      </c>
    </row>
    <row r="993" spans="1:26" x14ac:dyDescent="0.25">
      <c r="A993" s="53">
        <v>2023</v>
      </c>
      <c r="B993" s="53">
        <v>119</v>
      </c>
      <c r="C993" s="71" t="s">
        <v>708</v>
      </c>
      <c r="D993" t="s">
        <v>709</v>
      </c>
      <c r="E993">
        <v>12023012</v>
      </c>
      <c r="G993" s="1">
        <v>45120</v>
      </c>
      <c r="H993" t="s">
        <v>1388</v>
      </c>
      <c r="K993" t="b">
        <v>0</v>
      </c>
      <c r="L993" s="162">
        <f>32.89/1.2</f>
        <v>27.408333333333335</v>
      </c>
      <c r="M993" s="159">
        <v>1</v>
      </c>
      <c r="N993">
        <v>20</v>
      </c>
      <c r="O993" s="31">
        <f t="shared" si="666"/>
        <v>5.4816666666666674</v>
      </c>
      <c r="P993" s="31">
        <f t="shared" si="667"/>
        <v>5.4816666666666674</v>
      </c>
      <c r="Q993" s="33">
        <f t="shared" si="668"/>
        <v>27.408333333333335</v>
      </c>
      <c r="R993" s="29">
        <f t="shared" si="669"/>
        <v>32.89</v>
      </c>
      <c r="S993" s="29">
        <f t="shared" si="673"/>
        <v>32.89</v>
      </c>
      <c r="T993" s="35">
        <f t="shared" si="674"/>
        <v>45184</v>
      </c>
      <c r="U993" s="27"/>
      <c r="V993" s="27"/>
      <c r="W993" s="160">
        <f>IF(K993=TRUE,Q993/I993,Q993)</f>
        <v>27.408333333333335</v>
      </c>
      <c r="X993" s="31">
        <f t="shared" si="670"/>
        <v>0</v>
      </c>
      <c r="Y993" t="b">
        <f t="shared" si="671"/>
        <v>0</v>
      </c>
      <c r="Z993" s="161">
        <f t="shared" si="672"/>
        <v>27.408333333333335</v>
      </c>
    </row>
    <row r="994" spans="1:26" x14ac:dyDescent="0.25">
      <c r="A994" s="53">
        <v>2023</v>
      </c>
      <c r="B994" s="53">
        <v>120</v>
      </c>
      <c r="C994" s="71" t="s">
        <v>105</v>
      </c>
      <c r="D994" t="s">
        <v>705</v>
      </c>
      <c r="G994" s="1">
        <v>45120</v>
      </c>
      <c r="H994" t="s">
        <v>927</v>
      </c>
      <c r="K994" t="b">
        <f t="shared" ref="K994:K999" si="675">(IF(AND(I994&lt;&gt;"",AND(J994="",ABS(Q994)&gt;400)),TRUE,FALSE))</f>
        <v>0</v>
      </c>
      <c r="L994" s="162">
        <v>52.214100000000002</v>
      </c>
      <c r="M994" s="159">
        <v>1</v>
      </c>
      <c r="N994">
        <v>0</v>
      </c>
      <c r="O994" s="31">
        <f t="shared" si="666"/>
        <v>0</v>
      </c>
      <c r="P994" s="31">
        <f t="shared" si="667"/>
        <v>0</v>
      </c>
      <c r="Q994" s="33">
        <f t="shared" si="668"/>
        <v>52.214100000000002</v>
      </c>
      <c r="R994" s="29">
        <f t="shared" si="669"/>
        <v>52.214100000000002</v>
      </c>
      <c r="S994" s="29">
        <f t="shared" si="673"/>
        <v>52.214100000000002</v>
      </c>
      <c r="T994" s="35">
        <f t="shared" si="674"/>
        <v>45184</v>
      </c>
      <c r="U994" s="27"/>
      <c r="V994" s="27">
        <v>20</v>
      </c>
      <c r="W994" s="160">
        <f>IF(K994=TRUE,Q994/J994,Q994)</f>
        <v>52.214100000000002</v>
      </c>
      <c r="X994" s="31">
        <f t="shared" si="670"/>
        <v>10.442820000000001</v>
      </c>
      <c r="Y994" t="b">
        <f t="shared" si="671"/>
        <v>0</v>
      </c>
      <c r="Z994" s="161">
        <f t="shared" si="672"/>
        <v>-52.214100000000002</v>
      </c>
    </row>
    <row r="995" spans="1:26" x14ac:dyDescent="0.25">
      <c r="A995" s="53">
        <v>2023</v>
      </c>
      <c r="B995" s="53">
        <v>121</v>
      </c>
      <c r="C995" s="71" t="s">
        <v>708</v>
      </c>
      <c r="D995" t="s">
        <v>709</v>
      </c>
      <c r="E995" s="39" t="s">
        <v>1745</v>
      </c>
      <c r="G995" s="1">
        <v>45121</v>
      </c>
      <c r="H995" t="s">
        <v>1652</v>
      </c>
      <c r="K995" t="b">
        <f t="shared" si="675"/>
        <v>0</v>
      </c>
      <c r="L995" s="162">
        <v>15118.65</v>
      </c>
      <c r="M995" s="159">
        <v>1</v>
      </c>
      <c r="N995">
        <v>20</v>
      </c>
      <c r="O995" s="31">
        <f t="shared" si="666"/>
        <v>3023.73</v>
      </c>
      <c r="P995" s="31">
        <f t="shared" si="667"/>
        <v>3023.73</v>
      </c>
      <c r="Q995" s="33">
        <f t="shared" si="668"/>
        <v>15118.65</v>
      </c>
      <c r="R995" s="29">
        <f t="shared" si="669"/>
        <v>18142.38</v>
      </c>
      <c r="S995" s="29">
        <f t="shared" si="673"/>
        <v>18142.38</v>
      </c>
      <c r="T995" s="35">
        <f t="shared" si="674"/>
        <v>45184</v>
      </c>
      <c r="U995" s="27"/>
      <c r="V995" s="27"/>
      <c r="W995" s="160">
        <f>IF(K995=TRUE,Q995/J995,Q995)</f>
        <v>15118.65</v>
      </c>
      <c r="X995" s="31">
        <f t="shared" si="670"/>
        <v>0</v>
      </c>
      <c r="Y995" t="b">
        <f t="shared" si="671"/>
        <v>0</v>
      </c>
      <c r="Z995" s="161">
        <f t="shared" si="672"/>
        <v>15118.65</v>
      </c>
    </row>
    <row r="996" spans="1:26" x14ac:dyDescent="0.25">
      <c r="A996" s="53">
        <v>2023</v>
      </c>
      <c r="B996" s="53">
        <v>122</v>
      </c>
      <c r="C996" s="71" t="s">
        <v>105</v>
      </c>
      <c r="D996" t="s">
        <v>685</v>
      </c>
      <c r="E996" s="9" t="s">
        <v>1699</v>
      </c>
      <c r="G996" s="1">
        <v>45124</v>
      </c>
      <c r="H996" t="s">
        <v>1689</v>
      </c>
      <c r="K996" t="b">
        <f t="shared" si="675"/>
        <v>0</v>
      </c>
      <c r="L996" s="162">
        <v>365</v>
      </c>
      <c r="M996" s="159">
        <v>1</v>
      </c>
      <c r="N996">
        <v>0</v>
      </c>
      <c r="O996" s="31">
        <f t="shared" si="666"/>
        <v>0</v>
      </c>
      <c r="P996" s="31">
        <f t="shared" si="667"/>
        <v>0</v>
      </c>
      <c r="Q996" s="33">
        <f t="shared" si="668"/>
        <v>365</v>
      </c>
      <c r="R996" s="29">
        <f t="shared" si="669"/>
        <v>365</v>
      </c>
      <c r="S996" s="29">
        <f t="shared" si="673"/>
        <v>365</v>
      </c>
      <c r="T996" s="35">
        <f t="shared" si="674"/>
        <v>45184</v>
      </c>
      <c r="U996" s="27"/>
      <c r="V996" s="27"/>
      <c r="W996" s="160">
        <f>IF(K996=TRUE,Q996/J996,Q996)</f>
        <v>365</v>
      </c>
      <c r="X996" s="31">
        <f t="shared" si="670"/>
        <v>0</v>
      </c>
      <c r="Y996" t="b">
        <f t="shared" si="671"/>
        <v>0</v>
      </c>
      <c r="Z996" s="161">
        <f t="shared" si="672"/>
        <v>-365</v>
      </c>
    </row>
    <row r="997" spans="1:26" x14ac:dyDescent="0.25">
      <c r="A997" s="53">
        <v>2023</v>
      </c>
      <c r="B997" s="53">
        <v>123</v>
      </c>
      <c r="C997" s="71" t="s">
        <v>105</v>
      </c>
      <c r="D997" t="s">
        <v>705</v>
      </c>
      <c r="E997" s="1"/>
      <c r="G997" s="1">
        <v>45127</v>
      </c>
      <c r="H997" t="s">
        <v>1032</v>
      </c>
      <c r="K997" t="b">
        <f t="shared" si="675"/>
        <v>0</v>
      </c>
      <c r="L997" s="158">
        <v>10.5</v>
      </c>
      <c r="M997" s="159">
        <v>1</v>
      </c>
      <c r="N997">
        <v>0</v>
      </c>
      <c r="O997" s="31">
        <f t="shared" si="666"/>
        <v>0</v>
      </c>
      <c r="P997" s="31">
        <f t="shared" si="667"/>
        <v>0</v>
      </c>
      <c r="Q997" s="33">
        <f t="shared" si="668"/>
        <v>10.5</v>
      </c>
      <c r="R997" s="29">
        <f t="shared" si="669"/>
        <v>10.5</v>
      </c>
      <c r="S997" s="29">
        <f t="shared" si="673"/>
        <v>10.5</v>
      </c>
      <c r="T997" s="35">
        <f t="shared" si="674"/>
        <v>45184</v>
      </c>
      <c r="U997" s="27"/>
      <c r="V997" s="27">
        <v>20</v>
      </c>
      <c r="W997" s="160">
        <f>IF(K997=TRUE,Q997/J997,Q997)</f>
        <v>10.5</v>
      </c>
      <c r="X997" s="31">
        <f t="shared" si="670"/>
        <v>2.1</v>
      </c>
      <c r="Y997" t="b">
        <f t="shared" si="671"/>
        <v>0</v>
      </c>
      <c r="Z997" s="161">
        <f t="shared" si="672"/>
        <v>-10.5</v>
      </c>
    </row>
    <row r="998" spans="1:26" x14ac:dyDescent="0.25">
      <c r="A998" s="53">
        <v>2023</v>
      </c>
      <c r="B998" s="53">
        <v>124</v>
      </c>
      <c r="C998" s="71" t="s">
        <v>105</v>
      </c>
      <c r="D998" t="s">
        <v>703</v>
      </c>
      <c r="E998" s="131"/>
      <c r="G998" s="1">
        <v>45128</v>
      </c>
      <c r="H998" t="s">
        <v>1148</v>
      </c>
      <c r="K998" t="b">
        <f t="shared" si="675"/>
        <v>0</v>
      </c>
      <c r="L998" s="162">
        <v>31.92</v>
      </c>
      <c r="M998" s="159">
        <v>1</v>
      </c>
      <c r="N998">
        <v>20</v>
      </c>
      <c r="O998" s="31">
        <f t="shared" si="666"/>
        <v>6.3840000000000012</v>
      </c>
      <c r="P998" s="31">
        <f t="shared" si="667"/>
        <v>6.3840000000000012</v>
      </c>
      <c r="Q998" s="33">
        <f t="shared" si="668"/>
        <v>31.92</v>
      </c>
      <c r="R998" s="29">
        <f t="shared" si="669"/>
        <v>38.304000000000002</v>
      </c>
      <c r="S998" s="29">
        <f t="shared" si="673"/>
        <v>38.304000000000002</v>
      </c>
      <c r="T998" s="35">
        <f t="shared" si="674"/>
        <v>45184</v>
      </c>
      <c r="U998" s="27"/>
      <c r="V998" s="27"/>
      <c r="W998" s="160">
        <f>IF(K998=TRUE,Q998/I998,Q998)</f>
        <v>31.92</v>
      </c>
      <c r="X998" s="31">
        <f t="shared" si="670"/>
        <v>0</v>
      </c>
      <c r="Y998" t="b">
        <f t="shared" si="671"/>
        <v>0</v>
      </c>
      <c r="Z998" s="161">
        <f t="shared" si="672"/>
        <v>-31.92</v>
      </c>
    </row>
    <row r="999" spans="1:26" x14ac:dyDescent="0.25">
      <c r="A999" s="53">
        <v>2023</v>
      </c>
      <c r="B999" s="53">
        <v>125</v>
      </c>
      <c r="C999" s="71" t="s">
        <v>105</v>
      </c>
      <c r="D999" t="s">
        <v>705</v>
      </c>
      <c r="E999" s="9" t="s">
        <v>1803</v>
      </c>
      <c r="G999" s="1">
        <v>45132</v>
      </c>
      <c r="H999" t="s">
        <v>1746</v>
      </c>
      <c r="I999">
        <v>3</v>
      </c>
      <c r="K999" t="b">
        <f t="shared" si="675"/>
        <v>1</v>
      </c>
      <c r="L999" s="162">
        <v>1848.55</v>
      </c>
      <c r="M999" s="159">
        <v>1</v>
      </c>
      <c r="N999">
        <v>20</v>
      </c>
      <c r="O999" s="31">
        <f>L999*N999/100</f>
        <v>369.71</v>
      </c>
      <c r="P999" s="31">
        <f>M999*O999</f>
        <v>369.71</v>
      </c>
      <c r="Q999" s="33">
        <f>L999*M999</f>
        <v>1848.55</v>
      </c>
      <c r="R999" s="29">
        <f>L999+O999</f>
        <v>2218.2599999999998</v>
      </c>
      <c r="S999" s="29">
        <f>Q999+P999</f>
        <v>2218.2599999999998</v>
      </c>
      <c r="T999" s="35">
        <f>voranmeldefrist_vierteljaehrlich(G999)</f>
        <v>45245</v>
      </c>
      <c r="U999" s="27"/>
      <c r="V999" s="27"/>
      <c r="W999" s="160">
        <f>IF(K999=TRUE,Q999/I999,Q999)</f>
        <v>616.18333333333328</v>
      </c>
      <c r="X999" s="31">
        <f>V999/100*S999</f>
        <v>0</v>
      </c>
      <c r="Y999" t="b">
        <f>IF(AND(V999&gt;0,N999=V999),TRUE,FALSE)</f>
        <v>0</v>
      </c>
      <c r="Z999" s="161">
        <f t="shared" si="672"/>
        <v>-1848.55</v>
      </c>
    </row>
    <row r="1000" spans="1:26" x14ac:dyDescent="0.25">
      <c r="A1000" s="53">
        <v>2023</v>
      </c>
      <c r="B1000" s="53">
        <v>126</v>
      </c>
      <c r="C1000" s="71" t="s">
        <v>105</v>
      </c>
      <c r="D1000" t="s">
        <v>691</v>
      </c>
      <c r="G1000" s="1">
        <v>45139</v>
      </c>
      <c r="H1000" t="s">
        <v>1113</v>
      </c>
      <c r="K1000" t="b">
        <v>0</v>
      </c>
      <c r="L1000" s="158">
        <f>639.73/1.2</f>
        <v>533.10833333333335</v>
      </c>
      <c r="M1000" s="159">
        <v>1</v>
      </c>
      <c r="N1000">
        <v>20</v>
      </c>
      <c r="O1000" s="31">
        <f t="shared" ref="O1000:O1006" si="676">L1000*N1000/100</f>
        <v>106.62166666666668</v>
      </c>
      <c r="P1000" s="31">
        <f t="shared" ref="P1000:P1006" si="677">M1000*O1000</f>
        <v>106.62166666666668</v>
      </c>
      <c r="Q1000" s="33">
        <f t="shared" ref="Q1000:Q1006" si="678">L1000*M1000</f>
        <v>533.10833333333335</v>
      </c>
      <c r="R1000" s="29">
        <f t="shared" ref="R1000:R1006" si="679">L1000+O1000</f>
        <v>639.73</v>
      </c>
      <c r="S1000" s="29">
        <f>Q1000+P1000</f>
        <v>639.73</v>
      </c>
      <c r="T1000" s="35">
        <f t="shared" ref="T1000:T1010" si="680">DATE(YEAR(EOMONTH(G1000,2)),MONTH(EOMONTH(G1000,2)),15)</f>
        <v>45214</v>
      </c>
      <c r="U1000" s="27"/>
      <c r="V1000" s="27"/>
      <c r="W1000" s="160">
        <f>IF(K1000=TRUE,Q1000/J1000,Q1000)</f>
        <v>533.10833333333335</v>
      </c>
      <c r="X1000" s="31">
        <f t="shared" ref="X1000:X1006" si="681">V1000/100*S1000</f>
        <v>0</v>
      </c>
      <c r="Y1000" t="b">
        <f t="shared" ref="Y1000:Y1006" si="682">IF(AND(V1000&gt;0,N1000=V1000),TRUE,FALSE)</f>
        <v>0</v>
      </c>
      <c r="Z1000" s="161">
        <f t="shared" si="672"/>
        <v>-533.10833333333335</v>
      </c>
    </row>
    <row r="1001" spans="1:26" x14ac:dyDescent="0.25">
      <c r="A1001" s="53">
        <v>2023</v>
      </c>
      <c r="B1001" s="53">
        <v>127</v>
      </c>
      <c r="C1001" s="71" t="s">
        <v>105</v>
      </c>
      <c r="D1001" t="s">
        <v>705</v>
      </c>
      <c r="E1001"/>
      <c r="G1001" s="1">
        <v>45141</v>
      </c>
      <c r="H1001" t="s">
        <v>1404</v>
      </c>
      <c r="K1001" t="b">
        <v>0</v>
      </c>
      <c r="L1001" s="158">
        <v>10.4</v>
      </c>
      <c r="M1001" s="159">
        <v>1</v>
      </c>
      <c r="N1001">
        <v>0</v>
      </c>
      <c r="O1001" s="31">
        <f t="shared" si="676"/>
        <v>0</v>
      </c>
      <c r="P1001" s="31">
        <f t="shared" si="677"/>
        <v>0</v>
      </c>
      <c r="Q1001" s="33">
        <f t="shared" si="678"/>
        <v>10.4</v>
      </c>
      <c r="R1001" s="29">
        <f t="shared" si="679"/>
        <v>10.4</v>
      </c>
      <c r="S1001" s="29">
        <f>Q1001+P1001</f>
        <v>10.4</v>
      </c>
      <c r="T1001" s="35">
        <f t="shared" si="680"/>
        <v>45214</v>
      </c>
      <c r="U1001" s="27"/>
      <c r="V1001" s="27">
        <v>20</v>
      </c>
      <c r="W1001" s="160">
        <f>IF(K1001=TRUE,Q1001/I1001,Q1001)</f>
        <v>10.4</v>
      </c>
      <c r="X1001" s="31">
        <f t="shared" si="681"/>
        <v>2.08</v>
      </c>
      <c r="Y1001" t="b">
        <f t="shared" si="682"/>
        <v>0</v>
      </c>
      <c r="Z1001" s="161">
        <f t="shared" si="672"/>
        <v>-10.4</v>
      </c>
    </row>
    <row r="1002" spans="1:26" x14ac:dyDescent="0.25">
      <c r="A1002" s="53">
        <v>2023</v>
      </c>
      <c r="B1002" s="53">
        <v>128</v>
      </c>
      <c r="C1002" s="71" t="s">
        <v>105</v>
      </c>
      <c r="D1002" t="s">
        <v>705</v>
      </c>
      <c r="E1002"/>
      <c r="G1002" s="1">
        <v>45141</v>
      </c>
      <c r="H1002" t="s">
        <v>1670</v>
      </c>
      <c r="K1002" t="b">
        <f>(IF(AND(I1002&lt;&gt;"",AND(J1002="",ABS(Q1002)&gt;400)),TRUE,FALSE))</f>
        <v>0</v>
      </c>
      <c r="L1002" s="162">
        <v>5</v>
      </c>
      <c r="M1002" s="159">
        <v>1</v>
      </c>
      <c r="N1002">
        <v>20</v>
      </c>
      <c r="O1002" s="31">
        <f t="shared" si="676"/>
        <v>1</v>
      </c>
      <c r="P1002" s="31">
        <f t="shared" si="677"/>
        <v>1</v>
      </c>
      <c r="Q1002" s="33">
        <f t="shared" si="678"/>
        <v>5</v>
      </c>
      <c r="R1002" s="29">
        <f t="shared" si="679"/>
        <v>6</v>
      </c>
      <c r="S1002" s="29">
        <f>Q1002+P1002</f>
        <v>6</v>
      </c>
      <c r="T1002" s="35">
        <f t="shared" si="680"/>
        <v>45214</v>
      </c>
      <c r="U1002" s="27"/>
      <c r="V1002" s="27"/>
      <c r="W1002" s="160">
        <f>IF(K1002=TRUE,Q1002/J1002,Q1002)</f>
        <v>5</v>
      </c>
      <c r="X1002" s="31">
        <f t="shared" si="681"/>
        <v>0</v>
      </c>
      <c r="Y1002" t="b">
        <f t="shared" si="682"/>
        <v>0</v>
      </c>
      <c r="Z1002" s="161">
        <f t="shared" ref="Z1002:Z1013" si="683">IF(C1002="Einnahmen",Q1002,-Q1002)</f>
        <v>-5</v>
      </c>
    </row>
    <row r="1003" spans="1:26" x14ac:dyDescent="0.25">
      <c r="A1003" s="53">
        <v>2023</v>
      </c>
      <c r="B1003" s="53">
        <v>129</v>
      </c>
      <c r="C1003" s="71" t="s">
        <v>105</v>
      </c>
      <c r="D1003" t="s">
        <v>703</v>
      </c>
      <c r="G1003" s="1">
        <v>45141</v>
      </c>
      <c r="H1003" t="s">
        <v>34</v>
      </c>
      <c r="K1003" t="b">
        <f>(IF(AND(I1003&lt;&gt;"",AND(J1003="",ABS(Q1003)&gt;400)),TRUE,FALSE))</f>
        <v>0</v>
      </c>
      <c r="L1003" s="162">
        <f>12.9/1.2</f>
        <v>10.75</v>
      </c>
      <c r="M1003" s="159">
        <v>1</v>
      </c>
      <c r="N1003">
        <v>20</v>
      </c>
      <c r="O1003" s="31">
        <f t="shared" si="676"/>
        <v>2.15</v>
      </c>
      <c r="P1003" s="31">
        <f t="shared" si="677"/>
        <v>2.15</v>
      </c>
      <c r="Q1003" s="33">
        <f t="shared" si="678"/>
        <v>10.75</v>
      </c>
      <c r="R1003" s="29">
        <f t="shared" si="679"/>
        <v>12.9</v>
      </c>
      <c r="S1003" s="29">
        <f t="shared" ref="S1003:S1010" si="684">Q1003+P1003</f>
        <v>12.9</v>
      </c>
      <c r="T1003" s="35">
        <f t="shared" si="680"/>
        <v>45214</v>
      </c>
      <c r="U1003" s="27"/>
      <c r="V1003" s="27"/>
      <c r="W1003" s="160">
        <f>IF(K1003=TRUE,Q1003/I1003,Q1003)</f>
        <v>10.75</v>
      </c>
      <c r="X1003" s="31">
        <f t="shared" si="681"/>
        <v>0</v>
      </c>
      <c r="Y1003" t="b">
        <f t="shared" si="682"/>
        <v>0</v>
      </c>
      <c r="Z1003" s="161">
        <f t="shared" si="683"/>
        <v>-10.75</v>
      </c>
    </row>
    <row r="1004" spans="1:26" x14ac:dyDescent="0.25">
      <c r="A1004" s="53">
        <v>2023</v>
      </c>
      <c r="B1004" s="53">
        <v>130</v>
      </c>
      <c r="C1004" s="71" t="s">
        <v>105</v>
      </c>
      <c r="D1004" t="s">
        <v>691</v>
      </c>
      <c r="E1004" s="61" t="s">
        <v>1064</v>
      </c>
      <c r="G1004" s="1">
        <v>45145</v>
      </c>
      <c r="H1004" t="s">
        <v>1558</v>
      </c>
      <c r="K1004" t="b">
        <v>0</v>
      </c>
      <c r="L1004" s="158">
        <v>108.5</v>
      </c>
      <c r="M1004" s="159">
        <v>1</v>
      </c>
      <c r="N1004">
        <v>20</v>
      </c>
      <c r="O1004" s="31">
        <f t="shared" si="676"/>
        <v>21.7</v>
      </c>
      <c r="P1004" s="31">
        <f t="shared" si="677"/>
        <v>21.7</v>
      </c>
      <c r="Q1004" s="33">
        <f t="shared" si="678"/>
        <v>108.5</v>
      </c>
      <c r="R1004" s="29">
        <f t="shared" si="679"/>
        <v>130.19999999999999</v>
      </c>
      <c r="S1004" s="29">
        <f t="shared" si="684"/>
        <v>130.19999999999999</v>
      </c>
      <c r="T1004" s="35">
        <f t="shared" si="680"/>
        <v>45214</v>
      </c>
      <c r="U1004" s="27"/>
      <c r="V1004" s="27"/>
      <c r="W1004" s="160">
        <f>IF(K1004=TRUE,Q1004/J1004,Q1004)</f>
        <v>108.5</v>
      </c>
      <c r="X1004" s="31">
        <f t="shared" si="681"/>
        <v>0</v>
      </c>
      <c r="Y1004" t="b">
        <f t="shared" si="682"/>
        <v>0</v>
      </c>
      <c r="Z1004" s="161">
        <f t="shared" si="683"/>
        <v>-108.5</v>
      </c>
    </row>
    <row r="1005" spans="1:26" x14ac:dyDescent="0.25">
      <c r="A1005" s="53">
        <v>2023</v>
      </c>
      <c r="B1005" s="53">
        <v>131</v>
      </c>
      <c r="C1005" s="71" t="s">
        <v>105</v>
      </c>
      <c r="D1005" t="s">
        <v>705</v>
      </c>
      <c r="E1005" s="61" t="s">
        <v>1064</v>
      </c>
      <c r="G1005" s="1">
        <v>45148</v>
      </c>
      <c r="H1005" t="s">
        <v>1466</v>
      </c>
      <c r="K1005" t="b">
        <f t="shared" ref="K1005:K1010" si="685">(IF(AND(I1005&lt;&gt;"",AND(J1005="",ABS(Q1005)&gt;400)),TRUE,FALSE))</f>
        <v>0</v>
      </c>
      <c r="L1005" s="162">
        <v>12</v>
      </c>
      <c r="M1005" s="159">
        <v>1</v>
      </c>
      <c r="N1005">
        <v>20</v>
      </c>
      <c r="O1005" s="31">
        <f t="shared" si="676"/>
        <v>2.4</v>
      </c>
      <c r="P1005" s="31">
        <f t="shared" si="677"/>
        <v>2.4</v>
      </c>
      <c r="Q1005" s="33">
        <f t="shared" si="678"/>
        <v>12</v>
      </c>
      <c r="R1005" s="29">
        <f t="shared" si="679"/>
        <v>14.4</v>
      </c>
      <c r="S1005" s="29">
        <f t="shared" si="684"/>
        <v>14.4</v>
      </c>
      <c r="T1005" s="35">
        <f t="shared" si="680"/>
        <v>45214</v>
      </c>
      <c r="U1005" s="27"/>
      <c r="V1005" s="27"/>
      <c r="W1005" s="160">
        <f>IF(K1005=TRUE,Q1005/J1005,Q1005)</f>
        <v>12</v>
      </c>
      <c r="X1005" s="31">
        <f t="shared" si="681"/>
        <v>0</v>
      </c>
      <c r="Y1005" t="b">
        <f t="shared" si="682"/>
        <v>0</v>
      </c>
      <c r="Z1005" s="161">
        <f t="shared" si="683"/>
        <v>-12</v>
      </c>
    </row>
    <row r="1006" spans="1:26" x14ac:dyDescent="0.25">
      <c r="A1006" s="53">
        <v>2023</v>
      </c>
      <c r="B1006" s="53">
        <v>132</v>
      </c>
      <c r="C1006" s="71" t="s">
        <v>105</v>
      </c>
      <c r="D1006" t="s">
        <v>705</v>
      </c>
      <c r="G1006" s="1">
        <v>45149</v>
      </c>
      <c r="H1006" t="s">
        <v>927</v>
      </c>
      <c r="K1006" t="b">
        <f t="shared" si="685"/>
        <v>0</v>
      </c>
      <c r="L1006" s="162">
        <v>52.214100000000002</v>
      </c>
      <c r="M1006" s="159">
        <v>1</v>
      </c>
      <c r="N1006">
        <v>0</v>
      </c>
      <c r="O1006" s="31">
        <f t="shared" si="676"/>
        <v>0</v>
      </c>
      <c r="P1006" s="31">
        <f t="shared" si="677"/>
        <v>0</v>
      </c>
      <c r="Q1006" s="33">
        <f t="shared" si="678"/>
        <v>52.214100000000002</v>
      </c>
      <c r="R1006" s="29">
        <f t="shared" si="679"/>
        <v>52.214100000000002</v>
      </c>
      <c r="S1006" s="29">
        <f t="shared" si="684"/>
        <v>52.214100000000002</v>
      </c>
      <c r="T1006" s="35">
        <f t="shared" si="680"/>
        <v>45214</v>
      </c>
      <c r="U1006" s="27"/>
      <c r="V1006" s="27">
        <v>20</v>
      </c>
      <c r="W1006" s="160">
        <f>IF(K1006=TRUE,Q1006/J1006,Q1006)</f>
        <v>52.214100000000002</v>
      </c>
      <c r="X1006" s="31">
        <f t="shared" si="681"/>
        <v>10.442820000000001</v>
      </c>
      <c r="Y1006" t="b">
        <f t="shared" si="682"/>
        <v>0</v>
      </c>
      <c r="Z1006" s="161">
        <f t="shared" si="683"/>
        <v>-52.214100000000002</v>
      </c>
    </row>
    <row r="1007" spans="1:26" x14ac:dyDescent="0.25">
      <c r="A1007" s="53">
        <v>2023</v>
      </c>
      <c r="B1007" s="53">
        <v>133</v>
      </c>
      <c r="C1007" s="71" t="s">
        <v>708</v>
      </c>
      <c r="D1007" t="s">
        <v>709</v>
      </c>
      <c r="E1007" s="39" t="s">
        <v>1745</v>
      </c>
      <c r="G1007" s="1">
        <v>45154</v>
      </c>
      <c r="H1007" t="s">
        <v>1652</v>
      </c>
      <c r="K1007" t="b">
        <f t="shared" si="685"/>
        <v>0</v>
      </c>
      <c r="L1007" s="162">
        <f>7911.9/1.2</f>
        <v>6593.25</v>
      </c>
      <c r="M1007" s="159">
        <v>1</v>
      </c>
      <c r="N1007">
        <v>20</v>
      </c>
      <c r="O1007" s="31">
        <f t="shared" ref="O1007:O1013" si="686">L1007*N1007/100</f>
        <v>1318.65</v>
      </c>
      <c r="P1007" s="31">
        <f t="shared" ref="P1007:P1013" si="687">M1007*O1007</f>
        <v>1318.65</v>
      </c>
      <c r="Q1007" s="33">
        <f t="shared" ref="Q1007:Q1013" si="688">L1007*M1007</f>
        <v>6593.25</v>
      </c>
      <c r="R1007" s="29">
        <f t="shared" ref="R1007:R1013" si="689">L1007+O1007</f>
        <v>7911.9</v>
      </c>
      <c r="S1007" s="29">
        <f t="shared" si="684"/>
        <v>7911.9</v>
      </c>
      <c r="T1007" s="35">
        <f t="shared" si="680"/>
        <v>45214</v>
      </c>
      <c r="U1007" s="27"/>
      <c r="V1007" s="27"/>
      <c r="W1007" s="160">
        <f>IF(K1007=TRUE,Q1007/J1007,Q1007)</f>
        <v>6593.25</v>
      </c>
      <c r="X1007" s="31">
        <f t="shared" ref="X1007:X1013" si="690">V1007/100*S1007</f>
        <v>0</v>
      </c>
      <c r="Y1007" t="b">
        <f t="shared" ref="Y1007:Y1013" si="691">IF(AND(V1007&gt;0,N1007=V1007),TRUE,FALSE)</f>
        <v>0</v>
      </c>
      <c r="Z1007" s="161">
        <f t="shared" si="683"/>
        <v>6593.25</v>
      </c>
    </row>
    <row r="1008" spans="1:26" x14ac:dyDescent="0.25">
      <c r="A1008" s="53">
        <v>2023</v>
      </c>
      <c r="B1008" s="53">
        <v>134</v>
      </c>
      <c r="C1008" s="71" t="s">
        <v>105</v>
      </c>
      <c r="D1008" t="s">
        <v>685</v>
      </c>
      <c r="E1008" s="9" t="s">
        <v>1699</v>
      </c>
      <c r="G1008" s="1">
        <v>45154</v>
      </c>
      <c r="H1008" t="s">
        <v>1689</v>
      </c>
      <c r="K1008" t="b">
        <f t="shared" si="685"/>
        <v>0</v>
      </c>
      <c r="L1008" s="162">
        <v>365</v>
      </c>
      <c r="M1008" s="159">
        <v>1</v>
      </c>
      <c r="N1008">
        <v>0</v>
      </c>
      <c r="O1008" s="31">
        <f t="shared" si="686"/>
        <v>0</v>
      </c>
      <c r="P1008" s="31">
        <f t="shared" si="687"/>
        <v>0</v>
      </c>
      <c r="Q1008" s="33">
        <f t="shared" si="688"/>
        <v>365</v>
      </c>
      <c r="R1008" s="29">
        <f t="shared" si="689"/>
        <v>365</v>
      </c>
      <c r="S1008" s="29">
        <f t="shared" si="684"/>
        <v>365</v>
      </c>
      <c r="T1008" s="35">
        <f t="shared" si="680"/>
        <v>45214</v>
      </c>
      <c r="U1008" s="27"/>
      <c r="V1008" s="27"/>
      <c r="W1008" s="160">
        <f>IF(K1008=TRUE,Q1008/J1008,Q1008)</f>
        <v>365</v>
      </c>
      <c r="X1008" s="31">
        <f t="shared" si="690"/>
        <v>0</v>
      </c>
      <c r="Y1008" t="b">
        <f t="shared" si="691"/>
        <v>0</v>
      </c>
      <c r="Z1008" s="161">
        <f t="shared" si="683"/>
        <v>-365</v>
      </c>
    </row>
    <row r="1009" spans="1:26" x14ac:dyDescent="0.25">
      <c r="A1009" s="53">
        <v>2023</v>
      </c>
      <c r="B1009" s="53">
        <v>135</v>
      </c>
      <c r="C1009" s="71" t="s">
        <v>105</v>
      </c>
      <c r="D1009" t="s">
        <v>703</v>
      </c>
      <c r="E1009" s="131"/>
      <c r="G1009" s="1">
        <v>45156</v>
      </c>
      <c r="H1009" t="s">
        <v>1148</v>
      </c>
      <c r="K1009" t="b">
        <f t="shared" si="685"/>
        <v>0</v>
      </c>
      <c r="L1009" s="162">
        <v>31.92</v>
      </c>
      <c r="M1009" s="159">
        <v>1</v>
      </c>
      <c r="N1009">
        <v>20</v>
      </c>
      <c r="O1009" s="31">
        <f t="shared" si="686"/>
        <v>6.3840000000000012</v>
      </c>
      <c r="P1009" s="31">
        <f t="shared" si="687"/>
        <v>6.3840000000000012</v>
      </c>
      <c r="Q1009" s="33">
        <f t="shared" si="688"/>
        <v>31.92</v>
      </c>
      <c r="R1009" s="29">
        <f t="shared" si="689"/>
        <v>38.304000000000002</v>
      </c>
      <c r="S1009" s="29">
        <f t="shared" si="684"/>
        <v>38.304000000000002</v>
      </c>
      <c r="T1009" s="35">
        <f t="shared" si="680"/>
        <v>45214</v>
      </c>
      <c r="U1009" s="27"/>
      <c r="V1009" s="27"/>
      <c r="W1009" s="160">
        <f>IF(K1009=TRUE,Q1009/I1009,Q1009)</f>
        <v>31.92</v>
      </c>
      <c r="X1009" s="31">
        <f t="shared" si="690"/>
        <v>0</v>
      </c>
      <c r="Y1009" t="b">
        <f t="shared" si="691"/>
        <v>0</v>
      </c>
      <c r="Z1009" s="161">
        <f t="shared" si="683"/>
        <v>-31.92</v>
      </c>
    </row>
    <row r="1010" spans="1:26" x14ac:dyDescent="0.25">
      <c r="A1010" s="53">
        <v>2023</v>
      </c>
      <c r="B1010" s="53">
        <v>136</v>
      </c>
      <c r="C1010" s="71" t="s">
        <v>105</v>
      </c>
      <c r="D1010" t="s">
        <v>705</v>
      </c>
      <c r="E1010" s="1"/>
      <c r="G1010" s="1">
        <v>45159</v>
      </c>
      <c r="H1010" t="s">
        <v>1032</v>
      </c>
      <c r="K1010" t="b">
        <f t="shared" si="685"/>
        <v>0</v>
      </c>
      <c r="L1010" s="158">
        <v>10.5</v>
      </c>
      <c r="M1010" s="159">
        <v>1</v>
      </c>
      <c r="N1010">
        <v>0</v>
      </c>
      <c r="O1010" s="31">
        <f t="shared" si="686"/>
        <v>0</v>
      </c>
      <c r="P1010" s="31">
        <f t="shared" si="687"/>
        <v>0</v>
      </c>
      <c r="Q1010" s="33">
        <f t="shared" si="688"/>
        <v>10.5</v>
      </c>
      <c r="R1010" s="29">
        <f t="shared" si="689"/>
        <v>10.5</v>
      </c>
      <c r="S1010" s="29">
        <f t="shared" si="684"/>
        <v>10.5</v>
      </c>
      <c r="T1010" s="35">
        <f t="shared" si="680"/>
        <v>45214</v>
      </c>
      <c r="U1010" s="27"/>
      <c r="V1010" s="27">
        <v>20</v>
      </c>
      <c r="W1010" s="160">
        <f t="shared" ref="W1010:W1015" si="692">IF(K1010=TRUE,Q1010/J1010,Q1010)</f>
        <v>10.5</v>
      </c>
      <c r="X1010" s="31">
        <f t="shared" si="690"/>
        <v>2.1</v>
      </c>
      <c r="Y1010" t="b">
        <f t="shared" si="691"/>
        <v>0</v>
      </c>
      <c r="Z1010" s="161">
        <f t="shared" si="683"/>
        <v>-10.5</v>
      </c>
    </row>
    <row r="1011" spans="1:26" x14ac:dyDescent="0.25">
      <c r="A1011" s="53">
        <v>2023</v>
      </c>
      <c r="B1011" s="53">
        <v>137</v>
      </c>
      <c r="C1011" s="71" t="s">
        <v>105</v>
      </c>
      <c r="D1011" t="s">
        <v>689</v>
      </c>
      <c r="G1011" s="1">
        <v>45155</v>
      </c>
      <c r="H1011" t="s">
        <v>1029</v>
      </c>
      <c r="K1011" t="b">
        <v>0</v>
      </c>
      <c r="L1011" s="162">
        <f>85.3/1.1</f>
        <v>77.545454545454533</v>
      </c>
      <c r="M1011" s="159">
        <v>1</v>
      </c>
      <c r="N1011">
        <v>10</v>
      </c>
      <c r="O1011" s="31">
        <f t="shared" si="686"/>
        <v>7.7545454545454531</v>
      </c>
      <c r="P1011" s="31">
        <f t="shared" si="687"/>
        <v>7.7545454545454531</v>
      </c>
      <c r="Q1011" s="33">
        <f t="shared" si="688"/>
        <v>77.545454545454533</v>
      </c>
      <c r="R1011" s="29">
        <f t="shared" si="689"/>
        <v>85.299999999999983</v>
      </c>
      <c r="S1011" s="29">
        <f t="shared" ref="S1011:S1018" si="693">Q1011+P1011</f>
        <v>85.299999999999983</v>
      </c>
      <c r="T1011" s="35">
        <f>voranmeldefrist_vierteljaehrlich(G1011)</f>
        <v>45245</v>
      </c>
      <c r="U1011" s="27"/>
      <c r="V1011" s="27"/>
      <c r="W1011" s="160">
        <f t="shared" si="692"/>
        <v>77.545454545454533</v>
      </c>
      <c r="X1011" s="31">
        <f t="shared" si="690"/>
        <v>0</v>
      </c>
      <c r="Y1011" t="b">
        <f t="shared" si="691"/>
        <v>0</v>
      </c>
      <c r="Z1011" s="161">
        <f t="shared" si="683"/>
        <v>-77.545454545454533</v>
      </c>
    </row>
    <row r="1012" spans="1:26" x14ac:dyDescent="0.25">
      <c r="A1012" s="53">
        <v>2023</v>
      </c>
      <c r="B1012" s="53">
        <v>138</v>
      </c>
      <c r="C1012" s="71" t="s">
        <v>105</v>
      </c>
      <c r="D1012" t="s">
        <v>691</v>
      </c>
      <c r="E1012" s="61" t="s">
        <v>1064</v>
      </c>
      <c r="G1012" s="1">
        <v>45162</v>
      </c>
      <c r="H1012" t="s">
        <v>1558</v>
      </c>
      <c r="K1012" t="b">
        <v>0</v>
      </c>
      <c r="L1012" s="158">
        <v>-754.78</v>
      </c>
      <c r="M1012" s="159">
        <v>1</v>
      </c>
      <c r="N1012">
        <v>20</v>
      </c>
      <c r="O1012" s="31">
        <f t="shared" si="686"/>
        <v>-150.95599999999999</v>
      </c>
      <c r="P1012" s="31">
        <f t="shared" si="687"/>
        <v>-150.95599999999999</v>
      </c>
      <c r="Q1012" s="33">
        <f t="shared" si="688"/>
        <v>-754.78</v>
      </c>
      <c r="R1012" s="29">
        <f t="shared" si="689"/>
        <v>-905.73599999999999</v>
      </c>
      <c r="S1012" s="29">
        <f t="shared" si="693"/>
        <v>-905.73599999999999</v>
      </c>
      <c r="T1012" s="35">
        <f>DATE(YEAR(EOMONTH(G1012,2)),MONTH(EOMONTH(G1012,2)),15)</f>
        <v>45214</v>
      </c>
      <c r="U1012" s="27"/>
      <c r="V1012" s="27"/>
      <c r="W1012" s="160">
        <f t="shared" si="692"/>
        <v>-754.78</v>
      </c>
      <c r="X1012" s="31">
        <f t="shared" si="690"/>
        <v>0</v>
      </c>
      <c r="Y1012" t="b">
        <f t="shared" si="691"/>
        <v>0</v>
      </c>
      <c r="Z1012" s="161">
        <f t="shared" si="683"/>
        <v>754.78</v>
      </c>
    </row>
    <row r="1013" spans="1:26" x14ac:dyDescent="0.25">
      <c r="A1013" s="53">
        <v>2023</v>
      </c>
      <c r="B1013" s="53">
        <v>139</v>
      </c>
      <c r="C1013" s="71" t="s">
        <v>105</v>
      </c>
      <c r="D1013" t="s">
        <v>339</v>
      </c>
      <c r="E1013" s="9" t="s">
        <v>1726</v>
      </c>
      <c r="G1013" s="1">
        <v>44927</v>
      </c>
      <c r="H1013" s="154" t="s">
        <v>1747</v>
      </c>
      <c r="K1013" t="b">
        <f>(IF(AND(I1013&lt;&gt;"",AND(J1013="",ABS(Q1013)&gt;400)),TRUE,FALSE))</f>
        <v>0</v>
      </c>
      <c r="L1013" s="48">
        <f>-8.68/1.2</f>
        <v>-7.2333333333333334</v>
      </c>
      <c r="M1013" s="72">
        <v>1</v>
      </c>
      <c r="N1013">
        <v>20</v>
      </c>
      <c r="O1013" s="31">
        <f t="shared" si="686"/>
        <v>-1.4466666666666665</v>
      </c>
      <c r="P1013" s="31">
        <f t="shared" si="687"/>
        <v>-1.4466666666666665</v>
      </c>
      <c r="Q1013" s="33">
        <f t="shared" si="688"/>
        <v>-7.2333333333333334</v>
      </c>
      <c r="R1013" s="29">
        <f t="shared" si="689"/>
        <v>-8.68</v>
      </c>
      <c r="S1013" s="29">
        <f t="shared" si="693"/>
        <v>-8.68</v>
      </c>
      <c r="T1013" s="35">
        <f>DATE(YEAR(EOMONTH(G1013,2)),MONTH(EOMONTH(G1013,2)),15)</f>
        <v>45000</v>
      </c>
      <c r="U1013" s="27"/>
      <c r="V1013" s="27"/>
      <c r="W1013" s="58">
        <f t="shared" si="692"/>
        <v>-7.2333333333333334</v>
      </c>
      <c r="X1013" s="31">
        <f t="shared" si="690"/>
        <v>0</v>
      </c>
      <c r="Y1013" t="b">
        <f t="shared" si="691"/>
        <v>0</v>
      </c>
      <c r="Z1013" s="78">
        <f t="shared" si="683"/>
        <v>7.2333333333333334</v>
      </c>
    </row>
    <row r="1014" spans="1:26" x14ac:dyDescent="0.25">
      <c r="A1014" s="53">
        <v>2023</v>
      </c>
      <c r="B1014" s="53">
        <v>140</v>
      </c>
      <c r="C1014" s="71" t="s">
        <v>105</v>
      </c>
      <c r="D1014" t="s">
        <v>695</v>
      </c>
      <c r="E1014" s="9">
        <v>11561270283</v>
      </c>
      <c r="G1014" s="1">
        <v>45168</v>
      </c>
      <c r="H1014" t="s">
        <v>952</v>
      </c>
      <c r="K1014" t="b">
        <f>(IF(AND(I1014&lt;&gt;"",AND(J1014="",ABS(Q1014)&gt;400)),TRUE,FALSE))</f>
        <v>0</v>
      </c>
      <c r="L1014" s="48">
        <v>5395.81</v>
      </c>
      <c r="M1014" s="72">
        <v>1</v>
      </c>
      <c r="N1014">
        <v>0</v>
      </c>
      <c r="O1014" s="31">
        <f t="shared" ref="O1014:O1025" si="694">L1014*N1014/100</f>
        <v>0</v>
      </c>
      <c r="P1014" s="31">
        <f t="shared" ref="P1014:P1025" si="695">M1014*O1014</f>
        <v>0</v>
      </c>
      <c r="Q1014" s="33">
        <f t="shared" ref="Q1014:Q1025" si="696">L1014*M1014</f>
        <v>5395.81</v>
      </c>
      <c r="R1014" s="29">
        <f t="shared" ref="R1014:R1025" si="697">L1014+O1014</f>
        <v>5395.81</v>
      </c>
      <c r="S1014" s="29">
        <f t="shared" si="693"/>
        <v>5395.81</v>
      </c>
      <c r="T1014" s="35">
        <f>voranmeldefrist_vierteljaehrlich(G1014)</f>
        <v>45245</v>
      </c>
      <c r="U1014" s="27"/>
      <c r="V1014" s="27"/>
      <c r="W1014" s="58">
        <f t="shared" si="692"/>
        <v>5395.81</v>
      </c>
      <c r="X1014" s="31">
        <f t="shared" ref="X1014:X1025" si="698">V1014/100*S1014</f>
        <v>0</v>
      </c>
      <c r="Y1014" t="b">
        <f t="shared" ref="Y1014:Y1025" si="699">IF(AND(V1014&gt;0,N1014=V1014),TRUE,FALSE)</f>
        <v>0</v>
      </c>
      <c r="Z1014" s="78">
        <f t="shared" ref="Z1014:Z1025" si="700">IF(C1014="Einnahmen",Q1014,-Q1014)</f>
        <v>-5395.81</v>
      </c>
    </row>
    <row r="1015" spans="1:26" x14ac:dyDescent="0.25">
      <c r="A1015" s="53">
        <v>2023</v>
      </c>
      <c r="B1015" s="53">
        <v>141</v>
      </c>
      <c r="C1015" s="71" t="s">
        <v>105</v>
      </c>
      <c r="D1015" t="s">
        <v>691</v>
      </c>
      <c r="G1015" s="1">
        <v>45170</v>
      </c>
      <c r="H1015" t="s">
        <v>1113</v>
      </c>
      <c r="K1015" t="b">
        <v>0</v>
      </c>
      <c r="L1015" s="109">
        <f>639.73/1.2</f>
        <v>533.10833333333335</v>
      </c>
      <c r="M1015" s="72">
        <v>1</v>
      </c>
      <c r="N1015">
        <v>20</v>
      </c>
      <c r="O1015" s="31">
        <f t="shared" si="694"/>
        <v>106.62166666666668</v>
      </c>
      <c r="P1015" s="31">
        <f t="shared" si="695"/>
        <v>106.62166666666668</v>
      </c>
      <c r="Q1015" s="33">
        <f t="shared" si="696"/>
        <v>533.10833333333335</v>
      </c>
      <c r="R1015" s="29">
        <f t="shared" si="697"/>
        <v>639.73</v>
      </c>
      <c r="S1015" s="29">
        <f t="shared" si="693"/>
        <v>639.73</v>
      </c>
      <c r="T1015" s="35">
        <f>DATE(YEAR(EOMONTH(G1015,2)),MONTH(EOMONTH(G1015,2)),15)</f>
        <v>45245</v>
      </c>
      <c r="U1015" s="27"/>
      <c r="V1015" s="27"/>
      <c r="W1015" s="58">
        <f t="shared" si="692"/>
        <v>533.10833333333335</v>
      </c>
      <c r="X1015" s="31">
        <f t="shared" si="698"/>
        <v>0</v>
      </c>
      <c r="Y1015" t="b">
        <f t="shared" si="699"/>
        <v>0</v>
      </c>
      <c r="Z1015" s="78">
        <f t="shared" si="700"/>
        <v>-533.10833333333335</v>
      </c>
    </row>
    <row r="1016" spans="1:26" x14ac:dyDescent="0.25">
      <c r="A1016" s="53">
        <v>2023</v>
      </c>
      <c r="B1016" s="53">
        <v>142</v>
      </c>
      <c r="C1016" s="71" t="s">
        <v>105</v>
      </c>
      <c r="D1016" t="s">
        <v>703</v>
      </c>
      <c r="E1016"/>
      <c r="G1016" s="1">
        <v>45173</v>
      </c>
      <c r="H1016" t="s">
        <v>34</v>
      </c>
      <c r="K1016" t="b">
        <f>(IF(AND(I1016&lt;&gt;"",AND(J1016="",ABS(Q1016)&gt;400)),TRUE,FALSE))</f>
        <v>0</v>
      </c>
      <c r="L1016" s="48">
        <v>10.75</v>
      </c>
      <c r="M1016" s="159">
        <v>1</v>
      </c>
      <c r="N1016">
        <v>20</v>
      </c>
      <c r="O1016" s="31">
        <f t="shared" si="694"/>
        <v>2.15</v>
      </c>
      <c r="P1016" s="31">
        <f t="shared" si="695"/>
        <v>2.15</v>
      </c>
      <c r="Q1016" s="33">
        <f t="shared" si="696"/>
        <v>10.75</v>
      </c>
      <c r="R1016" s="29">
        <f t="shared" si="697"/>
        <v>12.9</v>
      </c>
      <c r="S1016" s="29">
        <f t="shared" si="693"/>
        <v>12.9</v>
      </c>
      <c r="T1016" s="35">
        <f>DATE(YEAR(EOMONTH(G1016,2)),MONTH(EOMONTH(G1016,2)),15)</f>
        <v>45245</v>
      </c>
      <c r="U1016" s="27"/>
      <c r="V1016" s="27"/>
      <c r="W1016" s="160">
        <f>IF(K1016=TRUE,Q1016/I1016,Q1016)</f>
        <v>10.75</v>
      </c>
      <c r="X1016" s="31">
        <f t="shared" si="698"/>
        <v>0</v>
      </c>
      <c r="Y1016" t="b">
        <f t="shared" si="699"/>
        <v>0</v>
      </c>
      <c r="Z1016" s="161">
        <f t="shared" si="700"/>
        <v>-10.75</v>
      </c>
    </row>
    <row r="1017" spans="1:26" x14ac:dyDescent="0.25">
      <c r="A1017" s="53">
        <v>2023</v>
      </c>
      <c r="B1017" s="53">
        <v>143</v>
      </c>
      <c r="C1017" s="71" t="s">
        <v>105</v>
      </c>
      <c r="D1017" t="s">
        <v>705</v>
      </c>
      <c r="E1017"/>
      <c r="G1017" s="1">
        <v>45173</v>
      </c>
      <c r="H1017" t="s">
        <v>1404</v>
      </c>
      <c r="K1017" t="b">
        <v>0</v>
      </c>
      <c r="L1017" s="158">
        <v>10.4</v>
      </c>
      <c r="M1017" s="159">
        <v>1</v>
      </c>
      <c r="N1017">
        <v>0</v>
      </c>
      <c r="O1017" s="31">
        <f t="shared" si="694"/>
        <v>0</v>
      </c>
      <c r="P1017" s="31">
        <f t="shared" si="695"/>
        <v>0</v>
      </c>
      <c r="Q1017" s="33">
        <f t="shared" si="696"/>
        <v>10.4</v>
      </c>
      <c r="R1017" s="29">
        <f t="shared" si="697"/>
        <v>10.4</v>
      </c>
      <c r="S1017" s="29">
        <f t="shared" si="693"/>
        <v>10.4</v>
      </c>
      <c r="T1017" s="35">
        <f>DATE(YEAR(EOMONTH(G1017,2)),MONTH(EOMONTH(G1017,2)),15)</f>
        <v>45245</v>
      </c>
      <c r="U1017" s="27"/>
      <c r="V1017" s="27">
        <v>20</v>
      </c>
      <c r="W1017" s="160">
        <f>IF(K1017=TRUE,Q1017/I1017,Q1017)</f>
        <v>10.4</v>
      </c>
      <c r="X1017" s="31">
        <f t="shared" si="698"/>
        <v>2.08</v>
      </c>
      <c r="Y1017" t="b">
        <f t="shared" si="699"/>
        <v>0</v>
      </c>
      <c r="Z1017" s="161">
        <f t="shared" si="700"/>
        <v>-10.4</v>
      </c>
    </row>
    <row r="1018" spans="1:26" x14ac:dyDescent="0.25">
      <c r="A1018" s="53">
        <v>2023</v>
      </c>
      <c r="B1018" s="53">
        <v>144</v>
      </c>
      <c r="C1018" s="71" t="s">
        <v>105</v>
      </c>
      <c r="D1018" t="s">
        <v>705</v>
      </c>
      <c r="E1018" s="61" t="s">
        <v>1064</v>
      </c>
      <c r="G1018" s="1">
        <v>45174</v>
      </c>
      <c r="H1018" t="s">
        <v>1670</v>
      </c>
      <c r="K1018" t="b">
        <f>(IF(AND(I1018&lt;&gt;"",AND(J1018="",ABS(Q1018)&gt;400)),TRUE,FALSE))</f>
        <v>0</v>
      </c>
      <c r="L1018" s="162">
        <v>5</v>
      </c>
      <c r="M1018" s="159">
        <v>1</v>
      </c>
      <c r="N1018">
        <v>20</v>
      </c>
      <c r="O1018" s="31">
        <f t="shared" si="694"/>
        <v>1</v>
      </c>
      <c r="P1018" s="31">
        <f t="shared" si="695"/>
        <v>1</v>
      </c>
      <c r="Q1018" s="33">
        <f t="shared" si="696"/>
        <v>5</v>
      </c>
      <c r="R1018" s="29">
        <f t="shared" si="697"/>
        <v>6</v>
      </c>
      <c r="S1018" s="29">
        <f t="shared" si="693"/>
        <v>6</v>
      </c>
      <c r="T1018" s="35">
        <f>DATE(YEAR(EOMONTH(G1018,2)),MONTH(EOMONTH(G1018,2)),15)</f>
        <v>45245</v>
      </c>
      <c r="U1018" s="27"/>
      <c r="V1018" s="27"/>
      <c r="W1018" s="160">
        <f t="shared" ref="W1018:W1024" si="701">IF(K1018=TRUE,Q1018/J1018,Q1018)</f>
        <v>5</v>
      </c>
      <c r="X1018" s="31">
        <f t="shared" si="698"/>
        <v>0</v>
      </c>
      <c r="Y1018" t="b">
        <f t="shared" si="699"/>
        <v>0</v>
      </c>
      <c r="Z1018" s="161">
        <f t="shared" si="700"/>
        <v>-5</v>
      </c>
    </row>
    <row r="1019" spans="1:26" x14ac:dyDescent="0.25">
      <c r="A1019" s="53">
        <v>2023</v>
      </c>
      <c r="B1019" s="53">
        <v>145</v>
      </c>
      <c r="C1019" s="71" t="s">
        <v>105</v>
      </c>
      <c r="D1019" t="s">
        <v>691</v>
      </c>
      <c r="E1019" s="61" t="s">
        <v>1064</v>
      </c>
      <c r="G1019" s="1">
        <v>45175</v>
      </c>
      <c r="H1019" t="s">
        <v>1558</v>
      </c>
      <c r="K1019" t="b">
        <v>0</v>
      </c>
      <c r="L1019" s="158">
        <v>108.5</v>
      </c>
      <c r="M1019" s="159">
        <v>1</v>
      </c>
      <c r="N1019">
        <v>20</v>
      </c>
      <c r="O1019" s="31">
        <f t="shared" si="694"/>
        <v>21.7</v>
      </c>
      <c r="P1019" s="31">
        <f t="shared" si="695"/>
        <v>21.7</v>
      </c>
      <c r="Q1019" s="33">
        <f t="shared" si="696"/>
        <v>108.5</v>
      </c>
      <c r="R1019" s="29">
        <f t="shared" si="697"/>
        <v>130.19999999999999</v>
      </c>
      <c r="S1019" s="29">
        <f t="shared" ref="S1019:S1028" si="702">Q1019+P1019</f>
        <v>130.19999999999999</v>
      </c>
      <c r="T1019" s="35">
        <f>DATE(YEAR(EOMONTH(G1019,2)),MONTH(EOMONTH(G1019,2)),15)</f>
        <v>45245</v>
      </c>
      <c r="U1019" s="27"/>
      <c r="V1019" s="27"/>
      <c r="W1019" s="160">
        <f t="shared" si="701"/>
        <v>108.5</v>
      </c>
      <c r="X1019" s="31">
        <f t="shared" si="698"/>
        <v>0</v>
      </c>
      <c r="Y1019" t="b">
        <f t="shared" si="699"/>
        <v>0</v>
      </c>
      <c r="Z1019" s="161">
        <f t="shared" si="700"/>
        <v>-108.5</v>
      </c>
    </row>
    <row r="1020" spans="1:26" x14ac:dyDescent="0.25">
      <c r="A1020" s="53">
        <v>2023</v>
      </c>
      <c r="B1020" s="53">
        <v>146</v>
      </c>
      <c r="C1020" s="71" t="s">
        <v>105</v>
      </c>
      <c r="D1020" t="s">
        <v>705</v>
      </c>
      <c r="E1020" s="61" t="s">
        <v>1064</v>
      </c>
      <c r="G1020" s="1">
        <v>45180</v>
      </c>
      <c r="H1020" t="s">
        <v>1466</v>
      </c>
      <c r="K1020" t="b">
        <f t="shared" ref="K1020:K1025" si="703">(IF(AND(I1020&lt;&gt;"",AND(J1020="",ABS(Q1020)&gt;400)),TRUE,FALSE))</f>
        <v>0</v>
      </c>
      <c r="L1020" s="162">
        <v>12</v>
      </c>
      <c r="M1020" s="159">
        <v>1</v>
      </c>
      <c r="N1020">
        <v>20</v>
      </c>
      <c r="O1020" s="31">
        <f t="shared" si="694"/>
        <v>2.4</v>
      </c>
      <c r="P1020" s="31">
        <f t="shared" si="695"/>
        <v>2.4</v>
      </c>
      <c r="Q1020" s="33">
        <f t="shared" si="696"/>
        <v>12</v>
      </c>
      <c r="R1020" s="29">
        <f t="shared" si="697"/>
        <v>14.4</v>
      </c>
      <c r="S1020" s="29">
        <f t="shared" si="702"/>
        <v>14.4</v>
      </c>
      <c r="T1020" s="35">
        <f t="shared" ref="T1020:T1028" si="704">DATE(YEAR(EOMONTH(G1020,2)),MONTH(EOMONTH(G1020,2)),15)</f>
        <v>45245</v>
      </c>
      <c r="U1020" s="27"/>
      <c r="V1020" s="27"/>
      <c r="W1020" s="160">
        <f t="shared" si="701"/>
        <v>12</v>
      </c>
      <c r="X1020" s="31">
        <f t="shared" si="698"/>
        <v>0</v>
      </c>
      <c r="Y1020" t="b">
        <f t="shared" si="699"/>
        <v>0</v>
      </c>
      <c r="Z1020" s="161">
        <f t="shared" si="700"/>
        <v>-12</v>
      </c>
    </row>
    <row r="1021" spans="1:26" x14ac:dyDescent="0.25">
      <c r="A1021" s="53">
        <v>2023</v>
      </c>
      <c r="B1021" s="53">
        <v>147</v>
      </c>
      <c r="C1021" s="71" t="s">
        <v>708</v>
      </c>
      <c r="D1021" t="s">
        <v>709</v>
      </c>
      <c r="E1021" s="39">
        <v>12023017</v>
      </c>
      <c r="G1021" s="1">
        <v>45181</v>
      </c>
      <c r="H1021" t="s">
        <v>1652</v>
      </c>
      <c r="K1021" t="b">
        <f t="shared" si="703"/>
        <v>0</v>
      </c>
      <c r="L1021" s="162">
        <v>15155.63</v>
      </c>
      <c r="M1021" s="159">
        <v>1</v>
      </c>
      <c r="N1021">
        <v>20</v>
      </c>
      <c r="O1021" s="31">
        <f t="shared" si="694"/>
        <v>3031.1259999999997</v>
      </c>
      <c r="P1021" s="31">
        <f t="shared" si="695"/>
        <v>3031.1259999999997</v>
      </c>
      <c r="Q1021" s="33">
        <f t="shared" si="696"/>
        <v>15155.63</v>
      </c>
      <c r="R1021" s="29">
        <f t="shared" si="697"/>
        <v>18186.755999999998</v>
      </c>
      <c r="S1021" s="29">
        <f t="shared" si="702"/>
        <v>18186.755999999998</v>
      </c>
      <c r="T1021" s="35">
        <f t="shared" si="704"/>
        <v>45245</v>
      </c>
      <c r="U1021" s="27"/>
      <c r="V1021" s="27"/>
      <c r="W1021" s="160">
        <f t="shared" si="701"/>
        <v>15155.63</v>
      </c>
      <c r="X1021" s="31">
        <f t="shared" si="698"/>
        <v>0</v>
      </c>
      <c r="Y1021" t="b">
        <f t="shared" si="699"/>
        <v>0</v>
      </c>
      <c r="Z1021" s="161">
        <f t="shared" si="700"/>
        <v>15155.63</v>
      </c>
    </row>
    <row r="1022" spans="1:26" x14ac:dyDescent="0.25">
      <c r="A1022" s="53">
        <v>2023</v>
      </c>
      <c r="B1022" s="53">
        <v>148</v>
      </c>
      <c r="C1022" s="71" t="s">
        <v>105</v>
      </c>
      <c r="D1022" t="s">
        <v>705</v>
      </c>
      <c r="G1022" s="1">
        <v>45182</v>
      </c>
      <c r="H1022" t="s">
        <v>927</v>
      </c>
      <c r="K1022" t="b">
        <f t="shared" si="703"/>
        <v>0</v>
      </c>
      <c r="L1022" s="162">
        <v>52.214100000000002</v>
      </c>
      <c r="M1022" s="159">
        <v>1</v>
      </c>
      <c r="N1022">
        <v>0</v>
      </c>
      <c r="O1022" s="31">
        <f t="shared" si="694"/>
        <v>0</v>
      </c>
      <c r="P1022" s="31">
        <f t="shared" si="695"/>
        <v>0</v>
      </c>
      <c r="Q1022" s="33">
        <f t="shared" si="696"/>
        <v>52.214100000000002</v>
      </c>
      <c r="R1022" s="29">
        <f t="shared" si="697"/>
        <v>52.214100000000002</v>
      </c>
      <c r="S1022" s="29">
        <f t="shared" si="702"/>
        <v>52.214100000000002</v>
      </c>
      <c r="T1022" s="35">
        <f t="shared" si="704"/>
        <v>45245</v>
      </c>
      <c r="U1022" s="27"/>
      <c r="V1022" s="27">
        <v>20</v>
      </c>
      <c r="W1022" s="160">
        <f t="shared" si="701"/>
        <v>52.214100000000002</v>
      </c>
      <c r="X1022" s="31">
        <f t="shared" si="698"/>
        <v>10.442820000000001</v>
      </c>
      <c r="Y1022" t="b">
        <f t="shared" si="699"/>
        <v>0</v>
      </c>
      <c r="Z1022" s="161">
        <f t="shared" si="700"/>
        <v>-52.214100000000002</v>
      </c>
    </row>
    <row r="1023" spans="1:26" x14ac:dyDescent="0.25">
      <c r="A1023" s="53">
        <v>2023</v>
      </c>
      <c r="B1023" s="53">
        <v>149</v>
      </c>
      <c r="C1023" s="71" t="s">
        <v>105</v>
      </c>
      <c r="D1023" t="s">
        <v>685</v>
      </c>
      <c r="E1023" s="9" t="s">
        <v>1699</v>
      </c>
      <c r="G1023" s="1">
        <v>45184</v>
      </c>
      <c r="H1023" t="s">
        <v>1689</v>
      </c>
      <c r="K1023" t="b">
        <f t="shared" si="703"/>
        <v>0</v>
      </c>
      <c r="L1023" s="162">
        <v>365</v>
      </c>
      <c r="M1023" s="159">
        <v>1</v>
      </c>
      <c r="N1023">
        <v>0</v>
      </c>
      <c r="O1023" s="31">
        <f t="shared" si="694"/>
        <v>0</v>
      </c>
      <c r="P1023" s="31">
        <f t="shared" si="695"/>
        <v>0</v>
      </c>
      <c r="Q1023" s="33">
        <f t="shared" si="696"/>
        <v>365</v>
      </c>
      <c r="R1023" s="29">
        <f t="shared" si="697"/>
        <v>365</v>
      </c>
      <c r="S1023" s="29">
        <f t="shared" si="702"/>
        <v>365</v>
      </c>
      <c r="T1023" s="35">
        <f t="shared" si="704"/>
        <v>45245</v>
      </c>
      <c r="U1023" s="27"/>
      <c r="V1023" s="27"/>
      <c r="W1023" s="160">
        <f t="shared" si="701"/>
        <v>365</v>
      </c>
      <c r="X1023" s="31">
        <f t="shared" si="698"/>
        <v>0</v>
      </c>
      <c r="Y1023" t="b">
        <f t="shared" si="699"/>
        <v>0</v>
      </c>
      <c r="Z1023" s="161">
        <f t="shared" si="700"/>
        <v>-365</v>
      </c>
    </row>
    <row r="1024" spans="1:26" x14ac:dyDescent="0.25">
      <c r="A1024" s="53">
        <v>2023</v>
      </c>
      <c r="B1024" s="53">
        <v>150</v>
      </c>
      <c r="C1024" s="71" t="s">
        <v>105</v>
      </c>
      <c r="D1024" t="s">
        <v>705</v>
      </c>
      <c r="E1024" s="1"/>
      <c r="G1024" s="1">
        <v>45189</v>
      </c>
      <c r="H1024" t="s">
        <v>1032</v>
      </c>
      <c r="K1024" t="b">
        <f t="shared" si="703"/>
        <v>0</v>
      </c>
      <c r="L1024" s="158">
        <v>10.5</v>
      </c>
      <c r="M1024" s="159">
        <v>1</v>
      </c>
      <c r="N1024">
        <v>0</v>
      </c>
      <c r="O1024" s="31">
        <f t="shared" si="694"/>
        <v>0</v>
      </c>
      <c r="P1024" s="31">
        <f t="shared" si="695"/>
        <v>0</v>
      </c>
      <c r="Q1024" s="33">
        <f t="shared" si="696"/>
        <v>10.5</v>
      </c>
      <c r="R1024" s="29">
        <f t="shared" si="697"/>
        <v>10.5</v>
      </c>
      <c r="S1024" s="29">
        <f t="shared" si="702"/>
        <v>10.5</v>
      </c>
      <c r="T1024" s="35">
        <f t="shared" si="704"/>
        <v>45245</v>
      </c>
      <c r="U1024" s="27"/>
      <c r="V1024" s="27">
        <v>20</v>
      </c>
      <c r="W1024" s="160">
        <f t="shared" si="701"/>
        <v>10.5</v>
      </c>
      <c r="X1024" s="31">
        <f t="shared" si="698"/>
        <v>2.1</v>
      </c>
      <c r="Y1024" t="b">
        <f t="shared" si="699"/>
        <v>0</v>
      </c>
      <c r="Z1024" s="161">
        <f t="shared" si="700"/>
        <v>-10.5</v>
      </c>
    </row>
    <row r="1025" spans="1:26" x14ac:dyDescent="0.25">
      <c r="A1025" s="53">
        <v>2023</v>
      </c>
      <c r="B1025" s="53">
        <v>151</v>
      </c>
      <c r="C1025" s="71" t="s">
        <v>105</v>
      </c>
      <c r="D1025" t="s">
        <v>703</v>
      </c>
      <c r="E1025" s="131"/>
      <c r="G1025" s="1">
        <v>45188</v>
      </c>
      <c r="H1025" t="s">
        <v>1148</v>
      </c>
      <c r="K1025" t="b">
        <f t="shared" si="703"/>
        <v>0</v>
      </c>
      <c r="L1025" s="162">
        <v>31.92</v>
      </c>
      <c r="M1025" s="159">
        <v>1</v>
      </c>
      <c r="N1025">
        <v>20</v>
      </c>
      <c r="O1025" s="31">
        <f t="shared" si="694"/>
        <v>6.3840000000000012</v>
      </c>
      <c r="P1025" s="31">
        <f t="shared" si="695"/>
        <v>6.3840000000000012</v>
      </c>
      <c r="Q1025" s="33">
        <f t="shared" si="696"/>
        <v>31.92</v>
      </c>
      <c r="R1025" s="29">
        <f t="shared" si="697"/>
        <v>38.304000000000002</v>
      </c>
      <c r="S1025" s="29">
        <f t="shared" si="702"/>
        <v>38.304000000000002</v>
      </c>
      <c r="T1025" s="35">
        <f t="shared" si="704"/>
        <v>45245</v>
      </c>
      <c r="U1025" s="27"/>
      <c r="V1025" s="27"/>
      <c r="W1025" s="160">
        <f>IF(K1025=TRUE,Q1025/I1025,Q1025)</f>
        <v>31.92</v>
      </c>
      <c r="X1025" s="31">
        <f t="shared" si="698"/>
        <v>0</v>
      </c>
      <c r="Y1025" t="b">
        <f t="shared" si="699"/>
        <v>0</v>
      </c>
      <c r="Z1025" s="161">
        <f t="shared" si="700"/>
        <v>-31.92</v>
      </c>
    </row>
    <row r="1026" spans="1:26" x14ac:dyDescent="0.25">
      <c r="A1026" s="53">
        <v>2023</v>
      </c>
      <c r="B1026" s="53">
        <v>152</v>
      </c>
      <c r="C1026" s="71" t="s">
        <v>105</v>
      </c>
      <c r="D1026" t="s">
        <v>705</v>
      </c>
      <c r="E1026"/>
      <c r="G1026" s="1">
        <v>45201</v>
      </c>
      <c r="H1026" t="s">
        <v>1404</v>
      </c>
      <c r="K1026" t="b">
        <v>0</v>
      </c>
      <c r="L1026" s="158">
        <v>10.4</v>
      </c>
      <c r="M1026" s="159">
        <v>1</v>
      </c>
      <c r="N1026">
        <v>0</v>
      </c>
      <c r="O1026" s="31">
        <f t="shared" ref="O1026:O1038" si="705">L1026*N1026/100</f>
        <v>0</v>
      </c>
      <c r="P1026" s="31">
        <f t="shared" ref="P1026:P1038" si="706">M1026*O1026</f>
        <v>0</v>
      </c>
      <c r="Q1026" s="33">
        <f t="shared" ref="Q1026:Q1038" si="707">L1026*M1026</f>
        <v>10.4</v>
      </c>
      <c r="R1026" s="29">
        <f t="shared" ref="R1026:R1038" si="708">L1026+O1026</f>
        <v>10.4</v>
      </c>
      <c r="S1026" s="29">
        <f t="shared" si="702"/>
        <v>10.4</v>
      </c>
      <c r="T1026" s="35">
        <f t="shared" si="704"/>
        <v>45275</v>
      </c>
      <c r="U1026" s="27"/>
      <c r="V1026" s="27">
        <v>20</v>
      </c>
      <c r="W1026" s="160">
        <f>IF(K1026=TRUE,Q1026/I1026,Q1026)</f>
        <v>10.4</v>
      </c>
      <c r="X1026" s="31">
        <f t="shared" ref="X1026:X1038" si="709">V1026/100*S1026</f>
        <v>2.08</v>
      </c>
      <c r="Y1026" t="b">
        <f t="shared" ref="Y1026:Y1073" si="710">IF(AND(V1026&gt;0,N1026=V1026),TRUE,FALSE)</f>
        <v>0</v>
      </c>
      <c r="Z1026" s="161">
        <f t="shared" ref="Z1026:Z1038" si="711">IF(C1026="Einnahmen",Q1026,-Q1026)</f>
        <v>-10.4</v>
      </c>
    </row>
    <row r="1027" spans="1:26" x14ac:dyDescent="0.25">
      <c r="A1027" s="53">
        <v>2023</v>
      </c>
      <c r="B1027" s="53">
        <v>153</v>
      </c>
      <c r="C1027" s="71" t="s">
        <v>105</v>
      </c>
      <c r="D1027" t="s">
        <v>689</v>
      </c>
      <c r="E1027" s="131"/>
      <c r="G1027" s="1">
        <v>45201</v>
      </c>
      <c r="H1027" t="s">
        <v>974</v>
      </c>
      <c r="K1027" t="b">
        <v>0</v>
      </c>
      <c r="L1027" s="162">
        <v>12.25</v>
      </c>
      <c r="M1027" s="159">
        <v>1</v>
      </c>
      <c r="N1027">
        <v>20</v>
      </c>
      <c r="O1027" s="31">
        <f t="shared" si="705"/>
        <v>2.4500000000000002</v>
      </c>
      <c r="P1027" s="31">
        <f t="shared" si="706"/>
        <v>2.4500000000000002</v>
      </c>
      <c r="Q1027" s="33">
        <f t="shared" si="707"/>
        <v>12.25</v>
      </c>
      <c r="R1027" s="29">
        <f t="shared" si="708"/>
        <v>14.7</v>
      </c>
      <c r="S1027" s="29">
        <f t="shared" si="702"/>
        <v>14.7</v>
      </c>
      <c r="T1027" s="35">
        <f t="shared" si="704"/>
        <v>45275</v>
      </c>
      <c r="U1027" s="27"/>
      <c r="V1027" s="27"/>
      <c r="W1027" s="160">
        <f>IF(K1027=TRUE,Q1027/J1027,Q1027)</f>
        <v>12.25</v>
      </c>
      <c r="X1027" s="31">
        <f t="shared" si="709"/>
        <v>0</v>
      </c>
      <c r="Y1027" t="b">
        <f t="shared" si="710"/>
        <v>0</v>
      </c>
      <c r="Z1027" s="161">
        <f t="shared" si="711"/>
        <v>-12.25</v>
      </c>
    </row>
    <row r="1028" spans="1:26" x14ac:dyDescent="0.25">
      <c r="A1028" s="53">
        <v>2023</v>
      </c>
      <c r="B1028" s="53">
        <v>154</v>
      </c>
      <c r="C1028" s="71" t="s">
        <v>105</v>
      </c>
      <c r="D1028" t="s">
        <v>691</v>
      </c>
      <c r="G1028" s="1">
        <v>45201</v>
      </c>
      <c r="H1028" t="s">
        <v>1113</v>
      </c>
      <c r="K1028" t="b">
        <v>0</v>
      </c>
      <c r="L1028" s="109">
        <f>213.48/1.2</f>
        <v>177.9</v>
      </c>
      <c r="M1028" s="72">
        <v>1</v>
      </c>
      <c r="N1028">
        <v>20</v>
      </c>
      <c r="O1028" s="31">
        <f t="shared" si="705"/>
        <v>35.58</v>
      </c>
      <c r="P1028" s="31">
        <f t="shared" si="706"/>
        <v>35.58</v>
      </c>
      <c r="Q1028" s="33">
        <f t="shared" si="707"/>
        <v>177.9</v>
      </c>
      <c r="R1028" s="29">
        <f t="shared" si="708"/>
        <v>213.48000000000002</v>
      </c>
      <c r="S1028" s="29">
        <f t="shared" si="702"/>
        <v>213.48000000000002</v>
      </c>
      <c r="T1028" s="35">
        <f t="shared" si="704"/>
        <v>45275</v>
      </c>
      <c r="U1028" s="27"/>
      <c r="V1028" s="27"/>
      <c r="W1028" s="58">
        <f>IF(K1028=TRUE,Q1028/J1028,Q1028)</f>
        <v>177.9</v>
      </c>
      <c r="X1028" s="31">
        <f t="shared" si="709"/>
        <v>0</v>
      </c>
      <c r="Y1028" t="b">
        <f t="shared" si="710"/>
        <v>0</v>
      </c>
      <c r="Z1028" s="78">
        <f t="shared" si="711"/>
        <v>-177.9</v>
      </c>
    </row>
    <row r="1029" spans="1:26" x14ac:dyDescent="0.25">
      <c r="A1029" s="53">
        <v>2023</v>
      </c>
      <c r="B1029" s="53">
        <v>155</v>
      </c>
      <c r="C1029" s="71" t="s">
        <v>105</v>
      </c>
      <c r="D1029" t="s">
        <v>691</v>
      </c>
      <c r="E1029"/>
      <c r="G1029" s="1">
        <v>45204</v>
      </c>
      <c r="H1029" t="s">
        <v>1558</v>
      </c>
      <c r="K1029" t="b">
        <v>0</v>
      </c>
      <c r="L1029" s="109">
        <v>108.5</v>
      </c>
      <c r="M1029" s="159">
        <v>1</v>
      </c>
      <c r="N1029">
        <v>20</v>
      </c>
      <c r="O1029" s="31">
        <f t="shared" si="705"/>
        <v>21.7</v>
      </c>
      <c r="P1029" s="31">
        <f t="shared" si="706"/>
        <v>21.7</v>
      </c>
      <c r="Q1029" s="33">
        <f t="shared" si="707"/>
        <v>108.5</v>
      </c>
      <c r="R1029" s="29">
        <f t="shared" si="708"/>
        <v>130.19999999999999</v>
      </c>
      <c r="S1029" s="29">
        <f>Q1029+P1029</f>
        <v>130.19999999999999</v>
      </c>
      <c r="T1029" s="35">
        <f>DATE(YEAR(EOMONTH(G1029,2)),MONTH(EOMONTH(G1029,2)),15)</f>
        <v>45275</v>
      </c>
      <c r="U1029" s="27"/>
      <c r="V1029" s="27"/>
      <c r="W1029" s="160">
        <f>IF(K1029=TRUE,Q1029/J1029,Q1029)</f>
        <v>108.5</v>
      </c>
      <c r="X1029" s="31">
        <f t="shared" si="709"/>
        <v>0</v>
      </c>
      <c r="Y1029" t="b">
        <f t="shared" si="710"/>
        <v>0</v>
      </c>
      <c r="Z1029" s="161">
        <f t="shared" si="711"/>
        <v>-108.5</v>
      </c>
    </row>
    <row r="1030" spans="1:26" x14ac:dyDescent="0.25">
      <c r="A1030" s="53">
        <v>2023</v>
      </c>
      <c r="B1030" s="53">
        <v>156</v>
      </c>
      <c r="C1030" s="71" t="s">
        <v>105</v>
      </c>
      <c r="D1030" t="s">
        <v>703</v>
      </c>
      <c r="E1030"/>
      <c r="G1030" s="1">
        <v>45202</v>
      </c>
      <c r="H1030" t="s">
        <v>34</v>
      </c>
      <c r="K1030" t="b">
        <f>(IF(AND(I1030&lt;&gt;"",AND(J1030="",ABS(Q1030)&gt;400)),TRUE,FALSE))</f>
        <v>0</v>
      </c>
      <c r="L1030" s="48">
        <v>10.75</v>
      </c>
      <c r="M1030" s="159">
        <v>1</v>
      </c>
      <c r="N1030">
        <v>20</v>
      </c>
      <c r="O1030" s="31">
        <f t="shared" si="705"/>
        <v>2.15</v>
      </c>
      <c r="P1030" s="31">
        <f t="shared" si="706"/>
        <v>2.15</v>
      </c>
      <c r="Q1030" s="33">
        <f t="shared" si="707"/>
        <v>10.75</v>
      </c>
      <c r="R1030" s="29">
        <f t="shared" si="708"/>
        <v>12.9</v>
      </c>
      <c r="S1030" s="29">
        <f>Q1030+P1030</f>
        <v>12.9</v>
      </c>
      <c r="T1030" s="35">
        <f t="shared" ref="T1030:T1037" si="712">DATE(YEAR(EOMONTH(G1030,2)),MONTH(EOMONTH(G1030,2)),15)</f>
        <v>45275</v>
      </c>
      <c r="U1030" s="27"/>
      <c r="V1030" s="27"/>
      <c r="W1030" s="160">
        <f>IF(K1030=TRUE,Q1030/I1030,Q1030)</f>
        <v>10.75</v>
      </c>
      <c r="X1030" s="31">
        <f t="shared" si="709"/>
        <v>0</v>
      </c>
      <c r="Y1030" t="b">
        <f t="shared" si="710"/>
        <v>0</v>
      </c>
      <c r="Z1030" s="161">
        <f t="shared" si="711"/>
        <v>-10.75</v>
      </c>
    </row>
    <row r="1031" spans="1:26" x14ac:dyDescent="0.25">
      <c r="A1031" s="53">
        <v>2023</v>
      </c>
      <c r="B1031" s="53">
        <v>157</v>
      </c>
      <c r="C1031" s="71" t="s">
        <v>105</v>
      </c>
      <c r="D1031" t="s">
        <v>705</v>
      </c>
      <c r="E1031" s="61" t="s">
        <v>1064</v>
      </c>
      <c r="G1031" s="1">
        <v>45204</v>
      </c>
      <c r="H1031" t="s">
        <v>1670</v>
      </c>
      <c r="K1031" t="b">
        <f>(IF(AND(I1031&lt;&gt;"",AND(J1031="",ABS(Q1031)&gt;400)),TRUE,FALSE))</f>
        <v>0</v>
      </c>
      <c r="L1031" s="162">
        <v>5</v>
      </c>
      <c r="M1031" s="159">
        <v>1</v>
      </c>
      <c r="N1031">
        <v>20</v>
      </c>
      <c r="O1031" s="31">
        <f t="shared" si="705"/>
        <v>1</v>
      </c>
      <c r="P1031" s="31">
        <f t="shared" si="706"/>
        <v>1</v>
      </c>
      <c r="Q1031" s="33">
        <f t="shared" si="707"/>
        <v>5</v>
      </c>
      <c r="R1031" s="29">
        <f t="shared" si="708"/>
        <v>6</v>
      </c>
      <c r="S1031" s="29">
        <f>Q1031+P1031</f>
        <v>6</v>
      </c>
      <c r="T1031" s="35">
        <f t="shared" si="712"/>
        <v>45275</v>
      </c>
      <c r="U1031" s="27"/>
      <c r="V1031" s="27"/>
      <c r="W1031" s="160">
        <f>IF(K1031=TRUE,Q1031/J1031,Q1031)</f>
        <v>5</v>
      </c>
      <c r="X1031" s="31">
        <f t="shared" si="709"/>
        <v>0</v>
      </c>
      <c r="Y1031" t="b">
        <f t="shared" si="710"/>
        <v>0</v>
      </c>
      <c r="Z1031" s="161">
        <f t="shared" si="711"/>
        <v>-5</v>
      </c>
    </row>
    <row r="1032" spans="1:26" x14ac:dyDescent="0.25">
      <c r="A1032" s="53">
        <v>2023</v>
      </c>
      <c r="B1032" s="53">
        <v>158</v>
      </c>
      <c r="C1032" s="71" t="s">
        <v>105</v>
      </c>
      <c r="D1032" t="s">
        <v>705</v>
      </c>
      <c r="E1032" s="61" t="s">
        <v>1064</v>
      </c>
      <c r="G1032" s="1">
        <v>45209</v>
      </c>
      <c r="H1032" t="s">
        <v>1466</v>
      </c>
      <c r="K1032" t="b">
        <f t="shared" ref="K1032:K1037" si="713">(IF(AND(I1032&lt;&gt;"",AND(J1032="",ABS(Q1032)&gt;400)),TRUE,FALSE))</f>
        <v>0</v>
      </c>
      <c r="L1032" s="162">
        <v>12</v>
      </c>
      <c r="M1032" s="159">
        <v>1</v>
      </c>
      <c r="N1032">
        <v>20</v>
      </c>
      <c r="O1032" s="31">
        <f t="shared" si="705"/>
        <v>2.4</v>
      </c>
      <c r="P1032" s="31">
        <f t="shared" si="706"/>
        <v>2.4</v>
      </c>
      <c r="Q1032" s="33">
        <f t="shared" si="707"/>
        <v>12</v>
      </c>
      <c r="R1032" s="29">
        <f t="shared" si="708"/>
        <v>14.4</v>
      </c>
      <c r="S1032" s="29">
        <f t="shared" ref="S1032:S1038" si="714">Q1032+P1032</f>
        <v>14.4</v>
      </c>
      <c r="T1032" s="35">
        <f t="shared" si="712"/>
        <v>45275</v>
      </c>
      <c r="U1032" s="27"/>
      <c r="V1032" s="27"/>
      <c r="W1032" s="160">
        <f>IF(K1032=TRUE,Q1032/J1032,Q1032)</f>
        <v>12</v>
      </c>
      <c r="X1032" s="31">
        <f t="shared" si="709"/>
        <v>0</v>
      </c>
      <c r="Y1032" t="b">
        <f t="shared" si="710"/>
        <v>0</v>
      </c>
      <c r="Z1032" s="161">
        <f t="shared" si="711"/>
        <v>-12</v>
      </c>
    </row>
    <row r="1033" spans="1:26" x14ac:dyDescent="0.25">
      <c r="A1033" s="53">
        <v>2023</v>
      </c>
      <c r="B1033" s="53">
        <v>159</v>
      </c>
      <c r="C1033" s="71" t="s">
        <v>105</v>
      </c>
      <c r="D1033" t="s">
        <v>705</v>
      </c>
      <c r="G1033" s="1">
        <v>45211</v>
      </c>
      <c r="H1033" t="s">
        <v>927</v>
      </c>
      <c r="K1033" t="b">
        <f t="shared" si="713"/>
        <v>0</v>
      </c>
      <c r="L1033" s="162">
        <v>52.214100000000002</v>
      </c>
      <c r="M1033" s="159">
        <v>1</v>
      </c>
      <c r="N1033">
        <v>0</v>
      </c>
      <c r="O1033" s="31">
        <f t="shared" si="705"/>
        <v>0</v>
      </c>
      <c r="P1033" s="31">
        <f t="shared" si="706"/>
        <v>0</v>
      </c>
      <c r="Q1033" s="33">
        <f t="shared" si="707"/>
        <v>52.214100000000002</v>
      </c>
      <c r="R1033" s="29">
        <f t="shared" si="708"/>
        <v>52.214100000000002</v>
      </c>
      <c r="S1033" s="29">
        <f t="shared" si="714"/>
        <v>52.214100000000002</v>
      </c>
      <c r="T1033" s="35">
        <f t="shared" si="712"/>
        <v>45275</v>
      </c>
      <c r="U1033" s="27"/>
      <c r="V1033" s="27">
        <v>20</v>
      </c>
      <c r="W1033" s="160">
        <f>IF(K1033=TRUE,Q1033/J1033,Q1033)</f>
        <v>52.214100000000002</v>
      </c>
      <c r="X1033" s="31">
        <f t="shared" si="709"/>
        <v>10.442820000000001</v>
      </c>
      <c r="Y1033" t="b">
        <f t="shared" si="710"/>
        <v>0</v>
      </c>
      <c r="Z1033" s="161">
        <f t="shared" si="711"/>
        <v>-52.214100000000002</v>
      </c>
    </row>
    <row r="1034" spans="1:26" x14ac:dyDescent="0.25">
      <c r="A1034" s="53">
        <v>2023</v>
      </c>
      <c r="B1034" s="53">
        <v>160</v>
      </c>
      <c r="C1034" s="71" t="s">
        <v>105</v>
      </c>
      <c r="D1034" t="s">
        <v>685</v>
      </c>
      <c r="E1034" s="9" t="s">
        <v>1699</v>
      </c>
      <c r="G1034" s="1">
        <v>45215</v>
      </c>
      <c r="H1034" t="s">
        <v>1689</v>
      </c>
      <c r="K1034" t="b">
        <f t="shared" si="713"/>
        <v>0</v>
      </c>
      <c r="L1034" s="162">
        <v>365</v>
      </c>
      <c r="M1034" s="159">
        <v>1</v>
      </c>
      <c r="N1034">
        <v>0</v>
      </c>
      <c r="O1034" s="31">
        <f t="shared" si="705"/>
        <v>0</v>
      </c>
      <c r="P1034" s="31">
        <f t="shared" si="706"/>
        <v>0</v>
      </c>
      <c r="Q1034" s="33">
        <f t="shared" si="707"/>
        <v>365</v>
      </c>
      <c r="R1034" s="29">
        <f t="shared" si="708"/>
        <v>365</v>
      </c>
      <c r="S1034" s="29">
        <f t="shared" si="714"/>
        <v>365</v>
      </c>
      <c r="T1034" s="35">
        <f t="shared" si="712"/>
        <v>45275</v>
      </c>
      <c r="U1034" s="27"/>
      <c r="V1034" s="27"/>
      <c r="W1034" s="160">
        <f>IF(K1034=TRUE,Q1034/J1034,Q1034)</f>
        <v>365</v>
      </c>
      <c r="X1034" s="31">
        <f t="shared" si="709"/>
        <v>0</v>
      </c>
      <c r="Y1034" t="b">
        <f t="shared" si="710"/>
        <v>0</v>
      </c>
      <c r="Z1034" s="161">
        <f t="shared" si="711"/>
        <v>-365</v>
      </c>
    </row>
    <row r="1035" spans="1:26" x14ac:dyDescent="0.25">
      <c r="A1035" s="53">
        <v>2023</v>
      </c>
      <c r="B1035" s="53">
        <v>161</v>
      </c>
      <c r="C1035" s="71" t="s">
        <v>105</v>
      </c>
      <c r="D1035" t="s">
        <v>705</v>
      </c>
      <c r="E1035" s="1"/>
      <c r="G1035" s="1">
        <v>45219</v>
      </c>
      <c r="H1035" t="s">
        <v>1032</v>
      </c>
      <c r="K1035" t="b">
        <f t="shared" si="713"/>
        <v>0</v>
      </c>
      <c r="L1035" s="158">
        <v>10.5</v>
      </c>
      <c r="M1035" s="159">
        <v>1</v>
      </c>
      <c r="N1035">
        <v>0</v>
      </c>
      <c r="O1035" s="31">
        <f t="shared" si="705"/>
        <v>0</v>
      </c>
      <c r="P1035" s="31">
        <f t="shared" si="706"/>
        <v>0</v>
      </c>
      <c r="Q1035" s="33">
        <f t="shared" si="707"/>
        <v>10.5</v>
      </c>
      <c r="R1035" s="29">
        <f t="shared" si="708"/>
        <v>10.5</v>
      </c>
      <c r="S1035" s="29">
        <f t="shared" si="714"/>
        <v>10.5</v>
      </c>
      <c r="T1035" s="35">
        <f t="shared" si="712"/>
        <v>45275</v>
      </c>
      <c r="U1035" s="27"/>
      <c r="V1035" s="27">
        <v>20</v>
      </c>
      <c r="W1035" s="160">
        <f>IF(K1035=TRUE,Q1035/J1035,Q1035)</f>
        <v>10.5</v>
      </c>
      <c r="X1035" s="31">
        <f t="shared" si="709"/>
        <v>2.1</v>
      </c>
      <c r="Y1035" t="b">
        <f t="shared" si="710"/>
        <v>0</v>
      </c>
      <c r="Z1035" s="161">
        <f t="shared" si="711"/>
        <v>-10.5</v>
      </c>
    </row>
    <row r="1036" spans="1:26" x14ac:dyDescent="0.25">
      <c r="A1036" s="53">
        <v>2023</v>
      </c>
      <c r="B1036" s="53">
        <v>162</v>
      </c>
      <c r="C1036" s="71" t="s">
        <v>105</v>
      </c>
      <c r="D1036" t="s">
        <v>703</v>
      </c>
      <c r="E1036" s="131"/>
      <c r="G1036" s="1">
        <v>45219</v>
      </c>
      <c r="H1036" t="s">
        <v>1148</v>
      </c>
      <c r="K1036" t="b">
        <f t="shared" si="713"/>
        <v>0</v>
      </c>
      <c r="L1036" s="162">
        <v>31.92</v>
      </c>
      <c r="M1036" s="159">
        <v>1</v>
      </c>
      <c r="N1036">
        <v>20</v>
      </c>
      <c r="O1036" s="31">
        <f t="shared" si="705"/>
        <v>6.3840000000000012</v>
      </c>
      <c r="P1036" s="31">
        <f t="shared" si="706"/>
        <v>6.3840000000000012</v>
      </c>
      <c r="Q1036" s="33">
        <f t="shared" si="707"/>
        <v>31.92</v>
      </c>
      <c r="R1036" s="29">
        <f t="shared" si="708"/>
        <v>38.304000000000002</v>
      </c>
      <c r="S1036" s="29">
        <f t="shared" si="714"/>
        <v>38.304000000000002</v>
      </c>
      <c r="T1036" s="35">
        <f t="shared" si="712"/>
        <v>45275</v>
      </c>
      <c r="U1036" s="27"/>
      <c r="V1036" s="27"/>
      <c r="W1036" s="160">
        <f>IF(K1036=TRUE,Q1036/I1036,Q1036)</f>
        <v>31.92</v>
      </c>
      <c r="X1036" s="31">
        <f t="shared" si="709"/>
        <v>0</v>
      </c>
      <c r="Y1036" t="b">
        <f t="shared" si="710"/>
        <v>0</v>
      </c>
      <c r="Z1036" s="161">
        <f t="shared" si="711"/>
        <v>-31.92</v>
      </c>
    </row>
    <row r="1037" spans="1:26" x14ac:dyDescent="0.25">
      <c r="A1037" s="53">
        <v>2023</v>
      </c>
      <c r="B1037" s="53">
        <v>163</v>
      </c>
      <c r="C1037" s="71" t="s">
        <v>708</v>
      </c>
      <c r="D1037" t="s">
        <v>709</v>
      </c>
      <c r="E1037" s="39">
        <v>12023018</v>
      </c>
      <c r="G1037" s="1">
        <v>45219</v>
      </c>
      <c r="H1037" t="s">
        <v>1652</v>
      </c>
      <c r="K1037" t="b">
        <f t="shared" si="713"/>
        <v>0</v>
      </c>
      <c r="L1037" s="162">
        <v>11969.63</v>
      </c>
      <c r="M1037" s="159">
        <v>1</v>
      </c>
      <c r="N1037">
        <v>20</v>
      </c>
      <c r="O1037" s="31">
        <f t="shared" si="705"/>
        <v>2393.9259999999999</v>
      </c>
      <c r="P1037" s="31">
        <f t="shared" si="706"/>
        <v>2393.9259999999999</v>
      </c>
      <c r="Q1037" s="33">
        <f t="shared" si="707"/>
        <v>11969.63</v>
      </c>
      <c r="R1037" s="29">
        <f t="shared" si="708"/>
        <v>14363.555999999999</v>
      </c>
      <c r="S1037" s="29">
        <f t="shared" si="714"/>
        <v>14363.555999999999</v>
      </c>
      <c r="T1037" s="35">
        <f t="shared" si="712"/>
        <v>45275</v>
      </c>
      <c r="U1037" s="27"/>
      <c r="V1037" s="27"/>
      <c r="W1037" s="160">
        <f>IF(K1037=TRUE,Q1037/J1037,Q1037)</f>
        <v>11969.63</v>
      </c>
      <c r="X1037" s="31">
        <f t="shared" si="709"/>
        <v>0</v>
      </c>
      <c r="Y1037" t="b">
        <f t="shared" si="710"/>
        <v>0</v>
      </c>
      <c r="Z1037" s="161">
        <f t="shared" si="711"/>
        <v>11969.63</v>
      </c>
    </row>
    <row r="1038" spans="1:26" x14ac:dyDescent="0.25">
      <c r="A1038" s="53">
        <v>2023</v>
      </c>
      <c r="B1038" s="53">
        <v>164</v>
      </c>
      <c r="C1038" s="71" t="s">
        <v>105</v>
      </c>
      <c r="D1038" t="s">
        <v>692</v>
      </c>
      <c r="G1038" s="1">
        <v>45226</v>
      </c>
      <c r="H1038" t="s">
        <v>1595</v>
      </c>
      <c r="K1038" t="b">
        <v>0</v>
      </c>
      <c r="L1038" s="48">
        <v>20.28</v>
      </c>
      <c r="M1038" s="72">
        <v>1</v>
      </c>
      <c r="N1038">
        <v>0</v>
      </c>
      <c r="O1038" s="31">
        <f t="shared" si="705"/>
        <v>0</v>
      </c>
      <c r="P1038" s="31">
        <f t="shared" si="706"/>
        <v>0</v>
      </c>
      <c r="Q1038" s="33">
        <f t="shared" si="707"/>
        <v>20.28</v>
      </c>
      <c r="R1038" s="29">
        <f t="shared" si="708"/>
        <v>20.28</v>
      </c>
      <c r="S1038" s="29">
        <f t="shared" si="714"/>
        <v>20.28</v>
      </c>
      <c r="T1038" s="35">
        <f>voranmeldefrist_vierteljaehrlich(G1038)</f>
        <v>45337</v>
      </c>
      <c r="U1038" s="27"/>
      <c r="V1038" s="27">
        <v>20</v>
      </c>
      <c r="W1038" s="58">
        <f>IF(K1038=TRUE,Q1038/J1038,Q1038)</f>
        <v>20.28</v>
      </c>
      <c r="X1038" s="31">
        <f t="shared" si="709"/>
        <v>4.056</v>
      </c>
      <c r="Y1038" t="b">
        <f t="shared" si="710"/>
        <v>0</v>
      </c>
      <c r="Z1038" s="78">
        <f t="shared" si="711"/>
        <v>-20.28</v>
      </c>
    </row>
    <row r="1039" spans="1:26" x14ac:dyDescent="0.25">
      <c r="A1039" s="53">
        <v>2023</v>
      </c>
      <c r="B1039" s="53">
        <v>165</v>
      </c>
      <c r="C1039" s="71" t="s">
        <v>105</v>
      </c>
      <c r="D1039" t="s">
        <v>703</v>
      </c>
      <c r="G1039" s="1">
        <v>45230</v>
      </c>
      <c r="H1039" t="s">
        <v>1775</v>
      </c>
      <c r="K1039" t="b">
        <v>0</v>
      </c>
      <c r="L1039" s="48">
        <v>16.579999999999998</v>
      </c>
      <c r="M1039" s="72">
        <v>1</v>
      </c>
      <c r="N1039">
        <v>0</v>
      </c>
      <c r="O1039" s="31">
        <f t="shared" ref="O1039:O1073" si="715">L1039*N1039/100</f>
        <v>0</v>
      </c>
      <c r="P1039" s="31">
        <f t="shared" ref="P1039:P1073" si="716">M1039*O1039</f>
        <v>0</v>
      </c>
      <c r="Q1039" s="33">
        <f t="shared" ref="Q1039:Q1073" si="717">L1039*M1039</f>
        <v>16.579999999999998</v>
      </c>
      <c r="R1039" s="29">
        <f t="shared" ref="R1039:R1073" si="718">L1039+O1039</f>
        <v>16.579999999999998</v>
      </c>
      <c r="S1039" s="29">
        <f t="shared" ref="S1039:S1073" si="719">Q1039+P1039</f>
        <v>16.579999999999998</v>
      </c>
      <c r="T1039" s="35">
        <f>voranmeldefrist_vierteljaehrlich(G1039)</f>
        <v>45337</v>
      </c>
      <c r="U1039" s="27"/>
      <c r="V1039" s="27">
        <v>20</v>
      </c>
      <c r="W1039" s="58">
        <f>IF(K1039=TRUE,Q1039/J1039,Q1039)</f>
        <v>16.579999999999998</v>
      </c>
      <c r="X1039" s="31">
        <f t="shared" ref="X1039:X1073" si="720">V1039/100*S1039</f>
        <v>3.3159999999999998</v>
      </c>
      <c r="Y1039" t="b">
        <f t="shared" si="710"/>
        <v>0</v>
      </c>
      <c r="Z1039" s="78">
        <f t="shared" ref="Z1039:Z1073" si="721">IF(C1039="Einnahmen",Q1039,-Q1039)</f>
        <v>-16.579999999999998</v>
      </c>
    </row>
    <row r="1040" spans="1:26" x14ac:dyDescent="0.25">
      <c r="A1040" s="53">
        <v>2023</v>
      </c>
      <c r="B1040" s="53">
        <v>166</v>
      </c>
      <c r="C1040" s="71" t="s">
        <v>105</v>
      </c>
      <c r="D1040" t="s">
        <v>689</v>
      </c>
      <c r="E1040" s="131"/>
      <c r="G1040" s="1">
        <v>45232</v>
      </c>
      <c r="H1040" t="s">
        <v>974</v>
      </c>
      <c r="K1040" t="b">
        <v>0</v>
      </c>
      <c r="L1040" s="162">
        <v>18.55</v>
      </c>
      <c r="M1040" s="159">
        <v>1</v>
      </c>
      <c r="N1040">
        <v>20</v>
      </c>
      <c r="O1040" s="31">
        <f t="shared" si="715"/>
        <v>3.71</v>
      </c>
      <c r="P1040" s="31">
        <f t="shared" si="716"/>
        <v>3.71</v>
      </c>
      <c r="Q1040" s="33">
        <f t="shared" si="717"/>
        <v>18.55</v>
      </c>
      <c r="R1040" s="29">
        <f t="shared" si="718"/>
        <v>22.26</v>
      </c>
      <c r="S1040" s="29">
        <f t="shared" si="719"/>
        <v>22.26</v>
      </c>
      <c r="T1040" s="35">
        <f t="shared" ref="T1040:T1054" si="722">DATE(YEAR(EOMONTH(G1040,2)),MONTH(EOMONTH(G1040,2)),15)</f>
        <v>45306</v>
      </c>
      <c r="U1040" s="27"/>
      <c r="V1040" s="27"/>
      <c r="W1040" s="160">
        <f>IF(K1040=TRUE,Q1040/J1040,Q1040)</f>
        <v>18.55</v>
      </c>
      <c r="X1040" s="31">
        <f t="shared" si="720"/>
        <v>0</v>
      </c>
      <c r="Y1040" t="b">
        <f t="shared" si="710"/>
        <v>0</v>
      </c>
      <c r="Z1040" s="161">
        <f t="shared" si="721"/>
        <v>-18.55</v>
      </c>
    </row>
    <row r="1041" spans="1:26" x14ac:dyDescent="0.25">
      <c r="A1041" s="53">
        <v>2023</v>
      </c>
      <c r="B1041" s="53">
        <v>167</v>
      </c>
      <c r="C1041" s="71" t="s">
        <v>105</v>
      </c>
      <c r="D1041" t="s">
        <v>691</v>
      </c>
      <c r="G1041" s="1">
        <v>45232</v>
      </c>
      <c r="H1041" t="s">
        <v>1113</v>
      </c>
      <c r="K1041" t="b">
        <v>0</v>
      </c>
      <c r="L1041" s="109">
        <f>639.73/1.2</f>
        <v>533.10833333333335</v>
      </c>
      <c r="M1041" s="72">
        <v>1</v>
      </c>
      <c r="N1041">
        <v>20</v>
      </c>
      <c r="O1041" s="31">
        <f t="shared" si="715"/>
        <v>106.62166666666668</v>
      </c>
      <c r="P1041" s="31">
        <f t="shared" si="716"/>
        <v>106.62166666666668</v>
      </c>
      <c r="Q1041" s="33">
        <f t="shared" si="717"/>
        <v>533.10833333333335</v>
      </c>
      <c r="R1041" s="29">
        <f t="shared" si="718"/>
        <v>639.73</v>
      </c>
      <c r="S1041" s="29">
        <f t="shared" si="719"/>
        <v>639.73</v>
      </c>
      <c r="T1041" s="35">
        <f t="shared" si="722"/>
        <v>45306</v>
      </c>
      <c r="U1041" s="27"/>
      <c r="V1041" s="27"/>
      <c r="W1041" s="58">
        <f>IF(K1041=TRUE,Q1041/J1041,Q1041)</f>
        <v>533.10833333333335</v>
      </c>
      <c r="X1041" s="31">
        <f t="shared" si="720"/>
        <v>0</v>
      </c>
      <c r="Y1041" t="b">
        <f t="shared" si="710"/>
        <v>0</v>
      </c>
      <c r="Z1041" s="78">
        <f t="shared" si="721"/>
        <v>-533.10833333333335</v>
      </c>
    </row>
    <row r="1042" spans="1:26" x14ac:dyDescent="0.25">
      <c r="A1042" s="53">
        <v>2023</v>
      </c>
      <c r="B1042" s="53">
        <v>168</v>
      </c>
      <c r="C1042" s="71" t="s">
        <v>105</v>
      </c>
      <c r="D1042" t="s">
        <v>705</v>
      </c>
      <c r="E1042"/>
      <c r="G1042" s="1">
        <v>45232</v>
      </c>
      <c r="H1042" t="s">
        <v>1404</v>
      </c>
      <c r="K1042" t="b">
        <v>0</v>
      </c>
      <c r="L1042" s="158">
        <v>10.4</v>
      </c>
      <c r="M1042" s="159">
        <v>1</v>
      </c>
      <c r="N1042">
        <v>0</v>
      </c>
      <c r="O1042" s="31">
        <f t="shared" si="715"/>
        <v>0</v>
      </c>
      <c r="P1042" s="31">
        <f t="shared" si="716"/>
        <v>0</v>
      </c>
      <c r="Q1042" s="33">
        <f t="shared" si="717"/>
        <v>10.4</v>
      </c>
      <c r="R1042" s="29">
        <f t="shared" si="718"/>
        <v>10.4</v>
      </c>
      <c r="S1042" s="29">
        <f t="shared" si="719"/>
        <v>10.4</v>
      </c>
      <c r="T1042" s="35">
        <f t="shared" si="722"/>
        <v>45306</v>
      </c>
      <c r="U1042" s="27"/>
      <c r="V1042" s="27">
        <v>20</v>
      </c>
      <c r="W1042" s="160">
        <f>IF(K1042=TRUE,Q1042/I1042,Q1042)</f>
        <v>10.4</v>
      </c>
      <c r="X1042" s="31">
        <f t="shared" si="720"/>
        <v>2.08</v>
      </c>
      <c r="Y1042" t="b">
        <f t="shared" si="710"/>
        <v>0</v>
      </c>
      <c r="Z1042" s="161">
        <f t="shared" si="721"/>
        <v>-10.4</v>
      </c>
    </row>
    <row r="1043" spans="1:26" x14ac:dyDescent="0.25">
      <c r="A1043" s="53">
        <v>2023</v>
      </c>
      <c r="B1043" s="53">
        <v>169</v>
      </c>
      <c r="C1043" s="71" t="s">
        <v>105</v>
      </c>
      <c r="D1043" t="s">
        <v>703</v>
      </c>
      <c r="E1043"/>
      <c r="G1043" s="1">
        <v>45236</v>
      </c>
      <c r="H1043" t="s">
        <v>34</v>
      </c>
      <c r="K1043" t="b">
        <f>(IF(AND(I1043&lt;&gt;"",AND(J1043="",ABS(Q1043)&gt;400)),TRUE,FALSE))</f>
        <v>0</v>
      </c>
      <c r="L1043" s="48">
        <v>10.75</v>
      </c>
      <c r="M1043" s="159">
        <v>1</v>
      </c>
      <c r="N1043">
        <v>20</v>
      </c>
      <c r="O1043" s="31">
        <f t="shared" si="715"/>
        <v>2.15</v>
      </c>
      <c r="P1043" s="31">
        <f t="shared" si="716"/>
        <v>2.15</v>
      </c>
      <c r="Q1043" s="33">
        <f t="shared" si="717"/>
        <v>10.75</v>
      </c>
      <c r="R1043" s="29">
        <f t="shared" si="718"/>
        <v>12.9</v>
      </c>
      <c r="S1043" s="29">
        <f t="shared" si="719"/>
        <v>12.9</v>
      </c>
      <c r="T1043" s="35">
        <f t="shared" si="722"/>
        <v>45306</v>
      </c>
      <c r="U1043" s="27"/>
      <c r="V1043" s="27"/>
      <c r="W1043" s="160">
        <f>IF(K1043=TRUE,Q1043/I1043,Q1043)</f>
        <v>10.75</v>
      </c>
      <c r="X1043" s="31">
        <f t="shared" si="720"/>
        <v>0</v>
      </c>
      <c r="Y1043" t="b">
        <f t="shared" si="710"/>
        <v>0</v>
      </c>
      <c r="Z1043" s="161">
        <f t="shared" si="721"/>
        <v>-10.75</v>
      </c>
    </row>
    <row r="1044" spans="1:26" x14ac:dyDescent="0.25">
      <c r="A1044" s="53">
        <v>2023</v>
      </c>
      <c r="B1044" s="53">
        <v>170</v>
      </c>
      <c r="C1044" s="71" t="s">
        <v>105</v>
      </c>
      <c r="D1044" t="s">
        <v>691</v>
      </c>
      <c r="E1044"/>
      <c r="G1044" s="1">
        <v>45236</v>
      </c>
      <c r="H1044" t="s">
        <v>1558</v>
      </c>
      <c r="K1044" t="b">
        <v>0</v>
      </c>
      <c r="L1044" s="109">
        <v>108.5</v>
      </c>
      <c r="M1044" s="159">
        <v>1</v>
      </c>
      <c r="N1044">
        <v>20</v>
      </c>
      <c r="O1044" s="31">
        <f t="shared" si="715"/>
        <v>21.7</v>
      </c>
      <c r="P1044" s="31">
        <f t="shared" si="716"/>
        <v>21.7</v>
      </c>
      <c r="Q1044" s="33">
        <f t="shared" si="717"/>
        <v>108.5</v>
      </c>
      <c r="R1044" s="29">
        <f t="shared" si="718"/>
        <v>130.19999999999999</v>
      </c>
      <c r="S1044" s="29">
        <f t="shared" si="719"/>
        <v>130.19999999999999</v>
      </c>
      <c r="T1044" s="35">
        <f t="shared" si="722"/>
        <v>45306</v>
      </c>
      <c r="U1044" s="27"/>
      <c r="V1044" s="27"/>
      <c r="W1044" s="160">
        <f>IF(K1044=TRUE,Q1044/J1044,Q1044)</f>
        <v>108.5</v>
      </c>
      <c r="X1044" s="31">
        <f t="shared" si="720"/>
        <v>0</v>
      </c>
      <c r="Y1044" t="b">
        <f t="shared" si="710"/>
        <v>0</v>
      </c>
      <c r="Z1044" s="161">
        <f t="shared" si="721"/>
        <v>-108.5</v>
      </c>
    </row>
    <row r="1045" spans="1:26" x14ac:dyDescent="0.25">
      <c r="A1045" s="53">
        <v>2023</v>
      </c>
      <c r="B1045" s="53">
        <v>171</v>
      </c>
      <c r="C1045" s="71" t="s">
        <v>105</v>
      </c>
      <c r="D1045" t="s">
        <v>705</v>
      </c>
      <c r="E1045" s="61" t="s">
        <v>1064</v>
      </c>
      <c r="G1045" s="1">
        <v>45236</v>
      </c>
      <c r="H1045" t="s">
        <v>1670</v>
      </c>
      <c r="K1045" t="b">
        <f>(IF(AND(I1045&lt;&gt;"",AND(J1045="",ABS(Q1045)&gt;400)),TRUE,FALSE))</f>
        <v>0</v>
      </c>
      <c r="L1045" s="162">
        <v>5</v>
      </c>
      <c r="M1045" s="159">
        <v>1</v>
      </c>
      <c r="N1045">
        <v>20</v>
      </c>
      <c r="O1045" s="31">
        <f t="shared" si="715"/>
        <v>1</v>
      </c>
      <c r="P1045" s="31">
        <f t="shared" si="716"/>
        <v>1</v>
      </c>
      <c r="Q1045" s="33">
        <f t="shared" si="717"/>
        <v>5</v>
      </c>
      <c r="R1045" s="29">
        <f t="shared" si="718"/>
        <v>6</v>
      </c>
      <c r="S1045" s="29">
        <f t="shared" si="719"/>
        <v>6</v>
      </c>
      <c r="T1045" s="35">
        <f t="shared" si="722"/>
        <v>45306</v>
      </c>
      <c r="U1045" s="27"/>
      <c r="V1045" s="27"/>
      <c r="W1045" s="160">
        <f>IF(K1045=TRUE,Q1045/J1045,Q1045)</f>
        <v>5</v>
      </c>
      <c r="X1045" s="31">
        <f t="shared" si="720"/>
        <v>0</v>
      </c>
      <c r="Y1045" t="b">
        <f t="shared" si="710"/>
        <v>0</v>
      </c>
      <c r="Z1045" s="161">
        <f t="shared" si="721"/>
        <v>-5</v>
      </c>
    </row>
    <row r="1046" spans="1:26" x14ac:dyDescent="0.25">
      <c r="A1046" s="53">
        <v>2023</v>
      </c>
      <c r="B1046" s="53">
        <v>172</v>
      </c>
      <c r="C1046" s="71" t="s">
        <v>105</v>
      </c>
      <c r="D1046" t="s">
        <v>339</v>
      </c>
      <c r="G1046" s="1">
        <v>45237</v>
      </c>
      <c r="H1046" t="s">
        <v>979</v>
      </c>
      <c r="K1046" t="b">
        <v>0</v>
      </c>
      <c r="L1046" s="158">
        <f>20.3/1.2</f>
        <v>16.916666666666668</v>
      </c>
      <c r="M1046" s="159">
        <v>1</v>
      </c>
      <c r="N1046">
        <v>20</v>
      </c>
      <c r="O1046" s="31">
        <f t="shared" si="715"/>
        <v>3.3833333333333337</v>
      </c>
      <c r="P1046" s="31">
        <f t="shared" si="716"/>
        <v>3.3833333333333337</v>
      </c>
      <c r="Q1046" s="33">
        <f t="shared" si="717"/>
        <v>16.916666666666668</v>
      </c>
      <c r="R1046" s="29">
        <f t="shared" si="718"/>
        <v>20.3</v>
      </c>
      <c r="S1046" s="29">
        <f t="shared" si="719"/>
        <v>20.3</v>
      </c>
      <c r="T1046" s="35">
        <f t="shared" si="722"/>
        <v>45306</v>
      </c>
      <c r="U1046" s="27"/>
      <c r="V1046" s="27"/>
      <c r="W1046" s="160">
        <f>IF(K1046=TRUE,Q1046/I1046,Q1046)</f>
        <v>16.916666666666668</v>
      </c>
      <c r="X1046" s="31">
        <f t="shared" si="720"/>
        <v>0</v>
      </c>
      <c r="Y1046" t="b">
        <f t="shared" si="710"/>
        <v>0</v>
      </c>
      <c r="Z1046" s="161">
        <f t="shared" si="721"/>
        <v>-16.916666666666668</v>
      </c>
    </row>
    <row r="1047" spans="1:26" x14ac:dyDescent="0.25">
      <c r="A1047" s="53">
        <v>2023</v>
      </c>
      <c r="B1047" s="53">
        <v>173</v>
      </c>
      <c r="C1047" s="71" t="s">
        <v>105</v>
      </c>
      <c r="D1047" t="s">
        <v>339</v>
      </c>
      <c r="G1047" s="1">
        <v>45238</v>
      </c>
      <c r="H1047" t="s">
        <v>979</v>
      </c>
      <c r="K1047" t="b">
        <v>0</v>
      </c>
      <c r="L1047" s="158">
        <v>50.34</v>
      </c>
      <c r="M1047" s="159">
        <v>1</v>
      </c>
      <c r="N1047">
        <v>20</v>
      </c>
      <c r="O1047" s="31">
        <f t="shared" si="715"/>
        <v>10.068000000000001</v>
      </c>
      <c r="P1047" s="31">
        <f t="shared" si="716"/>
        <v>10.068000000000001</v>
      </c>
      <c r="Q1047" s="33">
        <f t="shared" si="717"/>
        <v>50.34</v>
      </c>
      <c r="R1047" s="29">
        <f t="shared" si="718"/>
        <v>60.408000000000001</v>
      </c>
      <c r="S1047" s="29">
        <f t="shared" si="719"/>
        <v>60.408000000000001</v>
      </c>
      <c r="T1047" s="35">
        <f t="shared" si="722"/>
        <v>45306</v>
      </c>
      <c r="U1047" s="27"/>
      <c r="V1047" s="27"/>
      <c r="W1047" s="160">
        <f>IF(K1047=TRUE,Q1047/I1047,Q1047)</f>
        <v>50.34</v>
      </c>
      <c r="X1047" s="31">
        <f t="shared" si="720"/>
        <v>0</v>
      </c>
      <c r="Y1047" t="b">
        <f t="shared" si="710"/>
        <v>0</v>
      </c>
      <c r="Z1047" s="161">
        <f t="shared" si="721"/>
        <v>-50.34</v>
      </c>
    </row>
    <row r="1048" spans="1:26" x14ac:dyDescent="0.25">
      <c r="A1048" s="53">
        <v>2023</v>
      </c>
      <c r="B1048" s="53">
        <v>174</v>
      </c>
      <c r="C1048" s="71" t="s">
        <v>105</v>
      </c>
      <c r="D1048" t="s">
        <v>339</v>
      </c>
      <c r="G1048" s="1">
        <v>45240</v>
      </c>
      <c r="H1048" t="s">
        <v>979</v>
      </c>
      <c r="K1048" t="b">
        <v>0</v>
      </c>
      <c r="L1048" s="158">
        <v>16.079999999999998</v>
      </c>
      <c r="M1048" s="159">
        <v>1</v>
      </c>
      <c r="N1048">
        <v>20</v>
      </c>
      <c r="O1048" s="31">
        <f t="shared" si="715"/>
        <v>3.2159999999999997</v>
      </c>
      <c r="P1048" s="31">
        <f t="shared" si="716"/>
        <v>3.2159999999999997</v>
      </c>
      <c r="Q1048" s="33">
        <f t="shared" si="717"/>
        <v>16.079999999999998</v>
      </c>
      <c r="R1048" s="29">
        <f t="shared" si="718"/>
        <v>19.295999999999999</v>
      </c>
      <c r="S1048" s="29">
        <f t="shared" si="719"/>
        <v>19.295999999999999</v>
      </c>
      <c r="T1048" s="35">
        <f t="shared" si="722"/>
        <v>45306</v>
      </c>
      <c r="U1048" s="27"/>
      <c r="V1048" s="27"/>
      <c r="W1048" s="160">
        <f>IF(K1048=TRUE,Q1048/I1048,Q1048)</f>
        <v>16.079999999999998</v>
      </c>
      <c r="X1048" s="31">
        <f t="shared" si="720"/>
        <v>0</v>
      </c>
      <c r="Y1048" t="b">
        <f t="shared" si="710"/>
        <v>0</v>
      </c>
      <c r="Z1048" s="161">
        <f t="shared" si="721"/>
        <v>-16.079999999999998</v>
      </c>
    </row>
    <row r="1049" spans="1:26" x14ac:dyDescent="0.25">
      <c r="A1049" s="53">
        <v>2023</v>
      </c>
      <c r="B1049" s="53">
        <v>175</v>
      </c>
      <c r="C1049" s="71" t="s">
        <v>105</v>
      </c>
      <c r="D1049" t="s">
        <v>705</v>
      </c>
      <c r="G1049" s="1">
        <v>45243</v>
      </c>
      <c r="H1049" t="s">
        <v>927</v>
      </c>
      <c r="K1049" t="b">
        <f>(IF(AND(I1049&lt;&gt;"",AND(J1049="",ABS(Q1049)&gt;400)),TRUE,FALSE))</f>
        <v>0</v>
      </c>
      <c r="L1049" s="162">
        <v>52.214100000000002</v>
      </c>
      <c r="M1049" s="159">
        <v>1</v>
      </c>
      <c r="N1049">
        <v>0</v>
      </c>
      <c r="O1049" s="31">
        <f t="shared" si="715"/>
        <v>0</v>
      </c>
      <c r="P1049" s="31">
        <f t="shared" si="716"/>
        <v>0</v>
      </c>
      <c r="Q1049" s="33">
        <f t="shared" si="717"/>
        <v>52.214100000000002</v>
      </c>
      <c r="R1049" s="29">
        <f t="shared" si="718"/>
        <v>52.214100000000002</v>
      </c>
      <c r="S1049" s="29">
        <f t="shared" si="719"/>
        <v>52.214100000000002</v>
      </c>
      <c r="T1049" s="35">
        <f t="shared" si="722"/>
        <v>45306</v>
      </c>
      <c r="U1049" s="27"/>
      <c r="V1049" s="27">
        <v>20</v>
      </c>
      <c r="W1049" s="160">
        <f>IF(K1049=TRUE,Q1049/J1049,Q1049)</f>
        <v>52.214100000000002</v>
      </c>
      <c r="X1049" s="31">
        <f t="shared" si="720"/>
        <v>10.442820000000001</v>
      </c>
      <c r="Y1049" t="b">
        <f t="shared" si="710"/>
        <v>0</v>
      </c>
      <c r="Z1049" s="161">
        <f t="shared" si="721"/>
        <v>-52.214100000000002</v>
      </c>
    </row>
    <row r="1050" spans="1:26" x14ac:dyDescent="0.25">
      <c r="A1050" s="53">
        <v>2023</v>
      </c>
      <c r="B1050" s="53">
        <v>176</v>
      </c>
      <c r="C1050" s="71" t="s">
        <v>708</v>
      </c>
      <c r="D1050" t="s">
        <v>709</v>
      </c>
      <c r="E1050" s="39"/>
      <c r="G1050" s="1">
        <v>45245</v>
      </c>
      <c r="H1050" t="s">
        <v>1652</v>
      </c>
      <c r="K1050" t="b">
        <f>(IF(AND(I1050&lt;&gt;"",AND(J1050="",ABS(Q1050)&gt;400)),TRUE,FALSE))</f>
        <v>0</v>
      </c>
      <c r="L1050" s="162">
        <v>16505.25</v>
      </c>
      <c r="M1050" s="159">
        <v>1</v>
      </c>
      <c r="N1050">
        <v>20</v>
      </c>
      <c r="O1050" s="31">
        <f t="shared" si="715"/>
        <v>3301.05</v>
      </c>
      <c r="P1050" s="31">
        <f t="shared" si="716"/>
        <v>3301.05</v>
      </c>
      <c r="Q1050" s="33">
        <f t="shared" si="717"/>
        <v>16505.25</v>
      </c>
      <c r="R1050" s="29">
        <f t="shared" si="718"/>
        <v>19806.3</v>
      </c>
      <c r="S1050" s="29">
        <f t="shared" si="719"/>
        <v>19806.3</v>
      </c>
      <c r="T1050" s="35">
        <f t="shared" si="722"/>
        <v>45306</v>
      </c>
      <c r="U1050" s="27"/>
      <c r="V1050" s="27"/>
      <c r="W1050" s="160">
        <f>IF(K1050=TRUE,Q1050/J1050,Q1050)</f>
        <v>16505.25</v>
      </c>
      <c r="X1050" s="31">
        <f t="shared" si="720"/>
        <v>0</v>
      </c>
      <c r="Y1050" t="b">
        <f t="shared" si="710"/>
        <v>0</v>
      </c>
      <c r="Z1050" s="161">
        <f t="shared" si="721"/>
        <v>16505.25</v>
      </c>
    </row>
    <row r="1051" spans="1:26" x14ac:dyDescent="0.25">
      <c r="A1051" s="53">
        <v>2023</v>
      </c>
      <c r="B1051" s="53">
        <v>177</v>
      </c>
      <c r="C1051" s="71" t="s">
        <v>105</v>
      </c>
      <c r="D1051" t="s">
        <v>685</v>
      </c>
      <c r="E1051" s="9" t="s">
        <v>1699</v>
      </c>
      <c r="G1051" s="1">
        <v>45245</v>
      </c>
      <c r="H1051" t="s">
        <v>1689</v>
      </c>
      <c r="K1051" t="b">
        <f>(IF(AND(I1051&lt;&gt;"",AND(J1051="",ABS(Q1051)&gt;400)),TRUE,FALSE))</f>
        <v>0</v>
      </c>
      <c r="L1051" s="162">
        <v>365</v>
      </c>
      <c r="M1051" s="159">
        <v>1</v>
      </c>
      <c r="N1051">
        <v>0</v>
      </c>
      <c r="O1051" s="31">
        <f t="shared" si="715"/>
        <v>0</v>
      </c>
      <c r="P1051" s="31">
        <f t="shared" si="716"/>
        <v>0</v>
      </c>
      <c r="Q1051" s="33">
        <f t="shared" si="717"/>
        <v>365</v>
      </c>
      <c r="R1051" s="29">
        <f t="shared" si="718"/>
        <v>365</v>
      </c>
      <c r="S1051" s="29">
        <f t="shared" si="719"/>
        <v>365</v>
      </c>
      <c r="T1051" s="35">
        <f t="shared" si="722"/>
        <v>45306</v>
      </c>
      <c r="U1051" s="27"/>
      <c r="V1051" s="27"/>
      <c r="W1051" s="160">
        <f>IF(K1051=TRUE,Q1051/J1051,Q1051)</f>
        <v>365</v>
      </c>
      <c r="X1051" s="31">
        <f t="shared" si="720"/>
        <v>0</v>
      </c>
      <c r="Y1051" t="b">
        <f t="shared" si="710"/>
        <v>0</v>
      </c>
      <c r="Z1051" s="161">
        <f t="shared" si="721"/>
        <v>-365</v>
      </c>
    </row>
    <row r="1052" spans="1:26" x14ac:dyDescent="0.25">
      <c r="A1052" s="53">
        <v>2023</v>
      </c>
      <c r="B1052" s="53">
        <v>178</v>
      </c>
      <c r="C1052" s="71" t="s">
        <v>105</v>
      </c>
      <c r="D1052" t="s">
        <v>705</v>
      </c>
      <c r="E1052" s="1"/>
      <c r="G1052" s="1">
        <v>45250</v>
      </c>
      <c r="H1052" t="s">
        <v>1032</v>
      </c>
      <c r="K1052" t="b">
        <f>(IF(AND(I1052&lt;&gt;"",AND(J1052="",ABS(Q1052)&gt;400)),TRUE,FALSE))</f>
        <v>0</v>
      </c>
      <c r="L1052" s="158">
        <v>10.5</v>
      </c>
      <c r="M1052" s="159">
        <v>1</v>
      </c>
      <c r="N1052">
        <v>0</v>
      </c>
      <c r="O1052" s="31">
        <f t="shared" si="715"/>
        <v>0</v>
      </c>
      <c r="P1052" s="31">
        <f t="shared" si="716"/>
        <v>0</v>
      </c>
      <c r="Q1052" s="33">
        <f t="shared" si="717"/>
        <v>10.5</v>
      </c>
      <c r="R1052" s="29">
        <f t="shared" si="718"/>
        <v>10.5</v>
      </c>
      <c r="S1052" s="29">
        <f t="shared" si="719"/>
        <v>10.5</v>
      </c>
      <c r="T1052" s="35">
        <f t="shared" si="722"/>
        <v>45306</v>
      </c>
      <c r="U1052" s="27"/>
      <c r="V1052" s="27">
        <v>20</v>
      </c>
      <c r="W1052" s="160">
        <f>IF(K1052=TRUE,Q1052/J1052,Q1052)</f>
        <v>10.5</v>
      </c>
      <c r="X1052" s="31">
        <f t="shared" si="720"/>
        <v>2.1</v>
      </c>
      <c r="Y1052" t="b">
        <f t="shared" si="710"/>
        <v>0</v>
      </c>
      <c r="Z1052" s="161">
        <f t="shared" si="721"/>
        <v>-10.5</v>
      </c>
    </row>
    <row r="1053" spans="1:26" x14ac:dyDescent="0.25">
      <c r="A1053" s="53">
        <v>2023</v>
      </c>
      <c r="B1053" s="53">
        <v>179</v>
      </c>
      <c r="C1053" s="71" t="s">
        <v>105</v>
      </c>
      <c r="D1053" t="s">
        <v>339</v>
      </c>
      <c r="G1053" s="1">
        <v>45252</v>
      </c>
      <c r="H1053" t="s">
        <v>979</v>
      </c>
      <c r="K1053" t="b">
        <v>0</v>
      </c>
      <c r="L1053" s="158">
        <v>18.48</v>
      </c>
      <c r="M1053" s="159">
        <v>1</v>
      </c>
      <c r="N1053">
        <v>20</v>
      </c>
      <c r="O1053" s="31">
        <f t="shared" si="715"/>
        <v>3.6960000000000002</v>
      </c>
      <c r="P1053" s="31">
        <f t="shared" si="716"/>
        <v>3.6960000000000002</v>
      </c>
      <c r="Q1053" s="33">
        <f t="shared" si="717"/>
        <v>18.48</v>
      </c>
      <c r="R1053" s="29">
        <f t="shared" si="718"/>
        <v>22.176000000000002</v>
      </c>
      <c r="S1053" s="29">
        <f t="shared" si="719"/>
        <v>22.176000000000002</v>
      </c>
      <c r="T1053" s="35">
        <f t="shared" si="722"/>
        <v>45306</v>
      </c>
      <c r="U1053" s="27"/>
      <c r="V1053" s="27"/>
      <c r="W1053" s="160">
        <f>IF(K1053=TRUE,Q1053/I1053,Q1053)</f>
        <v>18.48</v>
      </c>
      <c r="X1053" s="31">
        <f t="shared" si="720"/>
        <v>0</v>
      </c>
      <c r="Y1053" t="b">
        <f t="shared" si="710"/>
        <v>0</v>
      </c>
      <c r="Z1053" s="161">
        <f t="shared" si="721"/>
        <v>-18.48</v>
      </c>
    </row>
    <row r="1054" spans="1:26" x14ac:dyDescent="0.25">
      <c r="A1054" s="53">
        <v>2023</v>
      </c>
      <c r="B1054" s="53">
        <v>180</v>
      </c>
      <c r="C1054" s="71" t="s">
        <v>105</v>
      </c>
      <c r="D1054" t="s">
        <v>339</v>
      </c>
      <c r="G1054" s="1">
        <v>45252</v>
      </c>
      <c r="H1054" t="s">
        <v>979</v>
      </c>
      <c r="K1054" t="b">
        <v>0</v>
      </c>
      <c r="L1054" s="158">
        <v>44.72</v>
      </c>
      <c r="M1054" s="159">
        <v>1</v>
      </c>
      <c r="N1054">
        <v>20</v>
      </c>
      <c r="O1054" s="31">
        <f t="shared" si="715"/>
        <v>8.9439999999999991</v>
      </c>
      <c r="P1054" s="31">
        <f t="shared" si="716"/>
        <v>8.9439999999999991</v>
      </c>
      <c r="Q1054" s="33">
        <f t="shared" si="717"/>
        <v>44.72</v>
      </c>
      <c r="R1054" s="29">
        <f t="shared" si="718"/>
        <v>53.664000000000001</v>
      </c>
      <c r="S1054" s="29">
        <f t="shared" si="719"/>
        <v>53.664000000000001</v>
      </c>
      <c r="T1054" s="35">
        <f t="shared" si="722"/>
        <v>45306</v>
      </c>
      <c r="U1054" s="27"/>
      <c r="V1054" s="27"/>
      <c r="W1054" s="160">
        <f>IF(K1054=TRUE,Q1054/I1054,Q1054)</f>
        <v>44.72</v>
      </c>
      <c r="X1054" s="31">
        <f t="shared" si="720"/>
        <v>0</v>
      </c>
      <c r="Y1054" t="b">
        <f t="shared" si="710"/>
        <v>0</v>
      </c>
      <c r="Z1054" s="161">
        <f t="shared" si="721"/>
        <v>-44.72</v>
      </c>
    </row>
    <row r="1055" spans="1:26" x14ac:dyDescent="0.25">
      <c r="A1055" s="53">
        <v>2023</v>
      </c>
      <c r="B1055" s="53">
        <v>181</v>
      </c>
      <c r="C1055" s="71" t="s">
        <v>105</v>
      </c>
      <c r="D1055" t="s">
        <v>705</v>
      </c>
      <c r="E1055" s="9" t="s">
        <v>1026</v>
      </c>
      <c r="G1055" s="1">
        <v>45253</v>
      </c>
      <c r="H1055" t="s">
        <v>1027</v>
      </c>
      <c r="K1055" t="b">
        <f>(IF(AND(I1055&lt;&gt;"",AND(J1055="",ABS(Q1055)&gt;400)),TRUE,FALSE))</f>
        <v>0</v>
      </c>
      <c r="L1055" s="48">
        <v>1065</v>
      </c>
      <c r="M1055" s="72">
        <v>1</v>
      </c>
      <c r="N1055">
        <v>20</v>
      </c>
      <c r="O1055" s="31">
        <f t="shared" si="715"/>
        <v>213</v>
      </c>
      <c r="P1055" s="31">
        <f t="shared" si="716"/>
        <v>213</v>
      </c>
      <c r="Q1055" s="33">
        <f t="shared" si="717"/>
        <v>1065</v>
      </c>
      <c r="R1055" s="29">
        <f t="shared" si="718"/>
        <v>1278</v>
      </c>
      <c r="S1055" s="29">
        <f t="shared" si="719"/>
        <v>1278</v>
      </c>
      <c r="T1055" s="35">
        <f>voranmeldefrist_vierteljaehrlich(G1055)</f>
        <v>45337</v>
      </c>
      <c r="U1055" s="27"/>
      <c r="V1055" s="27"/>
      <c r="W1055" s="58">
        <f>IF(K1055=TRUE,Q1055/J1055,Q1055)</f>
        <v>1065</v>
      </c>
      <c r="X1055" s="31">
        <f t="shared" si="720"/>
        <v>0</v>
      </c>
      <c r="Y1055" t="b">
        <f t="shared" si="710"/>
        <v>0</v>
      </c>
      <c r="Z1055" s="78">
        <f t="shared" si="721"/>
        <v>-1065</v>
      </c>
    </row>
    <row r="1056" spans="1:26" x14ac:dyDescent="0.25">
      <c r="A1056" s="53">
        <v>2023</v>
      </c>
      <c r="B1056" s="53">
        <v>182</v>
      </c>
      <c r="C1056" s="71" t="s">
        <v>105</v>
      </c>
      <c r="D1056" t="s">
        <v>703</v>
      </c>
      <c r="G1056" s="1">
        <v>45260</v>
      </c>
      <c r="H1056" t="s">
        <v>1775</v>
      </c>
      <c r="K1056" t="b">
        <v>0</v>
      </c>
      <c r="L1056" s="48">
        <f>19.9/1.2</f>
        <v>16.583333333333332</v>
      </c>
      <c r="M1056" s="72">
        <v>1</v>
      </c>
      <c r="N1056">
        <v>20</v>
      </c>
      <c r="O1056" s="31">
        <f t="shared" si="715"/>
        <v>3.3166666666666664</v>
      </c>
      <c r="P1056" s="31">
        <f t="shared" si="716"/>
        <v>3.3166666666666664</v>
      </c>
      <c r="Q1056" s="33">
        <f t="shared" si="717"/>
        <v>16.583333333333332</v>
      </c>
      <c r="R1056" s="29">
        <f t="shared" si="718"/>
        <v>19.899999999999999</v>
      </c>
      <c r="S1056" s="29">
        <f t="shared" si="719"/>
        <v>19.899999999999999</v>
      </c>
      <c r="T1056" s="35">
        <f>voranmeldefrist_vierteljaehrlich(G1056)</f>
        <v>45337</v>
      </c>
      <c r="U1056" s="27"/>
      <c r="V1056" s="27"/>
      <c r="W1056" s="58">
        <f>IF(K1056=TRUE,Q1056/J1056,Q1056)</f>
        <v>16.583333333333332</v>
      </c>
      <c r="X1056" s="31">
        <f t="shared" si="720"/>
        <v>0</v>
      </c>
      <c r="Y1056" t="b">
        <f t="shared" si="710"/>
        <v>0</v>
      </c>
      <c r="Z1056" s="78">
        <f t="shared" si="721"/>
        <v>-16.583333333333332</v>
      </c>
    </row>
    <row r="1057" spans="1:26" x14ac:dyDescent="0.25">
      <c r="A1057" s="53">
        <v>2023</v>
      </c>
      <c r="B1057" s="53">
        <v>183</v>
      </c>
      <c r="C1057" s="71" t="s">
        <v>105</v>
      </c>
      <c r="D1057" t="s">
        <v>703</v>
      </c>
      <c r="G1057" s="1">
        <v>45260</v>
      </c>
      <c r="H1057" t="s">
        <v>1775</v>
      </c>
      <c r="K1057" t="b">
        <v>0</v>
      </c>
      <c r="L1057" s="48">
        <f>20/1.2</f>
        <v>16.666666666666668</v>
      </c>
      <c r="M1057" s="72">
        <v>1</v>
      </c>
      <c r="N1057">
        <v>20</v>
      </c>
      <c r="O1057" s="31">
        <f t="shared" si="715"/>
        <v>3.3333333333333339</v>
      </c>
      <c r="P1057" s="31">
        <f t="shared" si="716"/>
        <v>3.3333333333333339</v>
      </c>
      <c r="Q1057" s="33">
        <f t="shared" si="717"/>
        <v>16.666666666666668</v>
      </c>
      <c r="R1057" s="29">
        <f t="shared" si="718"/>
        <v>20</v>
      </c>
      <c r="S1057" s="29">
        <f t="shared" si="719"/>
        <v>20</v>
      </c>
      <c r="T1057" s="35">
        <f>voranmeldefrist_vierteljaehrlich(G1057)</f>
        <v>45337</v>
      </c>
      <c r="U1057" s="27"/>
      <c r="V1057" s="27"/>
      <c r="W1057" s="58">
        <f>IF(K1057=TRUE,Q1057/J1057,Q1057)</f>
        <v>16.666666666666668</v>
      </c>
      <c r="X1057" s="31">
        <f t="shared" si="720"/>
        <v>0</v>
      </c>
      <c r="Y1057" t="b">
        <f t="shared" si="710"/>
        <v>0</v>
      </c>
      <c r="Z1057" s="78">
        <f t="shared" si="721"/>
        <v>-16.666666666666668</v>
      </c>
    </row>
    <row r="1058" spans="1:26" x14ac:dyDescent="0.25">
      <c r="A1058" s="53">
        <v>2023</v>
      </c>
      <c r="B1058" s="53">
        <v>184</v>
      </c>
      <c r="C1058" s="71" t="s">
        <v>105</v>
      </c>
      <c r="D1058" t="s">
        <v>695</v>
      </c>
      <c r="G1058" s="1">
        <v>45260</v>
      </c>
      <c r="H1058" t="s">
        <v>1776</v>
      </c>
      <c r="K1058" t="b">
        <v>0</v>
      </c>
      <c r="L1058" s="109">
        <v>6800.6</v>
      </c>
      <c r="M1058" s="72">
        <v>1</v>
      </c>
      <c r="N1058">
        <v>0</v>
      </c>
      <c r="O1058" s="31">
        <f t="shared" si="715"/>
        <v>0</v>
      </c>
      <c r="P1058" s="31">
        <f t="shared" si="716"/>
        <v>0</v>
      </c>
      <c r="Q1058" s="33">
        <f t="shared" si="717"/>
        <v>6800.6</v>
      </c>
      <c r="R1058" s="29">
        <f t="shared" si="718"/>
        <v>6800.6</v>
      </c>
      <c r="S1058" s="29">
        <f t="shared" si="719"/>
        <v>6800.6</v>
      </c>
      <c r="T1058" s="35">
        <f>DATE(YEAR(EOMONTH(G1058,2)),MONTH(EOMONTH(G1058,2)),15)</f>
        <v>45306</v>
      </c>
      <c r="U1058" s="27"/>
      <c r="V1058" s="27"/>
      <c r="W1058" s="58">
        <f>IF(K1058=TRUE,Q1058/J1058,Q1058)</f>
        <v>6800.6</v>
      </c>
      <c r="X1058" s="31">
        <f t="shared" si="720"/>
        <v>0</v>
      </c>
      <c r="Y1058" t="b">
        <f t="shared" si="710"/>
        <v>0</v>
      </c>
      <c r="Z1058" s="78">
        <f t="shared" si="721"/>
        <v>-6800.6</v>
      </c>
    </row>
    <row r="1059" spans="1:26" x14ac:dyDescent="0.25">
      <c r="A1059" s="53">
        <v>2023</v>
      </c>
      <c r="B1059" s="53">
        <v>185</v>
      </c>
      <c r="C1059" s="71" t="s">
        <v>105</v>
      </c>
      <c r="D1059" t="s">
        <v>691</v>
      </c>
      <c r="G1059" s="1">
        <v>45261</v>
      </c>
      <c r="H1059" t="s">
        <v>1113</v>
      </c>
      <c r="K1059" t="b">
        <v>0</v>
      </c>
      <c r="L1059" s="109">
        <f>639.73/1.2</f>
        <v>533.10833333333335</v>
      </c>
      <c r="M1059" s="72">
        <v>1</v>
      </c>
      <c r="N1059">
        <v>20</v>
      </c>
      <c r="O1059" s="31">
        <f t="shared" si="715"/>
        <v>106.62166666666668</v>
      </c>
      <c r="P1059" s="31">
        <f t="shared" si="716"/>
        <v>106.62166666666668</v>
      </c>
      <c r="Q1059" s="33">
        <f t="shared" si="717"/>
        <v>533.10833333333335</v>
      </c>
      <c r="R1059" s="29">
        <f t="shared" si="718"/>
        <v>639.73</v>
      </c>
      <c r="S1059" s="29">
        <f t="shared" si="719"/>
        <v>639.73</v>
      </c>
      <c r="T1059" s="35">
        <f>DATE(YEAR(EOMONTH(G1059,2)),MONTH(EOMONTH(G1059,2)),15)</f>
        <v>45337</v>
      </c>
      <c r="U1059" s="27"/>
      <c r="V1059" s="27"/>
      <c r="W1059" s="58">
        <f>IF(K1059=TRUE,Q1059/J1059,Q1059)</f>
        <v>533.10833333333335</v>
      </c>
      <c r="X1059" s="31">
        <f t="shared" si="720"/>
        <v>0</v>
      </c>
      <c r="Y1059" t="b">
        <f t="shared" si="710"/>
        <v>0</v>
      </c>
      <c r="Z1059" s="78">
        <f t="shared" si="721"/>
        <v>-533.10833333333335</v>
      </c>
    </row>
    <row r="1060" spans="1:26" x14ac:dyDescent="0.25">
      <c r="A1060" s="53">
        <v>2023</v>
      </c>
      <c r="B1060" s="53">
        <v>186</v>
      </c>
      <c r="C1060" s="71" t="s">
        <v>105</v>
      </c>
      <c r="D1060" t="s">
        <v>705</v>
      </c>
      <c r="E1060"/>
      <c r="G1060" s="1">
        <v>45264</v>
      </c>
      <c r="H1060" t="s">
        <v>1404</v>
      </c>
      <c r="K1060" t="b">
        <v>0</v>
      </c>
      <c r="L1060" s="158">
        <v>10.4</v>
      </c>
      <c r="M1060" s="159">
        <v>1</v>
      </c>
      <c r="N1060">
        <v>0</v>
      </c>
      <c r="O1060" s="31">
        <f t="shared" si="715"/>
        <v>0</v>
      </c>
      <c r="P1060" s="31">
        <f t="shared" si="716"/>
        <v>0</v>
      </c>
      <c r="Q1060" s="33">
        <f t="shared" si="717"/>
        <v>10.4</v>
      </c>
      <c r="R1060" s="29">
        <f t="shared" si="718"/>
        <v>10.4</v>
      </c>
      <c r="S1060" s="29">
        <f t="shared" si="719"/>
        <v>10.4</v>
      </c>
      <c r="T1060" s="35">
        <f>DATE(YEAR(EOMONTH(G1060,2)),MONTH(EOMONTH(G1060,2)),15)</f>
        <v>45337</v>
      </c>
      <c r="U1060" s="27"/>
      <c r="V1060" s="27">
        <v>20</v>
      </c>
      <c r="W1060" s="160">
        <f>IF(K1060=TRUE,Q1060/I1060,Q1060)</f>
        <v>10.4</v>
      </c>
      <c r="X1060" s="31">
        <f t="shared" si="720"/>
        <v>2.08</v>
      </c>
      <c r="Y1060" t="b">
        <f t="shared" si="710"/>
        <v>0</v>
      </c>
      <c r="Z1060" s="161">
        <f t="shared" si="721"/>
        <v>-10.4</v>
      </c>
    </row>
    <row r="1061" spans="1:26" x14ac:dyDescent="0.25">
      <c r="A1061" s="53">
        <v>2023</v>
      </c>
      <c r="B1061" s="53">
        <v>187</v>
      </c>
      <c r="C1061" s="71" t="s">
        <v>105</v>
      </c>
      <c r="D1061" t="s">
        <v>705</v>
      </c>
      <c r="E1061" s="61" t="s">
        <v>1064</v>
      </c>
      <c r="G1061" s="1">
        <v>45264</v>
      </c>
      <c r="H1061" t="s">
        <v>1670</v>
      </c>
      <c r="K1061" t="b">
        <v>0</v>
      </c>
      <c r="L1061" s="158">
        <v>5</v>
      </c>
      <c r="M1061" s="159">
        <v>1</v>
      </c>
      <c r="N1061">
        <v>20</v>
      </c>
      <c r="O1061" s="31">
        <f t="shared" si="715"/>
        <v>1</v>
      </c>
      <c r="P1061" s="31">
        <f t="shared" si="716"/>
        <v>1</v>
      </c>
      <c r="Q1061" s="33">
        <f t="shared" si="717"/>
        <v>5</v>
      </c>
      <c r="R1061" s="29">
        <f t="shared" si="718"/>
        <v>6</v>
      </c>
      <c r="S1061" s="29">
        <f t="shared" si="719"/>
        <v>6</v>
      </c>
      <c r="T1061" s="35">
        <f>DATE(YEAR(EOMONTH(G1061,2)),MONTH(EOMONTH(G1061,2)),15)</f>
        <v>45337</v>
      </c>
      <c r="U1061" s="27"/>
      <c r="V1061" s="27"/>
      <c r="W1061" s="160">
        <f>IF(K1061=TRUE,Q1061/I1061,Q1061)</f>
        <v>5</v>
      </c>
      <c r="X1061" s="31">
        <f t="shared" si="720"/>
        <v>0</v>
      </c>
      <c r="Y1061" t="b">
        <f t="shared" si="710"/>
        <v>0</v>
      </c>
      <c r="Z1061" s="161">
        <f t="shared" si="721"/>
        <v>-5</v>
      </c>
    </row>
    <row r="1062" spans="1:26" x14ac:dyDescent="0.25">
      <c r="A1062" s="53">
        <v>2023</v>
      </c>
      <c r="B1062" s="53">
        <v>188</v>
      </c>
      <c r="C1062" s="71" t="s">
        <v>105</v>
      </c>
      <c r="D1062" t="s">
        <v>339</v>
      </c>
      <c r="G1062" s="1">
        <v>45265</v>
      </c>
      <c r="H1062" t="s">
        <v>979</v>
      </c>
      <c r="K1062" t="b">
        <v>0</v>
      </c>
      <c r="L1062" s="158">
        <v>177.7</v>
      </c>
      <c r="M1062" s="159">
        <v>1</v>
      </c>
      <c r="N1062">
        <v>20</v>
      </c>
      <c r="O1062" s="31">
        <f t="shared" si="715"/>
        <v>35.54</v>
      </c>
      <c r="P1062" s="31">
        <f t="shared" si="716"/>
        <v>35.54</v>
      </c>
      <c r="Q1062" s="33">
        <f t="shared" si="717"/>
        <v>177.7</v>
      </c>
      <c r="R1062" s="29">
        <f t="shared" si="718"/>
        <v>213.23999999999998</v>
      </c>
      <c r="S1062" s="29">
        <f t="shared" si="719"/>
        <v>213.23999999999998</v>
      </c>
      <c r="T1062" s="35">
        <f>DATE(YEAR(EOMONTH(G1062,2)),MONTH(EOMONTH(G1062,2)),15)</f>
        <v>45337</v>
      </c>
      <c r="U1062" s="27"/>
      <c r="V1062" s="27"/>
      <c r="W1062" s="160">
        <f>IF(K1062=TRUE,Q1062/I1062,Q1062)</f>
        <v>177.7</v>
      </c>
      <c r="X1062" s="31">
        <f t="shared" si="720"/>
        <v>0</v>
      </c>
      <c r="Y1062" t="b">
        <f t="shared" si="710"/>
        <v>0</v>
      </c>
      <c r="Z1062" s="161">
        <f t="shared" si="721"/>
        <v>-177.7</v>
      </c>
    </row>
    <row r="1063" spans="1:26" x14ac:dyDescent="0.25">
      <c r="A1063" s="53">
        <v>2023</v>
      </c>
      <c r="B1063" s="53">
        <v>189</v>
      </c>
      <c r="C1063" s="71" t="s">
        <v>105</v>
      </c>
      <c r="D1063" t="s">
        <v>705</v>
      </c>
      <c r="G1063" s="1">
        <v>45265</v>
      </c>
      <c r="H1063" t="s">
        <v>1746</v>
      </c>
      <c r="I1063">
        <v>3</v>
      </c>
      <c r="K1063" t="b">
        <f>(IF(AND(I1063&lt;&gt;"",AND(J1063="",ABS(Q1063)&gt;400)),TRUE,FALSE))</f>
        <v>0</v>
      </c>
      <c r="L1063" s="162">
        <v>267.04000000000002</v>
      </c>
      <c r="M1063" s="159">
        <v>1</v>
      </c>
      <c r="N1063">
        <v>20</v>
      </c>
      <c r="O1063" s="31">
        <f t="shared" si="715"/>
        <v>53.408000000000001</v>
      </c>
      <c r="P1063" s="31">
        <f t="shared" si="716"/>
        <v>53.408000000000001</v>
      </c>
      <c r="Q1063" s="33">
        <f t="shared" si="717"/>
        <v>267.04000000000002</v>
      </c>
      <c r="R1063" s="29">
        <f t="shared" si="718"/>
        <v>320.44800000000004</v>
      </c>
      <c r="S1063" s="29">
        <f t="shared" si="719"/>
        <v>320.44800000000004</v>
      </c>
      <c r="T1063" s="35">
        <f>voranmeldefrist_vierteljaehrlich(G1063)</f>
        <v>45337</v>
      </c>
      <c r="U1063" s="27"/>
      <c r="V1063" s="27"/>
      <c r="W1063" s="160">
        <f>IF(K1063=TRUE,Q1063/I1063,Q1063)</f>
        <v>267.04000000000002</v>
      </c>
      <c r="X1063" s="31">
        <f t="shared" si="720"/>
        <v>0</v>
      </c>
      <c r="Y1063" t="b">
        <f t="shared" si="710"/>
        <v>0</v>
      </c>
      <c r="Z1063" s="161">
        <f t="shared" si="721"/>
        <v>-267.04000000000002</v>
      </c>
    </row>
    <row r="1064" spans="1:26" x14ac:dyDescent="0.25">
      <c r="A1064" s="53">
        <v>2023</v>
      </c>
      <c r="B1064" s="53">
        <v>190</v>
      </c>
      <c r="C1064" s="71" t="s">
        <v>105</v>
      </c>
      <c r="D1064" t="s">
        <v>691</v>
      </c>
      <c r="E1064"/>
      <c r="G1064" s="1">
        <v>45265</v>
      </c>
      <c r="H1064" t="s">
        <v>1558</v>
      </c>
      <c r="K1064" t="b">
        <v>0</v>
      </c>
      <c r="L1064" s="109">
        <v>108.5</v>
      </c>
      <c r="M1064" s="159">
        <v>1</v>
      </c>
      <c r="N1064">
        <v>20</v>
      </c>
      <c r="O1064" s="31">
        <f t="shared" si="715"/>
        <v>21.7</v>
      </c>
      <c r="P1064" s="31">
        <f t="shared" si="716"/>
        <v>21.7</v>
      </c>
      <c r="Q1064" s="33">
        <f t="shared" si="717"/>
        <v>108.5</v>
      </c>
      <c r="R1064" s="29">
        <f t="shared" si="718"/>
        <v>130.19999999999999</v>
      </c>
      <c r="S1064" s="29">
        <f t="shared" si="719"/>
        <v>130.19999999999999</v>
      </c>
      <c r="T1064" s="35">
        <f t="shared" ref="T1064:T1073" si="723">DATE(YEAR(EOMONTH(G1064,2)),MONTH(EOMONTH(G1064,2)),15)</f>
        <v>45337</v>
      </c>
      <c r="U1064" s="27"/>
      <c r="V1064" s="27"/>
      <c r="W1064" s="160">
        <f>IF(K1064=TRUE,Q1064/J1064,Q1064)</f>
        <v>108.5</v>
      </c>
      <c r="X1064" s="31">
        <f t="shared" si="720"/>
        <v>0</v>
      </c>
      <c r="Y1064" t="b">
        <f t="shared" si="710"/>
        <v>0</v>
      </c>
      <c r="Z1064" s="161">
        <f t="shared" si="721"/>
        <v>-108.5</v>
      </c>
    </row>
    <row r="1065" spans="1:26" x14ac:dyDescent="0.25">
      <c r="A1065" s="53">
        <v>2023</v>
      </c>
      <c r="B1065" s="53">
        <v>191</v>
      </c>
      <c r="C1065" s="71" t="s">
        <v>105</v>
      </c>
      <c r="D1065" t="s">
        <v>703</v>
      </c>
      <c r="E1065"/>
      <c r="G1065" s="1">
        <v>45265</v>
      </c>
      <c r="H1065" t="s">
        <v>34</v>
      </c>
      <c r="K1065" t="b">
        <f>(IF(AND(I1065&lt;&gt;"",AND(J1065="",ABS(Q1065)&gt;400)),TRUE,FALSE))</f>
        <v>0</v>
      </c>
      <c r="L1065" s="48">
        <v>23.25</v>
      </c>
      <c r="M1065" s="159">
        <v>1</v>
      </c>
      <c r="N1065">
        <v>20</v>
      </c>
      <c r="O1065" s="31">
        <f t="shared" si="715"/>
        <v>4.6500000000000004</v>
      </c>
      <c r="P1065" s="31">
        <f t="shared" si="716"/>
        <v>4.6500000000000004</v>
      </c>
      <c r="Q1065" s="33">
        <f t="shared" si="717"/>
        <v>23.25</v>
      </c>
      <c r="R1065" s="29">
        <f t="shared" si="718"/>
        <v>27.9</v>
      </c>
      <c r="S1065" s="29">
        <f t="shared" si="719"/>
        <v>27.9</v>
      </c>
      <c r="T1065" s="35">
        <f t="shared" si="723"/>
        <v>45337</v>
      </c>
      <c r="U1065" s="27"/>
      <c r="V1065" s="27"/>
      <c r="W1065" s="160">
        <f>IF(K1065=TRUE,Q1065/I1065,Q1065)</f>
        <v>23.25</v>
      </c>
      <c r="X1065" s="31">
        <f t="shared" si="720"/>
        <v>0</v>
      </c>
      <c r="Y1065" t="b">
        <f t="shared" si="710"/>
        <v>0</v>
      </c>
      <c r="Z1065" s="161">
        <f t="shared" si="721"/>
        <v>-23.25</v>
      </c>
    </row>
    <row r="1066" spans="1:26" x14ac:dyDescent="0.25">
      <c r="A1066" s="53">
        <v>2023</v>
      </c>
      <c r="B1066" s="53">
        <v>192</v>
      </c>
      <c r="C1066" s="71" t="s">
        <v>105</v>
      </c>
      <c r="D1066" t="s">
        <v>339</v>
      </c>
      <c r="G1066" s="1">
        <v>45273</v>
      </c>
      <c r="H1066" t="s">
        <v>979</v>
      </c>
      <c r="K1066" t="b">
        <v>0</v>
      </c>
      <c r="L1066" s="158">
        <v>20.99</v>
      </c>
      <c r="M1066" s="159">
        <v>1</v>
      </c>
      <c r="N1066">
        <v>20</v>
      </c>
      <c r="O1066" s="31">
        <f t="shared" si="715"/>
        <v>4.1979999999999995</v>
      </c>
      <c r="P1066" s="31">
        <f t="shared" si="716"/>
        <v>4.1979999999999995</v>
      </c>
      <c r="Q1066" s="33">
        <f t="shared" si="717"/>
        <v>20.99</v>
      </c>
      <c r="R1066" s="29">
        <f t="shared" si="718"/>
        <v>25.187999999999999</v>
      </c>
      <c r="S1066" s="29">
        <f t="shared" si="719"/>
        <v>25.187999999999999</v>
      </c>
      <c r="T1066" s="35">
        <f t="shared" si="723"/>
        <v>45337</v>
      </c>
      <c r="U1066" s="27"/>
      <c r="V1066" s="27"/>
      <c r="W1066" s="160">
        <f>IF(K1066=TRUE,Q1066/I1066,Q1066)</f>
        <v>20.99</v>
      </c>
      <c r="X1066" s="31">
        <f t="shared" si="720"/>
        <v>0</v>
      </c>
      <c r="Y1066" t="b">
        <f t="shared" si="710"/>
        <v>0</v>
      </c>
      <c r="Z1066" s="161">
        <f t="shared" si="721"/>
        <v>-20.99</v>
      </c>
    </row>
    <row r="1067" spans="1:26" x14ac:dyDescent="0.25">
      <c r="A1067" s="53">
        <v>2023</v>
      </c>
      <c r="B1067" s="53">
        <v>193</v>
      </c>
      <c r="C1067" s="71" t="s">
        <v>105</v>
      </c>
      <c r="D1067" t="s">
        <v>705</v>
      </c>
      <c r="G1067" s="1">
        <v>45273</v>
      </c>
      <c r="H1067" t="s">
        <v>927</v>
      </c>
      <c r="K1067" t="b">
        <f>(IF(AND(I1067&lt;&gt;"",AND(J1067="",ABS(Q1067)&gt;400)),TRUE,FALSE))</f>
        <v>0</v>
      </c>
      <c r="L1067" s="162">
        <v>52.214100000000002</v>
      </c>
      <c r="M1067" s="159">
        <v>1</v>
      </c>
      <c r="N1067">
        <v>0</v>
      </c>
      <c r="O1067" s="31">
        <f t="shared" si="715"/>
        <v>0</v>
      </c>
      <c r="P1067" s="31">
        <f t="shared" si="716"/>
        <v>0</v>
      </c>
      <c r="Q1067" s="33">
        <f t="shared" si="717"/>
        <v>52.214100000000002</v>
      </c>
      <c r="R1067" s="29">
        <f t="shared" si="718"/>
        <v>52.214100000000002</v>
      </c>
      <c r="S1067" s="29">
        <f t="shared" si="719"/>
        <v>52.214100000000002</v>
      </c>
      <c r="T1067" s="35">
        <f t="shared" si="723"/>
        <v>45337</v>
      </c>
      <c r="U1067" s="27"/>
      <c r="V1067" s="27">
        <v>20</v>
      </c>
      <c r="W1067" s="160">
        <f>IF(K1067=TRUE,Q1067/J1067,Q1067)</f>
        <v>52.214100000000002</v>
      </c>
      <c r="X1067" s="31">
        <f t="shared" si="720"/>
        <v>10.442820000000001</v>
      </c>
      <c r="Y1067" t="b">
        <f t="shared" si="710"/>
        <v>0</v>
      </c>
      <c r="Z1067" s="161">
        <f t="shared" si="721"/>
        <v>-52.214100000000002</v>
      </c>
    </row>
    <row r="1068" spans="1:26" x14ac:dyDescent="0.25">
      <c r="A1068" s="53">
        <v>2023</v>
      </c>
      <c r="B1068" s="53">
        <v>194</v>
      </c>
      <c r="C1068" s="71" t="s">
        <v>105</v>
      </c>
      <c r="D1068" t="s">
        <v>685</v>
      </c>
      <c r="E1068" s="9" t="s">
        <v>1699</v>
      </c>
      <c r="G1068" s="1">
        <v>45275</v>
      </c>
      <c r="H1068" t="s">
        <v>1689</v>
      </c>
      <c r="K1068" t="b">
        <f>(IF(AND(I1068&lt;&gt;"",AND(J1068="",ABS(Q1068)&gt;400)),TRUE,FALSE))</f>
        <v>0</v>
      </c>
      <c r="L1068" s="162">
        <v>365</v>
      </c>
      <c r="M1068" s="159">
        <v>1</v>
      </c>
      <c r="N1068">
        <v>0</v>
      </c>
      <c r="O1068" s="31">
        <f t="shared" si="715"/>
        <v>0</v>
      </c>
      <c r="P1068" s="31">
        <f t="shared" si="716"/>
        <v>0</v>
      </c>
      <c r="Q1068" s="33">
        <f t="shared" si="717"/>
        <v>365</v>
      </c>
      <c r="R1068" s="29">
        <f t="shared" si="718"/>
        <v>365</v>
      </c>
      <c r="S1068" s="29">
        <f t="shared" si="719"/>
        <v>365</v>
      </c>
      <c r="T1068" s="35">
        <f t="shared" si="723"/>
        <v>45337</v>
      </c>
      <c r="U1068" s="27"/>
      <c r="V1068" s="27"/>
      <c r="W1068" s="160">
        <f>IF(K1068=TRUE,Q1068/J1068,Q1068)</f>
        <v>365</v>
      </c>
      <c r="X1068" s="31">
        <f t="shared" si="720"/>
        <v>0</v>
      </c>
      <c r="Y1068" t="b">
        <f t="shared" si="710"/>
        <v>0</v>
      </c>
      <c r="Z1068" s="161">
        <f t="shared" si="721"/>
        <v>-365</v>
      </c>
    </row>
    <row r="1069" spans="1:26" x14ac:dyDescent="0.25">
      <c r="A1069" s="53">
        <v>2023</v>
      </c>
      <c r="B1069" s="53">
        <v>195</v>
      </c>
      <c r="C1069" s="71" t="s">
        <v>105</v>
      </c>
      <c r="D1069" t="s">
        <v>705</v>
      </c>
      <c r="E1069" s="1"/>
      <c r="G1069" s="1">
        <v>45280</v>
      </c>
      <c r="H1069" t="s">
        <v>1032</v>
      </c>
      <c r="K1069" t="b">
        <f>(IF(AND(I1069&lt;&gt;"",AND(J1069="",ABS(Q1069)&gt;400)),TRUE,FALSE))</f>
        <v>0</v>
      </c>
      <c r="L1069" s="158">
        <v>11.7</v>
      </c>
      <c r="M1069" s="159">
        <v>1</v>
      </c>
      <c r="N1069">
        <v>0</v>
      </c>
      <c r="O1069" s="31">
        <f t="shared" si="715"/>
        <v>0</v>
      </c>
      <c r="P1069" s="31">
        <f t="shared" si="716"/>
        <v>0</v>
      </c>
      <c r="Q1069" s="33">
        <f t="shared" si="717"/>
        <v>11.7</v>
      </c>
      <c r="R1069" s="29">
        <f t="shared" si="718"/>
        <v>11.7</v>
      </c>
      <c r="S1069" s="29">
        <f t="shared" si="719"/>
        <v>11.7</v>
      </c>
      <c r="T1069" s="35">
        <f t="shared" si="723"/>
        <v>45337</v>
      </c>
      <c r="U1069" s="27"/>
      <c r="V1069" s="27">
        <v>20</v>
      </c>
      <c r="W1069" s="160">
        <f>IF(K1069=TRUE,Q1069/J1069,Q1069)</f>
        <v>11.7</v>
      </c>
      <c r="X1069" s="31">
        <f t="shared" si="720"/>
        <v>2.34</v>
      </c>
      <c r="Y1069" t="b">
        <f t="shared" si="710"/>
        <v>0</v>
      </c>
      <c r="Z1069" s="161">
        <f t="shared" si="721"/>
        <v>-11.7</v>
      </c>
    </row>
    <row r="1070" spans="1:26" x14ac:dyDescent="0.25">
      <c r="A1070" s="53">
        <v>2023</v>
      </c>
      <c r="B1070" s="53">
        <v>196</v>
      </c>
      <c r="C1070" s="71" t="s">
        <v>105</v>
      </c>
      <c r="D1070" t="s">
        <v>339</v>
      </c>
      <c r="E1070"/>
      <c r="G1070" s="1">
        <v>45278</v>
      </c>
      <c r="H1070" t="s">
        <v>979</v>
      </c>
      <c r="K1070" t="b">
        <v>0</v>
      </c>
      <c r="L1070" s="158">
        <v>14.28</v>
      </c>
      <c r="M1070" s="159">
        <v>1</v>
      </c>
      <c r="N1070">
        <v>20</v>
      </c>
      <c r="O1070" s="31">
        <f t="shared" si="715"/>
        <v>2.8559999999999999</v>
      </c>
      <c r="P1070" s="31">
        <f t="shared" si="716"/>
        <v>2.8559999999999999</v>
      </c>
      <c r="Q1070" s="33">
        <f t="shared" si="717"/>
        <v>14.28</v>
      </c>
      <c r="R1070" s="29">
        <f t="shared" si="718"/>
        <v>17.135999999999999</v>
      </c>
      <c r="S1070" s="29">
        <f t="shared" si="719"/>
        <v>17.135999999999999</v>
      </c>
      <c r="T1070" s="35">
        <f t="shared" si="723"/>
        <v>45337</v>
      </c>
      <c r="U1070" s="27"/>
      <c r="V1070" s="27"/>
      <c r="W1070" s="160">
        <f>IF(K1070=TRUE,Q1070/I1070,Q1070)</f>
        <v>14.28</v>
      </c>
      <c r="X1070" s="31">
        <f t="shared" si="720"/>
        <v>0</v>
      </c>
      <c r="Y1070" t="b">
        <f t="shared" si="710"/>
        <v>0</v>
      </c>
      <c r="Z1070" s="161">
        <f t="shared" si="721"/>
        <v>-14.28</v>
      </c>
    </row>
    <row r="1071" spans="1:26" x14ac:dyDescent="0.25">
      <c r="A1071" s="53">
        <v>2023</v>
      </c>
      <c r="B1071" s="53">
        <v>197</v>
      </c>
      <c r="C1071" s="71" t="s">
        <v>708</v>
      </c>
      <c r="D1071" t="s">
        <v>709</v>
      </c>
      <c r="E1071"/>
      <c r="G1071" s="1">
        <v>45280</v>
      </c>
      <c r="H1071" t="s">
        <v>1652</v>
      </c>
      <c r="K1071" t="b">
        <f>(IF(AND(I1071&lt;&gt;"",AND(J1071="",ABS(Q1071)&gt;400)),TRUE,FALSE))</f>
        <v>0</v>
      </c>
      <c r="L1071" s="158">
        <v>11217.38</v>
      </c>
      <c r="M1071" s="159">
        <v>1</v>
      </c>
      <c r="N1071">
        <v>20</v>
      </c>
      <c r="O1071" s="31">
        <f t="shared" si="715"/>
        <v>2243.4759999999997</v>
      </c>
      <c r="P1071" s="31">
        <f t="shared" si="716"/>
        <v>2243.4759999999997</v>
      </c>
      <c r="Q1071" s="33">
        <f t="shared" si="717"/>
        <v>11217.38</v>
      </c>
      <c r="R1071" s="29">
        <f t="shared" si="718"/>
        <v>13460.856</v>
      </c>
      <c r="S1071" s="29">
        <f t="shared" si="719"/>
        <v>13460.856</v>
      </c>
      <c r="T1071" s="35">
        <f t="shared" si="723"/>
        <v>45337</v>
      </c>
      <c r="U1071" s="27"/>
      <c r="V1071" s="27"/>
      <c r="W1071" s="160">
        <f>IF(K1071=TRUE,Q1071/J1071,Q1071)</f>
        <v>11217.38</v>
      </c>
      <c r="X1071" s="31">
        <f t="shared" si="720"/>
        <v>0</v>
      </c>
      <c r="Y1071" t="b">
        <f t="shared" si="710"/>
        <v>0</v>
      </c>
      <c r="Z1071" s="161">
        <f t="shared" si="721"/>
        <v>11217.38</v>
      </c>
    </row>
    <row r="1072" spans="1:26" x14ac:dyDescent="0.25">
      <c r="A1072" s="53">
        <v>2023</v>
      </c>
      <c r="B1072" s="53">
        <v>198</v>
      </c>
      <c r="C1072" s="71" t="s">
        <v>105</v>
      </c>
      <c r="D1072" t="s">
        <v>705</v>
      </c>
      <c r="G1072" s="1">
        <v>45280</v>
      </c>
      <c r="H1072" t="s">
        <v>927</v>
      </c>
      <c r="K1072" t="b">
        <f>(IF(AND(I1072&lt;&gt;"",AND(J1072="",ABS(Q1072)&gt;400)),TRUE,FALSE))</f>
        <v>0</v>
      </c>
      <c r="L1072" s="162">
        <v>11</v>
      </c>
      <c r="M1072" s="159">
        <v>1</v>
      </c>
      <c r="N1072">
        <v>0</v>
      </c>
      <c r="O1072" s="31">
        <f t="shared" si="715"/>
        <v>0</v>
      </c>
      <c r="P1072" s="31">
        <f t="shared" si="716"/>
        <v>0</v>
      </c>
      <c r="Q1072" s="33">
        <f t="shared" si="717"/>
        <v>11</v>
      </c>
      <c r="R1072" s="29">
        <f t="shared" si="718"/>
        <v>11</v>
      </c>
      <c r="S1072" s="29">
        <f t="shared" si="719"/>
        <v>11</v>
      </c>
      <c r="T1072" s="35">
        <f t="shared" si="723"/>
        <v>45337</v>
      </c>
      <c r="U1072" s="27"/>
      <c r="V1072" s="27">
        <v>20</v>
      </c>
      <c r="W1072" s="160">
        <f>IF(K1072=TRUE,Q1072/J1072,Q1072)</f>
        <v>11</v>
      </c>
      <c r="X1072" s="31">
        <f t="shared" si="720"/>
        <v>2.2000000000000002</v>
      </c>
      <c r="Y1072" t="b">
        <f t="shared" si="710"/>
        <v>0</v>
      </c>
      <c r="Z1072" s="161">
        <f t="shared" si="721"/>
        <v>-11</v>
      </c>
    </row>
    <row r="1073" spans="1:26" x14ac:dyDescent="0.25">
      <c r="A1073" s="53">
        <v>2023</v>
      </c>
      <c r="B1073" s="53">
        <v>199</v>
      </c>
      <c r="C1073" s="71" t="s">
        <v>105</v>
      </c>
      <c r="D1073" t="s">
        <v>339</v>
      </c>
      <c r="E1073"/>
      <c r="G1073" s="1">
        <v>45287</v>
      </c>
      <c r="H1073" t="s">
        <v>979</v>
      </c>
      <c r="K1073" t="b">
        <v>0</v>
      </c>
      <c r="L1073" s="158">
        <v>14.11</v>
      </c>
      <c r="M1073" s="159">
        <v>1</v>
      </c>
      <c r="N1073">
        <v>20</v>
      </c>
      <c r="O1073" s="31">
        <f t="shared" si="715"/>
        <v>2.8220000000000001</v>
      </c>
      <c r="P1073" s="31">
        <f t="shared" si="716"/>
        <v>2.8220000000000001</v>
      </c>
      <c r="Q1073" s="33">
        <f t="shared" si="717"/>
        <v>14.11</v>
      </c>
      <c r="R1073" s="29">
        <f t="shared" si="718"/>
        <v>16.931999999999999</v>
      </c>
      <c r="S1073" s="29">
        <f t="shared" si="719"/>
        <v>16.931999999999999</v>
      </c>
      <c r="T1073" s="35">
        <f t="shared" si="723"/>
        <v>45337</v>
      </c>
      <c r="U1073" s="27"/>
      <c r="V1073" s="27"/>
      <c r="W1073" s="160">
        <f>IF(K1073=TRUE,Q1073/I1073,Q1073)</f>
        <v>14.11</v>
      </c>
      <c r="X1073" s="31">
        <f t="shared" si="720"/>
        <v>0</v>
      </c>
      <c r="Y1073" t="b">
        <f t="shared" si="710"/>
        <v>0</v>
      </c>
      <c r="Z1073" s="161">
        <f t="shared" si="721"/>
        <v>-14.11</v>
      </c>
    </row>
    <row r="1074" spans="1:26" x14ac:dyDescent="0.25">
      <c r="A1074" s="53">
        <v>2023</v>
      </c>
      <c r="B1074" s="53">
        <v>200</v>
      </c>
    </row>
    <row r="1075" spans="1:26" x14ac:dyDescent="0.25">
      <c r="A1075" s="53">
        <v>2023</v>
      </c>
      <c r="B1075" s="53">
        <v>201</v>
      </c>
    </row>
    <row r="1076" spans="1:26" x14ac:dyDescent="0.25">
      <c r="A1076" s="53">
        <v>2023</v>
      </c>
      <c r="B1076" s="53">
        <v>202</v>
      </c>
    </row>
    <row r="1077" spans="1:26" x14ac:dyDescent="0.25">
      <c r="A1077" s="53">
        <v>2023</v>
      </c>
      <c r="B1077" s="53">
        <v>203</v>
      </c>
    </row>
    <row r="1078" spans="1:26" x14ac:dyDescent="0.25">
      <c r="A1078" s="53">
        <v>2023</v>
      </c>
      <c r="B1078" s="53">
        <v>204</v>
      </c>
    </row>
    <row r="1079" spans="1:26" x14ac:dyDescent="0.25">
      <c r="A1079" s="53">
        <v>2023</v>
      </c>
      <c r="B1079" s="53">
        <v>205</v>
      </c>
    </row>
    <row r="1080" spans="1:26" x14ac:dyDescent="0.25">
      <c r="A1080" s="53">
        <v>2023</v>
      </c>
      <c r="B1080" s="53">
        <v>206</v>
      </c>
    </row>
    <row r="1081" spans="1:26" x14ac:dyDescent="0.25">
      <c r="A1081" s="53">
        <v>2023</v>
      </c>
      <c r="B1081" s="53">
        <v>207</v>
      </c>
    </row>
    <row r="1082" spans="1:26" x14ac:dyDescent="0.25">
      <c r="A1082" s="53">
        <v>2023</v>
      </c>
      <c r="B1082" s="53">
        <v>208</v>
      </c>
    </row>
    <row r="1083" spans="1:26" x14ac:dyDescent="0.25">
      <c r="A1083" s="53">
        <v>2023</v>
      </c>
      <c r="B1083" s="53">
        <v>209</v>
      </c>
    </row>
    <row r="1084" spans="1:26" x14ac:dyDescent="0.25">
      <c r="A1084" s="53">
        <v>2023</v>
      </c>
      <c r="B1084" s="53">
        <v>210</v>
      </c>
    </row>
    <row r="1085" spans="1:26" x14ac:dyDescent="0.25">
      <c r="A1085" s="53">
        <v>2023</v>
      </c>
      <c r="B1085" s="53">
        <v>211</v>
      </c>
    </row>
    <row r="1086" spans="1:26" x14ac:dyDescent="0.25">
      <c r="A1086" s="53">
        <v>2023</v>
      </c>
      <c r="B1086" s="53">
        <v>212</v>
      </c>
    </row>
    <row r="1087" spans="1:26" x14ac:dyDescent="0.25">
      <c r="A1087" s="53">
        <v>2023</v>
      </c>
      <c r="B1087" s="53">
        <v>213</v>
      </c>
    </row>
    <row r="1088" spans="1:26" x14ac:dyDescent="0.25">
      <c r="A1088" s="53">
        <v>2023</v>
      </c>
      <c r="B1088" s="53">
        <v>214</v>
      </c>
    </row>
    <row r="1089" spans="1:2" x14ac:dyDescent="0.25">
      <c r="A1089" s="53">
        <v>2023</v>
      </c>
      <c r="B1089" s="53">
        <v>215</v>
      </c>
    </row>
    <row r="1090" spans="1:2" x14ac:dyDescent="0.25">
      <c r="A1090" s="53">
        <v>2023</v>
      </c>
      <c r="B1090" s="53">
        <v>216</v>
      </c>
    </row>
    <row r="1091" spans="1:2" x14ac:dyDescent="0.25">
      <c r="A1091" s="53">
        <v>2023</v>
      </c>
      <c r="B1091" s="53">
        <v>217</v>
      </c>
    </row>
    <row r="1092" spans="1:2" x14ac:dyDescent="0.25">
      <c r="A1092" s="53">
        <v>2023</v>
      </c>
      <c r="B1092" s="53">
        <v>218</v>
      </c>
    </row>
    <row r="1093" spans="1:2" x14ac:dyDescent="0.25">
      <c r="A1093" s="53">
        <v>2023</v>
      </c>
      <c r="B1093" s="53">
        <v>219</v>
      </c>
    </row>
    <row r="1094" spans="1:2" x14ac:dyDescent="0.25">
      <c r="A1094" s="53">
        <v>2023</v>
      </c>
      <c r="B1094" s="53">
        <v>220</v>
      </c>
    </row>
    <row r="1095" spans="1:2" x14ac:dyDescent="0.25">
      <c r="A1095" s="53">
        <v>2023</v>
      </c>
      <c r="B1095" s="53">
        <v>221</v>
      </c>
    </row>
    <row r="1096" spans="1:2" x14ac:dyDescent="0.25">
      <c r="A1096" s="53">
        <v>2023</v>
      </c>
      <c r="B1096" s="53">
        <v>222</v>
      </c>
    </row>
    <row r="1097" spans="1:2" x14ac:dyDescent="0.25">
      <c r="A1097" s="53">
        <v>2023</v>
      </c>
      <c r="B1097" s="53">
        <v>223</v>
      </c>
    </row>
    <row r="1098" spans="1:2" x14ac:dyDescent="0.25">
      <c r="A1098" s="53">
        <v>2023</v>
      </c>
      <c r="B1098" s="53">
        <v>224</v>
      </c>
    </row>
    <row r="1099" spans="1:2" x14ac:dyDescent="0.25">
      <c r="A1099" s="53">
        <v>2023</v>
      </c>
      <c r="B1099" s="53">
        <v>225</v>
      </c>
    </row>
    <row r="1100" spans="1:2" x14ac:dyDescent="0.25">
      <c r="A1100" s="53">
        <v>2023</v>
      </c>
      <c r="B1100" s="53">
        <v>226</v>
      </c>
    </row>
    <row r="1101" spans="1:2" x14ac:dyDescent="0.25">
      <c r="A1101" s="53">
        <v>2023</v>
      </c>
      <c r="B1101" s="53">
        <v>227</v>
      </c>
    </row>
    <row r="1102" spans="1:2" x14ac:dyDescent="0.25">
      <c r="A1102" s="53">
        <v>2023</v>
      </c>
      <c r="B1102" s="53">
        <v>228</v>
      </c>
    </row>
    <row r="1103" spans="1:2" x14ac:dyDescent="0.25">
      <c r="A1103" s="53">
        <v>2023</v>
      </c>
      <c r="B1103" s="53">
        <v>229</v>
      </c>
    </row>
    <row r="1104" spans="1:2" x14ac:dyDescent="0.25">
      <c r="A1104" s="53">
        <v>2023</v>
      </c>
      <c r="B1104" s="53">
        <v>230</v>
      </c>
    </row>
    <row r="1105" spans="1:8" x14ac:dyDescent="0.25">
      <c r="A1105" s="53">
        <v>2023</v>
      </c>
      <c r="B1105" s="53">
        <v>231</v>
      </c>
    </row>
    <row r="1106" spans="1:8" x14ac:dyDescent="0.25">
      <c r="A1106" s="53">
        <v>2023</v>
      </c>
      <c r="B1106" s="53">
        <v>232</v>
      </c>
    </row>
    <row r="1107" spans="1:8" x14ac:dyDescent="0.25">
      <c r="A1107" s="53">
        <v>2023</v>
      </c>
      <c r="B1107" s="53">
        <v>233</v>
      </c>
    </row>
    <row r="1108" spans="1:8" x14ac:dyDescent="0.25">
      <c r="A1108" s="53">
        <v>2023</v>
      </c>
      <c r="B1108" s="53">
        <v>234</v>
      </c>
    </row>
    <row r="1109" spans="1:8" x14ac:dyDescent="0.25">
      <c r="A1109" s="53">
        <v>2023</v>
      </c>
      <c r="B1109" s="53">
        <v>235</v>
      </c>
    </row>
    <row r="1110" spans="1:8" x14ac:dyDescent="0.25">
      <c r="A1110" s="53">
        <v>2023</v>
      </c>
      <c r="B1110" s="53">
        <v>236</v>
      </c>
    </row>
    <row r="1111" spans="1:8" x14ac:dyDescent="0.25">
      <c r="A1111" s="53">
        <v>2023</v>
      </c>
      <c r="B1111" s="53">
        <v>237</v>
      </c>
    </row>
    <row r="1112" spans="1:8" x14ac:dyDescent="0.25">
      <c r="A1112" s="53">
        <v>2023</v>
      </c>
      <c r="B1112" s="53">
        <v>238</v>
      </c>
      <c r="H1112" s="39"/>
    </row>
    <row r="1113" spans="1:8" x14ac:dyDescent="0.25">
      <c r="A1113" s="53">
        <v>2023</v>
      </c>
      <c r="B1113" s="53">
        <v>239</v>
      </c>
    </row>
    <row r="1114" spans="1:8" x14ac:dyDescent="0.25">
      <c r="A1114" s="53">
        <v>2023</v>
      </c>
      <c r="B1114" s="53">
        <v>240</v>
      </c>
    </row>
    <row r="1115" spans="1:8" x14ac:dyDescent="0.25">
      <c r="A1115" s="53">
        <v>2023</v>
      </c>
      <c r="B1115" s="53">
        <v>241</v>
      </c>
    </row>
    <row r="1116" spans="1:8" x14ac:dyDescent="0.25">
      <c r="A1116" s="53">
        <v>2023</v>
      </c>
      <c r="B1116" s="53">
        <v>242</v>
      </c>
    </row>
    <row r="1117" spans="1:8" x14ac:dyDescent="0.25">
      <c r="A1117" s="53">
        <v>2023</v>
      </c>
      <c r="B1117" s="53">
        <v>243</v>
      </c>
    </row>
    <row r="1118" spans="1:8" x14ac:dyDescent="0.25">
      <c r="A1118" s="53">
        <v>2023</v>
      </c>
      <c r="B1118" s="53">
        <v>244</v>
      </c>
    </row>
    <row r="1119" spans="1:8" x14ac:dyDescent="0.25">
      <c r="A1119" s="53">
        <v>2023</v>
      </c>
      <c r="B1119" s="53">
        <v>245</v>
      </c>
    </row>
    <row r="1120" spans="1:8" x14ac:dyDescent="0.25">
      <c r="A1120" s="53">
        <v>2023</v>
      </c>
      <c r="B1120" s="53">
        <v>246</v>
      </c>
    </row>
    <row r="1121" spans="1:2" x14ac:dyDescent="0.25">
      <c r="A1121" s="53">
        <v>2023</v>
      </c>
      <c r="B1121" s="53">
        <v>247</v>
      </c>
    </row>
    <row r="1122" spans="1:2" x14ac:dyDescent="0.25">
      <c r="A1122" s="53">
        <v>2023</v>
      </c>
      <c r="B1122" s="53">
        <v>248</v>
      </c>
    </row>
    <row r="1123" spans="1:2" x14ac:dyDescent="0.25">
      <c r="A1123" s="53">
        <v>2023</v>
      </c>
      <c r="B1123" s="53">
        <v>249</v>
      </c>
    </row>
    <row r="1124" spans="1:2" x14ac:dyDescent="0.25">
      <c r="A1124" s="53">
        <v>2023</v>
      </c>
      <c r="B1124" s="53">
        <v>250</v>
      </c>
    </row>
    <row r="1125" spans="1:2" x14ac:dyDescent="0.25">
      <c r="A1125" s="53">
        <v>2023</v>
      </c>
      <c r="B1125" s="53">
        <v>251</v>
      </c>
    </row>
    <row r="1126" spans="1:2" x14ac:dyDescent="0.25">
      <c r="A1126" s="53">
        <v>2023</v>
      </c>
      <c r="B1126" s="53">
        <v>252</v>
      </c>
    </row>
    <row r="1127" spans="1:2" x14ac:dyDescent="0.25">
      <c r="A1127" s="53">
        <v>2023</v>
      </c>
      <c r="B1127" s="53">
        <v>253</v>
      </c>
    </row>
    <row r="1128" spans="1:2" x14ac:dyDescent="0.25">
      <c r="A1128" s="53">
        <v>2023</v>
      </c>
      <c r="B1128" s="53">
        <v>254</v>
      </c>
    </row>
    <row r="1129" spans="1:2" x14ac:dyDescent="0.25">
      <c r="A1129" s="53">
        <v>2023</v>
      </c>
      <c r="B1129" s="53">
        <v>255</v>
      </c>
    </row>
    <row r="1130" spans="1:2" x14ac:dyDescent="0.25">
      <c r="A1130" s="53">
        <v>2023</v>
      </c>
      <c r="B1130" s="53">
        <v>256</v>
      </c>
    </row>
    <row r="1131" spans="1:2" x14ac:dyDescent="0.25">
      <c r="A1131" s="53">
        <v>2023</v>
      </c>
      <c r="B1131" s="53">
        <v>257</v>
      </c>
    </row>
    <row r="1132" spans="1:2" x14ac:dyDescent="0.25">
      <c r="A1132" s="53">
        <v>2023</v>
      </c>
      <c r="B1132" s="53">
        <v>258</v>
      </c>
    </row>
    <row r="1133" spans="1:2" x14ac:dyDescent="0.25">
      <c r="A1133" s="53">
        <v>2023</v>
      </c>
      <c r="B1133" s="53">
        <v>259</v>
      </c>
    </row>
    <row r="1134" spans="1:2" x14ac:dyDescent="0.25">
      <c r="A1134" s="53">
        <v>2023</v>
      </c>
      <c r="B1134" s="53">
        <v>260</v>
      </c>
    </row>
    <row r="1135" spans="1:2" x14ac:dyDescent="0.25">
      <c r="A1135" s="53">
        <v>2023</v>
      </c>
      <c r="B1135" s="53">
        <v>261</v>
      </c>
    </row>
    <row r="1136" spans="1:2" x14ac:dyDescent="0.25">
      <c r="A1136" s="53">
        <v>2023</v>
      </c>
      <c r="B1136" s="53">
        <v>262</v>
      </c>
    </row>
    <row r="1137" spans="1:2" x14ac:dyDescent="0.25">
      <c r="A1137" s="53">
        <v>2023</v>
      </c>
      <c r="B1137" s="53">
        <v>263</v>
      </c>
    </row>
    <row r="1138" spans="1:2" x14ac:dyDescent="0.25">
      <c r="A1138" s="53">
        <v>2023</v>
      </c>
      <c r="B1138" s="53">
        <v>264</v>
      </c>
    </row>
    <row r="1139" spans="1:2" x14ac:dyDescent="0.25">
      <c r="A1139" s="53">
        <v>2023</v>
      </c>
      <c r="B1139" s="53">
        <v>265</v>
      </c>
    </row>
    <row r="1140" spans="1:2" x14ac:dyDescent="0.25">
      <c r="A1140" s="53">
        <v>2023</v>
      </c>
      <c r="B1140" s="53">
        <v>266</v>
      </c>
    </row>
    <row r="1141" spans="1:2" x14ac:dyDescent="0.25">
      <c r="A1141" s="53">
        <v>2023</v>
      </c>
      <c r="B1141" s="53">
        <v>267</v>
      </c>
    </row>
    <row r="1142" spans="1:2" x14ac:dyDescent="0.25">
      <c r="A1142" s="53">
        <v>2023</v>
      </c>
      <c r="B1142" s="53">
        <v>268</v>
      </c>
    </row>
    <row r="1143" spans="1:2" x14ac:dyDescent="0.25">
      <c r="A1143" s="53">
        <v>2023</v>
      </c>
      <c r="B1143" s="53">
        <v>269</v>
      </c>
    </row>
    <row r="1144" spans="1:2" x14ac:dyDescent="0.25">
      <c r="A1144" s="53">
        <v>2023</v>
      </c>
      <c r="B1144" s="53">
        <v>270</v>
      </c>
    </row>
    <row r="1145" spans="1:2" x14ac:dyDescent="0.25">
      <c r="A1145" s="53">
        <v>2023</v>
      </c>
      <c r="B1145" s="53">
        <v>271</v>
      </c>
    </row>
    <row r="1146" spans="1:2" x14ac:dyDescent="0.25">
      <c r="A1146" s="53">
        <v>2023</v>
      </c>
      <c r="B1146" s="53">
        <v>272</v>
      </c>
    </row>
    <row r="1147" spans="1:2" x14ac:dyDescent="0.25">
      <c r="A1147" s="53">
        <v>2023</v>
      </c>
      <c r="B1147" s="53">
        <v>273</v>
      </c>
    </row>
    <row r="1148" spans="1:2" x14ac:dyDescent="0.25">
      <c r="A1148" s="53">
        <v>2023</v>
      </c>
      <c r="B1148" s="53">
        <v>274</v>
      </c>
    </row>
    <row r="1149" spans="1:2" x14ac:dyDescent="0.25">
      <c r="A1149" s="53">
        <v>2023</v>
      </c>
      <c r="B1149" s="53">
        <v>275</v>
      </c>
    </row>
    <row r="1150" spans="1:2" x14ac:dyDescent="0.25">
      <c r="A1150" s="53">
        <v>2023</v>
      </c>
      <c r="B1150" s="53">
        <v>276</v>
      </c>
    </row>
    <row r="1151" spans="1:2" x14ac:dyDescent="0.25">
      <c r="A1151" s="53">
        <v>2023</v>
      </c>
      <c r="B1151" s="53">
        <v>277</v>
      </c>
    </row>
    <row r="1152" spans="1:2" x14ac:dyDescent="0.25">
      <c r="A1152" s="53">
        <v>2023</v>
      </c>
      <c r="B1152" s="53">
        <v>278</v>
      </c>
    </row>
    <row r="1153" spans="1:2" x14ac:dyDescent="0.25">
      <c r="A1153" s="53">
        <v>2023</v>
      </c>
      <c r="B1153" s="53">
        <v>279</v>
      </c>
    </row>
    <row r="1154" spans="1:2" x14ac:dyDescent="0.25">
      <c r="A1154" s="53">
        <v>2023</v>
      </c>
      <c r="B1154" s="53">
        <v>280</v>
      </c>
    </row>
    <row r="1155" spans="1:2" x14ac:dyDescent="0.25">
      <c r="A1155" s="53">
        <v>2023</v>
      </c>
      <c r="B1155" s="53">
        <v>281</v>
      </c>
    </row>
    <row r="1156" spans="1:2" x14ac:dyDescent="0.25">
      <c r="A1156" s="53">
        <v>2023</v>
      </c>
      <c r="B1156" s="53">
        <v>282</v>
      </c>
    </row>
    <row r="1157" spans="1:2" x14ac:dyDescent="0.25">
      <c r="A1157" s="53">
        <v>2023</v>
      </c>
      <c r="B1157" s="53">
        <v>283</v>
      </c>
    </row>
    <row r="1158" spans="1:2" x14ac:dyDescent="0.25">
      <c r="A1158" s="53">
        <v>2023</v>
      </c>
      <c r="B1158" s="53">
        <v>284</v>
      </c>
    </row>
    <row r="1159" spans="1:2" x14ac:dyDescent="0.25">
      <c r="A1159" s="53">
        <v>2023</v>
      </c>
      <c r="B1159" s="53">
        <v>285</v>
      </c>
    </row>
    <row r="1160" spans="1:2" x14ac:dyDescent="0.25">
      <c r="A1160" s="53">
        <v>2023</v>
      </c>
      <c r="B1160" s="53">
        <v>286</v>
      </c>
    </row>
    <row r="1161" spans="1:2" x14ac:dyDescent="0.25">
      <c r="A1161" s="53">
        <v>2023</v>
      </c>
      <c r="B1161" s="53">
        <v>287</v>
      </c>
    </row>
    <row r="1162" spans="1:2" x14ac:dyDescent="0.25">
      <c r="A1162" s="53">
        <v>2023</v>
      </c>
      <c r="B1162" s="53">
        <v>288</v>
      </c>
    </row>
    <row r="1163" spans="1:2" x14ac:dyDescent="0.25">
      <c r="A1163" s="53">
        <v>2023</v>
      </c>
      <c r="B1163" s="53">
        <v>289</v>
      </c>
    </row>
    <row r="1164" spans="1:2" x14ac:dyDescent="0.25">
      <c r="A1164" s="53">
        <v>2023</v>
      </c>
      <c r="B1164" s="53">
        <v>290</v>
      </c>
    </row>
    <row r="1165" spans="1:2" x14ac:dyDescent="0.25">
      <c r="A1165" s="53">
        <v>2023</v>
      </c>
      <c r="B1165" s="53">
        <v>291</v>
      </c>
    </row>
    <row r="1166" spans="1:2" x14ac:dyDescent="0.25">
      <c r="A1166" s="53">
        <v>2023</v>
      </c>
      <c r="B1166" s="53">
        <v>292</v>
      </c>
    </row>
    <row r="1167" spans="1:2" x14ac:dyDescent="0.25">
      <c r="A1167" s="53">
        <v>2023</v>
      </c>
      <c r="B1167" s="53">
        <v>293</v>
      </c>
    </row>
    <row r="1168" spans="1:2" x14ac:dyDescent="0.25">
      <c r="A1168" s="53">
        <v>2023</v>
      </c>
      <c r="B1168" s="53">
        <v>294</v>
      </c>
    </row>
    <row r="1169" spans="1:2" x14ac:dyDescent="0.25">
      <c r="A1169" s="53">
        <v>2023</v>
      </c>
      <c r="B1169" s="53">
        <v>295</v>
      </c>
    </row>
    <row r="1170" spans="1:2" x14ac:dyDescent="0.25">
      <c r="A1170" s="53">
        <v>2023</v>
      </c>
      <c r="B1170" s="53">
        <v>296</v>
      </c>
    </row>
    <row r="1171" spans="1:2" x14ac:dyDescent="0.25">
      <c r="A1171" s="53">
        <v>2023</v>
      </c>
      <c r="B1171" s="53">
        <v>297</v>
      </c>
    </row>
    <row r="1172" spans="1:2" x14ac:dyDescent="0.25">
      <c r="A1172" s="53">
        <v>2023</v>
      </c>
      <c r="B1172" s="53">
        <v>298</v>
      </c>
    </row>
    <row r="1173" spans="1:2" x14ac:dyDescent="0.25">
      <c r="A1173" s="53">
        <v>2023</v>
      </c>
      <c r="B1173" s="53">
        <v>299</v>
      </c>
    </row>
    <row r="1174" spans="1:2" x14ac:dyDescent="0.25">
      <c r="A1174" s="53">
        <v>2023</v>
      </c>
      <c r="B1174" s="53">
        <v>300</v>
      </c>
    </row>
    <row r="1175" spans="1:2" x14ac:dyDescent="0.25">
      <c r="A1175" s="53">
        <v>2023</v>
      </c>
      <c r="B1175" s="53">
        <v>301</v>
      </c>
    </row>
    <row r="1176" spans="1:2" x14ac:dyDescent="0.25">
      <c r="A1176" s="53">
        <v>2023</v>
      </c>
      <c r="B1176" s="53">
        <v>302</v>
      </c>
    </row>
    <row r="1177" spans="1:2" x14ac:dyDescent="0.25">
      <c r="A1177" s="53">
        <v>2023</v>
      </c>
      <c r="B1177" s="53">
        <v>303</v>
      </c>
    </row>
    <row r="1178" spans="1:2" x14ac:dyDescent="0.25">
      <c r="A1178" s="53">
        <v>2023</v>
      </c>
      <c r="B1178" s="53">
        <v>304</v>
      </c>
    </row>
    <row r="1179" spans="1:2" x14ac:dyDescent="0.25">
      <c r="A1179" s="53">
        <v>2023</v>
      </c>
      <c r="B1179" s="53">
        <v>305</v>
      </c>
    </row>
    <row r="1180" spans="1:2" x14ac:dyDescent="0.25">
      <c r="A1180" s="53">
        <v>2023</v>
      </c>
      <c r="B1180" s="53">
        <v>306</v>
      </c>
    </row>
    <row r="1181" spans="1:2" x14ac:dyDescent="0.25">
      <c r="A1181" s="53">
        <v>2023</v>
      </c>
      <c r="B1181" s="53">
        <v>307</v>
      </c>
    </row>
    <row r="1182" spans="1:2" x14ac:dyDescent="0.25">
      <c r="A1182" s="53">
        <v>2023</v>
      </c>
      <c r="B1182" s="53">
        <v>308</v>
      </c>
    </row>
    <row r="1183" spans="1:2" x14ac:dyDescent="0.25">
      <c r="A1183" s="53">
        <v>2023</v>
      </c>
      <c r="B1183" s="53">
        <v>309</v>
      </c>
    </row>
    <row r="1184" spans="1:2" x14ac:dyDescent="0.25">
      <c r="A1184" s="53">
        <v>2023</v>
      </c>
      <c r="B1184" s="53">
        <v>310</v>
      </c>
    </row>
    <row r="1185" spans="1:2" x14ac:dyDescent="0.25">
      <c r="A1185" s="53">
        <v>2023</v>
      </c>
      <c r="B1185" s="53">
        <v>311</v>
      </c>
    </row>
    <row r="1186" spans="1:2" x14ac:dyDescent="0.25">
      <c r="A1186" s="53">
        <v>2023</v>
      </c>
      <c r="B1186" s="53">
        <v>312</v>
      </c>
    </row>
    <row r="1187" spans="1:2" x14ac:dyDescent="0.25">
      <c r="A1187" s="53">
        <v>2023</v>
      </c>
      <c r="B1187" s="53">
        <v>313</v>
      </c>
    </row>
    <row r="1188" spans="1:2" x14ac:dyDescent="0.25">
      <c r="A1188" s="53">
        <v>2023</v>
      </c>
      <c r="B1188" s="53">
        <v>314</v>
      </c>
    </row>
    <row r="1189" spans="1:2" x14ac:dyDescent="0.25">
      <c r="A1189" s="53">
        <v>2023</v>
      </c>
      <c r="B1189" s="53">
        <v>315</v>
      </c>
    </row>
    <row r="1190" spans="1:2" x14ac:dyDescent="0.25">
      <c r="A1190" s="53">
        <v>2023</v>
      </c>
      <c r="B1190" s="53">
        <v>316</v>
      </c>
    </row>
    <row r="1191" spans="1:2" x14ac:dyDescent="0.25">
      <c r="A1191" s="53">
        <v>2023</v>
      </c>
      <c r="B1191" s="53">
        <v>317</v>
      </c>
    </row>
    <row r="1192" spans="1:2" x14ac:dyDescent="0.25">
      <c r="A1192" s="53">
        <v>2023</v>
      </c>
      <c r="B1192" s="53">
        <v>318</v>
      </c>
    </row>
    <row r="1193" spans="1:2" x14ac:dyDescent="0.25">
      <c r="A1193" s="53">
        <v>2023</v>
      </c>
      <c r="B1193" s="53">
        <v>319</v>
      </c>
    </row>
    <row r="1194" spans="1:2" x14ac:dyDescent="0.25">
      <c r="A1194" s="53">
        <v>2023</v>
      </c>
      <c r="B1194" s="53">
        <v>320</v>
      </c>
    </row>
    <row r="1195" spans="1:2" x14ac:dyDescent="0.25">
      <c r="A1195" s="53">
        <v>2023</v>
      </c>
      <c r="B1195" s="53">
        <v>321</v>
      </c>
    </row>
    <row r="1196" spans="1:2" x14ac:dyDescent="0.25">
      <c r="A1196" s="53">
        <v>2023</v>
      </c>
      <c r="B1196" s="53">
        <v>322</v>
      </c>
    </row>
    <row r="1197" spans="1:2" x14ac:dyDescent="0.25">
      <c r="A1197" s="53">
        <v>2023</v>
      </c>
      <c r="B1197" s="53">
        <v>323</v>
      </c>
    </row>
    <row r="1198" spans="1:2" x14ac:dyDescent="0.25">
      <c r="A1198" s="53">
        <v>2023</v>
      </c>
      <c r="B1198" s="53">
        <v>324</v>
      </c>
    </row>
    <row r="1199" spans="1:2" x14ac:dyDescent="0.25">
      <c r="A1199" s="53">
        <v>2023</v>
      </c>
      <c r="B1199" s="53">
        <v>325</v>
      </c>
    </row>
    <row r="1200" spans="1:2" x14ac:dyDescent="0.25">
      <c r="A1200" s="53">
        <v>2023</v>
      </c>
      <c r="B1200" s="53">
        <v>326</v>
      </c>
    </row>
    <row r="1201" spans="1:2" x14ac:dyDescent="0.25">
      <c r="A1201" s="53">
        <v>2023</v>
      </c>
      <c r="B1201" s="53">
        <v>327</v>
      </c>
    </row>
    <row r="1202" spans="1:2" x14ac:dyDescent="0.25">
      <c r="A1202" s="53">
        <v>2023</v>
      </c>
      <c r="B1202" s="53">
        <v>328</v>
      </c>
    </row>
    <row r="1203" spans="1:2" x14ac:dyDescent="0.25">
      <c r="A1203" s="53">
        <v>2023</v>
      </c>
      <c r="B1203" s="53">
        <v>329</v>
      </c>
    </row>
    <row r="1204" spans="1:2" x14ac:dyDescent="0.25">
      <c r="A1204" s="53">
        <v>2023</v>
      </c>
      <c r="B1204" s="53">
        <v>330</v>
      </c>
    </row>
    <row r="1205" spans="1:2" x14ac:dyDescent="0.25">
      <c r="A1205" s="53">
        <v>2023</v>
      </c>
      <c r="B1205" s="53">
        <v>331</v>
      </c>
    </row>
    <row r="1206" spans="1:2" x14ac:dyDescent="0.25">
      <c r="A1206" s="53">
        <v>2023</v>
      </c>
      <c r="B1206" s="53">
        <v>332</v>
      </c>
    </row>
    <row r="1207" spans="1:2" x14ac:dyDescent="0.25">
      <c r="A1207" s="53">
        <v>2023</v>
      </c>
      <c r="B1207" s="53">
        <v>333</v>
      </c>
    </row>
    <row r="1208" spans="1:2" x14ac:dyDescent="0.25">
      <c r="A1208" s="53">
        <v>2023</v>
      </c>
      <c r="B1208" s="53">
        <v>334</v>
      </c>
    </row>
    <row r="1209" spans="1:2" x14ac:dyDescent="0.25">
      <c r="A1209" s="53">
        <v>2023</v>
      </c>
      <c r="B1209" s="53">
        <v>335</v>
      </c>
    </row>
    <row r="1210" spans="1:2" x14ac:dyDescent="0.25">
      <c r="A1210" s="53">
        <v>2023</v>
      </c>
      <c r="B1210" s="53">
        <v>336</v>
      </c>
    </row>
    <row r="1211" spans="1:2" x14ac:dyDescent="0.25">
      <c r="A1211" s="53">
        <v>2023</v>
      </c>
      <c r="B1211" s="53">
        <v>337</v>
      </c>
    </row>
    <row r="1212" spans="1:2" x14ac:dyDescent="0.25">
      <c r="A1212" s="53">
        <v>2023</v>
      </c>
      <c r="B1212" s="53">
        <v>338</v>
      </c>
    </row>
    <row r="1213" spans="1:2" x14ac:dyDescent="0.25">
      <c r="A1213" s="53">
        <v>2023</v>
      </c>
      <c r="B1213" s="53">
        <v>339</v>
      </c>
    </row>
    <row r="1214" spans="1:2" x14ac:dyDescent="0.25">
      <c r="A1214" s="53">
        <v>2023</v>
      </c>
      <c r="B1214" s="53">
        <v>340</v>
      </c>
    </row>
    <row r="1215" spans="1:2" x14ac:dyDescent="0.25">
      <c r="A1215" s="53">
        <v>2023</v>
      </c>
      <c r="B1215" s="53">
        <v>341</v>
      </c>
    </row>
    <row r="1216" spans="1:2" x14ac:dyDescent="0.25">
      <c r="A1216" s="53">
        <v>2023</v>
      </c>
      <c r="B1216" s="53">
        <v>342</v>
      </c>
    </row>
    <row r="1217" spans="1:2" x14ac:dyDescent="0.25">
      <c r="A1217" s="53">
        <v>2023</v>
      </c>
      <c r="B1217" s="53">
        <v>343</v>
      </c>
    </row>
    <row r="1218" spans="1:2" x14ac:dyDescent="0.25">
      <c r="A1218" s="53">
        <v>2023</v>
      </c>
      <c r="B1218" s="53">
        <v>344</v>
      </c>
    </row>
    <row r="1219" spans="1:2" x14ac:dyDescent="0.25">
      <c r="A1219" s="53">
        <v>2023</v>
      </c>
      <c r="B1219" s="53">
        <v>345</v>
      </c>
    </row>
    <row r="1220" spans="1:2" x14ac:dyDescent="0.25">
      <c r="A1220" s="53">
        <v>2023</v>
      </c>
      <c r="B1220" s="53">
        <v>346</v>
      </c>
    </row>
    <row r="1221" spans="1:2" x14ac:dyDescent="0.25">
      <c r="A1221" s="53">
        <v>2023</v>
      </c>
      <c r="B1221" s="53">
        <v>347</v>
      </c>
    </row>
    <row r="1222" spans="1:2" x14ac:dyDescent="0.25">
      <c r="A1222" s="53">
        <v>2023</v>
      </c>
      <c r="B1222" s="53">
        <v>348</v>
      </c>
    </row>
    <row r="1223" spans="1:2" x14ac:dyDescent="0.25">
      <c r="A1223" s="53">
        <v>2023</v>
      </c>
      <c r="B1223" s="53">
        <v>349</v>
      </c>
    </row>
    <row r="1224" spans="1:2" x14ac:dyDescent="0.25">
      <c r="A1224" s="53">
        <v>2023</v>
      </c>
      <c r="B1224" s="53">
        <v>350</v>
      </c>
    </row>
    <row r="1225" spans="1:2" x14ac:dyDescent="0.25">
      <c r="A1225" s="53">
        <v>2023</v>
      </c>
      <c r="B1225" s="53">
        <v>351</v>
      </c>
    </row>
  </sheetData>
  <autoFilter ref="A1:Y1225" xr:uid="{7A0A0432-D3FE-4D4B-AD0F-88C9E0930093}"/>
  <phoneticPr fontId="16" type="noConversion"/>
  <conditionalFormatting sqref="F1">
    <cfRule type="expression" dxfId="10289" priority="7530">
      <formula>ISBLANK($G1)</formula>
    </cfRule>
  </conditionalFormatting>
  <conditionalFormatting sqref="L1">
    <cfRule type="expression" dxfId="10288" priority="7529">
      <formula>"$G$G&gt;400"</formula>
    </cfRule>
  </conditionalFormatting>
  <conditionalFormatting sqref="G1">
    <cfRule type="expression" dxfId="10287" priority="8601">
      <formula>ISBLANK(#REF!)</formula>
    </cfRule>
  </conditionalFormatting>
  <conditionalFormatting sqref="T4 T300:T301 T982:T983">
    <cfRule type="expression" dxfId="10286" priority="7525">
      <formula>AND(AND($W4&lt;TODAY(),$W4&lt;&gt;""),$X4="")</formula>
    </cfRule>
  </conditionalFormatting>
  <conditionalFormatting sqref="T3">
    <cfRule type="expression" dxfId="10285" priority="7522">
      <formula>AND(AND($W3&lt;TODAY(),$W3&lt;&gt;""),$X3="")</formula>
    </cfRule>
  </conditionalFormatting>
  <conditionalFormatting sqref="C89:C90 C92:C95 C98:C100 C102:C118 C120:C164 C166:C170 C173 C175:C180 C182 C185:C193 C195:C242 C244:C245 C249:C265 C267 C269 C271 C273 C275 C277 C279 C281 C283 C285 C289 C291 C293 C295 C297 C309 C314 C319 C329 C334 C339 C349 C353 C312 C317 C327 C332 C342 C351 C300:C302 C304:C307 C322:C324 C928 C1011 C1014 C1044 C1055 C1064 C1074:C1048576 C1:C87">
    <cfRule type="containsText" dxfId="10284" priority="7523" operator="containsText" text="Einnahmen">
      <formula>NOT(ISERROR(SEARCH("Einnahmen",C1)))</formula>
    </cfRule>
    <cfRule type="containsText" dxfId="10283" priority="7524" operator="containsText" text="Ausgaben">
      <formula>NOT(ISERROR(SEARCH("Ausgaben",C1)))</formula>
    </cfRule>
  </conditionalFormatting>
  <conditionalFormatting sqref="T5:T13 T16:T18 T21:T27">
    <cfRule type="expression" dxfId="10282" priority="7520">
      <formula>AND(AND($W5&lt;TODAY(),$W5&lt;&gt;""),$X5="")</formula>
    </cfRule>
  </conditionalFormatting>
  <conditionalFormatting sqref="T2">
    <cfRule type="expression" dxfId="10281" priority="7518">
      <formula>AND(AND($W2&lt;TODAY(),$W2&lt;&gt;""),$X2="")</formula>
    </cfRule>
  </conditionalFormatting>
  <conditionalFormatting sqref="T15">
    <cfRule type="expression" dxfId="10280" priority="7516">
      <formula>AND(AND($W15&lt;TODAY(),$W15&lt;&gt;""),$X15="")</formula>
    </cfRule>
  </conditionalFormatting>
  <conditionalFormatting sqref="T14">
    <cfRule type="expression" dxfId="10279" priority="7515">
      <formula>AND(AND($W14&lt;TODAY(),$W14&lt;&gt;""),$X14="")</formula>
    </cfRule>
  </conditionalFormatting>
  <conditionalFormatting sqref="T19">
    <cfRule type="expression" dxfId="10278" priority="7514">
      <formula>AND(AND($W19&lt;TODAY(),$W19&lt;&gt;""),$X19="")</formula>
    </cfRule>
  </conditionalFormatting>
  <conditionalFormatting sqref="T20">
    <cfRule type="expression" dxfId="10277" priority="7513">
      <formula>AND(AND($W20&lt;TODAY(),$W20&lt;&gt;""),$X20="")</formula>
    </cfRule>
  </conditionalFormatting>
  <conditionalFormatting sqref="J2:J27 J29:J30 J34 J37:J38 J40:J41 J43:J47 J49 J51 J53:J54 J57 J63 J65 J71 J73:J75 J78 J80 J83 J85:J89 J91:J92 J96:J105 J109 J112 J117 J119:J121 J126 J128:J135 J138 J140 J142:J144 J146:J148 J150 J152:J153 J155 J158 J163:J164 J166 J170 J180 J184 J204 J194 J192 J188 J206 J209 J216 J242 J249 J253:J254 J257:J258 J264 J324 J328 J333 J341 J358 J368 J375 J387 J407 J409 J436 J450 J453:J454 J468 J481:J482 J486 J499 J509 J523 J525 J527 J533 J538 J540 J542 J552 J582 J625 J628 J640 J664:J666 J678 J701 J707 J712 J731 J733:J734 J748 J759 J763:J764 J780 J782 J793 J796 J799 J806:J807 J817 J821 J826:J827 J829:J831 J836:J840 J845 J843 J847:J848 J858 J860 J863:J864 J883 J886 J888 J890 J892 J898:J901 J907:J908 J910:J912 J922 J925:J929 J932 J934 J939 J946 J948:J949 J954 J958 J961 J965 J971 J973:J974 J978:J979 J982:J983 J996:J997 J999 J1008 J1010:J1011 J870:J874 J1013:J1014 J1023:J1024 J1034:J1035 J1038:J1039 J1044 J1046:J1048 J1051:J1057 J1061:J1064 J1066 J1068:J1070 J1073:J1048576">
    <cfRule type="cellIs" dxfId="10276" priority="7511" operator="equal">
      <formula>"ja"</formula>
    </cfRule>
  </conditionalFormatting>
  <conditionalFormatting sqref="T28">
    <cfRule type="expression" dxfId="10275" priority="7510">
      <formula>AND(AND($W28&lt;TODAY(),$W28&lt;&gt;""),$X28="")</formula>
    </cfRule>
  </conditionalFormatting>
  <conditionalFormatting sqref="J28">
    <cfRule type="cellIs" dxfId="10274" priority="7509" operator="equal">
      <formula>"ja"</formula>
    </cfRule>
  </conditionalFormatting>
  <conditionalFormatting sqref="T29">
    <cfRule type="expression" dxfId="10273" priority="7508">
      <formula>AND(AND($W29&lt;TODAY(),$W29&lt;&gt;""),$X29="")</formula>
    </cfRule>
  </conditionalFormatting>
  <conditionalFormatting sqref="T34 T37 T40:T41">
    <cfRule type="expression" dxfId="10272" priority="7507">
      <formula>AND(AND($W34&lt;TODAY(),$W34&lt;&gt;""),$X34="")</formula>
    </cfRule>
  </conditionalFormatting>
  <conditionalFormatting sqref="T30">
    <cfRule type="expression" dxfId="10271" priority="7506">
      <formula>AND(AND($W30&lt;TODAY(),$W30&lt;&gt;""),$X30="")</formula>
    </cfRule>
  </conditionalFormatting>
  <conditionalFormatting sqref="T31">
    <cfRule type="expression" dxfId="10270" priority="7505">
      <formula>AND(AND($W31&lt;TODAY(),$W31&lt;&gt;""),$X31="")</formula>
    </cfRule>
  </conditionalFormatting>
  <conditionalFormatting sqref="J31">
    <cfRule type="cellIs" dxfId="10269" priority="7504" operator="equal">
      <formula>"ja"</formula>
    </cfRule>
  </conditionalFormatting>
  <conditionalFormatting sqref="T32">
    <cfRule type="expression" dxfId="10268" priority="7503">
      <formula>AND(AND($W32&lt;TODAY(),$W32&lt;&gt;""),$X32="")</formula>
    </cfRule>
  </conditionalFormatting>
  <conditionalFormatting sqref="J32">
    <cfRule type="cellIs" dxfId="10267" priority="7502" operator="equal">
      <formula>"ja"</formula>
    </cfRule>
  </conditionalFormatting>
  <conditionalFormatting sqref="T33">
    <cfRule type="expression" dxfId="10266" priority="7501">
      <formula>AND(AND($W33&lt;TODAY(),$W33&lt;&gt;""),$X33="")</formula>
    </cfRule>
  </conditionalFormatting>
  <conditionalFormatting sqref="J33">
    <cfRule type="cellIs" dxfId="10265" priority="7500" operator="equal">
      <formula>"ja"</formula>
    </cfRule>
  </conditionalFormatting>
  <conditionalFormatting sqref="T35">
    <cfRule type="expression" dxfId="10264" priority="7499">
      <formula>AND(AND($W35&lt;TODAY(),$W35&lt;&gt;""),$X35="")</formula>
    </cfRule>
  </conditionalFormatting>
  <conditionalFormatting sqref="J35">
    <cfRule type="cellIs" dxfId="10263" priority="7498" operator="equal">
      <formula>"ja"</formula>
    </cfRule>
  </conditionalFormatting>
  <conditionalFormatting sqref="T36">
    <cfRule type="expression" dxfId="10262" priority="7497">
      <formula>AND(AND($W36&lt;TODAY(),$W36&lt;&gt;""),$X36="")</formula>
    </cfRule>
  </conditionalFormatting>
  <conditionalFormatting sqref="J36">
    <cfRule type="cellIs" dxfId="10261" priority="7496" operator="equal">
      <formula>"ja"</formula>
    </cfRule>
  </conditionalFormatting>
  <conditionalFormatting sqref="T38">
    <cfRule type="expression" dxfId="10260" priority="7495">
      <formula>AND(AND($W38&lt;TODAY(),$W38&lt;&gt;""),$X38="")</formula>
    </cfRule>
  </conditionalFormatting>
  <conditionalFormatting sqref="T39">
    <cfRule type="expression" dxfId="10259" priority="7494">
      <formula>AND(AND($W39&lt;TODAY(),$W39&lt;&gt;""),$X39="")</formula>
    </cfRule>
  </conditionalFormatting>
  <conditionalFormatting sqref="J39">
    <cfRule type="cellIs" dxfId="10258" priority="7493" operator="equal">
      <formula>"ja"</formula>
    </cfRule>
  </conditionalFormatting>
  <conditionalFormatting sqref="J42">
    <cfRule type="cellIs" dxfId="10257" priority="7492" operator="equal">
      <formula>"ja"</formula>
    </cfRule>
  </conditionalFormatting>
  <conditionalFormatting sqref="T42">
    <cfRule type="expression" dxfId="10256" priority="7491">
      <formula>AND(AND($W42&lt;TODAY(),$W42&lt;&gt;""),$X42="")</formula>
    </cfRule>
  </conditionalFormatting>
  <conditionalFormatting sqref="T43">
    <cfRule type="expression" dxfId="10255" priority="7490">
      <formula>AND(AND($W43&lt;TODAY(),$W43&lt;&gt;""),$X43="")</formula>
    </cfRule>
  </conditionalFormatting>
  <conditionalFormatting sqref="T44:T46">
    <cfRule type="expression" dxfId="10254" priority="7483">
      <formula>AND(AND($W44&lt;TODAY(),$W44&lt;&gt;""),$X44="")</formula>
    </cfRule>
  </conditionalFormatting>
  <conditionalFormatting sqref="J48">
    <cfRule type="cellIs" dxfId="10253" priority="7480" operator="equal">
      <formula>"ja"</formula>
    </cfRule>
  </conditionalFormatting>
  <conditionalFormatting sqref="T47">
    <cfRule type="expression" dxfId="10252" priority="7479">
      <formula>AND(AND($W47&lt;TODAY(),$W47&lt;&gt;""),$X47="")</formula>
    </cfRule>
  </conditionalFormatting>
  <conditionalFormatting sqref="T48">
    <cfRule type="expression" dxfId="10251" priority="7478">
      <formula>AND(AND($W48&lt;TODAY(),$W48&lt;&gt;""),$X48="")</formula>
    </cfRule>
  </conditionalFormatting>
  <conditionalFormatting sqref="T49">
    <cfRule type="expression" dxfId="10250" priority="7477">
      <formula>AND(AND($W49&lt;TODAY(),$W49&lt;&gt;""),$X49="")</formula>
    </cfRule>
  </conditionalFormatting>
  <conditionalFormatting sqref="T50">
    <cfRule type="expression" dxfId="10249" priority="7476">
      <formula>AND(AND($W50&lt;TODAY(),$W50&lt;&gt;""),$X50="")</formula>
    </cfRule>
  </conditionalFormatting>
  <conditionalFormatting sqref="J50">
    <cfRule type="cellIs" dxfId="10248" priority="7475" operator="equal">
      <formula>"ja"</formula>
    </cfRule>
  </conditionalFormatting>
  <conditionalFormatting sqref="T51">
    <cfRule type="expression" dxfId="10247" priority="7474">
      <formula>AND(AND($W51&lt;TODAY(),$W51&lt;&gt;""),$X51="")</formula>
    </cfRule>
  </conditionalFormatting>
  <conditionalFormatting sqref="J52">
    <cfRule type="cellIs" dxfId="10246" priority="7473" operator="equal">
      <formula>"ja"</formula>
    </cfRule>
  </conditionalFormatting>
  <conditionalFormatting sqref="T52">
    <cfRule type="expression" dxfId="10245" priority="7472">
      <formula>AND(AND($W52&lt;TODAY(),$W52&lt;&gt;""),$X52="")</formula>
    </cfRule>
  </conditionalFormatting>
  <conditionalFormatting sqref="T53">
    <cfRule type="expression" dxfId="10244" priority="7471">
      <formula>AND(AND($W53&lt;TODAY(),$W53&lt;&gt;""),$X53="")</formula>
    </cfRule>
  </conditionalFormatting>
  <conditionalFormatting sqref="T54">
    <cfRule type="expression" dxfId="10243" priority="7470">
      <formula>AND(AND($W54&lt;TODAY(),$W54&lt;&gt;""),$X54="")</formula>
    </cfRule>
  </conditionalFormatting>
  <conditionalFormatting sqref="J55">
    <cfRule type="cellIs" dxfId="10242" priority="7469" operator="equal">
      <formula>"ja"</formula>
    </cfRule>
  </conditionalFormatting>
  <conditionalFormatting sqref="T55">
    <cfRule type="expression" dxfId="10241" priority="7468">
      <formula>AND(AND($W55&lt;TODAY(),$W55&lt;&gt;""),$X55="")</formula>
    </cfRule>
  </conditionalFormatting>
  <conditionalFormatting sqref="T56">
    <cfRule type="expression" dxfId="10240" priority="7467">
      <formula>AND(AND($W56&lt;TODAY(),$W56&lt;&gt;""),$X56="")</formula>
    </cfRule>
  </conditionalFormatting>
  <conditionalFormatting sqref="J56">
    <cfRule type="cellIs" dxfId="10239" priority="7466" operator="equal">
      <formula>"ja"</formula>
    </cfRule>
  </conditionalFormatting>
  <conditionalFormatting sqref="T57">
    <cfRule type="expression" dxfId="10238" priority="7465">
      <formula>AND(AND($W57&lt;TODAY(),$W57&lt;&gt;""),$X57="")</formula>
    </cfRule>
  </conditionalFormatting>
  <conditionalFormatting sqref="J58">
    <cfRule type="cellIs" dxfId="10237" priority="7464" operator="equal">
      <formula>"ja"</formula>
    </cfRule>
  </conditionalFormatting>
  <conditionalFormatting sqref="T58">
    <cfRule type="expression" dxfId="10236" priority="7463">
      <formula>AND(AND($W58&lt;TODAY(),$W58&lt;&gt;""),$X58="")</formula>
    </cfRule>
  </conditionalFormatting>
  <conditionalFormatting sqref="T59">
    <cfRule type="expression" dxfId="10235" priority="7462">
      <formula>AND(AND($W59&lt;TODAY(),$W59&lt;&gt;""),$X59="")</formula>
    </cfRule>
  </conditionalFormatting>
  <conditionalFormatting sqref="J59">
    <cfRule type="cellIs" dxfId="10234" priority="7461" operator="equal">
      <formula>"ja"</formula>
    </cfRule>
  </conditionalFormatting>
  <conditionalFormatting sqref="T60">
    <cfRule type="expression" dxfId="10233" priority="7460">
      <formula>AND(AND($W60&lt;TODAY(),$W60&lt;&gt;""),$X60="")</formula>
    </cfRule>
  </conditionalFormatting>
  <conditionalFormatting sqref="J60">
    <cfRule type="cellIs" dxfId="10232" priority="7458" operator="equal">
      <formula>"ja"</formula>
    </cfRule>
  </conditionalFormatting>
  <conditionalFormatting sqref="J61">
    <cfRule type="cellIs" dxfId="10231" priority="7456" operator="equal">
      <formula>"ja"</formula>
    </cfRule>
  </conditionalFormatting>
  <conditionalFormatting sqref="T61">
    <cfRule type="expression" dxfId="10230" priority="7455">
      <formula>AND(AND($W61&lt;TODAY(),$W61&lt;&gt;""),$X61="")</formula>
    </cfRule>
  </conditionalFormatting>
  <conditionalFormatting sqref="T62">
    <cfRule type="expression" dxfId="10229" priority="7453">
      <formula>AND(AND($W62&lt;TODAY(),$W62&lt;&gt;""),$X62="")</formula>
    </cfRule>
  </conditionalFormatting>
  <conditionalFormatting sqref="J62">
    <cfRule type="cellIs" dxfId="10228" priority="7452" operator="equal">
      <formula>"ja"</formula>
    </cfRule>
  </conditionalFormatting>
  <conditionalFormatting sqref="T63">
    <cfRule type="expression" dxfId="10227" priority="7451">
      <formula>AND(AND($W63&lt;TODAY(),$W63&lt;&gt;""),$X63="")</formula>
    </cfRule>
  </conditionalFormatting>
  <conditionalFormatting sqref="T64">
    <cfRule type="expression" dxfId="10226" priority="7450">
      <formula>AND(AND($W64&lt;TODAY(),$W64&lt;&gt;""),$X64="")</formula>
    </cfRule>
  </conditionalFormatting>
  <conditionalFormatting sqref="J64">
    <cfRule type="cellIs" dxfId="10225" priority="7448" operator="equal">
      <formula>"ja"</formula>
    </cfRule>
  </conditionalFormatting>
  <conditionalFormatting sqref="T65">
    <cfRule type="expression" dxfId="10224" priority="7447">
      <formula>AND(AND($W65&lt;TODAY(),$W65&lt;&gt;""),$X65="")</formula>
    </cfRule>
  </conditionalFormatting>
  <conditionalFormatting sqref="T66">
    <cfRule type="expression" dxfId="10223" priority="7445">
      <formula>AND(AND($W66&lt;TODAY(),$W66&lt;&gt;""),$X66="")</formula>
    </cfRule>
  </conditionalFormatting>
  <conditionalFormatting sqref="J66">
    <cfRule type="cellIs" dxfId="10222" priority="7444" operator="equal">
      <formula>"ja"</formula>
    </cfRule>
  </conditionalFormatting>
  <conditionalFormatting sqref="J67">
    <cfRule type="cellIs" dxfId="10221" priority="7443" operator="equal">
      <formula>"ja"</formula>
    </cfRule>
  </conditionalFormatting>
  <conditionalFormatting sqref="T67">
    <cfRule type="expression" dxfId="10220" priority="7442">
      <formula>AND(AND($W67&lt;TODAY(),$W67&lt;&gt;""),$X67="")</formula>
    </cfRule>
  </conditionalFormatting>
  <conditionalFormatting sqref="J68">
    <cfRule type="cellIs" dxfId="10219" priority="7441" operator="equal">
      <formula>"ja"</formula>
    </cfRule>
  </conditionalFormatting>
  <conditionalFormatting sqref="T68">
    <cfRule type="expression" dxfId="10218" priority="7440">
      <formula>AND(AND($W68&lt;TODAY(),$W68&lt;&gt;""),$X68="")</formula>
    </cfRule>
  </conditionalFormatting>
  <conditionalFormatting sqref="T69">
    <cfRule type="expression" dxfId="10217" priority="7439">
      <formula>AND(AND($W69&lt;TODAY(),$W69&lt;&gt;""),$X69="")</formula>
    </cfRule>
  </conditionalFormatting>
  <conditionalFormatting sqref="J69">
    <cfRule type="cellIs" dxfId="10216" priority="7438" operator="equal">
      <formula>"ja"</formula>
    </cfRule>
  </conditionalFormatting>
  <conditionalFormatting sqref="T70">
    <cfRule type="expression" dxfId="10215" priority="7437">
      <formula>AND(AND($W70&lt;TODAY(),$W70&lt;&gt;""),$X70="")</formula>
    </cfRule>
  </conditionalFormatting>
  <conditionalFormatting sqref="J70">
    <cfRule type="cellIs" dxfId="10214" priority="7436" operator="equal">
      <formula>"ja"</formula>
    </cfRule>
  </conditionalFormatting>
  <conditionalFormatting sqref="T71">
    <cfRule type="expression" dxfId="10213" priority="7435">
      <formula>AND(AND($W71&lt;TODAY(),$W71&lt;&gt;""),$X71="")</formula>
    </cfRule>
  </conditionalFormatting>
  <conditionalFormatting sqref="J72">
    <cfRule type="cellIs" dxfId="10212" priority="7434" operator="equal">
      <formula>"ja"</formula>
    </cfRule>
  </conditionalFormatting>
  <conditionalFormatting sqref="T72">
    <cfRule type="expression" dxfId="10211" priority="7433">
      <formula>AND(AND($W72&lt;TODAY(),$W72&lt;&gt;""),$X72="")</formula>
    </cfRule>
  </conditionalFormatting>
  <conditionalFormatting sqref="T73">
    <cfRule type="expression" dxfId="10210" priority="7432">
      <formula>AND(AND($W73&lt;TODAY(),$W73&lt;&gt;""),$X73="")</formula>
    </cfRule>
  </conditionalFormatting>
  <conditionalFormatting sqref="T74">
    <cfRule type="expression" dxfId="10209" priority="7431">
      <formula>AND(AND($W74&lt;TODAY(),$W74&lt;&gt;""),$X74="")</formula>
    </cfRule>
  </conditionalFormatting>
  <conditionalFormatting sqref="T75">
    <cfRule type="expression" dxfId="10208" priority="7430">
      <formula>AND(AND($W75&lt;TODAY(),$W75&lt;&gt;""),$X75="")</formula>
    </cfRule>
  </conditionalFormatting>
  <conditionalFormatting sqref="T76">
    <cfRule type="expression" dxfId="10207" priority="7429">
      <formula>AND(AND($W76&lt;TODAY(),$W76&lt;&gt;""),$X76="")</formula>
    </cfRule>
  </conditionalFormatting>
  <conditionalFormatting sqref="J76">
    <cfRule type="cellIs" dxfId="10206" priority="7428" operator="equal">
      <formula>"ja"</formula>
    </cfRule>
  </conditionalFormatting>
  <conditionalFormatting sqref="T77">
    <cfRule type="expression" dxfId="10205" priority="7427">
      <formula>AND(AND($W77&lt;TODAY(),$W77&lt;&gt;""),$X77="")</formula>
    </cfRule>
  </conditionalFormatting>
  <conditionalFormatting sqref="J77">
    <cfRule type="cellIs" dxfId="10204" priority="7426" operator="equal">
      <formula>"ja"</formula>
    </cfRule>
  </conditionalFormatting>
  <conditionalFormatting sqref="T78">
    <cfRule type="expression" dxfId="10203" priority="7425">
      <formula>AND(AND($W78&lt;TODAY(),$W78&lt;&gt;""),$X78="")</formula>
    </cfRule>
  </conditionalFormatting>
  <conditionalFormatting sqref="J79">
    <cfRule type="cellIs" dxfId="10202" priority="7424" operator="equal">
      <formula>"ja"</formula>
    </cfRule>
  </conditionalFormatting>
  <conditionalFormatting sqref="T79">
    <cfRule type="expression" dxfId="10201" priority="7423">
      <formula>AND(AND($W79&lt;TODAY(),$W79&lt;&gt;""),$X79="")</formula>
    </cfRule>
  </conditionalFormatting>
  <conditionalFormatting sqref="T80">
    <cfRule type="expression" dxfId="10200" priority="7420">
      <formula>AND(AND($W80&lt;TODAY(),$W80&lt;&gt;""),$X80="")</formula>
    </cfRule>
  </conditionalFormatting>
  <conditionalFormatting sqref="J84">
    <cfRule type="cellIs" dxfId="10199" priority="7419" operator="equal">
      <formula>"ja"</formula>
    </cfRule>
  </conditionalFormatting>
  <conditionalFormatting sqref="T84">
    <cfRule type="expression" dxfId="10198" priority="7418">
      <formula>AND(AND($W84&lt;TODAY(),$W84&lt;&gt;""),$X84="")</formula>
    </cfRule>
  </conditionalFormatting>
  <conditionalFormatting sqref="J81">
    <cfRule type="cellIs" dxfId="10197" priority="7417" operator="equal">
      <formula>"ja"</formula>
    </cfRule>
  </conditionalFormatting>
  <conditionalFormatting sqref="T81">
    <cfRule type="expression" dxfId="10196" priority="7416">
      <formula>AND(AND($W81&lt;TODAY(),$W81&lt;&gt;""),$X81="")</formula>
    </cfRule>
  </conditionalFormatting>
  <conditionalFormatting sqref="J82">
    <cfRule type="cellIs" dxfId="10195" priority="7415" operator="equal">
      <formula>"ja"</formula>
    </cfRule>
  </conditionalFormatting>
  <conditionalFormatting sqref="T82">
    <cfRule type="expression" dxfId="10194" priority="7414">
      <formula>AND(AND($W82&lt;TODAY(),$W82&lt;&gt;""),$X82="")</formula>
    </cfRule>
  </conditionalFormatting>
  <conditionalFormatting sqref="T83">
    <cfRule type="expression" dxfId="10193" priority="7413">
      <formula>AND(AND($W83&lt;TODAY(),$W83&lt;&gt;""),$X83="")</formula>
    </cfRule>
  </conditionalFormatting>
  <conditionalFormatting sqref="T85">
    <cfRule type="expression" dxfId="10192" priority="7411">
      <formula>AND(AND($W85&lt;TODAY(),$W85&lt;&gt;""),$X85="")</formula>
    </cfRule>
  </conditionalFormatting>
  <conditionalFormatting sqref="T86:T89 T91 T96:T103 T105 T109">
    <cfRule type="expression" dxfId="10191" priority="7410">
      <formula>AND(AND($W86&lt;TODAY(),$W86&lt;&gt;""),$X86="")</formula>
    </cfRule>
  </conditionalFormatting>
  <conditionalFormatting sqref="C88">
    <cfRule type="containsText" dxfId="10190" priority="7408" operator="containsText" text="Einnahmen">
      <formula>NOT(ISERROR(SEARCH("Einnahmen",C88)))</formula>
    </cfRule>
    <cfRule type="containsText" dxfId="10189" priority="7409" operator="containsText" text="Ausgaben">
      <formula>NOT(ISERROR(SEARCH("Ausgaben",C88)))</formula>
    </cfRule>
  </conditionalFormatting>
  <conditionalFormatting sqref="T90">
    <cfRule type="expression" dxfId="10188" priority="7407">
      <formula>AND(AND($W90&lt;TODAY(),$W90&lt;&gt;""),$X90="")</formula>
    </cfRule>
  </conditionalFormatting>
  <conditionalFormatting sqref="J90">
    <cfRule type="cellIs" dxfId="10187" priority="7406" operator="equal">
      <formula>"ja"</formula>
    </cfRule>
  </conditionalFormatting>
  <conditionalFormatting sqref="C91">
    <cfRule type="containsText" dxfId="10186" priority="7404" operator="containsText" text="Einnahmen">
      <formula>NOT(ISERROR(SEARCH("Einnahmen",C91)))</formula>
    </cfRule>
    <cfRule type="containsText" dxfId="10185" priority="7405" operator="containsText" text="Ausgaben">
      <formula>NOT(ISERROR(SEARCH("Ausgaben",C91)))</formula>
    </cfRule>
  </conditionalFormatting>
  <conditionalFormatting sqref="T92">
    <cfRule type="expression" dxfId="10184" priority="7403">
      <formula>AND(AND($W92&lt;TODAY(),$W92&lt;&gt;""),$X92="")</formula>
    </cfRule>
  </conditionalFormatting>
  <conditionalFormatting sqref="T93">
    <cfRule type="expression" dxfId="10183" priority="7402">
      <formula>AND(AND($W93&lt;TODAY(),$W93&lt;&gt;""),$X93="")</formula>
    </cfRule>
  </conditionalFormatting>
  <conditionalFormatting sqref="J93">
    <cfRule type="cellIs" dxfId="10182" priority="7401" operator="equal">
      <formula>"ja"</formula>
    </cfRule>
  </conditionalFormatting>
  <conditionalFormatting sqref="T94">
    <cfRule type="expression" dxfId="10181" priority="7400">
      <formula>AND(AND($W94&lt;TODAY(),$W94&lt;&gt;""),$X94="")</formula>
    </cfRule>
  </conditionalFormatting>
  <conditionalFormatting sqref="J94">
    <cfRule type="cellIs" dxfId="10180" priority="7399" operator="equal">
      <formula>"ja"</formula>
    </cfRule>
  </conditionalFormatting>
  <conditionalFormatting sqref="J95">
    <cfRule type="cellIs" dxfId="10179" priority="7398" operator="equal">
      <formula>"ja"</formula>
    </cfRule>
  </conditionalFormatting>
  <conditionalFormatting sqref="T95">
    <cfRule type="expression" dxfId="10178" priority="7397">
      <formula>AND(AND($W95&lt;TODAY(),$W95&lt;&gt;""),$X95="")</formula>
    </cfRule>
  </conditionalFormatting>
  <conditionalFormatting sqref="C96:C97">
    <cfRule type="containsText" dxfId="10177" priority="7395" operator="containsText" text="Einnahmen">
      <formula>NOT(ISERROR(SEARCH("Einnahmen",C96)))</formula>
    </cfRule>
    <cfRule type="containsText" dxfId="10176" priority="7396" operator="containsText" text="Ausgaben">
      <formula>NOT(ISERROR(SEARCH("Ausgaben",C96)))</formula>
    </cfRule>
  </conditionalFormatting>
  <conditionalFormatting sqref="C101">
    <cfRule type="containsText" dxfId="10175" priority="7393" operator="containsText" text="Einnahmen">
      <formula>NOT(ISERROR(SEARCH("Einnahmen",C101)))</formula>
    </cfRule>
    <cfRule type="containsText" dxfId="10174" priority="7394" operator="containsText" text="Ausgaben">
      <formula>NOT(ISERROR(SEARCH("Ausgaben",C101)))</formula>
    </cfRule>
  </conditionalFormatting>
  <conditionalFormatting sqref="T104">
    <cfRule type="expression" dxfId="10173" priority="7392">
      <formula>AND(AND($W104&lt;TODAY(),$W104&lt;&gt;""),$X104="")</formula>
    </cfRule>
  </conditionalFormatting>
  <conditionalFormatting sqref="Z2:Z105 Z1011 Z999 Z928 Z664 Z109 Z707 Z712 Z731 Z748 Z763:Z764 Z780 Z796 Z799 Z807 Z827 Z848 Z864 Z890 Z932 Z1014 Z1044 Z1055 Z1063:Z1064 Z1074:Z1048576">
    <cfRule type="dataBar" priority="7390">
      <dataBar>
        <cfvo type="min"/>
        <cfvo type="max"/>
        <color rgb="FF63C384"/>
      </dataBar>
      <extLst>
        <ext xmlns:x14="http://schemas.microsoft.com/office/spreadsheetml/2009/9/main" uri="{B025F937-C7B1-47D3-B67F-A62EFF666E3E}">
          <x14:id>{C99CF989-3EEF-4F15-9D92-29435ED34919}</x14:id>
        </ext>
      </extLst>
    </cfRule>
  </conditionalFormatting>
  <conditionalFormatting sqref="J106">
    <cfRule type="cellIs" dxfId="10172" priority="7389" operator="equal">
      <formula>"ja"</formula>
    </cfRule>
  </conditionalFormatting>
  <conditionalFormatting sqref="T106">
    <cfRule type="expression" dxfId="10171" priority="7388">
      <formula>AND(AND($W106&lt;TODAY(),$W106&lt;&gt;""),$X106="")</formula>
    </cfRule>
  </conditionalFormatting>
  <conditionalFormatting sqref="Z106">
    <cfRule type="dataBar" priority="7387">
      <dataBar>
        <cfvo type="min"/>
        <cfvo type="max"/>
        <color rgb="FF63C384"/>
      </dataBar>
      <extLst>
        <ext xmlns:x14="http://schemas.microsoft.com/office/spreadsheetml/2009/9/main" uri="{B025F937-C7B1-47D3-B67F-A62EFF666E3E}">
          <x14:id>{636197D7-0A75-4D4A-95EC-83CE1FF85EF2}</x14:id>
        </ext>
      </extLst>
    </cfRule>
  </conditionalFormatting>
  <conditionalFormatting sqref="J107:J108">
    <cfRule type="cellIs" dxfId="10170" priority="7385" operator="equal">
      <formula>"ja"</formula>
    </cfRule>
  </conditionalFormatting>
  <conditionalFormatting sqref="T107:T108">
    <cfRule type="expression" dxfId="10169" priority="7384">
      <formula>AND(AND($W107&lt;TODAY(),$W107&lt;&gt;""),$X107="")</formula>
    </cfRule>
  </conditionalFormatting>
  <conditionalFormatting sqref="Z107:Z108">
    <cfRule type="dataBar" priority="7383">
      <dataBar>
        <cfvo type="min"/>
        <cfvo type="max"/>
        <color rgb="FF63C384"/>
      </dataBar>
      <extLst>
        <ext xmlns:x14="http://schemas.microsoft.com/office/spreadsheetml/2009/9/main" uri="{B025F937-C7B1-47D3-B67F-A62EFF666E3E}">
          <x14:id>{DE32EFEC-3FC7-48B5-AAA2-AF38A0CBE205}</x14:id>
        </ext>
      </extLst>
    </cfRule>
  </conditionalFormatting>
  <conditionalFormatting sqref="T110">
    <cfRule type="expression" dxfId="10168" priority="7381">
      <formula>AND(AND($W110&lt;TODAY(),$W110&lt;&gt;""),$X110="")</formula>
    </cfRule>
  </conditionalFormatting>
  <conditionalFormatting sqref="J110">
    <cfRule type="cellIs" dxfId="10167" priority="7380" operator="equal">
      <formula>"ja"</formula>
    </cfRule>
  </conditionalFormatting>
  <conditionalFormatting sqref="Z110">
    <cfRule type="dataBar" priority="7379">
      <dataBar>
        <cfvo type="min"/>
        <cfvo type="max"/>
        <color rgb="FF63C384"/>
      </dataBar>
      <extLst>
        <ext xmlns:x14="http://schemas.microsoft.com/office/spreadsheetml/2009/9/main" uri="{B025F937-C7B1-47D3-B67F-A62EFF666E3E}">
          <x14:id>{B200F866-AA2E-45CC-8449-66907F3A093D}</x14:id>
        </ext>
      </extLst>
    </cfRule>
  </conditionalFormatting>
  <conditionalFormatting sqref="J111">
    <cfRule type="cellIs" dxfId="10166" priority="7378" operator="equal">
      <formula>"ja"</formula>
    </cfRule>
  </conditionalFormatting>
  <conditionalFormatting sqref="T111">
    <cfRule type="expression" dxfId="10165" priority="7377">
      <formula>AND(AND($W111&lt;TODAY(),$W111&lt;&gt;""),$X111="")</formula>
    </cfRule>
  </conditionalFormatting>
  <conditionalFormatting sqref="Z111">
    <cfRule type="dataBar" priority="7376">
      <dataBar>
        <cfvo type="min"/>
        <cfvo type="max"/>
        <color rgb="FF63C384"/>
      </dataBar>
      <extLst>
        <ext xmlns:x14="http://schemas.microsoft.com/office/spreadsheetml/2009/9/main" uri="{B025F937-C7B1-47D3-B67F-A62EFF666E3E}">
          <x14:id>{9BA4226E-1422-4E9F-9C86-2908C2FC8F85}</x14:id>
        </ext>
      </extLst>
    </cfRule>
  </conditionalFormatting>
  <conditionalFormatting sqref="T112">
    <cfRule type="expression" dxfId="10164" priority="7375">
      <formula>AND(AND($W112&lt;TODAY(),$W112&lt;&gt;""),$X112="")</formula>
    </cfRule>
  </conditionalFormatting>
  <conditionalFormatting sqref="Z112">
    <cfRule type="dataBar" priority="7374">
      <dataBar>
        <cfvo type="min"/>
        <cfvo type="max"/>
        <color rgb="FF63C384"/>
      </dataBar>
      <extLst>
        <ext xmlns:x14="http://schemas.microsoft.com/office/spreadsheetml/2009/9/main" uri="{B025F937-C7B1-47D3-B67F-A62EFF666E3E}">
          <x14:id>{055BB276-9D52-4818-821A-4B1EF77A35D9}</x14:id>
        </ext>
      </extLst>
    </cfRule>
  </conditionalFormatting>
  <conditionalFormatting sqref="J113">
    <cfRule type="cellIs" dxfId="10163" priority="7373" operator="equal">
      <formula>"ja"</formula>
    </cfRule>
  </conditionalFormatting>
  <conditionalFormatting sqref="T113">
    <cfRule type="expression" dxfId="10162" priority="7372">
      <formula>AND(AND($W113&lt;TODAY(),$W113&lt;&gt;""),$X113="")</formula>
    </cfRule>
  </conditionalFormatting>
  <conditionalFormatting sqref="Z113">
    <cfRule type="dataBar" priority="7371">
      <dataBar>
        <cfvo type="min"/>
        <cfvo type="max"/>
        <color rgb="FF63C384"/>
      </dataBar>
      <extLst>
        <ext xmlns:x14="http://schemas.microsoft.com/office/spreadsheetml/2009/9/main" uri="{B025F937-C7B1-47D3-B67F-A62EFF666E3E}">
          <x14:id>{EEDBBCE7-7ABC-402E-B566-6C36D42442B2}</x14:id>
        </ext>
      </extLst>
    </cfRule>
  </conditionalFormatting>
  <conditionalFormatting sqref="T116">
    <cfRule type="expression" dxfId="10161" priority="7370">
      <formula>AND(AND($W116&lt;TODAY(),$W116&lt;&gt;""),$X116="")</formula>
    </cfRule>
  </conditionalFormatting>
  <conditionalFormatting sqref="J116">
    <cfRule type="cellIs" dxfId="10160" priority="7369" operator="equal">
      <formula>"ja"</formula>
    </cfRule>
  </conditionalFormatting>
  <conditionalFormatting sqref="Z116">
    <cfRule type="dataBar" priority="7368">
      <dataBar>
        <cfvo type="min"/>
        <cfvo type="max"/>
        <color rgb="FF63C384"/>
      </dataBar>
      <extLst>
        <ext xmlns:x14="http://schemas.microsoft.com/office/spreadsheetml/2009/9/main" uri="{B025F937-C7B1-47D3-B67F-A62EFF666E3E}">
          <x14:id>{56BF0771-169E-400C-93FA-B449C1631DC4}</x14:id>
        </ext>
      </extLst>
    </cfRule>
  </conditionalFormatting>
  <conditionalFormatting sqref="T115">
    <cfRule type="expression" dxfId="10159" priority="7367">
      <formula>AND(AND($W115&lt;TODAY(),$W115&lt;&gt;""),$X115="")</formula>
    </cfRule>
  </conditionalFormatting>
  <conditionalFormatting sqref="J115">
    <cfRule type="cellIs" dxfId="10158" priority="7366" operator="equal">
      <formula>"ja"</formula>
    </cfRule>
  </conditionalFormatting>
  <conditionalFormatting sqref="Z115">
    <cfRule type="dataBar" priority="7365">
      <dataBar>
        <cfvo type="min"/>
        <cfvo type="max"/>
        <color rgb="FF63C384"/>
      </dataBar>
      <extLst>
        <ext xmlns:x14="http://schemas.microsoft.com/office/spreadsheetml/2009/9/main" uri="{B025F937-C7B1-47D3-B67F-A62EFF666E3E}">
          <x14:id>{0096612E-63A5-4BF4-8F07-FACE782DE42B}</x14:id>
        </ext>
      </extLst>
    </cfRule>
  </conditionalFormatting>
  <conditionalFormatting sqref="J114">
    <cfRule type="cellIs" dxfId="10157" priority="7364" operator="equal">
      <formula>"ja"</formula>
    </cfRule>
  </conditionalFormatting>
  <conditionalFormatting sqref="T114">
    <cfRule type="expression" dxfId="10156" priority="7363">
      <formula>AND(AND($W114&lt;TODAY(),$W114&lt;&gt;""),$X114="")</formula>
    </cfRule>
  </conditionalFormatting>
  <conditionalFormatting sqref="Z114">
    <cfRule type="dataBar" priority="7362">
      <dataBar>
        <cfvo type="min"/>
        <cfvo type="max"/>
        <color rgb="FF63C384"/>
      </dataBar>
      <extLst>
        <ext xmlns:x14="http://schemas.microsoft.com/office/spreadsheetml/2009/9/main" uri="{B025F937-C7B1-47D3-B67F-A62EFF666E3E}">
          <x14:id>{2C039310-C027-42F1-9E70-91C2925C8752}</x14:id>
        </ext>
      </extLst>
    </cfRule>
  </conditionalFormatting>
  <conditionalFormatting sqref="T117">
    <cfRule type="expression" dxfId="10155" priority="7361">
      <formula>AND(AND($W117&lt;TODAY(),$W117&lt;&gt;""),$X117="")</formula>
    </cfRule>
  </conditionalFormatting>
  <conditionalFormatting sqref="J118">
    <cfRule type="cellIs" dxfId="10154" priority="7360" operator="equal">
      <formula>"ja"</formula>
    </cfRule>
  </conditionalFormatting>
  <conditionalFormatting sqref="T118">
    <cfRule type="expression" dxfId="10153" priority="7359">
      <formula>AND(AND($W118&lt;TODAY(),$W118&lt;&gt;""),$X118="")</formula>
    </cfRule>
  </conditionalFormatting>
  <conditionalFormatting sqref="C119">
    <cfRule type="containsText" dxfId="10152" priority="7356" operator="containsText" text="Einnahmen">
      <formula>NOT(ISERROR(SEARCH("Einnahmen",C119)))</formula>
    </cfRule>
    <cfRule type="containsText" dxfId="10151" priority="7357" operator="containsText" text="Ausgaben">
      <formula>NOT(ISERROR(SEARCH("Ausgaben",C119)))</formula>
    </cfRule>
  </conditionalFormatting>
  <conditionalFormatting sqref="T119">
    <cfRule type="expression" dxfId="10150" priority="7355">
      <formula>AND(AND($W119&lt;TODAY(),$W119&lt;&gt;""),$X119="")</formula>
    </cfRule>
  </conditionalFormatting>
  <conditionalFormatting sqref="T120">
    <cfRule type="expression" dxfId="10149" priority="7354">
      <formula>AND(AND($W120&lt;TODAY(),$W120&lt;&gt;""),$X120="")</formula>
    </cfRule>
  </conditionalFormatting>
  <conditionalFormatting sqref="Z117:Z120">
    <cfRule type="dataBar" priority="7353">
      <dataBar>
        <cfvo type="min"/>
        <cfvo type="max"/>
        <color rgb="FF63C384"/>
      </dataBar>
      <extLst>
        <ext xmlns:x14="http://schemas.microsoft.com/office/spreadsheetml/2009/9/main" uri="{B025F937-C7B1-47D3-B67F-A62EFF666E3E}">
          <x14:id>{F45A9FC8-541F-40BD-9607-97915FE66402}</x14:id>
        </ext>
      </extLst>
    </cfRule>
  </conditionalFormatting>
  <conditionalFormatting sqref="T121">
    <cfRule type="expression" dxfId="10148" priority="7351">
      <formula>AND(AND($W121&lt;TODAY(),$W121&lt;&gt;""),$X121="")</formula>
    </cfRule>
  </conditionalFormatting>
  <conditionalFormatting sqref="Z121">
    <cfRule type="dataBar" priority="7350">
      <dataBar>
        <cfvo type="min"/>
        <cfvo type="max"/>
        <color rgb="FF63C384"/>
      </dataBar>
      <extLst>
        <ext xmlns:x14="http://schemas.microsoft.com/office/spreadsheetml/2009/9/main" uri="{B025F937-C7B1-47D3-B67F-A62EFF666E3E}">
          <x14:id>{6404B1DC-7721-404F-AC48-4A07970C5580}</x14:id>
        </ext>
      </extLst>
    </cfRule>
  </conditionalFormatting>
  <conditionalFormatting sqref="T122">
    <cfRule type="expression" dxfId="10147" priority="7349">
      <formula>AND(AND($W122&lt;TODAY(),$W122&lt;&gt;""),$X122="")</formula>
    </cfRule>
  </conditionalFormatting>
  <conditionalFormatting sqref="J122">
    <cfRule type="cellIs" dxfId="10146" priority="7347" operator="equal">
      <formula>"ja"</formula>
    </cfRule>
  </conditionalFormatting>
  <conditionalFormatting sqref="Z122">
    <cfRule type="dataBar" priority="7346">
      <dataBar>
        <cfvo type="min"/>
        <cfvo type="max"/>
        <color rgb="FF63C384"/>
      </dataBar>
      <extLst>
        <ext xmlns:x14="http://schemas.microsoft.com/office/spreadsheetml/2009/9/main" uri="{B025F937-C7B1-47D3-B67F-A62EFF666E3E}">
          <x14:id>{ABA7A139-3313-42E0-80E7-5C65E7771894}</x14:id>
        </ext>
      </extLst>
    </cfRule>
  </conditionalFormatting>
  <conditionalFormatting sqref="J123">
    <cfRule type="cellIs" dxfId="10145" priority="7337" operator="equal">
      <formula>"ja"</formula>
    </cfRule>
  </conditionalFormatting>
  <conditionalFormatting sqref="T123">
    <cfRule type="expression" dxfId="10144" priority="7336">
      <formula>AND(AND($W123&lt;TODAY(),$W123&lt;&gt;""),$X123="")</formula>
    </cfRule>
  </conditionalFormatting>
  <conditionalFormatting sqref="Z123">
    <cfRule type="dataBar" priority="7335">
      <dataBar>
        <cfvo type="min"/>
        <cfvo type="max"/>
        <color rgb="FF63C384"/>
      </dataBar>
      <extLst>
        <ext xmlns:x14="http://schemas.microsoft.com/office/spreadsheetml/2009/9/main" uri="{B025F937-C7B1-47D3-B67F-A62EFF666E3E}">
          <x14:id>{52105031-8A64-4EBD-90D5-114328EA173A}</x14:id>
        </ext>
      </extLst>
    </cfRule>
  </conditionalFormatting>
  <conditionalFormatting sqref="T124">
    <cfRule type="expression" dxfId="10143" priority="7334">
      <formula>AND(AND($W124&lt;TODAY(),$W124&lt;&gt;""),$X124="")</formula>
    </cfRule>
  </conditionalFormatting>
  <conditionalFormatting sqref="Z124">
    <cfRule type="dataBar" priority="7333">
      <dataBar>
        <cfvo type="min"/>
        <cfvo type="max"/>
        <color rgb="FF63C384"/>
      </dataBar>
      <extLst>
        <ext xmlns:x14="http://schemas.microsoft.com/office/spreadsheetml/2009/9/main" uri="{B025F937-C7B1-47D3-B67F-A62EFF666E3E}">
          <x14:id>{55CF76E0-D2EE-42FA-B1AD-7F75615A10EF}</x14:id>
        </ext>
      </extLst>
    </cfRule>
  </conditionalFormatting>
  <conditionalFormatting sqref="J124">
    <cfRule type="cellIs" dxfId="10142" priority="7331" operator="equal">
      <formula>"ja"</formula>
    </cfRule>
  </conditionalFormatting>
  <conditionalFormatting sqref="T125">
    <cfRule type="expression" dxfId="10141" priority="7330">
      <formula>AND(AND($W125&lt;TODAY(),$W125&lt;&gt;""),$X125="")</formula>
    </cfRule>
  </conditionalFormatting>
  <conditionalFormatting sqref="J125">
    <cfRule type="cellIs" dxfId="10140" priority="7329" operator="equal">
      <formula>"ja"</formula>
    </cfRule>
  </conditionalFormatting>
  <conditionalFormatting sqref="Z125">
    <cfRule type="dataBar" priority="7328">
      <dataBar>
        <cfvo type="min"/>
        <cfvo type="max"/>
        <color rgb="FF63C384"/>
      </dataBar>
      <extLst>
        <ext xmlns:x14="http://schemas.microsoft.com/office/spreadsheetml/2009/9/main" uri="{B025F937-C7B1-47D3-B67F-A62EFF666E3E}">
          <x14:id>{57970CA6-6AFF-4112-BE20-3EDE8F4BEB5E}</x14:id>
        </ext>
      </extLst>
    </cfRule>
  </conditionalFormatting>
  <conditionalFormatting sqref="T126">
    <cfRule type="expression" dxfId="10139" priority="7327">
      <formula>AND(AND($W126&lt;TODAY(),$W126&lt;&gt;""),$X126="")</formula>
    </cfRule>
  </conditionalFormatting>
  <conditionalFormatting sqref="Z126">
    <cfRule type="dataBar" priority="7326">
      <dataBar>
        <cfvo type="min"/>
        <cfvo type="max"/>
        <color rgb="FF63C384"/>
      </dataBar>
      <extLst>
        <ext xmlns:x14="http://schemas.microsoft.com/office/spreadsheetml/2009/9/main" uri="{B025F937-C7B1-47D3-B67F-A62EFF666E3E}">
          <x14:id>{A0AB9B23-0CB2-4FA5-B8BA-AA5309BE6B60}</x14:id>
        </ext>
      </extLst>
    </cfRule>
  </conditionalFormatting>
  <conditionalFormatting sqref="T127">
    <cfRule type="expression" dxfId="10138" priority="7325">
      <formula>AND(AND($W127&lt;TODAY(),$W127&lt;&gt;""),$X127="")</formula>
    </cfRule>
  </conditionalFormatting>
  <conditionalFormatting sqref="J127">
    <cfRule type="cellIs" dxfId="10137" priority="7324" operator="equal">
      <formula>"ja"</formula>
    </cfRule>
  </conditionalFormatting>
  <conditionalFormatting sqref="Z127">
    <cfRule type="dataBar" priority="7323">
      <dataBar>
        <cfvo type="min"/>
        <cfvo type="max"/>
        <color rgb="FF63C384"/>
      </dataBar>
      <extLst>
        <ext xmlns:x14="http://schemas.microsoft.com/office/spreadsheetml/2009/9/main" uri="{B025F937-C7B1-47D3-B67F-A62EFF666E3E}">
          <x14:id>{51D22935-82E9-4E04-A5B3-7FB37D373792}</x14:id>
        </ext>
      </extLst>
    </cfRule>
  </conditionalFormatting>
  <conditionalFormatting sqref="T128">
    <cfRule type="expression" dxfId="10136" priority="7322">
      <formula>AND(AND($W128&lt;TODAY(),$W128&lt;&gt;""),$X128="")</formula>
    </cfRule>
  </conditionalFormatting>
  <conditionalFormatting sqref="Z128">
    <cfRule type="dataBar" priority="7321">
      <dataBar>
        <cfvo type="min"/>
        <cfvo type="max"/>
        <color rgb="FF63C384"/>
      </dataBar>
      <extLst>
        <ext xmlns:x14="http://schemas.microsoft.com/office/spreadsheetml/2009/9/main" uri="{B025F937-C7B1-47D3-B67F-A62EFF666E3E}">
          <x14:id>{0BE14CCA-6C01-43C9-8838-0333D49C6D7B}</x14:id>
        </ext>
      </extLst>
    </cfRule>
  </conditionalFormatting>
  <conditionalFormatting sqref="T129">
    <cfRule type="expression" dxfId="10135" priority="7320">
      <formula>AND(AND($W129&lt;TODAY(),$W129&lt;&gt;""),$X129="")</formula>
    </cfRule>
  </conditionalFormatting>
  <conditionalFormatting sqref="Z129">
    <cfRule type="dataBar" priority="7319">
      <dataBar>
        <cfvo type="min"/>
        <cfvo type="max"/>
        <color rgb="FF63C384"/>
      </dataBar>
      <extLst>
        <ext xmlns:x14="http://schemas.microsoft.com/office/spreadsheetml/2009/9/main" uri="{B025F937-C7B1-47D3-B67F-A62EFF666E3E}">
          <x14:id>{2C23B5A8-ED1A-414B-814B-2F946112E903}</x14:id>
        </ext>
      </extLst>
    </cfRule>
  </conditionalFormatting>
  <conditionalFormatting sqref="T130">
    <cfRule type="expression" dxfId="10134" priority="7318">
      <formula>AND(AND($W130&lt;TODAY(),$W130&lt;&gt;""),$X130="")</formula>
    </cfRule>
  </conditionalFormatting>
  <conditionalFormatting sqref="Z130">
    <cfRule type="dataBar" priority="7317">
      <dataBar>
        <cfvo type="min"/>
        <cfvo type="max"/>
        <color rgb="FF63C384"/>
      </dataBar>
      <extLst>
        <ext xmlns:x14="http://schemas.microsoft.com/office/spreadsheetml/2009/9/main" uri="{B025F937-C7B1-47D3-B67F-A62EFF666E3E}">
          <x14:id>{4F93B37F-574C-4812-827B-4D273CAA0844}</x14:id>
        </ext>
      </extLst>
    </cfRule>
  </conditionalFormatting>
  <conditionalFormatting sqref="T131">
    <cfRule type="expression" dxfId="10133" priority="7316">
      <formula>AND(AND($W131&lt;TODAY(),$W131&lt;&gt;""),$X131="")</formula>
    </cfRule>
  </conditionalFormatting>
  <conditionalFormatting sqref="Z131">
    <cfRule type="dataBar" priority="7315">
      <dataBar>
        <cfvo type="min"/>
        <cfvo type="max"/>
        <color rgb="FF63C384"/>
      </dataBar>
      <extLst>
        <ext xmlns:x14="http://schemas.microsoft.com/office/spreadsheetml/2009/9/main" uri="{B025F937-C7B1-47D3-B67F-A62EFF666E3E}">
          <x14:id>{3D0A71C0-1261-48D6-896B-C270834F8014}</x14:id>
        </ext>
      </extLst>
    </cfRule>
  </conditionalFormatting>
  <conditionalFormatting sqref="T132">
    <cfRule type="expression" dxfId="10132" priority="7314">
      <formula>AND(AND($W132&lt;TODAY(),$W132&lt;&gt;""),$X132="")</formula>
    </cfRule>
  </conditionalFormatting>
  <conditionalFormatting sqref="Z132">
    <cfRule type="dataBar" priority="7313">
      <dataBar>
        <cfvo type="min"/>
        <cfvo type="max"/>
        <color rgb="FF63C384"/>
      </dataBar>
      <extLst>
        <ext xmlns:x14="http://schemas.microsoft.com/office/spreadsheetml/2009/9/main" uri="{B025F937-C7B1-47D3-B67F-A62EFF666E3E}">
          <x14:id>{87D8EBAA-5D27-4775-BB01-4B48A7515E6A}</x14:id>
        </ext>
      </extLst>
    </cfRule>
  </conditionalFormatting>
  <conditionalFormatting sqref="T133:T134 T138 T140 T142:T144 T146:T148 T150 T152">
    <cfRule type="expression" dxfId="10131" priority="7312">
      <formula>AND(AND($W133&lt;TODAY(),$W133&lt;&gt;""),$X133="")</formula>
    </cfRule>
  </conditionalFormatting>
  <conditionalFormatting sqref="Z133:Z134 Z138 Z140 Z142:Z144 Z146:Z148 Z150 Z152">
    <cfRule type="dataBar" priority="7311">
      <dataBar>
        <cfvo type="min"/>
        <cfvo type="max"/>
        <color rgb="FF63C384"/>
      </dataBar>
      <extLst>
        <ext xmlns:x14="http://schemas.microsoft.com/office/spreadsheetml/2009/9/main" uri="{B025F937-C7B1-47D3-B67F-A62EFF666E3E}">
          <x14:id>{94EB90C1-8ADB-475F-94B2-697961E8D56C}</x14:id>
        </ext>
      </extLst>
    </cfRule>
  </conditionalFormatting>
  <conditionalFormatting sqref="T135">
    <cfRule type="expression" dxfId="10130" priority="7310">
      <formula>AND(AND($W135&lt;TODAY(),$W135&lt;&gt;""),$X135="")</formula>
    </cfRule>
  </conditionalFormatting>
  <conditionalFormatting sqref="Z135">
    <cfRule type="dataBar" priority="7309">
      <dataBar>
        <cfvo type="min"/>
        <cfvo type="max"/>
        <color rgb="FF63C384"/>
      </dataBar>
      <extLst>
        <ext xmlns:x14="http://schemas.microsoft.com/office/spreadsheetml/2009/9/main" uri="{B025F937-C7B1-47D3-B67F-A62EFF666E3E}">
          <x14:id>{39B0EC34-9093-430C-B283-C5DC9EB46FF2}</x14:id>
        </ext>
      </extLst>
    </cfRule>
  </conditionalFormatting>
  <conditionalFormatting sqref="T136">
    <cfRule type="expression" dxfId="10129" priority="7308">
      <formula>AND(AND($W136&lt;TODAY(),$W136&lt;&gt;""),$X136="")</formula>
    </cfRule>
  </conditionalFormatting>
  <conditionalFormatting sqref="J136">
    <cfRule type="cellIs" dxfId="10128" priority="7307" operator="equal">
      <formula>"ja"</formula>
    </cfRule>
  </conditionalFormatting>
  <conditionalFormatting sqref="Z136">
    <cfRule type="dataBar" priority="7306">
      <dataBar>
        <cfvo type="min"/>
        <cfvo type="max"/>
        <color rgb="FF63C384"/>
      </dataBar>
      <extLst>
        <ext xmlns:x14="http://schemas.microsoft.com/office/spreadsheetml/2009/9/main" uri="{B025F937-C7B1-47D3-B67F-A62EFF666E3E}">
          <x14:id>{14CDC995-E27C-45B5-BC95-B312B4347CE4}</x14:id>
        </ext>
      </extLst>
    </cfRule>
  </conditionalFormatting>
  <conditionalFormatting sqref="J137">
    <cfRule type="cellIs" dxfId="10127" priority="7304" operator="equal">
      <formula>"ja"</formula>
    </cfRule>
  </conditionalFormatting>
  <conditionalFormatting sqref="T137">
    <cfRule type="expression" dxfId="10126" priority="7303">
      <formula>AND(AND($W137&lt;TODAY(),$W137&lt;&gt;""),$X137="")</formula>
    </cfRule>
  </conditionalFormatting>
  <conditionalFormatting sqref="Z137">
    <cfRule type="dataBar" priority="7302">
      <dataBar>
        <cfvo type="min"/>
        <cfvo type="max"/>
        <color rgb="FF63C384"/>
      </dataBar>
      <extLst>
        <ext xmlns:x14="http://schemas.microsoft.com/office/spreadsheetml/2009/9/main" uri="{B025F937-C7B1-47D3-B67F-A62EFF666E3E}">
          <x14:id>{807976B7-54DA-47D8-849F-31A9A1E0AB33}</x14:id>
        </ext>
      </extLst>
    </cfRule>
  </conditionalFormatting>
  <conditionalFormatting sqref="J139">
    <cfRule type="cellIs" dxfId="10125" priority="7301" operator="equal">
      <formula>"ja"</formula>
    </cfRule>
  </conditionalFormatting>
  <conditionalFormatting sqref="T139">
    <cfRule type="expression" dxfId="10124" priority="7300">
      <formula>AND(AND($W139&lt;TODAY(),$W139&lt;&gt;""),$X139="")</formula>
    </cfRule>
  </conditionalFormatting>
  <conditionalFormatting sqref="Z139">
    <cfRule type="dataBar" priority="7299">
      <dataBar>
        <cfvo type="min"/>
        <cfvo type="max"/>
        <color rgb="FF63C384"/>
      </dataBar>
      <extLst>
        <ext xmlns:x14="http://schemas.microsoft.com/office/spreadsheetml/2009/9/main" uri="{B025F937-C7B1-47D3-B67F-A62EFF666E3E}">
          <x14:id>{618039E7-82F3-4234-9032-6E34C34C2AD0}</x14:id>
        </ext>
      </extLst>
    </cfRule>
  </conditionalFormatting>
  <conditionalFormatting sqref="J141">
    <cfRule type="cellIs" dxfId="10123" priority="7298" operator="equal">
      <formula>"ja"</formula>
    </cfRule>
  </conditionalFormatting>
  <conditionalFormatting sqref="T141">
    <cfRule type="expression" dxfId="10122" priority="7297">
      <formula>AND(AND($W141&lt;TODAY(),$W141&lt;&gt;""),$X141="")</formula>
    </cfRule>
  </conditionalFormatting>
  <conditionalFormatting sqref="Z141">
    <cfRule type="dataBar" priority="7296">
      <dataBar>
        <cfvo type="min"/>
        <cfvo type="max"/>
        <color rgb="FF63C384"/>
      </dataBar>
      <extLst>
        <ext xmlns:x14="http://schemas.microsoft.com/office/spreadsheetml/2009/9/main" uri="{B025F937-C7B1-47D3-B67F-A62EFF666E3E}">
          <x14:id>{B5AB059C-9A9B-4197-8584-269ACDAB1E9A}</x14:id>
        </ext>
      </extLst>
    </cfRule>
  </conditionalFormatting>
  <conditionalFormatting sqref="T145">
    <cfRule type="expression" dxfId="10121" priority="7295">
      <formula>AND(AND($W145&lt;TODAY(),$W145&lt;&gt;""),$X145="")</formula>
    </cfRule>
  </conditionalFormatting>
  <conditionalFormatting sqref="J145">
    <cfRule type="cellIs" dxfId="10120" priority="7294" operator="equal">
      <formula>"ja"</formula>
    </cfRule>
  </conditionalFormatting>
  <conditionalFormatting sqref="Z145">
    <cfRule type="dataBar" priority="7293">
      <dataBar>
        <cfvo type="min"/>
        <cfvo type="max"/>
        <color rgb="FF63C384"/>
      </dataBar>
      <extLst>
        <ext xmlns:x14="http://schemas.microsoft.com/office/spreadsheetml/2009/9/main" uri="{B025F937-C7B1-47D3-B67F-A62EFF666E3E}">
          <x14:id>{0FF7670A-C80E-430E-B623-FAB052C7C011}</x14:id>
        </ext>
      </extLst>
    </cfRule>
  </conditionalFormatting>
  <conditionalFormatting sqref="J149">
    <cfRule type="cellIs" dxfId="10119" priority="7291" operator="equal">
      <formula>"ja"</formula>
    </cfRule>
  </conditionalFormatting>
  <conditionalFormatting sqref="T149">
    <cfRule type="expression" dxfId="10118" priority="7290">
      <formula>AND(AND($W149&lt;TODAY(),$W149&lt;&gt;""),$X149="")</formula>
    </cfRule>
  </conditionalFormatting>
  <conditionalFormatting sqref="Z149">
    <cfRule type="dataBar" priority="7289">
      <dataBar>
        <cfvo type="min"/>
        <cfvo type="max"/>
        <color rgb="FF63C384"/>
      </dataBar>
      <extLst>
        <ext xmlns:x14="http://schemas.microsoft.com/office/spreadsheetml/2009/9/main" uri="{B025F937-C7B1-47D3-B67F-A62EFF666E3E}">
          <x14:id>{99C8D1C5-EC65-416A-B414-37A29E55C911}</x14:id>
        </ext>
      </extLst>
    </cfRule>
  </conditionalFormatting>
  <conditionalFormatting sqref="J151">
    <cfRule type="cellIs" dxfId="10117" priority="7287" operator="equal">
      <formula>"ja"</formula>
    </cfRule>
  </conditionalFormatting>
  <conditionalFormatting sqref="T151">
    <cfRule type="expression" dxfId="10116" priority="7286">
      <formula>AND(AND($W151&lt;TODAY(),$W151&lt;&gt;""),$X151="")</formula>
    </cfRule>
  </conditionalFormatting>
  <conditionalFormatting sqref="Z151">
    <cfRule type="dataBar" priority="7285">
      <dataBar>
        <cfvo type="min"/>
        <cfvo type="max"/>
        <color rgb="FF63C384"/>
      </dataBar>
      <extLst>
        <ext xmlns:x14="http://schemas.microsoft.com/office/spreadsheetml/2009/9/main" uri="{B025F937-C7B1-47D3-B67F-A62EFF666E3E}">
          <x14:id>{C244D265-9E21-4BCE-887E-E11D7CC30369}</x14:id>
        </ext>
      </extLst>
    </cfRule>
  </conditionalFormatting>
  <conditionalFormatting sqref="T153">
    <cfRule type="expression" dxfId="10115" priority="7284">
      <formula>AND(AND($W153&lt;TODAY(),$W153&lt;&gt;""),$X153="")</formula>
    </cfRule>
  </conditionalFormatting>
  <conditionalFormatting sqref="Z153">
    <cfRule type="dataBar" priority="7283">
      <dataBar>
        <cfvo type="min"/>
        <cfvo type="max"/>
        <color rgb="FF63C384"/>
      </dataBar>
      <extLst>
        <ext xmlns:x14="http://schemas.microsoft.com/office/spreadsheetml/2009/9/main" uri="{B025F937-C7B1-47D3-B67F-A62EFF666E3E}">
          <x14:id>{D019BA53-9DDA-464B-B2B8-2C6AB038E72E}</x14:id>
        </ext>
      </extLst>
    </cfRule>
  </conditionalFormatting>
  <conditionalFormatting sqref="J154">
    <cfRule type="cellIs" dxfId="10114" priority="7282" operator="equal">
      <formula>"ja"</formula>
    </cfRule>
  </conditionalFormatting>
  <conditionalFormatting sqref="T154">
    <cfRule type="expression" dxfId="10113" priority="7281">
      <formula>AND(AND($W154&lt;TODAY(),$W154&lt;&gt;""),$X154="")</formula>
    </cfRule>
  </conditionalFormatting>
  <conditionalFormatting sqref="Z154">
    <cfRule type="dataBar" priority="7279">
      <dataBar>
        <cfvo type="min"/>
        <cfvo type="max"/>
        <color rgb="FF63C384"/>
      </dataBar>
      <extLst>
        <ext xmlns:x14="http://schemas.microsoft.com/office/spreadsheetml/2009/9/main" uri="{B025F937-C7B1-47D3-B67F-A62EFF666E3E}">
          <x14:id>{E83CCEC4-F3C5-4E92-8793-9E134CD829FA}</x14:id>
        </ext>
      </extLst>
    </cfRule>
  </conditionalFormatting>
  <conditionalFormatting sqref="T155">
    <cfRule type="expression" dxfId="10112" priority="7278">
      <formula>AND(AND($W155&lt;TODAY(),$W155&lt;&gt;""),$X155="")</formula>
    </cfRule>
  </conditionalFormatting>
  <conditionalFormatting sqref="Z155">
    <cfRule type="dataBar" priority="7277">
      <dataBar>
        <cfvo type="min"/>
        <cfvo type="max"/>
        <color rgb="FF63C384"/>
      </dataBar>
      <extLst>
        <ext xmlns:x14="http://schemas.microsoft.com/office/spreadsheetml/2009/9/main" uri="{B025F937-C7B1-47D3-B67F-A62EFF666E3E}">
          <x14:id>{C9821F73-604B-4DE3-9C70-AC16E9F0972C}</x14:id>
        </ext>
      </extLst>
    </cfRule>
  </conditionalFormatting>
  <conditionalFormatting sqref="J156">
    <cfRule type="cellIs" dxfId="10111" priority="7276" operator="equal">
      <formula>"ja"</formula>
    </cfRule>
  </conditionalFormatting>
  <conditionalFormatting sqref="T156">
    <cfRule type="expression" dxfId="10110" priority="7275">
      <formula>AND(AND($W156&lt;TODAY(),$W156&lt;&gt;""),$X156="")</formula>
    </cfRule>
  </conditionalFormatting>
  <conditionalFormatting sqref="Z156">
    <cfRule type="dataBar" priority="7274">
      <dataBar>
        <cfvo type="min"/>
        <cfvo type="max"/>
        <color rgb="FF63C384"/>
      </dataBar>
      <extLst>
        <ext xmlns:x14="http://schemas.microsoft.com/office/spreadsheetml/2009/9/main" uri="{B025F937-C7B1-47D3-B67F-A62EFF666E3E}">
          <x14:id>{5FFAF22C-590D-4992-949B-4BD5E7CBDF20}</x14:id>
        </ext>
      </extLst>
    </cfRule>
  </conditionalFormatting>
  <conditionalFormatting sqref="J157">
    <cfRule type="cellIs" dxfId="10109" priority="7273" operator="equal">
      <formula>"ja"</formula>
    </cfRule>
  </conditionalFormatting>
  <conditionalFormatting sqref="T157">
    <cfRule type="expression" dxfId="10108" priority="7272">
      <formula>AND(AND($W157&lt;TODAY(),$W157&lt;&gt;""),$X157="")</formula>
    </cfRule>
  </conditionalFormatting>
  <conditionalFormatting sqref="Z157">
    <cfRule type="dataBar" priority="7271">
      <dataBar>
        <cfvo type="min"/>
        <cfvo type="max"/>
        <color rgb="FF63C384"/>
      </dataBar>
      <extLst>
        <ext xmlns:x14="http://schemas.microsoft.com/office/spreadsheetml/2009/9/main" uri="{B025F937-C7B1-47D3-B67F-A62EFF666E3E}">
          <x14:id>{61C6D958-CD3D-4CBF-ADD5-25DC41411545}</x14:id>
        </ext>
      </extLst>
    </cfRule>
  </conditionalFormatting>
  <conditionalFormatting sqref="T158">
    <cfRule type="expression" dxfId="10107" priority="7270">
      <formula>AND(AND($W158&lt;TODAY(),$W158&lt;&gt;""),$X158="")</formula>
    </cfRule>
  </conditionalFormatting>
  <conditionalFormatting sqref="Z158">
    <cfRule type="dataBar" priority="7269">
      <dataBar>
        <cfvo type="min"/>
        <cfvo type="max"/>
        <color rgb="FF63C384"/>
      </dataBar>
      <extLst>
        <ext xmlns:x14="http://schemas.microsoft.com/office/spreadsheetml/2009/9/main" uri="{B025F937-C7B1-47D3-B67F-A62EFF666E3E}">
          <x14:id>{4178F02F-F382-4967-A4B3-5B27F7E18B01}</x14:id>
        </ext>
      </extLst>
    </cfRule>
  </conditionalFormatting>
  <conditionalFormatting sqref="J159">
    <cfRule type="cellIs" dxfId="10106" priority="7267" operator="equal">
      <formula>"ja"</formula>
    </cfRule>
  </conditionalFormatting>
  <conditionalFormatting sqref="T159">
    <cfRule type="expression" dxfId="10105" priority="7266">
      <formula>AND(AND($W159&lt;TODAY(),$W159&lt;&gt;""),$X159="")</formula>
    </cfRule>
  </conditionalFormatting>
  <conditionalFormatting sqref="Z159">
    <cfRule type="dataBar" priority="7265">
      <dataBar>
        <cfvo type="min"/>
        <cfvo type="max"/>
        <color rgb="FF63C384"/>
      </dataBar>
      <extLst>
        <ext xmlns:x14="http://schemas.microsoft.com/office/spreadsheetml/2009/9/main" uri="{B025F937-C7B1-47D3-B67F-A62EFF666E3E}">
          <x14:id>{8EABE800-A040-4B84-93AC-2DFEFDA14BF4}</x14:id>
        </ext>
      </extLst>
    </cfRule>
  </conditionalFormatting>
  <conditionalFormatting sqref="J160">
    <cfRule type="cellIs" dxfId="10104" priority="7263" operator="equal">
      <formula>"ja"</formula>
    </cfRule>
  </conditionalFormatting>
  <conditionalFormatting sqref="T160">
    <cfRule type="expression" dxfId="10103" priority="7262">
      <formula>AND(AND($W160&lt;TODAY(),$W160&lt;&gt;""),$X160="")</formula>
    </cfRule>
  </conditionalFormatting>
  <conditionalFormatting sqref="Z160">
    <cfRule type="dataBar" priority="7261">
      <dataBar>
        <cfvo type="min"/>
        <cfvo type="max"/>
        <color rgb="FF63C384"/>
      </dataBar>
      <extLst>
        <ext xmlns:x14="http://schemas.microsoft.com/office/spreadsheetml/2009/9/main" uri="{B025F937-C7B1-47D3-B67F-A62EFF666E3E}">
          <x14:id>{3602EBCF-3D3F-467F-976E-E46C01626A8D}</x14:id>
        </ext>
      </extLst>
    </cfRule>
  </conditionalFormatting>
  <conditionalFormatting sqref="J161">
    <cfRule type="cellIs" dxfId="10102" priority="7259" operator="equal">
      <formula>"ja"</formula>
    </cfRule>
  </conditionalFormatting>
  <conditionalFormatting sqref="T161">
    <cfRule type="expression" dxfId="10101" priority="7258">
      <formula>AND(AND($W161&lt;TODAY(),$W161&lt;&gt;""),$X161="")</formula>
    </cfRule>
  </conditionalFormatting>
  <conditionalFormatting sqref="Z161">
    <cfRule type="dataBar" priority="7257">
      <dataBar>
        <cfvo type="min"/>
        <cfvo type="max"/>
        <color rgb="FF63C384"/>
      </dataBar>
      <extLst>
        <ext xmlns:x14="http://schemas.microsoft.com/office/spreadsheetml/2009/9/main" uri="{B025F937-C7B1-47D3-B67F-A62EFF666E3E}">
          <x14:id>{8EA095A8-6FF4-480F-939C-55E7ECF67529}</x14:id>
        </ext>
      </extLst>
    </cfRule>
  </conditionalFormatting>
  <conditionalFormatting sqref="T162">
    <cfRule type="expression" dxfId="10100" priority="7256">
      <formula>AND(AND($W162&lt;TODAY(),$W162&lt;&gt;""),$X162="")</formula>
    </cfRule>
  </conditionalFormatting>
  <conditionalFormatting sqref="J162">
    <cfRule type="cellIs" dxfId="10099" priority="7255" operator="equal">
      <formula>"ja"</formula>
    </cfRule>
  </conditionalFormatting>
  <conditionalFormatting sqref="Z162">
    <cfRule type="dataBar" priority="7254">
      <dataBar>
        <cfvo type="min"/>
        <cfvo type="max"/>
        <color rgb="FF63C384"/>
      </dataBar>
      <extLst>
        <ext xmlns:x14="http://schemas.microsoft.com/office/spreadsheetml/2009/9/main" uri="{B025F937-C7B1-47D3-B67F-A62EFF666E3E}">
          <x14:id>{1DE0AF71-40B0-4BBA-8C70-22391543112D}</x14:id>
        </ext>
      </extLst>
    </cfRule>
  </conditionalFormatting>
  <conditionalFormatting sqref="T163">
    <cfRule type="expression" dxfId="10098" priority="7253">
      <formula>AND(AND($W163&lt;TODAY(),$W163&lt;&gt;""),$X163="")</formula>
    </cfRule>
  </conditionalFormatting>
  <conditionalFormatting sqref="Z163">
    <cfRule type="dataBar" priority="7252">
      <dataBar>
        <cfvo type="min"/>
        <cfvo type="max"/>
        <color rgb="FF63C384"/>
      </dataBar>
      <extLst>
        <ext xmlns:x14="http://schemas.microsoft.com/office/spreadsheetml/2009/9/main" uri="{B025F937-C7B1-47D3-B67F-A62EFF666E3E}">
          <x14:id>{9D5F7467-35D8-4381-B0DE-521CF28DB230}</x14:id>
        </ext>
      </extLst>
    </cfRule>
  </conditionalFormatting>
  <conditionalFormatting sqref="T164">
    <cfRule type="expression" dxfId="10097" priority="7251">
      <formula>AND(AND($W164&lt;TODAY(),$W164&lt;&gt;""),$X164="")</formula>
    </cfRule>
  </conditionalFormatting>
  <conditionalFormatting sqref="Z164">
    <cfRule type="dataBar" priority="7250">
      <dataBar>
        <cfvo type="min"/>
        <cfvo type="max"/>
        <color rgb="FF63C384"/>
      </dataBar>
      <extLst>
        <ext xmlns:x14="http://schemas.microsoft.com/office/spreadsheetml/2009/9/main" uri="{B025F937-C7B1-47D3-B67F-A62EFF666E3E}">
          <x14:id>{F4FDFE70-4574-4B87-AE40-D0449E801DB2}</x14:id>
        </ext>
      </extLst>
    </cfRule>
  </conditionalFormatting>
  <conditionalFormatting sqref="C165">
    <cfRule type="containsText" dxfId="10096" priority="7248" operator="containsText" text="Einnahmen">
      <formula>NOT(ISERROR(SEARCH("Einnahmen",C165)))</formula>
    </cfRule>
    <cfRule type="containsText" dxfId="10095" priority="7249" operator="containsText" text="Ausgaben">
      <formula>NOT(ISERROR(SEARCH("Ausgaben",C165)))</formula>
    </cfRule>
  </conditionalFormatting>
  <conditionalFormatting sqref="J165">
    <cfRule type="cellIs" dxfId="10094" priority="7246" operator="equal">
      <formula>"ja"</formula>
    </cfRule>
  </conditionalFormatting>
  <conditionalFormatting sqref="T165">
    <cfRule type="expression" dxfId="10093" priority="7245">
      <formula>AND(AND($W165&lt;TODAY(),$W165&lt;&gt;""),$X165="")</formula>
    </cfRule>
  </conditionalFormatting>
  <conditionalFormatting sqref="Z165">
    <cfRule type="dataBar" priority="7244">
      <dataBar>
        <cfvo type="min"/>
        <cfvo type="max"/>
        <color rgb="FF63C384"/>
      </dataBar>
      <extLst>
        <ext xmlns:x14="http://schemas.microsoft.com/office/spreadsheetml/2009/9/main" uri="{B025F937-C7B1-47D3-B67F-A62EFF666E3E}">
          <x14:id>{9AAF4B70-6122-4861-A399-F64CD6B9913E}</x14:id>
        </ext>
      </extLst>
    </cfRule>
  </conditionalFormatting>
  <conditionalFormatting sqref="T166">
    <cfRule type="expression" dxfId="10092" priority="7243">
      <formula>AND(AND($W166&lt;TODAY(),$W166&lt;&gt;""),$X166="")</formula>
    </cfRule>
  </conditionalFormatting>
  <conditionalFormatting sqref="Z166">
    <cfRule type="dataBar" priority="7242">
      <dataBar>
        <cfvo type="min"/>
        <cfvo type="max"/>
        <color rgb="FF63C384"/>
      </dataBar>
      <extLst>
        <ext xmlns:x14="http://schemas.microsoft.com/office/spreadsheetml/2009/9/main" uri="{B025F937-C7B1-47D3-B67F-A62EFF666E3E}">
          <x14:id>{3F6DE95D-B9FC-440E-928D-3B40C517F238}</x14:id>
        </ext>
      </extLst>
    </cfRule>
  </conditionalFormatting>
  <conditionalFormatting sqref="J167">
    <cfRule type="cellIs" dxfId="10091" priority="7240" operator="equal">
      <formula>"ja"</formula>
    </cfRule>
  </conditionalFormatting>
  <conditionalFormatting sqref="T167">
    <cfRule type="expression" dxfId="10090" priority="7239">
      <formula>AND(AND($W167&lt;TODAY(),$W167&lt;&gt;""),$X167="")</formula>
    </cfRule>
  </conditionalFormatting>
  <conditionalFormatting sqref="Z167">
    <cfRule type="dataBar" priority="7238">
      <dataBar>
        <cfvo type="min"/>
        <cfvo type="max"/>
        <color rgb="FF63C384"/>
      </dataBar>
      <extLst>
        <ext xmlns:x14="http://schemas.microsoft.com/office/spreadsheetml/2009/9/main" uri="{B025F937-C7B1-47D3-B67F-A62EFF666E3E}">
          <x14:id>{5CF6EC42-615E-412A-BE9C-B304383F6CB4}</x14:id>
        </ext>
      </extLst>
    </cfRule>
  </conditionalFormatting>
  <conditionalFormatting sqref="J168">
    <cfRule type="cellIs" dxfId="10089" priority="7236" operator="equal">
      <formula>"ja"</formula>
    </cfRule>
  </conditionalFormatting>
  <conditionalFormatting sqref="T168">
    <cfRule type="expression" dxfId="10088" priority="7235">
      <formula>AND(AND($W168&lt;TODAY(),$W168&lt;&gt;""),$X168="")</formula>
    </cfRule>
  </conditionalFormatting>
  <conditionalFormatting sqref="Z168">
    <cfRule type="dataBar" priority="7234">
      <dataBar>
        <cfvo type="min"/>
        <cfvo type="max"/>
        <color rgb="FF63C384"/>
      </dataBar>
      <extLst>
        <ext xmlns:x14="http://schemas.microsoft.com/office/spreadsheetml/2009/9/main" uri="{B025F937-C7B1-47D3-B67F-A62EFF666E3E}">
          <x14:id>{C66A02E9-1157-4171-A462-B1BF600CC0C8}</x14:id>
        </ext>
      </extLst>
    </cfRule>
  </conditionalFormatting>
  <conditionalFormatting sqref="T169">
    <cfRule type="expression" dxfId="10087" priority="7232">
      <formula>AND(AND($W169&lt;TODAY(),$W169&lt;&gt;""),$X169="")</formula>
    </cfRule>
  </conditionalFormatting>
  <conditionalFormatting sqref="J169">
    <cfRule type="cellIs" dxfId="10086" priority="7231" operator="equal">
      <formula>"ja"</formula>
    </cfRule>
  </conditionalFormatting>
  <conditionalFormatting sqref="Z169">
    <cfRule type="dataBar" priority="7230">
      <dataBar>
        <cfvo type="min"/>
        <cfvo type="max"/>
        <color rgb="FF63C384"/>
      </dataBar>
      <extLst>
        <ext xmlns:x14="http://schemas.microsoft.com/office/spreadsheetml/2009/9/main" uri="{B025F937-C7B1-47D3-B67F-A62EFF666E3E}">
          <x14:id>{2CEBB7F5-50B7-4ACA-91E9-744CE9E8E21B}</x14:id>
        </ext>
      </extLst>
    </cfRule>
  </conditionalFormatting>
  <conditionalFormatting sqref="T170">
    <cfRule type="expression" dxfId="10085" priority="7229">
      <formula>AND(AND($W170&lt;TODAY(),$W170&lt;&gt;""),$X170="")</formula>
    </cfRule>
  </conditionalFormatting>
  <conditionalFormatting sqref="Z170">
    <cfRule type="dataBar" priority="7228">
      <dataBar>
        <cfvo type="min"/>
        <cfvo type="max"/>
        <color rgb="FF63C384"/>
      </dataBar>
      <extLst>
        <ext xmlns:x14="http://schemas.microsoft.com/office/spreadsheetml/2009/9/main" uri="{B025F937-C7B1-47D3-B67F-A62EFF666E3E}">
          <x14:id>{77047B83-7E40-404C-B1F6-E7CDB69F4402}</x14:id>
        </ext>
      </extLst>
    </cfRule>
  </conditionalFormatting>
  <conditionalFormatting sqref="C171">
    <cfRule type="containsText" dxfId="10084" priority="7226" operator="containsText" text="Einnahmen">
      <formula>NOT(ISERROR(SEARCH("Einnahmen",C171)))</formula>
    </cfRule>
    <cfRule type="containsText" dxfId="10083" priority="7227" operator="containsText" text="Ausgaben">
      <formula>NOT(ISERROR(SEARCH("Ausgaben",C171)))</formula>
    </cfRule>
  </conditionalFormatting>
  <conditionalFormatting sqref="J171">
    <cfRule type="cellIs" dxfId="10082" priority="7224" operator="equal">
      <formula>"ja"</formula>
    </cfRule>
  </conditionalFormatting>
  <conditionalFormatting sqref="T171">
    <cfRule type="expression" dxfId="10081" priority="7223">
      <formula>AND(AND($W171&lt;TODAY(),$W171&lt;&gt;""),$X171="")</formula>
    </cfRule>
  </conditionalFormatting>
  <conditionalFormatting sqref="Z171">
    <cfRule type="dataBar" priority="7222">
      <dataBar>
        <cfvo type="min"/>
        <cfvo type="max"/>
        <color rgb="FF63C384"/>
      </dataBar>
      <extLst>
        <ext xmlns:x14="http://schemas.microsoft.com/office/spreadsheetml/2009/9/main" uri="{B025F937-C7B1-47D3-B67F-A62EFF666E3E}">
          <x14:id>{793EC045-9527-4834-A195-CA72F7E31452}</x14:id>
        </ext>
      </extLst>
    </cfRule>
  </conditionalFormatting>
  <conditionalFormatting sqref="C172">
    <cfRule type="containsText" dxfId="10080" priority="7220" operator="containsText" text="Einnahmen">
      <formula>NOT(ISERROR(SEARCH("Einnahmen",C172)))</formula>
    </cfRule>
    <cfRule type="containsText" dxfId="10079" priority="7221" operator="containsText" text="Ausgaben">
      <formula>NOT(ISERROR(SEARCH("Ausgaben",C172)))</formula>
    </cfRule>
  </conditionalFormatting>
  <conditionalFormatting sqref="J172">
    <cfRule type="cellIs" dxfId="10078" priority="7218" operator="equal">
      <formula>"ja"</formula>
    </cfRule>
  </conditionalFormatting>
  <conditionalFormatting sqref="T172">
    <cfRule type="expression" dxfId="10077" priority="7217">
      <formula>AND(AND($W172&lt;TODAY(),$W172&lt;&gt;""),$X172="")</formula>
    </cfRule>
  </conditionalFormatting>
  <conditionalFormatting sqref="Z172">
    <cfRule type="dataBar" priority="7216">
      <dataBar>
        <cfvo type="min"/>
        <cfvo type="max"/>
        <color rgb="FF63C384"/>
      </dataBar>
      <extLst>
        <ext xmlns:x14="http://schemas.microsoft.com/office/spreadsheetml/2009/9/main" uri="{B025F937-C7B1-47D3-B67F-A62EFF666E3E}">
          <x14:id>{7F9060F1-B781-49D4-90B7-50F652C6F626}</x14:id>
        </ext>
      </extLst>
    </cfRule>
  </conditionalFormatting>
  <conditionalFormatting sqref="J173">
    <cfRule type="cellIs" dxfId="10076" priority="7215" operator="equal">
      <formula>"ja"</formula>
    </cfRule>
  </conditionalFormatting>
  <conditionalFormatting sqref="T173">
    <cfRule type="expression" dxfId="10075" priority="7214">
      <formula>AND(AND($W173&lt;TODAY(),$W173&lt;&gt;""),$X173="")</formula>
    </cfRule>
  </conditionalFormatting>
  <conditionalFormatting sqref="Z173">
    <cfRule type="dataBar" priority="7213">
      <dataBar>
        <cfvo type="min"/>
        <cfvo type="max"/>
        <color rgb="FF63C384"/>
      </dataBar>
      <extLst>
        <ext xmlns:x14="http://schemas.microsoft.com/office/spreadsheetml/2009/9/main" uri="{B025F937-C7B1-47D3-B67F-A62EFF666E3E}">
          <x14:id>{9831DB2F-8EFF-46E6-B020-CEEDECDCD66F}</x14:id>
        </ext>
      </extLst>
    </cfRule>
  </conditionalFormatting>
  <conditionalFormatting sqref="J174">
    <cfRule type="cellIs" dxfId="10074" priority="7211" operator="equal">
      <formula>"ja"</formula>
    </cfRule>
  </conditionalFormatting>
  <conditionalFormatting sqref="T174">
    <cfRule type="expression" dxfId="10073" priority="7210">
      <formula>AND(AND($W174&lt;TODAY(),$W174&lt;&gt;""),$X174="")</formula>
    </cfRule>
  </conditionalFormatting>
  <conditionalFormatting sqref="Z174">
    <cfRule type="dataBar" priority="7209">
      <dataBar>
        <cfvo type="min"/>
        <cfvo type="max"/>
        <color rgb="FF63C384"/>
      </dataBar>
      <extLst>
        <ext xmlns:x14="http://schemas.microsoft.com/office/spreadsheetml/2009/9/main" uri="{B025F937-C7B1-47D3-B67F-A62EFF666E3E}">
          <x14:id>{F8CA2634-E20C-4BC8-A8F6-8D059D1272EA}</x14:id>
        </ext>
      </extLst>
    </cfRule>
  </conditionalFormatting>
  <conditionalFormatting sqref="C174">
    <cfRule type="containsText" dxfId="10072" priority="7207" operator="containsText" text="Einnahmen">
      <formula>NOT(ISERROR(SEARCH("Einnahmen",C174)))</formula>
    </cfRule>
    <cfRule type="containsText" dxfId="10071" priority="7208" operator="containsText" text="Ausgaben">
      <formula>NOT(ISERROR(SEARCH("Ausgaben",C174)))</formula>
    </cfRule>
  </conditionalFormatting>
  <conditionalFormatting sqref="J175">
    <cfRule type="cellIs" dxfId="10070" priority="7205" operator="equal">
      <formula>"ja"</formula>
    </cfRule>
  </conditionalFormatting>
  <conditionalFormatting sqref="T175">
    <cfRule type="expression" dxfId="10069" priority="7204">
      <formula>AND(AND($W175&lt;TODAY(),$W175&lt;&gt;""),$X175="")</formula>
    </cfRule>
  </conditionalFormatting>
  <conditionalFormatting sqref="Z175">
    <cfRule type="dataBar" priority="7203">
      <dataBar>
        <cfvo type="min"/>
        <cfvo type="max"/>
        <color rgb="FF63C384"/>
      </dataBar>
      <extLst>
        <ext xmlns:x14="http://schemas.microsoft.com/office/spreadsheetml/2009/9/main" uri="{B025F937-C7B1-47D3-B67F-A62EFF666E3E}">
          <x14:id>{0C6BE971-2E01-444D-9E59-12609217B093}</x14:id>
        </ext>
      </extLst>
    </cfRule>
  </conditionalFormatting>
  <conditionalFormatting sqref="J176">
    <cfRule type="cellIs" dxfId="10068" priority="7201" operator="equal">
      <formula>"ja"</formula>
    </cfRule>
  </conditionalFormatting>
  <conditionalFormatting sqref="T176">
    <cfRule type="expression" dxfId="10067" priority="7200">
      <formula>AND(AND($W176&lt;TODAY(),$W176&lt;&gt;""),$X176="")</formula>
    </cfRule>
  </conditionalFormatting>
  <conditionalFormatting sqref="Z176">
    <cfRule type="dataBar" priority="7199">
      <dataBar>
        <cfvo type="min"/>
        <cfvo type="max"/>
        <color rgb="FF63C384"/>
      </dataBar>
      <extLst>
        <ext xmlns:x14="http://schemas.microsoft.com/office/spreadsheetml/2009/9/main" uri="{B025F937-C7B1-47D3-B67F-A62EFF666E3E}">
          <x14:id>{7A5523B7-9EB1-4005-9F8F-8C2FC3166A1E}</x14:id>
        </ext>
      </extLst>
    </cfRule>
  </conditionalFormatting>
  <conditionalFormatting sqref="J177">
    <cfRule type="cellIs" dxfId="10066" priority="7197" operator="equal">
      <formula>"ja"</formula>
    </cfRule>
  </conditionalFormatting>
  <conditionalFormatting sqref="T177">
    <cfRule type="expression" dxfId="10065" priority="7196">
      <formula>AND(AND($W177&lt;TODAY(),$W177&lt;&gt;""),$X177="")</formula>
    </cfRule>
  </conditionalFormatting>
  <conditionalFormatting sqref="Z177">
    <cfRule type="dataBar" priority="7195">
      <dataBar>
        <cfvo type="min"/>
        <cfvo type="max"/>
        <color rgb="FF63C384"/>
      </dataBar>
      <extLst>
        <ext xmlns:x14="http://schemas.microsoft.com/office/spreadsheetml/2009/9/main" uri="{B025F937-C7B1-47D3-B67F-A62EFF666E3E}">
          <x14:id>{5D482F83-99B5-4D6D-B659-E3297F7D6076}</x14:id>
        </ext>
      </extLst>
    </cfRule>
  </conditionalFormatting>
  <conditionalFormatting sqref="J178">
    <cfRule type="cellIs" dxfId="10064" priority="7194" operator="equal">
      <formula>"ja"</formula>
    </cfRule>
  </conditionalFormatting>
  <conditionalFormatting sqref="T178">
    <cfRule type="expression" dxfId="10063" priority="7193">
      <formula>AND(AND($W178&lt;TODAY(),$W178&lt;&gt;""),$X178="")</formula>
    </cfRule>
  </conditionalFormatting>
  <conditionalFormatting sqref="Z178">
    <cfRule type="dataBar" priority="7191">
      <dataBar>
        <cfvo type="min"/>
        <cfvo type="max"/>
        <color rgb="FF63C384"/>
      </dataBar>
      <extLst>
        <ext xmlns:x14="http://schemas.microsoft.com/office/spreadsheetml/2009/9/main" uri="{B025F937-C7B1-47D3-B67F-A62EFF666E3E}">
          <x14:id>{46A234E4-6DD8-4B1C-86FE-F6E31BA169C5}</x14:id>
        </ext>
      </extLst>
    </cfRule>
  </conditionalFormatting>
  <conditionalFormatting sqref="J179">
    <cfRule type="cellIs" dxfId="10062" priority="7189" operator="equal">
      <formula>"ja"</formula>
    </cfRule>
  </conditionalFormatting>
  <conditionalFormatting sqref="T179">
    <cfRule type="expression" dxfId="10061" priority="7188">
      <formula>AND(AND($W179&lt;TODAY(),$W179&lt;&gt;""),$X179="")</formula>
    </cfRule>
  </conditionalFormatting>
  <conditionalFormatting sqref="Z179">
    <cfRule type="dataBar" priority="7187">
      <dataBar>
        <cfvo type="min"/>
        <cfvo type="max"/>
        <color rgb="FF63C384"/>
      </dataBar>
      <extLst>
        <ext xmlns:x14="http://schemas.microsoft.com/office/spreadsheetml/2009/9/main" uri="{B025F937-C7B1-47D3-B67F-A62EFF666E3E}">
          <x14:id>{1DFF45AB-9FA7-46F3-836D-328D77D70929}</x14:id>
        </ext>
      </extLst>
    </cfRule>
  </conditionalFormatting>
  <conditionalFormatting sqref="J180">
    <cfRule type="cellIs" dxfId="10060" priority="7186" operator="equal">
      <formula>"ja"</formula>
    </cfRule>
  </conditionalFormatting>
  <conditionalFormatting sqref="Z180">
    <cfRule type="dataBar" priority="7184">
      <dataBar>
        <cfvo type="min"/>
        <cfvo type="max"/>
        <color rgb="FF63C384"/>
      </dataBar>
      <extLst>
        <ext xmlns:x14="http://schemas.microsoft.com/office/spreadsheetml/2009/9/main" uri="{B025F937-C7B1-47D3-B67F-A62EFF666E3E}">
          <x14:id>{203E0413-F084-48FD-BAB7-EDE9C0BE9E89}</x14:id>
        </ext>
      </extLst>
    </cfRule>
  </conditionalFormatting>
  <conditionalFormatting sqref="T180">
    <cfRule type="expression" dxfId="10059" priority="8605">
      <formula>AND(AND($S180&lt;TODAY(),$S180&lt;&gt;""),$T180="")</formula>
    </cfRule>
  </conditionalFormatting>
  <conditionalFormatting sqref="C181">
    <cfRule type="containsText" dxfId="10058" priority="7182" operator="containsText" text="Einnahmen">
      <formula>NOT(ISERROR(SEARCH("Einnahmen",C181)))</formula>
    </cfRule>
    <cfRule type="containsText" dxfId="10057" priority="7183" operator="containsText" text="Ausgaben">
      <formula>NOT(ISERROR(SEARCH("Ausgaben",C181)))</formula>
    </cfRule>
  </conditionalFormatting>
  <conditionalFormatting sqref="J181">
    <cfRule type="cellIs" dxfId="10056" priority="7180" operator="equal">
      <formula>"ja"</formula>
    </cfRule>
  </conditionalFormatting>
  <conditionalFormatting sqref="T181">
    <cfRule type="expression" dxfId="10055" priority="7179">
      <formula>AND(AND($W181&lt;TODAY(),$W181&lt;&gt;""),$X181="")</formula>
    </cfRule>
  </conditionalFormatting>
  <conditionalFormatting sqref="Z181">
    <cfRule type="dataBar" priority="7178">
      <dataBar>
        <cfvo type="min"/>
        <cfvo type="max"/>
        <color rgb="FF63C384"/>
      </dataBar>
      <extLst>
        <ext xmlns:x14="http://schemas.microsoft.com/office/spreadsheetml/2009/9/main" uri="{B025F937-C7B1-47D3-B67F-A62EFF666E3E}">
          <x14:id>{B0895E9B-97C6-4DCC-8570-2B1551B0F8B5}</x14:id>
        </ext>
      </extLst>
    </cfRule>
  </conditionalFormatting>
  <conditionalFormatting sqref="J182">
    <cfRule type="cellIs" dxfId="10054" priority="7176" operator="equal">
      <formula>"ja"</formula>
    </cfRule>
  </conditionalFormatting>
  <conditionalFormatting sqref="T182">
    <cfRule type="expression" dxfId="10053" priority="7175">
      <formula>AND(AND($W182&lt;TODAY(),$W182&lt;&gt;""),$X182="")</formula>
    </cfRule>
  </conditionalFormatting>
  <conditionalFormatting sqref="Z182">
    <cfRule type="dataBar" priority="7174">
      <dataBar>
        <cfvo type="min"/>
        <cfvo type="max"/>
        <color rgb="FF63C384"/>
      </dataBar>
      <extLst>
        <ext xmlns:x14="http://schemas.microsoft.com/office/spreadsheetml/2009/9/main" uri="{B025F937-C7B1-47D3-B67F-A62EFF666E3E}">
          <x14:id>{0B848E88-D1B6-42DA-BBCF-671AB673F2E7}</x14:id>
        </ext>
      </extLst>
    </cfRule>
  </conditionalFormatting>
  <conditionalFormatting sqref="J199">
    <cfRule type="cellIs" dxfId="10052" priority="7172" operator="equal">
      <formula>"ja"</formula>
    </cfRule>
  </conditionalFormatting>
  <conditionalFormatting sqref="T199:T200">
    <cfRule type="expression" dxfId="10051" priority="7171">
      <formula>AND(AND($W199&lt;TODAY(),$W199&lt;&gt;""),$X199="")</formula>
    </cfRule>
  </conditionalFormatting>
  <conditionalFormatting sqref="Z199:Z200">
    <cfRule type="dataBar" priority="7170">
      <dataBar>
        <cfvo type="min"/>
        <cfvo type="max"/>
        <color rgb="FF63C384"/>
      </dataBar>
      <extLst>
        <ext xmlns:x14="http://schemas.microsoft.com/office/spreadsheetml/2009/9/main" uri="{B025F937-C7B1-47D3-B67F-A62EFF666E3E}">
          <x14:id>{42B26C27-9FBD-455B-AFE8-4845FDBC7936}</x14:id>
        </ext>
      </extLst>
    </cfRule>
  </conditionalFormatting>
  <conditionalFormatting sqref="J198">
    <cfRule type="cellIs" dxfId="10050" priority="7168" operator="equal">
      <formula>"ja"</formula>
    </cfRule>
  </conditionalFormatting>
  <conditionalFormatting sqref="T198">
    <cfRule type="expression" dxfId="10049" priority="7167">
      <formula>AND(AND($W198&lt;TODAY(),$W198&lt;&gt;""),$X198="")</formula>
    </cfRule>
  </conditionalFormatting>
  <conditionalFormatting sqref="Z198">
    <cfRule type="dataBar" priority="7166">
      <dataBar>
        <cfvo type="min"/>
        <cfvo type="max"/>
        <color rgb="FF63C384"/>
      </dataBar>
      <extLst>
        <ext xmlns:x14="http://schemas.microsoft.com/office/spreadsheetml/2009/9/main" uri="{B025F937-C7B1-47D3-B67F-A62EFF666E3E}">
          <x14:id>{1B55D114-6E9F-47F9-A4CD-B4670D358FFB}</x14:id>
        </ext>
      </extLst>
    </cfRule>
  </conditionalFormatting>
  <conditionalFormatting sqref="J197">
    <cfRule type="cellIs" dxfId="10048" priority="7164" operator="equal">
      <formula>"ja"</formula>
    </cfRule>
  </conditionalFormatting>
  <conditionalFormatting sqref="T197">
    <cfRule type="expression" dxfId="10047" priority="7163">
      <formula>AND(AND($W197&lt;TODAY(),$W197&lt;&gt;""),$X197="")</formula>
    </cfRule>
  </conditionalFormatting>
  <conditionalFormatting sqref="Z197">
    <cfRule type="dataBar" priority="7162">
      <dataBar>
        <cfvo type="min"/>
        <cfvo type="max"/>
        <color rgb="FF63C384"/>
      </dataBar>
      <extLst>
        <ext xmlns:x14="http://schemas.microsoft.com/office/spreadsheetml/2009/9/main" uri="{B025F937-C7B1-47D3-B67F-A62EFF666E3E}">
          <x14:id>{48D285DD-4E6E-4597-BCD2-062134B93FC4}</x14:id>
        </ext>
      </extLst>
    </cfRule>
  </conditionalFormatting>
  <conditionalFormatting sqref="J193">
    <cfRule type="cellIs" dxfId="10046" priority="7160" operator="equal">
      <formula>"ja"</formula>
    </cfRule>
  </conditionalFormatting>
  <conditionalFormatting sqref="T193">
    <cfRule type="expression" dxfId="10045" priority="7159">
      <formula>AND(AND($W193&lt;TODAY(),$W193&lt;&gt;""),$X193="")</formula>
    </cfRule>
  </conditionalFormatting>
  <conditionalFormatting sqref="Z193">
    <cfRule type="dataBar" priority="7158">
      <dataBar>
        <cfvo type="min"/>
        <cfvo type="max"/>
        <color rgb="FF63C384"/>
      </dataBar>
      <extLst>
        <ext xmlns:x14="http://schemas.microsoft.com/office/spreadsheetml/2009/9/main" uri="{B025F937-C7B1-47D3-B67F-A62EFF666E3E}">
          <x14:id>{BA347BF1-7692-4ADC-BDF1-3AC76FAE3C74}</x14:id>
        </ext>
      </extLst>
    </cfRule>
  </conditionalFormatting>
  <conditionalFormatting sqref="J191">
    <cfRule type="cellIs" dxfId="10044" priority="7156" operator="equal">
      <formula>"ja"</formula>
    </cfRule>
  </conditionalFormatting>
  <conditionalFormatting sqref="T191">
    <cfRule type="expression" dxfId="10043" priority="7155">
      <formula>AND(AND($W191&lt;TODAY(),$W191&lt;&gt;""),$X191="")</formula>
    </cfRule>
  </conditionalFormatting>
  <conditionalFormatting sqref="Z191">
    <cfRule type="dataBar" priority="7154">
      <dataBar>
        <cfvo type="min"/>
        <cfvo type="max"/>
        <color rgb="FF63C384"/>
      </dataBar>
      <extLst>
        <ext xmlns:x14="http://schemas.microsoft.com/office/spreadsheetml/2009/9/main" uri="{B025F937-C7B1-47D3-B67F-A62EFF666E3E}">
          <x14:id>{C0CFA47F-6B67-462D-90EC-765F8F34026A}</x14:id>
        </ext>
      </extLst>
    </cfRule>
  </conditionalFormatting>
  <conditionalFormatting sqref="J196">
    <cfRule type="cellIs" dxfId="10042" priority="7152" operator="equal">
      <formula>"ja"</formula>
    </cfRule>
  </conditionalFormatting>
  <conditionalFormatting sqref="T196">
    <cfRule type="expression" dxfId="10041" priority="7151">
      <formula>AND(AND($W196&lt;TODAY(),$W196&lt;&gt;""),$X196="")</formula>
    </cfRule>
  </conditionalFormatting>
  <conditionalFormatting sqref="Z196">
    <cfRule type="dataBar" priority="7150">
      <dataBar>
        <cfvo type="min"/>
        <cfvo type="max"/>
        <color rgb="FF63C384"/>
      </dataBar>
      <extLst>
        <ext xmlns:x14="http://schemas.microsoft.com/office/spreadsheetml/2009/9/main" uri="{B025F937-C7B1-47D3-B67F-A62EFF666E3E}">
          <x14:id>{D4FD93BB-B79D-4922-A77F-B9267070B10D}</x14:id>
        </ext>
      </extLst>
    </cfRule>
  </conditionalFormatting>
  <conditionalFormatting sqref="T195">
    <cfRule type="expression" dxfId="10040" priority="7148">
      <formula>AND(AND($W195&lt;TODAY(),$W195&lt;&gt;""),$X195="")</formula>
    </cfRule>
  </conditionalFormatting>
  <conditionalFormatting sqref="J195">
    <cfRule type="cellIs" dxfId="10039" priority="7147" operator="equal">
      <formula>"ja"</formula>
    </cfRule>
  </conditionalFormatting>
  <conditionalFormatting sqref="Z195">
    <cfRule type="dataBar" priority="7146">
      <dataBar>
        <cfvo type="min"/>
        <cfvo type="max"/>
        <color rgb="FF63C384"/>
      </dataBar>
      <extLst>
        <ext xmlns:x14="http://schemas.microsoft.com/office/spreadsheetml/2009/9/main" uri="{B025F937-C7B1-47D3-B67F-A62EFF666E3E}">
          <x14:id>{204388B6-3005-49E2-857A-9237B64B55EB}</x14:id>
        </ext>
      </extLst>
    </cfRule>
  </conditionalFormatting>
  <conditionalFormatting sqref="C194">
    <cfRule type="containsText" dxfId="10038" priority="7144" operator="containsText" text="Einnahmen">
      <formula>NOT(ISERROR(SEARCH("Einnahmen",C194)))</formula>
    </cfRule>
    <cfRule type="containsText" dxfId="10037" priority="7145" operator="containsText" text="Ausgaben">
      <formula>NOT(ISERROR(SEARCH("Ausgaben",C194)))</formula>
    </cfRule>
  </conditionalFormatting>
  <conditionalFormatting sqref="J190">
    <cfRule type="cellIs" dxfId="10036" priority="7143" operator="equal">
      <formula>"ja"</formula>
    </cfRule>
  </conditionalFormatting>
  <conditionalFormatting sqref="T190">
    <cfRule type="expression" dxfId="10035" priority="7142">
      <formula>AND(AND($W190&lt;TODAY(),$W190&lt;&gt;""),$X190="")</formula>
    </cfRule>
  </conditionalFormatting>
  <conditionalFormatting sqref="Z190">
    <cfRule type="dataBar" priority="7141">
      <dataBar>
        <cfvo type="min"/>
        <cfvo type="max"/>
        <color rgb="FF63C384"/>
      </dataBar>
      <extLst>
        <ext xmlns:x14="http://schemas.microsoft.com/office/spreadsheetml/2009/9/main" uri="{B025F937-C7B1-47D3-B67F-A62EFF666E3E}">
          <x14:id>{94672B08-4960-479A-BC56-1CB2ED7BAFFE}</x14:id>
        </ext>
      </extLst>
    </cfRule>
  </conditionalFormatting>
  <conditionalFormatting sqref="J183">
    <cfRule type="cellIs" dxfId="10034" priority="7140" operator="equal">
      <formula>"ja"</formula>
    </cfRule>
  </conditionalFormatting>
  <conditionalFormatting sqref="T185">
    <cfRule type="expression" dxfId="10033" priority="7137">
      <formula>AND(AND($W185&lt;TODAY(),$W185&lt;&gt;""),$X185="")</formula>
    </cfRule>
  </conditionalFormatting>
  <conditionalFormatting sqref="J185">
    <cfRule type="cellIs" dxfId="10032" priority="7136" operator="equal">
      <formula>"ja"</formula>
    </cfRule>
  </conditionalFormatting>
  <conditionalFormatting sqref="Z185">
    <cfRule type="dataBar" priority="7135">
      <dataBar>
        <cfvo type="min"/>
        <cfvo type="max"/>
        <color rgb="FF63C384"/>
      </dataBar>
      <extLst>
        <ext xmlns:x14="http://schemas.microsoft.com/office/spreadsheetml/2009/9/main" uri="{B025F937-C7B1-47D3-B67F-A62EFF666E3E}">
          <x14:id>{CE10B4B2-54A9-41FE-84D8-618883443717}</x14:id>
        </ext>
      </extLst>
    </cfRule>
  </conditionalFormatting>
  <conditionalFormatting sqref="J186">
    <cfRule type="cellIs" dxfId="10031" priority="7133" operator="equal">
      <formula>"ja"</formula>
    </cfRule>
  </conditionalFormatting>
  <conditionalFormatting sqref="T186">
    <cfRule type="expression" dxfId="10030" priority="7132">
      <formula>AND(AND($W186&lt;TODAY(),$W186&lt;&gt;""),$X186="")</formula>
    </cfRule>
  </conditionalFormatting>
  <conditionalFormatting sqref="Z186">
    <cfRule type="dataBar" priority="7131">
      <dataBar>
        <cfvo type="min"/>
        <cfvo type="max"/>
        <color rgb="FF63C384"/>
      </dataBar>
      <extLst>
        <ext xmlns:x14="http://schemas.microsoft.com/office/spreadsheetml/2009/9/main" uri="{B025F937-C7B1-47D3-B67F-A62EFF666E3E}">
          <x14:id>{1F02B12C-74D7-48B1-8E2A-4E0456CC2859}</x14:id>
        </ext>
      </extLst>
    </cfRule>
  </conditionalFormatting>
  <conditionalFormatting sqref="J187">
    <cfRule type="cellIs" dxfId="10029" priority="7129" operator="equal">
      <formula>"ja"</formula>
    </cfRule>
  </conditionalFormatting>
  <conditionalFormatting sqref="T187">
    <cfRule type="expression" dxfId="10028" priority="7128">
      <formula>AND(AND($W187&lt;TODAY(),$W187&lt;&gt;""),$X187="")</formula>
    </cfRule>
  </conditionalFormatting>
  <conditionalFormatting sqref="Z187">
    <cfRule type="dataBar" priority="7127">
      <dataBar>
        <cfvo type="min"/>
        <cfvo type="max"/>
        <color rgb="FF63C384"/>
      </dataBar>
      <extLst>
        <ext xmlns:x14="http://schemas.microsoft.com/office/spreadsheetml/2009/9/main" uri="{B025F937-C7B1-47D3-B67F-A62EFF666E3E}">
          <x14:id>{FF6F9D84-BEC6-47D2-8B68-6E08931F91EB}</x14:id>
        </ext>
      </extLst>
    </cfRule>
  </conditionalFormatting>
  <conditionalFormatting sqref="T188">
    <cfRule type="expression" dxfId="10027" priority="7126">
      <formula>AND(AND($W188&lt;TODAY(),$W188&lt;&gt;""),$X188="")</formula>
    </cfRule>
  </conditionalFormatting>
  <conditionalFormatting sqref="Z188">
    <cfRule type="dataBar" priority="7125">
      <dataBar>
        <cfvo type="min"/>
        <cfvo type="max"/>
        <color rgb="FF63C384"/>
      </dataBar>
      <extLst>
        <ext xmlns:x14="http://schemas.microsoft.com/office/spreadsheetml/2009/9/main" uri="{B025F937-C7B1-47D3-B67F-A62EFF666E3E}">
          <x14:id>{69AE96E5-4E3D-45BF-8577-D6D425FBC6A9}</x14:id>
        </ext>
      </extLst>
    </cfRule>
  </conditionalFormatting>
  <conditionalFormatting sqref="J189">
    <cfRule type="cellIs" dxfId="10026" priority="7123" operator="equal">
      <formula>"ja"</formula>
    </cfRule>
  </conditionalFormatting>
  <conditionalFormatting sqref="T189">
    <cfRule type="expression" dxfId="10025" priority="7122">
      <formula>AND(AND($W189&lt;TODAY(),$W189&lt;&gt;""),$X189="")</formula>
    </cfRule>
  </conditionalFormatting>
  <conditionalFormatting sqref="Z189">
    <cfRule type="dataBar" priority="7121">
      <dataBar>
        <cfvo type="min"/>
        <cfvo type="max"/>
        <color rgb="FF63C384"/>
      </dataBar>
      <extLst>
        <ext xmlns:x14="http://schemas.microsoft.com/office/spreadsheetml/2009/9/main" uri="{B025F937-C7B1-47D3-B67F-A62EFF666E3E}">
          <x14:id>{891A761B-4B3E-46CE-BA14-FE10BD7697B0}</x14:id>
        </ext>
      </extLst>
    </cfRule>
  </conditionalFormatting>
  <conditionalFormatting sqref="T192">
    <cfRule type="expression" dxfId="10024" priority="7120">
      <formula>AND(AND($W192&lt;TODAY(),$W192&lt;&gt;""),$X192="")</formula>
    </cfRule>
  </conditionalFormatting>
  <conditionalFormatting sqref="Z192">
    <cfRule type="dataBar" priority="7119">
      <dataBar>
        <cfvo type="min"/>
        <cfvo type="max"/>
        <color rgb="FF63C384"/>
      </dataBar>
      <extLst>
        <ext xmlns:x14="http://schemas.microsoft.com/office/spreadsheetml/2009/9/main" uri="{B025F937-C7B1-47D3-B67F-A62EFF666E3E}">
          <x14:id>{E1255202-E858-427C-BEC9-FED05249B732}</x14:id>
        </ext>
      </extLst>
    </cfRule>
  </conditionalFormatting>
  <conditionalFormatting sqref="T194">
    <cfRule type="expression" dxfId="10023" priority="7118">
      <formula>AND(AND($W194&lt;TODAY(),$W194&lt;&gt;""),$X194="")</formula>
    </cfRule>
  </conditionalFormatting>
  <conditionalFormatting sqref="Z194">
    <cfRule type="dataBar" priority="7117">
      <dataBar>
        <cfvo type="min"/>
        <cfvo type="max"/>
        <color rgb="FF63C384"/>
      </dataBar>
      <extLst>
        <ext xmlns:x14="http://schemas.microsoft.com/office/spreadsheetml/2009/9/main" uri="{B025F937-C7B1-47D3-B67F-A62EFF666E3E}">
          <x14:id>{70E6E91B-E0EA-4C52-9FA7-13371EEF5E82}</x14:id>
        </ext>
      </extLst>
    </cfRule>
  </conditionalFormatting>
  <conditionalFormatting sqref="C183:C184">
    <cfRule type="containsText" dxfId="10022" priority="7115" operator="containsText" text="Einnahmen">
      <formula>NOT(ISERROR(SEARCH("Einnahmen",C183)))</formula>
    </cfRule>
    <cfRule type="containsText" dxfId="10021" priority="7116" operator="containsText" text="Ausgaben">
      <formula>NOT(ISERROR(SEARCH("Ausgaben",C183)))</formula>
    </cfRule>
  </conditionalFormatting>
  <conditionalFormatting sqref="T183">
    <cfRule type="expression" dxfId="10020" priority="7114">
      <formula>AND(AND($W183&lt;TODAY(),$W183&lt;&gt;""),$X183="")</formula>
    </cfRule>
  </conditionalFormatting>
  <conditionalFormatting sqref="Z183">
    <cfRule type="dataBar" priority="7113">
      <dataBar>
        <cfvo type="min"/>
        <cfvo type="max"/>
        <color rgb="FF63C384"/>
      </dataBar>
      <extLst>
        <ext xmlns:x14="http://schemas.microsoft.com/office/spreadsheetml/2009/9/main" uri="{B025F937-C7B1-47D3-B67F-A62EFF666E3E}">
          <x14:id>{AE6529A7-8F8E-4C97-9A73-047F5F608CD5}</x14:id>
        </ext>
      </extLst>
    </cfRule>
  </conditionalFormatting>
  <conditionalFormatting sqref="T184">
    <cfRule type="expression" dxfId="10019" priority="7112">
      <formula>AND(AND($W184&lt;TODAY(),$W184&lt;&gt;""),$X184="")</formula>
    </cfRule>
  </conditionalFormatting>
  <conditionalFormatting sqref="Z184">
    <cfRule type="dataBar" priority="7111">
      <dataBar>
        <cfvo type="min"/>
        <cfvo type="max"/>
        <color rgb="FF63C384"/>
      </dataBar>
      <extLst>
        <ext xmlns:x14="http://schemas.microsoft.com/office/spreadsheetml/2009/9/main" uri="{B025F937-C7B1-47D3-B67F-A62EFF666E3E}">
          <x14:id>{EC10E582-6DA2-4214-B1A3-C636082D0948}</x14:id>
        </ext>
      </extLst>
    </cfRule>
  </conditionalFormatting>
  <conditionalFormatting sqref="J200">
    <cfRule type="cellIs" dxfId="10018" priority="7109" operator="equal">
      <formula>"ja"</formula>
    </cfRule>
  </conditionalFormatting>
  <conditionalFormatting sqref="J201">
    <cfRule type="cellIs" dxfId="10017" priority="7106" operator="equal">
      <formula>"ja"</formula>
    </cfRule>
  </conditionalFormatting>
  <conditionalFormatting sqref="T201">
    <cfRule type="expression" dxfId="10016" priority="7105">
      <formula>AND(AND($W201&lt;TODAY(),$W201&lt;&gt;""),$X201="")</formula>
    </cfRule>
  </conditionalFormatting>
  <conditionalFormatting sqref="Z201">
    <cfRule type="dataBar" priority="7104">
      <dataBar>
        <cfvo type="min"/>
        <cfvo type="max"/>
        <color rgb="FF63C384"/>
      </dataBar>
      <extLst>
        <ext xmlns:x14="http://schemas.microsoft.com/office/spreadsheetml/2009/9/main" uri="{B025F937-C7B1-47D3-B67F-A62EFF666E3E}">
          <x14:id>{19E3042F-69BD-4FCB-B673-B664290E98AD}</x14:id>
        </ext>
      </extLst>
    </cfRule>
  </conditionalFormatting>
  <conditionalFormatting sqref="J202:J203">
    <cfRule type="cellIs" dxfId="10015" priority="7103" operator="equal">
      <formula>"ja"</formula>
    </cfRule>
  </conditionalFormatting>
  <conditionalFormatting sqref="T202:T204">
    <cfRule type="expression" dxfId="10014" priority="7102">
      <formula>AND(AND($W202&lt;TODAY(),$W202&lt;&gt;""),$X202="")</formula>
    </cfRule>
  </conditionalFormatting>
  <conditionalFormatting sqref="Z202:Z204">
    <cfRule type="dataBar" priority="7101">
      <dataBar>
        <cfvo type="min"/>
        <cfvo type="max"/>
        <color rgb="FF63C384"/>
      </dataBar>
      <extLst>
        <ext xmlns:x14="http://schemas.microsoft.com/office/spreadsheetml/2009/9/main" uri="{B025F937-C7B1-47D3-B67F-A62EFF666E3E}">
          <x14:id>{168AE2EE-0807-495C-BDA6-00786481812B}</x14:id>
        </ext>
      </extLst>
    </cfRule>
  </conditionalFormatting>
  <conditionalFormatting sqref="J205">
    <cfRule type="cellIs" dxfId="10013" priority="7099" operator="equal">
      <formula>"ja"</formula>
    </cfRule>
  </conditionalFormatting>
  <conditionalFormatting sqref="T205">
    <cfRule type="expression" dxfId="10012" priority="7098">
      <formula>AND(AND($W205&lt;TODAY(),$W205&lt;&gt;""),$X205="")</formula>
    </cfRule>
  </conditionalFormatting>
  <conditionalFormatting sqref="Z205">
    <cfRule type="dataBar" priority="7097">
      <dataBar>
        <cfvo type="min"/>
        <cfvo type="max"/>
        <color rgb="FF63C384"/>
      </dataBar>
      <extLst>
        <ext xmlns:x14="http://schemas.microsoft.com/office/spreadsheetml/2009/9/main" uri="{B025F937-C7B1-47D3-B67F-A62EFF666E3E}">
          <x14:id>{1434AE8F-A85D-48BB-A156-E069E39A4662}</x14:id>
        </ext>
      </extLst>
    </cfRule>
  </conditionalFormatting>
  <conditionalFormatting sqref="T206">
    <cfRule type="expression" dxfId="10011" priority="7095">
      <formula>AND(AND($W206&lt;TODAY(),$W206&lt;&gt;""),$X206="")</formula>
    </cfRule>
  </conditionalFormatting>
  <conditionalFormatting sqref="Z206">
    <cfRule type="dataBar" priority="7094">
      <dataBar>
        <cfvo type="min"/>
        <cfvo type="max"/>
        <color rgb="FF63C384"/>
      </dataBar>
      <extLst>
        <ext xmlns:x14="http://schemas.microsoft.com/office/spreadsheetml/2009/9/main" uri="{B025F937-C7B1-47D3-B67F-A62EFF666E3E}">
          <x14:id>{FAA62CB0-9E24-4204-9937-59A7C92C6D76}</x14:id>
        </ext>
      </extLst>
    </cfRule>
  </conditionalFormatting>
  <conditionalFormatting sqref="J207">
    <cfRule type="cellIs" dxfId="10010" priority="7093" operator="equal">
      <formula>"ja"</formula>
    </cfRule>
  </conditionalFormatting>
  <conditionalFormatting sqref="T207">
    <cfRule type="expression" dxfId="10009" priority="7092">
      <formula>AND(AND($W207&lt;TODAY(),$W207&lt;&gt;""),$X207="")</formula>
    </cfRule>
  </conditionalFormatting>
  <conditionalFormatting sqref="Z207">
    <cfRule type="dataBar" priority="7090">
      <dataBar>
        <cfvo type="min"/>
        <cfvo type="max"/>
        <color rgb="FF63C384"/>
      </dataBar>
      <extLst>
        <ext xmlns:x14="http://schemas.microsoft.com/office/spreadsheetml/2009/9/main" uri="{B025F937-C7B1-47D3-B67F-A62EFF666E3E}">
          <x14:id>{A7FA80BF-1319-4411-A67C-A708ADDF80F1}</x14:id>
        </ext>
      </extLst>
    </cfRule>
  </conditionalFormatting>
  <conditionalFormatting sqref="T208">
    <cfRule type="expression" dxfId="10008" priority="7089">
      <formula>AND(AND($W208&lt;TODAY(),$W208&lt;&gt;""),$X208="")</formula>
    </cfRule>
  </conditionalFormatting>
  <conditionalFormatting sqref="J208">
    <cfRule type="cellIs" dxfId="10007" priority="7088" operator="equal">
      <formula>"ja"</formula>
    </cfRule>
  </conditionalFormatting>
  <conditionalFormatting sqref="Z208">
    <cfRule type="dataBar" priority="7087">
      <dataBar>
        <cfvo type="min"/>
        <cfvo type="max"/>
        <color rgb="FF63C384"/>
      </dataBar>
      <extLst>
        <ext xmlns:x14="http://schemas.microsoft.com/office/spreadsheetml/2009/9/main" uri="{B025F937-C7B1-47D3-B67F-A62EFF666E3E}">
          <x14:id>{5D28413A-40B9-4C2E-8865-638052138995}</x14:id>
        </ext>
      </extLst>
    </cfRule>
  </conditionalFormatting>
  <conditionalFormatting sqref="T209">
    <cfRule type="expression" dxfId="10006" priority="7086">
      <formula>AND(AND($W209&lt;TODAY(),$W209&lt;&gt;""),$X209="")</formula>
    </cfRule>
  </conditionalFormatting>
  <conditionalFormatting sqref="Z209">
    <cfRule type="dataBar" priority="7085">
      <dataBar>
        <cfvo type="min"/>
        <cfvo type="max"/>
        <color rgb="FF63C384"/>
      </dataBar>
      <extLst>
        <ext xmlns:x14="http://schemas.microsoft.com/office/spreadsheetml/2009/9/main" uri="{B025F937-C7B1-47D3-B67F-A62EFF666E3E}">
          <x14:id>{DD6FB471-22BD-4324-87BB-3348A793A8FA}</x14:id>
        </ext>
      </extLst>
    </cfRule>
  </conditionalFormatting>
  <conditionalFormatting sqref="J210">
    <cfRule type="cellIs" dxfId="10005" priority="7084" operator="equal">
      <formula>"ja"</formula>
    </cfRule>
  </conditionalFormatting>
  <conditionalFormatting sqref="T210">
    <cfRule type="expression" dxfId="10004" priority="7083">
      <formula>AND(AND($W210&lt;TODAY(),$W210&lt;&gt;""),$X210="")</formula>
    </cfRule>
  </conditionalFormatting>
  <conditionalFormatting sqref="Z210">
    <cfRule type="dataBar" priority="7082">
      <dataBar>
        <cfvo type="min"/>
        <cfvo type="max"/>
        <color rgb="FF63C384"/>
      </dataBar>
      <extLst>
        <ext xmlns:x14="http://schemas.microsoft.com/office/spreadsheetml/2009/9/main" uri="{B025F937-C7B1-47D3-B67F-A62EFF666E3E}">
          <x14:id>{2D45BD55-46B8-4E2F-8650-A376CD6B74B7}</x14:id>
        </ext>
      </extLst>
    </cfRule>
  </conditionalFormatting>
  <conditionalFormatting sqref="T211">
    <cfRule type="expression" dxfId="10003" priority="7080">
      <formula>AND(AND($W211&lt;TODAY(),$W211&lt;&gt;""),$X211="")</formula>
    </cfRule>
  </conditionalFormatting>
  <conditionalFormatting sqref="J211">
    <cfRule type="cellIs" dxfId="10002" priority="7078" operator="equal">
      <formula>"ja"</formula>
    </cfRule>
  </conditionalFormatting>
  <conditionalFormatting sqref="Z211">
    <cfRule type="dataBar" priority="7077">
      <dataBar>
        <cfvo type="min"/>
        <cfvo type="max"/>
        <color rgb="FF63C384"/>
      </dataBar>
      <extLst>
        <ext xmlns:x14="http://schemas.microsoft.com/office/spreadsheetml/2009/9/main" uri="{B025F937-C7B1-47D3-B67F-A62EFF666E3E}">
          <x14:id>{C32B4FA9-EE8C-4323-8DBD-8E45E259C084}</x14:id>
        </ext>
      </extLst>
    </cfRule>
  </conditionalFormatting>
  <conditionalFormatting sqref="J212">
    <cfRule type="cellIs" dxfId="10001" priority="7075" operator="equal">
      <formula>"ja"</formula>
    </cfRule>
  </conditionalFormatting>
  <conditionalFormatting sqref="T212">
    <cfRule type="expression" dxfId="10000" priority="7074">
      <formula>AND(AND($W212&lt;TODAY(),$W212&lt;&gt;""),$X212="")</formula>
    </cfRule>
  </conditionalFormatting>
  <conditionalFormatting sqref="Z212">
    <cfRule type="dataBar" priority="7073">
      <dataBar>
        <cfvo type="min"/>
        <cfvo type="max"/>
        <color rgb="FF63C384"/>
      </dataBar>
      <extLst>
        <ext xmlns:x14="http://schemas.microsoft.com/office/spreadsheetml/2009/9/main" uri="{B025F937-C7B1-47D3-B67F-A62EFF666E3E}">
          <x14:id>{69BDF8D4-04D4-4D3A-8A2A-3003D5DBE869}</x14:id>
        </ext>
      </extLst>
    </cfRule>
  </conditionalFormatting>
  <conditionalFormatting sqref="T213">
    <cfRule type="expression" dxfId="9999" priority="7072">
      <formula>AND(AND($W213&lt;TODAY(),$W213&lt;&gt;""),$X213="")</formula>
    </cfRule>
  </conditionalFormatting>
  <conditionalFormatting sqref="J213">
    <cfRule type="cellIs" dxfId="9998" priority="7070" operator="equal">
      <formula>"ja"</formula>
    </cfRule>
  </conditionalFormatting>
  <conditionalFormatting sqref="Z213">
    <cfRule type="dataBar" priority="7069">
      <dataBar>
        <cfvo type="min"/>
        <cfvo type="max"/>
        <color rgb="FF63C384"/>
      </dataBar>
      <extLst>
        <ext xmlns:x14="http://schemas.microsoft.com/office/spreadsheetml/2009/9/main" uri="{B025F937-C7B1-47D3-B67F-A62EFF666E3E}">
          <x14:id>{48948EFA-5633-4E94-9AEC-C2E0F5AC40BB}</x14:id>
        </ext>
      </extLst>
    </cfRule>
  </conditionalFormatting>
  <conditionalFormatting sqref="J214">
    <cfRule type="cellIs" dxfId="9997" priority="7068" operator="equal">
      <formula>"ja"</formula>
    </cfRule>
  </conditionalFormatting>
  <conditionalFormatting sqref="T214">
    <cfRule type="expression" dxfId="9996" priority="7067">
      <formula>AND(AND($W214&lt;TODAY(),$W214&lt;&gt;""),$X214="")</formula>
    </cfRule>
  </conditionalFormatting>
  <conditionalFormatting sqref="Z214">
    <cfRule type="dataBar" priority="7066">
      <dataBar>
        <cfvo type="min"/>
        <cfvo type="max"/>
        <color rgb="FF63C384"/>
      </dataBar>
      <extLst>
        <ext xmlns:x14="http://schemas.microsoft.com/office/spreadsheetml/2009/9/main" uri="{B025F937-C7B1-47D3-B67F-A62EFF666E3E}">
          <x14:id>{DBEE400E-BD08-48B0-8665-CAADF21DA597}</x14:id>
        </ext>
      </extLst>
    </cfRule>
  </conditionalFormatting>
  <conditionalFormatting sqref="Z2:Z214 Z1011 Z999 Z928 Z664 Z707 Z712 Z731 Z748 Z763:Z764 Z780 Z796 Z799 Z807 Z827 Z848 Z864 Z890 Z932 Z1014 Z1044 Z1055 Z1063:Z1064 Z1074:Z1048576">
    <cfRule type="dataBar" priority="7064">
      <dataBar>
        <cfvo type="min"/>
        <cfvo type="max"/>
        <color rgb="FF63C384"/>
      </dataBar>
      <extLst>
        <ext xmlns:x14="http://schemas.microsoft.com/office/spreadsheetml/2009/9/main" uri="{B025F937-C7B1-47D3-B67F-A62EFF666E3E}">
          <x14:id>{534AD33A-1ADA-45A2-A07B-7E9E0266BB42}</x14:id>
        </ext>
      </extLst>
    </cfRule>
  </conditionalFormatting>
  <conditionalFormatting sqref="T215">
    <cfRule type="expression" dxfId="9995" priority="7063">
      <formula>AND(AND($W215&lt;TODAY(),$W215&lt;&gt;""),$X215="")</formula>
    </cfRule>
  </conditionalFormatting>
  <conditionalFormatting sqref="J215">
    <cfRule type="cellIs" dxfId="9994" priority="7061" operator="equal">
      <formula>"ja"</formula>
    </cfRule>
  </conditionalFormatting>
  <conditionalFormatting sqref="Z215">
    <cfRule type="dataBar" priority="7060">
      <dataBar>
        <cfvo type="min"/>
        <cfvo type="max"/>
        <color rgb="FF63C384"/>
      </dataBar>
      <extLst>
        <ext xmlns:x14="http://schemas.microsoft.com/office/spreadsheetml/2009/9/main" uri="{B025F937-C7B1-47D3-B67F-A62EFF666E3E}">
          <x14:id>{8280A5E1-6BC5-44BC-B27C-FCB76285538B}</x14:id>
        </ext>
      </extLst>
    </cfRule>
  </conditionalFormatting>
  <conditionalFormatting sqref="Z215">
    <cfRule type="dataBar" priority="7059">
      <dataBar>
        <cfvo type="min"/>
        <cfvo type="max"/>
        <color rgb="FF63C384"/>
      </dataBar>
      <extLst>
        <ext xmlns:x14="http://schemas.microsoft.com/office/spreadsheetml/2009/9/main" uri="{B025F937-C7B1-47D3-B67F-A62EFF666E3E}">
          <x14:id>{01EE452C-F9ED-4E1E-AE42-9DC6C437BC9F}</x14:id>
        </ext>
      </extLst>
    </cfRule>
  </conditionalFormatting>
  <conditionalFormatting sqref="T217">
    <cfRule type="expression" dxfId="9993" priority="7057">
      <formula>AND(AND($W217&lt;TODAY(),$W217&lt;&gt;""),$X217="")</formula>
    </cfRule>
  </conditionalFormatting>
  <conditionalFormatting sqref="J217">
    <cfRule type="cellIs" dxfId="9992" priority="7056" operator="equal">
      <formula>"ja"</formula>
    </cfRule>
  </conditionalFormatting>
  <conditionalFormatting sqref="Z217">
    <cfRule type="dataBar" priority="7055">
      <dataBar>
        <cfvo type="min"/>
        <cfvo type="max"/>
        <color rgb="FF63C384"/>
      </dataBar>
      <extLst>
        <ext xmlns:x14="http://schemas.microsoft.com/office/spreadsheetml/2009/9/main" uri="{B025F937-C7B1-47D3-B67F-A62EFF666E3E}">
          <x14:id>{BC6F64FA-81DE-4837-B591-392DBEE91D5C}</x14:id>
        </ext>
      </extLst>
    </cfRule>
  </conditionalFormatting>
  <conditionalFormatting sqref="Z217">
    <cfRule type="dataBar" priority="7054">
      <dataBar>
        <cfvo type="min"/>
        <cfvo type="max"/>
        <color rgb="FF63C384"/>
      </dataBar>
      <extLst>
        <ext xmlns:x14="http://schemas.microsoft.com/office/spreadsheetml/2009/9/main" uri="{B025F937-C7B1-47D3-B67F-A62EFF666E3E}">
          <x14:id>{49838443-4308-4D81-8EC4-DF3729110B44}</x14:id>
        </ext>
      </extLst>
    </cfRule>
  </conditionalFormatting>
  <conditionalFormatting sqref="J218:J219">
    <cfRule type="cellIs" dxfId="9991" priority="7052" operator="equal">
      <formula>"ja"</formula>
    </cfRule>
  </conditionalFormatting>
  <conditionalFormatting sqref="T218:T219">
    <cfRule type="expression" dxfId="9990" priority="7051">
      <formula>AND(AND($W218&lt;TODAY(),$W218&lt;&gt;""),$X218="")</formula>
    </cfRule>
  </conditionalFormatting>
  <conditionalFormatting sqref="Z218:Z219">
    <cfRule type="dataBar" priority="7050">
      <dataBar>
        <cfvo type="min"/>
        <cfvo type="max"/>
        <color rgb="FF63C384"/>
      </dataBar>
      <extLst>
        <ext xmlns:x14="http://schemas.microsoft.com/office/spreadsheetml/2009/9/main" uri="{B025F937-C7B1-47D3-B67F-A62EFF666E3E}">
          <x14:id>{03096065-3CE0-4C76-B258-595A8BE9B488}</x14:id>
        </ext>
      </extLst>
    </cfRule>
  </conditionalFormatting>
  <conditionalFormatting sqref="Z218:Z219">
    <cfRule type="dataBar" priority="7049">
      <dataBar>
        <cfvo type="min"/>
        <cfvo type="max"/>
        <color rgb="FF63C384"/>
      </dataBar>
      <extLst>
        <ext xmlns:x14="http://schemas.microsoft.com/office/spreadsheetml/2009/9/main" uri="{B025F937-C7B1-47D3-B67F-A62EFF666E3E}">
          <x14:id>{7FC0CE83-CA9D-4F36-BD2E-2F2F7545B0E2}</x14:id>
        </ext>
      </extLst>
    </cfRule>
  </conditionalFormatting>
  <conditionalFormatting sqref="J220">
    <cfRule type="cellIs" dxfId="9989" priority="7047" operator="equal">
      <formula>"ja"</formula>
    </cfRule>
  </conditionalFormatting>
  <conditionalFormatting sqref="T220">
    <cfRule type="expression" dxfId="9988" priority="7046">
      <formula>AND(AND($W220&lt;TODAY(),$W220&lt;&gt;""),$X220="")</formula>
    </cfRule>
  </conditionalFormatting>
  <conditionalFormatting sqref="Z220">
    <cfRule type="dataBar" priority="7045">
      <dataBar>
        <cfvo type="min"/>
        <cfvo type="max"/>
        <color rgb="FF63C384"/>
      </dataBar>
      <extLst>
        <ext xmlns:x14="http://schemas.microsoft.com/office/spreadsheetml/2009/9/main" uri="{B025F937-C7B1-47D3-B67F-A62EFF666E3E}">
          <x14:id>{5F6EE01A-CC4E-40D9-A40F-9B207B106B81}</x14:id>
        </ext>
      </extLst>
    </cfRule>
  </conditionalFormatting>
  <conditionalFormatting sqref="Z220">
    <cfRule type="dataBar" priority="7044">
      <dataBar>
        <cfvo type="min"/>
        <cfvo type="max"/>
        <color rgb="FF63C384"/>
      </dataBar>
      <extLst>
        <ext xmlns:x14="http://schemas.microsoft.com/office/spreadsheetml/2009/9/main" uri="{B025F937-C7B1-47D3-B67F-A62EFF666E3E}">
          <x14:id>{DDF23E8F-6AFD-45FF-9B07-6E77728DEA21}</x14:id>
        </ext>
      </extLst>
    </cfRule>
  </conditionalFormatting>
  <conditionalFormatting sqref="J221:J222">
    <cfRule type="cellIs" dxfId="9987" priority="7043" operator="equal">
      <formula>"ja"</formula>
    </cfRule>
  </conditionalFormatting>
  <conditionalFormatting sqref="T221:T222">
    <cfRule type="expression" dxfId="9986" priority="7042">
      <formula>AND(AND($W221&lt;TODAY(),$W221&lt;&gt;""),$X221="")</formula>
    </cfRule>
  </conditionalFormatting>
  <conditionalFormatting sqref="Z221:Z222">
    <cfRule type="dataBar" priority="7041">
      <dataBar>
        <cfvo type="min"/>
        <cfvo type="max"/>
        <color rgb="FF63C384"/>
      </dataBar>
      <extLst>
        <ext xmlns:x14="http://schemas.microsoft.com/office/spreadsheetml/2009/9/main" uri="{B025F937-C7B1-47D3-B67F-A62EFF666E3E}">
          <x14:id>{255D7C8C-4FAD-4FBB-B9F3-E2006C648368}</x14:id>
        </ext>
      </extLst>
    </cfRule>
  </conditionalFormatting>
  <conditionalFormatting sqref="Z221:Z222">
    <cfRule type="dataBar" priority="7039">
      <dataBar>
        <cfvo type="min"/>
        <cfvo type="max"/>
        <color rgb="FF63C384"/>
      </dataBar>
      <extLst>
        <ext xmlns:x14="http://schemas.microsoft.com/office/spreadsheetml/2009/9/main" uri="{B025F937-C7B1-47D3-B67F-A62EFF666E3E}">
          <x14:id>{669D1549-5C53-4F56-BB2B-F3D05208E992}</x14:id>
        </ext>
      </extLst>
    </cfRule>
  </conditionalFormatting>
  <conditionalFormatting sqref="J223:J224">
    <cfRule type="cellIs" dxfId="9985" priority="7037" operator="equal">
      <formula>"ja"</formula>
    </cfRule>
  </conditionalFormatting>
  <conditionalFormatting sqref="T223:T224">
    <cfRule type="expression" dxfId="9984" priority="7036">
      <formula>AND(AND($W223&lt;TODAY(),$W223&lt;&gt;""),$X223="")</formula>
    </cfRule>
  </conditionalFormatting>
  <conditionalFormatting sqref="Z223:Z224">
    <cfRule type="dataBar" priority="7035">
      <dataBar>
        <cfvo type="min"/>
        <cfvo type="max"/>
        <color rgb="FF63C384"/>
      </dataBar>
      <extLst>
        <ext xmlns:x14="http://schemas.microsoft.com/office/spreadsheetml/2009/9/main" uri="{B025F937-C7B1-47D3-B67F-A62EFF666E3E}">
          <x14:id>{1EFDBF35-FAC7-43BC-853C-AE931206EDBD}</x14:id>
        </ext>
      </extLst>
    </cfRule>
  </conditionalFormatting>
  <conditionalFormatting sqref="Z223:Z224">
    <cfRule type="dataBar" priority="7034">
      <dataBar>
        <cfvo type="min"/>
        <cfvo type="max"/>
        <color rgb="FF63C384"/>
      </dataBar>
      <extLst>
        <ext xmlns:x14="http://schemas.microsoft.com/office/spreadsheetml/2009/9/main" uri="{B025F937-C7B1-47D3-B67F-A62EFF666E3E}">
          <x14:id>{6A7579D6-A4DB-4F88-8008-FF8F68789827}</x14:id>
        </ext>
      </extLst>
    </cfRule>
  </conditionalFormatting>
  <conditionalFormatting sqref="J225">
    <cfRule type="cellIs" dxfId="9983" priority="7033" operator="equal">
      <formula>"ja"</formula>
    </cfRule>
  </conditionalFormatting>
  <conditionalFormatting sqref="T225">
    <cfRule type="expression" dxfId="9982" priority="7032">
      <formula>AND(AND($W225&lt;TODAY(),$W225&lt;&gt;""),$X225="")</formula>
    </cfRule>
  </conditionalFormatting>
  <conditionalFormatting sqref="Z225">
    <cfRule type="dataBar" priority="7031">
      <dataBar>
        <cfvo type="min"/>
        <cfvo type="max"/>
        <color rgb="FF63C384"/>
      </dataBar>
      <extLst>
        <ext xmlns:x14="http://schemas.microsoft.com/office/spreadsheetml/2009/9/main" uri="{B025F937-C7B1-47D3-B67F-A62EFF666E3E}">
          <x14:id>{C5A17473-2EB2-466A-BE42-577754A993C5}</x14:id>
        </ext>
      </extLst>
    </cfRule>
  </conditionalFormatting>
  <conditionalFormatting sqref="Z225">
    <cfRule type="dataBar" priority="7029">
      <dataBar>
        <cfvo type="min"/>
        <cfvo type="max"/>
        <color rgb="FF63C384"/>
      </dataBar>
      <extLst>
        <ext xmlns:x14="http://schemas.microsoft.com/office/spreadsheetml/2009/9/main" uri="{B025F937-C7B1-47D3-B67F-A62EFF666E3E}">
          <x14:id>{D6883600-552D-4F42-ADE9-824C1BC1C39F}</x14:id>
        </ext>
      </extLst>
    </cfRule>
  </conditionalFormatting>
  <conditionalFormatting sqref="J226">
    <cfRule type="cellIs" dxfId="9981" priority="7027" operator="equal">
      <formula>"ja"</formula>
    </cfRule>
  </conditionalFormatting>
  <conditionalFormatting sqref="T226">
    <cfRule type="expression" dxfId="9980" priority="7026">
      <formula>AND(AND($W226&lt;TODAY(),$W226&lt;&gt;""),$X226="")</formula>
    </cfRule>
  </conditionalFormatting>
  <conditionalFormatting sqref="Z226">
    <cfRule type="dataBar" priority="7025">
      <dataBar>
        <cfvo type="min"/>
        <cfvo type="max"/>
        <color rgb="FF63C384"/>
      </dataBar>
      <extLst>
        <ext xmlns:x14="http://schemas.microsoft.com/office/spreadsheetml/2009/9/main" uri="{B025F937-C7B1-47D3-B67F-A62EFF666E3E}">
          <x14:id>{6C582BA6-B208-437F-B27A-DCF0EAFDF564}</x14:id>
        </ext>
      </extLst>
    </cfRule>
  </conditionalFormatting>
  <conditionalFormatting sqref="Z226">
    <cfRule type="dataBar" priority="7024">
      <dataBar>
        <cfvo type="min"/>
        <cfvo type="max"/>
        <color rgb="FF63C384"/>
      </dataBar>
      <extLst>
        <ext xmlns:x14="http://schemas.microsoft.com/office/spreadsheetml/2009/9/main" uri="{B025F937-C7B1-47D3-B67F-A62EFF666E3E}">
          <x14:id>{845E7705-2B77-44E1-9044-B78E44529708}</x14:id>
        </ext>
      </extLst>
    </cfRule>
  </conditionalFormatting>
  <conditionalFormatting sqref="T227">
    <cfRule type="expression" dxfId="9979" priority="7023">
      <formula>AND(AND($W227&lt;TODAY(),$W227&lt;&gt;""),$X227="")</formula>
    </cfRule>
  </conditionalFormatting>
  <conditionalFormatting sqref="J227">
    <cfRule type="cellIs" dxfId="9978" priority="7021" operator="equal">
      <formula>"ja"</formula>
    </cfRule>
  </conditionalFormatting>
  <conditionalFormatting sqref="Z227">
    <cfRule type="dataBar" priority="7020">
      <dataBar>
        <cfvo type="min"/>
        <cfvo type="max"/>
        <color rgb="FF63C384"/>
      </dataBar>
      <extLst>
        <ext xmlns:x14="http://schemas.microsoft.com/office/spreadsheetml/2009/9/main" uri="{B025F937-C7B1-47D3-B67F-A62EFF666E3E}">
          <x14:id>{C32CF8B9-7F29-4425-9A41-20AADE63517D}</x14:id>
        </ext>
      </extLst>
    </cfRule>
  </conditionalFormatting>
  <conditionalFormatting sqref="Z227">
    <cfRule type="dataBar" priority="7019">
      <dataBar>
        <cfvo type="min"/>
        <cfvo type="max"/>
        <color rgb="FF63C384"/>
      </dataBar>
      <extLst>
        <ext xmlns:x14="http://schemas.microsoft.com/office/spreadsheetml/2009/9/main" uri="{B025F937-C7B1-47D3-B67F-A62EFF666E3E}">
          <x14:id>{064F4AEE-35BB-4579-B76F-E45B2E311041}</x14:id>
        </ext>
      </extLst>
    </cfRule>
  </conditionalFormatting>
  <conditionalFormatting sqref="J228:J230">
    <cfRule type="cellIs" dxfId="9977" priority="7018" operator="equal">
      <formula>"ja"</formula>
    </cfRule>
  </conditionalFormatting>
  <conditionalFormatting sqref="T228:T230">
    <cfRule type="expression" dxfId="9976" priority="7017">
      <formula>AND(AND($W228&lt;TODAY(),$W228&lt;&gt;""),$X228="")</formula>
    </cfRule>
  </conditionalFormatting>
  <conditionalFormatting sqref="Z228:Z230">
    <cfRule type="dataBar" priority="7016">
      <dataBar>
        <cfvo type="min"/>
        <cfvo type="max"/>
        <color rgb="FF63C384"/>
      </dataBar>
      <extLst>
        <ext xmlns:x14="http://schemas.microsoft.com/office/spreadsheetml/2009/9/main" uri="{B025F937-C7B1-47D3-B67F-A62EFF666E3E}">
          <x14:id>{7AC30985-C8FB-4256-ACDB-FBC5C792BB5D}</x14:id>
        </ext>
      </extLst>
    </cfRule>
  </conditionalFormatting>
  <conditionalFormatting sqref="Z228:Z230">
    <cfRule type="dataBar" priority="7014">
      <dataBar>
        <cfvo type="min"/>
        <cfvo type="max"/>
        <color rgb="FF63C384"/>
      </dataBar>
      <extLst>
        <ext xmlns:x14="http://schemas.microsoft.com/office/spreadsheetml/2009/9/main" uri="{B025F937-C7B1-47D3-B67F-A62EFF666E3E}">
          <x14:id>{0D163885-33E1-4361-9292-4396705C0ED4}</x14:id>
        </ext>
      </extLst>
    </cfRule>
  </conditionalFormatting>
  <conditionalFormatting sqref="T231">
    <cfRule type="expression" dxfId="9975" priority="7013">
      <formula>AND(AND($W231&lt;TODAY(),$W231&lt;&gt;""),$X231="")</formula>
    </cfRule>
  </conditionalFormatting>
  <conditionalFormatting sqref="J231">
    <cfRule type="cellIs" dxfId="9974" priority="7011" operator="equal">
      <formula>"ja"</formula>
    </cfRule>
  </conditionalFormatting>
  <conditionalFormatting sqref="Z231">
    <cfRule type="dataBar" priority="7010">
      <dataBar>
        <cfvo type="min"/>
        <cfvo type="max"/>
        <color rgb="FF63C384"/>
      </dataBar>
      <extLst>
        <ext xmlns:x14="http://schemas.microsoft.com/office/spreadsheetml/2009/9/main" uri="{B025F937-C7B1-47D3-B67F-A62EFF666E3E}">
          <x14:id>{A014E55B-BB51-4490-83C1-91A6F4151FD9}</x14:id>
        </ext>
      </extLst>
    </cfRule>
  </conditionalFormatting>
  <conditionalFormatting sqref="Z231">
    <cfRule type="dataBar" priority="7009">
      <dataBar>
        <cfvo type="min"/>
        <cfvo type="max"/>
        <color rgb="FF63C384"/>
      </dataBar>
      <extLst>
        <ext xmlns:x14="http://schemas.microsoft.com/office/spreadsheetml/2009/9/main" uri="{B025F937-C7B1-47D3-B67F-A62EFF666E3E}">
          <x14:id>{8ED8B5E0-0DEA-4607-B979-7B7460C84B2E}</x14:id>
        </ext>
      </extLst>
    </cfRule>
  </conditionalFormatting>
  <conditionalFormatting sqref="J232">
    <cfRule type="cellIs" dxfId="9973" priority="7007" operator="equal">
      <formula>"ja"</formula>
    </cfRule>
  </conditionalFormatting>
  <conditionalFormatting sqref="T232">
    <cfRule type="expression" dxfId="9972" priority="7006">
      <formula>AND(AND($W232&lt;TODAY(),$W232&lt;&gt;""),$X232="")</formula>
    </cfRule>
  </conditionalFormatting>
  <conditionalFormatting sqref="Z232">
    <cfRule type="dataBar" priority="7005">
      <dataBar>
        <cfvo type="min"/>
        <cfvo type="max"/>
        <color rgb="FF63C384"/>
      </dataBar>
      <extLst>
        <ext xmlns:x14="http://schemas.microsoft.com/office/spreadsheetml/2009/9/main" uri="{B025F937-C7B1-47D3-B67F-A62EFF666E3E}">
          <x14:id>{33935451-4E78-4555-921F-28E0D1C957D9}</x14:id>
        </ext>
      </extLst>
    </cfRule>
  </conditionalFormatting>
  <conditionalFormatting sqref="Z232">
    <cfRule type="dataBar" priority="7004">
      <dataBar>
        <cfvo type="min"/>
        <cfvo type="max"/>
        <color rgb="FF63C384"/>
      </dataBar>
      <extLst>
        <ext xmlns:x14="http://schemas.microsoft.com/office/spreadsheetml/2009/9/main" uri="{B025F937-C7B1-47D3-B67F-A62EFF666E3E}">
          <x14:id>{C7EBA179-E789-4594-8D3E-75C20A30C58E}</x14:id>
        </ext>
      </extLst>
    </cfRule>
  </conditionalFormatting>
  <conditionalFormatting sqref="J233">
    <cfRule type="cellIs" dxfId="9971" priority="7002" operator="equal">
      <formula>"ja"</formula>
    </cfRule>
  </conditionalFormatting>
  <conditionalFormatting sqref="T233">
    <cfRule type="expression" dxfId="9970" priority="7001">
      <formula>AND(AND($W233&lt;TODAY(),$W233&lt;&gt;""),$X233="")</formula>
    </cfRule>
  </conditionalFormatting>
  <conditionalFormatting sqref="Z233">
    <cfRule type="dataBar" priority="7000">
      <dataBar>
        <cfvo type="min"/>
        <cfvo type="max"/>
        <color rgb="FF63C384"/>
      </dataBar>
      <extLst>
        <ext xmlns:x14="http://schemas.microsoft.com/office/spreadsheetml/2009/9/main" uri="{B025F937-C7B1-47D3-B67F-A62EFF666E3E}">
          <x14:id>{CDB47D24-9122-45CD-8E9B-FD425CFB7604}</x14:id>
        </ext>
      </extLst>
    </cfRule>
  </conditionalFormatting>
  <conditionalFormatting sqref="Z233">
    <cfRule type="dataBar" priority="6999">
      <dataBar>
        <cfvo type="min"/>
        <cfvo type="max"/>
        <color rgb="FF63C384"/>
      </dataBar>
      <extLst>
        <ext xmlns:x14="http://schemas.microsoft.com/office/spreadsheetml/2009/9/main" uri="{B025F937-C7B1-47D3-B67F-A62EFF666E3E}">
          <x14:id>{FCDAADCE-6E18-4A68-92B2-C5C0B26E839D}</x14:id>
        </ext>
      </extLst>
    </cfRule>
  </conditionalFormatting>
  <conditionalFormatting sqref="J234">
    <cfRule type="cellIs" dxfId="9969" priority="6998" operator="equal">
      <formula>"ja"</formula>
    </cfRule>
  </conditionalFormatting>
  <conditionalFormatting sqref="T234">
    <cfRule type="expression" dxfId="9968" priority="6997">
      <formula>AND(AND($W234&lt;TODAY(),$W234&lt;&gt;""),$X234="")</formula>
    </cfRule>
  </conditionalFormatting>
  <conditionalFormatting sqref="Z234">
    <cfRule type="dataBar" priority="6996">
      <dataBar>
        <cfvo type="min"/>
        <cfvo type="max"/>
        <color rgb="FF63C384"/>
      </dataBar>
      <extLst>
        <ext xmlns:x14="http://schemas.microsoft.com/office/spreadsheetml/2009/9/main" uri="{B025F937-C7B1-47D3-B67F-A62EFF666E3E}">
          <x14:id>{0CF3CE9E-02E4-41D1-97A9-F9699EA2A88A}</x14:id>
        </ext>
      </extLst>
    </cfRule>
  </conditionalFormatting>
  <conditionalFormatting sqref="Z234">
    <cfRule type="dataBar" priority="6994">
      <dataBar>
        <cfvo type="min"/>
        <cfvo type="max"/>
        <color rgb="FF63C384"/>
      </dataBar>
      <extLst>
        <ext xmlns:x14="http://schemas.microsoft.com/office/spreadsheetml/2009/9/main" uri="{B025F937-C7B1-47D3-B67F-A62EFF666E3E}">
          <x14:id>{3334F0B2-50CE-452F-84AC-47DEA2689F93}</x14:id>
        </ext>
      </extLst>
    </cfRule>
  </conditionalFormatting>
  <conditionalFormatting sqref="J235">
    <cfRule type="cellIs" dxfId="9967" priority="6993" operator="equal">
      <formula>"ja"</formula>
    </cfRule>
  </conditionalFormatting>
  <conditionalFormatting sqref="T235">
    <cfRule type="expression" dxfId="9966" priority="6992">
      <formula>AND(AND($W235&lt;TODAY(),$W235&lt;&gt;""),$X235="")</formula>
    </cfRule>
  </conditionalFormatting>
  <conditionalFormatting sqref="Z235">
    <cfRule type="dataBar" priority="6991">
      <dataBar>
        <cfvo type="min"/>
        <cfvo type="max"/>
        <color rgb="FF63C384"/>
      </dataBar>
      <extLst>
        <ext xmlns:x14="http://schemas.microsoft.com/office/spreadsheetml/2009/9/main" uri="{B025F937-C7B1-47D3-B67F-A62EFF666E3E}">
          <x14:id>{16C759D1-8253-4BA1-BF40-E561481C37FB}</x14:id>
        </ext>
      </extLst>
    </cfRule>
  </conditionalFormatting>
  <conditionalFormatting sqref="Z235">
    <cfRule type="dataBar" priority="6989">
      <dataBar>
        <cfvo type="min"/>
        <cfvo type="max"/>
        <color rgb="FF63C384"/>
      </dataBar>
      <extLst>
        <ext xmlns:x14="http://schemas.microsoft.com/office/spreadsheetml/2009/9/main" uri="{B025F937-C7B1-47D3-B67F-A62EFF666E3E}">
          <x14:id>{B238C16B-2145-4F16-9E95-4F49B8A07D2A}</x14:id>
        </ext>
      </extLst>
    </cfRule>
  </conditionalFormatting>
  <conditionalFormatting sqref="J236">
    <cfRule type="cellIs" dxfId="9965" priority="6987" operator="equal">
      <formula>"ja"</formula>
    </cfRule>
  </conditionalFormatting>
  <conditionalFormatting sqref="T236">
    <cfRule type="expression" dxfId="9964" priority="6986">
      <formula>AND(AND($W236&lt;TODAY(),$W236&lt;&gt;""),$X236="")</formula>
    </cfRule>
  </conditionalFormatting>
  <conditionalFormatting sqref="Z236">
    <cfRule type="dataBar" priority="6985">
      <dataBar>
        <cfvo type="min"/>
        <cfvo type="max"/>
        <color rgb="FF63C384"/>
      </dataBar>
      <extLst>
        <ext xmlns:x14="http://schemas.microsoft.com/office/spreadsheetml/2009/9/main" uri="{B025F937-C7B1-47D3-B67F-A62EFF666E3E}">
          <x14:id>{9AEE67BC-4A35-4D55-93CE-C28C265C051D}</x14:id>
        </ext>
      </extLst>
    </cfRule>
  </conditionalFormatting>
  <conditionalFormatting sqref="Z236">
    <cfRule type="dataBar" priority="6984">
      <dataBar>
        <cfvo type="min"/>
        <cfvo type="max"/>
        <color rgb="FF63C384"/>
      </dataBar>
      <extLst>
        <ext xmlns:x14="http://schemas.microsoft.com/office/spreadsheetml/2009/9/main" uri="{B025F937-C7B1-47D3-B67F-A62EFF666E3E}">
          <x14:id>{285EA032-4D32-41A6-ACCE-08C11AF5BE3E}</x14:id>
        </ext>
      </extLst>
    </cfRule>
  </conditionalFormatting>
  <conditionalFormatting sqref="J237">
    <cfRule type="cellIs" dxfId="9963" priority="6983" operator="equal">
      <formula>"ja"</formula>
    </cfRule>
  </conditionalFormatting>
  <conditionalFormatting sqref="T237">
    <cfRule type="expression" dxfId="9962" priority="6982">
      <formula>AND(AND($W237&lt;TODAY(),$W237&lt;&gt;""),$X237="")</formula>
    </cfRule>
  </conditionalFormatting>
  <conditionalFormatting sqref="Z237">
    <cfRule type="dataBar" priority="6981">
      <dataBar>
        <cfvo type="min"/>
        <cfvo type="max"/>
        <color rgb="FF63C384"/>
      </dataBar>
      <extLst>
        <ext xmlns:x14="http://schemas.microsoft.com/office/spreadsheetml/2009/9/main" uri="{B025F937-C7B1-47D3-B67F-A62EFF666E3E}">
          <x14:id>{D66FC3BC-B447-4185-B363-739C97543003}</x14:id>
        </ext>
      </extLst>
    </cfRule>
  </conditionalFormatting>
  <conditionalFormatting sqref="Z237">
    <cfRule type="dataBar" priority="6979">
      <dataBar>
        <cfvo type="min"/>
        <cfvo type="max"/>
        <color rgb="FF63C384"/>
      </dataBar>
      <extLst>
        <ext xmlns:x14="http://schemas.microsoft.com/office/spreadsheetml/2009/9/main" uri="{B025F937-C7B1-47D3-B67F-A62EFF666E3E}">
          <x14:id>{97E40396-94FC-4936-8C7A-743B9D613FE1}</x14:id>
        </ext>
      </extLst>
    </cfRule>
  </conditionalFormatting>
  <conditionalFormatting sqref="J238">
    <cfRule type="cellIs" dxfId="9961" priority="6978" operator="equal">
      <formula>"ja"</formula>
    </cfRule>
  </conditionalFormatting>
  <conditionalFormatting sqref="T238">
    <cfRule type="expression" dxfId="9960" priority="6977">
      <formula>AND(AND($W238&lt;TODAY(),$W238&lt;&gt;""),$X238="")</formula>
    </cfRule>
  </conditionalFormatting>
  <conditionalFormatting sqref="Z238">
    <cfRule type="dataBar" priority="6975">
      <dataBar>
        <cfvo type="min"/>
        <cfvo type="max"/>
        <color rgb="FF63C384"/>
      </dataBar>
      <extLst>
        <ext xmlns:x14="http://schemas.microsoft.com/office/spreadsheetml/2009/9/main" uri="{B025F937-C7B1-47D3-B67F-A62EFF666E3E}">
          <x14:id>{8537CEA2-4186-4FB8-8B7A-5EA58D301E89}</x14:id>
        </ext>
      </extLst>
    </cfRule>
  </conditionalFormatting>
  <conditionalFormatting sqref="Z238">
    <cfRule type="dataBar" priority="6974">
      <dataBar>
        <cfvo type="min"/>
        <cfvo type="max"/>
        <color rgb="FF63C384"/>
      </dataBar>
      <extLst>
        <ext xmlns:x14="http://schemas.microsoft.com/office/spreadsheetml/2009/9/main" uri="{B025F937-C7B1-47D3-B67F-A62EFF666E3E}">
          <x14:id>{BF71642D-3D7C-47D2-99C9-FA362FEA92F6}</x14:id>
        </ext>
      </extLst>
    </cfRule>
  </conditionalFormatting>
  <conditionalFormatting sqref="J239">
    <cfRule type="cellIs" dxfId="9959" priority="6972" operator="equal">
      <formula>"ja"</formula>
    </cfRule>
  </conditionalFormatting>
  <conditionalFormatting sqref="T239">
    <cfRule type="expression" dxfId="9958" priority="6971">
      <formula>AND(AND($W239&lt;TODAY(),$W239&lt;&gt;""),$X239="")</formula>
    </cfRule>
  </conditionalFormatting>
  <conditionalFormatting sqref="Z239">
    <cfRule type="dataBar" priority="6970">
      <dataBar>
        <cfvo type="min"/>
        <cfvo type="max"/>
        <color rgb="FF63C384"/>
      </dataBar>
      <extLst>
        <ext xmlns:x14="http://schemas.microsoft.com/office/spreadsheetml/2009/9/main" uri="{B025F937-C7B1-47D3-B67F-A62EFF666E3E}">
          <x14:id>{352BF24F-BD19-494F-9A13-FBA139991308}</x14:id>
        </ext>
      </extLst>
    </cfRule>
  </conditionalFormatting>
  <conditionalFormatting sqref="Z239">
    <cfRule type="dataBar" priority="6969">
      <dataBar>
        <cfvo type="min"/>
        <cfvo type="max"/>
        <color rgb="FF63C384"/>
      </dataBar>
      <extLst>
        <ext xmlns:x14="http://schemas.microsoft.com/office/spreadsheetml/2009/9/main" uri="{B025F937-C7B1-47D3-B67F-A62EFF666E3E}">
          <x14:id>{D3BB9B90-DE78-4584-87C7-5E2937DAADB6}</x14:id>
        </ext>
      </extLst>
    </cfRule>
  </conditionalFormatting>
  <conditionalFormatting sqref="J240">
    <cfRule type="cellIs" dxfId="9957" priority="6967" operator="equal">
      <formula>"ja"</formula>
    </cfRule>
  </conditionalFormatting>
  <conditionalFormatting sqref="T240">
    <cfRule type="expression" dxfId="9956" priority="6966">
      <formula>AND(AND($W240&lt;TODAY(),$W240&lt;&gt;""),$X240="")</formula>
    </cfRule>
  </conditionalFormatting>
  <conditionalFormatting sqref="Z240">
    <cfRule type="dataBar" priority="6965">
      <dataBar>
        <cfvo type="min"/>
        <cfvo type="max"/>
        <color rgb="FF63C384"/>
      </dataBar>
      <extLst>
        <ext xmlns:x14="http://schemas.microsoft.com/office/spreadsheetml/2009/9/main" uri="{B025F937-C7B1-47D3-B67F-A62EFF666E3E}">
          <x14:id>{14A3CD9B-D343-4EC2-BFAE-60E5721C8CCB}</x14:id>
        </ext>
      </extLst>
    </cfRule>
  </conditionalFormatting>
  <conditionalFormatting sqref="Z240">
    <cfRule type="dataBar" priority="6964">
      <dataBar>
        <cfvo type="min"/>
        <cfvo type="max"/>
        <color rgb="FF63C384"/>
      </dataBar>
      <extLst>
        <ext xmlns:x14="http://schemas.microsoft.com/office/spreadsheetml/2009/9/main" uri="{B025F937-C7B1-47D3-B67F-A62EFF666E3E}">
          <x14:id>{B9F838A6-88EC-416B-8752-712F8004B0BB}</x14:id>
        </ext>
      </extLst>
    </cfRule>
  </conditionalFormatting>
  <conditionalFormatting sqref="T241:T242">
    <cfRule type="expression" dxfId="9955" priority="6962">
      <formula>AND(AND($W241&lt;TODAY(),$W241&lt;&gt;""),$X241="")</formula>
    </cfRule>
  </conditionalFormatting>
  <conditionalFormatting sqref="J241">
    <cfRule type="cellIs" dxfId="9954" priority="6961" operator="equal">
      <formula>"ja"</formula>
    </cfRule>
  </conditionalFormatting>
  <conditionalFormatting sqref="Z241:Z242">
    <cfRule type="dataBar" priority="6960">
      <dataBar>
        <cfvo type="min"/>
        <cfvo type="max"/>
        <color rgb="FF63C384"/>
      </dataBar>
      <extLst>
        <ext xmlns:x14="http://schemas.microsoft.com/office/spreadsheetml/2009/9/main" uri="{B025F937-C7B1-47D3-B67F-A62EFF666E3E}">
          <x14:id>{F01244D4-FCDD-4533-A5E4-6C04C8963E50}</x14:id>
        </ext>
      </extLst>
    </cfRule>
  </conditionalFormatting>
  <conditionalFormatting sqref="Z241:Z242">
    <cfRule type="dataBar" priority="6959">
      <dataBar>
        <cfvo type="min"/>
        <cfvo type="max"/>
        <color rgb="FF63C384"/>
      </dataBar>
      <extLst>
        <ext xmlns:x14="http://schemas.microsoft.com/office/spreadsheetml/2009/9/main" uri="{B025F937-C7B1-47D3-B67F-A62EFF666E3E}">
          <x14:id>{180C4FF3-0ACD-4E89-A22B-2135F340DC18}</x14:id>
        </ext>
      </extLst>
    </cfRule>
  </conditionalFormatting>
  <conditionalFormatting sqref="C243">
    <cfRule type="containsText" dxfId="9953" priority="6957" operator="containsText" text="Einnahmen">
      <formula>NOT(ISERROR(SEARCH("Einnahmen",C243)))</formula>
    </cfRule>
    <cfRule type="containsText" dxfId="9952" priority="6958" operator="containsText" text="Ausgaben">
      <formula>NOT(ISERROR(SEARCH("Ausgaben",C243)))</formula>
    </cfRule>
  </conditionalFormatting>
  <conditionalFormatting sqref="J243">
    <cfRule type="cellIs" dxfId="9951" priority="6955" operator="equal">
      <formula>"ja"</formula>
    </cfRule>
  </conditionalFormatting>
  <conditionalFormatting sqref="T243">
    <cfRule type="expression" dxfId="9950" priority="6954">
      <formula>AND(AND($W243&lt;TODAY(),$W243&lt;&gt;""),$X243="")</formula>
    </cfRule>
  </conditionalFormatting>
  <conditionalFormatting sqref="Z243">
    <cfRule type="dataBar" priority="6953">
      <dataBar>
        <cfvo type="min"/>
        <cfvo type="max"/>
        <color rgb="FF63C384"/>
      </dataBar>
      <extLst>
        <ext xmlns:x14="http://schemas.microsoft.com/office/spreadsheetml/2009/9/main" uri="{B025F937-C7B1-47D3-B67F-A62EFF666E3E}">
          <x14:id>{A3F27160-C9DA-420D-BBBA-2B62D8E040FA}</x14:id>
        </ext>
      </extLst>
    </cfRule>
  </conditionalFormatting>
  <conditionalFormatting sqref="Z243">
    <cfRule type="dataBar" priority="6952">
      <dataBar>
        <cfvo type="min"/>
        <cfvo type="max"/>
        <color rgb="FF63C384"/>
      </dataBar>
      <extLst>
        <ext xmlns:x14="http://schemas.microsoft.com/office/spreadsheetml/2009/9/main" uri="{B025F937-C7B1-47D3-B67F-A62EFF666E3E}">
          <x14:id>{A810D28E-281F-4944-A502-713657591FBA}</x14:id>
        </ext>
      </extLst>
    </cfRule>
  </conditionalFormatting>
  <conditionalFormatting sqref="J244">
    <cfRule type="cellIs" dxfId="9949" priority="6950" operator="equal">
      <formula>"ja"</formula>
    </cfRule>
  </conditionalFormatting>
  <conditionalFormatting sqref="T244">
    <cfRule type="expression" dxfId="9948" priority="6949">
      <formula>AND(AND($W244&lt;TODAY(),$W244&lt;&gt;""),$X244="")</formula>
    </cfRule>
  </conditionalFormatting>
  <conditionalFormatting sqref="Z244">
    <cfRule type="dataBar" priority="6948">
      <dataBar>
        <cfvo type="min"/>
        <cfvo type="max"/>
        <color rgb="FF63C384"/>
      </dataBar>
      <extLst>
        <ext xmlns:x14="http://schemas.microsoft.com/office/spreadsheetml/2009/9/main" uri="{B025F937-C7B1-47D3-B67F-A62EFF666E3E}">
          <x14:id>{AE65A364-136B-4E2B-85BC-2A96E37AAD59}</x14:id>
        </ext>
      </extLst>
    </cfRule>
  </conditionalFormatting>
  <conditionalFormatting sqref="Z244">
    <cfRule type="dataBar" priority="6947">
      <dataBar>
        <cfvo type="min"/>
        <cfvo type="max"/>
        <color rgb="FF63C384"/>
      </dataBar>
      <extLst>
        <ext xmlns:x14="http://schemas.microsoft.com/office/spreadsheetml/2009/9/main" uri="{B025F937-C7B1-47D3-B67F-A62EFF666E3E}">
          <x14:id>{EE895C5C-F19F-4084-8E34-03EF7F85F528}</x14:id>
        </ext>
      </extLst>
    </cfRule>
  </conditionalFormatting>
  <conditionalFormatting sqref="J245">
    <cfRule type="cellIs" dxfId="9947" priority="6945" operator="equal">
      <formula>"ja"</formula>
    </cfRule>
  </conditionalFormatting>
  <conditionalFormatting sqref="T245">
    <cfRule type="expression" dxfId="9946" priority="6944">
      <formula>AND(AND($W245&lt;TODAY(),$W245&lt;&gt;""),$X245="")</formula>
    </cfRule>
  </conditionalFormatting>
  <conditionalFormatting sqref="Z245">
    <cfRule type="dataBar" priority="6943">
      <dataBar>
        <cfvo type="min"/>
        <cfvo type="max"/>
        <color rgb="FF63C384"/>
      </dataBar>
      <extLst>
        <ext xmlns:x14="http://schemas.microsoft.com/office/spreadsheetml/2009/9/main" uri="{B025F937-C7B1-47D3-B67F-A62EFF666E3E}">
          <x14:id>{4B70C111-3B8F-45D5-8615-D834D0D09797}</x14:id>
        </ext>
      </extLst>
    </cfRule>
  </conditionalFormatting>
  <conditionalFormatting sqref="Z245">
    <cfRule type="dataBar" priority="6942">
      <dataBar>
        <cfvo type="min"/>
        <cfvo type="max"/>
        <color rgb="FF63C384"/>
      </dataBar>
      <extLst>
        <ext xmlns:x14="http://schemas.microsoft.com/office/spreadsheetml/2009/9/main" uri="{B025F937-C7B1-47D3-B67F-A62EFF666E3E}">
          <x14:id>{FA8842C3-3654-40E5-897C-DFFCB47A1EFF}</x14:id>
        </ext>
      </extLst>
    </cfRule>
  </conditionalFormatting>
  <conditionalFormatting sqref="C246">
    <cfRule type="containsText" dxfId="9945" priority="6940" operator="containsText" text="Einnahmen">
      <formula>NOT(ISERROR(SEARCH("Einnahmen",C246)))</formula>
    </cfRule>
    <cfRule type="containsText" dxfId="9944" priority="6941" operator="containsText" text="Ausgaben">
      <formula>NOT(ISERROR(SEARCH("Ausgaben",C246)))</formula>
    </cfRule>
  </conditionalFormatting>
  <conditionalFormatting sqref="J246">
    <cfRule type="cellIs" dxfId="9943" priority="6938" operator="equal">
      <formula>"ja"</formula>
    </cfRule>
  </conditionalFormatting>
  <conditionalFormatting sqref="T246">
    <cfRule type="expression" dxfId="9942" priority="6937">
      <formula>AND(AND($W246&lt;TODAY(),$W246&lt;&gt;""),$X246="")</formula>
    </cfRule>
  </conditionalFormatting>
  <conditionalFormatting sqref="Z246">
    <cfRule type="dataBar" priority="6936">
      <dataBar>
        <cfvo type="min"/>
        <cfvo type="max"/>
        <color rgb="FF63C384"/>
      </dataBar>
      <extLst>
        <ext xmlns:x14="http://schemas.microsoft.com/office/spreadsheetml/2009/9/main" uri="{B025F937-C7B1-47D3-B67F-A62EFF666E3E}">
          <x14:id>{3425410B-B62F-429C-9ECF-56560609D0F7}</x14:id>
        </ext>
      </extLst>
    </cfRule>
  </conditionalFormatting>
  <conditionalFormatting sqref="Z246">
    <cfRule type="dataBar" priority="6935">
      <dataBar>
        <cfvo type="min"/>
        <cfvo type="max"/>
        <color rgb="FF63C384"/>
      </dataBar>
      <extLst>
        <ext xmlns:x14="http://schemas.microsoft.com/office/spreadsheetml/2009/9/main" uri="{B025F937-C7B1-47D3-B67F-A62EFF666E3E}">
          <x14:id>{AD0D3BDB-A8E7-456C-A47F-576C0A7E8602}</x14:id>
        </ext>
      </extLst>
    </cfRule>
  </conditionalFormatting>
  <conditionalFormatting sqref="C247">
    <cfRule type="containsText" dxfId="9941" priority="6933" operator="containsText" text="Einnahmen">
      <formula>NOT(ISERROR(SEARCH("Einnahmen",C247)))</formula>
    </cfRule>
    <cfRule type="containsText" dxfId="9940" priority="6934" operator="containsText" text="Ausgaben">
      <formula>NOT(ISERROR(SEARCH("Ausgaben",C247)))</formula>
    </cfRule>
  </conditionalFormatting>
  <conditionalFormatting sqref="J247">
    <cfRule type="cellIs" dxfId="9939" priority="6931" operator="equal">
      <formula>"ja"</formula>
    </cfRule>
  </conditionalFormatting>
  <conditionalFormatting sqref="T247">
    <cfRule type="expression" dxfId="9938" priority="6930">
      <formula>AND(AND($W247&lt;TODAY(),$W247&lt;&gt;""),$X247="")</formula>
    </cfRule>
  </conditionalFormatting>
  <conditionalFormatting sqref="Z247">
    <cfRule type="dataBar" priority="6929">
      <dataBar>
        <cfvo type="min"/>
        <cfvo type="max"/>
        <color rgb="FF63C384"/>
      </dataBar>
      <extLst>
        <ext xmlns:x14="http://schemas.microsoft.com/office/spreadsheetml/2009/9/main" uri="{B025F937-C7B1-47D3-B67F-A62EFF666E3E}">
          <x14:id>{A7D8D66E-D78D-4441-80A9-1A57DC5DF3FF}</x14:id>
        </ext>
      </extLst>
    </cfRule>
  </conditionalFormatting>
  <conditionalFormatting sqref="Z247">
    <cfRule type="dataBar" priority="6928">
      <dataBar>
        <cfvo type="min"/>
        <cfvo type="max"/>
        <color rgb="FF63C384"/>
      </dataBar>
      <extLst>
        <ext xmlns:x14="http://schemas.microsoft.com/office/spreadsheetml/2009/9/main" uri="{B025F937-C7B1-47D3-B67F-A62EFF666E3E}">
          <x14:id>{411489A9-C2DD-479A-8C87-51EACAA10C29}</x14:id>
        </ext>
      </extLst>
    </cfRule>
  </conditionalFormatting>
  <conditionalFormatting sqref="C248">
    <cfRule type="containsText" dxfId="9937" priority="6926" operator="containsText" text="Einnahmen">
      <formula>NOT(ISERROR(SEARCH("Einnahmen",C248)))</formula>
    </cfRule>
    <cfRule type="containsText" dxfId="9936" priority="6927" operator="containsText" text="Ausgaben">
      <formula>NOT(ISERROR(SEARCH("Ausgaben",C248)))</formula>
    </cfRule>
  </conditionalFormatting>
  <conditionalFormatting sqref="J248">
    <cfRule type="cellIs" dxfId="9935" priority="6924" operator="equal">
      <formula>"ja"</formula>
    </cfRule>
  </conditionalFormatting>
  <conditionalFormatting sqref="T248:T249">
    <cfRule type="expression" dxfId="9934" priority="6923">
      <formula>AND(AND($W248&lt;TODAY(),$W248&lt;&gt;""),$X248="")</formula>
    </cfRule>
  </conditionalFormatting>
  <conditionalFormatting sqref="Z248:Z249">
    <cfRule type="dataBar" priority="6922">
      <dataBar>
        <cfvo type="min"/>
        <cfvo type="max"/>
        <color rgb="FF63C384"/>
      </dataBar>
      <extLst>
        <ext xmlns:x14="http://schemas.microsoft.com/office/spreadsheetml/2009/9/main" uri="{B025F937-C7B1-47D3-B67F-A62EFF666E3E}">
          <x14:id>{88AE16C4-B1DD-4DA0-9691-2E7D622658EC}</x14:id>
        </ext>
      </extLst>
    </cfRule>
  </conditionalFormatting>
  <conditionalFormatting sqref="Z248:Z249">
    <cfRule type="dataBar" priority="6921">
      <dataBar>
        <cfvo type="min"/>
        <cfvo type="max"/>
        <color rgb="FF63C384"/>
      </dataBar>
      <extLst>
        <ext xmlns:x14="http://schemas.microsoft.com/office/spreadsheetml/2009/9/main" uri="{B025F937-C7B1-47D3-B67F-A62EFF666E3E}">
          <x14:id>{B9E3DAEA-0161-47C9-8682-3E3482D226CD}</x14:id>
        </ext>
      </extLst>
    </cfRule>
  </conditionalFormatting>
  <conditionalFormatting sqref="J250">
    <cfRule type="cellIs" dxfId="9933" priority="6920" operator="equal">
      <formula>"ja"</formula>
    </cfRule>
  </conditionalFormatting>
  <conditionalFormatting sqref="T250">
    <cfRule type="expression" dxfId="9932" priority="6919">
      <formula>AND(AND($W250&lt;TODAY(),$W250&lt;&gt;""),$X250="")</formula>
    </cfRule>
  </conditionalFormatting>
  <conditionalFormatting sqref="Z250">
    <cfRule type="dataBar" priority="6918">
      <dataBar>
        <cfvo type="min"/>
        <cfvo type="max"/>
        <color rgb="FF63C384"/>
      </dataBar>
      <extLst>
        <ext xmlns:x14="http://schemas.microsoft.com/office/spreadsheetml/2009/9/main" uri="{B025F937-C7B1-47D3-B67F-A62EFF666E3E}">
          <x14:id>{C001C6FE-1851-45A9-A6C3-0442957966AE}</x14:id>
        </ext>
      </extLst>
    </cfRule>
  </conditionalFormatting>
  <conditionalFormatting sqref="Z250">
    <cfRule type="dataBar" priority="6916">
      <dataBar>
        <cfvo type="min"/>
        <cfvo type="max"/>
        <color rgb="FF63C384"/>
      </dataBar>
      <extLst>
        <ext xmlns:x14="http://schemas.microsoft.com/office/spreadsheetml/2009/9/main" uri="{B025F937-C7B1-47D3-B67F-A62EFF666E3E}">
          <x14:id>{7EF8C42D-D716-4750-8FFF-A730D7766A5E}</x14:id>
        </ext>
      </extLst>
    </cfRule>
  </conditionalFormatting>
  <conditionalFormatting sqref="T216">
    <cfRule type="expression" dxfId="9931" priority="6915">
      <formula>AND(AND($W216&lt;TODAY(),$W216&lt;&gt;""),$X216="")</formula>
    </cfRule>
  </conditionalFormatting>
  <conditionalFormatting sqref="Z216">
    <cfRule type="dataBar" priority="6914">
      <dataBar>
        <cfvo type="min"/>
        <cfvo type="max"/>
        <color rgb="FF63C384"/>
      </dataBar>
      <extLst>
        <ext xmlns:x14="http://schemas.microsoft.com/office/spreadsheetml/2009/9/main" uri="{B025F937-C7B1-47D3-B67F-A62EFF666E3E}">
          <x14:id>{CB8DE49B-3B84-48E6-88B7-173EB4DDA473}</x14:id>
        </ext>
      </extLst>
    </cfRule>
  </conditionalFormatting>
  <conditionalFormatting sqref="Z216">
    <cfRule type="dataBar" priority="6913">
      <dataBar>
        <cfvo type="min"/>
        <cfvo type="max"/>
        <color rgb="FF63C384"/>
      </dataBar>
      <extLst>
        <ext xmlns:x14="http://schemas.microsoft.com/office/spreadsheetml/2009/9/main" uri="{B025F937-C7B1-47D3-B67F-A62EFF666E3E}">
          <x14:id>{D6464108-CE3A-47B2-BD43-81CB136F1B79}</x14:id>
        </ext>
      </extLst>
    </cfRule>
  </conditionalFormatting>
  <conditionalFormatting sqref="T251">
    <cfRule type="expression" dxfId="9930" priority="6911">
      <formula>AND(AND($W251&lt;TODAY(),$W251&lt;&gt;""),$X251="")</formula>
    </cfRule>
  </conditionalFormatting>
  <conditionalFormatting sqref="Z251">
    <cfRule type="dataBar" priority="6910">
      <dataBar>
        <cfvo type="min"/>
        <cfvo type="max"/>
        <color rgb="FF63C384"/>
      </dataBar>
      <extLst>
        <ext xmlns:x14="http://schemas.microsoft.com/office/spreadsheetml/2009/9/main" uri="{B025F937-C7B1-47D3-B67F-A62EFF666E3E}">
          <x14:id>{B534D74C-84E4-4EEC-BDC1-A56B844C7F15}</x14:id>
        </ext>
      </extLst>
    </cfRule>
  </conditionalFormatting>
  <conditionalFormatting sqref="Z251">
    <cfRule type="dataBar" priority="6909">
      <dataBar>
        <cfvo type="min"/>
        <cfvo type="max"/>
        <color rgb="FF63C384"/>
      </dataBar>
      <extLst>
        <ext xmlns:x14="http://schemas.microsoft.com/office/spreadsheetml/2009/9/main" uri="{B025F937-C7B1-47D3-B67F-A62EFF666E3E}">
          <x14:id>{A36BC748-1D33-4717-81AB-CD62CE40A47B}</x14:id>
        </ext>
      </extLst>
    </cfRule>
  </conditionalFormatting>
  <conditionalFormatting sqref="T252">
    <cfRule type="expression" dxfId="9929" priority="6908">
      <formula>AND(AND($W252&lt;TODAY(),$W252&lt;&gt;""),$X252="")</formula>
    </cfRule>
  </conditionalFormatting>
  <conditionalFormatting sqref="J252">
    <cfRule type="cellIs" dxfId="9928" priority="6907" operator="equal">
      <formula>"ja"</formula>
    </cfRule>
  </conditionalFormatting>
  <conditionalFormatting sqref="Z252">
    <cfRule type="dataBar" priority="6906">
      <dataBar>
        <cfvo type="min"/>
        <cfvo type="max"/>
        <color rgb="FF63C384"/>
      </dataBar>
      <extLst>
        <ext xmlns:x14="http://schemas.microsoft.com/office/spreadsheetml/2009/9/main" uri="{B025F937-C7B1-47D3-B67F-A62EFF666E3E}">
          <x14:id>{2EDAE32D-47B5-4339-B7AE-148F23C3FC1B}</x14:id>
        </ext>
      </extLst>
    </cfRule>
  </conditionalFormatting>
  <conditionalFormatting sqref="Z252">
    <cfRule type="dataBar" priority="6905">
      <dataBar>
        <cfvo type="min"/>
        <cfvo type="max"/>
        <color rgb="FF63C384"/>
      </dataBar>
      <extLst>
        <ext xmlns:x14="http://schemas.microsoft.com/office/spreadsheetml/2009/9/main" uri="{B025F937-C7B1-47D3-B67F-A62EFF666E3E}">
          <x14:id>{E431C3F8-B426-45DB-B987-A7B1D8B92420}</x14:id>
        </ext>
      </extLst>
    </cfRule>
  </conditionalFormatting>
  <conditionalFormatting sqref="J251">
    <cfRule type="cellIs" dxfId="9927" priority="6904" operator="equal">
      <formula>"ja"</formula>
    </cfRule>
  </conditionalFormatting>
  <conditionalFormatting sqref="T253">
    <cfRule type="expression" dxfId="9926" priority="6903">
      <formula>AND(AND($W253&lt;TODAY(),$W253&lt;&gt;""),$X253="")</formula>
    </cfRule>
  </conditionalFormatting>
  <conditionalFormatting sqref="Z253">
    <cfRule type="dataBar" priority="6902">
      <dataBar>
        <cfvo type="min"/>
        <cfvo type="max"/>
        <color rgb="FF63C384"/>
      </dataBar>
      <extLst>
        <ext xmlns:x14="http://schemas.microsoft.com/office/spreadsheetml/2009/9/main" uri="{B025F937-C7B1-47D3-B67F-A62EFF666E3E}">
          <x14:id>{68143B56-80E2-44E9-8C6F-25A037C4B176}</x14:id>
        </ext>
      </extLst>
    </cfRule>
  </conditionalFormatting>
  <conditionalFormatting sqref="Z253">
    <cfRule type="dataBar" priority="6901">
      <dataBar>
        <cfvo type="min"/>
        <cfvo type="max"/>
        <color rgb="FF63C384"/>
      </dataBar>
      <extLst>
        <ext xmlns:x14="http://schemas.microsoft.com/office/spreadsheetml/2009/9/main" uri="{B025F937-C7B1-47D3-B67F-A62EFF666E3E}">
          <x14:id>{A580EDBF-F088-4709-8A33-4B5E42F66BE7}</x14:id>
        </ext>
      </extLst>
    </cfRule>
  </conditionalFormatting>
  <conditionalFormatting sqref="T254">
    <cfRule type="expression" dxfId="9925" priority="6900">
      <formula>AND(AND($W254&lt;TODAY(),$W254&lt;&gt;""),$X254="")</formula>
    </cfRule>
  </conditionalFormatting>
  <conditionalFormatting sqref="Z254">
    <cfRule type="dataBar" priority="6899">
      <dataBar>
        <cfvo type="min"/>
        <cfvo type="max"/>
        <color rgb="FF63C384"/>
      </dataBar>
      <extLst>
        <ext xmlns:x14="http://schemas.microsoft.com/office/spreadsheetml/2009/9/main" uri="{B025F937-C7B1-47D3-B67F-A62EFF666E3E}">
          <x14:id>{B792602F-6676-4C9D-A87B-F777B4D6FD33}</x14:id>
        </ext>
      </extLst>
    </cfRule>
  </conditionalFormatting>
  <conditionalFormatting sqref="Z254">
    <cfRule type="dataBar" priority="6898">
      <dataBar>
        <cfvo type="min"/>
        <cfvo type="max"/>
        <color rgb="FF63C384"/>
      </dataBar>
      <extLst>
        <ext xmlns:x14="http://schemas.microsoft.com/office/spreadsheetml/2009/9/main" uri="{B025F937-C7B1-47D3-B67F-A62EFF666E3E}">
          <x14:id>{E2A15B69-5631-43F3-8E83-F1BDF297454A}</x14:id>
        </ext>
      </extLst>
    </cfRule>
  </conditionalFormatting>
  <conditionalFormatting sqref="J255:J256">
    <cfRule type="cellIs" dxfId="9924" priority="6897" operator="equal">
      <formula>"ja"</formula>
    </cfRule>
  </conditionalFormatting>
  <conditionalFormatting sqref="T255:T256">
    <cfRule type="expression" dxfId="9923" priority="6896">
      <formula>AND(AND($W255&lt;TODAY(),$W255&lt;&gt;""),$X255="")</formula>
    </cfRule>
  </conditionalFormatting>
  <conditionalFormatting sqref="Z255:Z256">
    <cfRule type="dataBar" priority="6895">
      <dataBar>
        <cfvo type="min"/>
        <cfvo type="max"/>
        <color rgb="FF63C384"/>
      </dataBar>
      <extLst>
        <ext xmlns:x14="http://schemas.microsoft.com/office/spreadsheetml/2009/9/main" uri="{B025F937-C7B1-47D3-B67F-A62EFF666E3E}">
          <x14:id>{BD8B1EDD-A734-4F99-B00F-B3177F246D83}</x14:id>
        </ext>
      </extLst>
    </cfRule>
  </conditionalFormatting>
  <conditionalFormatting sqref="Z255:Z256">
    <cfRule type="dataBar" priority="6893">
      <dataBar>
        <cfvo type="min"/>
        <cfvo type="max"/>
        <color rgb="FF63C384"/>
      </dataBar>
      <extLst>
        <ext xmlns:x14="http://schemas.microsoft.com/office/spreadsheetml/2009/9/main" uri="{B025F937-C7B1-47D3-B67F-A62EFF666E3E}">
          <x14:id>{AA86996D-836A-426D-90C8-E8023A94FB15}</x14:id>
        </ext>
      </extLst>
    </cfRule>
  </conditionalFormatting>
  <conditionalFormatting sqref="T257">
    <cfRule type="expression" dxfId="9922" priority="6892">
      <formula>AND(AND($W257&lt;TODAY(),$W257&lt;&gt;""),$X257="")</formula>
    </cfRule>
  </conditionalFormatting>
  <conditionalFormatting sqref="Z257">
    <cfRule type="dataBar" priority="6891">
      <dataBar>
        <cfvo type="min"/>
        <cfvo type="max"/>
        <color rgb="FF63C384"/>
      </dataBar>
      <extLst>
        <ext xmlns:x14="http://schemas.microsoft.com/office/spreadsheetml/2009/9/main" uri="{B025F937-C7B1-47D3-B67F-A62EFF666E3E}">
          <x14:id>{ADDB2D28-B4EF-452E-914B-3EFC6F842080}</x14:id>
        </ext>
      </extLst>
    </cfRule>
  </conditionalFormatting>
  <conditionalFormatting sqref="Z257">
    <cfRule type="dataBar" priority="6890">
      <dataBar>
        <cfvo type="min"/>
        <cfvo type="max"/>
        <color rgb="FF63C384"/>
      </dataBar>
      <extLst>
        <ext xmlns:x14="http://schemas.microsoft.com/office/spreadsheetml/2009/9/main" uri="{B025F937-C7B1-47D3-B67F-A62EFF666E3E}">
          <x14:id>{F4C20A01-2D16-47DA-B835-93CA94EA1F22}</x14:id>
        </ext>
      </extLst>
    </cfRule>
  </conditionalFormatting>
  <conditionalFormatting sqref="T258">
    <cfRule type="expression" dxfId="9921" priority="6889">
      <formula>AND(AND($W258&lt;TODAY(),$W258&lt;&gt;""),$X258="")</formula>
    </cfRule>
  </conditionalFormatting>
  <conditionalFormatting sqref="Z258">
    <cfRule type="dataBar" priority="6888">
      <dataBar>
        <cfvo type="min"/>
        <cfvo type="max"/>
        <color rgb="FF63C384"/>
      </dataBar>
      <extLst>
        <ext xmlns:x14="http://schemas.microsoft.com/office/spreadsheetml/2009/9/main" uri="{B025F937-C7B1-47D3-B67F-A62EFF666E3E}">
          <x14:id>{529B4110-CABA-4E5C-9979-1C5E732DCE00}</x14:id>
        </ext>
      </extLst>
    </cfRule>
  </conditionalFormatting>
  <conditionalFormatting sqref="Z258">
    <cfRule type="dataBar" priority="6887">
      <dataBar>
        <cfvo type="min"/>
        <cfvo type="max"/>
        <color rgb="FF63C384"/>
      </dataBar>
      <extLst>
        <ext xmlns:x14="http://schemas.microsoft.com/office/spreadsheetml/2009/9/main" uri="{B025F937-C7B1-47D3-B67F-A62EFF666E3E}">
          <x14:id>{15D7A9D8-66B6-4FD0-A75A-1A83975C7B82}</x14:id>
        </ext>
      </extLst>
    </cfRule>
  </conditionalFormatting>
  <conditionalFormatting sqref="T259">
    <cfRule type="expression" dxfId="9920" priority="6886">
      <formula>AND(AND($W259&lt;TODAY(),$W259&lt;&gt;""),$X259="")</formula>
    </cfRule>
  </conditionalFormatting>
  <conditionalFormatting sqref="Z259">
    <cfRule type="dataBar" priority="6885">
      <dataBar>
        <cfvo type="min"/>
        <cfvo type="max"/>
        <color rgb="FF63C384"/>
      </dataBar>
      <extLst>
        <ext xmlns:x14="http://schemas.microsoft.com/office/spreadsheetml/2009/9/main" uri="{B025F937-C7B1-47D3-B67F-A62EFF666E3E}">
          <x14:id>{47711122-7070-45DC-B8B8-4B1CD502CA04}</x14:id>
        </ext>
      </extLst>
    </cfRule>
  </conditionalFormatting>
  <conditionalFormatting sqref="Z259">
    <cfRule type="dataBar" priority="6884">
      <dataBar>
        <cfvo type="min"/>
        <cfvo type="max"/>
        <color rgb="FF63C384"/>
      </dataBar>
      <extLst>
        <ext xmlns:x14="http://schemas.microsoft.com/office/spreadsheetml/2009/9/main" uri="{B025F937-C7B1-47D3-B67F-A62EFF666E3E}">
          <x14:id>{4652130E-60BD-4462-AE9A-C80179DE9A85}</x14:id>
        </ext>
      </extLst>
    </cfRule>
  </conditionalFormatting>
  <conditionalFormatting sqref="J259">
    <cfRule type="cellIs" dxfId="9919" priority="6883" operator="equal">
      <formula>"ja"</formula>
    </cfRule>
  </conditionalFormatting>
  <conditionalFormatting sqref="J260:J261">
    <cfRule type="cellIs" dxfId="9918" priority="6882" operator="equal">
      <formula>"ja"</formula>
    </cfRule>
  </conditionalFormatting>
  <conditionalFormatting sqref="T260:T261">
    <cfRule type="expression" dxfId="9917" priority="6881">
      <formula>AND(AND($W260&lt;TODAY(),$W260&lt;&gt;""),$X260="")</formula>
    </cfRule>
  </conditionalFormatting>
  <conditionalFormatting sqref="Z260:Z261">
    <cfRule type="dataBar" priority="6880">
      <dataBar>
        <cfvo type="min"/>
        <cfvo type="max"/>
        <color rgb="FF63C384"/>
      </dataBar>
      <extLst>
        <ext xmlns:x14="http://schemas.microsoft.com/office/spreadsheetml/2009/9/main" uri="{B025F937-C7B1-47D3-B67F-A62EFF666E3E}">
          <x14:id>{B5D6A04C-8530-482B-9A0F-634A21A7EDE5}</x14:id>
        </ext>
      </extLst>
    </cfRule>
  </conditionalFormatting>
  <conditionalFormatting sqref="Z260:Z261">
    <cfRule type="dataBar" priority="6878">
      <dataBar>
        <cfvo type="min"/>
        <cfvo type="max"/>
        <color rgb="FF63C384"/>
      </dataBar>
      <extLst>
        <ext xmlns:x14="http://schemas.microsoft.com/office/spreadsheetml/2009/9/main" uri="{B025F937-C7B1-47D3-B67F-A62EFF666E3E}">
          <x14:id>{FCFDCF67-3696-434E-84DE-18D58533F78C}</x14:id>
        </ext>
      </extLst>
    </cfRule>
  </conditionalFormatting>
  <conditionalFormatting sqref="T262">
    <cfRule type="expression" dxfId="9916" priority="6877">
      <formula>AND(AND($W262&lt;TODAY(),$W262&lt;&gt;""),$X262="")</formula>
    </cfRule>
  </conditionalFormatting>
  <conditionalFormatting sqref="J262">
    <cfRule type="cellIs" dxfId="9915" priority="6876" operator="equal">
      <formula>"ja"</formula>
    </cfRule>
  </conditionalFormatting>
  <conditionalFormatting sqref="Z262">
    <cfRule type="dataBar" priority="6875">
      <dataBar>
        <cfvo type="min"/>
        <cfvo type="max"/>
        <color rgb="FF63C384"/>
      </dataBar>
      <extLst>
        <ext xmlns:x14="http://schemas.microsoft.com/office/spreadsheetml/2009/9/main" uri="{B025F937-C7B1-47D3-B67F-A62EFF666E3E}">
          <x14:id>{014DB2D6-C36F-4A2C-8E57-37CC3584F523}</x14:id>
        </ext>
      </extLst>
    </cfRule>
  </conditionalFormatting>
  <conditionalFormatting sqref="Z262">
    <cfRule type="dataBar" priority="6874">
      <dataBar>
        <cfvo type="min"/>
        <cfvo type="max"/>
        <color rgb="FF63C384"/>
      </dataBar>
      <extLst>
        <ext xmlns:x14="http://schemas.microsoft.com/office/spreadsheetml/2009/9/main" uri="{B025F937-C7B1-47D3-B67F-A62EFF666E3E}">
          <x14:id>{6138E549-AD40-48CB-9074-F4FE042EAEE1}</x14:id>
        </ext>
      </extLst>
    </cfRule>
  </conditionalFormatting>
  <conditionalFormatting sqref="J263">
    <cfRule type="cellIs" dxfId="9914" priority="6873" operator="equal">
      <formula>"ja"</formula>
    </cfRule>
  </conditionalFormatting>
  <conditionalFormatting sqref="T263">
    <cfRule type="expression" dxfId="9913" priority="6872">
      <formula>AND(AND($W263&lt;TODAY(),$W263&lt;&gt;""),$X263="")</formula>
    </cfRule>
  </conditionalFormatting>
  <conditionalFormatting sqref="Z263">
    <cfRule type="dataBar" priority="6871">
      <dataBar>
        <cfvo type="min"/>
        <cfvo type="max"/>
        <color rgb="FF63C384"/>
      </dataBar>
      <extLst>
        <ext xmlns:x14="http://schemas.microsoft.com/office/spreadsheetml/2009/9/main" uri="{B025F937-C7B1-47D3-B67F-A62EFF666E3E}">
          <x14:id>{C471C374-5ED2-4D08-83D6-55D2E5033BCC}</x14:id>
        </ext>
      </extLst>
    </cfRule>
  </conditionalFormatting>
  <conditionalFormatting sqref="Z263">
    <cfRule type="dataBar" priority="6869">
      <dataBar>
        <cfvo type="min"/>
        <cfvo type="max"/>
        <color rgb="FF63C384"/>
      </dataBar>
      <extLst>
        <ext xmlns:x14="http://schemas.microsoft.com/office/spreadsheetml/2009/9/main" uri="{B025F937-C7B1-47D3-B67F-A62EFF666E3E}">
          <x14:id>{1B2AED86-3C7F-4C9A-B31C-C493E679E07F}</x14:id>
        </ext>
      </extLst>
    </cfRule>
  </conditionalFormatting>
  <conditionalFormatting sqref="T264">
    <cfRule type="expression" dxfId="9912" priority="6868">
      <formula>AND(AND($W264&lt;TODAY(),$W264&lt;&gt;""),$X264="")</formula>
    </cfRule>
  </conditionalFormatting>
  <conditionalFormatting sqref="Z264">
    <cfRule type="dataBar" priority="6867">
      <dataBar>
        <cfvo type="min"/>
        <cfvo type="max"/>
        <color rgb="FF63C384"/>
      </dataBar>
      <extLst>
        <ext xmlns:x14="http://schemas.microsoft.com/office/spreadsheetml/2009/9/main" uri="{B025F937-C7B1-47D3-B67F-A62EFF666E3E}">
          <x14:id>{2BD1BA89-323C-4A46-9803-6150DDC04DD2}</x14:id>
        </ext>
      </extLst>
    </cfRule>
  </conditionalFormatting>
  <conditionalFormatting sqref="Z264">
    <cfRule type="dataBar" priority="6866">
      <dataBar>
        <cfvo type="min"/>
        <cfvo type="max"/>
        <color rgb="FF63C384"/>
      </dataBar>
      <extLst>
        <ext xmlns:x14="http://schemas.microsoft.com/office/spreadsheetml/2009/9/main" uri="{B025F937-C7B1-47D3-B67F-A62EFF666E3E}">
          <x14:id>{2D58DB45-CFC8-461E-8463-B65E1468E8BE}</x14:id>
        </ext>
      </extLst>
    </cfRule>
  </conditionalFormatting>
  <conditionalFormatting sqref="C266 C268 C270 C272 C274 C276 C278 C280 C282 C290 C292 C294 C296 C298:C299 C303 C310:C311 C315:C316 C320:C321 C325 C330:C331 C335:C336 C340:C341 C350 C354:C355 C308 C313 C318 C328 C333 C343 C348">
    <cfRule type="containsText" dxfId="9911" priority="6861" operator="containsText" text="Einnahmen">
      <formula>NOT(ISERROR(SEARCH("Einnahmen",C266)))</formula>
    </cfRule>
    <cfRule type="containsText" dxfId="9910" priority="6862" operator="containsText" text="Ausgaben">
      <formula>NOT(ISERROR(SEARCH("Ausgaben",C266)))</formula>
    </cfRule>
  </conditionalFormatting>
  <conditionalFormatting sqref="J265:J268">
    <cfRule type="cellIs" dxfId="9909" priority="6855" operator="equal">
      <formula>"ja"</formula>
    </cfRule>
  </conditionalFormatting>
  <conditionalFormatting sqref="T265:T268">
    <cfRule type="expression" dxfId="9908" priority="6854">
      <formula>AND(AND($W265&lt;TODAY(),$W265&lt;&gt;""),$X265="")</formula>
    </cfRule>
  </conditionalFormatting>
  <conditionalFormatting sqref="Z265:Z268">
    <cfRule type="dataBar" priority="6853">
      <dataBar>
        <cfvo type="min"/>
        <cfvo type="max"/>
        <color rgb="FF63C384"/>
      </dataBar>
      <extLst>
        <ext xmlns:x14="http://schemas.microsoft.com/office/spreadsheetml/2009/9/main" uri="{B025F937-C7B1-47D3-B67F-A62EFF666E3E}">
          <x14:id>{5C9688E4-0507-4DC6-ABDE-D65AAEADD02B}</x14:id>
        </ext>
      </extLst>
    </cfRule>
  </conditionalFormatting>
  <conditionalFormatting sqref="Z265:Z268">
    <cfRule type="dataBar" priority="6851">
      <dataBar>
        <cfvo type="min"/>
        <cfvo type="max"/>
        <color rgb="FF63C384"/>
      </dataBar>
      <extLst>
        <ext xmlns:x14="http://schemas.microsoft.com/office/spreadsheetml/2009/9/main" uri="{B025F937-C7B1-47D3-B67F-A62EFF666E3E}">
          <x14:id>{E438F3B3-C6FA-4259-A0DC-97FCC6C4ECE8}</x14:id>
        </ext>
      </extLst>
    </cfRule>
  </conditionalFormatting>
  <conditionalFormatting sqref="J269">
    <cfRule type="cellIs" dxfId="9907" priority="6850" operator="equal">
      <formula>"ja"</formula>
    </cfRule>
  </conditionalFormatting>
  <conditionalFormatting sqref="T269">
    <cfRule type="expression" dxfId="9906" priority="6849">
      <formula>AND(AND($W269&lt;TODAY(),$W269&lt;&gt;""),$X269="")</formula>
    </cfRule>
  </conditionalFormatting>
  <conditionalFormatting sqref="Z269">
    <cfRule type="dataBar" priority="6848">
      <dataBar>
        <cfvo type="min"/>
        <cfvo type="max"/>
        <color rgb="FF63C384"/>
      </dataBar>
      <extLst>
        <ext xmlns:x14="http://schemas.microsoft.com/office/spreadsheetml/2009/9/main" uri="{B025F937-C7B1-47D3-B67F-A62EFF666E3E}">
          <x14:id>{42A9FBD9-DB65-4C8B-AEFE-100FFB3218B1}</x14:id>
        </ext>
      </extLst>
    </cfRule>
  </conditionalFormatting>
  <conditionalFormatting sqref="Z269">
    <cfRule type="dataBar" priority="6847">
      <dataBar>
        <cfvo type="min"/>
        <cfvo type="max"/>
        <color rgb="FF63C384"/>
      </dataBar>
      <extLst>
        <ext xmlns:x14="http://schemas.microsoft.com/office/spreadsheetml/2009/9/main" uri="{B025F937-C7B1-47D3-B67F-A62EFF666E3E}">
          <x14:id>{311C06D5-04A2-4B3B-8489-F5E7E516E3B4}</x14:id>
        </ext>
      </extLst>
    </cfRule>
  </conditionalFormatting>
  <conditionalFormatting sqref="J270">
    <cfRule type="cellIs" dxfId="9905" priority="6846" operator="equal">
      <formula>"ja"</formula>
    </cfRule>
  </conditionalFormatting>
  <conditionalFormatting sqref="T270">
    <cfRule type="expression" dxfId="9904" priority="6845">
      <formula>AND(AND($W270&lt;TODAY(),$W270&lt;&gt;""),$X270="")</formula>
    </cfRule>
  </conditionalFormatting>
  <conditionalFormatting sqref="Z270">
    <cfRule type="dataBar" priority="6844">
      <dataBar>
        <cfvo type="min"/>
        <cfvo type="max"/>
        <color rgb="FF63C384"/>
      </dataBar>
      <extLst>
        <ext xmlns:x14="http://schemas.microsoft.com/office/spreadsheetml/2009/9/main" uri="{B025F937-C7B1-47D3-B67F-A62EFF666E3E}">
          <x14:id>{4F890366-CBFB-45A4-9516-0442D7FE54C6}</x14:id>
        </ext>
      </extLst>
    </cfRule>
  </conditionalFormatting>
  <conditionalFormatting sqref="Z270">
    <cfRule type="dataBar" priority="6842">
      <dataBar>
        <cfvo type="min"/>
        <cfvo type="max"/>
        <color rgb="FF63C384"/>
      </dataBar>
      <extLst>
        <ext xmlns:x14="http://schemas.microsoft.com/office/spreadsheetml/2009/9/main" uri="{B025F937-C7B1-47D3-B67F-A62EFF666E3E}">
          <x14:id>{E9F68E55-B614-4281-85FA-8AEDD8F28FCD}</x14:id>
        </ext>
      </extLst>
    </cfRule>
  </conditionalFormatting>
  <conditionalFormatting sqref="T271">
    <cfRule type="expression" dxfId="9903" priority="6841">
      <formula>AND(AND($W271&lt;TODAY(),$W271&lt;&gt;""),$X271="")</formula>
    </cfRule>
  </conditionalFormatting>
  <conditionalFormatting sqref="J271">
    <cfRule type="cellIs" dxfId="9902" priority="6839" operator="equal">
      <formula>"ja"</formula>
    </cfRule>
  </conditionalFormatting>
  <conditionalFormatting sqref="Z271">
    <cfRule type="dataBar" priority="6838">
      <dataBar>
        <cfvo type="min"/>
        <cfvo type="max"/>
        <color rgb="FF63C384"/>
      </dataBar>
      <extLst>
        <ext xmlns:x14="http://schemas.microsoft.com/office/spreadsheetml/2009/9/main" uri="{B025F937-C7B1-47D3-B67F-A62EFF666E3E}">
          <x14:id>{51C7A47D-D6E8-41ED-9606-85E2801A20C5}</x14:id>
        </ext>
      </extLst>
    </cfRule>
  </conditionalFormatting>
  <conditionalFormatting sqref="Z271">
    <cfRule type="dataBar" priority="6837">
      <dataBar>
        <cfvo type="min"/>
        <cfvo type="max"/>
        <color rgb="FF63C384"/>
      </dataBar>
      <extLst>
        <ext xmlns:x14="http://schemas.microsoft.com/office/spreadsheetml/2009/9/main" uri="{B025F937-C7B1-47D3-B67F-A62EFF666E3E}">
          <x14:id>{A05CBF8C-66AE-464D-BA40-083C41385321}</x14:id>
        </ext>
      </extLst>
    </cfRule>
  </conditionalFormatting>
  <conditionalFormatting sqref="J272">
    <cfRule type="cellIs" dxfId="9901" priority="6835" operator="equal">
      <formula>"ja"</formula>
    </cfRule>
  </conditionalFormatting>
  <conditionalFormatting sqref="T272">
    <cfRule type="expression" dxfId="9900" priority="6834">
      <formula>AND(AND($W272&lt;TODAY(),$W272&lt;&gt;""),$X272="")</formula>
    </cfRule>
  </conditionalFormatting>
  <conditionalFormatting sqref="Z272">
    <cfRule type="dataBar" priority="6833">
      <dataBar>
        <cfvo type="min"/>
        <cfvo type="max"/>
        <color rgb="FF63C384"/>
      </dataBar>
      <extLst>
        <ext xmlns:x14="http://schemas.microsoft.com/office/spreadsheetml/2009/9/main" uri="{B025F937-C7B1-47D3-B67F-A62EFF666E3E}">
          <x14:id>{40439643-F4B9-4059-96E4-E36652AD4010}</x14:id>
        </ext>
      </extLst>
    </cfRule>
  </conditionalFormatting>
  <conditionalFormatting sqref="Z272">
    <cfRule type="dataBar" priority="6832">
      <dataBar>
        <cfvo type="min"/>
        <cfvo type="max"/>
        <color rgb="FF63C384"/>
      </dataBar>
      <extLst>
        <ext xmlns:x14="http://schemas.microsoft.com/office/spreadsheetml/2009/9/main" uri="{B025F937-C7B1-47D3-B67F-A62EFF666E3E}">
          <x14:id>{0ABF2138-7CE3-46D8-AD69-040C1691FA7E}</x14:id>
        </ext>
      </extLst>
    </cfRule>
  </conditionalFormatting>
  <conditionalFormatting sqref="J275">
    <cfRule type="cellIs" dxfId="9899" priority="6821" operator="equal">
      <formula>"ja"</formula>
    </cfRule>
  </conditionalFormatting>
  <conditionalFormatting sqref="T275">
    <cfRule type="expression" dxfId="9898" priority="6820">
      <formula>AND(AND($W275&lt;TODAY(),$W275&lt;&gt;""),$X275="")</formula>
    </cfRule>
  </conditionalFormatting>
  <conditionalFormatting sqref="Z275">
    <cfRule type="dataBar" priority="6819">
      <dataBar>
        <cfvo type="min"/>
        <cfvo type="max"/>
        <color rgb="FF63C384"/>
      </dataBar>
      <extLst>
        <ext xmlns:x14="http://schemas.microsoft.com/office/spreadsheetml/2009/9/main" uri="{B025F937-C7B1-47D3-B67F-A62EFF666E3E}">
          <x14:id>{908B9637-2CEA-44EC-9D42-02A13B6A1191}</x14:id>
        </ext>
      </extLst>
    </cfRule>
  </conditionalFormatting>
  <conditionalFormatting sqref="Z275">
    <cfRule type="dataBar" priority="6817">
      <dataBar>
        <cfvo type="min"/>
        <cfvo type="max"/>
        <color rgb="FF63C384"/>
      </dataBar>
      <extLst>
        <ext xmlns:x14="http://schemas.microsoft.com/office/spreadsheetml/2009/9/main" uri="{B025F937-C7B1-47D3-B67F-A62EFF666E3E}">
          <x14:id>{75A5D2FA-FB25-4C0F-A74A-A85BF6CBD4ED}</x14:id>
        </ext>
      </extLst>
    </cfRule>
  </conditionalFormatting>
  <conditionalFormatting sqref="J276">
    <cfRule type="cellIs" dxfId="9897" priority="6815" operator="equal">
      <formula>"ja"</formula>
    </cfRule>
  </conditionalFormatting>
  <conditionalFormatting sqref="T276">
    <cfRule type="expression" dxfId="9896" priority="6814">
      <formula>AND(AND($W276&lt;TODAY(),$W276&lt;&gt;""),$X276="")</formula>
    </cfRule>
  </conditionalFormatting>
  <conditionalFormatting sqref="Z276">
    <cfRule type="dataBar" priority="6813">
      <dataBar>
        <cfvo type="min"/>
        <cfvo type="max"/>
        <color rgb="FF63C384"/>
      </dataBar>
      <extLst>
        <ext xmlns:x14="http://schemas.microsoft.com/office/spreadsheetml/2009/9/main" uri="{B025F937-C7B1-47D3-B67F-A62EFF666E3E}">
          <x14:id>{7CFDD04E-6EC2-4AD5-BCF9-2033D0C417AF}</x14:id>
        </ext>
      </extLst>
    </cfRule>
  </conditionalFormatting>
  <conditionalFormatting sqref="Z276">
    <cfRule type="dataBar" priority="6812">
      <dataBar>
        <cfvo type="min"/>
        <cfvo type="max"/>
        <color rgb="FF63C384"/>
      </dataBar>
      <extLst>
        <ext xmlns:x14="http://schemas.microsoft.com/office/spreadsheetml/2009/9/main" uri="{B025F937-C7B1-47D3-B67F-A62EFF666E3E}">
          <x14:id>{43A9CE04-7FB1-4907-9FE5-6CB2065DFCE1}</x14:id>
        </ext>
      </extLst>
    </cfRule>
  </conditionalFormatting>
  <conditionalFormatting sqref="J277">
    <cfRule type="cellIs" dxfId="9895" priority="6810" operator="equal">
      <formula>"ja"</formula>
    </cfRule>
  </conditionalFormatting>
  <conditionalFormatting sqref="T277">
    <cfRule type="expression" dxfId="9894" priority="6809">
      <formula>AND(AND($W277&lt;TODAY(),$W277&lt;&gt;""),$X277="")</formula>
    </cfRule>
  </conditionalFormatting>
  <conditionalFormatting sqref="Z277">
    <cfRule type="dataBar" priority="6808">
      <dataBar>
        <cfvo type="min"/>
        <cfvo type="max"/>
        <color rgb="FF63C384"/>
      </dataBar>
      <extLst>
        <ext xmlns:x14="http://schemas.microsoft.com/office/spreadsheetml/2009/9/main" uri="{B025F937-C7B1-47D3-B67F-A62EFF666E3E}">
          <x14:id>{7AB954E6-9AA6-41FC-8F0F-198EBF298759}</x14:id>
        </ext>
      </extLst>
    </cfRule>
  </conditionalFormatting>
  <conditionalFormatting sqref="Z277">
    <cfRule type="dataBar" priority="6807">
      <dataBar>
        <cfvo type="min"/>
        <cfvo type="max"/>
        <color rgb="FF63C384"/>
      </dataBar>
      <extLst>
        <ext xmlns:x14="http://schemas.microsoft.com/office/spreadsheetml/2009/9/main" uri="{B025F937-C7B1-47D3-B67F-A62EFF666E3E}">
          <x14:id>{C4D2EA7B-D4A0-47F7-B1D9-74C57FEDC593}</x14:id>
        </ext>
      </extLst>
    </cfRule>
  </conditionalFormatting>
  <conditionalFormatting sqref="T278">
    <cfRule type="expression" dxfId="9893" priority="6805">
      <formula>AND(AND($W278&lt;TODAY(),$W278&lt;&gt;""),$X278="")</formula>
    </cfRule>
  </conditionalFormatting>
  <conditionalFormatting sqref="J278">
    <cfRule type="cellIs" dxfId="9892" priority="6804" operator="equal">
      <formula>"ja"</formula>
    </cfRule>
  </conditionalFormatting>
  <conditionalFormatting sqref="Z278">
    <cfRule type="dataBar" priority="6803">
      <dataBar>
        <cfvo type="min"/>
        <cfvo type="max"/>
        <color rgb="FF63C384"/>
      </dataBar>
      <extLst>
        <ext xmlns:x14="http://schemas.microsoft.com/office/spreadsheetml/2009/9/main" uri="{B025F937-C7B1-47D3-B67F-A62EFF666E3E}">
          <x14:id>{CB49FF05-370F-4D0F-92F6-A672B6D9A206}</x14:id>
        </ext>
      </extLst>
    </cfRule>
  </conditionalFormatting>
  <conditionalFormatting sqref="Z278">
    <cfRule type="dataBar" priority="6802">
      <dataBar>
        <cfvo type="min"/>
        <cfvo type="max"/>
        <color rgb="FF63C384"/>
      </dataBar>
      <extLst>
        <ext xmlns:x14="http://schemas.microsoft.com/office/spreadsheetml/2009/9/main" uri="{B025F937-C7B1-47D3-B67F-A62EFF666E3E}">
          <x14:id>{32E76F7C-A490-43A9-AA28-6F25014D2A72}</x14:id>
        </ext>
      </extLst>
    </cfRule>
  </conditionalFormatting>
  <conditionalFormatting sqref="J280">
    <cfRule type="cellIs" dxfId="9891" priority="6796" operator="equal">
      <formula>"ja"</formula>
    </cfRule>
  </conditionalFormatting>
  <conditionalFormatting sqref="T280">
    <cfRule type="expression" dxfId="9890" priority="6795">
      <formula>AND(AND($W280&lt;TODAY(),$W280&lt;&gt;""),$X280="")</formula>
    </cfRule>
  </conditionalFormatting>
  <conditionalFormatting sqref="Z280">
    <cfRule type="dataBar" priority="6794">
      <dataBar>
        <cfvo type="min"/>
        <cfvo type="max"/>
        <color rgb="FF63C384"/>
      </dataBar>
      <extLst>
        <ext xmlns:x14="http://schemas.microsoft.com/office/spreadsheetml/2009/9/main" uri="{B025F937-C7B1-47D3-B67F-A62EFF666E3E}">
          <x14:id>{E2A09017-6D25-4C28-BEA9-357E4110D59C}</x14:id>
        </ext>
      </extLst>
    </cfRule>
  </conditionalFormatting>
  <conditionalFormatting sqref="Z280">
    <cfRule type="dataBar" priority="6792">
      <dataBar>
        <cfvo type="min"/>
        <cfvo type="max"/>
        <color rgb="FF63C384"/>
      </dataBar>
      <extLst>
        <ext xmlns:x14="http://schemas.microsoft.com/office/spreadsheetml/2009/9/main" uri="{B025F937-C7B1-47D3-B67F-A62EFF666E3E}">
          <x14:id>{E9B18CC7-F167-4556-9E32-83A427A7A801}</x14:id>
        </ext>
      </extLst>
    </cfRule>
  </conditionalFormatting>
  <conditionalFormatting sqref="J283">
    <cfRule type="cellIs" dxfId="9889" priority="6781" operator="equal">
      <formula>"ja"</formula>
    </cfRule>
  </conditionalFormatting>
  <conditionalFormatting sqref="T283">
    <cfRule type="expression" dxfId="9888" priority="6780">
      <formula>AND(AND($W283&lt;TODAY(),$W283&lt;&gt;""),$X283="")</formula>
    </cfRule>
  </conditionalFormatting>
  <conditionalFormatting sqref="Z283">
    <cfRule type="dataBar" priority="6779">
      <dataBar>
        <cfvo type="min"/>
        <cfvo type="max"/>
        <color rgb="FF63C384"/>
      </dataBar>
      <extLst>
        <ext xmlns:x14="http://schemas.microsoft.com/office/spreadsheetml/2009/9/main" uri="{B025F937-C7B1-47D3-B67F-A62EFF666E3E}">
          <x14:id>{39E568AB-0EF8-47A4-A059-50B0EA29B84B}</x14:id>
        </ext>
      </extLst>
    </cfRule>
  </conditionalFormatting>
  <conditionalFormatting sqref="Z283">
    <cfRule type="dataBar" priority="6777">
      <dataBar>
        <cfvo type="min"/>
        <cfvo type="max"/>
        <color rgb="FF63C384"/>
      </dataBar>
      <extLst>
        <ext xmlns:x14="http://schemas.microsoft.com/office/spreadsheetml/2009/9/main" uri="{B025F937-C7B1-47D3-B67F-A62EFF666E3E}">
          <x14:id>{25113CE9-480B-4856-93FA-E21B5C2AB06B}</x14:id>
        </ext>
      </extLst>
    </cfRule>
  </conditionalFormatting>
  <conditionalFormatting sqref="J281">
    <cfRule type="cellIs" dxfId="9887" priority="6776" operator="equal">
      <formula>"ja"</formula>
    </cfRule>
  </conditionalFormatting>
  <conditionalFormatting sqref="T281">
    <cfRule type="expression" dxfId="9886" priority="6775">
      <formula>AND(AND($W281&lt;TODAY(),$W281&lt;&gt;""),$X281="")</formula>
    </cfRule>
  </conditionalFormatting>
  <conditionalFormatting sqref="Z281">
    <cfRule type="dataBar" priority="6774">
      <dataBar>
        <cfvo type="min"/>
        <cfvo type="max"/>
        <color rgb="FF63C384"/>
      </dataBar>
      <extLst>
        <ext xmlns:x14="http://schemas.microsoft.com/office/spreadsheetml/2009/9/main" uri="{B025F937-C7B1-47D3-B67F-A62EFF666E3E}">
          <x14:id>{762B209D-3267-4A0F-AE01-0FB1E712E3CC}</x14:id>
        </ext>
      </extLst>
    </cfRule>
  </conditionalFormatting>
  <conditionalFormatting sqref="Z281">
    <cfRule type="dataBar" priority="6772">
      <dataBar>
        <cfvo type="min"/>
        <cfvo type="max"/>
        <color rgb="FF63C384"/>
      </dataBar>
      <extLst>
        <ext xmlns:x14="http://schemas.microsoft.com/office/spreadsheetml/2009/9/main" uri="{B025F937-C7B1-47D3-B67F-A62EFF666E3E}">
          <x14:id>{AB963FF5-CDD1-4781-B0F7-7BAA69C70726}</x14:id>
        </ext>
      </extLst>
    </cfRule>
  </conditionalFormatting>
  <conditionalFormatting sqref="J282">
    <cfRule type="cellIs" dxfId="9885" priority="6771" operator="equal">
      <formula>"ja"</formula>
    </cfRule>
  </conditionalFormatting>
  <conditionalFormatting sqref="T282">
    <cfRule type="expression" dxfId="9884" priority="6770">
      <formula>AND(AND($W282&lt;TODAY(),$W282&lt;&gt;""),$X282="")</formula>
    </cfRule>
  </conditionalFormatting>
  <conditionalFormatting sqref="Z282">
    <cfRule type="dataBar" priority="6769">
      <dataBar>
        <cfvo type="min"/>
        <cfvo type="max"/>
        <color rgb="FF63C384"/>
      </dataBar>
      <extLst>
        <ext xmlns:x14="http://schemas.microsoft.com/office/spreadsheetml/2009/9/main" uri="{B025F937-C7B1-47D3-B67F-A62EFF666E3E}">
          <x14:id>{A7E13D50-62CD-4510-A071-61F83074A69B}</x14:id>
        </ext>
      </extLst>
    </cfRule>
  </conditionalFormatting>
  <conditionalFormatting sqref="Z282">
    <cfRule type="dataBar" priority="6767">
      <dataBar>
        <cfvo type="min"/>
        <cfvo type="max"/>
        <color rgb="FF63C384"/>
      </dataBar>
      <extLst>
        <ext xmlns:x14="http://schemas.microsoft.com/office/spreadsheetml/2009/9/main" uri="{B025F937-C7B1-47D3-B67F-A62EFF666E3E}">
          <x14:id>{96863FD4-E7AF-4FD8-9064-646E1210E4A8}</x14:id>
        </ext>
      </extLst>
    </cfRule>
  </conditionalFormatting>
  <conditionalFormatting sqref="T285">
    <cfRule type="expression" dxfId="9883" priority="6760">
      <formula>AND(AND($W285&lt;TODAY(),$W285&lt;&gt;""),$X285="")</formula>
    </cfRule>
  </conditionalFormatting>
  <conditionalFormatting sqref="J285">
    <cfRule type="cellIs" dxfId="9882" priority="6759" operator="equal">
      <formula>"ja"</formula>
    </cfRule>
  </conditionalFormatting>
  <conditionalFormatting sqref="Z285">
    <cfRule type="dataBar" priority="6758">
      <dataBar>
        <cfvo type="min"/>
        <cfvo type="max"/>
        <color rgb="FF63C384"/>
      </dataBar>
      <extLst>
        <ext xmlns:x14="http://schemas.microsoft.com/office/spreadsheetml/2009/9/main" uri="{B025F937-C7B1-47D3-B67F-A62EFF666E3E}">
          <x14:id>{37724857-99FB-43C1-95B2-F1303673F821}</x14:id>
        </ext>
      </extLst>
    </cfRule>
  </conditionalFormatting>
  <conditionalFormatting sqref="Z285">
    <cfRule type="dataBar" priority="6757">
      <dataBar>
        <cfvo type="min"/>
        <cfvo type="max"/>
        <color rgb="FF63C384"/>
      </dataBar>
      <extLst>
        <ext xmlns:x14="http://schemas.microsoft.com/office/spreadsheetml/2009/9/main" uri="{B025F937-C7B1-47D3-B67F-A62EFF666E3E}">
          <x14:id>{81287387-DADB-4E08-B39B-2F87AEF1F45A}</x14:id>
        </ext>
      </extLst>
    </cfRule>
  </conditionalFormatting>
  <conditionalFormatting sqref="J292">
    <cfRule type="cellIs" dxfId="9881" priority="6731" operator="equal">
      <formula>"ja"</formula>
    </cfRule>
  </conditionalFormatting>
  <conditionalFormatting sqref="T292">
    <cfRule type="expression" dxfId="9880" priority="6730">
      <formula>AND(AND($W292&lt;TODAY(),$W292&lt;&gt;""),$X292="")</formula>
    </cfRule>
  </conditionalFormatting>
  <conditionalFormatting sqref="J289">
    <cfRule type="cellIs" dxfId="9879" priority="6746" operator="equal">
      <formula>"ja"</formula>
    </cfRule>
  </conditionalFormatting>
  <conditionalFormatting sqref="T289">
    <cfRule type="expression" dxfId="9878" priority="6745">
      <formula>AND(AND($W289&lt;TODAY(),$W289&lt;&gt;""),$X289="")</formula>
    </cfRule>
  </conditionalFormatting>
  <conditionalFormatting sqref="Z289">
    <cfRule type="dataBar" priority="6744">
      <dataBar>
        <cfvo type="min"/>
        <cfvo type="max"/>
        <color rgb="FF63C384"/>
      </dataBar>
      <extLst>
        <ext xmlns:x14="http://schemas.microsoft.com/office/spreadsheetml/2009/9/main" uri="{B025F937-C7B1-47D3-B67F-A62EFF666E3E}">
          <x14:id>{BF7DB1DE-2AF2-4FE2-BE31-4441439AD1F3}</x14:id>
        </ext>
      </extLst>
    </cfRule>
  </conditionalFormatting>
  <conditionalFormatting sqref="Z289">
    <cfRule type="dataBar" priority="6742">
      <dataBar>
        <cfvo type="min"/>
        <cfvo type="max"/>
        <color rgb="FF63C384"/>
      </dataBar>
      <extLst>
        <ext xmlns:x14="http://schemas.microsoft.com/office/spreadsheetml/2009/9/main" uri="{B025F937-C7B1-47D3-B67F-A62EFF666E3E}">
          <x14:id>{D0DCB7AB-6819-4D23-BC08-70DB3D9DBC0D}</x14:id>
        </ext>
      </extLst>
    </cfRule>
  </conditionalFormatting>
  <conditionalFormatting sqref="J290">
    <cfRule type="cellIs" dxfId="9877" priority="6741" operator="equal">
      <formula>"ja"</formula>
    </cfRule>
  </conditionalFormatting>
  <conditionalFormatting sqref="T290">
    <cfRule type="expression" dxfId="9876" priority="6740">
      <formula>AND(AND($W290&lt;TODAY(),$W290&lt;&gt;""),$X290="")</formula>
    </cfRule>
  </conditionalFormatting>
  <conditionalFormatting sqref="Z290">
    <cfRule type="dataBar" priority="6739">
      <dataBar>
        <cfvo type="min"/>
        <cfvo type="max"/>
        <color rgb="FF63C384"/>
      </dataBar>
      <extLst>
        <ext xmlns:x14="http://schemas.microsoft.com/office/spreadsheetml/2009/9/main" uri="{B025F937-C7B1-47D3-B67F-A62EFF666E3E}">
          <x14:id>{4E952656-D63F-4E06-B268-2F5787D7DCED}</x14:id>
        </ext>
      </extLst>
    </cfRule>
  </conditionalFormatting>
  <conditionalFormatting sqref="Z290">
    <cfRule type="dataBar" priority="6737">
      <dataBar>
        <cfvo type="min"/>
        <cfvo type="max"/>
        <color rgb="FF63C384"/>
      </dataBar>
      <extLst>
        <ext xmlns:x14="http://schemas.microsoft.com/office/spreadsheetml/2009/9/main" uri="{B025F937-C7B1-47D3-B67F-A62EFF666E3E}">
          <x14:id>{8D608B22-6A78-40FE-88CC-F05E5BCB6A46}</x14:id>
        </ext>
      </extLst>
    </cfRule>
  </conditionalFormatting>
  <conditionalFormatting sqref="Z292">
    <cfRule type="dataBar" priority="6729">
      <dataBar>
        <cfvo type="min"/>
        <cfvo type="max"/>
        <color rgb="FF63C384"/>
      </dataBar>
      <extLst>
        <ext xmlns:x14="http://schemas.microsoft.com/office/spreadsheetml/2009/9/main" uri="{B025F937-C7B1-47D3-B67F-A62EFF666E3E}">
          <x14:id>{3EED23B2-8893-44C2-810D-C6FA5EAD605B}</x14:id>
        </ext>
      </extLst>
    </cfRule>
  </conditionalFormatting>
  <conditionalFormatting sqref="Z292">
    <cfRule type="dataBar" priority="6727">
      <dataBar>
        <cfvo type="min"/>
        <cfvo type="max"/>
        <color rgb="FF63C384"/>
      </dataBar>
      <extLst>
        <ext xmlns:x14="http://schemas.microsoft.com/office/spreadsheetml/2009/9/main" uri="{B025F937-C7B1-47D3-B67F-A62EFF666E3E}">
          <x14:id>{FF575DAF-6BC2-4915-A2A5-29E2F78F8FD8}</x14:id>
        </ext>
      </extLst>
    </cfRule>
  </conditionalFormatting>
  <conditionalFormatting sqref="J293">
    <cfRule type="cellIs" dxfId="9875" priority="6726" operator="equal">
      <formula>"ja"</formula>
    </cfRule>
  </conditionalFormatting>
  <conditionalFormatting sqref="T293">
    <cfRule type="expression" dxfId="9874" priority="6725">
      <formula>AND(AND($W293&lt;TODAY(),$W293&lt;&gt;""),$X293="")</formula>
    </cfRule>
  </conditionalFormatting>
  <conditionalFormatting sqref="Z293">
    <cfRule type="dataBar" priority="6724">
      <dataBar>
        <cfvo type="min"/>
        <cfvo type="max"/>
        <color rgb="FF63C384"/>
      </dataBar>
      <extLst>
        <ext xmlns:x14="http://schemas.microsoft.com/office/spreadsheetml/2009/9/main" uri="{B025F937-C7B1-47D3-B67F-A62EFF666E3E}">
          <x14:id>{D91CB3E8-6363-447A-8569-4AB4C7F85E55}</x14:id>
        </ext>
      </extLst>
    </cfRule>
  </conditionalFormatting>
  <conditionalFormatting sqref="Z293">
    <cfRule type="dataBar" priority="6722">
      <dataBar>
        <cfvo type="min"/>
        <cfvo type="max"/>
        <color rgb="FF63C384"/>
      </dataBar>
      <extLst>
        <ext xmlns:x14="http://schemas.microsoft.com/office/spreadsheetml/2009/9/main" uri="{B025F937-C7B1-47D3-B67F-A62EFF666E3E}">
          <x14:id>{928462F9-082B-46D2-AE0F-7B4DAF8002D9}</x14:id>
        </ext>
      </extLst>
    </cfRule>
  </conditionalFormatting>
  <conditionalFormatting sqref="J295">
    <cfRule type="cellIs" dxfId="9873" priority="6716" operator="equal">
      <formula>"ja"</formula>
    </cfRule>
  </conditionalFormatting>
  <conditionalFormatting sqref="T295">
    <cfRule type="expression" dxfId="9872" priority="6715">
      <formula>AND(AND($W295&lt;TODAY(),$W295&lt;&gt;""),$X295="")</formula>
    </cfRule>
  </conditionalFormatting>
  <conditionalFormatting sqref="Z295">
    <cfRule type="dataBar" priority="6714">
      <dataBar>
        <cfvo type="min"/>
        <cfvo type="max"/>
        <color rgb="FF63C384"/>
      </dataBar>
      <extLst>
        <ext xmlns:x14="http://schemas.microsoft.com/office/spreadsheetml/2009/9/main" uri="{B025F937-C7B1-47D3-B67F-A62EFF666E3E}">
          <x14:id>{F63BB983-C0F8-48B4-B7A6-9E42D74D8263}</x14:id>
        </ext>
      </extLst>
    </cfRule>
  </conditionalFormatting>
  <conditionalFormatting sqref="Z295">
    <cfRule type="dataBar" priority="6712">
      <dataBar>
        <cfvo type="min"/>
        <cfvo type="max"/>
        <color rgb="FF63C384"/>
      </dataBar>
      <extLst>
        <ext xmlns:x14="http://schemas.microsoft.com/office/spreadsheetml/2009/9/main" uri="{B025F937-C7B1-47D3-B67F-A62EFF666E3E}">
          <x14:id>{5D47A8F4-E487-46F4-A743-5BFE701A9E05}</x14:id>
        </ext>
      </extLst>
    </cfRule>
  </conditionalFormatting>
  <conditionalFormatting sqref="J296">
    <cfRule type="cellIs" dxfId="9871" priority="6711" operator="equal">
      <formula>"ja"</formula>
    </cfRule>
  </conditionalFormatting>
  <conditionalFormatting sqref="T296">
    <cfRule type="expression" dxfId="9870" priority="6710">
      <formula>AND(AND($W296&lt;TODAY(),$W296&lt;&gt;""),$X296="")</formula>
    </cfRule>
  </conditionalFormatting>
  <conditionalFormatting sqref="Z296">
    <cfRule type="dataBar" priority="6709">
      <dataBar>
        <cfvo type="min"/>
        <cfvo type="max"/>
        <color rgb="FF63C384"/>
      </dataBar>
      <extLst>
        <ext xmlns:x14="http://schemas.microsoft.com/office/spreadsheetml/2009/9/main" uri="{B025F937-C7B1-47D3-B67F-A62EFF666E3E}">
          <x14:id>{4CE10B59-D8CD-48ED-8F40-F666718C947E}</x14:id>
        </ext>
      </extLst>
    </cfRule>
  </conditionalFormatting>
  <conditionalFormatting sqref="Z296">
    <cfRule type="dataBar" priority="6707">
      <dataBar>
        <cfvo type="min"/>
        <cfvo type="max"/>
        <color rgb="FF63C384"/>
      </dataBar>
      <extLst>
        <ext xmlns:x14="http://schemas.microsoft.com/office/spreadsheetml/2009/9/main" uri="{B025F937-C7B1-47D3-B67F-A62EFF666E3E}">
          <x14:id>{DFDC5F09-E99E-42C7-A409-7F37D8DA7640}</x14:id>
        </ext>
      </extLst>
    </cfRule>
  </conditionalFormatting>
  <conditionalFormatting sqref="J297">
    <cfRule type="cellIs" dxfId="9869" priority="6706" operator="equal">
      <formula>"ja"</formula>
    </cfRule>
  </conditionalFormatting>
  <conditionalFormatting sqref="T297">
    <cfRule type="expression" dxfId="9868" priority="6705">
      <formula>AND(AND($W297&lt;TODAY(),$W297&lt;&gt;""),$X297="")</formula>
    </cfRule>
  </conditionalFormatting>
  <conditionalFormatting sqref="Z297">
    <cfRule type="dataBar" priority="6704">
      <dataBar>
        <cfvo type="min"/>
        <cfvo type="max"/>
        <color rgb="FF63C384"/>
      </dataBar>
      <extLst>
        <ext xmlns:x14="http://schemas.microsoft.com/office/spreadsheetml/2009/9/main" uri="{B025F937-C7B1-47D3-B67F-A62EFF666E3E}">
          <x14:id>{3706BAFB-1AAE-4FF4-9DF4-25D840599E41}</x14:id>
        </ext>
      </extLst>
    </cfRule>
  </conditionalFormatting>
  <conditionalFormatting sqref="Z297">
    <cfRule type="dataBar" priority="6702">
      <dataBar>
        <cfvo type="min"/>
        <cfvo type="max"/>
        <color rgb="FF63C384"/>
      </dataBar>
      <extLst>
        <ext xmlns:x14="http://schemas.microsoft.com/office/spreadsheetml/2009/9/main" uri="{B025F937-C7B1-47D3-B67F-A62EFF666E3E}">
          <x14:id>{E8CF7D18-9840-403E-879B-60640AADA695}</x14:id>
        </ext>
      </extLst>
    </cfRule>
  </conditionalFormatting>
  <conditionalFormatting sqref="J298">
    <cfRule type="cellIs" dxfId="9867" priority="6701" operator="equal">
      <formula>"ja"</formula>
    </cfRule>
  </conditionalFormatting>
  <conditionalFormatting sqref="T298">
    <cfRule type="expression" dxfId="9866" priority="6700">
      <formula>AND(AND($W298&lt;TODAY(),$W298&lt;&gt;""),$X298="")</formula>
    </cfRule>
  </conditionalFormatting>
  <conditionalFormatting sqref="Z298">
    <cfRule type="dataBar" priority="6699">
      <dataBar>
        <cfvo type="min"/>
        <cfvo type="max"/>
        <color rgb="FF63C384"/>
      </dataBar>
      <extLst>
        <ext xmlns:x14="http://schemas.microsoft.com/office/spreadsheetml/2009/9/main" uri="{B025F937-C7B1-47D3-B67F-A62EFF666E3E}">
          <x14:id>{29E37125-331C-4DD8-89B5-188C89E06F08}</x14:id>
        </ext>
      </extLst>
    </cfRule>
  </conditionalFormatting>
  <conditionalFormatting sqref="Z298">
    <cfRule type="dataBar" priority="6698">
      <dataBar>
        <cfvo type="min"/>
        <cfvo type="max"/>
        <color rgb="FF63C384"/>
      </dataBar>
      <extLst>
        <ext xmlns:x14="http://schemas.microsoft.com/office/spreadsheetml/2009/9/main" uri="{B025F937-C7B1-47D3-B67F-A62EFF666E3E}">
          <x14:id>{061FF8DB-72A0-4CBE-8E34-3C6BF6325296}</x14:id>
        </ext>
      </extLst>
    </cfRule>
  </conditionalFormatting>
  <conditionalFormatting sqref="T299">
    <cfRule type="expression" dxfId="9865" priority="6692">
      <formula>AND(AND($W299&lt;TODAY(),$W299&lt;&gt;""),$X299="")</formula>
    </cfRule>
  </conditionalFormatting>
  <conditionalFormatting sqref="J299">
    <cfRule type="cellIs" dxfId="9864" priority="6690" operator="equal">
      <formula>"ja"</formula>
    </cfRule>
  </conditionalFormatting>
  <conditionalFormatting sqref="Z299">
    <cfRule type="dataBar" priority="6689">
      <dataBar>
        <cfvo type="min"/>
        <cfvo type="max"/>
        <color rgb="FF63C384"/>
      </dataBar>
      <extLst>
        <ext xmlns:x14="http://schemas.microsoft.com/office/spreadsheetml/2009/9/main" uri="{B025F937-C7B1-47D3-B67F-A62EFF666E3E}">
          <x14:id>{94EA5C51-B3F4-4FFB-8B96-CB610A34D8D8}</x14:id>
        </ext>
      </extLst>
    </cfRule>
  </conditionalFormatting>
  <conditionalFormatting sqref="Z299">
    <cfRule type="dataBar" priority="6688">
      <dataBar>
        <cfvo type="min"/>
        <cfvo type="max"/>
        <color rgb="FF63C384"/>
      </dataBar>
      <extLst>
        <ext xmlns:x14="http://schemas.microsoft.com/office/spreadsheetml/2009/9/main" uri="{B025F937-C7B1-47D3-B67F-A62EFF666E3E}">
          <x14:id>{33AAF42B-0E13-4B5D-9D44-E69BC278D136}</x14:id>
        </ext>
      </extLst>
    </cfRule>
  </conditionalFormatting>
  <conditionalFormatting sqref="J300:J301">
    <cfRule type="cellIs" dxfId="9863" priority="6685" operator="equal">
      <formula>"ja"</formula>
    </cfRule>
  </conditionalFormatting>
  <conditionalFormatting sqref="Z300">
    <cfRule type="dataBar" priority="6684">
      <dataBar>
        <cfvo type="min"/>
        <cfvo type="max"/>
        <color rgb="FF63C384"/>
      </dataBar>
      <extLst>
        <ext xmlns:x14="http://schemas.microsoft.com/office/spreadsheetml/2009/9/main" uri="{B025F937-C7B1-47D3-B67F-A62EFF666E3E}">
          <x14:id>{0F99E002-1C3E-459A-B59C-B3ABAF3E5F72}</x14:id>
        </ext>
      </extLst>
    </cfRule>
  </conditionalFormatting>
  <conditionalFormatting sqref="J273">
    <cfRule type="cellIs" dxfId="9862" priority="6678" operator="equal">
      <formula>"ja"</formula>
    </cfRule>
  </conditionalFormatting>
  <conditionalFormatting sqref="T273">
    <cfRule type="expression" dxfId="9861" priority="6677">
      <formula>AND(AND($W273&lt;TODAY(),$W273&lt;&gt;""),$X273="")</formula>
    </cfRule>
  </conditionalFormatting>
  <conditionalFormatting sqref="Z273">
    <cfRule type="dataBar" priority="6676">
      <dataBar>
        <cfvo type="min"/>
        <cfvo type="max"/>
        <color rgb="FF63C384"/>
      </dataBar>
      <extLst>
        <ext xmlns:x14="http://schemas.microsoft.com/office/spreadsheetml/2009/9/main" uri="{B025F937-C7B1-47D3-B67F-A62EFF666E3E}">
          <x14:id>{00A95DE6-DC87-4A35-AE07-19873C136825}</x14:id>
        </ext>
      </extLst>
    </cfRule>
  </conditionalFormatting>
  <conditionalFormatting sqref="Z273">
    <cfRule type="dataBar" priority="6675">
      <dataBar>
        <cfvo type="min"/>
        <cfvo type="max"/>
        <color rgb="FF63C384"/>
      </dataBar>
      <extLst>
        <ext xmlns:x14="http://schemas.microsoft.com/office/spreadsheetml/2009/9/main" uri="{B025F937-C7B1-47D3-B67F-A62EFF666E3E}">
          <x14:id>{DF90F161-7B56-4C35-BC54-B38A36D38A78}</x14:id>
        </ext>
      </extLst>
    </cfRule>
  </conditionalFormatting>
  <conditionalFormatting sqref="J274">
    <cfRule type="cellIs" dxfId="9860" priority="6674" operator="equal">
      <formula>"ja"</formula>
    </cfRule>
  </conditionalFormatting>
  <conditionalFormatting sqref="T274">
    <cfRule type="expression" dxfId="9859" priority="6673">
      <formula>AND(AND($W274&lt;TODAY(),$W274&lt;&gt;""),$X274="")</formula>
    </cfRule>
  </conditionalFormatting>
  <conditionalFormatting sqref="Z274">
    <cfRule type="dataBar" priority="6672">
      <dataBar>
        <cfvo type="min"/>
        <cfvo type="max"/>
        <color rgb="FF63C384"/>
      </dataBar>
      <extLst>
        <ext xmlns:x14="http://schemas.microsoft.com/office/spreadsheetml/2009/9/main" uri="{B025F937-C7B1-47D3-B67F-A62EFF666E3E}">
          <x14:id>{1D0BB724-BF3D-443A-948B-BF591456C945}</x14:id>
        </ext>
      </extLst>
    </cfRule>
  </conditionalFormatting>
  <conditionalFormatting sqref="Z274">
    <cfRule type="dataBar" priority="6670">
      <dataBar>
        <cfvo type="min"/>
        <cfvo type="max"/>
        <color rgb="FF63C384"/>
      </dataBar>
      <extLst>
        <ext xmlns:x14="http://schemas.microsoft.com/office/spreadsheetml/2009/9/main" uri="{B025F937-C7B1-47D3-B67F-A62EFF666E3E}">
          <x14:id>{1D967E8C-61E2-44D3-9403-D4B1B5FA8E8E}</x14:id>
        </ext>
      </extLst>
    </cfRule>
  </conditionalFormatting>
  <conditionalFormatting sqref="J279">
    <cfRule type="cellIs" dxfId="9858" priority="6668" operator="equal">
      <formula>"ja"</formula>
    </cfRule>
  </conditionalFormatting>
  <conditionalFormatting sqref="T279">
    <cfRule type="expression" dxfId="9857" priority="6667">
      <formula>AND(AND($W279&lt;TODAY(),$W279&lt;&gt;""),$X279="")</formula>
    </cfRule>
  </conditionalFormatting>
  <conditionalFormatting sqref="Z279">
    <cfRule type="dataBar" priority="6666">
      <dataBar>
        <cfvo type="min"/>
        <cfvo type="max"/>
        <color rgb="FF63C384"/>
      </dataBar>
      <extLst>
        <ext xmlns:x14="http://schemas.microsoft.com/office/spreadsheetml/2009/9/main" uri="{B025F937-C7B1-47D3-B67F-A62EFF666E3E}">
          <x14:id>{55ADD545-0B3C-4CC9-B65A-73F2B4843E19}</x14:id>
        </ext>
      </extLst>
    </cfRule>
  </conditionalFormatting>
  <conditionalFormatting sqref="Z279">
    <cfRule type="dataBar" priority="6665">
      <dataBar>
        <cfvo type="min"/>
        <cfvo type="max"/>
        <color rgb="FF63C384"/>
      </dataBar>
      <extLst>
        <ext xmlns:x14="http://schemas.microsoft.com/office/spreadsheetml/2009/9/main" uri="{B025F937-C7B1-47D3-B67F-A62EFF666E3E}">
          <x14:id>{358696B0-2855-4A1E-A054-21EBABD08D19}</x14:id>
        </ext>
      </extLst>
    </cfRule>
  </conditionalFormatting>
  <conditionalFormatting sqref="C284">
    <cfRule type="containsText" dxfId="9856" priority="6663" operator="containsText" text="Einnahmen">
      <formula>NOT(ISERROR(SEARCH("Einnahmen",C284)))</formula>
    </cfRule>
    <cfRule type="containsText" dxfId="9855" priority="6664" operator="containsText" text="Ausgaben">
      <formula>NOT(ISERROR(SEARCH("Ausgaben",C284)))</formula>
    </cfRule>
  </conditionalFormatting>
  <conditionalFormatting sqref="J284">
    <cfRule type="cellIs" dxfId="9854" priority="6661" operator="equal">
      <formula>"ja"</formula>
    </cfRule>
  </conditionalFormatting>
  <conditionalFormatting sqref="T284">
    <cfRule type="expression" dxfId="9853" priority="6660">
      <formula>AND(AND($W284&lt;TODAY(),$W284&lt;&gt;""),$X284="")</formula>
    </cfRule>
  </conditionalFormatting>
  <conditionalFormatting sqref="Z284">
    <cfRule type="dataBar" priority="6659">
      <dataBar>
        <cfvo type="min"/>
        <cfvo type="max"/>
        <color rgb="FF63C384"/>
      </dataBar>
      <extLst>
        <ext xmlns:x14="http://schemas.microsoft.com/office/spreadsheetml/2009/9/main" uri="{B025F937-C7B1-47D3-B67F-A62EFF666E3E}">
          <x14:id>{895C407B-6EFF-42ED-B186-28BF7FECB3EB}</x14:id>
        </ext>
      </extLst>
    </cfRule>
  </conditionalFormatting>
  <conditionalFormatting sqref="Z284">
    <cfRule type="dataBar" priority="6658">
      <dataBar>
        <cfvo type="min"/>
        <cfvo type="max"/>
        <color rgb="FF63C384"/>
      </dataBar>
      <extLst>
        <ext xmlns:x14="http://schemas.microsoft.com/office/spreadsheetml/2009/9/main" uri="{B025F937-C7B1-47D3-B67F-A62EFF666E3E}">
          <x14:id>{8199B7E7-344B-44F0-B2FC-8C74AEFAF44B}</x14:id>
        </ext>
      </extLst>
    </cfRule>
  </conditionalFormatting>
  <conditionalFormatting sqref="C286">
    <cfRule type="containsText" dxfId="9852" priority="6656" operator="containsText" text="Einnahmen">
      <formula>NOT(ISERROR(SEARCH("Einnahmen",C286)))</formula>
    </cfRule>
    <cfRule type="containsText" dxfId="9851" priority="6657" operator="containsText" text="Ausgaben">
      <formula>NOT(ISERROR(SEARCH("Ausgaben",C286)))</formula>
    </cfRule>
  </conditionalFormatting>
  <conditionalFormatting sqref="J286">
    <cfRule type="cellIs" dxfId="9850" priority="6654" operator="equal">
      <formula>"ja"</formula>
    </cfRule>
  </conditionalFormatting>
  <conditionalFormatting sqref="T286">
    <cfRule type="expression" dxfId="9849" priority="6653">
      <formula>AND(AND($W286&lt;TODAY(),$W286&lt;&gt;""),$X286="")</formula>
    </cfRule>
  </conditionalFormatting>
  <conditionalFormatting sqref="Z286">
    <cfRule type="dataBar" priority="6652">
      <dataBar>
        <cfvo type="min"/>
        <cfvo type="max"/>
        <color rgb="FF63C384"/>
      </dataBar>
      <extLst>
        <ext xmlns:x14="http://schemas.microsoft.com/office/spreadsheetml/2009/9/main" uri="{B025F937-C7B1-47D3-B67F-A62EFF666E3E}">
          <x14:id>{63506121-5330-4444-B5F2-AF3427CB41EE}</x14:id>
        </ext>
      </extLst>
    </cfRule>
  </conditionalFormatting>
  <conditionalFormatting sqref="Z286">
    <cfRule type="dataBar" priority="6651">
      <dataBar>
        <cfvo type="min"/>
        <cfvo type="max"/>
        <color rgb="FF63C384"/>
      </dataBar>
      <extLst>
        <ext xmlns:x14="http://schemas.microsoft.com/office/spreadsheetml/2009/9/main" uri="{B025F937-C7B1-47D3-B67F-A62EFF666E3E}">
          <x14:id>{BE6E1DED-B618-450B-889A-B10AFD1BA780}</x14:id>
        </ext>
      </extLst>
    </cfRule>
  </conditionalFormatting>
  <conditionalFormatting sqref="C287">
    <cfRule type="containsText" dxfId="9848" priority="6649" operator="containsText" text="Einnahmen">
      <formula>NOT(ISERROR(SEARCH("Einnahmen",C287)))</formula>
    </cfRule>
    <cfRule type="containsText" dxfId="9847" priority="6650" operator="containsText" text="Ausgaben">
      <formula>NOT(ISERROR(SEARCH("Ausgaben",C287)))</formula>
    </cfRule>
  </conditionalFormatting>
  <conditionalFormatting sqref="J287">
    <cfRule type="cellIs" dxfId="9846" priority="6648" operator="equal">
      <formula>"ja"</formula>
    </cfRule>
  </conditionalFormatting>
  <conditionalFormatting sqref="T287">
    <cfRule type="expression" dxfId="9845" priority="6647">
      <formula>AND(AND($W287&lt;TODAY(),$W287&lt;&gt;""),$X287="")</formula>
    </cfRule>
  </conditionalFormatting>
  <conditionalFormatting sqref="Z287">
    <cfRule type="dataBar" priority="6646">
      <dataBar>
        <cfvo type="min"/>
        <cfvo type="max"/>
        <color rgb="FF63C384"/>
      </dataBar>
      <extLst>
        <ext xmlns:x14="http://schemas.microsoft.com/office/spreadsheetml/2009/9/main" uri="{B025F937-C7B1-47D3-B67F-A62EFF666E3E}">
          <x14:id>{5B5041E6-7EC1-4D05-BE62-93E3BEA62F27}</x14:id>
        </ext>
      </extLst>
    </cfRule>
  </conditionalFormatting>
  <conditionalFormatting sqref="Z287">
    <cfRule type="dataBar" priority="6644">
      <dataBar>
        <cfvo type="min"/>
        <cfvo type="max"/>
        <color rgb="FF63C384"/>
      </dataBar>
      <extLst>
        <ext xmlns:x14="http://schemas.microsoft.com/office/spreadsheetml/2009/9/main" uri="{B025F937-C7B1-47D3-B67F-A62EFF666E3E}">
          <x14:id>{101C8A35-05A5-4B53-A7E8-4DD438560DCA}</x14:id>
        </ext>
      </extLst>
    </cfRule>
  </conditionalFormatting>
  <conditionalFormatting sqref="C288">
    <cfRule type="containsText" dxfId="9844" priority="6642" operator="containsText" text="Einnahmen">
      <formula>NOT(ISERROR(SEARCH("Einnahmen",C288)))</formula>
    </cfRule>
    <cfRule type="containsText" dxfId="9843" priority="6643" operator="containsText" text="Ausgaben">
      <formula>NOT(ISERROR(SEARCH("Ausgaben",C288)))</formula>
    </cfRule>
  </conditionalFormatting>
  <conditionalFormatting sqref="J288">
    <cfRule type="cellIs" dxfId="9842" priority="6640" operator="equal">
      <formula>"ja"</formula>
    </cfRule>
  </conditionalFormatting>
  <conditionalFormatting sqref="T288">
    <cfRule type="expression" dxfId="9841" priority="6639">
      <formula>AND(AND($W288&lt;TODAY(),$W288&lt;&gt;""),$X288="")</formula>
    </cfRule>
  </conditionalFormatting>
  <conditionalFormatting sqref="Z288">
    <cfRule type="dataBar" priority="6638">
      <dataBar>
        <cfvo type="min"/>
        <cfvo type="max"/>
        <color rgb="FF63C384"/>
      </dataBar>
      <extLst>
        <ext xmlns:x14="http://schemas.microsoft.com/office/spreadsheetml/2009/9/main" uri="{B025F937-C7B1-47D3-B67F-A62EFF666E3E}">
          <x14:id>{914B2383-9296-431C-912D-6121E728DBA4}</x14:id>
        </ext>
      </extLst>
    </cfRule>
  </conditionalFormatting>
  <conditionalFormatting sqref="Z288">
    <cfRule type="dataBar" priority="6637">
      <dataBar>
        <cfvo type="min"/>
        <cfvo type="max"/>
        <color rgb="FF63C384"/>
      </dataBar>
      <extLst>
        <ext xmlns:x14="http://schemas.microsoft.com/office/spreadsheetml/2009/9/main" uri="{B025F937-C7B1-47D3-B67F-A62EFF666E3E}">
          <x14:id>{73B8FE2E-15DA-4CC3-9A23-156972C633E8}</x14:id>
        </ext>
      </extLst>
    </cfRule>
  </conditionalFormatting>
  <conditionalFormatting sqref="J291">
    <cfRule type="cellIs" dxfId="9840" priority="6636" operator="equal">
      <formula>"ja"</formula>
    </cfRule>
  </conditionalFormatting>
  <conditionalFormatting sqref="T291">
    <cfRule type="expression" dxfId="9839" priority="6635">
      <formula>AND(AND($W291&lt;TODAY(),$W291&lt;&gt;""),$X291="")</formula>
    </cfRule>
  </conditionalFormatting>
  <conditionalFormatting sqref="Z291">
    <cfRule type="dataBar" priority="6634">
      <dataBar>
        <cfvo type="min"/>
        <cfvo type="max"/>
        <color rgb="FF63C384"/>
      </dataBar>
      <extLst>
        <ext xmlns:x14="http://schemas.microsoft.com/office/spreadsheetml/2009/9/main" uri="{B025F937-C7B1-47D3-B67F-A62EFF666E3E}">
          <x14:id>{4C41D5F0-46B7-4407-8537-180C7760D4CF}</x14:id>
        </ext>
      </extLst>
    </cfRule>
  </conditionalFormatting>
  <conditionalFormatting sqref="Z291">
    <cfRule type="dataBar" priority="6632">
      <dataBar>
        <cfvo type="min"/>
        <cfvo type="max"/>
        <color rgb="FF63C384"/>
      </dataBar>
      <extLst>
        <ext xmlns:x14="http://schemas.microsoft.com/office/spreadsheetml/2009/9/main" uri="{B025F937-C7B1-47D3-B67F-A62EFF666E3E}">
          <x14:id>{906D3A96-5AC9-4F73-8557-0C9094AE8025}</x14:id>
        </ext>
      </extLst>
    </cfRule>
  </conditionalFormatting>
  <conditionalFormatting sqref="J294">
    <cfRule type="cellIs" dxfId="9838" priority="6631" operator="equal">
      <formula>"ja"</formula>
    </cfRule>
  </conditionalFormatting>
  <conditionalFormatting sqref="T294">
    <cfRule type="expression" dxfId="9837" priority="6630">
      <formula>AND(AND($W294&lt;TODAY(),$W294&lt;&gt;""),$X294="")</formula>
    </cfRule>
  </conditionalFormatting>
  <conditionalFormatting sqref="Z294">
    <cfRule type="dataBar" priority="6629">
      <dataBar>
        <cfvo type="min"/>
        <cfvo type="max"/>
        <color rgb="FF63C384"/>
      </dataBar>
      <extLst>
        <ext xmlns:x14="http://schemas.microsoft.com/office/spreadsheetml/2009/9/main" uri="{B025F937-C7B1-47D3-B67F-A62EFF666E3E}">
          <x14:id>{43B54A9F-FE03-4018-8503-89ACCCB2EF43}</x14:id>
        </ext>
      </extLst>
    </cfRule>
  </conditionalFormatting>
  <conditionalFormatting sqref="Z294">
    <cfRule type="dataBar" priority="6628">
      <dataBar>
        <cfvo type="min"/>
        <cfvo type="max"/>
        <color rgb="FF63C384"/>
      </dataBar>
      <extLst>
        <ext xmlns:x14="http://schemas.microsoft.com/office/spreadsheetml/2009/9/main" uri="{B025F937-C7B1-47D3-B67F-A62EFF666E3E}">
          <x14:id>{5DA3D9EB-E58C-4E98-B172-33B7D205A20C}</x14:id>
        </ext>
      </extLst>
    </cfRule>
  </conditionalFormatting>
  <conditionalFormatting sqref="J303">
    <cfRule type="cellIs" dxfId="9836" priority="6626" operator="equal">
      <formula>"ja"</formula>
    </cfRule>
  </conditionalFormatting>
  <conditionalFormatting sqref="T303">
    <cfRule type="expression" dxfId="9835" priority="6625">
      <formula>AND(AND($W303&lt;TODAY(),$W303&lt;&gt;""),$X303="")</formula>
    </cfRule>
  </conditionalFormatting>
  <conditionalFormatting sqref="Z303">
    <cfRule type="dataBar" priority="6624">
      <dataBar>
        <cfvo type="min"/>
        <cfvo type="max"/>
        <color rgb="FF63C384"/>
      </dataBar>
      <extLst>
        <ext xmlns:x14="http://schemas.microsoft.com/office/spreadsheetml/2009/9/main" uri="{B025F937-C7B1-47D3-B67F-A62EFF666E3E}">
          <x14:id>{582AB053-017C-47BA-ACC0-0275127F8305}</x14:id>
        </ext>
      </extLst>
    </cfRule>
  </conditionalFormatting>
  <conditionalFormatting sqref="Z303">
    <cfRule type="dataBar" priority="6622">
      <dataBar>
        <cfvo type="min"/>
        <cfvo type="max"/>
        <color rgb="FF63C384"/>
      </dataBar>
      <extLst>
        <ext xmlns:x14="http://schemas.microsoft.com/office/spreadsheetml/2009/9/main" uri="{B025F937-C7B1-47D3-B67F-A62EFF666E3E}">
          <x14:id>{228DAA0C-23BB-4CB7-A21C-72CC8228EE08}</x14:id>
        </ext>
      </extLst>
    </cfRule>
  </conditionalFormatting>
  <conditionalFormatting sqref="J304">
    <cfRule type="cellIs" dxfId="9834" priority="6621" operator="equal">
      <formula>"ja"</formula>
    </cfRule>
  </conditionalFormatting>
  <conditionalFormatting sqref="T304">
    <cfRule type="expression" dxfId="9833" priority="6620">
      <formula>AND(AND($W304&lt;TODAY(),$W304&lt;&gt;""),$X304="")</formula>
    </cfRule>
  </conditionalFormatting>
  <conditionalFormatting sqref="Z304">
    <cfRule type="dataBar" priority="6619">
      <dataBar>
        <cfvo type="min"/>
        <cfvo type="max"/>
        <color rgb="FF63C384"/>
      </dataBar>
      <extLst>
        <ext xmlns:x14="http://schemas.microsoft.com/office/spreadsheetml/2009/9/main" uri="{B025F937-C7B1-47D3-B67F-A62EFF666E3E}">
          <x14:id>{4921EF7C-12D5-4983-8C2D-E4FC62D6C20A}</x14:id>
        </ext>
      </extLst>
    </cfRule>
  </conditionalFormatting>
  <conditionalFormatting sqref="Z304">
    <cfRule type="dataBar" priority="6617">
      <dataBar>
        <cfvo type="min"/>
        <cfvo type="max"/>
        <color rgb="FF63C384"/>
      </dataBar>
      <extLst>
        <ext xmlns:x14="http://schemas.microsoft.com/office/spreadsheetml/2009/9/main" uri="{B025F937-C7B1-47D3-B67F-A62EFF666E3E}">
          <x14:id>{E495F917-83C4-4B52-A964-F287DBA1FCFE}</x14:id>
        </ext>
      </extLst>
    </cfRule>
  </conditionalFormatting>
  <conditionalFormatting sqref="J301">
    <cfRule type="cellIs" dxfId="9832" priority="6616" operator="equal">
      <formula>"ja"</formula>
    </cfRule>
  </conditionalFormatting>
  <conditionalFormatting sqref="Z301">
    <cfRule type="dataBar" priority="6614">
      <dataBar>
        <cfvo type="min"/>
        <cfvo type="max"/>
        <color rgb="FF63C384"/>
      </dataBar>
      <extLst>
        <ext xmlns:x14="http://schemas.microsoft.com/office/spreadsheetml/2009/9/main" uri="{B025F937-C7B1-47D3-B67F-A62EFF666E3E}">
          <x14:id>{4CD54861-03D9-48D4-863B-4EF7770181A5}</x14:id>
        </ext>
      </extLst>
    </cfRule>
  </conditionalFormatting>
  <conditionalFormatting sqref="Z301">
    <cfRule type="dataBar" priority="6612">
      <dataBar>
        <cfvo type="min"/>
        <cfvo type="max"/>
        <color rgb="FF63C384"/>
      </dataBar>
      <extLst>
        <ext xmlns:x14="http://schemas.microsoft.com/office/spreadsheetml/2009/9/main" uri="{B025F937-C7B1-47D3-B67F-A62EFF666E3E}">
          <x14:id>{A74A9E47-BF07-459D-B001-EB0D273374D1}</x14:id>
        </ext>
      </extLst>
    </cfRule>
  </conditionalFormatting>
  <conditionalFormatting sqref="T302">
    <cfRule type="expression" dxfId="9831" priority="6611">
      <formula>AND(AND($W302&lt;TODAY(),$W302&lt;&gt;""),$X302="")</formula>
    </cfRule>
  </conditionalFormatting>
  <conditionalFormatting sqref="J302">
    <cfRule type="cellIs" dxfId="9830" priority="6609" operator="equal">
      <formula>"ja"</formula>
    </cfRule>
  </conditionalFormatting>
  <conditionalFormatting sqref="J302">
    <cfRule type="cellIs" dxfId="9829" priority="6608" operator="equal">
      <formula>"ja"</formula>
    </cfRule>
  </conditionalFormatting>
  <conditionalFormatting sqref="Z302">
    <cfRule type="dataBar" priority="6607">
      <dataBar>
        <cfvo type="min"/>
        <cfvo type="max"/>
        <color rgb="FF63C384"/>
      </dataBar>
      <extLst>
        <ext xmlns:x14="http://schemas.microsoft.com/office/spreadsheetml/2009/9/main" uri="{B025F937-C7B1-47D3-B67F-A62EFF666E3E}">
          <x14:id>{A8CB4B93-BE8E-42D2-AA77-5B1B690D474F}</x14:id>
        </ext>
      </extLst>
    </cfRule>
  </conditionalFormatting>
  <conditionalFormatting sqref="Z302">
    <cfRule type="dataBar" priority="6605">
      <dataBar>
        <cfvo type="min"/>
        <cfvo type="max"/>
        <color rgb="FF63C384"/>
      </dataBar>
      <extLst>
        <ext xmlns:x14="http://schemas.microsoft.com/office/spreadsheetml/2009/9/main" uri="{B025F937-C7B1-47D3-B67F-A62EFF666E3E}">
          <x14:id>{F083A5F6-969C-4E2D-A975-B913A98EE090}</x14:id>
        </ext>
      </extLst>
    </cfRule>
  </conditionalFormatting>
  <conditionalFormatting sqref="J305">
    <cfRule type="cellIs" dxfId="9828" priority="6604" operator="equal">
      <formula>"ja"</formula>
    </cfRule>
  </conditionalFormatting>
  <conditionalFormatting sqref="T305">
    <cfRule type="expression" dxfId="9827" priority="6603">
      <formula>AND(AND($W305&lt;TODAY(),$W305&lt;&gt;""),$X305="")</formula>
    </cfRule>
  </conditionalFormatting>
  <conditionalFormatting sqref="Z305">
    <cfRule type="dataBar" priority="6602">
      <dataBar>
        <cfvo type="min"/>
        <cfvo type="max"/>
        <color rgb="FF63C384"/>
      </dataBar>
      <extLst>
        <ext xmlns:x14="http://schemas.microsoft.com/office/spreadsheetml/2009/9/main" uri="{B025F937-C7B1-47D3-B67F-A62EFF666E3E}">
          <x14:id>{080B09BF-7FB6-4D50-A79B-3B0040407203}</x14:id>
        </ext>
      </extLst>
    </cfRule>
  </conditionalFormatting>
  <conditionalFormatting sqref="Z305">
    <cfRule type="dataBar" priority="6600">
      <dataBar>
        <cfvo type="min"/>
        <cfvo type="max"/>
        <color rgb="FF63C384"/>
      </dataBar>
      <extLst>
        <ext xmlns:x14="http://schemas.microsoft.com/office/spreadsheetml/2009/9/main" uri="{B025F937-C7B1-47D3-B67F-A62EFF666E3E}">
          <x14:id>{CEC2D83A-5BD1-403E-924E-AC1E38F4939D}</x14:id>
        </ext>
      </extLst>
    </cfRule>
  </conditionalFormatting>
  <conditionalFormatting sqref="J306">
    <cfRule type="cellIs" dxfId="9826" priority="6599" operator="equal">
      <formula>"ja"</formula>
    </cfRule>
  </conditionalFormatting>
  <conditionalFormatting sqref="T306">
    <cfRule type="expression" dxfId="9825" priority="6598">
      <formula>AND(AND($W306&lt;TODAY(),$W306&lt;&gt;""),$X306="")</formula>
    </cfRule>
  </conditionalFormatting>
  <conditionalFormatting sqref="Z306">
    <cfRule type="dataBar" priority="6597">
      <dataBar>
        <cfvo type="min"/>
        <cfvo type="max"/>
        <color rgb="FF63C384"/>
      </dataBar>
      <extLst>
        <ext xmlns:x14="http://schemas.microsoft.com/office/spreadsheetml/2009/9/main" uri="{B025F937-C7B1-47D3-B67F-A62EFF666E3E}">
          <x14:id>{38DEA300-5D66-48B2-977C-57D377B1423C}</x14:id>
        </ext>
      </extLst>
    </cfRule>
  </conditionalFormatting>
  <conditionalFormatting sqref="Z306">
    <cfRule type="dataBar" priority="6595">
      <dataBar>
        <cfvo type="min"/>
        <cfvo type="max"/>
        <color rgb="FF63C384"/>
      </dataBar>
      <extLst>
        <ext xmlns:x14="http://schemas.microsoft.com/office/spreadsheetml/2009/9/main" uri="{B025F937-C7B1-47D3-B67F-A62EFF666E3E}">
          <x14:id>{1F9BAC65-99AC-4190-8B36-8635EDEF401E}</x14:id>
        </ext>
      </extLst>
    </cfRule>
  </conditionalFormatting>
  <conditionalFormatting sqref="J307">
    <cfRule type="cellIs" dxfId="9824" priority="6594" operator="equal">
      <formula>"ja"</formula>
    </cfRule>
  </conditionalFormatting>
  <conditionalFormatting sqref="T307">
    <cfRule type="expression" dxfId="9823" priority="6593">
      <formula>AND(AND($W307&lt;TODAY(),$W307&lt;&gt;""),$X307="")</formula>
    </cfRule>
  </conditionalFormatting>
  <conditionalFormatting sqref="Z307">
    <cfRule type="dataBar" priority="6592">
      <dataBar>
        <cfvo type="min"/>
        <cfvo type="max"/>
        <color rgb="FF63C384"/>
      </dataBar>
      <extLst>
        <ext xmlns:x14="http://schemas.microsoft.com/office/spreadsheetml/2009/9/main" uri="{B025F937-C7B1-47D3-B67F-A62EFF666E3E}">
          <x14:id>{D2E8D5FC-D354-4587-8CC3-B1F3CC25B4BE}</x14:id>
        </ext>
      </extLst>
    </cfRule>
  </conditionalFormatting>
  <conditionalFormatting sqref="Z307">
    <cfRule type="dataBar" priority="6590">
      <dataBar>
        <cfvo type="min"/>
        <cfvo type="max"/>
        <color rgb="FF63C384"/>
      </dataBar>
      <extLst>
        <ext xmlns:x14="http://schemas.microsoft.com/office/spreadsheetml/2009/9/main" uri="{B025F937-C7B1-47D3-B67F-A62EFF666E3E}">
          <x14:id>{FCA9858C-E150-402A-9A76-5FD5F7BBDD17}</x14:id>
        </ext>
      </extLst>
    </cfRule>
  </conditionalFormatting>
  <conditionalFormatting sqref="J308">
    <cfRule type="cellIs" dxfId="9822" priority="6588" operator="equal">
      <formula>"ja"</formula>
    </cfRule>
  </conditionalFormatting>
  <conditionalFormatting sqref="T308">
    <cfRule type="expression" dxfId="9821" priority="6587">
      <formula>AND(AND($W308&lt;TODAY(),$W308&lt;&gt;""),$X308="")</formula>
    </cfRule>
  </conditionalFormatting>
  <conditionalFormatting sqref="Z308">
    <cfRule type="dataBar" priority="6586">
      <dataBar>
        <cfvo type="min"/>
        <cfvo type="max"/>
        <color rgb="FF63C384"/>
      </dataBar>
      <extLst>
        <ext xmlns:x14="http://schemas.microsoft.com/office/spreadsheetml/2009/9/main" uri="{B025F937-C7B1-47D3-B67F-A62EFF666E3E}">
          <x14:id>{5FD49401-DFC1-4C26-9A84-03462034A6AA}</x14:id>
        </ext>
      </extLst>
    </cfRule>
  </conditionalFormatting>
  <conditionalFormatting sqref="Z308">
    <cfRule type="dataBar" priority="6585">
      <dataBar>
        <cfvo type="min"/>
        <cfvo type="max"/>
        <color rgb="FF63C384"/>
      </dataBar>
      <extLst>
        <ext xmlns:x14="http://schemas.microsoft.com/office/spreadsheetml/2009/9/main" uri="{B025F937-C7B1-47D3-B67F-A62EFF666E3E}">
          <x14:id>{1EF21319-B270-420E-9544-68FE8CFF88DF}</x14:id>
        </ext>
      </extLst>
    </cfRule>
  </conditionalFormatting>
  <conditionalFormatting sqref="J309">
    <cfRule type="cellIs" dxfId="9820" priority="6583" operator="equal">
      <formula>"ja"</formula>
    </cfRule>
  </conditionalFormatting>
  <conditionalFormatting sqref="T309">
    <cfRule type="expression" dxfId="9819" priority="6582">
      <formula>AND(AND($W309&lt;TODAY(),$W309&lt;&gt;""),$X309="")</formula>
    </cfRule>
  </conditionalFormatting>
  <conditionalFormatting sqref="Z309">
    <cfRule type="dataBar" priority="6581">
      <dataBar>
        <cfvo type="min"/>
        <cfvo type="max"/>
        <color rgb="FF63C384"/>
      </dataBar>
      <extLst>
        <ext xmlns:x14="http://schemas.microsoft.com/office/spreadsheetml/2009/9/main" uri="{B025F937-C7B1-47D3-B67F-A62EFF666E3E}">
          <x14:id>{EF2056C7-0B1F-4F50-837F-30D0FA73A646}</x14:id>
        </ext>
      </extLst>
    </cfRule>
  </conditionalFormatting>
  <conditionalFormatting sqref="Z309">
    <cfRule type="dataBar" priority="6580">
      <dataBar>
        <cfvo type="min"/>
        <cfvo type="max"/>
        <color rgb="FF63C384"/>
      </dataBar>
      <extLst>
        <ext xmlns:x14="http://schemas.microsoft.com/office/spreadsheetml/2009/9/main" uri="{B025F937-C7B1-47D3-B67F-A62EFF666E3E}">
          <x14:id>{B094E192-F9DE-4612-8F04-308859D90B79}</x14:id>
        </ext>
      </extLst>
    </cfRule>
  </conditionalFormatting>
  <conditionalFormatting sqref="J310">
    <cfRule type="cellIs" dxfId="9818" priority="6579" operator="equal">
      <formula>"ja"</formula>
    </cfRule>
  </conditionalFormatting>
  <conditionalFormatting sqref="T310">
    <cfRule type="expression" dxfId="9817" priority="6578">
      <formula>AND(AND($W310&lt;TODAY(),$W310&lt;&gt;""),$X310="")</formula>
    </cfRule>
  </conditionalFormatting>
  <conditionalFormatting sqref="Z310">
    <cfRule type="dataBar" priority="6577">
      <dataBar>
        <cfvo type="min"/>
        <cfvo type="max"/>
        <color rgb="FF63C384"/>
      </dataBar>
      <extLst>
        <ext xmlns:x14="http://schemas.microsoft.com/office/spreadsheetml/2009/9/main" uri="{B025F937-C7B1-47D3-B67F-A62EFF666E3E}">
          <x14:id>{F1926A44-1552-4AC1-9F8B-90A5ECE2655E}</x14:id>
        </ext>
      </extLst>
    </cfRule>
  </conditionalFormatting>
  <conditionalFormatting sqref="Z310">
    <cfRule type="dataBar" priority="6575">
      <dataBar>
        <cfvo type="min"/>
        <cfvo type="max"/>
        <color rgb="FF63C384"/>
      </dataBar>
      <extLst>
        <ext xmlns:x14="http://schemas.microsoft.com/office/spreadsheetml/2009/9/main" uri="{B025F937-C7B1-47D3-B67F-A62EFF666E3E}">
          <x14:id>{DFD9BFEA-C249-44DF-B0D6-F785B7141BD7}</x14:id>
        </ext>
      </extLst>
    </cfRule>
  </conditionalFormatting>
  <conditionalFormatting sqref="J311">
    <cfRule type="cellIs" dxfId="9816" priority="6574" operator="equal">
      <formula>"ja"</formula>
    </cfRule>
  </conditionalFormatting>
  <conditionalFormatting sqref="T311">
    <cfRule type="expression" dxfId="9815" priority="6573">
      <formula>AND(AND($W311&lt;TODAY(),$W311&lt;&gt;""),$X311="")</formula>
    </cfRule>
  </conditionalFormatting>
  <conditionalFormatting sqref="Z311">
    <cfRule type="dataBar" priority="6572">
      <dataBar>
        <cfvo type="min"/>
        <cfvo type="max"/>
        <color rgb="FF63C384"/>
      </dataBar>
      <extLst>
        <ext xmlns:x14="http://schemas.microsoft.com/office/spreadsheetml/2009/9/main" uri="{B025F937-C7B1-47D3-B67F-A62EFF666E3E}">
          <x14:id>{F84F5BD4-5165-4752-A861-3E0CF1A44EEF}</x14:id>
        </ext>
      </extLst>
    </cfRule>
  </conditionalFormatting>
  <conditionalFormatting sqref="Z311">
    <cfRule type="dataBar" priority="6570">
      <dataBar>
        <cfvo type="min"/>
        <cfvo type="max"/>
        <color rgb="FF63C384"/>
      </dataBar>
      <extLst>
        <ext xmlns:x14="http://schemas.microsoft.com/office/spreadsheetml/2009/9/main" uri="{B025F937-C7B1-47D3-B67F-A62EFF666E3E}">
          <x14:id>{A4F8FE3C-A64D-460B-9B12-4E3275ECC364}</x14:id>
        </ext>
      </extLst>
    </cfRule>
  </conditionalFormatting>
  <conditionalFormatting sqref="J312">
    <cfRule type="cellIs" dxfId="9814" priority="6568" operator="equal">
      <formula>"ja"</formula>
    </cfRule>
  </conditionalFormatting>
  <conditionalFormatting sqref="T312">
    <cfRule type="expression" dxfId="9813" priority="6567">
      <formula>AND(AND($W312&lt;TODAY(),$W312&lt;&gt;""),$X312="")</formula>
    </cfRule>
  </conditionalFormatting>
  <conditionalFormatting sqref="Z312">
    <cfRule type="dataBar" priority="6566">
      <dataBar>
        <cfvo type="min"/>
        <cfvo type="max"/>
        <color rgb="FF63C384"/>
      </dataBar>
      <extLst>
        <ext xmlns:x14="http://schemas.microsoft.com/office/spreadsheetml/2009/9/main" uri="{B025F937-C7B1-47D3-B67F-A62EFF666E3E}">
          <x14:id>{51AB1307-87A3-4A3C-8431-2DC3CB005616}</x14:id>
        </ext>
      </extLst>
    </cfRule>
  </conditionalFormatting>
  <conditionalFormatting sqref="Z312">
    <cfRule type="dataBar" priority="6565">
      <dataBar>
        <cfvo type="min"/>
        <cfvo type="max"/>
        <color rgb="FF63C384"/>
      </dataBar>
      <extLst>
        <ext xmlns:x14="http://schemas.microsoft.com/office/spreadsheetml/2009/9/main" uri="{B025F937-C7B1-47D3-B67F-A62EFF666E3E}">
          <x14:id>{A2AA8D45-4D30-4FF5-9E32-0DBF4BC7B020}</x14:id>
        </ext>
      </extLst>
    </cfRule>
  </conditionalFormatting>
  <conditionalFormatting sqref="J313">
    <cfRule type="cellIs" dxfId="9812" priority="6564" operator="equal">
      <formula>"ja"</formula>
    </cfRule>
  </conditionalFormatting>
  <conditionalFormatting sqref="T313">
    <cfRule type="expression" dxfId="9811" priority="6563">
      <formula>AND(AND($W313&lt;TODAY(),$W313&lt;&gt;""),$X313="")</formula>
    </cfRule>
  </conditionalFormatting>
  <conditionalFormatting sqref="Z313">
    <cfRule type="dataBar" priority="6562">
      <dataBar>
        <cfvo type="min"/>
        <cfvo type="max"/>
        <color rgb="FF63C384"/>
      </dataBar>
      <extLst>
        <ext xmlns:x14="http://schemas.microsoft.com/office/spreadsheetml/2009/9/main" uri="{B025F937-C7B1-47D3-B67F-A62EFF666E3E}">
          <x14:id>{E3958612-77AB-4501-BECE-C85203570ABC}</x14:id>
        </ext>
      </extLst>
    </cfRule>
  </conditionalFormatting>
  <conditionalFormatting sqref="Z313">
    <cfRule type="dataBar" priority="6560">
      <dataBar>
        <cfvo type="min"/>
        <cfvo type="max"/>
        <color rgb="FF63C384"/>
      </dataBar>
      <extLst>
        <ext xmlns:x14="http://schemas.microsoft.com/office/spreadsheetml/2009/9/main" uri="{B025F937-C7B1-47D3-B67F-A62EFF666E3E}">
          <x14:id>{1310681C-75BC-4BF7-A861-E097574D4B1B}</x14:id>
        </ext>
      </extLst>
    </cfRule>
  </conditionalFormatting>
  <conditionalFormatting sqref="J314">
    <cfRule type="cellIs" dxfId="9810" priority="6559" operator="equal">
      <formula>"ja"</formula>
    </cfRule>
  </conditionalFormatting>
  <conditionalFormatting sqref="T314">
    <cfRule type="expression" dxfId="9809" priority="6558">
      <formula>AND(AND($W314&lt;TODAY(),$W314&lt;&gt;""),$X314="")</formula>
    </cfRule>
  </conditionalFormatting>
  <conditionalFormatting sqref="Z314">
    <cfRule type="dataBar" priority="6557">
      <dataBar>
        <cfvo type="min"/>
        <cfvo type="max"/>
        <color rgb="FF63C384"/>
      </dataBar>
      <extLst>
        <ext xmlns:x14="http://schemas.microsoft.com/office/spreadsheetml/2009/9/main" uri="{B025F937-C7B1-47D3-B67F-A62EFF666E3E}">
          <x14:id>{A9933D7B-4458-454A-94CE-B251DD5157E8}</x14:id>
        </ext>
      </extLst>
    </cfRule>
  </conditionalFormatting>
  <conditionalFormatting sqref="Z314">
    <cfRule type="dataBar" priority="6555">
      <dataBar>
        <cfvo type="min"/>
        <cfvo type="max"/>
        <color rgb="FF63C384"/>
      </dataBar>
      <extLst>
        <ext xmlns:x14="http://schemas.microsoft.com/office/spreadsheetml/2009/9/main" uri="{B025F937-C7B1-47D3-B67F-A62EFF666E3E}">
          <x14:id>{B242A7D4-FB5B-48A6-AFC3-A4F48C986B59}</x14:id>
        </ext>
      </extLst>
    </cfRule>
  </conditionalFormatting>
  <conditionalFormatting sqref="J315">
    <cfRule type="cellIs" dxfId="9808" priority="6553" operator="equal">
      <formula>"ja"</formula>
    </cfRule>
  </conditionalFormatting>
  <conditionalFormatting sqref="T315">
    <cfRule type="expression" dxfId="9807" priority="6552">
      <formula>AND(AND($W315&lt;TODAY(),$W315&lt;&gt;""),$X315="")</formula>
    </cfRule>
  </conditionalFormatting>
  <conditionalFormatting sqref="Z315">
    <cfRule type="dataBar" priority="6551">
      <dataBar>
        <cfvo type="min"/>
        <cfvo type="max"/>
        <color rgb="FF63C384"/>
      </dataBar>
      <extLst>
        <ext xmlns:x14="http://schemas.microsoft.com/office/spreadsheetml/2009/9/main" uri="{B025F937-C7B1-47D3-B67F-A62EFF666E3E}">
          <x14:id>{B73396D0-FB1F-4E77-917D-887CAD6B8044}</x14:id>
        </ext>
      </extLst>
    </cfRule>
  </conditionalFormatting>
  <conditionalFormatting sqref="Z315">
    <cfRule type="dataBar" priority="6550">
      <dataBar>
        <cfvo type="min"/>
        <cfvo type="max"/>
        <color rgb="FF63C384"/>
      </dataBar>
      <extLst>
        <ext xmlns:x14="http://schemas.microsoft.com/office/spreadsheetml/2009/9/main" uri="{B025F937-C7B1-47D3-B67F-A62EFF666E3E}">
          <x14:id>{943ADFE8-D0F6-414A-9BBE-04122828920D}</x14:id>
        </ext>
      </extLst>
    </cfRule>
  </conditionalFormatting>
  <conditionalFormatting sqref="T316">
    <cfRule type="expression" dxfId="9806" priority="6548">
      <formula>AND(AND($W316&lt;TODAY(),$W316&lt;&gt;""),$X316="")</formula>
    </cfRule>
  </conditionalFormatting>
  <conditionalFormatting sqref="J316">
    <cfRule type="cellIs" dxfId="9805" priority="6547" operator="equal">
      <formula>"ja"</formula>
    </cfRule>
  </conditionalFormatting>
  <conditionalFormatting sqref="Z316">
    <cfRule type="dataBar" priority="6546">
      <dataBar>
        <cfvo type="min"/>
        <cfvo type="max"/>
        <color rgb="FF63C384"/>
      </dataBar>
      <extLst>
        <ext xmlns:x14="http://schemas.microsoft.com/office/spreadsheetml/2009/9/main" uri="{B025F937-C7B1-47D3-B67F-A62EFF666E3E}">
          <x14:id>{EC99E518-75C8-4CDF-BE96-FF646CCF8AA2}</x14:id>
        </ext>
      </extLst>
    </cfRule>
  </conditionalFormatting>
  <conditionalFormatting sqref="Z316">
    <cfRule type="dataBar" priority="6545">
      <dataBar>
        <cfvo type="min"/>
        <cfvo type="max"/>
        <color rgb="FF63C384"/>
      </dataBar>
      <extLst>
        <ext xmlns:x14="http://schemas.microsoft.com/office/spreadsheetml/2009/9/main" uri="{B025F937-C7B1-47D3-B67F-A62EFF666E3E}">
          <x14:id>{B1808880-B31C-49B8-BD12-A8EB9A01570F}</x14:id>
        </ext>
      </extLst>
    </cfRule>
  </conditionalFormatting>
  <conditionalFormatting sqref="J317">
    <cfRule type="cellIs" dxfId="9804" priority="6543" operator="equal">
      <formula>"ja"</formula>
    </cfRule>
  </conditionalFormatting>
  <conditionalFormatting sqref="T317">
    <cfRule type="expression" dxfId="9803" priority="6542">
      <formula>AND(AND($W317&lt;TODAY(),$W317&lt;&gt;""),$X317="")</formula>
    </cfRule>
  </conditionalFormatting>
  <conditionalFormatting sqref="Z317">
    <cfRule type="dataBar" priority="6541">
      <dataBar>
        <cfvo type="min"/>
        <cfvo type="max"/>
        <color rgb="FF63C384"/>
      </dataBar>
      <extLst>
        <ext xmlns:x14="http://schemas.microsoft.com/office/spreadsheetml/2009/9/main" uri="{B025F937-C7B1-47D3-B67F-A62EFF666E3E}">
          <x14:id>{4920B918-7A5F-46DF-9BC5-B0097F252B5A}</x14:id>
        </ext>
      </extLst>
    </cfRule>
  </conditionalFormatting>
  <conditionalFormatting sqref="Z317">
    <cfRule type="dataBar" priority="6540">
      <dataBar>
        <cfvo type="min"/>
        <cfvo type="max"/>
        <color rgb="FF63C384"/>
      </dataBar>
      <extLst>
        <ext xmlns:x14="http://schemas.microsoft.com/office/spreadsheetml/2009/9/main" uri="{B025F937-C7B1-47D3-B67F-A62EFF666E3E}">
          <x14:id>{C7667A20-F7DB-40F8-AE96-1EE85A3F0E2A}</x14:id>
        </ext>
      </extLst>
    </cfRule>
  </conditionalFormatting>
  <conditionalFormatting sqref="J318">
    <cfRule type="cellIs" dxfId="9802" priority="6539" operator="equal">
      <formula>"ja"</formula>
    </cfRule>
  </conditionalFormatting>
  <conditionalFormatting sqref="T318">
    <cfRule type="expression" dxfId="9801" priority="6538">
      <formula>AND(AND($W318&lt;TODAY(),$W318&lt;&gt;""),$X318="")</formula>
    </cfRule>
  </conditionalFormatting>
  <conditionalFormatting sqref="Z318">
    <cfRule type="dataBar" priority="6537">
      <dataBar>
        <cfvo type="min"/>
        <cfvo type="max"/>
        <color rgb="FF63C384"/>
      </dataBar>
      <extLst>
        <ext xmlns:x14="http://schemas.microsoft.com/office/spreadsheetml/2009/9/main" uri="{B025F937-C7B1-47D3-B67F-A62EFF666E3E}">
          <x14:id>{C5DE7077-4BC5-4888-8C12-F2A7B7B9BED4}</x14:id>
        </ext>
      </extLst>
    </cfRule>
  </conditionalFormatting>
  <conditionalFormatting sqref="Z318">
    <cfRule type="dataBar" priority="6535">
      <dataBar>
        <cfvo type="min"/>
        <cfvo type="max"/>
        <color rgb="FF63C384"/>
      </dataBar>
      <extLst>
        <ext xmlns:x14="http://schemas.microsoft.com/office/spreadsheetml/2009/9/main" uri="{B025F937-C7B1-47D3-B67F-A62EFF666E3E}">
          <x14:id>{A7DED3BC-9613-4DC7-B168-03DF1DFB36A1}</x14:id>
        </ext>
      </extLst>
    </cfRule>
  </conditionalFormatting>
  <conditionalFormatting sqref="J319">
    <cfRule type="cellIs" dxfId="9800" priority="6534" operator="equal">
      <formula>"ja"</formula>
    </cfRule>
  </conditionalFormatting>
  <conditionalFormatting sqref="T319">
    <cfRule type="expression" dxfId="9799" priority="6533">
      <formula>AND(AND($W319&lt;TODAY(),$W319&lt;&gt;""),$X319="")</formula>
    </cfRule>
  </conditionalFormatting>
  <conditionalFormatting sqref="Z319">
    <cfRule type="dataBar" priority="6532">
      <dataBar>
        <cfvo type="min"/>
        <cfvo type="max"/>
        <color rgb="FF63C384"/>
      </dataBar>
      <extLst>
        <ext xmlns:x14="http://schemas.microsoft.com/office/spreadsheetml/2009/9/main" uri="{B025F937-C7B1-47D3-B67F-A62EFF666E3E}">
          <x14:id>{8B1D1676-7D7F-45D6-B4EA-3AF5489B3524}</x14:id>
        </ext>
      </extLst>
    </cfRule>
  </conditionalFormatting>
  <conditionalFormatting sqref="Z319">
    <cfRule type="dataBar" priority="6530">
      <dataBar>
        <cfvo type="min"/>
        <cfvo type="max"/>
        <color rgb="FF63C384"/>
      </dataBar>
      <extLst>
        <ext xmlns:x14="http://schemas.microsoft.com/office/spreadsheetml/2009/9/main" uri="{B025F937-C7B1-47D3-B67F-A62EFF666E3E}">
          <x14:id>{5F79BE5B-CD4A-4DB0-B7CA-33B09D96D70A}</x14:id>
        </ext>
      </extLst>
    </cfRule>
  </conditionalFormatting>
  <conditionalFormatting sqref="J320">
    <cfRule type="cellIs" dxfId="9798" priority="6529" operator="equal">
      <formula>"ja"</formula>
    </cfRule>
  </conditionalFormatting>
  <conditionalFormatting sqref="T320">
    <cfRule type="expression" dxfId="9797" priority="6528">
      <formula>AND(AND($W320&lt;TODAY(),$W320&lt;&gt;""),$X320="")</formula>
    </cfRule>
  </conditionalFormatting>
  <conditionalFormatting sqref="Z320">
    <cfRule type="dataBar" priority="6527">
      <dataBar>
        <cfvo type="min"/>
        <cfvo type="max"/>
        <color rgb="FF63C384"/>
      </dataBar>
      <extLst>
        <ext xmlns:x14="http://schemas.microsoft.com/office/spreadsheetml/2009/9/main" uri="{B025F937-C7B1-47D3-B67F-A62EFF666E3E}">
          <x14:id>{D0F945B8-CED0-4501-8E94-A64392EE9C7E}</x14:id>
        </ext>
      </extLst>
    </cfRule>
  </conditionalFormatting>
  <conditionalFormatting sqref="Z320">
    <cfRule type="dataBar" priority="6525">
      <dataBar>
        <cfvo type="min"/>
        <cfvo type="max"/>
        <color rgb="FF63C384"/>
      </dataBar>
      <extLst>
        <ext xmlns:x14="http://schemas.microsoft.com/office/spreadsheetml/2009/9/main" uri="{B025F937-C7B1-47D3-B67F-A62EFF666E3E}">
          <x14:id>{6C436FD6-E359-4912-B647-241DF3B75B33}</x14:id>
        </ext>
      </extLst>
    </cfRule>
  </conditionalFormatting>
  <conditionalFormatting sqref="J321">
    <cfRule type="cellIs" dxfId="9796" priority="6523" operator="equal">
      <formula>"ja"</formula>
    </cfRule>
  </conditionalFormatting>
  <conditionalFormatting sqref="T321">
    <cfRule type="expression" dxfId="9795" priority="6522">
      <formula>AND(AND($W321&lt;TODAY(),$W321&lt;&gt;""),$X321="")</formula>
    </cfRule>
  </conditionalFormatting>
  <conditionalFormatting sqref="Z321">
    <cfRule type="dataBar" priority="6521">
      <dataBar>
        <cfvo type="min"/>
        <cfvo type="max"/>
        <color rgb="FF63C384"/>
      </dataBar>
      <extLst>
        <ext xmlns:x14="http://schemas.microsoft.com/office/spreadsheetml/2009/9/main" uri="{B025F937-C7B1-47D3-B67F-A62EFF666E3E}">
          <x14:id>{BD977707-3470-4E0C-B30F-EE289498C8FA}</x14:id>
        </ext>
      </extLst>
    </cfRule>
  </conditionalFormatting>
  <conditionalFormatting sqref="Z321">
    <cfRule type="dataBar" priority="6520">
      <dataBar>
        <cfvo type="min"/>
        <cfvo type="max"/>
        <color rgb="FF63C384"/>
      </dataBar>
      <extLst>
        <ext xmlns:x14="http://schemas.microsoft.com/office/spreadsheetml/2009/9/main" uri="{B025F937-C7B1-47D3-B67F-A62EFF666E3E}">
          <x14:id>{CF55B330-7093-4D67-B5C9-21458DFA7A3C}</x14:id>
        </ext>
      </extLst>
    </cfRule>
  </conditionalFormatting>
  <conditionalFormatting sqref="J322">
    <cfRule type="cellIs" dxfId="9794" priority="6518" operator="equal">
      <formula>"ja"</formula>
    </cfRule>
  </conditionalFormatting>
  <conditionalFormatting sqref="T322">
    <cfRule type="expression" dxfId="9793" priority="6517">
      <formula>AND(AND($W322&lt;TODAY(),$W322&lt;&gt;""),$X322="")</formula>
    </cfRule>
  </conditionalFormatting>
  <conditionalFormatting sqref="Z322">
    <cfRule type="dataBar" priority="6516">
      <dataBar>
        <cfvo type="min"/>
        <cfvo type="max"/>
        <color rgb="FF63C384"/>
      </dataBar>
      <extLst>
        <ext xmlns:x14="http://schemas.microsoft.com/office/spreadsheetml/2009/9/main" uri="{B025F937-C7B1-47D3-B67F-A62EFF666E3E}">
          <x14:id>{7CBE8BBE-8A79-465D-BEC1-BA5232381E39}</x14:id>
        </ext>
      </extLst>
    </cfRule>
  </conditionalFormatting>
  <conditionalFormatting sqref="Z322">
    <cfRule type="dataBar" priority="6515">
      <dataBar>
        <cfvo type="min"/>
        <cfvo type="max"/>
        <color rgb="FF63C384"/>
      </dataBar>
      <extLst>
        <ext xmlns:x14="http://schemas.microsoft.com/office/spreadsheetml/2009/9/main" uri="{B025F937-C7B1-47D3-B67F-A62EFF666E3E}">
          <x14:id>{A4E5B49E-8BBD-4840-A230-F6E7B1847860}</x14:id>
        </ext>
      </extLst>
    </cfRule>
  </conditionalFormatting>
  <conditionalFormatting sqref="J323">
    <cfRule type="cellIs" dxfId="9792" priority="6513" operator="equal">
      <formula>"ja"</formula>
    </cfRule>
  </conditionalFormatting>
  <conditionalFormatting sqref="T323:T324">
    <cfRule type="expression" dxfId="9791" priority="6512">
      <formula>AND(AND($W323&lt;TODAY(),$W323&lt;&gt;""),$X323="")</formula>
    </cfRule>
  </conditionalFormatting>
  <conditionalFormatting sqref="Z323:Z324">
    <cfRule type="dataBar" priority="6511">
      <dataBar>
        <cfvo type="min"/>
        <cfvo type="max"/>
        <color rgb="FF63C384"/>
      </dataBar>
      <extLst>
        <ext xmlns:x14="http://schemas.microsoft.com/office/spreadsheetml/2009/9/main" uri="{B025F937-C7B1-47D3-B67F-A62EFF666E3E}">
          <x14:id>{3BF1AD50-42F6-4243-BF57-9C4CF9C1F8AF}</x14:id>
        </ext>
      </extLst>
    </cfRule>
  </conditionalFormatting>
  <conditionalFormatting sqref="Z323:Z324">
    <cfRule type="dataBar" priority="6510">
      <dataBar>
        <cfvo type="min"/>
        <cfvo type="max"/>
        <color rgb="FF63C384"/>
      </dataBar>
      <extLst>
        <ext xmlns:x14="http://schemas.microsoft.com/office/spreadsheetml/2009/9/main" uri="{B025F937-C7B1-47D3-B67F-A62EFF666E3E}">
          <x14:id>{38A43923-EE75-481D-88AB-2499D816AADD}</x14:id>
        </ext>
      </extLst>
    </cfRule>
  </conditionalFormatting>
  <conditionalFormatting sqref="J325">
    <cfRule type="cellIs" dxfId="9790" priority="6508" operator="equal">
      <formula>"ja"</formula>
    </cfRule>
  </conditionalFormatting>
  <conditionalFormatting sqref="T325">
    <cfRule type="expression" dxfId="9789" priority="6507">
      <formula>AND(AND($W325&lt;TODAY(),$W325&lt;&gt;""),$X325="")</formula>
    </cfRule>
  </conditionalFormatting>
  <conditionalFormatting sqref="Z325">
    <cfRule type="dataBar" priority="6506">
      <dataBar>
        <cfvo type="min"/>
        <cfvo type="max"/>
        <color rgb="FF63C384"/>
      </dataBar>
      <extLst>
        <ext xmlns:x14="http://schemas.microsoft.com/office/spreadsheetml/2009/9/main" uri="{B025F937-C7B1-47D3-B67F-A62EFF666E3E}">
          <x14:id>{BAA6AC17-1623-45C8-9E90-976CEF160E4A}</x14:id>
        </ext>
      </extLst>
    </cfRule>
  </conditionalFormatting>
  <conditionalFormatting sqref="Z325">
    <cfRule type="dataBar" priority="6505">
      <dataBar>
        <cfvo type="min"/>
        <cfvo type="max"/>
        <color rgb="FF63C384"/>
      </dataBar>
      <extLst>
        <ext xmlns:x14="http://schemas.microsoft.com/office/spreadsheetml/2009/9/main" uri="{B025F937-C7B1-47D3-B67F-A62EFF666E3E}">
          <x14:id>{B01057D4-DECE-41D9-BECC-CC72483F4835}</x14:id>
        </ext>
      </extLst>
    </cfRule>
  </conditionalFormatting>
  <conditionalFormatting sqref="C326">
    <cfRule type="containsText" dxfId="9788" priority="6503" operator="containsText" text="Einnahmen">
      <formula>NOT(ISERROR(SEARCH("Einnahmen",C326)))</formula>
    </cfRule>
    <cfRule type="containsText" dxfId="9787" priority="6504" operator="containsText" text="Ausgaben">
      <formula>NOT(ISERROR(SEARCH("Ausgaben",C326)))</formula>
    </cfRule>
  </conditionalFormatting>
  <conditionalFormatting sqref="J326">
    <cfRule type="cellIs" dxfId="9786" priority="6501" operator="equal">
      <formula>"ja"</formula>
    </cfRule>
  </conditionalFormatting>
  <conditionalFormatting sqref="T326">
    <cfRule type="expression" dxfId="9785" priority="6500">
      <formula>AND(AND($W326&lt;TODAY(),$W326&lt;&gt;""),$X326="")</formula>
    </cfRule>
  </conditionalFormatting>
  <conditionalFormatting sqref="Z326">
    <cfRule type="dataBar" priority="6499">
      <dataBar>
        <cfvo type="min"/>
        <cfvo type="max"/>
        <color rgb="FF63C384"/>
      </dataBar>
      <extLst>
        <ext xmlns:x14="http://schemas.microsoft.com/office/spreadsheetml/2009/9/main" uri="{B025F937-C7B1-47D3-B67F-A62EFF666E3E}">
          <x14:id>{D8CA3954-4B8E-4A65-AB20-D1F79FFB6D02}</x14:id>
        </ext>
      </extLst>
    </cfRule>
  </conditionalFormatting>
  <conditionalFormatting sqref="Z326">
    <cfRule type="dataBar" priority="6498">
      <dataBar>
        <cfvo type="min"/>
        <cfvo type="max"/>
        <color rgb="FF63C384"/>
      </dataBar>
      <extLst>
        <ext xmlns:x14="http://schemas.microsoft.com/office/spreadsheetml/2009/9/main" uri="{B025F937-C7B1-47D3-B67F-A62EFF666E3E}">
          <x14:id>{198DD019-74DF-4C2A-9CCD-48A43A8DF553}</x14:id>
        </ext>
      </extLst>
    </cfRule>
  </conditionalFormatting>
  <conditionalFormatting sqref="T327">
    <cfRule type="expression" dxfId="9784" priority="6496">
      <formula>AND(AND($W327&lt;TODAY(),$W327&lt;&gt;""),$X327="")</formula>
    </cfRule>
  </conditionalFormatting>
  <conditionalFormatting sqref="J327">
    <cfRule type="cellIs" dxfId="9783" priority="6495" operator="equal">
      <formula>"ja"</formula>
    </cfRule>
  </conditionalFormatting>
  <conditionalFormatting sqref="Z327">
    <cfRule type="dataBar" priority="6494">
      <dataBar>
        <cfvo type="min"/>
        <cfvo type="max"/>
        <color rgb="FF63C384"/>
      </dataBar>
      <extLst>
        <ext xmlns:x14="http://schemas.microsoft.com/office/spreadsheetml/2009/9/main" uri="{B025F937-C7B1-47D3-B67F-A62EFF666E3E}">
          <x14:id>{59A35C6B-D5CA-4178-9D30-39C564BCB192}</x14:id>
        </ext>
      </extLst>
    </cfRule>
  </conditionalFormatting>
  <conditionalFormatting sqref="Z327">
    <cfRule type="dataBar" priority="6493">
      <dataBar>
        <cfvo type="min"/>
        <cfvo type="max"/>
        <color rgb="FF63C384"/>
      </dataBar>
      <extLst>
        <ext xmlns:x14="http://schemas.microsoft.com/office/spreadsheetml/2009/9/main" uri="{B025F937-C7B1-47D3-B67F-A62EFF666E3E}">
          <x14:id>{0A0084A2-C72B-4FE7-94EF-2E1EC1F30870}</x14:id>
        </ext>
      </extLst>
    </cfRule>
  </conditionalFormatting>
  <conditionalFormatting sqref="T328">
    <cfRule type="expression" dxfId="9782" priority="6492">
      <formula>AND(AND($W328&lt;TODAY(),$W328&lt;&gt;""),$X328="")</formula>
    </cfRule>
  </conditionalFormatting>
  <conditionalFormatting sqref="Z328">
    <cfRule type="dataBar" priority="6491">
      <dataBar>
        <cfvo type="min"/>
        <cfvo type="max"/>
        <color rgb="FF63C384"/>
      </dataBar>
      <extLst>
        <ext xmlns:x14="http://schemas.microsoft.com/office/spreadsheetml/2009/9/main" uri="{B025F937-C7B1-47D3-B67F-A62EFF666E3E}">
          <x14:id>{870EB2E2-D95A-48D6-B078-AC09CABFA82E}</x14:id>
        </ext>
      </extLst>
    </cfRule>
  </conditionalFormatting>
  <conditionalFormatting sqref="Z328">
    <cfRule type="dataBar" priority="6490">
      <dataBar>
        <cfvo type="min"/>
        <cfvo type="max"/>
        <color rgb="FF63C384"/>
      </dataBar>
      <extLst>
        <ext xmlns:x14="http://schemas.microsoft.com/office/spreadsheetml/2009/9/main" uri="{B025F937-C7B1-47D3-B67F-A62EFF666E3E}">
          <x14:id>{CFA34944-80D2-4F23-9A48-3646C5EC5C80}</x14:id>
        </ext>
      </extLst>
    </cfRule>
  </conditionalFormatting>
  <conditionalFormatting sqref="J329">
    <cfRule type="cellIs" dxfId="9781" priority="6489" operator="equal">
      <formula>"ja"</formula>
    </cfRule>
  </conditionalFormatting>
  <conditionalFormatting sqref="T329">
    <cfRule type="expression" dxfId="9780" priority="6488">
      <formula>AND(AND($W329&lt;TODAY(),$W329&lt;&gt;""),$X329="")</formula>
    </cfRule>
  </conditionalFormatting>
  <conditionalFormatting sqref="Z329">
    <cfRule type="dataBar" priority="6487">
      <dataBar>
        <cfvo type="min"/>
        <cfvo type="max"/>
        <color rgb="FF63C384"/>
      </dataBar>
      <extLst>
        <ext xmlns:x14="http://schemas.microsoft.com/office/spreadsheetml/2009/9/main" uri="{B025F937-C7B1-47D3-B67F-A62EFF666E3E}">
          <x14:id>{D910784D-E2EA-47C2-A4F6-D817EF0BD15F}</x14:id>
        </ext>
      </extLst>
    </cfRule>
  </conditionalFormatting>
  <conditionalFormatting sqref="Z329">
    <cfRule type="dataBar" priority="6485">
      <dataBar>
        <cfvo type="min"/>
        <cfvo type="max"/>
        <color rgb="FF63C384"/>
      </dataBar>
      <extLst>
        <ext xmlns:x14="http://schemas.microsoft.com/office/spreadsheetml/2009/9/main" uri="{B025F937-C7B1-47D3-B67F-A62EFF666E3E}">
          <x14:id>{41DD740A-8D4F-4098-BC0C-D654C957F225}</x14:id>
        </ext>
      </extLst>
    </cfRule>
  </conditionalFormatting>
  <conditionalFormatting sqref="J330">
    <cfRule type="cellIs" dxfId="9779" priority="6484" operator="equal">
      <formula>"ja"</formula>
    </cfRule>
  </conditionalFormatting>
  <conditionalFormatting sqref="T330">
    <cfRule type="expression" dxfId="9778" priority="6483">
      <formula>AND(AND($W330&lt;TODAY(),$W330&lt;&gt;""),$X330="")</formula>
    </cfRule>
  </conditionalFormatting>
  <conditionalFormatting sqref="Z330">
    <cfRule type="dataBar" priority="6482">
      <dataBar>
        <cfvo type="min"/>
        <cfvo type="max"/>
        <color rgb="FF63C384"/>
      </dataBar>
      <extLst>
        <ext xmlns:x14="http://schemas.microsoft.com/office/spreadsheetml/2009/9/main" uri="{B025F937-C7B1-47D3-B67F-A62EFF666E3E}">
          <x14:id>{03DD8B47-85B5-4B2C-A603-DD3ED22094D6}</x14:id>
        </ext>
      </extLst>
    </cfRule>
  </conditionalFormatting>
  <conditionalFormatting sqref="Z330">
    <cfRule type="dataBar" priority="6480">
      <dataBar>
        <cfvo type="min"/>
        <cfvo type="max"/>
        <color rgb="FF63C384"/>
      </dataBar>
      <extLst>
        <ext xmlns:x14="http://schemas.microsoft.com/office/spreadsheetml/2009/9/main" uri="{B025F937-C7B1-47D3-B67F-A62EFF666E3E}">
          <x14:id>{DB9E0B45-D510-4DF5-BB6D-36F87384D5A0}</x14:id>
        </ext>
      </extLst>
    </cfRule>
  </conditionalFormatting>
  <conditionalFormatting sqref="J331">
    <cfRule type="cellIs" dxfId="9777" priority="6478" operator="equal">
      <formula>"ja"</formula>
    </cfRule>
  </conditionalFormatting>
  <conditionalFormatting sqref="T331">
    <cfRule type="expression" dxfId="9776" priority="6477">
      <formula>AND(AND($W331&lt;TODAY(),$W331&lt;&gt;""),$X331="")</formula>
    </cfRule>
  </conditionalFormatting>
  <conditionalFormatting sqref="Z331">
    <cfRule type="dataBar" priority="6476">
      <dataBar>
        <cfvo type="min"/>
        <cfvo type="max"/>
        <color rgb="FF63C384"/>
      </dataBar>
      <extLst>
        <ext xmlns:x14="http://schemas.microsoft.com/office/spreadsheetml/2009/9/main" uri="{B025F937-C7B1-47D3-B67F-A62EFF666E3E}">
          <x14:id>{70C16165-8B80-4B46-BB6D-B18A2F63C411}</x14:id>
        </ext>
      </extLst>
    </cfRule>
  </conditionalFormatting>
  <conditionalFormatting sqref="Z331">
    <cfRule type="dataBar" priority="6475">
      <dataBar>
        <cfvo type="min"/>
        <cfvo type="max"/>
        <color rgb="FF63C384"/>
      </dataBar>
      <extLst>
        <ext xmlns:x14="http://schemas.microsoft.com/office/spreadsheetml/2009/9/main" uri="{B025F937-C7B1-47D3-B67F-A62EFF666E3E}">
          <x14:id>{2916433C-D094-48C9-9BCD-3BDDD8CD8278}</x14:id>
        </ext>
      </extLst>
    </cfRule>
  </conditionalFormatting>
  <conditionalFormatting sqref="T332">
    <cfRule type="expression" dxfId="9775" priority="6473">
      <formula>AND(AND($W332&lt;TODAY(),$W332&lt;&gt;""),$X332="")</formula>
    </cfRule>
  </conditionalFormatting>
  <conditionalFormatting sqref="J332">
    <cfRule type="cellIs" dxfId="9774" priority="6472" operator="equal">
      <formula>"ja"</formula>
    </cfRule>
  </conditionalFormatting>
  <conditionalFormatting sqref="Z332">
    <cfRule type="dataBar" priority="6471">
      <dataBar>
        <cfvo type="min"/>
        <cfvo type="max"/>
        <color rgb="FF63C384"/>
      </dataBar>
      <extLst>
        <ext xmlns:x14="http://schemas.microsoft.com/office/spreadsheetml/2009/9/main" uri="{B025F937-C7B1-47D3-B67F-A62EFF666E3E}">
          <x14:id>{29EAEF79-F787-4E32-BA6B-D4BDC06F62D8}</x14:id>
        </ext>
      </extLst>
    </cfRule>
  </conditionalFormatting>
  <conditionalFormatting sqref="Z332">
    <cfRule type="dataBar" priority="6470">
      <dataBar>
        <cfvo type="min"/>
        <cfvo type="max"/>
        <color rgb="FF63C384"/>
      </dataBar>
      <extLst>
        <ext xmlns:x14="http://schemas.microsoft.com/office/spreadsheetml/2009/9/main" uri="{B025F937-C7B1-47D3-B67F-A62EFF666E3E}">
          <x14:id>{7821BA3D-34C2-44F7-ACCE-FB28F3C97DB4}</x14:id>
        </ext>
      </extLst>
    </cfRule>
  </conditionalFormatting>
  <conditionalFormatting sqref="T333">
    <cfRule type="expression" dxfId="9773" priority="6469">
      <formula>AND(AND($W333&lt;TODAY(),$W333&lt;&gt;""),$X333="")</formula>
    </cfRule>
  </conditionalFormatting>
  <conditionalFormatting sqref="Z333">
    <cfRule type="dataBar" priority="6468">
      <dataBar>
        <cfvo type="min"/>
        <cfvo type="max"/>
        <color rgb="FF63C384"/>
      </dataBar>
      <extLst>
        <ext xmlns:x14="http://schemas.microsoft.com/office/spreadsheetml/2009/9/main" uri="{B025F937-C7B1-47D3-B67F-A62EFF666E3E}">
          <x14:id>{00D934BC-0B89-4DCF-A83C-BF4B292CAC24}</x14:id>
        </ext>
      </extLst>
    </cfRule>
  </conditionalFormatting>
  <conditionalFormatting sqref="Z333">
    <cfRule type="dataBar" priority="6467">
      <dataBar>
        <cfvo type="min"/>
        <cfvo type="max"/>
        <color rgb="FF63C384"/>
      </dataBar>
      <extLst>
        <ext xmlns:x14="http://schemas.microsoft.com/office/spreadsheetml/2009/9/main" uri="{B025F937-C7B1-47D3-B67F-A62EFF666E3E}">
          <x14:id>{BEF20A1A-0A25-4337-AC0E-740DF9D7B73A}</x14:id>
        </ext>
      </extLst>
    </cfRule>
  </conditionalFormatting>
  <conditionalFormatting sqref="J334">
    <cfRule type="cellIs" dxfId="9772" priority="6465" operator="equal">
      <formula>"ja"</formula>
    </cfRule>
  </conditionalFormatting>
  <conditionalFormatting sqref="T334">
    <cfRule type="expression" dxfId="9771" priority="6464">
      <formula>AND(AND($W334&lt;TODAY(),$W334&lt;&gt;""),$X334="")</formula>
    </cfRule>
  </conditionalFormatting>
  <conditionalFormatting sqref="Z334">
    <cfRule type="dataBar" priority="6463">
      <dataBar>
        <cfvo type="min"/>
        <cfvo type="max"/>
        <color rgb="FF63C384"/>
      </dataBar>
      <extLst>
        <ext xmlns:x14="http://schemas.microsoft.com/office/spreadsheetml/2009/9/main" uri="{B025F937-C7B1-47D3-B67F-A62EFF666E3E}">
          <x14:id>{05820E91-A00F-44A6-8735-9BC12E905AC9}</x14:id>
        </ext>
      </extLst>
    </cfRule>
  </conditionalFormatting>
  <conditionalFormatting sqref="Z334">
    <cfRule type="dataBar" priority="6462">
      <dataBar>
        <cfvo type="min"/>
        <cfvo type="max"/>
        <color rgb="FF63C384"/>
      </dataBar>
      <extLst>
        <ext xmlns:x14="http://schemas.microsoft.com/office/spreadsheetml/2009/9/main" uri="{B025F937-C7B1-47D3-B67F-A62EFF666E3E}">
          <x14:id>{B92BDAE7-5933-437B-8461-63A04CD7F041}</x14:id>
        </ext>
      </extLst>
    </cfRule>
  </conditionalFormatting>
  <conditionalFormatting sqref="J335">
    <cfRule type="cellIs" dxfId="9770" priority="6460" operator="equal">
      <formula>"ja"</formula>
    </cfRule>
  </conditionalFormatting>
  <conditionalFormatting sqref="T335">
    <cfRule type="expression" dxfId="9769" priority="6459">
      <formula>AND(AND($W335&lt;TODAY(),$W335&lt;&gt;""),$X335="")</formula>
    </cfRule>
  </conditionalFormatting>
  <conditionalFormatting sqref="Z335">
    <cfRule type="dataBar" priority="6458">
      <dataBar>
        <cfvo type="min"/>
        <cfvo type="max"/>
        <color rgb="FF63C384"/>
      </dataBar>
      <extLst>
        <ext xmlns:x14="http://schemas.microsoft.com/office/spreadsheetml/2009/9/main" uri="{B025F937-C7B1-47D3-B67F-A62EFF666E3E}">
          <x14:id>{422B1824-DE20-47B6-99DA-532776C9D10B}</x14:id>
        </ext>
      </extLst>
    </cfRule>
  </conditionalFormatting>
  <conditionalFormatting sqref="Z335">
    <cfRule type="dataBar" priority="6457">
      <dataBar>
        <cfvo type="min"/>
        <cfvo type="max"/>
        <color rgb="FF63C384"/>
      </dataBar>
      <extLst>
        <ext xmlns:x14="http://schemas.microsoft.com/office/spreadsheetml/2009/9/main" uri="{B025F937-C7B1-47D3-B67F-A62EFF666E3E}">
          <x14:id>{58277FBD-E6E6-40AF-9626-2B1DEC21F070}</x14:id>
        </ext>
      </extLst>
    </cfRule>
  </conditionalFormatting>
  <conditionalFormatting sqref="T336">
    <cfRule type="expression" dxfId="9768" priority="6455">
      <formula>AND(AND($W336&lt;TODAY(),$W336&lt;&gt;""),$X336="")</formula>
    </cfRule>
  </conditionalFormatting>
  <conditionalFormatting sqref="Z336">
    <cfRule type="dataBar" priority="6454">
      <dataBar>
        <cfvo type="min"/>
        <cfvo type="max"/>
        <color rgb="FF63C384"/>
      </dataBar>
      <extLst>
        <ext xmlns:x14="http://schemas.microsoft.com/office/spreadsheetml/2009/9/main" uri="{B025F937-C7B1-47D3-B67F-A62EFF666E3E}">
          <x14:id>{08E5958B-C4F3-4753-A300-E98D048E708A}</x14:id>
        </ext>
      </extLst>
    </cfRule>
  </conditionalFormatting>
  <conditionalFormatting sqref="Z336">
    <cfRule type="dataBar" priority="6453">
      <dataBar>
        <cfvo type="min"/>
        <cfvo type="max"/>
        <color rgb="FF63C384"/>
      </dataBar>
      <extLst>
        <ext xmlns:x14="http://schemas.microsoft.com/office/spreadsheetml/2009/9/main" uri="{B025F937-C7B1-47D3-B67F-A62EFF666E3E}">
          <x14:id>{DB6EE2CF-8D02-4F37-8F4A-29201A353D75}</x14:id>
        </ext>
      </extLst>
    </cfRule>
  </conditionalFormatting>
  <conditionalFormatting sqref="J336">
    <cfRule type="cellIs" dxfId="9767" priority="6452" operator="equal">
      <formula>"ja"</formula>
    </cfRule>
  </conditionalFormatting>
  <conditionalFormatting sqref="C337">
    <cfRule type="containsText" dxfId="9766" priority="6450" operator="containsText" text="Einnahmen">
      <formula>NOT(ISERROR(SEARCH("Einnahmen",C337)))</formula>
    </cfRule>
    <cfRule type="containsText" dxfId="9765" priority="6451" operator="containsText" text="Ausgaben">
      <formula>NOT(ISERROR(SEARCH("Ausgaben",C337)))</formula>
    </cfRule>
  </conditionalFormatting>
  <conditionalFormatting sqref="J337">
    <cfRule type="cellIs" dxfId="9764" priority="6448" operator="equal">
      <formula>"ja"</formula>
    </cfRule>
  </conditionalFormatting>
  <conditionalFormatting sqref="T337">
    <cfRule type="expression" dxfId="9763" priority="6447">
      <formula>AND(AND($W337&lt;TODAY(),$W337&lt;&gt;""),$X337="")</formula>
    </cfRule>
  </conditionalFormatting>
  <conditionalFormatting sqref="Z337">
    <cfRule type="dataBar" priority="6446">
      <dataBar>
        <cfvo type="min"/>
        <cfvo type="max"/>
        <color rgb="FF63C384"/>
      </dataBar>
      <extLst>
        <ext xmlns:x14="http://schemas.microsoft.com/office/spreadsheetml/2009/9/main" uri="{B025F937-C7B1-47D3-B67F-A62EFF666E3E}">
          <x14:id>{27593329-EA0D-45ED-8616-261406E15D65}</x14:id>
        </ext>
      </extLst>
    </cfRule>
  </conditionalFormatting>
  <conditionalFormatting sqref="Z337">
    <cfRule type="dataBar" priority="6445">
      <dataBar>
        <cfvo type="min"/>
        <cfvo type="max"/>
        <color rgb="FF63C384"/>
      </dataBar>
      <extLst>
        <ext xmlns:x14="http://schemas.microsoft.com/office/spreadsheetml/2009/9/main" uri="{B025F937-C7B1-47D3-B67F-A62EFF666E3E}">
          <x14:id>{C9BBAA7D-9FFA-4AF9-86BA-5E9DF245CF2F}</x14:id>
        </ext>
      </extLst>
    </cfRule>
  </conditionalFormatting>
  <conditionalFormatting sqref="C338">
    <cfRule type="containsText" dxfId="9762" priority="6443" operator="containsText" text="Einnahmen">
      <formula>NOT(ISERROR(SEARCH("Einnahmen",C338)))</formula>
    </cfRule>
    <cfRule type="containsText" dxfId="9761" priority="6444" operator="containsText" text="Ausgaben">
      <formula>NOT(ISERROR(SEARCH("Ausgaben",C338)))</formula>
    </cfRule>
  </conditionalFormatting>
  <conditionalFormatting sqref="J338">
    <cfRule type="cellIs" dxfId="9760" priority="6441" operator="equal">
      <formula>"ja"</formula>
    </cfRule>
  </conditionalFormatting>
  <conditionalFormatting sqref="T338">
    <cfRule type="expression" dxfId="9759" priority="6440">
      <formula>AND(AND($W338&lt;TODAY(),$W338&lt;&gt;""),$X338="")</formula>
    </cfRule>
  </conditionalFormatting>
  <conditionalFormatting sqref="Z338">
    <cfRule type="dataBar" priority="6439">
      <dataBar>
        <cfvo type="min"/>
        <cfvo type="max"/>
        <color rgb="FF63C384"/>
      </dataBar>
      <extLst>
        <ext xmlns:x14="http://schemas.microsoft.com/office/spreadsheetml/2009/9/main" uri="{B025F937-C7B1-47D3-B67F-A62EFF666E3E}">
          <x14:id>{6EC6ACA3-C803-4828-86BF-0723DB87EA90}</x14:id>
        </ext>
      </extLst>
    </cfRule>
  </conditionalFormatting>
  <conditionalFormatting sqref="Z338">
    <cfRule type="dataBar" priority="6438">
      <dataBar>
        <cfvo type="min"/>
        <cfvo type="max"/>
        <color rgb="FF63C384"/>
      </dataBar>
      <extLst>
        <ext xmlns:x14="http://schemas.microsoft.com/office/spreadsheetml/2009/9/main" uri="{B025F937-C7B1-47D3-B67F-A62EFF666E3E}">
          <x14:id>{7DBB66AF-5E47-4226-876E-431E95C6AE1E}</x14:id>
        </ext>
      </extLst>
    </cfRule>
  </conditionalFormatting>
  <conditionalFormatting sqref="J339">
    <cfRule type="cellIs" dxfId="9758" priority="6436" operator="equal">
      <formula>"ja"</formula>
    </cfRule>
  </conditionalFormatting>
  <conditionalFormatting sqref="T339">
    <cfRule type="expression" dxfId="9757" priority="6435">
      <formula>AND(AND($W339&lt;TODAY(),$W339&lt;&gt;""),$X339="")</formula>
    </cfRule>
  </conditionalFormatting>
  <conditionalFormatting sqref="Z339">
    <cfRule type="dataBar" priority="6434">
      <dataBar>
        <cfvo type="min"/>
        <cfvo type="max"/>
        <color rgb="FF63C384"/>
      </dataBar>
      <extLst>
        <ext xmlns:x14="http://schemas.microsoft.com/office/spreadsheetml/2009/9/main" uri="{B025F937-C7B1-47D3-B67F-A62EFF666E3E}">
          <x14:id>{60ECE27D-52CF-4CCD-97A7-56EEE2F32370}</x14:id>
        </ext>
      </extLst>
    </cfRule>
  </conditionalFormatting>
  <conditionalFormatting sqref="Z339">
    <cfRule type="dataBar" priority="6433">
      <dataBar>
        <cfvo type="min"/>
        <cfvo type="max"/>
        <color rgb="FF63C384"/>
      </dataBar>
      <extLst>
        <ext xmlns:x14="http://schemas.microsoft.com/office/spreadsheetml/2009/9/main" uri="{B025F937-C7B1-47D3-B67F-A62EFF666E3E}">
          <x14:id>{31391BCF-4875-4E1C-B117-4824C91CBAEC}</x14:id>
        </ext>
      </extLst>
    </cfRule>
  </conditionalFormatting>
  <conditionalFormatting sqref="J340">
    <cfRule type="cellIs" dxfId="9756" priority="6431" operator="equal">
      <formula>"ja"</formula>
    </cfRule>
  </conditionalFormatting>
  <conditionalFormatting sqref="T340">
    <cfRule type="expression" dxfId="9755" priority="6430">
      <formula>AND(AND($W340&lt;TODAY(),$W340&lt;&gt;""),$X340="")</formula>
    </cfRule>
  </conditionalFormatting>
  <conditionalFormatting sqref="Z340">
    <cfRule type="dataBar" priority="6429">
      <dataBar>
        <cfvo type="min"/>
        <cfvo type="max"/>
        <color rgb="FF63C384"/>
      </dataBar>
      <extLst>
        <ext xmlns:x14="http://schemas.microsoft.com/office/spreadsheetml/2009/9/main" uri="{B025F937-C7B1-47D3-B67F-A62EFF666E3E}">
          <x14:id>{551A8433-FA8A-41A8-8A38-EA946D07CC7F}</x14:id>
        </ext>
      </extLst>
    </cfRule>
  </conditionalFormatting>
  <conditionalFormatting sqref="Z340">
    <cfRule type="dataBar" priority="6428">
      <dataBar>
        <cfvo type="min"/>
        <cfvo type="max"/>
        <color rgb="FF63C384"/>
      </dataBar>
      <extLst>
        <ext xmlns:x14="http://schemas.microsoft.com/office/spreadsheetml/2009/9/main" uri="{B025F937-C7B1-47D3-B67F-A62EFF666E3E}">
          <x14:id>{C5D89E8A-A817-40AD-B72A-A510F57D45A2}</x14:id>
        </ext>
      </extLst>
    </cfRule>
  </conditionalFormatting>
  <conditionalFormatting sqref="T341">
    <cfRule type="expression" dxfId="9754" priority="6424">
      <formula>AND(AND($W341&lt;TODAY(),$W341&lt;&gt;""),$X341="")</formula>
    </cfRule>
  </conditionalFormatting>
  <conditionalFormatting sqref="Z341">
    <cfRule type="dataBar" priority="6423">
      <dataBar>
        <cfvo type="min"/>
        <cfvo type="max"/>
        <color rgb="FF63C384"/>
      </dataBar>
      <extLst>
        <ext xmlns:x14="http://schemas.microsoft.com/office/spreadsheetml/2009/9/main" uri="{B025F937-C7B1-47D3-B67F-A62EFF666E3E}">
          <x14:id>{214CB9F8-67F8-4619-914F-6E7F46578693}</x14:id>
        </ext>
      </extLst>
    </cfRule>
  </conditionalFormatting>
  <conditionalFormatting sqref="Z341">
    <cfRule type="dataBar" priority="6422">
      <dataBar>
        <cfvo type="min"/>
        <cfvo type="max"/>
        <color rgb="FF63C384"/>
      </dataBar>
      <extLst>
        <ext xmlns:x14="http://schemas.microsoft.com/office/spreadsheetml/2009/9/main" uri="{B025F937-C7B1-47D3-B67F-A62EFF666E3E}">
          <x14:id>{8F47B632-1903-4244-89EC-1B6F38B1636F}</x14:id>
        </ext>
      </extLst>
    </cfRule>
  </conditionalFormatting>
  <conditionalFormatting sqref="T342">
    <cfRule type="expression" dxfId="9753" priority="6420">
      <formula>AND(AND($W342&lt;TODAY(),$W342&lt;&gt;""),$X342="")</formula>
    </cfRule>
  </conditionalFormatting>
  <conditionalFormatting sqref="J342">
    <cfRule type="cellIs" dxfId="9752" priority="6419" operator="equal">
      <formula>"ja"</formula>
    </cfRule>
  </conditionalFormatting>
  <conditionalFormatting sqref="Z342">
    <cfRule type="dataBar" priority="6418">
      <dataBar>
        <cfvo type="min"/>
        <cfvo type="max"/>
        <color rgb="FF63C384"/>
      </dataBar>
      <extLst>
        <ext xmlns:x14="http://schemas.microsoft.com/office/spreadsheetml/2009/9/main" uri="{B025F937-C7B1-47D3-B67F-A62EFF666E3E}">
          <x14:id>{CBC0CA38-8618-4209-A8E9-2121A688C329}</x14:id>
        </ext>
      </extLst>
    </cfRule>
  </conditionalFormatting>
  <conditionalFormatting sqref="Z342">
    <cfRule type="dataBar" priority="6417">
      <dataBar>
        <cfvo type="min"/>
        <cfvo type="max"/>
        <color rgb="FF63C384"/>
      </dataBar>
      <extLst>
        <ext xmlns:x14="http://schemas.microsoft.com/office/spreadsheetml/2009/9/main" uri="{B025F937-C7B1-47D3-B67F-A62EFF666E3E}">
          <x14:id>{F8226597-8089-4E5B-92E0-C0083A8DC614}</x14:id>
        </ext>
      </extLst>
    </cfRule>
  </conditionalFormatting>
  <conditionalFormatting sqref="J343">
    <cfRule type="cellIs" dxfId="9751" priority="6416" operator="equal">
      <formula>"ja"</formula>
    </cfRule>
  </conditionalFormatting>
  <conditionalFormatting sqref="T343">
    <cfRule type="expression" dxfId="9750" priority="6415">
      <formula>AND(AND($W343&lt;TODAY(),$W343&lt;&gt;""),$X343="")</formula>
    </cfRule>
  </conditionalFormatting>
  <conditionalFormatting sqref="Z343">
    <cfRule type="dataBar" priority="6414">
      <dataBar>
        <cfvo type="min"/>
        <cfvo type="max"/>
        <color rgb="FF63C384"/>
      </dataBar>
      <extLst>
        <ext xmlns:x14="http://schemas.microsoft.com/office/spreadsheetml/2009/9/main" uri="{B025F937-C7B1-47D3-B67F-A62EFF666E3E}">
          <x14:id>{210563FF-B26A-4187-A079-D7B73D7D9AAA}</x14:id>
        </ext>
      </extLst>
    </cfRule>
  </conditionalFormatting>
  <conditionalFormatting sqref="Z343">
    <cfRule type="dataBar" priority="6413">
      <dataBar>
        <cfvo type="min"/>
        <cfvo type="max"/>
        <color rgb="FF63C384"/>
      </dataBar>
      <extLst>
        <ext xmlns:x14="http://schemas.microsoft.com/office/spreadsheetml/2009/9/main" uri="{B025F937-C7B1-47D3-B67F-A62EFF666E3E}">
          <x14:id>{736FA7E7-3504-41A1-BDD5-2D078F5D77DB}</x14:id>
        </ext>
      </extLst>
    </cfRule>
  </conditionalFormatting>
  <conditionalFormatting sqref="C344">
    <cfRule type="containsText" dxfId="9749" priority="6411" operator="containsText" text="Einnahmen">
      <formula>NOT(ISERROR(SEARCH("Einnahmen",C344)))</formula>
    </cfRule>
    <cfRule type="containsText" dxfId="9748" priority="6412" operator="containsText" text="Ausgaben">
      <formula>NOT(ISERROR(SEARCH("Ausgaben",C344)))</formula>
    </cfRule>
  </conditionalFormatting>
  <conditionalFormatting sqref="J344">
    <cfRule type="cellIs" dxfId="9747" priority="6409" operator="equal">
      <formula>"ja"</formula>
    </cfRule>
  </conditionalFormatting>
  <conditionalFormatting sqref="T344">
    <cfRule type="expression" dxfId="9746" priority="6408">
      <formula>AND(AND($W344&lt;TODAY(),$W344&lt;&gt;""),$X344="")</formula>
    </cfRule>
  </conditionalFormatting>
  <conditionalFormatting sqref="Z344">
    <cfRule type="dataBar" priority="6407">
      <dataBar>
        <cfvo type="min"/>
        <cfvo type="max"/>
        <color rgb="FF63C384"/>
      </dataBar>
      <extLst>
        <ext xmlns:x14="http://schemas.microsoft.com/office/spreadsheetml/2009/9/main" uri="{B025F937-C7B1-47D3-B67F-A62EFF666E3E}">
          <x14:id>{C9EA43E6-3BAD-4206-A143-0B928B9BBD17}</x14:id>
        </ext>
      </extLst>
    </cfRule>
  </conditionalFormatting>
  <conditionalFormatting sqref="Z344">
    <cfRule type="dataBar" priority="6406">
      <dataBar>
        <cfvo type="min"/>
        <cfvo type="max"/>
        <color rgb="FF63C384"/>
      </dataBar>
      <extLst>
        <ext xmlns:x14="http://schemas.microsoft.com/office/spreadsheetml/2009/9/main" uri="{B025F937-C7B1-47D3-B67F-A62EFF666E3E}">
          <x14:id>{A53852E7-5225-4746-8ECD-173A1A39EF15}</x14:id>
        </ext>
      </extLst>
    </cfRule>
  </conditionalFormatting>
  <conditionalFormatting sqref="C345">
    <cfRule type="containsText" dxfId="9745" priority="6404" operator="containsText" text="Einnahmen">
      <formula>NOT(ISERROR(SEARCH("Einnahmen",C345)))</formula>
    </cfRule>
    <cfRule type="containsText" dxfId="9744" priority="6405" operator="containsText" text="Ausgaben">
      <formula>NOT(ISERROR(SEARCH("Ausgaben",C345)))</formula>
    </cfRule>
  </conditionalFormatting>
  <conditionalFormatting sqref="J345">
    <cfRule type="cellIs" dxfId="9743" priority="6402" operator="equal">
      <formula>"ja"</formula>
    </cfRule>
  </conditionalFormatting>
  <conditionalFormatting sqref="T345">
    <cfRule type="expression" dxfId="9742" priority="6401">
      <formula>AND(AND($W345&lt;TODAY(),$W345&lt;&gt;""),$X345="")</formula>
    </cfRule>
  </conditionalFormatting>
  <conditionalFormatting sqref="Z345">
    <cfRule type="dataBar" priority="6400">
      <dataBar>
        <cfvo type="min"/>
        <cfvo type="max"/>
        <color rgb="FF63C384"/>
      </dataBar>
      <extLst>
        <ext xmlns:x14="http://schemas.microsoft.com/office/spreadsheetml/2009/9/main" uri="{B025F937-C7B1-47D3-B67F-A62EFF666E3E}">
          <x14:id>{1042D241-8C46-492B-B6E2-00440DEDA1F6}</x14:id>
        </ext>
      </extLst>
    </cfRule>
  </conditionalFormatting>
  <conditionalFormatting sqref="Z345">
    <cfRule type="dataBar" priority="6399">
      <dataBar>
        <cfvo type="min"/>
        <cfvo type="max"/>
        <color rgb="FF63C384"/>
      </dataBar>
      <extLst>
        <ext xmlns:x14="http://schemas.microsoft.com/office/spreadsheetml/2009/9/main" uri="{B025F937-C7B1-47D3-B67F-A62EFF666E3E}">
          <x14:id>{DFFFFFC1-6924-4942-8429-32B20D6E3EE5}</x14:id>
        </ext>
      </extLst>
    </cfRule>
  </conditionalFormatting>
  <conditionalFormatting sqref="C346">
    <cfRule type="containsText" dxfId="9741" priority="6397" operator="containsText" text="Einnahmen">
      <formula>NOT(ISERROR(SEARCH("Einnahmen",C346)))</formula>
    </cfRule>
    <cfRule type="containsText" dxfId="9740" priority="6398" operator="containsText" text="Ausgaben">
      <formula>NOT(ISERROR(SEARCH("Ausgaben",C346)))</formula>
    </cfRule>
  </conditionalFormatting>
  <conditionalFormatting sqref="J346">
    <cfRule type="cellIs" dxfId="9739" priority="6395" operator="equal">
      <formula>"ja"</formula>
    </cfRule>
  </conditionalFormatting>
  <conditionalFormatting sqref="T346">
    <cfRule type="expression" dxfId="9738" priority="6394">
      <formula>AND(AND($W346&lt;TODAY(),$W346&lt;&gt;""),$X346="")</formula>
    </cfRule>
  </conditionalFormatting>
  <conditionalFormatting sqref="Z346">
    <cfRule type="dataBar" priority="6393">
      <dataBar>
        <cfvo type="min"/>
        <cfvo type="max"/>
        <color rgb="FF63C384"/>
      </dataBar>
      <extLst>
        <ext xmlns:x14="http://schemas.microsoft.com/office/spreadsheetml/2009/9/main" uri="{B025F937-C7B1-47D3-B67F-A62EFF666E3E}">
          <x14:id>{675BE9FC-35C9-4F50-9AE5-B039456BCEE1}</x14:id>
        </ext>
      </extLst>
    </cfRule>
  </conditionalFormatting>
  <conditionalFormatting sqref="Z346">
    <cfRule type="dataBar" priority="6392">
      <dataBar>
        <cfvo type="min"/>
        <cfvo type="max"/>
        <color rgb="FF63C384"/>
      </dataBar>
      <extLst>
        <ext xmlns:x14="http://schemas.microsoft.com/office/spreadsheetml/2009/9/main" uri="{B025F937-C7B1-47D3-B67F-A62EFF666E3E}">
          <x14:id>{251E4500-89BC-4A89-8751-9ACB10C69393}</x14:id>
        </ext>
      </extLst>
    </cfRule>
  </conditionalFormatting>
  <conditionalFormatting sqref="C347">
    <cfRule type="containsText" dxfId="9737" priority="6390" operator="containsText" text="Einnahmen">
      <formula>NOT(ISERROR(SEARCH("Einnahmen",C347)))</formula>
    </cfRule>
    <cfRule type="containsText" dxfId="9736" priority="6391" operator="containsText" text="Ausgaben">
      <formula>NOT(ISERROR(SEARCH("Ausgaben",C347)))</formula>
    </cfRule>
  </conditionalFormatting>
  <conditionalFormatting sqref="J347">
    <cfRule type="cellIs" dxfId="9735" priority="6389" operator="equal">
      <formula>"ja"</formula>
    </cfRule>
  </conditionalFormatting>
  <conditionalFormatting sqref="T347">
    <cfRule type="expression" dxfId="9734" priority="6388">
      <formula>AND(AND($W347&lt;TODAY(),$W347&lt;&gt;""),$X347="")</formula>
    </cfRule>
  </conditionalFormatting>
  <conditionalFormatting sqref="Z347">
    <cfRule type="dataBar" priority="6387">
      <dataBar>
        <cfvo type="min"/>
        <cfvo type="max"/>
        <color rgb="FF63C384"/>
      </dataBar>
      <extLst>
        <ext xmlns:x14="http://schemas.microsoft.com/office/spreadsheetml/2009/9/main" uri="{B025F937-C7B1-47D3-B67F-A62EFF666E3E}">
          <x14:id>{1BB6A71D-F321-4764-B9B2-5BA488EA4DC6}</x14:id>
        </ext>
      </extLst>
    </cfRule>
  </conditionalFormatting>
  <conditionalFormatting sqref="Z347">
    <cfRule type="dataBar" priority="6386">
      <dataBar>
        <cfvo type="min"/>
        <cfvo type="max"/>
        <color rgb="FF63C384"/>
      </dataBar>
      <extLst>
        <ext xmlns:x14="http://schemas.microsoft.com/office/spreadsheetml/2009/9/main" uri="{B025F937-C7B1-47D3-B67F-A62EFF666E3E}">
          <x14:id>{A58A57D8-ABF6-42FD-8D8A-E5AFF45296C3}</x14:id>
        </ext>
      </extLst>
    </cfRule>
  </conditionalFormatting>
  <conditionalFormatting sqref="T348">
    <cfRule type="expression" dxfId="9733" priority="6384">
      <formula>AND(AND($W348&lt;TODAY(),$W348&lt;&gt;""),$X348="")</formula>
    </cfRule>
  </conditionalFormatting>
  <conditionalFormatting sqref="J348">
    <cfRule type="cellIs" dxfId="9732" priority="6383" operator="equal">
      <formula>"ja"</formula>
    </cfRule>
  </conditionalFormatting>
  <conditionalFormatting sqref="Z348">
    <cfRule type="dataBar" priority="6382">
      <dataBar>
        <cfvo type="min"/>
        <cfvo type="max"/>
        <color rgb="FF63C384"/>
      </dataBar>
      <extLst>
        <ext xmlns:x14="http://schemas.microsoft.com/office/spreadsheetml/2009/9/main" uri="{B025F937-C7B1-47D3-B67F-A62EFF666E3E}">
          <x14:id>{B912F43E-D2F8-4E12-BFB0-167A829EDF66}</x14:id>
        </ext>
      </extLst>
    </cfRule>
  </conditionalFormatting>
  <conditionalFormatting sqref="Z348">
    <cfRule type="dataBar" priority="6381">
      <dataBar>
        <cfvo type="min"/>
        <cfvo type="max"/>
        <color rgb="FF63C384"/>
      </dataBar>
      <extLst>
        <ext xmlns:x14="http://schemas.microsoft.com/office/spreadsheetml/2009/9/main" uri="{B025F937-C7B1-47D3-B67F-A62EFF666E3E}">
          <x14:id>{CDC3EDA1-1958-4B21-B757-A6F5172390C5}</x14:id>
        </ext>
      </extLst>
    </cfRule>
  </conditionalFormatting>
  <conditionalFormatting sqref="T349">
    <cfRule type="expression" dxfId="9731" priority="6380">
      <formula>AND(AND($W349&lt;TODAY(),$W349&lt;&gt;""),$X349="")</formula>
    </cfRule>
  </conditionalFormatting>
  <conditionalFormatting sqref="J349">
    <cfRule type="cellIs" dxfId="9730" priority="6379" operator="equal">
      <formula>"ja"</formula>
    </cfRule>
  </conditionalFormatting>
  <conditionalFormatting sqref="Z349">
    <cfRule type="dataBar" priority="6378">
      <dataBar>
        <cfvo type="min"/>
        <cfvo type="max"/>
        <color rgb="FF63C384"/>
      </dataBar>
      <extLst>
        <ext xmlns:x14="http://schemas.microsoft.com/office/spreadsheetml/2009/9/main" uri="{B025F937-C7B1-47D3-B67F-A62EFF666E3E}">
          <x14:id>{8384D411-F707-4CC8-BACE-4997D92369B1}</x14:id>
        </ext>
      </extLst>
    </cfRule>
  </conditionalFormatting>
  <conditionalFormatting sqref="Z349">
    <cfRule type="dataBar" priority="6377">
      <dataBar>
        <cfvo type="min"/>
        <cfvo type="max"/>
        <color rgb="FF63C384"/>
      </dataBar>
      <extLst>
        <ext xmlns:x14="http://schemas.microsoft.com/office/spreadsheetml/2009/9/main" uri="{B025F937-C7B1-47D3-B67F-A62EFF666E3E}">
          <x14:id>{1782BD16-4B92-42CF-9DC8-1321522B1893}</x14:id>
        </ext>
      </extLst>
    </cfRule>
  </conditionalFormatting>
  <conditionalFormatting sqref="J350">
    <cfRule type="cellIs" dxfId="9729" priority="6375" operator="equal">
      <formula>"ja"</formula>
    </cfRule>
  </conditionalFormatting>
  <conditionalFormatting sqref="T350">
    <cfRule type="expression" dxfId="9728" priority="6374">
      <formula>AND(AND($W350&lt;TODAY(),$W350&lt;&gt;""),$X350="")</formula>
    </cfRule>
  </conditionalFormatting>
  <conditionalFormatting sqref="Z350">
    <cfRule type="dataBar" priority="6373">
      <dataBar>
        <cfvo type="min"/>
        <cfvo type="max"/>
        <color rgb="FF63C384"/>
      </dataBar>
      <extLst>
        <ext xmlns:x14="http://schemas.microsoft.com/office/spreadsheetml/2009/9/main" uri="{B025F937-C7B1-47D3-B67F-A62EFF666E3E}">
          <x14:id>{1E03D43F-F5E9-4E72-AA6E-9A34B76D8BAB}</x14:id>
        </ext>
      </extLst>
    </cfRule>
  </conditionalFormatting>
  <conditionalFormatting sqref="Z350">
    <cfRule type="dataBar" priority="6372">
      <dataBar>
        <cfvo type="min"/>
        <cfvo type="max"/>
        <color rgb="FF63C384"/>
      </dataBar>
      <extLst>
        <ext xmlns:x14="http://schemas.microsoft.com/office/spreadsheetml/2009/9/main" uri="{B025F937-C7B1-47D3-B67F-A62EFF666E3E}">
          <x14:id>{99516746-F87E-47F3-8634-81A3543D0EE9}</x14:id>
        </ext>
      </extLst>
    </cfRule>
  </conditionalFormatting>
  <conditionalFormatting sqref="J351">
    <cfRule type="cellIs" dxfId="9727" priority="6370" operator="equal">
      <formula>"ja"</formula>
    </cfRule>
  </conditionalFormatting>
  <conditionalFormatting sqref="T351">
    <cfRule type="expression" dxfId="9726" priority="6369">
      <formula>AND(AND($W351&lt;TODAY(),$W351&lt;&gt;""),$X351="")</formula>
    </cfRule>
  </conditionalFormatting>
  <conditionalFormatting sqref="Z351">
    <cfRule type="dataBar" priority="6368">
      <dataBar>
        <cfvo type="min"/>
        <cfvo type="max"/>
        <color rgb="FF63C384"/>
      </dataBar>
      <extLst>
        <ext xmlns:x14="http://schemas.microsoft.com/office/spreadsheetml/2009/9/main" uri="{B025F937-C7B1-47D3-B67F-A62EFF666E3E}">
          <x14:id>{18C51419-EB1E-4E20-9C49-DD01C175CB45}</x14:id>
        </ext>
      </extLst>
    </cfRule>
  </conditionalFormatting>
  <conditionalFormatting sqref="Z351">
    <cfRule type="dataBar" priority="6367">
      <dataBar>
        <cfvo type="min"/>
        <cfvo type="max"/>
        <color rgb="FF63C384"/>
      </dataBar>
      <extLst>
        <ext xmlns:x14="http://schemas.microsoft.com/office/spreadsheetml/2009/9/main" uri="{B025F937-C7B1-47D3-B67F-A62EFF666E3E}">
          <x14:id>{83B3D67D-602E-478E-A901-A22AD8EA8532}</x14:id>
        </ext>
      </extLst>
    </cfRule>
  </conditionalFormatting>
  <conditionalFormatting sqref="C352">
    <cfRule type="containsText" dxfId="9725" priority="6360" operator="containsText" text="Einnahmen">
      <formula>NOT(ISERROR(SEARCH("Einnahmen",C352)))</formula>
    </cfRule>
    <cfRule type="containsText" dxfId="9724" priority="6361" operator="containsText" text="Ausgaben">
      <formula>NOT(ISERROR(SEARCH("Ausgaben",C352)))</formula>
    </cfRule>
  </conditionalFormatting>
  <conditionalFormatting sqref="J352">
    <cfRule type="cellIs" dxfId="9723" priority="6359" operator="equal">
      <formula>"ja"</formula>
    </cfRule>
  </conditionalFormatting>
  <conditionalFormatting sqref="T352">
    <cfRule type="expression" dxfId="9722" priority="6358">
      <formula>AND(AND($W352&lt;TODAY(),$W352&lt;&gt;""),$X352="")</formula>
    </cfRule>
  </conditionalFormatting>
  <conditionalFormatting sqref="Z352">
    <cfRule type="dataBar" priority="6357">
      <dataBar>
        <cfvo type="min"/>
        <cfvo type="max"/>
        <color rgb="FF63C384"/>
      </dataBar>
      <extLst>
        <ext xmlns:x14="http://schemas.microsoft.com/office/spreadsheetml/2009/9/main" uri="{B025F937-C7B1-47D3-B67F-A62EFF666E3E}">
          <x14:id>{A0C1282D-58E0-4017-8B84-FDEF4E62CE89}</x14:id>
        </ext>
      </extLst>
    </cfRule>
  </conditionalFormatting>
  <conditionalFormatting sqref="Z352">
    <cfRule type="dataBar" priority="6356">
      <dataBar>
        <cfvo type="min"/>
        <cfvo type="max"/>
        <color rgb="FF63C384"/>
      </dataBar>
      <extLst>
        <ext xmlns:x14="http://schemas.microsoft.com/office/spreadsheetml/2009/9/main" uri="{B025F937-C7B1-47D3-B67F-A62EFF666E3E}">
          <x14:id>{9F12D1A7-068D-4118-984D-2D4C045C5348}</x14:id>
        </ext>
      </extLst>
    </cfRule>
  </conditionalFormatting>
  <conditionalFormatting sqref="J353">
    <cfRule type="cellIs" dxfId="9721" priority="6354" operator="equal">
      <formula>"ja"</formula>
    </cfRule>
  </conditionalFormatting>
  <conditionalFormatting sqref="T353">
    <cfRule type="expression" dxfId="9720" priority="6353">
      <formula>AND(AND($W353&lt;TODAY(),$W353&lt;&gt;""),$X353="")</formula>
    </cfRule>
  </conditionalFormatting>
  <conditionalFormatting sqref="Z353">
    <cfRule type="dataBar" priority="6352">
      <dataBar>
        <cfvo type="min"/>
        <cfvo type="max"/>
        <color rgb="FF63C384"/>
      </dataBar>
      <extLst>
        <ext xmlns:x14="http://schemas.microsoft.com/office/spreadsheetml/2009/9/main" uri="{B025F937-C7B1-47D3-B67F-A62EFF666E3E}">
          <x14:id>{22A881D1-7946-4711-9A96-0BD842C20CE8}</x14:id>
        </ext>
      </extLst>
    </cfRule>
  </conditionalFormatting>
  <conditionalFormatting sqref="Z353">
    <cfRule type="dataBar" priority="6351">
      <dataBar>
        <cfvo type="min"/>
        <cfvo type="max"/>
        <color rgb="FF63C384"/>
      </dataBar>
      <extLst>
        <ext xmlns:x14="http://schemas.microsoft.com/office/spreadsheetml/2009/9/main" uri="{B025F937-C7B1-47D3-B67F-A62EFF666E3E}">
          <x14:id>{42F1807A-F376-4C1B-AC83-1DA34082F0D1}</x14:id>
        </ext>
      </extLst>
    </cfRule>
  </conditionalFormatting>
  <conditionalFormatting sqref="J354">
    <cfRule type="cellIs" dxfId="9719" priority="6349" operator="equal">
      <formula>"ja"</formula>
    </cfRule>
  </conditionalFormatting>
  <conditionalFormatting sqref="T354">
    <cfRule type="expression" dxfId="9718" priority="6348">
      <formula>AND(AND($W354&lt;TODAY(),$W354&lt;&gt;""),$X354="")</formula>
    </cfRule>
  </conditionalFormatting>
  <conditionalFormatting sqref="Z354">
    <cfRule type="dataBar" priority="6347">
      <dataBar>
        <cfvo type="min"/>
        <cfvo type="max"/>
        <color rgb="FF63C384"/>
      </dataBar>
      <extLst>
        <ext xmlns:x14="http://schemas.microsoft.com/office/spreadsheetml/2009/9/main" uri="{B025F937-C7B1-47D3-B67F-A62EFF666E3E}">
          <x14:id>{12D3B1BE-F8AC-437A-B604-771AC2AB6259}</x14:id>
        </ext>
      </extLst>
    </cfRule>
  </conditionalFormatting>
  <conditionalFormatting sqref="Z354">
    <cfRule type="dataBar" priority="6346">
      <dataBar>
        <cfvo type="min"/>
        <cfvo type="max"/>
        <color rgb="FF63C384"/>
      </dataBar>
      <extLst>
        <ext xmlns:x14="http://schemas.microsoft.com/office/spreadsheetml/2009/9/main" uri="{B025F937-C7B1-47D3-B67F-A62EFF666E3E}">
          <x14:id>{D6525616-0865-4DE0-8828-2CACD5A80F6B}</x14:id>
        </ext>
      </extLst>
    </cfRule>
  </conditionalFormatting>
  <conditionalFormatting sqref="T355">
    <cfRule type="expression" dxfId="9717" priority="6344">
      <formula>AND(AND($W355&lt;TODAY(),$W355&lt;&gt;""),$X355="")</formula>
    </cfRule>
  </conditionalFormatting>
  <conditionalFormatting sqref="J355">
    <cfRule type="cellIs" dxfId="9716" priority="6343" operator="equal">
      <formula>"ja"</formula>
    </cfRule>
  </conditionalFormatting>
  <conditionalFormatting sqref="Z355">
    <cfRule type="dataBar" priority="6342">
      <dataBar>
        <cfvo type="min"/>
        <cfvo type="max"/>
        <color rgb="FF63C384"/>
      </dataBar>
      <extLst>
        <ext xmlns:x14="http://schemas.microsoft.com/office/spreadsheetml/2009/9/main" uri="{B025F937-C7B1-47D3-B67F-A62EFF666E3E}">
          <x14:id>{72FEB70E-F338-4DD9-A3E9-E32FFD217AC6}</x14:id>
        </ext>
      </extLst>
    </cfRule>
  </conditionalFormatting>
  <conditionalFormatting sqref="Z355">
    <cfRule type="dataBar" priority="6341">
      <dataBar>
        <cfvo type="min"/>
        <cfvo type="max"/>
        <color rgb="FF63C384"/>
      </dataBar>
      <extLst>
        <ext xmlns:x14="http://schemas.microsoft.com/office/spreadsheetml/2009/9/main" uri="{B025F937-C7B1-47D3-B67F-A62EFF666E3E}">
          <x14:id>{67C0BEC2-17B1-4FEA-9999-A172617459C2}</x14:id>
        </ext>
      </extLst>
    </cfRule>
  </conditionalFormatting>
  <conditionalFormatting sqref="T356">
    <cfRule type="expression" dxfId="9715" priority="6340">
      <formula>AND(AND($W356&lt;TODAY(),$W356&lt;&gt;""),$X356="")</formula>
    </cfRule>
  </conditionalFormatting>
  <conditionalFormatting sqref="C356">
    <cfRule type="containsText" dxfId="9714" priority="6338" operator="containsText" text="Einnahmen">
      <formula>NOT(ISERROR(SEARCH("Einnahmen",C356)))</formula>
    </cfRule>
    <cfRule type="containsText" dxfId="9713" priority="6339" operator="containsText" text="Ausgaben">
      <formula>NOT(ISERROR(SEARCH("Ausgaben",C356)))</formula>
    </cfRule>
  </conditionalFormatting>
  <conditionalFormatting sqref="J356">
    <cfRule type="cellIs" dxfId="9712" priority="6336" operator="equal">
      <formula>"ja"</formula>
    </cfRule>
  </conditionalFormatting>
  <conditionalFormatting sqref="Z356">
    <cfRule type="dataBar" priority="6335">
      <dataBar>
        <cfvo type="min"/>
        <cfvo type="max"/>
        <color rgb="FF63C384"/>
      </dataBar>
      <extLst>
        <ext xmlns:x14="http://schemas.microsoft.com/office/spreadsheetml/2009/9/main" uri="{B025F937-C7B1-47D3-B67F-A62EFF666E3E}">
          <x14:id>{CB182A55-E1C3-426F-9E05-E4DFFA16BDF6}</x14:id>
        </ext>
      </extLst>
    </cfRule>
  </conditionalFormatting>
  <conditionalFormatting sqref="C357 C360:C368 C370:C379 C387">
    <cfRule type="containsText" dxfId="9711" priority="6333" operator="containsText" text="Einnahmen">
      <formula>NOT(ISERROR(SEARCH("Einnahmen",C357)))</formula>
    </cfRule>
    <cfRule type="containsText" dxfId="9710" priority="6334" operator="containsText" text="Ausgaben">
      <formula>NOT(ISERROR(SEARCH("Ausgaben",C357)))</formula>
    </cfRule>
  </conditionalFormatting>
  <conditionalFormatting sqref="J357">
    <cfRule type="cellIs" dxfId="9709" priority="6331" operator="equal">
      <formula>"ja"</formula>
    </cfRule>
  </conditionalFormatting>
  <conditionalFormatting sqref="T357">
    <cfRule type="expression" dxfId="9708" priority="6330">
      <formula>AND(AND($W357&lt;TODAY(),$W357&lt;&gt;""),$X357="")</formula>
    </cfRule>
  </conditionalFormatting>
  <conditionalFormatting sqref="Z357">
    <cfRule type="dataBar" priority="6329">
      <dataBar>
        <cfvo type="min"/>
        <cfvo type="max"/>
        <color rgb="FF63C384"/>
      </dataBar>
      <extLst>
        <ext xmlns:x14="http://schemas.microsoft.com/office/spreadsheetml/2009/9/main" uri="{B025F937-C7B1-47D3-B67F-A62EFF666E3E}">
          <x14:id>{6AFD0990-7D88-49DE-9A56-1996BD0531D5}</x14:id>
        </ext>
      </extLst>
    </cfRule>
  </conditionalFormatting>
  <conditionalFormatting sqref="Z357">
    <cfRule type="dataBar" priority="6328">
      <dataBar>
        <cfvo type="min"/>
        <cfvo type="max"/>
        <color rgb="FF63C384"/>
      </dataBar>
      <extLst>
        <ext xmlns:x14="http://schemas.microsoft.com/office/spreadsheetml/2009/9/main" uri="{B025F937-C7B1-47D3-B67F-A62EFF666E3E}">
          <x14:id>{79D0BA12-C9BD-4D3B-8FCB-82DDD6DAEEFE}</x14:id>
        </ext>
      </extLst>
    </cfRule>
  </conditionalFormatting>
  <conditionalFormatting sqref="C358">
    <cfRule type="containsText" dxfId="9707" priority="6325" operator="containsText" text="Einnahmen">
      <formula>NOT(ISERROR(SEARCH("Einnahmen",C358)))</formula>
    </cfRule>
    <cfRule type="containsText" dxfId="9706" priority="6326" operator="containsText" text="Ausgaben">
      <formula>NOT(ISERROR(SEARCH("Ausgaben",C358)))</formula>
    </cfRule>
  </conditionalFormatting>
  <conditionalFormatting sqref="T358">
    <cfRule type="expression" dxfId="9705" priority="6324">
      <formula>AND(AND($W358&lt;TODAY(),$W358&lt;&gt;""),$X358="")</formula>
    </cfRule>
  </conditionalFormatting>
  <conditionalFormatting sqref="Z358">
    <cfRule type="dataBar" priority="6323">
      <dataBar>
        <cfvo type="min"/>
        <cfvo type="max"/>
        <color rgb="FF63C384"/>
      </dataBar>
      <extLst>
        <ext xmlns:x14="http://schemas.microsoft.com/office/spreadsheetml/2009/9/main" uri="{B025F937-C7B1-47D3-B67F-A62EFF666E3E}">
          <x14:id>{101ED6D9-25DF-4AAB-833E-596E949C949C}</x14:id>
        </ext>
      </extLst>
    </cfRule>
  </conditionalFormatting>
  <conditionalFormatting sqref="Z358">
    <cfRule type="dataBar" priority="6322">
      <dataBar>
        <cfvo type="min"/>
        <cfvo type="max"/>
        <color rgb="FF63C384"/>
      </dataBar>
      <extLst>
        <ext xmlns:x14="http://schemas.microsoft.com/office/spreadsheetml/2009/9/main" uri="{B025F937-C7B1-47D3-B67F-A62EFF666E3E}">
          <x14:id>{9732E26D-3C6F-4616-8C45-19CE2DD9CAEE}</x14:id>
        </ext>
      </extLst>
    </cfRule>
  </conditionalFormatting>
  <conditionalFormatting sqref="J359">
    <cfRule type="cellIs" dxfId="9704" priority="6320" operator="equal">
      <formula>"ja"</formula>
    </cfRule>
  </conditionalFormatting>
  <conditionalFormatting sqref="T359">
    <cfRule type="expression" dxfId="9703" priority="6319">
      <formula>AND(AND($W359&lt;TODAY(),$W359&lt;&gt;""),$X359="")</formula>
    </cfRule>
  </conditionalFormatting>
  <conditionalFormatting sqref="Z359">
    <cfRule type="dataBar" priority="6318">
      <dataBar>
        <cfvo type="min"/>
        <cfvo type="max"/>
        <color rgb="FF63C384"/>
      </dataBar>
      <extLst>
        <ext xmlns:x14="http://schemas.microsoft.com/office/spreadsheetml/2009/9/main" uri="{B025F937-C7B1-47D3-B67F-A62EFF666E3E}">
          <x14:id>{6B8F1730-4DB3-4C11-A11D-3C2C6F5BB806}</x14:id>
        </ext>
      </extLst>
    </cfRule>
  </conditionalFormatting>
  <conditionalFormatting sqref="Z359">
    <cfRule type="dataBar" priority="6317">
      <dataBar>
        <cfvo type="min"/>
        <cfvo type="max"/>
        <color rgb="FF63C384"/>
      </dataBar>
      <extLst>
        <ext xmlns:x14="http://schemas.microsoft.com/office/spreadsheetml/2009/9/main" uri="{B025F937-C7B1-47D3-B67F-A62EFF666E3E}">
          <x14:id>{E305041C-2DA4-4463-B9D5-835211B3F0AF}</x14:id>
        </ext>
      </extLst>
    </cfRule>
  </conditionalFormatting>
  <conditionalFormatting sqref="C359">
    <cfRule type="containsText" dxfId="9702" priority="6315" operator="containsText" text="Einnahmen">
      <formula>NOT(ISERROR(SEARCH("Einnahmen",C359)))</formula>
    </cfRule>
    <cfRule type="containsText" dxfId="9701" priority="6316" operator="containsText" text="Ausgaben">
      <formula>NOT(ISERROR(SEARCH("Ausgaben",C359)))</formula>
    </cfRule>
  </conditionalFormatting>
  <conditionalFormatting sqref="T360">
    <cfRule type="expression" dxfId="9700" priority="6314">
      <formula>AND(AND($W360&lt;TODAY(),$W360&lt;&gt;""),$X360="")</formula>
    </cfRule>
  </conditionalFormatting>
  <conditionalFormatting sqref="J360">
    <cfRule type="cellIs" dxfId="9699" priority="6313" operator="equal">
      <formula>"ja"</formula>
    </cfRule>
  </conditionalFormatting>
  <conditionalFormatting sqref="Z360">
    <cfRule type="dataBar" priority="6312">
      <dataBar>
        <cfvo type="min"/>
        <cfvo type="max"/>
        <color rgb="FF63C384"/>
      </dataBar>
      <extLst>
        <ext xmlns:x14="http://schemas.microsoft.com/office/spreadsheetml/2009/9/main" uri="{B025F937-C7B1-47D3-B67F-A62EFF666E3E}">
          <x14:id>{22F83F4F-6ADA-44AD-B8D5-5114891D88A3}</x14:id>
        </ext>
      </extLst>
    </cfRule>
  </conditionalFormatting>
  <conditionalFormatting sqref="Z360">
    <cfRule type="dataBar" priority="6311">
      <dataBar>
        <cfvo type="min"/>
        <cfvo type="max"/>
        <color rgb="FF63C384"/>
      </dataBar>
      <extLst>
        <ext xmlns:x14="http://schemas.microsoft.com/office/spreadsheetml/2009/9/main" uri="{B025F937-C7B1-47D3-B67F-A62EFF666E3E}">
          <x14:id>{F2EE4F43-E4E1-4EA2-A332-9E438E61B316}</x14:id>
        </ext>
      </extLst>
    </cfRule>
  </conditionalFormatting>
  <conditionalFormatting sqref="T362">
    <cfRule type="expression" dxfId="9698" priority="6305">
      <formula>AND(AND($W362&lt;TODAY(),$W362&lt;&gt;""),$X362="")</formula>
    </cfRule>
  </conditionalFormatting>
  <conditionalFormatting sqref="J362">
    <cfRule type="cellIs" dxfId="9697" priority="6303" operator="equal">
      <formula>"ja"</formula>
    </cfRule>
  </conditionalFormatting>
  <conditionalFormatting sqref="Z362">
    <cfRule type="dataBar" priority="6302">
      <dataBar>
        <cfvo type="min"/>
        <cfvo type="max"/>
        <color rgb="FF63C384"/>
      </dataBar>
      <extLst>
        <ext xmlns:x14="http://schemas.microsoft.com/office/spreadsheetml/2009/9/main" uri="{B025F937-C7B1-47D3-B67F-A62EFF666E3E}">
          <x14:id>{E16D2C46-78AA-4CBA-A58B-318DD3960431}</x14:id>
        </ext>
      </extLst>
    </cfRule>
  </conditionalFormatting>
  <conditionalFormatting sqref="Z362">
    <cfRule type="dataBar" priority="6301">
      <dataBar>
        <cfvo type="min"/>
        <cfvo type="max"/>
        <color rgb="FF63C384"/>
      </dataBar>
      <extLst>
        <ext xmlns:x14="http://schemas.microsoft.com/office/spreadsheetml/2009/9/main" uri="{B025F937-C7B1-47D3-B67F-A62EFF666E3E}">
          <x14:id>{C38F5E32-0E60-4F25-8E64-8E74AA6A8D44}</x14:id>
        </ext>
      </extLst>
    </cfRule>
  </conditionalFormatting>
  <conditionalFormatting sqref="J361">
    <cfRule type="cellIs" dxfId="9696" priority="6299" operator="equal">
      <formula>"ja"</formula>
    </cfRule>
  </conditionalFormatting>
  <conditionalFormatting sqref="T361">
    <cfRule type="expression" dxfId="9695" priority="6298">
      <formula>AND(AND($W361&lt;TODAY(),$W361&lt;&gt;""),$X361="")</formula>
    </cfRule>
  </conditionalFormatting>
  <conditionalFormatting sqref="Z361">
    <cfRule type="dataBar" priority="6297">
      <dataBar>
        <cfvo type="min"/>
        <cfvo type="max"/>
        <color rgb="FF63C384"/>
      </dataBar>
      <extLst>
        <ext xmlns:x14="http://schemas.microsoft.com/office/spreadsheetml/2009/9/main" uri="{B025F937-C7B1-47D3-B67F-A62EFF666E3E}">
          <x14:id>{234B75F6-2D49-4CEA-B211-60FF51186D07}</x14:id>
        </ext>
      </extLst>
    </cfRule>
  </conditionalFormatting>
  <conditionalFormatting sqref="Z361">
    <cfRule type="dataBar" priority="6296">
      <dataBar>
        <cfvo type="min"/>
        <cfvo type="max"/>
        <color rgb="FF63C384"/>
      </dataBar>
      <extLst>
        <ext xmlns:x14="http://schemas.microsoft.com/office/spreadsheetml/2009/9/main" uri="{B025F937-C7B1-47D3-B67F-A62EFF666E3E}">
          <x14:id>{8456F769-BA85-466A-A9CD-97D834AABC82}</x14:id>
        </ext>
      </extLst>
    </cfRule>
  </conditionalFormatting>
  <conditionalFormatting sqref="J363">
    <cfRule type="cellIs" dxfId="9694" priority="6293" operator="equal">
      <formula>"ja"</formula>
    </cfRule>
  </conditionalFormatting>
  <conditionalFormatting sqref="T363">
    <cfRule type="expression" dxfId="9693" priority="6292">
      <formula>AND(AND($W363&lt;TODAY(),$W363&lt;&gt;""),$X363="")</formula>
    </cfRule>
  </conditionalFormatting>
  <conditionalFormatting sqref="Z363">
    <cfRule type="dataBar" priority="6291">
      <dataBar>
        <cfvo type="min"/>
        <cfvo type="max"/>
        <color rgb="FF63C384"/>
      </dataBar>
      <extLst>
        <ext xmlns:x14="http://schemas.microsoft.com/office/spreadsheetml/2009/9/main" uri="{B025F937-C7B1-47D3-B67F-A62EFF666E3E}">
          <x14:id>{523DE019-4967-4A48-ADF5-F76F6C773DF2}</x14:id>
        </ext>
      </extLst>
    </cfRule>
  </conditionalFormatting>
  <conditionalFormatting sqref="Z363">
    <cfRule type="dataBar" priority="6290">
      <dataBar>
        <cfvo type="min"/>
        <cfvo type="max"/>
        <color rgb="FF63C384"/>
      </dataBar>
      <extLst>
        <ext xmlns:x14="http://schemas.microsoft.com/office/spreadsheetml/2009/9/main" uri="{B025F937-C7B1-47D3-B67F-A62EFF666E3E}">
          <x14:id>{B5EE1CA0-2F00-4DF1-9BC4-C25416CC0DFE}</x14:id>
        </ext>
      </extLst>
    </cfRule>
  </conditionalFormatting>
  <conditionalFormatting sqref="J364">
    <cfRule type="cellIs" dxfId="9692" priority="6288" operator="equal">
      <formula>"ja"</formula>
    </cfRule>
  </conditionalFormatting>
  <conditionalFormatting sqref="T364">
    <cfRule type="expression" dxfId="9691" priority="6287">
      <formula>AND(AND($W364&lt;TODAY(),$W364&lt;&gt;""),$X364="")</formula>
    </cfRule>
  </conditionalFormatting>
  <conditionalFormatting sqref="Z364">
    <cfRule type="dataBar" priority="6286">
      <dataBar>
        <cfvo type="min"/>
        <cfvo type="max"/>
        <color rgb="FF63C384"/>
      </dataBar>
      <extLst>
        <ext xmlns:x14="http://schemas.microsoft.com/office/spreadsheetml/2009/9/main" uri="{B025F937-C7B1-47D3-B67F-A62EFF666E3E}">
          <x14:id>{B51461B5-3E34-4F33-9977-A17842F8B217}</x14:id>
        </ext>
      </extLst>
    </cfRule>
  </conditionalFormatting>
  <conditionalFormatting sqref="Z364">
    <cfRule type="dataBar" priority="6285">
      <dataBar>
        <cfvo type="min"/>
        <cfvo type="max"/>
        <color rgb="FF63C384"/>
      </dataBar>
      <extLst>
        <ext xmlns:x14="http://schemas.microsoft.com/office/spreadsheetml/2009/9/main" uri="{B025F937-C7B1-47D3-B67F-A62EFF666E3E}">
          <x14:id>{16F30887-2E39-4727-8EA5-A00BC209E06F}</x14:id>
        </ext>
      </extLst>
    </cfRule>
  </conditionalFormatting>
  <conditionalFormatting sqref="J365">
    <cfRule type="cellIs" dxfId="9690" priority="6284" operator="equal">
      <formula>"ja"</formula>
    </cfRule>
  </conditionalFormatting>
  <conditionalFormatting sqref="T365">
    <cfRule type="expression" dxfId="9689" priority="6283">
      <formula>AND(AND($W365&lt;TODAY(),$W365&lt;&gt;""),$X365="")</formula>
    </cfRule>
  </conditionalFormatting>
  <conditionalFormatting sqref="Z365">
    <cfRule type="dataBar" priority="6282">
      <dataBar>
        <cfvo type="min"/>
        <cfvo type="max"/>
        <color rgb="FF63C384"/>
      </dataBar>
      <extLst>
        <ext xmlns:x14="http://schemas.microsoft.com/office/spreadsheetml/2009/9/main" uri="{B025F937-C7B1-47D3-B67F-A62EFF666E3E}">
          <x14:id>{707F5FB0-6CA5-4D49-ACD9-0B41F03D753B}</x14:id>
        </ext>
      </extLst>
    </cfRule>
  </conditionalFormatting>
  <conditionalFormatting sqref="Z365">
    <cfRule type="dataBar" priority="6281">
      <dataBar>
        <cfvo type="min"/>
        <cfvo type="max"/>
        <color rgb="FF63C384"/>
      </dataBar>
      <extLst>
        <ext xmlns:x14="http://schemas.microsoft.com/office/spreadsheetml/2009/9/main" uri="{B025F937-C7B1-47D3-B67F-A62EFF666E3E}">
          <x14:id>{FB5A1B51-B005-4856-B8B6-EEEA82DE9798}</x14:id>
        </ext>
      </extLst>
    </cfRule>
  </conditionalFormatting>
  <conditionalFormatting sqref="T366">
    <cfRule type="expression" dxfId="9688" priority="6276">
      <formula>AND(AND($W366&lt;TODAY(),$W366&lt;&gt;""),$X366="")</formula>
    </cfRule>
  </conditionalFormatting>
  <conditionalFormatting sqref="J366">
    <cfRule type="cellIs" dxfId="9687" priority="6275" operator="equal">
      <formula>"ja"</formula>
    </cfRule>
  </conditionalFormatting>
  <conditionalFormatting sqref="Z366">
    <cfRule type="dataBar" priority="6274">
      <dataBar>
        <cfvo type="min"/>
        <cfvo type="max"/>
        <color rgb="FF63C384"/>
      </dataBar>
      <extLst>
        <ext xmlns:x14="http://schemas.microsoft.com/office/spreadsheetml/2009/9/main" uri="{B025F937-C7B1-47D3-B67F-A62EFF666E3E}">
          <x14:id>{9FF961E2-9674-4F88-883B-BFB3EC93901D}</x14:id>
        </ext>
      </extLst>
    </cfRule>
  </conditionalFormatting>
  <conditionalFormatting sqref="Z366">
    <cfRule type="dataBar" priority="6273">
      <dataBar>
        <cfvo type="min"/>
        <cfvo type="max"/>
        <color rgb="FF63C384"/>
      </dataBar>
      <extLst>
        <ext xmlns:x14="http://schemas.microsoft.com/office/spreadsheetml/2009/9/main" uri="{B025F937-C7B1-47D3-B67F-A62EFF666E3E}">
          <x14:id>{DC463D1F-7FC5-4C5E-8ECB-3F17D91E23FE}</x14:id>
        </ext>
      </extLst>
    </cfRule>
  </conditionalFormatting>
  <conditionalFormatting sqref="T367">
    <cfRule type="expression" dxfId="9686" priority="6272">
      <formula>AND(AND($W367&lt;TODAY(),$W367&lt;&gt;""),$X367="")</formula>
    </cfRule>
  </conditionalFormatting>
  <conditionalFormatting sqref="J367">
    <cfRule type="cellIs" dxfId="9685" priority="6271" operator="equal">
      <formula>"ja"</formula>
    </cfRule>
  </conditionalFormatting>
  <conditionalFormatting sqref="Z367">
    <cfRule type="dataBar" priority="6270">
      <dataBar>
        <cfvo type="min"/>
        <cfvo type="max"/>
        <color rgb="FF63C384"/>
      </dataBar>
      <extLst>
        <ext xmlns:x14="http://schemas.microsoft.com/office/spreadsheetml/2009/9/main" uri="{B025F937-C7B1-47D3-B67F-A62EFF666E3E}">
          <x14:id>{BBDEA54E-7F3E-4857-898C-8979385E1868}</x14:id>
        </ext>
      </extLst>
    </cfRule>
  </conditionalFormatting>
  <conditionalFormatting sqref="Z367">
    <cfRule type="dataBar" priority="6269">
      <dataBar>
        <cfvo type="min"/>
        <cfvo type="max"/>
        <color rgb="FF63C384"/>
      </dataBar>
      <extLst>
        <ext xmlns:x14="http://schemas.microsoft.com/office/spreadsheetml/2009/9/main" uri="{B025F937-C7B1-47D3-B67F-A62EFF666E3E}">
          <x14:id>{D522EAED-0E23-4C4A-804C-B7074FEE3B65}</x14:id>
        </ext>
      </extLst>
    </cfRule>
  </conditionalFormatting>
  <conditionalFormatting sqref="T368">
    <cfRule type="expression" dxfId="9684" priority="6268">
      <formula>AND(AND($W368&lt;TODAY(),$W368&lt;&gt;""),$X368="")</formula>
    </cfRule>
  </conditionalFormatting>
  <conditionalFormatting sqref="Z368">
    <cfRule type="dataBar" priority="6267">
      <dataBar>
        <cfvo type="min"/>
        <cfvo type="max"/>
        <color rgb="FF63C384"/>
      </dataBar>
      <extLst>
        <ext xmlns:x14="http://schemas.microsoft.com/office/spreadsheetml/2009/9/main" uri="{B025F937-C7B1-47D3-B67F-A62EFF666E3E}">
          <x14:id>{1A69AE71-331B-4279-A9B2-5D72AC64F3E8}</x14:id>
        </ext>
      </extLst>
    </cfRule>
  </conditionalFormatting>
  <conditionalFormatting sqref="Z368">
    <cfRule type="dataBar" priority="6266">
      <dataBar>
        <cfvo type="min"/>
        <cfvo type="max"/>
        <color rgb="FF63C384"/>
      </dataBar>
      <extLst>
        <ext xmlns:x14="http://schemas.microsoft.com/office/spreadsheetml/2009/9/main" uri="{B025F937-C7B1-47D3-B67F-A62EFF666E3E}">
          <x14:id>{F3DB3636-897F-4E5F-8A72-1E2711FCC40A}</x14:id>
        </ext>
      </extLst>
    </cfRule>
  </conditionalFormatting>
  <conditionalFormatting sqref="J369">
    <cfRule type="cellIs" dxfId="9683" priority="6265" operator="equal">
      <formula>"ja"</formula>
    </cfRule>
  </conditionalFormatting>
  <conditionalFormatting sqref="T369">
    <cfRule type="expression" dxfId="9682" priority="6264">
      <formula>AND(AND($W369&lt;TODAY(),$W369&lt;&gt;""),$X369="")</formula>
    </cfRule>
  </conditionalFormatting>
  <conditionalFormatting sqref="Z369">
    <cfRule type="dataBar" priority="6263">
      <dataBar>
        <cfvo type="min"/>
        <cfvo type="max"/>
        <color rgb="FF63C384"/>
      </dataBar>
      <extLst>
        <ext xmlns:x14="http://schemas.microsoft.com/office/spreadsheetml/2009/9/main" uri="{B025F937-C7B1-47D3-B67F-A62EFF666E3E}">
          <x14:id>{35B1C512-C291-49CD-A211-CD61C4405C25}</x14:id>
        </ext>
      </extLst>
    </cfRule>
  </conditionalFormatting>
  <conditionalFormatting sqref="Z369">
    <cfRule type="dataBar" priority="6262">
      <dataBar>
        <cfvo type="min"/>
        <cfvo type="max"/>
        <color rgb="FF63C384"/>
      </dataBar>
      <extLst>
        <ext xmlns:x14="http://schemas.microsoft.com/office/spreadsheetml/2009/9/main" uri="{B025F937-C7B1-47D3-B67F-A62EFF666E3E}">
          <x14:id>{7B26428D-0857-449B-99F3-84CD273D6E98}</x14:id>
        </ext>
      </extLst>
    </cfRule>
  </conditionalFormatting>
  <conditionalFormatting sqref="C369">
    <cfRule type="containsText" dxfId="9681" priority="6260" operator="containsText" text="Einnahmen">
      <formula>NOT(ISERROR(SEARCH("Einnahmen",C369)))</formula>
    </cfRule>
    <cfRule type="containsText" dxfId="9680" priority="6261" operator="containsText" text="Ausgaben">
      <formula>NOT(ISERROR(SEARCH("Ausgaben",C369)))</formula>
    </cfRule>
  </conditionalFormatting>
  <conditionalFormatting sqref="J370">
    <cfRule type="cellIs" dxfId="9679" priority="6258" operator="equal">
      <formula>"ja"</formula>
    </cfRule>
  </conditionalFormatting>
  <conditionalFormatting sqref="T370">
    <cfRule type="expression" dxfId="9678" priority="6257">
      <formula>AND(AND($W370&lt;TODAY(),$W370&lt;&gt;""),$X370="")</formula>
    </cfRule>
  </conditionalFormatting>
  <conditionalFormatting sqref="Z370">
    <cfRule type="dataBar" priority="6256">
      <dataBar>
        <cfvo type="min"/>
        <cfvo type="max"/>
        <color rgb="FF63C384"/>
      </dataBar>
      <extLst>
        <ext xmlns:x14="http://schemas.microsoft.com/office/spreadsheetml/2009/9/main" uri="{B025F937-C7B1-47D3-B67F-A62EFF666E3E}">
          <x14:id>{8DA23DE8-4A6E-4BF3-BC2D-A468B514E0E8}</x14:id>
        </ext>
      </extLst>
    </cfRule>
  </conditionalFormatting>
  <conditionalFormatting sqref="Z370">
    <cfRule type="dataBar" priority="6255">
      <dataBar>
        <cfvo type="min"/>
        <cfvo type="max"/>
        <color rgb="FF63C384"/>
      </dataBar>
      <extLst>
        <ext xmlns:x14="http://schemas.microsoft.com/office/spreadsheetml/2009/9/main" uri="{B025F937-C7B1-47D3-B67F-A62EFF666E3E}">
          <x14:id>{42EDAF3A-D724-4343-9123-6CDF0F331D11}</x14:id>
        </ext>
      </extLst>
    </cfRule>
  </conditionalFormatting>
  <conditionalFormatting sqref="T374">
    <cfRule type="expression" dxfId="9677" priority="6254">
      <formula>AND(AND($W374&lt;TODAY(),$W374&lt;&gt;""),$X374="")</formula>
    </cfRule>
  </conditionalFormatting>
  <conditionalFormatting sqref="Z374">
    <cfRule type="dataBar" priority="6253">
      <dataBar>
        <cfvo type="min"/>
        <cfvo type="max"/>
        <color rgb="FF63C384"/>
      </dataBar>
      <extLst>
        <ext xmlns:x14="http://schemas.microsoft.com/office/spreadsheetml/2009/9/main" uri="{B025F937-C7B1-47D3-B67F-A62EFF666E3E}">
          <x14:id>{9CC882F3-F15E-4936-B1ED-86B18E7D929E}</x14:id>
        </ext>
      </extLst>
    </cfRule>
  </conditionalFormatting>
  <conditionalFormatting sqref="Z374">
    <cfRule type="dataBar" priority="6252">
      <dataBar>
        <cfvo type="min"/>
        <cfvo type="max"/>
        <color rgb="FF63C384"/>
      </dataBar>
      <extLst>
        <ext xmlns:x14="http://schemas.microsoft.com/office/spreadsheetml/2009/9/main" uri="{B025F937-C7B1-47D3-B67F-A62EFF666E3E}">
          <x14:id>{179677D3-94B7-47E4-883A-147B7C6C9DFB}</x14:id>
        </ext>
      </extLst>
    </cfRule>
  </conditionalFormatting>
  <conditionalFormatting sqref="J374">
    <cfRule type="cellIs" dxfId="9676" priority="6251" operator="equal">
      <formula>"ja"</formula>
    </cfRule>
  </conditionalFormatting>
  <conditionalFormatting sqref="J371">
    <cfRule type="cellIs" dxfId="9675" priority="6250" operator="equal">
      <formula>"ja"</formula>
    </cfRule>
  </conditionalFormatting>
  <conditionalFormatting sqref="T371">
    <cfRule type="expression" dxfId="9674" priority="6249">
      <formula>AND(AND($W371&lt;TODAY(),$W371&lt;&gt;""),$X371="")</formula>
    </cfRule>
  </conditionalFormatting>
  <conditionalFormatting sqref="Z371">
    <cfRule type="dataBar" priority="6248">
      <dataBar>
        <cfvo type="min"/>
        <cfvo type="max"/>
        <color rgb="FF63C384"/>
      </dataBar>
      <extLst>
        <ext xmlns:x14="http://schemas.microsoft.com/office/spreadsheetml/2009/9/main" uri="{B025F937-C7B1-47D3-B67F-A62EFF666E3E}">
          <x14:id>{6D81461B-5C96-4BB3-86B7-86F78749E634}</x14:id>
        </ext>
      </extLst>
    </cfRule>
  </conditionalFormatting>
  <conditionalFormatting sqref="Z371">
    <cfRule type="dataBar" priority="6247">
      <dataBar>
        <cfvo type="min"/>
        <cfvo type="max"/>
        <color rgb="FF63C384"/>
      </dataBar>
      <extLst>
        <ext xmlns:x14="http://schemas.microsoft.com/office/spreadsheetml/2009/9/main" uri="{B025F937-C7B1-47D3-B67F-A62EFF666E3E}">
          <x14:id>{7041E980-AF18-4D11-95BC-E91ECA09EF80}</x14:id>
        </ext>
      </extLst>
    </cfRule>
  </conditionalFormatting>
  <conditionalFormatting sqref="J372">
    <cfRule type="cellIs" dxfId="9673" priority="6245" operator="equal">
      <formula>"ja"</formula>
    </cfRule>
  </conditionalFormatting>
  <conditionalFormatting sqref="T372">
    <cfRule type="expression" dxfId="9672" priority="6244">
      <formula>AND(AND($W372&lt;TODAY(),$W372&lt;&gt;""),$X372="")</formula>
    </cfRule>
  </conditionalFormatting>
  <conditionalFormatting sqref="Z372">
    <cfRule type="dataBar" priority="6243">
      <dataBar>
        <cfvo type="min"/>
        <cfvo type="max"/>
        <color rgb="FF63C384"/>
      </dataBar>
      <extLst>
        <ext xmlns:x14="http://schemas.microsoft.com/office/spreadsheetml/2009/9/main" uri="{B025F937-C7B1-47D3-B67F-A62EFF666E3E}">
          <x14:id>{F6E3C061-D20D-44F2-A26B-216ECDA9E03D}</x14:id>
        </ext>
      </extLst>
    </cfRule>
  </conditionalFormatting>
  <conditionalFormatting sqref="Z372">
    <cfRule type="dataBar" priority="6242">
      <dataBar>
        <cfvo type="min"/>
        <cfvo type="max"/>
        <color rgb="FF63C384"/>
      </dataBar>
      <extLst>
        <ext xmlns:x14="http://schemas.microsoft.com/office/spreadsheetml/2009/9/main" uri="{B025F937-C7B1-47D3-B67F-A62EFF666E3E}">
          <x14:id>{270804B6-C9F7-4C08-9A66-751DC5BC88E4}</x14:id>
        </ext>
      </extLst>
    </cfRule>
  </conditionalFormatting>
  <conditionalFormatting sqref="J373">
    <cfRule type="cellIs" dxfId="9671" priority="6241" operator="equal">
      <formula>"ja"</formula>
    </cfRule>
  </conditionalFormatting>
  <conditionalFormatting sqref="T373">
    <cfRule type="expression" dxfId="9670" priority="6240">
      <formula>AND(AND($W373&lt;TODAY(),$W373&lt;&gt;""),$X373="")</formula>
    </cfRule>
  </conditionalFormatting>
  <conditionalFormatting sqref="Z373">
    <cfRule type="dataBar" priority="6239">
      <dataBar>
        <cfvo type="min"/>
        <cfvo type="max"/>
        <color rgb="FF63C384"/>
      </dataBar>
      <extLst>
        <ext xmlns:x14="http://schemas.microsoft.com/office/spreadsheetml/2009/9/main" uri="{B025F937-C7B1-47D3-B67F-A62EFF666E3E}">
          <x14:id>{74F869DE-A521-4FD1-8C9B-3B0695C41CB7}</x14:id>
        </ext>
      </extLst>
    </cfRule>
  </conditionalFormatting>
  <conditionalFormatting sqref="Z373">
    <cfRule type="dataBar" priority="6238">
      <dataBar>
        <cfvo type="min"/>
        <cfvo type="max"/>
        <color rgb="FF63C384"/>
      </dataBar>
      <extLst>
        <ext xmlns:x14="http://schemas.microsoft.com/office/spreadsheetml/2009/9/main" uri="{B025F937-C7B1-47D3-B67F-A62EFF666E3E}">
          <x14:id>{942A6BB8-C287-4230-90C8-EF31A7BD722E}</x14:id>
        </ext>
      </extLst>
    </cfRule>
  </conditionalFormatting>
  <conditionalFormatting sqref="T375">
    <cfRule type="expression" dxfId="9669" priority="6237">
      <formula>AND(AND($W375&lt;TODAY(),$W375&lt;&gt;""),$X375="")</formula>
    </cfRule>
  </conditionalFormatting>
  <conditionalFormatting sqref="Z375">
    <cfRule type="dataBar" priority="6236">
      <dataBar>
        <cfvo type="min"/>
        <cfvo type="max"/>
        <color rgb="FF63C384"/>
      </dataBar>
      <extLst>
        <ext xmlns:x14="http://schemas.microsoft.com/office/spreadsheetml/2009/9/main" uri="{B025F937-C7B1-47D3-B67F-A62EFF666E3E}">
          <x14:id>{3295BB74-B597-4AB9-ABC0-E1CB722A093F}</x14:id>
        </ext>
      </extLst>
    </cfRule>
  </conditionalFormatting>
  <conditionalFormatting sqref="Z375">
    <cfRule type="dataBar" priority="6235">
      <dataBar>
        <cfvo type="min"/>
        <cfvo type="max"/>
        <color rgb="FF63C384"/>
      </dataBar>
      <extLst>
        <ext xmlns:x14="http://schemas.microsoft.com/office/spreadsheetml/2009/9/main" uri="{B025F937-C7B1-47D3-B67F-A62EFF666E3E}">
          <x14:id>{FB291F61-E81C-4F45-9E73-6FDEDFF47D46}</x14:id>
        </ext>
      </extLst>
    </cfRule>
  </conditionalFormatting>
  <conditionalFormatting sqref="J376">
    <cfRule type="cellIs" dxfId="9668" priority="6233" operator="equal">
      <formula>"ja"</formula>
    </cfRule>
  </conditionalFormatting>
  <conditionalFormatting sqref="T376">
    <cfRule type="expression" dxfId="9667" priority="6232">
      <formula>AND(AND($W376&lt;TODAY(),$W376&lt;&gt;""),$X376="")</formula>
    </cfRule>
  </conditionalFormatting>
  <conditionalFormatting sqref="Z376">
    <cfRule type="dataBar" priority="6231">
      <dataBar>
        <cfvo type="min"/>
        <cfvo type="max"/>
        <color rgb="FF63C384"/>
      </dataBar>
      <extLst>
        <ext xmlns:x14="http://schemas.microsoft.com/office/spreadsheetml/2009/9/main" uri="{B025F937-C7B1-47D3-B67F-A62EFF666E3E}">
          <x14:id>{AFE7DBB0-D752-4684-8B41-898BFE248671}</x14:id>
        </ext>
      </extLst>
    </cfRule>
  </conditionalFormatting>
  <conditionalFormatting sqref="Z376">
    <cfRule type="dataBar" priority="6230">
      <dataBar>
        <cfvo type="min"/>
        <cfvo type="max"/>
        <color rgb="FF63C384"/>
      </dataBar>
      <extLst>
        <ext xmlns:x14="http://schemas.microsoft.com/office/spreadsheetml/2009/9/main" uri="{B025F937-C7B1-47D3-B67F-A62EFF666E3E}">
          <x14:id>{86604936-0664-40C5-8B28-B7E2FFEFB8F9}</x14:id>
        </ext>
      </extLst>
    </cfRule>
  </conditionalFormatting>
  <conditionalFormatting sqref="J377">
    <cfRule type="cellIs" dxfId="9666" priority="6225" operator="equal">
      <formula>"ja"</formula>
    </cfRule>
  </conditionalFormatting>
  <conditionalFormatting sqref="T377">
    <cfRule type="expression" dxfId="9665" priority="6224">
      <formula>AND(AND($W377&lt;TODAY(),$W377&lt;&gt;""),$X377="")</formula>
    </cfRule>
  </conditionalFormatting>
  <conditionalFormatting sqref="Z377">
    <cfRule type="dataBar" priority="6223">
      <dataBar>
        <cfvo type="min"/>
        <cfvo type="max"/>
        <color rgb="FF63C384"/>
      </dataBar>
      <extLst>
        <ext xmlns:x14="http://schemas.microsoft.com/office/spreadsheetml/2009/9/main" uri="{B025F937-C7B1-47D3-B67F-A62EFF666E3E}">
          <x14:id>{C6CD0A35-DE82-4A44-BA79-A782B3207313}</x14:id>
        </ext>
      </extLst>
    </cfRule>
  </conditionalFormatting>
  <conditionalFormatting sqref="Z377">
    <cfRule type="dataBar" priority="6222">
      <dataBar>
        <cfvo type="min"/>
        <cfvo type="max"/>
        <color rgb="FF63C384"/>
      </dataBar>
      <extLst>
        <ext xmlns:x14="http://schemas.microsoft.com/office/spreadsheetml/2009/9/main" uri="{B025F937-C7B1-47D3-B67F-A62EFF666E3E}">
          <x14:id>{D73B3254-C3A9-420E-AF75-13302D2EC685}</x14:id>
        </ext>
      </extLst>
    </cfRule>
  </conditionalFormatting>
  <conditionalFormatting sqref="J378">
    <cfRule type="cellIs" dxfId="9664" priority="6221" operator="equal">
      <formula>"ja"</formula>
    </cfRule>
  </conditionalFormatting>
  <conditionalFormatting sqref="T378">
    <cfRule type="expression" dxfId="9663" priority="6220">
      <formula>AND(AND($W378&lt;TODAY(),$W378&lt;&gt;""),$X378="")</formula>
    </cfRule>
  </conditionalFormatting>
  <conditionalFormatting sqref="Z378">
    <cfRule type="dataBar" priority="6219">
      <dataBar>
        <cfvo type="min"/>
        <cfvo type="max"/>
        <color rgb="FF63C384"/>
      </dataBar>
      <extLst>
        <ext xmlns:x14="http://schemas.microsoft.com/office/spreadsheetml/2009/9/main" uri="{B025F937-C7B1-47D3-B67F-A62EFF666E3E}">
          <x14:id>{3F861A76-A8DF-4687-AF3D-C39503A204E5}</x14:id>
        </ext>
      </extLst>
    </cfRule>
  </conditionalFormatting>
  <conditionalFormatting sqref="Z378">
    <cfRule type="dataBar" priority="6218">
      <dataBar>
        <cfvo type="min"/>
        <cfvo type="max"/>
        <color rgb="FF63C384"/>
      </dataBar>
      <extLst>
        <ext xmlns:x14="http://schemas.microsoft.com/office/spreadsheetml/2009/9/main" uri="{B025F937-C7B1-47D3-B67F-A62EFF666E3E}">
          <x14:id>{9A3F2B48-EC13-4C09-A01D-07FFE63B59D1}</x14:id>
        </ext>
      </extLst>
    </cfRule>
  </conditionalFormatting>
  <conditionalFormatting sqref="J379">
    <cfRule type="cellIs" dxfId="9662" priority="6216" operator="equal">
      <formula>"ja"</formula>
    </cfRule>
  </conditionalFormatting>
  <conditionalFormatting sqref="T379">
    <cfRule type="expression" dxfId="9661" priority="6215">
      <formula>AND(AND($W379&lt;TODAY(),$W379&lt;&gt;""),$X379="")</formula>
    </cfRule>
  </conditionalFormatting>
  <conditionalFormatting sqref="Z379">
    <cfRule type="dataBar" priority="6214">
      <dataBar>
        <cfvo type="min"/>
        <cfvo type="max"/>
        <color rgb="FF63C384"/>
      </dataBar>
      <extLst>
        <ext xmlns:x14="http://schemas.microsoft.com/office/spreadsheetml/2009/9/main" uri="{B025F937-C7B1-47D3-B67F-A62EFF666E3E}">
          <x14:id>{4BE39D70-7C07-4A8D-B584-31D00366688C}</x14:id>
        </ext>
      </extLst>
    </cfRule>
  </conditionalFormatting>
  <conditionalFormatting sqref="Z379">
    <cfRule type="dataBar" priority="6213">
      <dataBar>
        <cfvo type="min"/>
        <cfvo type="max"/>
        <color rgb="FF63C384"/>
      </dataBar>
      <extLst>
        <ext xmlns:x14="http://schemas.microsoft.com/office/spreadsheetml/2009/9/main" uri="{B025F937-C7B1-47D3-B67F-A62EFF666E3E}">
          <x14:id>{124799A4-2567-4FC1-8F97-1497E889916E}</x14:id>
        </ext>
      </extLst>
    </cfRule>
  </conditionalFormatting>
  <conditionalFormatting sqref="C380">
    <cfRule type="containsText" dxfId="9660" priority="6211" operator="containsText" text="Einnahmen">
      <formula>NOT(ISERROR(SEARCH("Einnahmen",C380)))</formula>
    </cfRule>
    <cfRule type="containsText" dxfId="9659" priority="6212" operator="containsText" text="Ausgaben">
      <formula>NOT(ISERROR(SEARCH("Ausgaben",C380)))</formula>
    </cfRule>
  </conditionalFormatting>
  <conditionalFormatting sqref="T380">
    <cfRule type="expression" dxfId="9658" priority="6209">
      <formula>AND(AND($W380&lt;TODAY(),$W380&lt;&gt;""),$X380="")</formula>
    </cfRule>
  </conditionalFormatting>
  <conditionalFormatting sqref="J380">
    <cfRule type="cellIs" dxfId="9657" priority="6208" operator="equal">
      <formula>"ja"</formula>
    </cfRule>
  </conditionalFormatting>
  <conditionalFormatting sqref="Z380">
    <cfRule type="dataBar" priority="6207">
      <dataBar>
        <cfvo type="min"/>
        <cfvo type="max"/>
        <color rgb="FF63C384"/>
      </dataBar>
      <extLst>
        <ext xmlns:x14="http://schemas.microsoft.com/office/spreadsheetml/2009/9/main" uri="{B025F937-C7B1-47D3-B67F-A62EFF666E3E}">
          <x14:id>{51F84C43-EC37-4856-8792-351246A584E7}</x14:id>
        </ext>
      </extLst>
    </cfRule>
  </conditionalFormatting>
  <conditionalFormatting sqref="Z380">
    <cfRule type="dataBar" priority="6206">
      <dataBar>
        <cfvo type="min"/>
        <cfvo type="max"/>
        <color rgb="FF63C384"/>
      </dataBar>
      <extLst>
        <ext xmlns:x14="http://schemas.microsoft.com/office/spreadsheetml/2009/9/main" uri="{B025F937-C7B1-47D3-B67F-A62EFF666E3E}">
          <x14:id>{F53F71CB-E75F-47AE-9FAA-2C847E454B64}</x14:id>
        </ext>
      </extLst>
    </cfRule>
  </conditionalFormatting>
  <conditionalFormatting sqref="C383">
    <cfRule type="containsText" dxfId="9656" priority="6174" operator="containsText" text="Einnahmen">
      <formula>NOT(ISERROR(SEARCH("Einnahmen",C383)))</formula>
    </cfRule>
    <cfRule type="containsText" dxfId="9655" priority="6175" operator="containsText" text="Ausgaben">
      <formula>NOT(ISERROR(SEARCH("Ausgaben",C383)))</formula>
    </cfRule>
  </conditionalFormatting>
  <conditionalFormatting sqref="C381">
    <cfRule type="containsText" dxfId="9654" priority="6171" operator="containsText" text="Einnahmen">
      <formula>NOT(ISERROR(SEARCH("Einnahmen",C381)))</formula>
    </cfRule>
    <cfRule type="containsText" dxfId="9653" priority="6172" operator="containsText" text="Ausgaben">
      <formula>NOT(ISERROR(SEARCH("Ausgaben",C381)))</formula>
    </cfRule>
  </conditionalFormatting>
  <conditionalFormatting sqref="J381">
    <cfRule type="cellIs" dxfId="9652" priority="6170" operator="equal">
      <formula>"ja"</formula>
    </cfRule>
  </conditionalFormatting>
  <conditionalFormatting sqref="T381">
    <cfRule type="expression" dxfId="9651" priority="6169">
      <formula>AND(AND($W381&lt;TODAY(),$W381&lt;&gt;""),$X381="")</formula>
    </cfRule>
  </conditionalFormatting>
  <conditionalFormatting sqref="Z381">
    <cfRule type="dataBar" priority="6168">
      <dataBar>
        <cfvo type="min"/>
        <cfvo type="max"/>
        <color rgb="FF63C384"/>
      </dataBar>
      <extLst>
        <ext xmlns:x14="http://schemas.microsoft.com/office/spreadsheetml/2009/9/main" uri="{B025F937-C7B1-47D3-B67F-A62EFF666E3E}">
          <x14:id>{0ADC2D5B-0CE7-4A8E-9871-CDE7D3AAC956}</x14:id>
        </ext>
      </extLst>
    </cfRule>
  </conditionalFormatting>
  <conditionalFormatting sqref="Z381">
    <cfRule type="dataBar" priority="6167">
      <dataBar>
        <cfvo type="min"/>
        <cfvo type="max"/>
        <color rgb="FF63C384"/>
      </dataBar>
      <extLst>
        <ext xmlns:x14="http://schemas.microsoft.com/office/spreadsheetml/2009/9/main" uri="{B025F937-C7B1-47D3-B67F-A62EFF666E3E}">
          <x14:id>{8EEC71B8-9753-4611-B912-D63917BA9264}</x14:id>
        </ext>
      </extLst>
    </cfRule>
  </conditionalFormatting>
  <conditionalFormatting sqref="T383">
    <cfRule type="expression" dxfId="9650" priority="6158">
      <formula>AND(AND($W383&lt;TODAY(),$W383&lt;&gt;""),$X383="")</formula>
    </cfRule>
  </conditionalFormatting>
  <conditionalFormatting sqref="J383">
    <cfRule type="cellIs" dxfId="9649" priority="6157" operator="equal">
      <formula>"ja"</formula>
    </cfRule>
  </conditionalFormatting>
  <conditionalFormatting sqref="Z383">
    <cfRule type="dataBar" priority="6156">
      <dataBar>
        <cfvo type="min"/>
        <cfvo type="max"/>
        <color rgb="FF63C384"/>
      </dataBar>
      <extLst>
        <ext xmlns:x14="http://schemas.microsoft.com/office/spreadsheetml/2009/9/main" uri="{B025F937-C7B1-47D3-B67F-A62EFF666E3E}">
          <x14:id>{02BC4C6F-2920-442E-83AE-B23F9D8D97D0}</x14:id>
        </ext>
      </extLst>
    </cfRule>
  </conditionalFormatting>
  <conditionalFormatting sqref="Z383">
    <cfRule type="dataBar" priority="6155">
      <dataBar>
        <cfvo type="min"/>
        <cfvo type="max"/>
        <color rgb="FF63C384"/>
      </dataBar>
      <extLst>
        <ext xmlns:x14="http://schemas.microsoft.com/office/spreadsheetml/2009/9/main" uri="{B025F937-C7B1-47D3-B67F-A62EFF666E3E}">
          <x14:id>{8123EB46-3E2E-489D-A735-E6836AD84FB2}</x14:id>
        </ext>
      </extLst>
    </cfRule>
  </conditionalFormatting>
  <conditionalFormatting sqref="C382">
    <cfRule type="containsText" dxfId="9648" priority="6148" operator="containsText" text="Einnahmen">
      <formula>NOT(ISERROR(SEARCH("Einnahmen",C382)))</formula>
    </cfRule>
    <cfRule type="containsText" dxfId="9647" priority="6149" operator="containsText" text="Ausgaben">
      <formula>NOT(ISERROR(SEARCH("Ausgaben",C382)))</formula>
    </cfRule>
  </conditionalFormatting>
  <conditionalFormatting sqref="C392">
    <cfRule type="containsText" dxfId="9646" priority="6055" operator="containsText" text="Einnahmen">
      <formula>NOT(ISERROR(SEARCH("Einnahmen",C392)))</formula>
    </cfRule>
    <cfRule type="containsText" dxfId="9645" priority="6056" operator="containsText" text="Ausgaben">
      <formula>NOT(ISERROR(SEARCH("Ausgaben",C392)))</formula>
    </cfRule>
  </conditionalFormatting>
  <conditionalFormatting sqref="T391">
    <cfRule type="expression" dxfId="9644" priority="6060">
      <formula>AND(AND($W391&lt;TODAY(),$W391&lt;&gt;""),$X391="")</formula>
    </cfRule>
  </conditionalFormatting>
  <conditionalFormatting sqref="C384">
    <cfRule type="containsText" dxfId="9643" priority="6126" operator="containsText" text="Einnahmen">
      <formula>NOT(ISERROR(SEARCH("Einnahmen",C384)))</formula>
    </cfRule>
    <cfRule type="containsText" dxfId="9642" priority="6127" operator="containsText" text="Ausgaben">
      <formula>NOT(ISERROR(SEARCH("Ausgaben",C384)))</formula>
    </cfRule>
  </conditionalFormatting>
  <conditionalFormatting sqref="J384">
    <cfRule type="cellIs" dxfId="9641" priority="6124" operator="equal">
      <formula>"ja"</formula>
    </cfRule>
  </conditionalFormatting>
  <conditionalFormatting sqref="T384">
    <cfRule type="expression" dxfId="9640" priority="6123">
      <formula>AND(AND($W384&lt;TODAY(),$W384&lt;&gt;""),$X384="")</formula>
    </cfRule>
  </conditionalFormatting>
  <conditionalFormatting sqref="Z384">
    <cfRule type="dataBar" priority="6122">
      <dataBar>
        <cfvo type="min"/>
        <cfvo type="max"/>
        <color rgb="FF63C384"/>
      </dataBar>
      <extLst>
        <ext xmlns:x14="http://schemas.microsoft.com/office/spreadsheetml/2009/9/main" uri="{B025F937-C7B1-47D3-B67F-A62EFF666E3E}">
          <x14:id>{096AC73D-B434-42CB-BCD6-D31A315A29D9}</x14:id>
        </ext>
      </extLst>
    </cfRule>
  </conditionalFormatting>
  <conditionalFormatting sqref="Z384">
    <cfRule type="dataBar" priority="6121">
      <dataBar>
        <cfvo type="min"/>
        <cfvo type="max"/>
        <color rgb="FF63C384"/>
      </dataBar>
      <extLst>
        <ext xmlns:x14="http://schemas.microsoft.com/office/spreadsheetml/2009/9/main" uri="{B025F937-C7B1-47D3-B67F-A62EFF666E3E}">
          <x14:id>{25DB9102-EB0A-48B5-883A-12D4EBE75EB6}</x14:id>
        </ext>
      </extLst>
    </cfRule>
  </conditionalFormatting>
  <conditionalFormatting sqref="C385">
    <cfRule type="containsText" dxfId="9639" priority="6118" operator="containsText" text="Einnahmen">
      <formula>NOT(ISERROR(SEARCH("Einnahmen",C385)))</formula>
    </cfRule>
    <cfRule type="containsText" dxfId="9638" priority="6119" operator="containsText" text="Ausgaben">
      <formula>NOT(ISERROR(SEARCH("Ausgaben",C385)))</formula>
    </cfRule>
  </conditionalFormatting>
  <conditionalFormatting sqref="T385">
    <cfRule type="expression" dxfId="9637" priority="6117">
      <formula>AND(AND($W385&lt;TODAY(),$W385&lt;&gt;""),$X385="")</formula>
    </cfRule>
  </conditionalFormatting>
  <conditionalFormatting sqref="J385">
    <cfRule type="cellIs" dxfId="9636" priority="6116" operator="equal">
      <formula>"ja"</formula>
    </cfRule>
  </conditionalFormatting>
  <conditionalFormatting sqref="Z385">
    <cfRule type="dataBar" priority="6115">
      <dataBar>
        <cfvo type="min"/>
        <cfvo type="max"/>
        <color rgb="FF63C384"/>
      </dataBar>
      <extLst>
        <ext xmlns:x14="http://schemas.microsoft.com/office/spreadsheetml/2009/9/main" uri="{B025F937-C7B1-47D3-B67F-A62EFF666E3E}">
          <x14:id>{93743820-DA02-4CEB-9741-C3A057E62AA2}</x14:id>
        </ext>
      </extLst>
    </cfRule>
  </conditionalFormatting>
  <conditionalFormatting sqref="Z385">
    <cfRule type="dataBar" priority="6114">
      <dataBar>
        <cfvo type="min"/>
        <cfvo type="max"/>
        <color rgb="FF63C384"/>
      </dataBar>
      <extLst>
        <ext xmlns:x14="http://schemas.microsoft.com/office/spreadsheetml/2009/9/main" uri="{B025F937-C7B1-47D3-B67F-A62EFF666E3E}">
          <x14:id>{69446FBF-F399-415C-BB3A-E42C31E6C251}</x14:id>
        </ext>
      </extLst>
    </cfRule>
  </conditionalFormatting>
  <conditionalFormatting sqref="C386">
    <cfRule type="containsText" dxfId="9635" priority="6112" operator="containsText" text="Einnahmen">
      <formula>NOT(ISERROR(SEARCH("Einnahmen",C386)))</formula>
    </cfRule>
    <cfRule type="containsText" dxfId="9634" priority="6113" operator="containsText" text="Ausgaben">
      <formula>NOT(ISERROR(SEARCH("Ausgaben",C386)))</formula>
    </cfRule>
  </conditionalFormatting>
  <conditionalFormatting sqref="J386">
    <cfRule type="cellIs" dxfId="9633" priority="6111" operator="equal">
      <formula>"ja"</formula>
    </cfRule>
  </conditionalFormatting>
  <conditionalFormatting sqref="T386">
    <cfRule type="expression" dxfId="9632" priority="6110">
      <formula>AND(AND($W386&lt;TODAY(),$W386&lt;&gt;""),$X386="")</formula>
    </cfRule>
  </conditionalFormatting>
  <conditionalFormatting sqref="Z386">
    <cfRule type="dataBar" priority="6109">
      <dataBar>
        <cfvo type="min"/>
        <cfvo type="max"/>
        <color rgb="FF63C384"/>
      </dataBar>
      <extLst>
        <ext xmlns:x14="http://schemas.microsoft.com/office/spreadsheetml/2009/9/main" uri="{B025F937-C7B1-47D3-B67F-A62EFF666E3E}">
          <x14:id>{C5836F58-8E89-4ADB-8430-B53936CBCD99}</x14:id>
        </ext>
      </extLst>
    </cfRule>
  </conditionalFormatting>
  <conditionalFormatting sqref="Z386">
    <cfRule type="dataBar" priority="6108">
      <dataBar>
        <cfvo type="min"/>
        <cfvo type="max"/>
        <color rgb="FF63C384"/>
      </dataBar>
      <extLst>
        <ext xmlns:x14="http://schemas.microsoft.com/office/spreadsheetml/2009/9/main" uri="{B025F937-C7B1-47D3-B67F-A62EFF666E3E}">
          <x14:id>{2209CCA2-04DD-43BF-A972-03941AE48A78}</x14:id>
        </ext>
      </extLst>
    </cfRule>
  </conditionalFormatting>
  <conditionalFormatting sqref="T387">
    <cfRule type="expression" dxfId="9631" priority="6107">
      <formula>AND(AND($W387&lt;TODAY(),$W387&lt;&gt;""),$X387="")</formula>
    </cfRule>
  </conditionalFormatting>
  <conditionalFormatting sqref="Z387">
    <cfRule type="dataBar" priority="6106">
      <dataBar>
        <cfvo type="min"/>
        <cfvo type="max"/>
        <color rgb="FF63C384"/>
      </dataBar>
      <extLst>
        <ext xmlns:x14="http://schemas.microsoft.com/office/spreadsheetml/2009/9/main" uri="{B025F937-C7B1-47D3-B67F-A62EFF666E3E}">
          <x14:id>{8428A490-6929-4379-B984-8EC0C98BF52F}</x14:id>
        </ext>
      </extLst>
    </cfRule>
  </conditionalFormatting>
  <conditionalFormatting sqref="Z387">
    <cfRule type="dataBar" priority="6105">
      <dataBar>
        <cfvo type="min"/>
        <cfvo type="max"/>
        <color rgb="FF63C384"/>
      </dataBar>
      <extLst>
        <ext xmlns:x14="http://schemas.microsoft.com/office/spreadsheetml/2009/9/main" uri="{B025F937-C7B1-47D3-B67F-A62EFF666E3E}">
          <x14:id>{3FE11F27-C047-4B11-B22E-A34145433E02}</x14:id>
        </ext>
      </extLst>
    </cfRule>
  </conditionalFormatting>
  <conditionalFormatting sqref="C388">
    <cfRule type="containsText" dxfId="9630" priority="6103" operator="containsText" text="Einnahmen">
      <formula>NOT(ISERROR(SEARCH("Einnahmen",C388)))</formula>
    </cfRule>
    <cfRule type="containsText" dxfId="9629" priority="6104" operator="containsText" text="Ausgaben">
      <formula>NOT(ISERROR(SEARCH("Ausgaben",C388)))</formula>
    </cfRule>
  </conditionalFormatting>
  <conditionalFormatting sqref="J388">
    <cfRule type="cellIs" dxfId="9628" priority="6102" operator="equal">
      <formula>"ja"</formula>
    </cfRule>
  </conditionalFormatting>
  <conditionalFormatting sqref="T388">
    <cfRule type="expression" dxfId="9627" priority="6101">
      <formula>AND(AND($W388&lt;TODAY(),$W388&lt;&gt;""),$X388="")</formula>
    </cfRule>
  </conditionalFormatting>
  <conditionalFormatting sqref="Z388">
    <cfRule type="dataBar" priority="6100">
      <dataBar>
        <cfvo type="min"/>
        <cfvo type="max"/>
        <color rgb="FF63C384"/>
      </dataBar>
      <extLst>
        <ext xmlns:x14="http://schemas.microsoft.com/office/spreadsheetml/2009/9/main" uri="{B025F937-C7B1-47D3-B67F-A62EFF666E3E}">
          <x14:id>{FD8007CC-4BA4-403D-86E9-97425C486750}</x14:id>
        </ext>
      </extLst>
    </cfRule>
  </conditionalFormatting>
  <conditionalFormatting sqref="Z388">
    <cfRule type="dataBar" priority="6099">
      <dataBar>
        <cfvo type="min"/>
        <cfvo type="max"/>
        <color rgb="FF63C384"/>
      </dataBar>
      <extLst>
        <ext xmlns:x14="http://schemas.microsoft.com/office/spreadsheetml/2009/9/main" uri="{B025F937-C7B1-47D3-B67F-A62EFF666E3E}">
          <x14:id>{9E9AAF97-F1A4-4D8A-BE29-8665C4859702}</x14:id>
        </ext>
      </extLst>
    </cfRule>
  </conditionalFormatting>
  <conditionalFormatting sqref="C391">
    <cfRule type="containsText" dxfId="9626" priority="6062" operator="containsText" text="Einnahmen">
      <formula>NOT(ISERROR(SEARCH("Einnahmen",C391)))</formula>
    </cfRule>
    <cfRule type="containsText" dxfId="9625" priority="6063" operator="containsText" text="Ausgaben">
      <formula>NOT(ISERROR(SEARCH("Ausgaben",C391)))</formula>
    </cfRule>
  </conditionalFormatting>
  <conditionalFormatting sqref="J382">
    <cfRule type="cellIs" dxfId="9624" priority="6084" operator="equal">
      <formula>"ja"</formula>
    </cfRule>
  </conditionalFormatting>
  <conditionalFormatting sqref="T382">
    <cfRule type="expression" dxfId="9623" priority="6083">
      <formula>AND(AND($W382&lt;TODAY(),$W382&lt;&gt;""),$X382="")</formula>
    </cfRule>
  </conditionalFormatting>
  <conditionalFormatting sqref="Z382">
    <cfRule type="dataBar" priority="6082">
      <dataBar>
        <cfvo type="min"/>
        <cfvo type="max"/>
        <color rgb="FF63C384"/>
      </dataBar>
      <extLst>
        <ext xmlns:x14="http://schemas.microsoft.com/office/spreadsheetml/2009/9/main" uri="{B025F937-C7B1-47D3-B67F-A62EFF666E3E}">
          <x14:id>{F6D3FA21-7087-4D5C-B199-C0A0F8EA9F15}</x14:id>
        </ext>
      </extLst>
    </cfRule>
  </conditionalFormatting>
  <conditionalFormatting sqref="Z382">
    <cfRule type="dataBar" priority="6081">
      <dataBar>
        <cfvo type="min"/>
        <cfvo type="max"/>
        <color rgb="FF63C384"/>
      </dataBar>
      <extLst>
        <ext xmlns:x14="http://schemas.microsoft.com/office/spreadsheetml/2009/9/main" uri="{B025F937-C7B1-47D3-B67F-A62EFF666E3E}">
          <x14:id>{30668CF2-EEF8-4D95-938C-3C031FF9E62C}</x14:id>
        </ext>
      </extLst>
    </cfRule>
  </conditionalFormatting>
  <conditionalFormatting sqref="J389">
    <cfRule type="cellIs" dxfId="9622" priority="6077" operator="equal">
      <formula>"ja"</formula>
    </cfRule>
  </conditionalFormatting>
  <conditionalFormatting sqref="T389">
    <cfRule type="expression" dxfId="9621" priority="6076">
      <formula>AND(AND($W389&lt;TODAY(),$W389&lt;&gt;""),$X389="")</formula>
    </cfRule>
  </conditionalFormatting>
  <conditionalFormatting sqref="Z389">
    <cfRule type="dataBar" priority="6075">
      <dataBar>
        <cfvo type="min"/>
        <cfvo type="max"/>
        <color rgb="FF63C384"/>
      </dataBar>
      <extLst>
        <ext xmlns:x14="http://schemas.microsoft.com/office/spreadsheetml/2009/9/main" uri="{B025F937-C7B1-47D3-B67F-A62EFF666E3E}">
          <x14:id>{DCF36087-6B5C-4AB8-98A3-566D9D328040}</x14:id>
        </ext>
      </extLst>
    </cfRule>
  </conditionalFormatting>
  <conditionalFormatting sqref="Z389">
    <cfRule type="dataBar" priority="6074">
      <dataBar>
        <cfvo type="min"/>
        <cfvo type="max"/>
        <color rgb="FF63C384"/>
      </dataBar>
      <extLst>
        <ext xmlns:x14="http://schemas.microsoft.com/office/spreadsheetml/2009/9/main" uri="{B025F937-C7B1-47D3-B67F-A62EFF666E3E}">
          <x14:id>{74F0FB28-6667-4A66-B5F2-4C1FDEE1D8E2}</x14:id>
        </ext>
      </extLst>
    </cfRule>
  </conditionalFormatting>
  <conditionalFormatting sqref="C389">
    <cfRule type="containsText" dxfId="9620" priority="6072" operator="containsText" text="Einnahmen">
      <formula>NOT(ISERROR(SEARCH("Einnahmen",C389)))</formula>
    </cfRule>
    <cfRule type="containsText" dxfId="9619" priority="6073" operator="containsText" text="Ausgaben">
      <formula>NOT(ISERROR(SEARCH("Ausgaben",C389)))</formula>
    </cfRule>
  </conditionalFormatting>
  <conditionalFormatting sqref="J390">
    <cfRule type="cellIs" dxfId="9618" priority="6070" operator="equal">
      <formula>"ja"</formula>
    </cfRule>
  </conditionalFormatting>
  <conditionalFormatting sqref="T390">
    <cfRule type="expression" dxfId="9617" priority="6069">
      <formula>AND(AND($W390&lt;TODAY(),$W390&lt;&gt;""),$X390="")</formula>
    </cfRule>
  </conditionalFormatting>
  <conditionalFormatting sqref="Z390">
    <cfRule type="dataBar" priority="6068">
      <dataBar>
        <cfvo type="min"/>
        <cfvo type="max"/>
        <color rgb="FF63C384"/>
      </dataBar>
      <extLst>
        <ext xmlns:x14="http://schemas.microsoft.com/office/spreadsheetml/2009/9/main" uri="{B025F937-C7B1-47D3-B67F-A62EFF666E3E}">
          <x14:id>{65136C39-9DDF-48C6-ACF1-B12511F9D2C0}</x14:id>
        </ext>
      </extLst>
    </cfRule>
  </conditionalFormatting>
  <conditionalFormatting sqref="Z390">
    <cfRule type="dataBar" priority="6067">
      <dataBar>
        <cfvo type="min"/>
        <cfvo type="max"/>
        <color rgb="FF63C384"/>
      </dataBar>
      <extLst>
        <ext xmlns:x14="http://schemas.microsoft.com/office/spreadsheetml/2009/9/main" uri="{B025F937-C7B1-47D3-B67F-A62EFF666E3E}">
          <x14:id>{18B16309-3FB6-45A0-BDE5-7790A6CFADA2}</x14:id>
        </ext>
      </extLst>
    </cfRule>
  </conditionalFormatting>
  <conditionalFormatting sqref="C390">
    <cfRule type="containsText" dxfId="9616" priority="6065" operator="containsText" text="Einnahmen">
      <formula>NOT(ISERROR(SEARCH("Einnahmen",C390)))</formula>
    </cfRule>
    <cfRule type="containsText" dxfId="9615" priority="6066" operator="containsText" text="Ausgaben">
      <formula>NOT(ISERROR(SEARCH("Ausgaben",C390)))</formula>
    </cfRule>
  </conditionalFormatting>
  <conditionalFormatting sqref="J391">
    <cfRule type="cellIs" dxfId="9614" priority="6061" operator="equal">
      <formula>"ja"</formula>
    </cfRule>
  </conditionalFormatting>
  <conditionalFormatting sqref="Z391">
    <cfRule type="dataBar" priority="6059">
      <dataBar>
        <cfvo type="min"/>
        <cfvo type="max"/>
        <color rgb="FF63C384"/>
      </dataBar>
      <extLst>
        <ext xmlns:x14="http://schemas.microsoft.com/office/spreadsheetml/2009/9/main" uri="{B025F937-C7B1-47D3-B67F-A62EFF666E3E}">
          <x14:id>{35FF1C6E-B69E-4DF4-BF7E-1E6CB4579B82}</x14:id>
        </ext>
      </extLst>
    </cfRule>
  </conditionalFormatting>
  <conditionalFormatting sqref="Z391">
    <cfRule type="dataBar" priority="6058">
      <dataBar>
        <cfvo type="min"/>
        <cfvo type="max"/>
        <color rgb="FF63C384"/>
      </dataBar>
      <extLst>
        <ext xmlns:x14="http://schemas.microsoft.com/office/spreadsheetml/2009/9/main" uri="{B025F937-C7B1-47D3-B67F-A62EFF666E3E}">
          <x14:id>{6890C52E-8405-4541-8EC4-831F38952CB8}</x14:id>
        </ext>
      </extLst>
    </cfRule>
  </conditionalFormatting>
  <conditionalFormatting sqref="J392">
    <cfRule type="cellIs" dxfId="9613" priority="6054" operator="equal">
      <formula>"ja"</formula>
    </cfRule>
  </conditionalFormatting>
  <conditionalFormatting sqref="T392">
    <cfRule type="expression" dxfId="9612" priority="6053">
      <formula>AND(AND($W392&lt;TODAY(),$W392&lt;&gt;""),$X392="")</formula>
    </cfRule>
  </conditionalFormatting>
  <conditionalFormatting sqref="Z392">
    <cfRule type="dataBar" priority="6052">
      <dataBar>
        <cfvo type="min"/>
        <cfvo type="max"/>
        <color rgb="FF63C384"/>
      </dataBar>
      <extLst>
        <ext xmlns:x14="http://schemas.microsoft.com/office/spreadsheetml/2009/9/main" uri="{B025F937-C7B1-47D3-B67F-A62EFF666E3E}">
          <x14:id>{5BBA780E-B779-465D-9DFF-33EC2BFD6869}</x14:id>
        </ext>
      </extLst>
    </cfRule>
  </conditionalFormatting>
  <conditionalFormatting sqref="Z392">
    <cfRule type="dataBar" priority="6051">
      <dataBar>
        <cfvo type="min"/>
        <cfvo type="max"/>
        <color rgb="FF63C384"/>
      </dataBar>
      <extLst>
        <ext xmlns:x14="http://schemas.microsoft.com/office/spreadsheetml/2009/9/main" uri="{B025F937-C7B1-47D3-B67F-A62EFF666E3E}">
          <x14:id>{CB70CF8D-6D75-46AE-9E6C-C6B7088BDF74}</x14:id>
        </ext>
      </extLst>
    </cfRule>
  </conditionalFormatting>
  <conditionalFormatting sqref="C393">
    <cfRule type="containsText" dxfId="9611" priority="5981" operator="containsText" text="Einnahmen">
      <formula>NOT(ISERROR(SEARCH("Einnahmen",C393)))</formula>
    </cfRule>
    <cfRule type="containsText" dxfId="9610" priority="5982" operator="containsText" text="Ausgaben">
      <formula>NOT(ISERROR(SEARCH("Ausgaben",C393)))</formula>
    </cfRule>
  </conditionalFormatting>
  <conditionalFormatting sqref="J393">
    <cfRule type="cellIs" dxfId="9609" priority="5979" operator="equal">
      <formula>"ja"</formula>
    </cfRule>
  </conditionalFormatting>
  <conditionalFormatting sqref="T393">
    <cfRule type="expression" dxfId="9608" priority="5978">
      <formula>AND(AND($W393&lt;TODAY(),$W393&lt;&gt;""),$X393="")</formula>
    </cfRule>
  </conditionalFormatting>
  <conditionalFormatting sqref="Z393">
    <cfRule type="dataBar" priority="5977">
      <dataBar>
        <cfvo type="min"/>
        <cfvo type="max"/>
        <color rgb="FF63C384"/>
      </dataBar>
      <extLst>
        <ext xmlns:x14="http://schemas.microsoft.com/office/spreadsheetml/2009/9/main" uri="{B025F937-C7B1-47D3-B67F-A62EFF666E3E}">
          <x14:id>{1133A707-1C6F-40B6-A37E-AEAEF6B97118}</x14:id>
        </ext>
      </extLst>
    </cfRule>
  </conditionalFormatting>
  <conditionalFormatting sqref="Z393">
    <cfRule type="dataBar" priority="5976">
      <dataBar>
        <cfvo type="min"/>
        <cfvo type="max"/>
        <color rgb="FF63C384"/>
      </dataBar>
      <extLst>
        <ext xmlns:x14="http://schemas.microsoft.com/office/spreadsheetml/2009/9/main" uri="{B025F937-C7B1-47D3-B67F-A62EFF666E3E}">
          <x14:id>{AD744795-DA70-4691-A223-F30962CA2023}</x14:id>
        </ext>
      </extLst>
    </cfRule>
  </conditionalFormatting>
  <conditionalFormatting sqref="C397 C407 C409">
    <cfRule type="containsText" dxfId="9607" priority="5966" operator="containsText" text="Einnahmen">
      <formula>NOT(ISERROR(SEARCH("Einnahmen",C397)))</formula>
    </cfRule>
    <cfRule type="containsText" dxfId="9606" priority="5967" operator="containsText" text="Ausgaben">
      <formula>NOT(ISERROR(SEARCH("Ausgaben",C397)))</formula>
    </cfRule>
  </conditionalFormatting>
  <conditionalFormatting sqref="C396">
    <cfRule type="containsText" dxfId="9605" priority="5958" operator="containsText" text="Einnahmen">
      <formula>NOT(ISERROR(SEARCH("Einnahmen",C396)))</formula>
    </cfRule>
    <cfRule type="containsText" dxfId="9604" priority="5959" operator="containsText" text="Ausgaben">
      <formula>NOT(ISERROR(SEARCH("Ausgaben",C396)))</formula>
    </cfRule>
  </conditionalFormatting>
  <conditionalFormatting sqref="T396">
    <cfRule type="expression" dxfId="9603" priority="5956">
      <formula>AND(AND($W396&lt;TODAY(),$W396&lt;&gt;""),$X396="")</formula>
    </cfRule>
  </conditionalFormatting>
  <conditionalFormatting sqref="J396">
    <cfRule type="cellIs" dxfId="9602" priority="5955" operator="equal">
      <formula>"ja"</formula>
    </cfRule>
  </conditionalFormatting>
  <conditionalFormatting sqref="Z396">
    <cfRule type="dataBar" priority="5954">
      <dataBar>
        <cfvo type="min"/>
        <cfvo type="max"/>
        <color rgb="FF63C384"/>
      </dataBar>
      <extLst>
        <ext xmlns:x14="http://schemas.microsoft.com/office/spreadsheetml/2009/9/main" uri="{B025F937-C7B1-47D3-B67F-A62EFF666E3E}">
          <x14:id>{C500AEC0-342F-4948-9A02-E078AF2F13CB}</x14:id>
        </ext>
      </extLst>
    </cfRule>
  </conditionalFormatting>
  <conditionalFormatting sqref="Z396">
    <cfRule type="dataBar" priority="5953">
      <dataBar>
        <cfvo type="min"/>
        <cfvo type="max"/>
        <color rgb="FF63C384"/>
      </dataBar>
      <extLst>
        <ext xmlns:x14="http://schemas.microsoft.com/office/spreadsheetml/2009/9/main" uri="{B025F937-C7B1-47D3-B67F-A62EFF666E3E}">
          <x14:id>{1FF40126-63D7-4BBB-BE36-1285C214BB53}</x14:id>
        </ext>
      </extLst>
    </cfRule>
  </conditionalFormatting>
  <conditionalFormatting sqref="J397">
    <cfRule type="cellIs" dxfId="9601" priority="5949" operator="equal">
      <formula>"ja"</formula>
    </cfRule>
  </conditionalFormatting>
  <conditionalFormatting sqref="T397">
    <cfRule type="expression" dxfId="9600" priority="5948">
      <formula>AND(AND($W397&lt;TODAY(),$W397&lt;&gt;""),$X397="")</formula>
    </cfRule>
  </conditionalFormatting>
  <conditionalFormatting sqref="Z397">
    <cfRule type="dataBar" priority="5947">
      <dataBar>
        <cfvo type="min"/>
        <cfvo type="max"/>
        <color rgb="FF63C384"/>
      </dataBar>
      <extLst>
        <ext xmlns:x14="http://schemas.microsoft.com/office/spreadsheetml/2009/9/main" uri="{B025F937-C7B1-47D3-B67F-A62EFF666E3E}">
          <x14:id>{B8FB097E-ECB3-49A6-B3C2-3057F1E050E3}</x14:id>
        </ext>
      </extLst>
    </cfRule>
  </conditionalFormatting>
  <conditionalFormatting sqref="Z397">
    <cfRule type="dataBar" priority="5946">
      <dataBar>
        <cfvo type="min"/>
        <cfvo type="max"/>
        <color rgb="FF63C384"/>
      </dataBar>
      <extLst>
        <ext xmlns:x14="http://schemas.microsoft.com/office/spreadsheetml/2009/9/main" uri="{B025F937-C7B1-47D3-B67F-A62EFF666E3E}">
          <x14:id>{CB4454C8-4FEC-402A-9513-4312544C9183}</x14:id>
        </ext>
      </extLst>
    </cfRule>
  </conditionalFormatting>
  <conditionalFormatting sqref="C398">
    <cfRule type="containsText" dxfId="9599" priority="5943" operator="containsText" text="Einnahmen">
      <formula>NOT(ISERROR(SEARCH("Einnahmen",C398)))</formula>
    </cfRule>
    <cfRule type="containsText" dxfId="9598" priority="5944" operator="containsText" text="Ausgaben">
      <formula>NOT(ISERROR(SEARCH("Ausgaben",C398)))</formula>
    </cfRule>
  </conditionalFormatting>
  <conditionalFormatting sqref="T398">
    <cfRule type="expression" dxfId="9597" priority="5941">
      <formula>AND(AND($W398&lt;TODAY(),$W398&lt;&gt;""),$X398="")</formula>
    </cfRule>
  </conditionalFormatting>
  <conditionalFormatting sqref="Z398">
    <cfRule type="dataBar" priority="5940">
      <dataBar>
        <cfvo type="min"/>
        <cfvo type="max"/>
        <color rgb="FF63C384"/>
      </dataBar>
      <extLst>
        <ext xmlns:x14="http://schemas.microsoft.com/office/spreadsheetml/2009/9/main" uri="{B025F937-C7B1-47D3-B67F-A62EFF666E3E}">
          <x14:id>{13CB1272-2FB8-4524-9567-B20D78BB1AB3}</x14:id>
        </ext>
      </extLst>
    </cfRule>
  </conditionalFormatting>
  <conditionalFormatting sqref="Z398">
    <cfRule type="dataBar" priority="5939">
      <dataBar>
        <cfvo type="min"/>
        <cfvo type="max"/>
        <color rgb="FF63C384"/>
      </dataBar>
      <extLst>
        <ext xmlns:x14="http://schemas.microsoft.com/office/spreadsheetml/2009/9/main" uri="{B025F937-C7B1-47D3-B67F-A62EFF666E3E}">
          <x14:id>{D9C6C711-051A-43AC-B26E-EF8329C5DCF7}</x14:id>
        </ext>
      </extLst>
    </cfRule>
  </conditionalFormatting>
  <conditionalFormatting sqref="J398">
    <cfRule type="cellIs" dxfId="9596" priority="5938" operator="equal">
      <formula>"ja"</formula>
    </cfRule>
  </conditionalFormatting>
  <conditionalFormatting sqref="C399">
    <cfRule type="containsText" dxfId="9595" priority="5934" operator="containsText" text="Einnahmen">
      <formula>NOT(ISERROR(SEARCH("Einnahmen",C399)))</formula>
    </cfRule>
    <cfRule type="containsText" dxfId="9594" priority="5935" operator="containsText" text="Ausgaben">
      <formula>NOT(ISERROR(SEARCH("Ausgaben",C399)))</formula>
    </cfRule>
  </conditionalFormatting>
  <conditionalFormatting sqref="T399">
    <cfRule type="expression" dxfId="9593" priority="5933">
      <formula>AND(AND($W399&lt;TODAY(),$W399&lt;&gt;""),$X399="")</formula>
    </cfRule>
  </conditionalFormatting>
  <conditionalFormatting sqref="J399">
    <cfRule type="cellIs" dxfId="9592" priority="5932" operator="equal">
      <formula>"ja"</formula>
    </cfRule>
  </conditionalFormatting>
  <conditionalFormatting sqref="Z399">
    <cfRule type="dataBar" priority="5931">
      <dataBar>
        <cfvo type="min"/>
        <cfvo type="max"/>
        <color rgb="FF63C384"/>
      </dataBar>
      <extLst>
        <ext xmlns:x14="http://schemas.microsoft.com/office/spreadsheetml/2009/9/main" uri="{B025F937-C7B1-47D3-B67F-A62EFF666E3E}">
          <x14:id>{49ECF9F5-ADA6-42F1-AFAA-DF0ED86AF06A}</x14:id>
        </ext>
      </extLst>
    </cfRule>
  </conditionalFormatting>
  <conditionalFormatting sqref="Z399">
    <cfRule type="dataBar" priority="5930">
      <dataBar>
        <cfvo type="min"/>
        <cfvo type="max"/>
        <color rgb="FF63C384"/>
      </dataBar>
      <extLst>
        <ext xmlns:x14="http://schemas.microsoft.com/office/spreadsheetml/2009/9/main" uri="{B025F937-C7B1-47D3-B67F-A62EFF666E3E}">
          <x14:id>{609C2D24-CEE2-4153-8321-E4C68FE279C6}</x14:id>
        </ext>
      </extLst>
    </cfRule>
  </conditionalFormatting>
  <conditionalFormatting sqref="C400">
    <cfRule type="containsText" dxfId="9591" priority="5928" operator="containsText" text="Einnahmen">
      <formula>NOT(ISERROR(SEARCH("Einnahmen",C400)))</formula>
    </cfRule>
    <cfRule type="containsText" dxfId="9590" priority="5929" operator="containsText" text="Ausgaben">
      <formula>NOT(ISERROR(SEARCH("Ausgaben",C400)))</formula>
    </cfRule>
  </conditionalFormatting>
  <conditionalFormatting sqref="J400">
    <cfRule type="cellIs" dxfId="9589" priority="5926" operator="equal">
      <formula>"ja"</formula>
    </cfRule>
  </conditionalFormatting>
  <conditionalFormatting sqref="T400">
    <cfRule type="expression" dxfId="9588" priority="5925">
      <formula>AND(AND($W400&lt;TODAY(),$W400&lt;&gt;""),$X400="")</formula>
    </cfRule>
  </conditionalFormatting>
  <conditionalFormatting sqref="Z400">
    <cfRule type="dataBar" priority="5924">
      <dataBar>
        <cfvo type="min"/>
        <cfvo type="max"/>
        <color rgb="FF63C384"/>
      </dataBar>
      <extLst>
        <ext xmlns:x14="http://schemas.microsoft.com/office/spreadsheetml/2009/9/main" uri="{B025F937-C7B1-47D3-B67F-A62EFF666E3E}">
          <x14:id>{088B2A34-0E7C-461D-A57F-98855DEAF3A8}</x14:id>
        </ext>
      </extLst>
    </cfRule>
  </conditionalFormatting>
  <conditionalFormatting sqref="Z400">
    <cfRule type="dataBar" priority="5923">
      <dataBar>
        <cfvo type="min"/>
        <cfvo type="max"/>
        <color rgb="FF63C384"/>
      </dataBar>
      <extLst>
        <ext xmlns:x14="http://schemas.microsoft.com/office/spreadsheetml/2009/9/main" uri="{B025F937-C7B1-47D3-B67F-A62EFF666E3E}">
          <x14:id>{528E35BD-19D3-497D-9844-689FB99856EB}</x14:id>
        </ext>
      </extLst>
    </cfRule>
  </conditionalFormatting>
  <conditionalFormatting sqref="C401">
    <cfRule type="containsText" dxfId="9587" priority="5921" operator="containsText" text="Einnahmen">
      <formula>NOT(ISERROR(SEARCH("Einnahmen",C401)))</formula>
    </cfRule>
    <cfRule type="containsText" dxfId="9586" priority="5922" operator="containsText" text="Ausgaben">
      <formula>NOT(ISERROR(SEARCH("Ausgaben",C401)))</formula>
    </cfRule>
  </conditionalFormatting>
  <conditionalFormatting sqref="J401">
    <cfRule type="cellIs" dxfId="9585" priority="5920" operator="equal">
      <formula>"ja"</formula>
    </cfRule>
  </conditionalFormatting>
  <conditionalFormatting sqref="T401">
    <cfRule type="expression" dxfId="9584" priority="5919">
      <formula>AND(AND($W401&lt;TODAY(),$W401&lt;&gt;""),$X401="")</formula>
    </cfRule>
  </conditionalFormatting>
  <conditionalFormatting sqref="Z401">
    <cfRule type="dataBar" priority="5918">
      <dataBar>
        <cfvo type="min"/>
        <cfvo type="max"/>
        <color rgb="FF63C384"/>
      </dataBar>
      <extLst>
        <ext xmlns:x14="http://schemas.microsoft.com/office/spreadsheetml/2009/9/main" uri="{B025F937-C7B1-47D3-B67F-A62EFF666E3E}">
          <x14:id>{5BAE47BA-E512-4675-890D-0129463D9C7D}</x14:id>
        </ext>
      </extLst>
    </cfRule>
  </conditionalFormatting>
  <conditionalFormatting sqref="Z401">
    <cfRule type="dataBar" priority="5917">
      <dataBar>
        <cfvo type="min"/>
        <cfvo type="max"/>
        <color rgb="FF63C384"/>
      </dataBar>
      <extLst>
        <ext xmlns:x14="http://schemas.microsoft.com/office/spreadsheetml/2009/9/main" uri="{B025F937-C7B1-47D3-B67F-A62EFF666E3E}">
          <x14:id>{A935D25B-CF4B-46F9-98BD-C14BB6BDD538}</x14:id>
        </ext>
      </extLst>
    </cfRule>
  </conditionalFormatting>
  <conditionalFormatting sqref="J406">
    <cfRule type="cellIs" dxfId="9583" priority="5906" operator="equal">
      <formula>"ja"</formula>
    </cfRule>
  </conditionalFormatting>
  <conditionalFormatting sqref="C394">
    <cfRule type="containsText" dxfId="9582" priority="5902" operator="containsText" text="Einnahmen">
      <formula>NOT(ISERROR(SEARCH("Einnahmen",C394)))</formula>
    </cfRule>
    <cfRule type="containsText" dxfId="9581" priority="5903" operator="containsText" text="Ausgaben">
      <formula>NOT(ISERROR(SEARCH("Ausgaben",C394)))</formula>
    </cfRule>
  </conditionalFormatting>
  <conditionalFormatting sqref="J394">
    <cfRule type="cellIs" dxfId="9580" priority="5901" operator="equal">
      <formula>"ja"</formula>
    </cfRule>
  </conditionalFormatting>
  <conditionalFormatting sqref="T394">
    <cfRule type="expression" dxfId="9579" priority="5900">
      <formula>AND(AND($W394&lt;TODAY(),$W394&lt;&gt;""),$X394="")</formula>
    </cfRule>
  </conditionalFormatting>
  <conditionalFormatting sqref="Z394">
    <cfRule type="dataBar" priority="5899">
      <dataBar>
        <cfvo type="min"/>
        <cfvo type="max"/>
        <color rgb="FF63C384"/>
      </dataBar>
      <extLst>
        <ext xmlns:x14="http://schemas.microsoft.com/office/spreadsheetml/2009/9/main" uri="{B025F937-C7B1-47D3-B67F-A62EFF666E3E}">
          <x14:id>{5530E066-7BFD-40FF-9AC4-F8067E22973E}</x14:id>
        </ext>
      </extLst>
    </cfRule>
  </conditionalFormatting>
  <conditionalFormatting sqref="Z394">
    <cfRule type="dataBar" priority="5898">
      <dataBar>
        <cfvo type="min"/>
        <cfvo type="max"/>
        <color rgb="FF63C384"/>
      </dataBar>
      <extLst>
        <ext xmlns:x14="http://schemas.microsoft.com/office/spreadsheetml/2009/9/main" uri="{B025F937-C7B1-47D3-B67F-A62EFF666E3E}">
          <x14:id>{5DB4A41A-3625-4A29-ADE3-31365AEDE74F}</x14:id>
        </ext>
      </extLst>
    </cfRule>
  </conditionalFormatting>
  <conditionalFormatting sqref="C395">
    <cfRule type="containsText" dxfId="9578" priority="5895" operator="containsText" text="Einnahmen">
      <formula>NOT(ISERROR(SEARCH("Einnahmen",C395)))</formula>
    </cfRule>
    <cfRule type="containsText" dxfId="9577" priority="5896" operator="containsText" text="Ausgaben">
      <formula>NOT(ISERROR(SEARCH("Ausgaben",C395)))</formula>
    </cfRule>
  </conditionalFormatting>
  <conditionalFormatting sqref="T395">
    <cfRule type="expression" dxfId="9576" priority="5894">
      <formula>AND(AND($W395&lt;TODAY(),$W395&lt;&gt;""),$X395="")</formula>
    </cfRule>
  </conditionalFormatting>
  <conditionalFormatting sqref="J395">
    <cfRule type="cellIs" dxfId="9575" priority="5893" operator="equal">
      <formula>"ja"</formula>
    </cfRule>
  </conditionalFormatting>
  <conditionalFormatting sqref="Z395">
    <cfRule type="dataBar" priority="5892">
      <dataBar>
        <cfvo type="min"/>
        <cfvo type="max"/>
        <color rgb="FF63C384"/>
      </dataBar>
      <extLst>
        <ext xmlns:x14="http://schemas.microsoft.com/office/spreadsheetml/2009/9/main" uri="{B025F937-C7B1-47D3-B67F-A62EFF666E3E}">
          <x14:id>{61483DCB-19C8-429E-9970-ED51329594AA}</x14:id>
        </ext>
      </extLst>
    </cfRule>
  </conditionalFormatting>
  <conditionalFormatting sqref="Z395">
    <cfRule type="dataBar" priority="5891">
      <dataBar>
        <cfvo type="min"/>
        <cfvo type="max"/>
        <color rgb="FF63C384"/>
      </dataBar>
      <extLst>
        <ext xmlns:x14="http://schemas.microsoft.com/office/spreadsheetml/2009/9/main" uri="{B025F937-C7B1-47D3-B67F-A62EFF666E3E}">
          <x14:id>{8DCC8F2D-4AAF-4E76-8DF7-97E08E7E6578}</x14:id>
        </ext>
      </extLst>
    </cfRule>
  </conditionalFormatting>
  <conditionalFormatting sqref="C406">
    <cfRule type="containsText" dxfId="9574" priority="5888" operator="containsText" text="Einnahmen">
      <formula>NOT(ISERROR(SEARCH("Einnahmen",C406)))</formula>
    </cfRule>
    <cfRule type="containsText" dxfId="9573" priority="5889" operator="containsText" text="Ausgaben">
      <formula>NOT(ISERROR(SEARCH("Ausgaben",C406)))</formula>
    </cfRule>
  </conditionalFormatting>
  <conditionalFormatting sqref="T402">
    <cfRule type="expression" dxfId="9572" priority="5882">
      <formula>AND(AND($W402&lt;TODAY(),$W402&lt;&gt;""),$X402="")</formula>
    </cfRule>
  </conditionalFormatting>
  <conditionalFormatting sqref="C402">
    <cfRule type="containsText" dxfId="9571" priority="5880" operator="containsText" text="Einnahmen">
      <formula>NOT(ISERROR(SEARCH("Einnahmen",C402)))</formula>
    </cfRule>
    <cfRule type="containsText" dxfId="9570" priority="5881" operator="containsText" text="Ausgaben">
      <formula>NOT(ISERROR(SEARCH("Ausgaben",C402)))</formula>
    </cfRule>
  </conditionalFormatting>
  <conditionalFormatting sqref="J402">
    <cfRule type="cellIs" dxfId="9569" priority="5879" operator="equal">
      <formula>"ja"</formula>
    </cfRule>
  </conditionalFormatting>
  <conditionalFormatting sqref="Z402">
    <cfRule type="dataBar" priority="5878">
      <dataBar>
        <cfvo type="min"/>
        <cfvo type="max"/>
        <color rgb="FF63C384"/>
      </dataBar>
      <extLst>
        <ext xmlns:x14="http://schemas.microsoft.com/office/spreadsheetml/2009/9/main" uri="{B025F937-C7B1-47D3-B67F-A62EFF666E3E}">
          <x14:id>{57AEAE1E-B8D5-4A0F-AA0A-FE6F7406CD53}</x14:id>
        </ext>
      </extLst>
    </cfRule>
  </conditionalFormatting>
  <conditionalFormatting sqref="C403">
    <cfRule type="containsText" dxfId="9568" priority="5869" operator="containsText" text="Einnahmen">
      <formula>NOT(ISERROR(SEARCH("Einnahmen",C403)))</formula>
    </cfRule>
    <cfRule type="containsText" dxfId="9567" priority="5870" operator="containsText" text="Ausgaben">
      <formula>NOT(ISERROR(SEARCH("Ausgaben",C403)))</formula>
    </cfRule>
  </conditionalFormatting>
  <conditionalFormatting sqref="J403">
    <cfRule type="cellIs" dxfId="9566" priority="5867" operator="equal">
      <formula>"ja"</formula>
    </cfRule>
  </conditionalFormatting>
  <conditionalFormatting sqref="T403">
    <cfRule type="expression" dxfId="9565" priority="5866">
      <formula>AND(AND($W403&lt;TODAY(),$W403&lt;&gt;""),$X403="")</formula>
    </cfRule>
  </conditionalFormatting>
  <conditionalFormatting sqref="Z403">
    <cfRule type="dataBar" priority="5865">
      <dataBar>
        <cfvo type="min"/>
        <cfvo type="max"/>
        <color rgb="FF63C384"/>
      </dataBar>
      <extLst>
        <ext xmlns:x14="http://schemas.microsoft.com/office/spreadsheetml/2009/9/main" uri="{B025F937-C7B1-47D3-B67F-A62EFF666E3E}">
          <x14:id>{C2D2D8D7-3074-480D-9DA9-2949A592F28D}</x14:id>
        </ext>
      </extLst>
    </cfRule>
  </conditionalFormatting>
  <conditionalFormatting sqref="Z403">
    <cfRule type="dataBar" priority="5864">
      <dataBar>
        <cfvo type="min"/>
        <cfvo type="max"/>
        <color rgb="FF63C384"/>
      </dataBar>
      <extLst>
        <ext xmlns:x14="http://schemas.microsoft.com/office/spreadsheetml/2009/9/main" uri="{B025F937-C7B1-47D3-B67F-A62EFF666E3E}">
          <x14:id>{23BFB2E6-C178-42D1-8DFC-4B7170FED97D}</x14:id>
        </ext>
      </extLst>
    </cfRule>
  </conditionalFormatting>
  <conditionalFormatting sqref="C404">
    <cfRule type="containsText" dxfId="9564" priority="5861" operator="containsText" text="Einnahmen">
      <formula>NOT(ISERROR(SEARCH("Einnahmen",C404)))</formula>
    </cfRule>
    <cfRule type="containsText" dxfId="9563" priority="5862" operator="containsText" text="Ausgaben">
      <formula>NOT(ISERROR(SEARCH("Ausgaben",C404)))</formula>
    </cfRule>
  </conditionalFormatting>
  <conditionalFormatting sqref="T404">
    <cfRule type="expression" dxfId="9562" priority="5860">
      <formula>AND(AND($W404&lt;TODAY(),$W404&lt;&gt;""),$X404="")</formula>
    </cfRule>
  </conditionalFormatting>
  <conditionalFormatting sqref="Z404">
    <cfRule type="dataBar" priority="5859">
      <dataBar>
        <cfvo type="min"/>
        <cfvo type="max"/>
        <color rgb="FF63C384"/>
      </dataBar>
      <extLst>
        <ext xmlns:x14="http://schemas.microsoft.com/office/spreadsheetml/2009/9/main" uri="{B025F937-C7B1-47D3-B67F-A62EFF666E3E}">
          <x14:id>{E1852B0D-CCD4-4363-87D8-D3B173F5DEC4}</x14:id>
        </ext>
      </extLst>
    </cfRule>
  </conditionalFormatting>
  <conditionalFormatting sqref="Z404">
    <cfRule type="dataBar" priority="5858">
      <dataBar>
        <cfvo type="min"/>
        <cfvo type="max"/>
        <color rgb="FF63C384"/>
      </dataBar>
      <extLst>
        <ext xmlns:x14="http://schemas.microsoft.com/office/spreadsheetml/2009/9/main" uri="{B025F937-C7B1-47D3-B67F-A62EFF666E3E}">
          <x14:id>{BCBC302F-E039-41FC-A3CD-AC4E433F4688}</x14:id>
        </ext>
      </extLst>
    </cfRule>
  </conditionalFormatting>
  <conditionalFormatting sqref="J404">
    <cfRule type="cellIs" dxfId="9561" priority="5857" operator="equal">
      <formula>"ja"</formula>
    </cfRule>
  </conditionalFormatting>
  <conditionalFormatting sqref="J405">
    <cfRule type="cellIs" dxfId="9560" priority="5855" operator="equal">
      <formula>"ja"</formula>
    </cfRule>
  </conditionalFormatting>
  <conditionalFormatting sqref="C405">
    <cfRule type="containsText" dxfId="9559" priority="5853" operator="containsText" text="Einnahmen">
      <formula>NOT(ISERROR(SEARCH("Einnahmen",C405)))</formula>
    </cfRule>
    <cfRule type="containsText" dxfId="9558" priority="5854" operator="containsText" text="Ausgaben">
      <formula>NOT(ISERROR(SEARCH("Ausgaben",C405)))</formula>
    </cfRule>
  </conditionalFormatting>
  <conditionalFormatting sqref="T405">
    <cfRule type="expression" dxfId="9557" priority="5852">
      <formula>AND(AND($W405&lt;TODAY(),$W405&lt;&gt;""),$X405="")</formula>
    </cfRule>
  </conditionalFormatting>
  <conditionalFormatting sqref="Z405">
    <cfRule type="dataBar" priority="5851">
      <dataBar>
        <cfvo type="min"/>
        <cfvo type="max"/>
        <color rgb="FF63C384"/>
      </dataBar>
      <extLst>
        <ext xmlns:x14="http://schemas.microsoft.com/office/spreadsheetml/2009/9/main" uri="{B025F937-C7B1-47D3-B67F-A62EFF666E3E}">
          <x14:id>{7DB69FA2-C584-46C7-9B2C-FE82AE8FA3BB}</x14:id>
        </ext>
      </extLst>
    </cfRule>
  </conditionalFormatting>
  <conditionalFormatting sqref="Z405">
    <cfRule type="dataBar" priority="5850">
      <dataBar>
        <cfvo type="min"/>
        <cfvo type="max"/>
        <color rgb="FF63C384"/>
      </dataBar>
      <extLst>
        <ext xmlns:x14="http://schemas.microsoft.com/office/spreadsheetml/2009/9/main" uri="{B025F937-C7B1-47D3-B67F-A62EFF666E3E}">
          <x14:id>{DBA0474B-C9E7-4722-A4A8-AFED660A5C5D}</x14:id>
        </ext>
      </extLst>
    </cfRule>
  </conditionalFormatting>
  <conditionalFormatting sqref="T406">
    <cfRule type="expression" dxfId="9556" priority="5848">
      <formula>AND(AND($W406&lt;TODAY(),$W406&lt;&gt;""),$X406="")</formula>
    </cfRule>
  </conditionalFormatting>
  <conditionalFormatting sqref="Z406">
    <cfRule type="dataBar" priority="5847">
      <dataBar>
        <cfvo type="min"/>
        <cfvo type="max"/>
        <color rgb="FF63C384"/>
      </dataBar>
      <extLst>
        <ext xmlns:x14="http://schemas.microsoft.com/office/spreadsheetml/2009/9/main" uri="{B025F937-C7B1-47D3-B67F-A62EFF666E3E}">
          <x14:id>{7311AC7C-6141-4F3E-99D6-55F5F2DE2BE6}</x14:id>
        </ext>
      </extLst>
    </cfRule>
  </conditionalFormatting>
  <conditionalFormatting sqref="Z406">
    <cfRule type="dataBar" priority="5846">
      <dataBar>
        <cfvo type="min"/>
        <cfvo type="max"/>
        <color rgb="FF63C384"/>
      </dataBar>
      <extLst>
        <ext xmlns:x14="http://schemas.microsoft.com/office/spreadsheetml/2009/9/main" uri="{B025F937-C7B1-47D3-B67F-A62EFF666E3E}">
          <x14:id>{162D2541-D68A-4514-9524-430C81EB2BBE}</x14:id>
        </ext>
      </extLst>
    </cfRule>
  </conditionalFormatting>
  <conditionalFormatting sqref="T407">
    <cfRule type="expression" dxfId="9555" priority="5845">
      <formula>AND(AND($W407&lt;TODAY(),$W407&lt;&gt;""),$X407="")</formula>
    </cfRule>
  </conditionalFormatting>
  <conditionalFormatting sqref="Z407">
    <cfRule type="dataBar" priority="5844">
      <dataBar>
        <cfvo type="min"/>
        <cfvo type="max"/>
        <color rgb="FF63C384"/>
      </dataBar>
      <extLst>
        <ext xmlns:x14="http://schemas.microsoft.com/office/spreadsheetml/2009/9/main" uri="{B025F937-C7B1-47D3-B67F-A62EFF666E3E}">
          <x14:id>{DB99EFDA-5E9D-4D0A-BFB8-5ACD0F5BDE57}</x14:id>
        </ext>
      </extLst>
    </cfRule>
  </conditionalFormatting>
  <conditionalFormatting sqref="Z407">
    <cfRule type="dataBar" priority="5843">
      <dataBar>
        <cfvo type="min"/>
        <cfvo type="max"/>
        <color rgb="FF63C384"/>
      </dataBar>
      <extLst>
        <ext xmlns:x14="http://schemas.microsoft.com/office/spreadsheetml/2009/9/main" uri="{B025F937-C7B1-47D3-B67F-A62EFF666E3E}">
          <x14:id>{BF627408-D00D-48C0-8771-7B9D3524FE04}</x14:id>
        </ext>
      </extLst>
    </cfRule>
  </conditionalFormatting>
  <conditionalFormatting sqref="C408">
    <cfRule type="containsText" dxfId="9554" priority="5841" operator="containsText" text="Einnahmen">
      <formula>NOT(ISERROR(SEARCH("Einnahmen",C408)))</formula>
    </cfRule>
    <cfRule type="containsText" dxfId="9553" priority="5842" operator="containsText" text="Ausgaben">
      <formula>NOT(ISERROR(SEARCH("Ausgaben",C408)))</formula>
    </cfRule>
  </conditionalFormatting>
  <conditionalFormatting sqref="J408">
    <cfRule type="cellIs" dxfId="9552" priority="5840" operator="equal">
      <formula>"ja"</formula>
    </cfRule>
  </conditionalFormatting>
  <conditionalFormatting sqref="T408">
    <cfRule type="expression" dxfId="9551" priority="5839">
      <formula>AND(AND($W408&lt;TODAY(),$W408&lt;&gt;""),$X408="")</formula>
    </cfRule>
  </conditionalFormatting>
  <conditionalFormatting sqref="Z408">
    <cfRule type="dataBar" priority="5838">
      <dataBar>
        <cfvo type="min"/>
        <cfvo type="max"/>
        <color rgb="FF63C384"/>
      </dataBar>
      <extLst>
        <ext xmlns:x14="http://schemas.microsoft.com/office/spreadsheetml/2009/9/main" uri="{B025F937-C7B1-47D3-B67F-A62EFF666E3E}">
          <x14:id>{BEABDE6C-E31A-4952-9848-F46999BFF012}</x14:id>
        </ext>
      </extLst>
    </cfRule>
  </conditionalFormatting>
  <conditionalFormatting sqref="Z408">
    <cfRule type="dataBar" priority="5837">
      <dataBar>
        <cfvo type="min"/>
        <cfvo type="max"/>
        <color rgb="FF63C384"/>
      </dataBar>
      <extLst>
        <ext xmlns:x14="http://schemas.microsoft.com/office/spreadsheetml/2009/9/main" uri="{B025F937-C7B1-47D3-B67F-A62EFF666E3E}">
          <x14:id>{79541016-9FB0-474B-815A-02EAA10D20D2}</x14:id>
        </ext>
      </extLst>
    </cfRule>
  </conditionalFormatting>
  <conditionalFormatting sqref="T409">
    <cfRule type="expression" dxfId="9550" priority="5834">
      <formula>AND(AND($W409&lt;TODAY(),$W409&lt;&gt;""),$X409="")</formula>
    </cfRule>
  </conditionalFormatting>
  <conditionalFormatting sqref="Z409">
    <cfRule type="dataBar" priority="5833">
      <dataBar>
        <cfvo type="min"/>
        <cfvo type="max"/>
        <color rgb="FF63C384"/>
      </dataBar>
      <extLst>
        <ext xmlns:x14="http://schemas.microsoft.com/office/spreadsheetml/2009/9/main" uri="{B025F937-C7B1-47D3-B67F-A62EFF666E3E}">
          <x14:id>{0E2C8CAF-8BA6-4B2A-AEF8-B749A8177952}</x14:id>
        </ext>
      </extLst>
    </cfRule>
  </conditionalFormatting>
  <conditionalFormatting sqref="Z409">
    <cfRule type="dataBar" priority="5832">
      <dataBar>
        <cfvo type="min"/>
        <cfvo type="max"/>
        <color rgb="FF63C384"/>
      </dataBar>
      <extLst>
        <ext xmlns:x14="http://schemas.microsoft.com/office/spreadsheetml/2009/9/main" uri="{B025F937-C7B1-47D3-B67F-A62EFF666E3E}">
          <x14:id>{5EED2A8B-6D3F-42BE-A438-952D2D5977C8}</x14:id>
        </ext>
      </extLst>
    </cfRule>
  </conditionalFormatting>
  <conditionalFormatting sqref="C410">
    <cfRule type="containsText" dxfId="9549" priority="5830" operator="containsText" text="Einnahmen">
      <formula>NOT(ISERROR(SEARCH("Einnahmen",C410)))</formula>
    </cfRule>
    <cfRule type="containsText" dxfId="9548" priority="5831" operator="containsText" text="Ausgaben">
      <formula>NOT(ISERROR(SEARCH("Ausgaben",C410)))</formula>
    </cfRule>
  </conditionalFormatting>
  <conditionalFormatting sqref="T410">
    <cfRule type="expression" dxfId="9547" priority="5829">
      <formula>AND(AND($W410&lt;TODAY(),$W410&lt;&gt;""),$X410="")</formula>
    </cfRule>
  </conditionalFormatting>
  <conditionalFormatting sqref="J410">
    <cfRule type="cellIs" dxfId="9546" priority="5828" operator="equal">
      <formula>"ja"</formula>
    </cfRule>
  </conditionalFormatting>
  <conditionalFormatting sqref="Z410">
    <cfRule type="dataBar" priority="5827">
      <dataBar>
        <cfvo type="min"/>
        <cfvo type="max"/>
        <color rgb="FF63C384"/>
      </dataBar>
      <extLst>
        <ext xmlns:x14="http://schemas.microsoft.com/office/spreadsheetml/2009/9/main" uri="{B025F937-C7B1-47D3-B67F-A62EFF666E3E}">
          <x14:id>{AF60B452-8EAB-4223-9CEB-7EDA6CF51279}</x14:id>
        </ext>
      </extLst>
    </cfRule>
  </conditionalFormatting>
  <conditionalFormatting sqref="Z410">
    <cfRule type="dataBar" priority="5826">
      <dataBar>
        <cfvo type="min"/>
        <cfvo type="max"/>
        <color rgb="FF63C384"/>
      </dataBar>
      <extLst>
        <ext xmlns:x14="http://schemas.microsoft.com/office/spreadsheetml/2009/9/main" uri="{B025F937-C7B1-47D3-B67F-A62EFF666E3E}">
          <x14:id>{D3C10CF0-A456-4473-BB48-E703F7C49BF4}</x14:id>
        </ext>
      </extLst>
    </cfRule>
  </conditionalFormatting>
  <conditionalFormatting sqref="J411">
    <cfRule type="cellIs" dxfId="9545" priority="5824" operator="equal">
      <formula>"ja"</formula>
    </cfRule>
  </conditionalFormatting>
  <conditionalFormatting sqref="T411">
    <cfRule type="expression" dxfId="9544" priority="5823">
      <formula>AND(AND($W411&lt;TODAY(),$W411&lt;&gt;""),$X411="")</formula>
    </cfRule>
  </conditionalFormatting>
  <conditionalFormatting sqref="Z411">
    <cfRule type="dataBar" priority="5822">
      <dataBar>
        <cfvo type="min"/>
        <cfvo type="max"/>
        <color rgb="FF63C384"/>
      </dataBar>
      <extLst>
        <ext xmlns:x14="http://schemas.microsoft.com/office/spreadsheetml/2009/9/main" uri="{B025F937-C7B1-47D3-B67F-A62EFF666E3E}">
          <x14:id>{8F2D0376-F565-4678-BAE2-A2921A114117}</x14:id>
        </ext>
      </extLst>
    </cfRule>
  </conditionalFormatting>
  <conditionalFormatting sqref="Z411">
    <cfRule type="dataBar" priority="5821">
      <dataBar>
        <cfvo type="min"/>
        <cfvo type="max"/>
        <color rgb="FF63C384"/>
      </dataBar>
      <extLst>
        <ext xmlns:x14="http://schemas.microsoft.com/office/spreadsheetml/2009/9/main" uri="{B025F937-C7B1-47D3-B67F-A62EFF666E3E}">
          <x14:id>{A8479C7E-E59B-4578-9EA6-F1606820F7B5}</x14:id>
        </ext>
      </extLst>
    </cfRule>
  </conditionalFormatting>
  <conditionalFormatting sqref="C411">
    <cfRule type="containsText" dxfId="9543" priority="5819" operator="containsText" text="Einnahmen">
      <formula>NOT(ISERROR(SEARCH("Einnahmen",C411)))</formula>
    </cfRule>
    <cfRule type="containsText" dxfId="9542" priority="5820" operator="containsText" text="Ausgaben">
      <formula>NOT(ISERROR(SEARCH("Ausgaben",C411)))</formula>
    </cfRule>
  </conditionalFormatting>
  <conditionalFormatting sqref="J412">
    <cfRule type="cellIs" dxfId="9541" priority="5818" operator="equal">
      <formula>"ja"</formula>
    </cfRule>
  </conditionalFormatting>
  <conditionalFormatting sqref="T412">
    <cfRule type="expression" dxfId="9540" priority="5817">
      <formula>AND(AND($W412&lt;TODAY(),$W412&lt;&gt;""),$X412="")</formula>
    </cfRule>
  </conditionalFormatting>
  <conditionalFormatting sqref="Z412">
    <cfRule type="dataBar" priority="5816">
      <dataBar>
        <cfvo type="min"/>
        <cfvo type="max"/>
        <color rgb="FF63C384"/>
      </dataBar>
      <extLst>
        <ext xmlns:x14="http://schemas.microsoft.com/office/spreadsheetml/2009/9/main" uri="{B025F937-C7B1-47D3-B67F-A62EFF666E3E}">
          <x14:id>{8FDA12EE-B7F6-4B72-B34B-288F06E596B5}</x14:id>
        </ext>
      </extLst>
    </cfRule>
  </conditionalFormatting>
  <conditionalFormatting sqref="Z412">
    <cfRule type="dataBar" priority="5815">
      <dataBar>
        <cfvo type="min"/>
        <cfvo type="max"/>
        <color rgb="FF63C384"/>
      </dataBar>
      <extLst>
        <ext xmlns:x14="http://schemas.microsoft.com/office/spreadsheetml/2009/9/main" uri="{B025F937-C7B1-47D3-B67F-A62EFF666E3E}">
          <x14:id>{17B314EF-452E-46A4-9632-49806F53579B}</x14:id>
        </ext>
      </extLst>
    </cfRule>
  </conditionalFormatting>
  <conditionalFormatting sqref="C412">
    <cfRule type="containsText" dxfId="9539" priority="5813" operator="containsText" text="Einnahmen">
      <formula>NOT(ISERROR(SEARCH("Einnahmen",C412)))</formula>
    </cfRule>
    <cfRule type="containsText" dxfId="9538" priority="5814" operator="containsText" text="Ausgaben">
      <formula>NOT(ISERROR(SEARCH("Ausgaben",C412)))</formula>
    </cfRule>
  </conditionalFormatting>
  <conditionalFormatting sqref="C413">
    <cfRule type="containsText" dxfId="9537" priority="5811" operator="containsText" text="Einnahmen">
      <formula>NOT(ISERROR(SEARCH("Einnahmen",C413)))</formula>
    </cfRule>
    <cfRule type="containsText" dxfId="9536" priority="5812" operator="containsText" text="Ausgaben">
      <formula>NOT(ISERROR(SEARCH("Ausgaben",C413)))</formula>
    </cfRule>
  </conditionalFormatting>
  <conditionalFormatting sqref="J413">
    <cfRule type="cellIs" dxfId="9535" priority="5810" operator="equal">
      <formula>"ja"</formula>
    </cfRule>
  </conditionalFormatting>
  <conditionalFormatting sqref="T413">
    <cfRule type="expression" dxfId="9534" priority="5809">
      <formula>AND(AND($W413&lt;TODAY(),$W413&lt;&gt;""),$X413="")</formula>
    </cfRule>
  </conditionalFormatting>
  <conditionalFormatting sqref="Z413">
    <cfRule type="dataBar" priority="5808">
      <dataBar>
        <cfvo type="min"/>
        <cfvo type="max"/>
        <color rgb="FF63C384"/>
      </dataBar>
      <extLst>
        <ext xmlns:x14="http://schemas.microsoft.com/office/spreadsheetml/2009/9/main" uri="{B025F937-C7B1-47D3-B67F-A62EFF666E3E}">
          <x14:id>{FBD40135-590F-4D07-9C91-8C780F211EB8}</x14:id>
        </ext>
      </extLst>
    </cfRule>
  </conditionalFormatting>
  <conditionalFormatting sqref="Z413">
    <cfRule type="dataBar" priority="5807">
      <dataBar>
        <cfvo type="min"/>
        <cfvo type="max"/>
        <color rgb="FF63C384"/>
      </dataBar>
      <extLst>
        <ext xmlns:x14="http://schemas.microsoft.com/office/spreadsheetml/2009/9/main" uri="{B025F937-C7B1-47D3-B67F-A62EFF666E3E}">
          <x14:id>{4F046AEF-0675-4C36-9541-5283AC8A3107}</x14:id>
        </ext>
      </extLst>
    </cfRule>
  </conditionalFormatting>
  <conditionalFormatting sqref="C414">
    <cfRule type="containsText" dxfId="9533" priority="5726" operator="containsText" text="Einnahmen">
      <formula>NOT(ISERROR(SEARCH("Einnahmen",C414)))</formula>
    </cfRule>
    <cfRule type="containsText" dxfId="9532" priority="5727" operator="containsText" text="Ausgaben">
      <formula>NOT(ISERROR(SEARCH("Ausgaben",C414)))</formula>
    </cfRule>
  </conditionalFormatting>
  <conditionalFormatting sqref="T414">
    <cfRule type="expression" dxfId="9531" priority="5725">
      <formula>AND(AND($W414&lt;TODAY(),$W414&lt;&gt;""),$X414="")</formula>
    </cfRule>
  </conditionalFormatting>
  <conditionalFormatting sqref="J414">
    <cfRule type="cellIs" dxfId="9530" priority="5724" operator="equal">
      <formula>"ja"</formula>
    </cfRule>
  </conditionalFormatting>
  <conditionalFormatting sqref="Z414">
    <cfRule type="dataBar" priority="5723">
      <dataBar>
        <cfvo type="min"/>
        <cfvo type="max"/>
        <color rgb="FF63C384"/>
      </dataBar>
      <extLst>
        <ext xmlns:x14="http://schemas.microsoft.com/office/spreadsheetml/2009/9/main" uri="{B025F937-C7B1-47D3-B67F-A62EFF666E3E}">
          <x14:id>{BDD8A747-D4C6-4F8C-86A5-76DDD8103E54}</x14:id>
        </ext>
      </extLst>
    </cfRule>
  </conditionalFormatting>
  <conditionalFormatting sqref="Z414">
    <cfRule type="dataBar" priority="5722">
      <dataBar>
        <cfvo type="min"/>
        <cfvo type="max"/>
        <color rgb="FF63C384"/>
      </dataBar>
      <extLst>
        <ext xmlns:x14="http://schemas.microsoft.com/office/spreadsheetml/2009/9/main" uri="{B025F937-C7B1-47D3-B67F-A62EFF666E3E}">
          <x14:id>{B29A8B22-3C9C-42AD-A7B0-FCA1D64FE0E2}</x14:id>
        </ext>
      </extLst>
    </cfRule>
  </conditionalFormatting>
  <conditionalFormatting sqref="C415">
    <cfRule type="containsText" dxfId="9529" priority="5720" operator="containsText" text="Einnahmen">
      <formula>NOT(ISERROR(SEARCH("Einnahmen",C415)))</formula>
    </cfRule>
    <cfRule type="containsText" dxfId="9528" priority="5721" operator="containsText" text="Ausgaben">
      <formula>NOT(ISERROR(SEARCH("Ausgaben",C415)))</formula>
    </cfRule>
  </conditionalFormatting>
  <conditionalFormatting sqref="J415">
    <cfRule type="cellIs" dxfId="9527" priority="5718" operator="equal">
      <formula>"ja"</formula>
    </cfRule>
  </conditionalFormatting>
  <conditionalFormatting sqref="T415">
    <cfRule type="expression" dxfId="9526" priority="5717">
      <formula>AND(AND($W415&lt;TODAY(),$W415&lt;&gt;""),$X415="")</formula>
    </cfRule>
  </conditionalFormatting>
  <conditionalFormatting sqref="Z415">
    <cfRule type="dataBar" priority="5716">
      <dataBar>
        <cfvo type="min"/>
        <cfvo type="max"/>
        <color rgb="FF63C384"/>
      </dataBar>
      <extLst>
        <ext xmlns:x14="http://schemas.microsoft.com/office/spreadsheetml/2009/9/main" uri="{B025F937-C7B1-47D3-B67F-A62EFF666E3E}">
          <x14:id>{740C9F06-9A64-40C5-8D12-3221FCAF4184}</x14:id>
        </ext>
      </extLst>
    </cfRule>
  </conditionalFormatting>
  <conditionalFormatting sqref="Z415">
    <cfRule type="dataBar" priority="5715">
      <dataBar>
        <cfvo type="min"/>
        <cfvo type="max"/>
        <color rgb="FF63C384"/>
      </dataBar>
      <extLst>
        <ext xmlns:x14="http://schemas.microsoft.com/office/spreadsheetml/2009/9/main" uri="{B025F937-C7B1-47D3-B67F-A62EFF666E3E}">
          <x14:id>{5BE9FB46-2F02-4FEC-95B9-82A3E90E1635}</x14:id>
        </ext>
      </extLst>
    </cfRule>
  </conditionalFormatting>
  <conditionalFormatting sqref="C416">
    <cfRule type="containsText" dxfId="9525" priority="5713" operator="containsText" text="Einnahmen">
      <formula>NOT(ISERROR(SEARCH("Einnahmen",C416)))</formula>
    </cfRule>
    <cfRule type="containsText" dxfId="9524" priority="5714" operator="containsText" text="Ausgaben">
      <formula>NOT(ISERROR(SEARCH("Ausgaben",C416)))</formula>
    </cfRule>
  </conditionalFormatting>
  <conditionalFormatting sqref="J416">
    <cfRule type="cellIs" dxfId="9523" priority="5712" operator="equal">
      <formula>"ja"</formula>
    </cfRule>
  </conditionalFormatting>
  <conditionalFormatting sqref="T416">
    <cfRule type="expression" dxfId="9522" priority="5711">
      <formula>AND(AND($W416&lt;TODAY(),$W416&lt;&gt;""),$X416="")</formula>
    </cfRule>
  </conditionalFormatting>
  <conditionalFormatting sqref="Z416">
    <cfRule type="dataBar" priority="5710">
      <dataBar>
        <cfvo type="min"/>
        <cfvo type="max"/>
        <color rgb="FF63C384"/>
      </dataBar>
      <extLst>
        <ext xmlns:x14="http://schemas.microsoft.com/office/spreadsheetml/2009/9/main" uri="{B025F937-C7B1-47D3-B67F-A62EFF666E3E}">
          <x14:id>{9950916A-D814-46FE-8628-260849BEF62D}</x14:id>
        </ext>
      </extLst>
    </cfRule>
  </conditionalFormatting>
  <conditionalFormatting sqref="Z416">
    <cfRule type="dataBar" priority="5709">
      <dataBar>
        <cfvo type="min"/>
        <cfvo type="max"/>
        <color rgb="FF63C384"/>
      </dataBar>
      <extLst>
        <ext xmlns:x14="http://schemas.microsoft.com/office/spreadsheetml/2009/9/main" uri="{B025F937-C7B1-47D3-B67F-A62EFF666E3E}">
          <x14:id>{9701A736-A811-4734-87F8-760B424FFA01}</x14:id>
        </ext>
      </extLst>
    </cfRule>
  </conditionalFormatting>
  <conditionalFormatting sqref="C417">
    <cfRule type="containsText" dxfId="9521" priority="5706" operator="containsText" text="Einnahmen">
      <formula>NOT(ISERROR(SEARCH("Einnahmen",C417)))</formula>
    </cfRule>
    <cfRule type="containsText" dxfId="9520" priority="5707" operator="containsText" text="Ausgaben">
      <formula>NOT(ISERROR(SEARCH("Ausgaben",C417)))</formula>
    </cfRule>
  </conditionalFormatting>
  <conditionalFormatting sqref="T417">
    <cfRule type="expression" dxfId="9519" priority="5705">
      <formula>AND(AND($W417&lt;TODAY(),$W417&lt;&gt;""),$X417="")</formula>
    </cfRule>
  </conditionalFormatting>
  <conditionalFormatting sqref="J417">
    <cfRule type="cellIs" dxfId="9518" priority="5704" operator="equal">
      <formula>"ja"</formula>
    </cfRule>
  </conditionalFormatting>
  <conditionalFormatting sqref="Z417">
    <cfRule type="dataBar" priority="5703">
      <dataBar>
        <cfvo type="min"/>
        <cfvo type="max"/>
        <color rgb="FF63C384"/>
      </dataBar>
      <extLst>
        <ext xmlns:x14="http://schemas.microsoft.com/office/spreadsheetml/2009/9/main" uri="{B025F937-C7B1-47D3-B67F-A62EFF666E3E}">
          <x14:id>{F3937EFC-080A-4C62-906E-122600AFA069}</x14:id>
        </ext>
      </extLst>
    </cfRule>
  </conditionalFormatting>
  <conditionalFormatting sqref="Z417">
    <cfRule type="dataBar" priority="5702">
      <dataBar>
        <cfvo type="min"/>
        <cfvo type="max"/>
        <color rgb="FF63C384"/>
      </dataBar>
      <extLst>
        <ext xmlns:x14="http://schemas.microsoft.com/office/spreadsheetml/2009/9/main" uri="{B025F937-C7B1-47D3-B67F-A62EFF666E3E}">
          <x14:id>{21413CDB-7920-4EAD-8A71-D09A786129B9}</x14:id>
        </ext>
      </extLst>
    </cfRule>
  </conditionalFormatting>
  <conditionalFormatting sqref="C418">
    <cfRule type="containsText" dxfId="9517" priority="5700" operator="containsText" text="Einnahmen">
      <formula>NOT(ISERROR(SEARCH("Einnahmen",C418)))</formula>
    </cfRule>
    <cfRule type="containsText" dxfId="9516" priority="5701" operator="containsText" text="Ausgaben">
      <formula>NOT(ISERROR(SEARCH("Ausgaben",C418)))</formula>
    </cfRule>
  </conditionalFormatting>
  <conditionalFormatting sqref="J418">
    <cfRule type="cellIs" dxfId="9515" priority="5699" operator="equal">
      <formula>"ja"</formula>
    </cfRule>
  </conditionalFormatting>
  <conditionalFormatting sqref="T418">
    <cfRule type="expression" dxfId="9514" priority="5698">
      <formula>AND(AND($W418&lt;TODAY(),$W418&lt;&gt;""),$X418="")</formula>
    </cfRule>
  </conditionalFormatting>
  <conditionalFormatting sqref="Z418">
    <cfRule type="dataBar" priority="5697">
      <dataBar>
        <cfvo type="min"/>
        <cfvo type="max"/>
        <color rgb="FF63C384"/>
      </dataBar>
      <extLst>
        <ext xmlns:x14="http://schemas.microsoft.com/office/spreadsheetml/2009/9/main" uri="{B025F937-C7B1-47D3-B67F-A62EFF666E3E}">
          <x14:id>{0AF30E12-F587-4885-AEA1-5B3E4D1333CE}</x14:id>
        </ext>
      </extLst>
    </cfRule>
  </conditionalFormatting>
  <conditionalFormatting sqref="Z418">
    <cfRule type="dataBar" priority="5696">
      <dataBar>
        <cfvo type="min"/>
        <cfvo type="max"/>
        <color rgb="FF63C384"/>
      </dataBar>
      <extLst>
        <ext xmlns:x14="http://schemas.microsoft.com/office/spreadsheetml/2009/9/main" uri="{B025F937-C7B1-47D3-B67F-A62EFF666E3E}">
          <x14:id>{EFDF7DFA-FA20-4F2E-87D9-4FAB92840D4B}</x14:id>
        </ext>
      </extLst>
    </cfRule>
  </conditionalFormatting>
  <conditionalFormatting sqref="T419">
    <cfRule type="expression" dxfId="9513" priority="5690">
      <formula>AND(AND($W419&lt;TODAY(),$W419&lt;&gt;""),$X419="")</formula>
    </cfRule>
  </conditionalFormatting>
  <conditionalFormatting sqref="C419">
    <cfRule type="containsText" dxfId="9512" priority="5692" operator="containsText" text="Einnahmen">
      <formula>NOT(ISERROR(SEARCH("Einnahmen",C419)))</formula>
    </cfRule>
    <cfRule type="containsText" dxfId="9511" priority="5693" operator="containsText" text="Ausgaben">
      <formula>NOT(ISERROR(SEARCH("Ausgaben",C419)))</formula>
    </cfRule>
  </conditionalFormatting>
  <conditionalFormatting sqref="J419">
    <cfRule type="cellIs" dxfId="9510" priority="5691" operator="equal">
      <formula>"ja"</formula>
    </cfRule>
  </conditionalFormatting>
  <conditionalFormatting sqref="Z419">
    <cfRule type="dataBar" priority="5689">
      <dataBar>
        <cfvo type="min"/>
        <cfvo type="max"/>
        <color rgb="FF63C384"/>
      </dataBar>
      <extLst>
        <ext xmlns:x14="http://schemas.microsoft.com/office/spreadsheetml/2009/9/main" uri="{B025F937-C7B1-47D3-B67F-A62EFF666E3E}">
          <x14:id>{E529A4B0-6B5E-48DC-80A4-2CB0DB7CCC46}</x14:id>
        </ext>
      </extLst>
    </cfRule>
  </conditionalFormatting>
  <conditionalFormatting sqref="Z419">
    <cfRule type="dataBar" priority="5688">
      <dataBar>
        <cfvo type="min"/>
        <cfvo type="max"/>
        <color rgb="FF63C384"/>
      </dataBar>
      <extLst>
        <ext xmlns:x14="http://schemas.microsoft.com/office/spreadsheetml/2009/9/main" uri="{B025F937-C7B1-47D3-B67F-A62EFF666E3E}">
          <x14:id>{8F87C727-68E3-41BD-881A-633C3C3B8D96}</x14:id>
        </ext>
      </extLst>
    </cfRule>
  </conditionalFormatting>
  <conditionalFormatting sqref="J420">
    <cfRule type="cellIs" dxfId="9509" priority="5687" operator="equal">
      <formula>"ja"</formula>
    </cfRule>
  </conditionalFormatting>
  <conditionalFormatting sqref="T420">
    <cfRule type="expression" dxfId="9508" priority="5686">
      <formula>AND(AND($W420&lt;TODAY(),$W420&lt;&gt;""),$X420="")</formula>
    </cfRule>
  </conditionalFormatting>
  <conditionalFormatting sqref="Z420">
    <cfRule type="dataBar" priority="5685">
      <dataBar>
        <cfvo type="min"/>
        <cfvo type="max"/>
        <color rgb="FF63C384"/>
      </dataBar>
      <extLst>
        <ext xmlns:x14="http://schemas.microsoft.com/office/spreadsheetml/2009/9/main" uri="{B025F937-C7B1-47D3-B67F-A62EFF666E3E}">
          <x14:id>{12BF72A0-546D-40B4-9976-E8E65BAB6788}</x14:id>
        </ext>
      </extLst>
    </cfRule>
  </conditionalFormatting>
  <conditionalFormatting sqref="Z420">
    <cfRule type="dataBar" priority="5684">
      <dataBar>
        <cfvo type="min"/>
        <cfvo type="max"/>
        <color rgb="FF63C384"/>
      </dataBar>
      <extLst>
        <ext xmlns:x14="http://schemas.microsoft.com/office/spreadsheetml/2009/9/main" uri="{B025F937-C7B1-47D3-B67F-A62EFF666E3E}">
          <x14:id>{F52E7F79-C394-4863-B323-1E2DE64782A5}</x14:id>
        </ext>
      </extLst>
    </cfRule>
  </conditionalFormatting>
  <conditionalFormatting sqref="C420">
    <cfRule type="containsText" dxfId="9507" priority="5682" operator="containsText" text="Einnahmen">
      <formula>NOT(ISERROR(SEARCH("Einnahmen",C420)))</formula>
    </cfRule>
    <cfRule type="containsText" dxfId="9506" priority="5683" operator="containsText" text="Ausgaben">
      <formula>NOT(ISERROR(SEARCH("Ausgaben",C420)))</formula>
    </cfRule>
  </conditionalFormatting>
  <conditionalFormatting sqref="J421">
    <cfRule type="cellIs" dxfId="9505" priority="5681" operator="equal">
      <formula>"ja"</formula>
    </cfRule>
  </conditionalFormatting>
  <conditionalFormatting sqref="T421">
    <cfRule type="expression" dxfId="9504" priority="5680">
      <formula>AND(AND($W421&lt;TODAY(),$W421&lt;&gt;""),$X421="")</formula>
    </cfRule>
  </conditionalFormatting>
  <conditionalFormatting sqref="Z421">
    <cfRule type="dataBar" priority="5679">
      <dataBar>
        <cfvo type="min"/>
        <cfvo type="max"/>
        <color rgb="FF63C384"/>
      </dataBar>
      <extLst>
        <ext xmlns:x14="http://schemas.microsoft.com/office/spreadsheetml/2009/9/main" uri="{B025F937-C7B1-47D3-B67F-A62EFF666E3E}">
          <x14:id>{9279EFBA-10E6-4DE0-A9D7-F644BB869A27}</x14:id>
        </ext>
      </extLst>
    </cfRule>
  </conditionalFormatting>
  <conditionalFormatting sqref="Z421">
    <cfRule type="dataBar" priority="5678">
      <dataBar>
        <cfvo type="min"/>
        <cfvo type="max"/>
        <color rgb="FF63C384"/>
      </dataBar>
      <extLst>
        <ext xmlns:x14="http://schemas.microsoft.com/office/spreadsheetml/2009/9/main" uri="{B025F937-C7B1-47D3-B67F-A62EFF666E3E}">
          <x14:id>{CFA4C245-8918-4D0A-A27D-6449C0EA2C20}</x14:id>
        </ext>
      </extLst>
    </cfRule>
  </conditionalFormatting>
  <conditionalFormatting sqref="C421">
    <cfRule type="containsText" dxfId="9503" priority="5676" operator="containsText" text="Einnahmen">
      <formula>NOT(ISERROR(SEARCH("Einnahmen",C421)))</formula>
    </cfRule>
    <cfRule type="containsText" dxfId="9502" priority="5677" operator="containsText" text="Ausgaben">
      <formula>NOT(ISERROR(SEARCH("Ausgaben",C421)))</formula>
    </cfRule>
  </conditionalFormatting>
  <conditionalFormatting sqref="C422">
    <cfRule type="containsText" dxfId="9501" priority="5674" operator="containsText" text="Einnahmen">
      <formula>NOT(ISERROR(SEARCH("Einnahmen",C422)))</formula>
    </cfRule>
    <cfRule type="containsText" dxfId="9500" priority="5675" operator="containsText" text="Ausgaben">
      <formula>NOT(ISERROR(SEARCH("Ausgaben",C422)))</formula>
    </cfRule>
  </conditionalFormatting>
  <conditionalFormatting sqref="J422">
    <cfRule type="cellIs" dxfId="9499" priority="5673" operator="equal">
      <formula>"ja"</formula>
    </cfRule>
  </conditionalFormatting>
  <conditionalFormatting sqref="T422">
    <cfRule type="expression" dxfId="9498" priority="5672">
      <formula>AND(AND($W422&lt;TODAY(),$W422&lt;&gt;""),$X422="")</formula>
    </cfRule>
  </conditionalFormatting>
  <conditionalFormatting sqref="Z422">
    <cfRule type="dataBar" priority="5671">
      <dataBar>
        <cfvo type="min"/>
        <cfvo type="max"/>
        <color rgb="FF63C384"/>
      </dataBar>
      <extLst>
        <ext xmlns:x14="http://schemas.microsoft.com/office/spreadsheetml/2009/9/main" uri="{B025F937-C7B1-47D3-B67F-A62EFF666E3E}">
          <x14:id>{B02F266C-4A46-4CEF-8F80-595D15FCE424}</x14:id>
        </ext>
      </extLst>
    </cfRule>
  </conditionalFormatting>
  <conditionalFormatting sqref="Z422">
    <cfRule type="dataBar" priority="5670">
      <dataBar>
        <cfvo type="min"/>
        <cfvo type="max"/>
        <color rgb="FF63C384"/>
      </dataBar>
      <extLst>
        <ext xmlns:x14="http://schemas.microsoft.com/office/spreadsheetml/2009/9/main" uri="{B025F937-C7B1-47D3-B67F-A62EFF666E3E}">
          <x14:id>{E703F266-505C-454C-8AFA-12A4EC0CA92F}</x14:id>
        </ext>
      </extLst>
    </cfRule>
  </conditionalFormatting>
  <conditionalFormatting sqref="C423">
    <cfRule type="containsText" dxfId="9497" priority="5668" operator="containsText" text="Einnahmen">
      <formula>NOT(ISERROR(SEARCH("Einnahmen",C423)))</formula>
    </cfRule>
    <cfRule type="containsText" dxfId="9496" priority="5669" operator="containsText" text="Ausgaben">
      <formula>NOT(ISERROR(SEARCH("Ausgaben",C423)))</formula>
    </cfRule>
  </conditionalFormatting>
  <conditionalFormatting sqref="J423">
    <cfRule type="cellIs" dxfId="9495" priority="5667" operator="equal">
      <formula>"ja"</formula>
    </cfRule>
  </conditionalFormatting>
  <conditionalFormatting sqref="T423">
    <cfRule type="expression" dxfId="9494" priority="5666">
      <formula>AND(AND($W423&lt;TODAY(),$W423&lt;&gt;""),$X423="")</formula>
    </cfRule>
  </conditionalFormatting>
  <conditionalFormatting sqref="Z423">
    <cfRule type="dataBar" priority="5665">
      <dataBar>
        <cfvo type="min"/>
        <cfvo type="max"/>
        <color rgb="FF63C384"/>
      </dataBar>
      <extLst>
        <ext xmlns:x14="http://schemas.microsoft.com/office/spreadsheetml/2009/9/main" uri="{B025F937-C7B1-47D3-B67F-A62EFF666E3E}">
          <x14:id>{F2004B27-0BDE-46E3-97BB-F8C22D20F0EC}</x14:id>
        </ext>
      </extLst>
    </cfRule>
  </conditionalFormatting>
  <conditionalFormatting sqref="Z423">
    <cfRule type="dataBar" priority="5664">
      <dataBar>
        <cfvo type="min"/>
        <cfvo type="max"/>
        <color rgb="FF63C384"/>
      </dataBar>
      <extLst>
        <ext xmlns:x14="http://schemas.microsoft.com/office/spreadsheetml/2009/9/main" uri="{B025F937-C7B1-47D3-B67F-A62EFF666E3E}">
          <x14:id>{B68B1927-1B7E-4B20-9A9C-97411141E890}</x14:id>
        </ext>
      </extLst>
    </cfRule>
  </conditionalFormatting>
  <conditionalFormatting sqref="C424">
    <cfRule type="containsText" dxfId="9493" priority="5656" operator="containsText" text="Einnahmen">
      <formula>NOT(ISERROR(SEARCH("Einnahmen",C424)))</formula>
    </cfRule>
    <cfRule type="containsText" dxfId="9492" priority="5657" operator="containsText" text="Ausgaben">
      <formula>NOT(ISERROR(SEARCH("Ausgaben",C424)))</formula>
    </cfRule>
  </conditionalFormatting>
  <conditionalFormatting sqref="T424">
    <cfRule type="expression" dxfId="9491" priority="5655">
      <formula>AND(AND($W424&lt;TODAY(),$W424&lt;&gt;""),$X424="")</formula>
    </cfRule>
  </conditionalFormatting>
  <conditionalFormatting sqref="Z424">
    <cfRule type="dataBar" priority="5654">
      <dataBar>
        <cfvo type="min"/>
        <cfvo type="max"/>
        <color rgb="FF63C384"/>
      </dataBar>
      <extLst>
        <ext xmlns:x14="http://schemas.microsoft.com/office/spreadsheetml/2009/9/main" uri="{B025F937-C7B1-47D3-B67F-A62EFF666E3E}">
          <x14:id>{78683538-4DB6-4B30-B6E3-9AD6D1BDBFE2}</x14:id>
        </ext>
      </extLst>
    </cfRule>
  </conditionalFormatting>
  <conditionalFormatting sqref="Z424">
    <cfRule type="dataBar" priority="5653">
      <dataBar>
        <cfvo type="min"/>
        <cfvo type="max"/>
        <color rgb="FF63C384"/>
      </dataBar>
      <extLst>
        <ext xmlns:x14="http://schemas.microsoft.com/office/spreadsheetml/2009/9/main" uri="{B025F937-C7B1-47D3-B67F-A62EFF666E3E}">
          <x14:id>{BAA847A0-BB7F-4EE2-B870-CA49C0470722}</x14:id>
        </ext>
      </extLst>
    </cfRule>
  </conditionalFormatting>
  <conditionalFormatting sqref="J424">
    <cfRule type="cellIs" dxfId="9490" priority="5652" operator="equal">
      <formula>"ja"</formula>
    </cfRule>
  </conditionalFormatting>
  <conditionalFormatting sqref="C425">
    <cfRule type="containsText" dxfId="9489" priority="5649" operator="containsText" text="Einnahmen">
      <formula>NOT(ISERROR(SEARCH("Einnahmen",C425)))</formula>
    </cfRule>
    <cfRule type="containsText" dxfId="9488" priority="5650" operator="containsText" text="Ausgaben">
      <formula>NOT(ISERROR(SEARCH("Ausgaben",C425)))</formula>
    </cfRule>
  </conditionalFormatting>
  <conditionalFormatting sqref="T425">
    <cfRule type="expression" dxfId="9487" priority="5648">
      <formula>AND(AND($W425&lt;TODAY(),$W425&lt;&gt;""),$X425="")</formula>
    </cfRule>
  </conditionalFormatting>
  <conditionalFormatting sqref="J425">
    <cfRule type="cellIs" dxfId="9486" priority="5647" operator="equal">
      <formula>"ja"</formula>
    </cfRule>
  </conditionalFormatting>
  <conditionalFormatting sqref="Z425">
    <cfRule type="dataBar" priority="5646">
      <dataBar>
        <cfvo type="min"/>
        <cfvo type="max"/>
        <color rgb="FF63C384"/>
      </dataBar>
      <extLst>
        <ext xmlns:x14="http://schemas.microsoft.com/office/spreadsheetml/2009/9/main" uri="{B025F937-C7B1-47D3-B67F-A62EFF666E3E}">
          <x14:id>{4A9FB026-88DF-4CEE-8477-E37962BD53CC}</x14:id>
        </ext>
      </extLst>
    </cfRule>
  </conditionalFormatting>
  <conditionalFormatting sqref="Z425">
    <cfRule type="dataBar" priority="5645">
      <dataBar>
        <cfvo type="min"/>
        <cfvo type="max"/>
        <color rgb="FF63C384"/>
      </dataBar>
      <extLst>
        <ext xmlns:x14="http://schemas.microsoft.com/office/spreadsheetml/2009/9/main" uri="{B025F937-C7B1-47D3-B67F-A62EFF666E3E}">
          <x14:id>{1D868A9A-A844-4421-800E-3ABEAAE09C95}</x14:id>
        </ext>
      </extLst>
    </cfRule>
  </conditionalFormatting>
  <conditionalFormatting sqref="J426">
    <cfRule type="cellIs" dxfId="9485" priority="5644" operator="equal">
      <formula>"ja"</formula>
    </cfRule>
  </conditionalFormatting>
  <conditionalFormatting sqref="C426">
    <cfRule type="containsText" dxfId="9484" priority="5642" operator="containsText" text="Einnahmen">
      <formula>NOT(ISERROR(SEARCH("Einnahmen",C426)))</formula>
    </cfRule>
    <cfRule type="containsText" dxfId="9483" priority="5643" operator="containsText" text="Ausgaben">
      <formula>NOT(ISERROR(SEARCH("Ausgaben",C426)))</formula>
    </cfRule>
  </conditionalFormatting>
  <conditionalFormatting sqref="T426">
    <cfRule type="expression" dxfId="9482" priority="5641">
      <formula>AND(AND($W426&lt;TODAY(),$W426&lt;&gt;""),$X426="")</formula>
    </cfRule>
  </conditionalFormatting>
  <conditionalFormatting sqref="Z426">
    <cfRule type="dataBar" priority="5640">
      <dataBar>
        <cfvo type="min"/>
        <cfvo type="max"/>
        <color rgb="FF63C384"/>
      </dataBar>
      <extLst>
        <ext xmlns:x14="http://schemas.microsoft.com/office/spreadsheetml/2009/9/main" uri="{B025F937-C7B1-47D3-B67F-A62EFF666E3E}">
          <x14:id>{2C5F0D2C-0169-48E9-8CB1-5DB428A523C0}</x14:id>
        </ext>
      </extLst>
    </cfRule>
  </conditionalFormatting>
  <conditionalFormatting sqref="Z426">
    <cfRule type="dataBar" priority="5639">
      <dataBar>
        <cfvo type="min"/>
        <cfvo type="max"/>
        <color rgb="FF63C384"/>
      </dataBar>
      <extLst>
        <ext xmlns:x14="http://schemas.microsoft.com/office/spreadsheetml/2009/9/main" uri="{B025F937-C7B1-47D3-B67F-A62EFF666E3E}">
          <x14:id>{B041E1F9-F694-4DFE-AF20-A874E9A75AF1}</x14:id>
        </ext>
      </extLst>
    </cfRule>
  </conditionalFormatting>
  <conditionalFormatting sqref="C427">
    <cfRule type="containsText" dxfId="9481" priority="5637" operator="containsText" text="Einnahmen">
      <formula>NOT(ISERROR(SEARCH("Einnahmen",C427)))</formula>
    </cfRule>
    <cfRule type="containsText" dxfId="9480" priority="5638" operator="containsText" text="Ausgaben">
      <formula>NOT(ISERROR(SEARCH("Ausgaben",C427)))</formula>
    </cfRule>
  </conditionalFormatting>
  <conditionalFormatting sqref="J427">
    <cfRule type="cellIs" dxfId="9479" priority="5636" operator="equal">
      <formula>"ja"</formula>
    </cfRule>
  </conditionalFormatting>
  <conditionalFormatting sqref="T427">
    <cfRule type="expression" dxfId="9478" priority="5635">
      <formula>AND(AND($W427&lt;TODAY(),$W427&lt;&gt;""),$X427="")</formula>
    </cfRule>
  </conditionalFormatting>
  <conditionalFormatting sqref="Z427">
    <cfRule type="dataBar" priority="5634">
      <dataBar>
        <cfvo type="min"/>
        <cfvo type="max"/>
        <color rgb="FF63C384"/>
      </dataBar>
      <extLst>
        <ext xmlns:x14="http://schemas.microsoft.com/office/spreadsheetml/2009/9/main" uri="{B025F937-C7B1-47D3-B67F-A62EFF666E3E}">
          <x14:id>{CA8D6446-7FB8-4B5C-B56B-E6F783C193AA}</x14:id>
        </ext>
      </extLst>
    </cfRule>
  </conditionalFormatting>
  <conditionalFormatting sqref="Z427">
    <cfRule type="dataBar" priority="5633">
      <dataBar>
        <cfvo type="min"/>
        <cfvo type="max"/>
        <color rgb="FF63C384"/>
      </dataBar>
      <extLst>
        <ext xmlns:x14="http://schemas.microsoft.com/office/spreadsheetml/2009/9/main" uri="{B025F937-C7B1-47D3-B67F-A62EFF666E3E}">
          <x14:id>{AAA1DA62-5A18-4CFE-B611-5D6CAD6C2634}</x14:id>
        </ext>
      </extLst>
    </cfRule>
  </conditionalFormatting>
  <conditionalFormatting sqref="J428">
    <cfRule type="cellIs" dxfId="9477" priority="5630" operator="equal">
      <formula>"ja"</formula>
    </cfRule>
  </conditionalFormatting>
  <conditionalFormatting sqref="C428">
    <cfRule type="containsText" dxfId="9476" priority="5628" operator="containsText" text="Einnahmen">
      <formula>NOT(ISERROR(SEARCH("Einnahmen",C428)))</formula>
    </cfRule>
    <cfRule type="containsText" dxfId="9475" priority="5629" operator="containsText" text="Ausgaben">
      <formula>NOT(ISERROR(SEARCH("Ausgaben",C428)))</formula>
    </cfRule>
  </conditionalFormatting>
  <conditionalFormatting sqref="T428">
    <cfRule type="expression" dxfId="9474" priority="5627">
      <formula>AND(AND($W428&lt;TODAY(),$W428&lt;&gt;""),$X428="")</formula>
    </cfRule>
  </conditionalFormatting>
  <conditionalFormatting sqref="Z428">
    <cfRule type="dataBar" priority="5626">
      <dataBar>
        <cfvo type="min"/>
        <cfvo type="max"/>
        <color rgb="FF63C384"/>
      </dataBar>
      <extLst>
        <ext xmlns:x14="http://schemas.microsoft.com/office/spreadsheetml/2009/9/main" uri="{B025F937-C7B1-47D3-B67F-A62EFF666E3E}">
          <x14:id>{6BE1FB01-97F1-4CE5-A4B9-DC90F7DEAC2E}</x14:id>
        </ext>
      </extLst>
    </cfRule>
  </conditionalFormatting>
  <conditionalFormatting sqref="Z428">
    <cfRule type="dataBar" priority="5625">
      <dataBar>
        <cfvo type="min"/>
        <cfvo type="max"/>
        <color rgb="FF63C384"/>
      </dataBar>
      <extLst>
        <ext xmlns:x14="http://schemas.microsoft.com/office/spreadsheetml/2009/9/main" uri="{B025F937-C7B1-47D3-B67F-A62EFF666E3E}">
          <x14:id>{207E60FE-794C-4BEE-921B-F610AB7EB195}</x14:id>
        </ext>
      </extLst>
    </cfRule>
  </conditionalFormatting>
  <conditionalFormatting sqref="C429">
    <cfRule type="containsText" dxfId="9473" priority="5623" operator="containsText" text="Einnahmen">
      <formula>NOT(ISERROR(SEARCH("Einnahmen",C429)))</formula>
    </cfRule>
    <cfRule type="containsText" dxfId="9472" priority="5624" operator="containsText" text="Ausgaben">
      <formula>NOT(ISERROR(SEARCH("Ausgaben",C429)))</formula>
    </cfRule>
  </conditionalFormatting>
  <conditionalFormatting sqref="J429">
    <cfRule type="cellIs" dxfId="9471" priority="5622" operator="equal">
      <formula>"ja"</formula>
    </cfRule>
  </conditionalFormatting>
  <conditionalFormatting sqref="T429">
    <cfRule type="expression" dxfId="9470" priority="5621">
      <formula>AND(AND($W429&lt;TODAY(),$W429&lt;&gt;""),$X429="")</formula>
    </cfRule>
  </conditionalFormatting>
  <conditionalFormatting sqref="Z429">
    <cfRule type="dataBar" priority="5620">
      <dataBar>
        <cfvo type="min"/>
        <cfvo type="max"/>
        <color rgb="FF63C384"/>
      </dataBar>
      <extLst>
        <ext xmlns:x14="http://schemas.microsoft.com/office/spreadsheetml/2009/9/main" uri="{B025F937-C7B1-47D3-B67F-A62EFF666E3E}">
          <x14:id>{024FF82E-CCD9-4748-BFA1-9348F58957D5}</x14:id>
        </ext>
      </extLst>
    </cfRule>
  </conditionalFormatting>
  <conditionalFormatting sqref="Z429">
    <cfRule type="dataBar" priority="5619">
      <dataBar>
        <cfvo type="min"/>
        <cfvo type="max"/>
        <color rgb="FF63C384"/>
      </dataBar>
      <extLst>
        <ext xmlns:x14="http://schemas.microsoft.com/office/spreadsheetml/2009/9/main" uri="{B025F937-C7B1-47D3-B67F-A62EFF666E3E}">
          <x14:id>{544B0579-3A3D-401C-AFE1-8C53E002769F}</x14:id>
        </ext>
      </extLst>
    </cfRule>
  </conditionalFormatting>
  <conditionalFormatting sqref="C430">
    <cfRule type="containsText" dxfId="9469" priority="5616" operator="containsText" text="Einnahmen">
      <formula>NOT(ISERROR(SEARCH("Einnahmen",C430)))</formula>
    </cfRule>
    <cfRule type="containsText" dxfId="9468" priority="5617" operator="containsText" text="Ausgaben">
      <formula>NOT(ISERROR(SEARCH("Ausgaben",C430)))</formula>
    </cfRule>
  </conditionalFormatting>
  <conditionalFormatting sqref="J430">
    <cfRule type="cellIs" dxfId="9467" priority="5615" operator="equal">
      <formula>"ja"</formula>
    </cfRule>
  </conditionalFormatting>
  <conditionalFormatting sqref="T430">
    <cfRule type="expression" dxfId="9466" priority="5614">
      <formula>AND(AND($W430&lt;TODAY(),$W430&lt;&gt;""),$X430="")</formula>
    </cfRule>
  </conditionalFormatting>
  <conditionalFormatting sqref="Z430">
    <cfRule type="dataBar" priority="5613">
      <dataBar>
        <cfvo type="min"/>
        <cfvo type="max"/>
        <color rgb="FF63C384"/>
      </dataBar>
      <extLst>
        <ext xmlns:x14="http://schemas.microsoft.com/office/spreadsheetml/2009/9/main" uri="{B025F937-C7B1-47D3-B67F-A62EFF666E3E}">
          <x14:id>{10842E1E-48E2-445D-9B54-5CED6933DF40}</x14:id>
        </ext>
      </extLst>
    </cfRule>
  </conditionalFormatting>
  <conditionalFormatting sqref="Z430">
    <cfRule type="dataBar" priority="5612">
      <dataBar>
        <cfvo type="min"/>
        <cfvo type="max"/>
        <color rgb="FF63C384"/>
      </dataBar>
      <extLst>
        <ext xmlns:x14="http://schemas.microsoft.com/office/spreadsheetml/2009/9/main" uri="{B025F937-C7B1-47D3-B67F-A62EFF666E3E}">
          <x14:id>{25A803C2-DCAF-4E86-8D84-C8F9025CDA07}</x14:id>
        </ext>
      </extLst>
    </cfRule>
  </conditionalFormatting>
  <conditionalFormatting sqref="C431">
    <cfRule type="containsText" dxfId="9465" priority="5609" operator="containsText" text="Einnahmen">
      <formula>NOT(ISERROR(SEARCH("Einnahmen",C431)))</formula>
    </cfRule>
    <cfRule type="containsText" dxfId="9464" priority="5610" operator="containsText" text="Ausgaben">
      <formula>NOT(ISERROR(SEARCH("Ausgaben",C431)))</formula>
    </cfRule>
  </conditionalFormatting>
  <conditionalFormatting sqref="T431">
    <cfRule type="expression" dxfId="9463" priority="5608">
      <formula>AND(AND($W431&lt;TODAY(),$W431&lt;&gt;""),$X431="")</formula>
    </cfRule>
  </conditionalFormatting>
  <conditionalFormatting sqref="J431">
    <cfRule type="cellIs" dxfId="9462" priority="5607" operator="equal">
      <formula>"ja"</formula>
    </cfRule>
  </conditionalFormatting>
  <conditionalFormatting sqref="Z431">
    <cfRule type="dataBar" priority="5606">
      <dataBar>
        <cfvo type="min"/>
        <cfvo type="max"/>
        <color rgb="FF63C384"/>
      </dataBar>
      <extLst>
        <ext xmlns:x14="http://schemas.microsoft.com/office/spreadsheetml/2009/9/main" uri="{B025F937-C7B1-47D3-B67F-A62EFF666E3E}">
          <x14:id>{1805661D-0EDA-49B3-9113-BC3D8641B744}</x14:id>
        </ext>
      </extLst>
    </cfRule>
  </conditionalFormatting>
  <conditionalFormatting sqref="Z431">
    <cfRule type="dataBar" priority="5605">
      <dataBar>
        <cfvo type="min"/>
        <cfvo type="max"/>
        <color rgb="FF63C384"/>
      </dataBar>
      <extLst>
        <ext xmlns:x14="http://schemas.microsoft.com/office/spreadsheetml/2009/9/main" uri="{B025F937-C7B1-47D3-B67F-A62EFF666E3E}">
          <x14:id>{3BEFD17C-2A33-401E-ADFD-ACD5A85E03AF}</x14:id>
        </ext>
      </extLst>
    </cfRule>
  </conditionalFormatting>
  <conditionalFormatting sqref="C432">
    <cfRule type="containsText" dxfId="9461" priority="5603" operator="containsText" text="Einnahmen">
      <formula>NOT(ISERROR(SEARCH("Einnahmen",C432)))</formula>
    </cfRule>
    <cfRule type="containsText" dxfId="9460" priority="5604" operator="containsText" text="Ausgaben">
      <formula>NOT(ISERROR(SEARCH("Ausgaben",C432)))</formula>
    </cfRule>
  </conditionalFormatting>
  <conditionalFormatting sqref="J432">
    <cfRule type="cellIs" dxfId="9459" priority="5602" operator="equal">
      <formula>"ja"</formula>
    </cfRule>
  </conditionalFormatting>
  <conditionalFormatting sqref="T432">
    <cfRule type="expression" dxfId="9458" priority="5601">
      <formula>AND(AND($W432&lt;TODAY(),$W432&lt;&gt;""),$X432="")</formula>
    </cfRule>
  </conditionalFormatting>
  <conditionalFormatting sqref="Z432">
    <cfRule type="dataBar" priority="5600">
      <dataBar>
        <cfvo type="min"/>
        <cfvo type="max"/>
        <color rgb="FF63C384"/>
      </dataBar>
      <extLst>
        <ext xmlns:x14="http://schemas.microsoft.com/office/spreadsheetml/2009/9/main" uri="{B025F937-C7B1-47D3-B67F-A62EFF666E3E}">
          <x14:id>{1B647BAD-996E-4329-8F0C-7040C9393F4A}</x14:id>
        </ext>
      </extLst>
    </cfRule>
  </conditionalFormatting>
  <conditionalFormatting sqref="Z432">
    <cfRule type="dataBar" priority="5599">
      <dataBar>
        <cfvo type="min"/>
        <cfvo type="max"/>
        <color rgb="FF63C384"/>
      </dataBar>
      <extLst>
        <ext xmlns:x14="http://schemas.microsoft.com/office/spreadsheetml/2009/9/main" uri="{B025F937-C7B1-47D3-B67F-A62EFF666E3E}">
          <x14:id>{B5B79B7B-D01F-4383-8044-D818CEAC6847}</x14:id>
        </ext>
      </extLst>
    </cfRule>
  </conditionalFormatting>
  <conditionalFormatting sqref="C433">
    <cfRule type="containsText" dxfId="9457" priority="5596" operator="containsText" text="Einnahmen">
      <formula>NOT(ISERROR(SEARCH("Einnahmen",C433)))</formula>
    </cfRule>
    <cfRule type="containsText" dxfId="9456" priority="5597" operator="containsText" text="Ausgaben">
      <formula>NOT(ISERROR(SEARCH("Ausgaben",C433)))</formula>
    </cfRule>
  </conditionalFormatting>
  <conditionalFormatting sqref="T433">
    <cfRule type="expression" dxfId="9455" priority="5595">
      <formula>AND(AND($W433&lt;TODAY(),$W433&lt;&gt;""),$X433="")</formula>
    </cfRule>
  </conditionalFormatting>
  <conditionalFormatting sqref="J433">
    <cfRule type="cellIs" dxfId="9454" priority="5594" operator="equal">
      <formula>"ja"</formula>
    </cfRule>
  </conditionalFormatting>
  <conditionalFormatting sqref="Z433">
    <cfRule type="dataBar" priority="5593">
      <dataBar>
        <cfvo type="min"/>
        <cfvo type="max"/>
        <color rgb="FF63C384"/>
      </dataBar>
      <extLst>
        <ext xmlns:x14="http://schemas.microsoft.com/office/spreadsheetml/2009/9/main" uri="{B025F937-C7B1-47D3-B67F-A62EFF666E3E}">
          <x14:id>{7A4730AE-3E2A-4D17-8C55-634933B7BC62}</x14:id>
        </ext>
      </extLst>
    </cfRule>
  </conditionalFormatting>
  <conditionalFormatting sqref="Z433">
    <cfRule type="dataBar" priority="5592">
      <dataBar>
        <cfvo type="min"/>
        <cfvo type="max"/>
        <color rgb="FF63C384"/>
      </dataBar>
      <extLst>
        <ext xmlns:x14="http://schemas.microsoft.com/office/spreadsheetml/2009/9/main" uri="{B025F937-C7B1-47D3-B67F-A62EFF666E3E}">
          <x14:id>{AA5808BC-A15C-45D6-A961-8C629ED7F8D4}</x14:id>
        </ext>
      </extLst>
    </cfRule>
  </conditionalFormatting>
  <conditionalFormatting sqref="C434">
    <cfRule type="containsText" dxfId="9453" priority="5590" operator="containsText" text="Einnahmen">
      <formula>NOT(ISERROR(SEARCH("Einnahmen",C434)))</formula>
    </cfRule>
    <cfRule type="containsText" dxfId="9452" priority="5591" operator="containsText" text="Ausgaben">
      <formula>NOT(ISERROR(SEARCH("Ausgaben",C434)))</formula>
    </cfRule>
  </conditionalFormatting>
  <conditionalFormatting sqref="J434">
    <cfRule type="cellIs" dxfId="9451" priority="5589" operator="equal">
      <formula>"ja"</formula>
    </cfRule>
  </conditionalFormatting>
  <conditionalFormatting sqref="T434">
    <cfRule type="expression" dxfId="9450" priority="5588">
      <formula>AND(AND($W434&lt;TODAY(),$W434&lt;&gt;""),$X434="")</formula>
    </cfRule>
  </conditionalFormatting>
  <conditionalFormatting sqref="Z434">
    <cfRule type="dataBar" priority="5587">
      <dataBar>
        <cfvo type="min"/>
        <cfvo type="max"/>
        <color rgb="FF63C384"/>
      </dataBar>
      <extLst>
        <ext xmlns:x14="http://schemas.microsoft.com/office/spreadsheetml/2009/9/main" uri="{B025F937-C7B1-47D3-B67F-A62EFF666E3E}">
          <x14:id>{DD9EFCBD-621D-4789-A744-2E68E075700D}</x14:id>
        </ext>
      </extLst>
    </cfRule>
  </conditionalFormatting>
  <conditionalFormatting sqref="Z434">
    <cfRule type="dataBar" priority="5586">
      <dataBar>
        <cfvo type="min"/>
        <cfvo type="max"/>
        <color rgb="FF63C384"/>
      </dataBar>
      <extLst>
        <ext xmlns:x14="http://schemas.microsoft.com/office/spreadsheetml/2009/9/main" uri="{B025F937-C7B1-47D3-B67F-A62EFF666E3E}">
          <x14:id>{9CE052DA-799D-44B9-A1CA-2910EB683590}</x14:id>
        </ext>
      </extLst>
    </cfRule>
  </conditionalFormatting>
  <conditionalFormatting sqref="C435:C436 C450 C453:C454">
    <cfRule type="containsText" dxfId="9449" priority="5584" operator="containsText" text="Einnahmen">
      <formula>NOT(ISERROR(SEARCH("Einnahmen",C435)))</formula>
    </cfRule>
    <cfRule type="containsText" dxfId="9448" priority="5585" operator="containsText" text="Ausgaben">
      <formula>NOT(ISERROR(SEARCH("Ausgaben",C435)))</formula>
    </cfRule>
  </conditionalFormatting>
  <conditionalFormatting sqref="J435">
    <cfRule type="cellIs" dxfId="9447" priority="5583" operator="equal">
      <formula>"ja"</formula>
    </cfRule>
  </conditionalFormatting>
  <conditionalFormatting sqref="T435">
    <cfRule type="expression" dxfId="9446" priority="5582">
      <formula>AND(AND($W435&lt;TODAY(),$W435&lt;&gt;""),$X435="")</formula>
    </cfRule>
  </conditionalFormatting>
  <conditionalFormatting sqref="Z435">
    <cfRule type="dataBar" priority="5581">
      <dataBar>
        <cfvo type="min"/>
        <cfvo type="max"/>
        <color rgb="FF63C384"/>
      </dataBar>
      <extLst>
        <ext xmlns:x14="http://schemas.microsoft.com/office/spreadsheetml/2009/9/main" uri="{B025F937-C7B1-47D3-B67F-A62EFF666E3E}">
          <x14:id>{B7B06033-C0A3-4A6A-AA5F-72296428F0F1}</x14:id>
        </ext>
      </extLst>
    </cfRule>
  </conditionalFormatting>
  <conditionalFormatting sqref="Z435">
    <cfRule type="dataBar" priority="5580">
      <dataBar>
        <cfvo type="min"/>
        <cfvo type="max"/>
        <color rgb="FF63C384"/>
      </dataBar>
      <extLst>
        <ext xmlns:x14="http://schemas.microsoft.com/office/spreadsheetml/2009/9/main" uri="{B025F937-C7B1-47D3-B67F-A62EFF666E3E}">
          <x14:id>{276353BB-3CA7-4E67-B032-0DF3818523A6}</x14:id>
        </ext>
      </extLst>
    </cfRule>
  </conditionalFormatting>
  <conditionalFormatting sqref="T436">
    <cfRule type="expression" dxfId="9445" priority="5579">
      <formula>AND(AND($W436&lt;TODAY(),$W436&lt;&gt;""),$X436="")</formula>
    </cfRule>
  </conditionalFormatting>
  <conditionalFormatting sqref="Z436">
    <cfRule type="dataBar" priority="5578">
      <dataBar>
        <cfvo type="min"/>
        <cfvo type="max"/>
        <color rgb="FF63C384"/>
      </dataBar>
      <extLst>
        <ext xmlns:x14="http://schemas.microsoft.com/office/spreadsheetml/2009/9/main" uri="{B025F937-C7B1-47D3-B67F-A62EFF666E3E}">
          <x14:id>{0FC88740-BAD3-4089-A410-BE238C51EDC3}</x14:id>
        </ext>
      </extLst>
    </cfRule>
  </conditionalFormatting>
  <conditionalFormatting sqref="Z436">
    <cfRule type="dataBar" priority="5577">
      <dataBar>
        <cfvo type="min"/>
        <cfvo type="max"/>
        <color rgb="FF63C384"/>
      </dataBar>
      <extLst>
        <ext xmlns:x14="http://schemas.microsoft.com/office/spreadsheetml/2009/9/main" uri="{B025F937-C7B1-47D3-B67F-A62EFF666E3E}">
          <x14:id>{36F7C749-087F-49EB-AEC6-FE684DDAB11F}</x14:id>
        </ext>
      </extLst>
    </cfRule>
  </conditionalFormatting>
  <conditionalFormatting sqref="C437">
    <cfRule type="containsText" dxfId="9444" priority="5575" operator="containsText" text="Einnahmen">
      <formula>NOT(ISERROR(SEARCH("Einnahmen",C437)))</formula>
    </cfRule>
    <cfRule type="containsText" dxfId="9443" priority="5576" operator="containsText" text="Ausgaben">
      <formula>NOT(ISERROR(SEARCH("Ausgaben",C437)))</formula>
    </cfRule>
  </conditionalFormatting>
  <conditionalFormatting sqref="J437">
    <cfRule type="cellIs" dxfId="9442" priority="5573" operator="equal">
      <formula>"ja"</formula>
    </cfRule>
  </conditionalFormatting>
  <conditionalFormatting sqref="T437">
    <cfRule type="expression" dxfId="9441" priority="5572">
      <formula>AND(AND($W437&lt;TODAY(),$W437&lt;&gt;""),$X437="")</formula>
    </cfRule>
  </conditionalFormatting>
  <conditionalFormatting sqref="Z437">
    <cfRule type="dataBar" priority="5571">
      <dataBar>
        <cfvo type="min"/>
        <cfvo type="max"/>
        <color rgb="FF63C384"/>
      </dataBar>
      <extLst>
        <ext xmlns:x14="http://schemas.microsoft.com/office/spreadsheetml/2009/9/main" uri="{B025F937-C7B1-47D3-B67F-A62EFF666E3E}">
          <x14:id>{A37F58D5-EFCB-47A7-857A-EB7EBFE71678}</x14:id>
        </ext>
      </extLst>
    </cfRule>
  </conditionalFormatting>
  <conditionalFormatting sqref="Z437">
    <cfRule type="dataBar" priority="5570">
      <dataBar>
        <cfvo type="min"/>
        <cfvo type="max"/>
        <color rgb="FF63C384"/>
      </dataBar>
      <extLst>
        <ext xmlns:x14="http://schemas.microsoft.com/office/spreadsheetml/2009/9/main" uri="{B025F937-C7B1-47D3-B67F-A62EFF666E3E}">
          <x14:id>{CD8C0645-15E2-422A-BE28-1F1832B474C8}</x14:id>
        </ext>
      </extLst>
    </cfRule>
  </conditionalFormatting>
  <conditionalFormatting sqref="J438">
    <cfRule type="cellIs" dxfId="9440" priority="5568" operator="equal">
      <formula>"ja"</formula>
    </cfRule>
  </conditionalFormatting>
  <conditionalFormatting sqref="C438">
    <cfRule type="containsText" dxfId="9439" priority="5566" operator="containsText" text="Einnahmen">
      <formula>NOT(ISERROR(SEARCH("Einnahmen",C438)))</formula>
    </cfRule>
    <cfRule type="containsText" dxfId="9438" priority="5567" operator="containsText" text="Ausgaben">
      <formula>NOT(ISERROR(SEARCH("Ausgaben",C438)))</formula>
    </cfRule>
  </conditionalFormatting>
  <conditionalFormatting sqref="T438">
    <cfRule type="expression" dxfId="9437" priority="5565">
      <formula>AND(AND($W438&lt;TODAY(),$W438&lt;&gt;""),$X438="")</formula>
    </cfRule>
  </conditionalFormatting>
  <conditionalFormatting sqref="Z438">
    <cfRule type="dataBar" priority="5564">
      <dataBar>
        <cfvo type="min"/>
        <cfvo type="max"/>
        <color rgb="FF63C384"/>
      </dataBar>
      <extLst>
        <ext xmlns:x14="http://schemas.microsoft.com/office/spreadsheetml/2009/9/main" uri="{B025F937-C7B1-47D3-B67F-A62EFF666E3E}">
          <x14:id>{152CB08F-74E0-4984-A989-174212147C9A}</x14:id>
        </ext>
      </extLst>
    </cfRule>
  </conditionalFormatting>
  <conditionalFormatting sqref="Z438">
    <cfRule type="dataBar" priority="5563">
      <dataBar>
        <cfvo type="min"/>
        <cfvo type="max"/>
        <color rgb="FF63C384"/>
      </dataBar>
      <extLst>
        <ext xmlns:x14="http://schemas.microsoft.com/office/spreadsheetml/2009/9/main" uri="{B025F937-C7B1-47D3-B67F-A62EFF666E3E}">
          <x14:id>{3E744870-8927-4E40-856A-02C56549B526}</x14:id>
        </ext>
      </extLst>
    </cfRule>
  </conditionalFormatting>
  <conditionalFormatting sqref="C439">
    <cfRule type="containsText" dxfId="9436" priority="5561" operator="containsText" text="Einnahmen">
      <formula>NOT(ISERROR(SEARCH("Einnahmen",C439)))</formula>
    </cfRule>
    <cfRule type="containsText" dxfId="9435" priority="5562" operator="containsText" text="Ausgaben">
      <formula>NOT(ISERROR(SEARCH("Ausgaben",C439)))</formula>
    </cfRule>
  </conditionalFormatting>
  <conditionalFormatting sqref="T439">
    <cfRule type="expression" dxfId="9434" priority="5560">
      <formula>AND(AND($W439&lt;TODAY(),$W439&lt;&gt;""),$X439="")</formula>
    </cfRule>
  </conditionalFormatting>
  <conditionalFormatting sqref="Z439">
    <cfRule type="dataBar" priority="5559">
      <dataBar>
        <cfvo type="min"/>
        <cfvo type="max"/>
        <color rgb="FF63C384"/>
      </dataBar>
      <extLst>
        <ext xmlns:x14="http://schemas.microsoft.com/office/spreadsheetml/2009/9/main" uri="{B025F937-C7B1-47D3-B67F-A62EFF666E3E}">
          <x14:id>{1C24C6EA-0287-42CA-B6C7-308A67A32BA4}</x14:id>
        </ext>
      </extLst>
    </cfRule>
  </conditionalFormatting>
  <conditionalFormatting sqref="Z439">
    <cfRule type="dataBar" priority="5558">
      <dataBar>
        <cfvo type="min"/>
        <cfvo type="max"/>
        <color rgb="FF63C384"/>
      </dataBar>
      <extLst>
        <ext xmlns:x14="http://schemas.microsoft.com/office/spreadsheetml/2009/9/main" uri="{B025F937-C7B1-47D3-B67F-A62EFF666E3E}">
          <x14:id>{1147BB19-97F6-4B1D-B5CD-FF8453B0F5C4}</x14:id>
        </ext>
      </extLst>
    </cfRule>
  </conditionalFormatting>
  <conditionalFormatting sqref="J439">
    <cfRule type="cellIs" dxfId="9433" priority="5557" operator="equal">
      <formula>"ja"</formula>
    </cfRule>
  </conditionalFormatting>
  <conditionalFormatting sqref="J440">
    <cfRule type="cellIs" dxfId="9432" priority="5555" operator="equal">
      <formula>"ja"</formula>
    </cfRule>
  </conditionalFormatting>
  <conditionalFormatting sqref="C440">
    <cfRule type="containsText" dxfId="9431" priority="5553" operator="containsText" text="Einnahmen">
      <formula>NOT(ISERROR(SEARCH("Einnahmen",C440)))</formula>
    </cfRule>
    <cfRule type="containsText" dxfId="9430" priority="5554" operator="containsText" text="Ausgaben">
      <formula>NOT(ISERROR(SEARCH("Ausgaben",C440)))</formula>
    </cfRule>
  </conditionalFormatting>
  <conditionalFormatting sqref="T440">
    <cfRule type="expression" dxfId="9429" priority="5552">
      <formula>AND(AND($W440&lt;TODAY(),$W440&lt;&gt;""),$X440="")</formula>
    </cfRule>
  </conditionalFormatting>
  <conditionalFormatting sqref="Z440">
    <cfRule type="dataBar" priority="5551">
      <dataBar>
        <cfvo type="min"/>
        <cfvo type="max"/>
        <color rgb="FF63C384"/>
      </dataBar>
      <extLst>
        <ext xmlns:x14="http://schemas.microsoft.com/office/spreadsheetml/2009/9/main" uri="{B025F937-C7B1-47D3-B67F-A62EFF666E3E}">
          <x14:id>{FD95855C-AE54-437E-8B55-EDACD3575C35}</x14:id>
        </ext>
      </extLst>
    </cfRule>
  </conditionalFormatting>
  <conditionalFormatting sqref="Z440">
    <cfRule type="dataBar" priority="5550">
      <dataBar>
        <cfvo type="min"/>
        <cfvo type="max"/>
        <color rgb="FF63C384"/>
      </dataBar>
      <extLst>
        <ext xmlns:x14="http://schemas.microsoft.com/office/spreadsheetml/2009/9/main" uri="{B025F937-C7B1-47D3-B67F-A62EFF666E3E}">
          <x14:id>{607DF8F3-7844-4555-839A-16AA89F84466}</x14:id>
        </ext>
      </extLst>
    </cfRule>
  </conditionalFormatting>
  <conditionalFormatting sqref="C441">
    <cfRule type="containsText" dxfId="9428" priority="5548" operator="containsText" text="Einnahmen">
      <formula>NOT(ISERROR(SEARCH("Einnahmen",C441)))</formula>
    </cfRule>
    <cfRule type="containsText" dxfId="9427" priority="5549" operator="containsText" text="Ausgaben">
      <formula>NOT(ISERROR(SEARCH("Ausgaben",C441)))</formula>
    </cfRule>
  </conditionalFormatting>
  <conditionalFormatting sqref="T441">
    <cfRule type="expression" dxfId="9426" priority="5547">
      <formula>AND(AND($W441&lt;TODAY(),$W441&lt;&gt;""),$X441="")</formula>
    </cfRule>
  </conditionalFormatting>
  <conditionalFormatting sqref="J441">
    <cfRule type="cellIs" dxfId="9425" priority="5546" operator="equal">
      <formula>"ja"</formula>
    </cfRule>
  </conditionalFormatting>
  <conditionalFormatting sqref="Z441">
    <cfRule type="dataBar" priority="5545">
      <dataBar>
        <cfvo type="min"/>
        <cfvo type="max"/>
        <color rgb="FF63C384"/>
      </dataBar>
      <extLst>
        <ext xmlns:x14="http://schemas.microsoft.com/office/spreadsheetml/2009/9/main" uri="{B025F937-C7B1-47D3-B67F-A62EFF666E3E}">
          <x14:id>{E04EB794-160B-4CDA-84F2-B96306E98B1D}</x14:id>
        </ext>
      </extLst>
    </cfRule>
  </conditionalFormatting>
  <conditionalFormatting sqref="Z441">
    <cfRule type="dataBar" priority="5544">
      <dataBar>
        <cfvo type="min"/>
        <cfvo type="max"/>
        <color rgb="FF63C384"/>
      </dataBar>
      <extLst>
        <ext xmlns:x14="http://schemas.microsoft.com/office/spreadsheetml/2009/9/main" uri="{B025F937-C7B1-47D3-B67F-A62EFF666E3E}">
          <x14:id>{E68E7775-F65F-486D-822F-5516C8DD22F8}</x14:id>
        </ext>
      </extLst>
    </cfRule>
  </conditionalFormatting>
  <conditionalFormatting sqref="C442">
    <cfRule type="containsText" dxfId="9424" priority="5536" operator="containsText" text="Einnahmen">
      <formula>NOT(ISERROR(SEARCH("Einnahmen",C442)))</formula>
    </cfRule>
    <cfRule type="containsText" dxfId="9423" priority="5537" operator="containsText" text="Ausgaben">
      <formula>NOT(ISERROR(SEARCH("Ausgaben",C442)))</formula>
    </cfRule>
  </conditionalFormatting>
  <conditionalFormatting sqref="J442">
    <cfRule type="cellIs" dxfId="9422" priority="5535" operator="equal">
      <formula>"ja"</formula>
    </cfRule>
  </conditionalFormatting>
  <conditionalFormatting sqref="T442">
    <cfRule type="expression" dxfId="9421" priority="5534">
      <formula>AND(AND($W442&lt;TODAY(),$W442&lt;&gt;""),$X442="")</formula>
    </cfRule>
  </conditionalFormatting>
  <conditionalFormatting sqref="Z442">
    <cfRule type="dataBar" priority="5533">
      <dataBar>
        <cfvo type="min"/>
        <cfvo type="max"/>
        <color rgb="FF63C384"/>
      </dataBar>
      <extLst>
        <ext xmlns:x14="http://schemas.microsoft.com/office/spreadsheetml/2009/9/main" uri="{B025F937-C7B1-47D3-B67F-A62EFF666E3E}">
          <x14:id>{F5E0F443-5C43-4814-8E37-C262BC011D5E}</x14:id>
        </ext>
      </extLst>
    </cfRule>
  </conditionalFormatting>
  <conditionalFormatting sqref="Z442">
    <cfRule type="dataBar" priority="5532">
      <dataBar>
        <cfvo type="min"/>
        <cfvo type="max"/>
        <color rgb="FF63C384"/>
      </dataBar>
      <extLst>
        <ext xmlns:x14="http://schemas.microsoft.com/office/spreadsheetml/2009/9/main" uri="{B025F937-C7B1-47D3-B67F-A62EFF666E3E}">
          <x14:id>{BC2CD84B-CA7C-4E76-B8A7-8CFFBCF125F7}</x14:id>
        </ext>
      </extLst>
    </cfRule>
  </conditionalFormatting>
  <conditionalFormatting sqref="C443">
    <cfRule type="containsText" dxfId="9420" priority="5529" operator="containsText" text="Einnahmen">
      <formula>NOT(ISERROR(SEARCH("Einnahmen",C443)))</formula>
    </cfRule>
    <cfRule type="containsText" dxfId="9419" priority="5530" operator="containsText" text="Ausgaben">
      <formula>NOT(ISERROR(SEARCH("Ausgaben",C443)))</formula>
    </cfRule>
  </conditionalFormatting>
  <conditionalFormatting sqref="J443">
    <cfRule type="cellIs" dxfId="9418" priority="5528" operator="equal">
      <formula>"ja"</formula>
    </cfRule>
  </conditionalFormatting>
  <conditionalFormatting sqref="T443">
    <cfRule type="expression" dxfId="9417" priority="5527">
      <formula>AND(AND($W443&lt;TODAY(),$W443&lt;&gt;""),$X443="")</formula>
    </cfRule>
  </conditionalFormatting>
  <conditionalFormatting sqref="Z443">
    <cfRule type="dataBar" priority="5526">
      <dataBar>
        <cfvo type="min"/>
        <cfvo type="max"/>
        <color rgb="FF63C384"/>
      </dataBar>
      <extLst>
        <ext xmlns:x14="http://schemas.microsoft.com/office/spreadsheetml/2009/9/main" uri="{B025F937-C7B1-47D3-B67F-A62EFF666E3E}">
          <x14:id>{E88793D6-BC9F-411F-9139-955E343728C4}</x14:id>
        </ext>
      </extLst>
    </cfRule>
  </conditionalFormatting>
  <conditionalFormatting sqref="Z443">
    <cfRule type="dataBar" priority="5525">
      <dataBar>
        <cfvo type="min"/>
        <cfvo type="max"/>
        <color rgb="FF63C384"/>
      </dataBar>
      <extLst>
        <ext xmlns:x14="http://schemas.microsoft.com/office/spreadsheetml/2009/9/main" uri="{B025F937-C7B1-47D3-B67F-A62EFF666E3E}">
          <x14:id>{F971E547-5928-4048-93BD-90686DDEAFEC}</x14:id>
        </ext>
      </extLst>
    </cfRule>
  </conditionalFormatting>
  <conditionalFormatting sqref="C444">
    <cfRule type="containsText" dxfId="9416" priority="5522" operator="containsText" text="Einnahmen">
      <formula>NOT(ISERROR(SEARCH("Einnahmen",C444)))</formula>
    </cfRule>
    <cfRule type="containsText" dxfId="9415" priority="5523" operator="containsText" text="Ausgaben">
      <formula>NOT(ISERROR(SEARCH("Ausgaben",C444)))</formula>
    </cfRule>
  </conditionalFormatting>
  <conditionalFormatting sqref="T444">
    <cfRule type="expression" dxfId="9414" priority="5521">
      <formula>AND(AND($W444&lt;TODAY(),$W444&lt;&gt;""),$X444="")</formula>
    </cfRule>
  </conditionalFormatting>
  <conditionalFormatting sqref="J444">
    <cfRule type="cellIs" dxfId="9413" priority="5520" operator="equal">
      <formula>"ja"</formula>
    </cfRule>
  </conditionalFormatting>
  <conditionalFormatting sqref="Z444">
    <cfRule type="dataBar" priority="5519">
      <dataBar>
        <cfvo type="min"/>
        <cfvo type="max"/>
        <color rgb="FF63C384"/>
      </dataBar>
      <extLst>
        <ext xmlns:x14="http://schemas.microsoft.com/office/spreadsheetml/2009/9/main" uri="{B025F937-C7B1-47D3-B67F-A62EFF666E3E}">
          <x14:id>{A5D3CA4C-E206-4B77-BD8F-21433017A681}</x14:id>
        </ext>
      </extLst>
    </cfRule>
  </conditionalFormatting>
  <conditionalFormatting sqref="Z444">
    <cfRule type="dataBar" priority="5518">
      <dataBar>
        <cfvo type="min"/>
        <cfvo type="max"/>
        <color rgb="FF63C384"/>
      </dataBar>
      <extLst>
        <ext xmlns:x14="http://schemas.microsoft.com/office/spreadsheetml/2009/9/main" uri="{B025F937-C7B1-47D3-B67F-A62EFF666E3E}">
          <x14:id>{AF828F27-A7D7-49DC-B57B-7DFA1A4CC062}</x14:id>
        </ext>
      </extLst>
    </cfRule>
  </conditionalFormatting>
  <conditionalFormatting sqref="J445">
    <cfRule type="cellIs" dxfId="9412" priority="5517" operator="equal">
      <formula>"ja"</formula>
    </cfRule>
  </conditionalFormatting>
  <conditionalFormatting sqref="T445">
    <cfRule type="expression" dxfId="9411" priority="5516">
      <formula>AND(AND($W445&lt;TODAY(),$W445&lt;&gt;""),$X445="")</formula>
    </cfRule>
  </conditionalFormatting>
  <conditionalFormatting sqref="Z445">
    <cfRule type="dataBar" priority="5515">
      <dataBar>
        <cfvo type="min"/>
        <cfvo type="max"/>
        <color rgb="FF63C384"/>
      </dataBar>
      <extLst>
        <ext xmlns:x14="http://schemas.microsoft.com/office/spreadsheetml/2009/9/main" uri="{B025F937-C7B1-47D3-B67F-A62EFF666E3E}">
          <x14:id>{8D894D5D-A270-4A5D-B879-1664FCF75D7C}</x14:id>
        </ext>
      </extLst>
    </cfRule>
  </conditionalFormatting>
  <conditionalFormatting sqref="Z445">
    <cfRule type="dataBar" priority="5514">
      <dataBar>
        <cfvo type="min"/>
        <cfvo type="max"/>
        <color rgb="FF63C384"/>
      </dataBar>
      <extLst>
        <ext xmlns:x14="http://schemas.microsoft.com/office/spreadsheetml/2009/9/main" uri="{B025F937-C7B1-47D3-B67F-A62EFF666E3E}">
          <x14:id>{5C79A2BF-30E5-4B0F-894D-B4360AA3D4F4}</x14:id>
        </ext>
      </extLst>
    </cfRule>
  </conditionalFormatting>
  <conditionalFormatting sqref="C445">
    <cfRule type="containsText" dxfId="9410" priority="5512" operator="containsText" text="Einnahmen">
      <formula>NOT(ISERROR(SEARCH("Einnahmen",C445)))</formula>
    </cfRule>
    <cfRule type="containsText" dxfId="9409" priority="5513" operator="containsText" text="Ausgaben">
      <formula>NOT(ISERROR(SEARCH("Ausgaben",C445)))</formula>
    </cfRule>
  </conditionalFormatting>
  <conditionalFormatting sqref="J446">
    <cfRule type="cellIs" dxfId="9408" priority="5511" operator="equal">
      <formula>"ja"</formula>
    </cfRule>
  </conditionalFormatting>
  <conditionalFormatting sqref="T446">
    <cfRule type="expression" dxfId="9407" priority="5510">
      <formula>AND(AND($W446&lt;TODAY(),$W446&lt;&gt;""),$X446="")</formula>
    </cfRule>
  </conditionalFormatting>
  <conditionalFormatting sqref="Z446">
    <cfRule type="dataBar" priority="5509">
      <dataBar>
        <cfvo type="min"/>
        <cfvo type="max"/>
        <color rgb="FF63C384"/>
      </dataBar>
      <extLst>
        <ext xmlns:x14="http://schemas.microsoft.com/office/spreadsheetml/2009/9/main" uri="{B025F937-C7B1-47D3-B67F-A62EFF666E3E}">
          <x14:id>{FD907A17-1EBE-4860-9695-B4811B41C167}</x14:id>
        </ext>
      </extLst>
    </cfRule>
  </conditionalFormatting>
  <conditionalFormatting sqref="Z446">
    <cfRule type="dataBar" priority="5508">
      <dataBar>
        <cfvo type="min"/>
        <cfvo type="max"/>
        <color rgb="FF63C384"/>
      </dataBar>
      <extLst>
        <ext xmlns:x14="http://schemas.microsoft.com/office/spreadsheetml/2009/9/main" uri="{B025F937-C7B1-47D3-B67F-A62EFF666E3E}">
          <x14:id>{EF99A79C-ECE6-45CA-A481-7F91D5F83E02}</x14:id>
        </ext>
      </extLst>
    </cfRule>
  </conditionalFormatting>
  <conditionalFormatting sqref="C446">
    <cfRule type="containsText" dxfId="9406" priority="5506" operator="containsText" text="Einnahmen">
      <formula>NOT(ISERROR(SEARCH("Einnahmen",C446)))</formula>
    </cfRule>
    <cfRule type="containsText" dxfId="9405" priority="5507" operator="containsText" text="Ausgaben">
      <formula>NOT(ISERROR(SEARCH("Ausgaben",C446)))</formula>
    </cfRule>
  </conditionalFormatting>
  <conditionalFormatting sqref="C447">
    <cfRule type="containsText" dxfId="9404" priority="5504" operator="containsText" text="Einnahmen">
      <formula>NOT(ISERROR(SEARCH("Einnahmen",C447)))</formula>
    </cfRule>
    <cfRule type="containsText" dxfId="9403" priority="5505" operator="containsText" text="Ausgaben">
      <formula>NOT(ISERROR(SEARCH("Ausgaben",C447)))</formula>
    </cfRule>
  </conditionalFormatting>
  <conditionalFormatting sqref="J447">
    <cfRule type="cellIs" dxfId="9402" priority="5503" operator="equal">
      <formula>"ja"</formula>
    </cfRule>
  </conditionalFormatting>
  <conditionalFormatting sqref="T447">
    <cfRule type="expression" dxfId="9401" priority="5502">
      <formula>AND(AND($W447&lt;TODAY(),$W447&lt;&gt;""),$X447="")</formula>
    </cfRule>
  </conditionalFormatting>
  <conditionalFormatting sqref="Z447">
    <cfRule type="dataBar" priority="5501">
      <dataBar>
        <cfvo type="min"/>
        <cfvo type="max"/>
        <color rgb="FF63C384"/>
      </dataBar>
      <extLst>
        <ext xmlns:x14="http://schemas.microsoft.com/office/spreadsheetml/2009/9/main" uri="{B025F937-C7B1-47D3-B67F-A62EFF666E3E}">
          <x14:id>{60DFF25F-D093-471D-BA09-92985060ED00}</x14:id>
        </ext>
      </extLst>
    </cfRule>
  </conditionalFormatting>
  <conditionalFormatting sqref="Z447">
    <cfRule type="dataBar" priority="5500">
      <dataBar>
        <cfvo type="min"/>
        <cfvo type="max"/>
        <color rgb="FF63C384"/>
      </dataBar>
      <extLst>
        <ext xmlns:x14="http://schemas.microsoft.com/office/spreadsheetml/2009/9/main" uri="{B025F937-C7B1-47D3-B67F-A62EFF666E3E}">
          <x14:id>{0E165DEC-475B-4A24-BC5A-0520D6CF978C}</x14:id>
        </ext>
      </extLst>
    </cfRule>
  </conditionalFormatting>
  <conditionalFormatting sqref="J448">
    <cfRule type="cellIs" dxfId="9400" priority="5498" operator="equal">
      <formula>"ja"</formula>
    </cfRule>
  </conditionalFormatting>
  <conditionalFormatting sqref="T448">
    <cfRule type="expression" dxfId="9399" priority="5497">
      <formula>AND(AND($W448&lt;TODAY(),$W448&lt;&gt;""),$X448="")</formula>
    </cfRule>
  </conditionalFormatting>
  <conditionalFormatting sqref="Z448">
    <cfRule type="dataBar" priority="5496">
      <dataBar>
        <cfvo type="min"/>
        <cfvo type="max"/>
        <color rgb="FF63C384"/>
      </dataBar>
      <extLst>
        <ext xmlns:x14="http://schemas.microsoft.com/office/spreadsheetml/2009/9/main" uri="{B025F937-C7B1-47D3-B67F-A62EFF666E3E}">
          <x14:id>{91334FB6-86A9-409A-A826-EDF6B500F2F5}</x14:id>
        </ext>
      </extLst>
    </cfRule>
  </conditionalFormatting>
  <conditionalFormatting sqref="Z448">
    <cfRule type="dataBar" priority="5495">
      <dataBar>
        <cfvo type="min"/>
        <cfvo type="max"/>
        <color rgb="FF63C384"/>
      </dataBar>
      <extLst>
        <ext xmlns:x14="http://schemas.microsoft.com/office/spreadsheetml/2009/9/main" uri="{B025F937-C7B1-47D3-B67F-A62EFF666E3E}">
          <x14:id>{4B50FEF3-33C9-4445-BFEB-8509D80B7504}</x14:id>
        </ext>
      </extLst>
    </cfRule>
  </conditionalFormatting>
  <conditionalFormatting sqref="C448">
    <cfRule type="containsText" dxfId="9398" priority="5493" operator="containsText" text="Einnahmen">
      <formula>NOT(ISERROR(SEARCH("Einnahmen",C448)))</formula>
    </cfRule>
    <cfRule type="containsText" dxfId="9397" priority="5494" operator="containsText" text="Ausgaben">
      <formula>NOT(ISERROR(SEARCH("Ausgaben",C448)))</formula>
    </cfRule>
  </conditionalFormatting>
  <conditionalFormatting sqref="C449">
    <cfRule type="containsText" dxfId="9396" priority="5491" operator="containsText" text="Einnahmen">
      <formula>NOT(ISERROR(SEARCH("Einnahmen",C449)))</formula>
    </cfRule>
    <cfRule type="containsText" dxfId="9395" priority="5492" operator="containsText" text="Ausgaben">
      <formula>NOT(ISERROR(SEARCH("Ausgaben",C449)))</formula>
    </cfRule>
  </conditionalFormatting>
  <conditionalFormatting sqref="T449">
    <cfRule type="expression" dxfId="9394" priority="5490">
      <formula>AND(AND($W449&lt;TODAY(),$W449&lt;&gt;""),$X449="")</formula>
    </cfRule>
  </conditionalFormatting>
  <conditionalFormatting sqref="J449">
    <cfRule type="cellIs" dxfId="9393" priority="5489" operator="equal">
      <formula>"ja"</formula>
    </cfRule>
  </conditionalFormatting>
  <conditionalFormatting sqref="Z449">
    <cfRule type="dataBar" priority="5488">
      <dataBar>
        <cfvo type="min"/>
        <cfvo type="max"/>
        <color rgb="FF63C384"/>
      </dataBar>
      <extLst>
        <ext xmlns:x14="http://schemas.microsoft.com/office/spreadsheetml/2009/9/main" uri="{B025F937-C7B1-47D3-B67F-A62EFF666E3E}">
          <x14:id>{3CF6C77E-2A26-44FC-BB47-B64282FC19CB}</x14:id>
        </ext>
      </extLst>
    </cfRule>
  </conditionalFormatting>
  <conditionalFormatting sqref="Z449">
    <cfRule type="dataBar" priority="5487">
      <dataBar>
        <cfvo type="min"/>
        <cfvo type="max"/>
        <color rgb="FF63C384"/>
      </dataBar>
      <extLst>
        <ext xmlns:x14="http://schemas.microsoft.com/office/spreadsheetml/2009/9/main" uri="{B025F937-C7B1-47D3-B67F-A62EFF666E3E}">
          <x14:id>{A14858DB-1800-4A1B-BA4D-B5DA265ED6E1}</x14:id>
        </ext>
      </extLst>
    </cfRule>
  </conditionalFormatting>
  <conditionalFormatting sqref="T450">
    <cfRule type="expression" dxfId="9392" priority="5486">
      <formula>AND(AND($W450&lt;TODAY(),$W450&lt;&gt;""),$X450="")</formula>
    </cfRule>
  </conditionalFormatting>
  <conditionalFormatting sqref="Z450">
    <cfRule type="dataBar" priority="5485">
      <dataBar>
        <cfvo type="min"/>
        <cfvo type="max"/>
        <color rgb="FF63C384"/>
      </dataBar>
      <extLst>
        <ext xmlns:x14="http://schemas.microsoft.com/office/spreadsheetml/2009/9/main" uri="{B025F937-C7B1-47D3-B67F-A62EFF666E3E}">
          <x14:id>{7F3777A6-8090-477B-BC4C-677C6E1AD20F}</x14:id>
        </ext>
      </extLst>
    </cfRule>
  </conditionalFormatting>
  <conditionalFormatting sqref="Z450">
    <cfRule type="dataBar" priority="5484">
      <dataBar>
        <cfvo type="min"/>
        <cfvo type="max"/>
        <color rgb="FF63C384"/>
      </dataBar>
      <extLst>
        <ext xmlns:x14="http://schemas.microsoft.com/office/spreadsheetml/2009/9/main" uri="{B025F937-C7B1-47D3-B67F-A62EFF666E3E}">
          <x14:id>{04F34638-B941-4780-A6B2-CB2E42892920}</x14:id>
        </ext>
      </extLst>
    </cfRule>
  </conditionalFormatting>
  <conditionalFormatting sqref="C451">
    <cfRule type="containsText" dxfId="9391" priority="5482" operator="containsText" text="Einnahmen">
      <formula>NOT(ISERROR(SEARCH("Einnahmen",C451)))</formula>
    </cfRule>
    <cfRule type="containsText" dxfId="9390" priority="5483" operator="containsText" text="Ausgaben">
      <formula>NOT(ISERROR(SEARCH("Ausgaben",C451)))</formula>
    </cfRule>
  </conditionalFormatting>
  <conditionalFormatting sqref="J451">
    <cfRule type="cellIs" dxfId="9389" priority="5481" operator="equal">
      <formula>"ja"</formula>
    </cfRule>
  </conditionalFormatting>
  <conditionalFormatting sqref="T451">
    <cfRule type="expression" dxfId="9388" priority="5480">
      <formula>AND(AND($W451&lt;TODAY(),$W451&lt;&gt;""),$X451="")</formula>
    </cfRule>
  </conditionalFormatting>
  <conditionalFormatting sqref="Z451">
    <cfRule type="dataBar" priority="5479">
      <dataBar>
        <cfvo type="min"/>
        <cfvo type="max"/>
        <color rgb="FF63C384"/>
      </dataBar>
      <extLst>
        <ext xmlns:x14="http://schemas.microsoft.com/office/spreadsheetml/2009/9/main" uri="{B025F937-C7B1-47D3-B67F-A62EFF666E3E}">
          <x14:id>{575AE387-DDE2-4173-92B6-EEA22FA39BD7}</x14:id>
        </ext>
      </extLst>
    </cfRule>
  </conditionalFormatting>
  <conditionalFormatting sqref="Z451">
    <cfRule type="dataBar" priority="5478">
      <dataBar>
        <cfvo type="min"/>
        <cfvo type="max"/>
        <color rgb="FF63C384"/>
      </dataBar>
      <extLst>
        <ext xmlns:x14="http://schemas.microsoft.com/office/spreadsheetml/2009/9/main" uri="{B025F937-C7B1-47D3-B67F-A62EFF666E3E}">
          <x14:id>{7B65490E-9146-49EA-A08A-CF1CA7E2FF62}</x14:id>
        </ext>
      </extLst>
    </cfRule>
  </conditionalFormatting>
  <conditionalFormatting sqref="C452">
    <cfRule type="containsText" dxfId="9387" priority="5476" operator="containsText" text="Einnahmen">
      <formula>NOT(ISERROR(SEARCH("Einnahmen",C452)))</formula>
    </cfRule>
    <cfRule type="containsText" dxfId="9386" priority="5477" operator="containsText" text="Ausgaben">
      <formula>NOT(ISERROR(SEARCH("Ausgaben",C452)))</formula>
    </cfRule>
  </conditionalFormatting>
  <conditionalFormatting sqref="T452">
    <cfRule type="expression" dxfId="9385" priority="5475">
      <formula>AND(AND($W452&lt;TODAY(),$W452&lt;&gt;""),$X452="")</formula>
    </cfRule>
  </conditionalFormatting>
  <conditionalFormatting sqref="J452">
    <cfRule type="cellIs" dxfId="9384" priority="5473" operator="equal">
      <formula>"ja"</formula>
    </cfRule>
  </conditionalFormatting>
  <conditionalFormatting sqref="Z452">
    <cfRule type="dataBar" priority="5472">
      <dataBar>
        <cfvo type="min"/>
        <cfvo type="max"/>
        <color rgb="FF63C384"/>
      </dataBar>
      <extLst>
        <ext xmlns:x14="http://schemas.microsoft.com/office/spreadsheetml/2009/9/main" uri="{B025F937-C7B1-47D3-B67F-A62EFF666E3E}">
          <x14:id>{EEFF2207-7155-451E-B00D-C96FDB94F86F}</x14:id>
        </ext>
      </extLst>
    </cfRule>
  </conditionalFormatting>
  <conditionalFormatting sqref="Z452">
    <cfRule type="dataBar" priority="5471">
      <dataBar>
        <cfvo type="min"/>
        <cfvo type="max"/>
        <color rgb="FF63C384"/>
      </dataBar>
      <extLst>
        <ext xmlns:x14="http://schemas.microsoft.com/office/spreadsheetml/2009/9/main" uri="{B025F937-C7B1-47D3-B67F-A62EFF666E3E}">
          <x14:id>{9D925B92-F165-4D07-A111-663DDBD05D87}</x14:id>
        </ext>
      </extLst>
    </cfRule>
  </conditionalFormatting>
  <conditionalFormatting sqref="T453">
    <cfRule type="expression" dxfId="9383" priority="5470">
      <formula>AND(AND($W453&lt;TODAY(),$W453&lt;&gt;""),$X453="")</formula>
    </cfRule>
  </conditionalFormatting>
  <conditionalFormatting sqref="Z453">
    <cfRule type="dataBar" priority="5469">
      <dataBar>
        <cfvo type="min"/>
        <cfvo type="max"/>
        <color rgb="FF63C384"/>
      </dataBar>
      <extLst>
        <ext xmlns:x14="http://schemas.microsoft.com/office/spreadsheetml/2009/9/main" uri="{B025F937-C7B1-47D3-B67F-A62EFF666E3E}">
          <x14:id>{F1B8BC02-79A1-4E68-B693-E582834DCE23}</x14:id>
        </ext>
      </extLst>
    </cfRule>
  </conditionalFormatting>
  <conditionalFormatting sqref="Z453">
    <cfRule type="dataBar" priority="5468">
      <dataBar>
        <cfvo type="min"/>
        <cfvo type="max"/>
        <color rgb="FF63C384"/>
      </dataBar>
      <extLst>
        <ext xmlns:x14="http://schemas.microsoft.com/office/spreadsheetml/2009/9/main" uri="{B025F937-C7B1-47D3-B67F-A62EFF666E3E}">
          <x14:id>{0E887E44-F625-4555-B079-41124D1E46EA}</x14:id>
        </ext>
      </extLst>
    </cfRule>
  </conditionalFormatting>
  <conditionalFormatting sqref="T454">
    <cfRule type="expression" dxfId="9382" priority="5467">
      <formula>AND(AND($W454&lt;TODAY(),$W454&lt;&gt;""),$X454="")</formula>
    </cfRule>
  </conditionalFormatting>
  <conditionalFormatting sqref="Z454">
    <cfRule type="dataBar" priority="5466">
      <dataBar>
        <cfvo type="min"/>
        <cfvo type="max"/>
        <color rgb="FF63C384"/>
      </dataBar>
      <extLst>
        <ext xmlns:x14="http://schemas.microsoft.com/office/spreadsheetml/2009/9/main" uri="{B025F937-C7B1-47D3-B67F-A62EFF666E3E}">
          <x14:id>{84C7CFA7-D410-4684-9151-E471A6F45372}</x14:id>
        </ext>
      </extLst>
    </cfRule>
  </conditionalFormatting>
  <conditionalFormatting sqref="Z454">
    <cfRule type="dataBar" priority="5465">
      <dataBar>
        <cfvo type="min"/>
        <cfvo type="max"/>
        <color rgb="FF63C384"/>
      </dataBar>
      <extLst>
        <ext xmlns:x14="http://schemas.microsoft.com/office/spreadsheetml/2009/9/main" uri="{B025F937-C7B1-47D3-B67F-A62EFF666E3E}">
          <x14:id>{29BF6BE4-1501-4129-B7D9-B031ED8AB958}</x14:id>
        </ext>
      </extLst>
    </cfRule>
  </conditionalFormatting>
  <conditionalFormatting sqref="C455">
    <cfRule type="containsText" dxfId="9381" priority="5463" operator="containsText" text="Einnahmen">
      <formula>NOT(ISERROR(SEARCH("Einnahmen",C455)))</formula>
    </cfRule>
    <cfRule type="containsText" dxfId="9380" priority="5464" operator="containsText" text="Ausgaben">
      <formula>NOT(ISERROR(SEARCH("Ausgaben",C455)))</formula>
    </cfRule>
  </conditionalFormatting>
  <conditionalFormatting sqref="J455">
    <cfRule type="cellIs" dxfId="9379" priority="5462" operator="equal">
      <formula>"ja"</formula>
    </cfRule>
  </conditionalFormatting>
  <conditionalFormatting sqref="T455">
    <cfRule type="expression" dxfId="9378" priority="5461">
      <formula>AND(AND($W455&lt;TODAY(),$W455&lt;&gt;""),$X455="")</formula>
    </cfRule>
  </conditionalFormatting>
  <conditionalFormatting sqref="Z455">
    <cfRule type="dataBar" priority="5460">
      <dataBar>
        <cfvo type="min"/>
        <cfvo type="max"/>
        <color rgb="FF63C384"/>
      </dataBar>
      <extLst>
        <ext xmlns:x14="http://schemas.microsoft.com/office/spreadsheetml/2009/9/main" uri="{B025F937-C7B1-47D3-B67F-A62EFF666E3E}">
          <x14:id>{DE1D91FE-8894-4BEB-B6AC-50B23EA83E8E}</x14:id>
        </ext>
      </extLst>
    </cfRule>
  </conditionalFormatting>
  <conditionalFormatting sqref="Z455">
    <cfRule type="dataBar" priority="5459">
      <dataBar>
        <cfvo type="min"/>
        <cfvo type="max"/>
        <color rgb="FF63C384"/>
      </dataBar>
      <extLst>
        <ext xmlns:x14="http://schemas.microsoft.com/office/spreadsheetml/2009/9/main" uri="{B025F937-C7B1-47D3-B67F-A62EFF666E3E}">
          <x14:id>{7E19A40B-F34E-4C28-9CEB-885C14FA1595}</x14:id>
        </ext>
      </extLst>
    </cfRule>
  </conditionalFormatting>
  <conditionalFormatting sqref="C456">
    <cfRule type="containsText" dxfId="9377" priority="5450" operator="containsText" text="Einnahmen">
      <formula>NOT(ISERROR(SEARCH("Einnahmen",C456)))</formula>
    </cfRule>
    <cfRule type="containsText" dxfId="9376" priority="5451" operator="containsText" text="Ausgaben">
      <formula>NOT(ISERROR(SEARCH("Ausgaben",C456)))</formula>
    </cfRule>
  </conditionalFormatting>
  <conditionalFormatting sqref="T456">
    <cfRule type="expression" dxfId="9375" priority="5449">
      <formula>AND(AND($W456&lt;TODAY(),$W456&lt;&gt;""),$X456="")</formula>
    </cfRule>
  </conditionalFormatting>
  <conditionalFormatting sqref="Z456">
    <cfRule type="dataBar" priority="5448">
      <dataBar>
        <cfvo type="min"/>
        <cfvo type="max"/>
        <color rgb="FF63C384"/>
      </dataBar>
      <extLst>
        <ext xmlns:x14="http://schemas.microsoft.com/office/spreadsheetml/2009/9/main" uri="{B025F937-C7B1-47D3-B67F-A62EFF666E3E}">
          <x14:id>{EB50F536-6539-46FF-B758-5531A5757A2B}</x14:id>
        </ext>
      </extLst>
    </cfRule>
  </conditionalFormatting>
  <conditionalFormatting sqref="Z456">
    <cfRule type="dataBar" priority="5447">
      <dataBar>
        <cfvo type="min"/>
        <cfvo type="max"/>
        <color rgb="FF63C384"/>
      </dataBar>
      <extLst>
        <ext xmlns:x14="http://schemas.microsoft.com/office/spreadsheetml/2009/9/main" uri="{B025F937-C7B1-47D3-B67F-A62EFF666E3E}">
          <x14:id>{A0B2CE32-BF3F-4B4E-8AD3-3C6A15285A52}</x14:id>
        </ext>
      </extLst>
    </cfRule>
  </conditionalFormatting>
  <conditionalFormatting sqref="J456">
    <cfRule type="cellIs" dxfId="9374" priority="5446" operator="equal">
      <formula>"ja"</formula>
    </cfRule>
  </conditionalFormatting>
  <conditionalFormatting sqref="J457">
    <cfRule type="cellIs" dxfId="9373" priority="5443" operator="equal">
      <formula>"ja"</formula>
    </cfRule>
  </conditionalFormatting>
  <conditionalFormatting sqref="C457">
    <cfRule type="containsText" dxfId="9372" priority="5441" operator="containsText" text="Einnahmen">
      <formula>NOT(ISERROR(SEARCH("Einnahmen",C457)))</formula>
    </cfRule>
    <cfRule type="containsText" dxfId="9371" priority="5442" operator="containsText" text="Ausgaben">
      <formula>NOT(ISERROR(SEARCH("Ausgaben",C457)))</formula>
    </cfRule>
  </conditionalFormatting>
  <conditionalFormatting sqref="T457">
    <cfRule type="expression" dxfId="9370" priority="5440">
      <formula>AND(AND($W457&lt;TODAY(),$W457&lt;&gt;""),$X457="")</formula>
    </cfRule>
  </conditionalFormatting>
  <conditionalFormatting sqref="Z457">
    <cfRule type="dataBar" priority="5439">
      <dataBar>
        <cfvo type="min"/>
        <cfvo type="max"/>
        <color rgb="FF63C384"/>
      </dataBar>
      <extLst>
        <ext xmlns:x14="http://schemas.microsoft.com/office/spreadsheetml/2009/9/main" uri="{B025F937-C7B1-47D3-B67F-A62EFF666E3E}">
          <x14:id>{4E487F42-83CD-4B93-AAF3-3DE3ACD6C327}</x14:id>
        </ext>
      </extLst>
    </cfRule>
  </conditionalFormatting>
  <conditionalFormatting sqref="Z457">
    <cfRule type="dataBar" priority="5438">
      <dataBar>
        <cfvo type="min"/>
        <cfvo type="max"/>
        <color rgb="FF63C384"/>
      </dataBar>
      <extLst>
        <ext xmlns:x14="http://schemas.microsoft.com/office/spreadsheetml/2009/9/main" uri="{B025F937-C7B1-47D3-B67F-A62EFF666E3E}">
          <x14:id>{DAB6EA10-A888-4F1D-AB5A-01949C0CAC5C}</x14:id>
        </ext>
      </extLst>
    </cfRule>
  </conditionalFormatting>
  <conditionalFormatting sqref="J458">
    <cfRule type="cellIs" dxfId="9369" priority="5436" operator="equal">
      <formula>"ja"</formula>
    </cfRule>
  </conditionalFormatting>
  <conditionalFormatting sqref="C458">
    <cfRule type="containsText" dxfId="9368" priority="5434" operator="containsText" text="Einnahmen">
      <formula>NOT(ISERROR(SEARCH("Einnahmen",C458)))</formula>
    </cfRule>
    <cfRule type="containsText" dxfId="9367" priority="5435" operator="containsText" text="Ausgaben">
      <formula>NOT(ISERROR(SEARCH("Ausgaben",C458)))</formula>
    </cfRule>
  </conditionalFormatting>
  <conditionalFormatting sqref="T458">
    <cfRule type="expression" dxfId="9366" priority="5433">
      <formula>AND(AND($W458&lt;TODAY(),$W458&lt;&gt;""),$X458="")</formula>
    </cfRule>
  </conditionalFormatting>
  <conditionalFormatting sqref="Z458">
    <cfRule type="dataBar" priority="5432">
      <dataBar>
        <cfvo type="min"/>
        <cfvo type="max"/>
        <color rgb="FF63C384"/>
      </dataBar>
      <extLst>
        <ext xmlns:x14="http://schemas.microsoft.com/office/spreadsheetml/2009/9/main" uri="{B025F937-C7B1-47D3-B67F-A62EFF666E3E}">
          <x14:id>{BE475B31-D3B7-415C-B245-67822DCB4444}</x14:id>
        </ext>
      </extLst>
    </cfRule>
  </conditionalFormatting>
  <conditionalFormatting sqref="Z458">
    <cfRule type="dataBar" priority="5431">
      <dataBar>
        <cfvo type="min"/>
        <cfvo type="max"/>
        <color rgb="FF63C384"/>
      </dataBar>
      <extLst>
        <ext xmlns:x14="http://schemas.microsoft.com/office/spreadsheetml/2009/9/main" uri="{B025F937-C7B1-47D3-B67F-A62EFF666E3E}">
          <x14:id>{46057515-C92D-4961-855D-05F118D2E80E}</x14:id>
        </ext>
      </extLst>
    </cfRule>
  </conditionalFormatting>
  <conditionalFormatting sqref="C459">
    <cfRule type="containsText" dxfId="9365" priority="5429" operator="containsText" text="Einnahmen">
      <formula>NOT(ISERROR(SEARCH("Einnahmen",C459)))</formula>
    </cfRule>
    <cfRule type="containsText" dxfId="9364" priority="5430" operator="containsText" text="Ausgaben">
      <formula>NOT(ISERROR(SEARCH("Ausgaben",C459)))</formula>
    </cfRule>
  </conditionalFormatting>
  <conditionalFormatting sqref="T459">
    <cfRule type="expression" dxfId="9363" priority="5428">
      <formula>AND(AND($W459&lt;TODAY(),$W459&lt;&gt;""),$X459="")</formula>
    </cfRule>
  </conditionalFormatting>
  <conditionalFormatting sqref="J459">
    <cfRule type="cellIs" dxfId="9362" priority="5427" operator="equal">
      <formula>"ja"</formula>
    </cfRule>
  </conditionalFormatting>
  <conditionalFormatting sqref="Z459">
    <cfRule type="dataBar" priority="5426">
      <dataBar>
        <cfvo type="min"/>
        <cfvo type="max"/>
        <color rgb="FF63C384"/>
      </dataBar>
      <extLst>
        <ext xmlns:x14="http://schemas.microsoft.com/office/spreadsheetml/2009/9/main" uri="{B025F937-C7B1-47D3-B67F-A62EFF666E3E}">
          <x14:id>{6016D2E2-F465-41A5-BECE-A9A782325BEA}</x14:id>
        </ext>
      </extLst>
    </cfRule>
  </conditionalFormatting>
  <conditionalFormatting sqref="Z459">
    <cfRule type="dataBar" priority="5425">
      <dataBar>
        <cfvo type="min"/>
        <cfvo type="max"/>
        <color rgb="FF63C384"/>
      </dataBar>
      <extLst>
        <ext xmlns:x14="http://schemas.microsoft.com/office/spreadsheetml/2009/9/main" uri="{B025F937-C7B1-47D3-B67F-A62EFF666E3E}">
          <x14:id>{64C433F6-F5F5-46DA-AC74-1B1440D60D33}</x14:id>
        </ext>
      </extLst>
    </cfRule>
  </conditionalFormatting>
  <conditionalFormatting sqref="C460">
    <cfRule type="containsText" dxfId="9361" priority="5423" operator="containsText" text="Einnahmen">
      <formula>NOT(ISERROR(SEARCH("Einnahmen",C460)))</formula>
    </cfRule>
    <cfRule type="containsText" dxfId="9360" priority="5424" operator="containsText" text="Ausgaben">
      <formula>NOT(ISERROR(SEARCH("Ausgaben",C460)))</formula>
    </cfRule>
  </conditionalFormatting>
  <conditionalFormatting sqref="J460">
    <cfRule type="cellIs" dxfId="9359" priority="5422" operator="equal">
      <formula>"ja"</formula>
    </cfRule>
  </conditionalFormatting>
  <conditionalFormatting sqref="T460">
    <cfRule type="expression" dxfId="9358" priority="5421">
      <formula>AND(AND($W460&lt;TODAY(),$W460&lt;&gt;""),$X460="")</formula>
    </cfRule>
  </conditionalFormatting>
  <conditionalFormatting sqref="Z460">
    <cfRule type="dataBar" priority="5420">
      <dataBar>
        <cfvo type="min"/>
        <cfvo type="max"/>
        <color rgb="FF63C384"/>
      </dataBar>
      <extLst>
        <ext xmlns:x14="http://schemas.microsoft.com/office/spreadsheetml/2009/9/main" uri="{B025F937-C7B1-47D3-B67F-A62EFF666E3E}">
          <x14:id>{0AC4031F-D511-448D-96D4-351FA84AA314}</x14:id>
        </ext>
      </extLst>
    </cfRule>
  </conditionalFormatting>
  <conditionalFormatting sqref="Z460">
    <cfRule type="dataBar" priority="5419">
      <dataBar>
        <cfvo type="min"/>
        <cfvo type="max"/>
        <color rgb="FF63C384"/>
      </dataBar>
      <extLst>
        <ext xmlns:x14="http://schemas.microsoft.com/office/spreadsheetml/2009/9/main" uri="{B025F937-C7B1-47D3-B67F-A62EFF666E3E}">
          <x14:id>{049C6A4D-0665-41FC-ADAA-0248C2693E94}</x14:id>
        </ext>
      </extLst>
    </cfRule>
  </conditionalFormatting>
  <conditionalFormatting sqref="C461">
    <cfRule type="containsText" dxfId="9357" priority="5416" operator="containsText" text="Einnahmen">
      <formula>NOT(ISERROR(SEARCH("Einnahmen",C461)))</formula>
    </cfRule>
    <cfRule type="containsText" dxfId="9356" priority="5417" operator="containsText" text="Ausgaben">
      <formula>NOT(ISERROR(SEARCH("Ausgaben",C461)))</formula>
    </cfRule>
  </conditionalFormatting>
  <conditionalFormatting sqref="J461">
    <cfRule type="cellIs" dxfId="9355" priority="5415" operator="equal">
      <formula>"ja"</formula>
    </cfRule>
  </conditionalFormatting>
  <conditionalFormatting sqref="T461">
    <cfRule type="expression" dxfId="9354" priority="5414">
      <formula>AND(AND($W461&lt;TODAY(),$W461&lt;&gt;""),$X461="")</formula>
    </cfRule>
  </conditionalFormatting>
  <conditionalFormatting sqref="Z461">
    <cfRule type="dataBar" priority="5413">
      <dataBar>
        <cfvo type="min"/>
        <cfvo type="max"/>
        <color rgb="FF63C384"/>
      </dataBar>
      <extLst>
        <ext xmlns:x14="http://schemas.microsoft.com/office/spreadsheetml/2009/9/main" uri="{B025F937-C7B1-47D3-B67F-A62EFF666E3E}">
          <x14:id>{295D1B98-6980-49D1-BAA7-C1FDFAC05EAA}</x14:id>
        </ext>
      </extLst>
    </cfRule>
  </conditionalFormatting>
  <conditionalFormatting sqref="Z461">
    <cfRule type="dataBar" priority="5412">
      <dataBar>
        <cfvo type="min"/>
        <cfvo type="max"/>
        <color rgb="FF63C384"/>
      </dataBar>
      <extLst>
        <ext xmlns:x14="http://schemas.microsoft.com/office/spreadsheetml/2009/9/main" uri="{B025F937-C7B1-47D3-B67F-A62EFF666E3E}">
          <x14:id>{5D64CCB9-9E31-4033-BA15-D8C839CE0CC0}</x14:id>
        </ext>
      </extLst>
    </cfRule>
  </conditionalFormatting>
  <conditionalFormatting sqref="C462">
    <cfRule type="containsText" dxfId="9353" priority="5409" operator="containsText" text="Einnahmen">
      <formula>NOT(ISERROR(SEARCH("Einnahmen",C462)))</formula>
    </cfRule>
    <cfRule type="containsText" dxfId="9352" priority="5410" operator="containsText" text="Ausgaben">
      <formula>NOT(ISERROR(SEARCH("Ausgaben",C462)))</formula>
    </cfRule>
  </conditionalFormatting>
  <conditionalFormatting sqref="T462">
    <cfRule type="expression" dxfId="9351" priority="5408">
      <formula>AND(AND($W462&lt;TODAY(),$W462&lt;&gt;""),$X462="")</formula>
    </cfRule>
  </conditionalFormatting>
  <conditionalFormatting sqref="J462">
    <cfRule type="cellIs" dxfId="9350" priority="5407" operator="equal">
      <formula>"ja"</formula>
    </cfRule>
  </conditionalFormatting>
  <conditionalFormatting sqref="Z462">
    <cfRule type="dataBar" priority="5406">
      <dataBar>
        <cfvo type="min"/>
        <cfvo type="max"/>
        <color rgb="FF63C384"/>
      </dataBar>
      <extLst>
        <ext xmlns:x14="http://schemas.microsoft.com/office/spreadsheetml/2009/9/main" uri="{B025F937-C7B1-47D3-B67F-A62EFF666E3E}">
          <x14:id>{EBF8C40A-F8BA-4D70-B807-9DA41CC59334}</x14:id>
        </ext>
      </extLst>
    </cfRule>
  </conditionalFormatting>
  <conditionalFormatting sqref="Z462">
    <cfRule type="dataBar" priority="5405">
      <dataBar>
        <cfvo type="min"/>
        <cfvo type="max"/>
        <color rgb="FF63C384"/>
      </dataBar>
      <extLst>
        <ext xmlns:x14="http://schemas.microsoft.com/office/spreadsheetml/2009/9/main" uri="{B025F937-C7B1-47D3-B67F-A62EFF666E3E}">
          <x14:id>{7DBC970B-B69B-4E79-8218-FCB2BBAE6319}</x14:id>
        </ext>
      </extLst>
    </cfRule>
  </conditionalFormatting>
  <conditionalFormatting sqref="C463">
    <cfRule type="containsText" dxfId="9349" priority="5402" operator="containsText" text="Einnahmen">
      <formula>NOT(ISERROR(SEARCH("Einnahmen",C463)))</formula>
    </cfRule>
    <cfRule type="containsText" dxfId="9348" priority="5403" operator="containsText" text="Ausgaben">
      <formula>NOT(ISERROR(SEARCH("Ausgaben",C463)))</formula>
    </cfRule>
  </conditionalFormatting>
  <conditionalFormatting sqref="T463">
    <cfRule type="expression" dxfId="9347" priority="5401">
      <formula>AND(AND($W463&lt;TODAY(),$W463&lt;&gt;""),$X463="")</formula>
    </cfRule>
  </conditionalFormatting>
  <conditionalFormatting sqref="J463">
    <cfRule type="cellIs" dxfId="9346" priority="5400" operator="equal">
      <formula>"ja"</formula>
    </cfRule>
  </conditionalFormatting>
  <conditionalFormatting sqref="Z463">
    <cfRule type="dataBar" priority="5399">
      <dataBar>
        <cfvo type="min"/>
        <cfvo type="max"/>
        <color rgb="FF63C384"/>
      </dataBar>
      <extLst>
        <ext xmlns:x14="http://schemas.microsoft.com/office/spreadsheetml/2009/9/main" uri="{B025F937-C7B1-47D3-B67F-A62EFF666E3E}">
          <x14:id>{97D07A0F-9751-43A4-B92C-7038E3D624F5}</x14:id>
        </ext>
      </extLst>
    </cfRule>
  </conditionalFormatting>
  <conditionalFormatting sqref="Z463">
    <cfRule type="dataBar" priority="5398">
      <dataBar>
        <cfvo type="min"/>
        <cfvo type="max"/>
        <color rgb="FF63C384"/>
      </dataBar>
      <extLst>
        <ext xmlns:x14="http://schemas.microsoft.com/office/spreadsheetml/2009/9/main" uri="{B025F937-C7B1-47D3-B67F-A62EFF666E3E}">
          <x14:id>{B2DD3E89-3782-4001-91A9-A8FB070621E6}</x14:id>
        </ext>
      </extLst>
    </cfRule>
  </conditionalFormatting>
  <conditionalFormatting sqref="J464">
    <cfRule type="cellIs" dxfId="9345" priority="5396" operator="equal">
      <formula>"ja"</formula>
    </cfRule>
  </conditionalFormatting>
  <conditionalFormatting sqref="T464">
    <cfRule type="expression" dxfId="9344" priority="5395">
      <formula>AND(AND($W464&lt;TODAY(),$W464&lt;&gt;""),$X464="")</formula>
    </cfRule>
  </conditionalFormatting>
  <conditionalFormatting sqref="Z464">
    <cfRule type="dataBar" priority="5394">
      <dataBar>
        <cfvo type="min"/>
        <cfvo type="max"/>
        <color rgb="FF63C384"/>
      </dataBar>
      <extLst>
        <ext xmlns:x14="http://schemas.microsoft.com/office/spreadsheetml/2009/9/main" uri="{B025F937-C7B1-47D3-B67F-A62EFF666E3E}">
          <x14:id>{EC423467-B818-4A20-AF68-9058692A7F14}</x14:id>
        </ext>
      </extLst>
    </cfRule>
  </conditionalFormatting>
  <conditionalFormatting sqref="Z464">
    <cfRule type="dataBar" priority="5393">
      <dataBar>
        <cfvo type="min"/>
        <cfvo type="max"/>
        <color rgb="FF63C384"/>
      </dataBar>
      <extLst>
        <ext xmlns:x14="http://schemas.microsoft.com/office/spreadsheetml/2009/9/main" uri="{B025F937-C7B1-47D3-B67F-A62EFF666E3E}">
          <x14:id>{12B83A53-7CAE-4ED8-A039-616C748838C7}</x14:id>
        </ext>
      </extLst>
    </cfRule>
  </conditionalFormatting>
  <conditionalFormatting sqref="C464">
    <cfRule type="containsText" dxfId="9343" priority="5391" operator="containsText" text="Einnahmen">
      <formula>NOT(ISERROR(SEARCH("Einnahmen",C464)))</formula>
    </cfRule>
    <cfRule type="containsText" dxfId="9342" priority="5392" operator="containsText" text="Ausgaben">
      <formula>NOT(ISERROR(SEARCH("Ausgaben",C464)))</formula>
    </cfRule>
  </conditionalFormatting>
  <conditionalFormatting sqref="J465">
    <cfRule type="cellIs" dxfId="9341" priority="5388" operator="equal">
      <formula>"ja"</formula>
    </cfRule>
  </conditionalFormatting>
  <conditionalFormatting sqref="T465">
    <cfRule type="expression" dxfId="9340" priority="5387">
      <formula>AND(AND($W465&lt;TODAY(),$W465&lt;&gt;""),$X465="")</formula>
    </cfRule>
  </conditionalFormatting>
  <conditionalFormatting sqref="Z465">
    <cfRule type="dataBar" priority="5386">
      <dataBar>
        <cfvo type="min"/>
        <cfvo type="max"/>
        <color rgb="FF63C384"/>
      </dataBar>
      <extLst>
        <ext xmlns:x14="http://schemas.microsoft.com/office/spreadsheetml/2009/9/main" uri="{B025F937-C7B1-47D3-B67F-A62EFF666E3E}">
          <x14:id>{F02F5AF3-89F2-4763-BA9C-C4966C4C5A3F}</x14:id>
        </ext>
      </extLst>
    </cfRule>
  </conditionalFormatting>
  <conditionalFormatting sqref="Z465">
    <cfRule type="dataBar" priority="5385">
      <dataBar>
        <cfvo type="min"/>
        <cfvo type="max"/>
        <color rgb="FF63C384"/>
      </dataBar>
      <extLst>
        <ext xmlns:x14="http://schemas.microsoft.com/office/spreadsheetml/2009/9/main" uri="{B025F937-C7B1-47D3-B67F-A62EFF666E3E}">
          <x14:id>{38AFF5C1-1B18-4B23-9609-48BA1CC3F8D6}</x14:id>
        </ext>
      </extLst>
    </cfRule>
  </conditionalFormatting>
  <conditionalFormatting sqref="C465">
    <cfRule type="containsText" dxfId="9339" priority="5383" operator="containsText" text="Einnahmen">
      <formula>NOT(ISERROR(SEARCH("Einnahmen",C465)))</formula>
    </cfRule>
    <cfRule type="containsText" dxfId="9338" priority="5384" operator="containsText" text="Ausgaben">
      <formula>NOT(ISERROR(SEARCH("Ausgaben",C465)))</formula>
    </cfRule>
  </conditionalFormatting>
  <conditionalFormatting sqref="C466">
    <cfRule type="containsText" dxfId="9337" priority="5381" operator="containsText" text="Einnahmen">
      <formula>NOT(ISERROR(SEARCH("Einnahmen",C466)))</formula>
    </cfRule>
    <cfRule type="containsText" dxfId="9336" priority="5382" operator="containsText" text="Ausgaben">
      <formula>NOT(ISERROR(SEARCH("Ausgaben",C466)))</formula>
    </cfRule>
  </conditionalFormatting>
  <conditionalFormatting sqref="J466">
    <cfRule type="cellIs" dxfId="9335" priority="5380" operator="equal">
      <formula>"ja"</formula>
    </cfRule>
  </conditionalFormatting>
  <conditionalFormatting sqref="T466 T481:T482 T499 T509">
    <cfRule type="expression" dxfId="9334" priority="5379">
      <formula>AND(AND($W466&lt;TODAY(),$W466&lt;&gt;""),$X466="")</formula>
    </cfRule>
  </conditionalFormatting>
  <conditionalFormatting sqref="Z481:Z482 Z466 Z499 Z509">
    <cfRule type="dataBar" priority="5378">
      <dataBar>
        <cfvo type="min"/>
        <cfvo type="max"/>
        <color rgb="FF63C384"/>
      </dataBar>
      <extLst>
        <ext xmlns:x14="http://schemas.microsoft.com/office/spreadsheetml/2009/9/main" uri="{B025F937-C7B1-47D3-B67F-A62EFF666E3E}">
          <x14:id>{AC351F4C-6419-43DC-9A74-4C477B410DED}</x14:id>
        </ext>
      </extLst>
    </cfRule>
  </conditionalFormatting>
  <conditionalFormatting sqref="Z481:Z482">
    <cfRule type="dataBar" priority="5377">
      <dataBar>
        <cfvo type="min"/>
        <cfvo type="max"/>
        <color rgb="FF63C384"/>
      </dataBar>
      <extLst>
        <ext xmlns:x14="http://schemas.microsoft.com/office/spreadsheetml/2009/9/main" uri="{B025F937-C7B1-47D3-B67F-A62EFF666E3E}">
          <x14:id>{D9D5B8EE-764F-4F08-8DB1-2497EA63A0F0}</x14:id>
        </ext>
      </extLst>
    </cfRule>
  </conditionalFormatting>
  <conditionalFormatting sqref="C468 C474 C481:C482 C484 C486 C490 C499 C506:C507 C509 C523 C525 C527 C533 C543 C565 C567">
    <cfRule type="containsText" dxfId="9333" priority="5374" operator="containsText" text="Einnahmen">
      <formula>NOT(ISERROR(SEARCH("Einnahmen",C468)))</formula>
    </cfRule>
    <cfRule type="containsText" dxfId="9332" priority="5375" operator="containsText" text="Ausgaben">
      <formula>NOT(ISERROR(SEARCH("Ausgaben",C468)))</formula>
    </cfRule>
  </conditionalFormatting>
  <conditionalFormatting sqref="C467">
    <cfRule type="containsText" dxfId="9331" priority="5372" operator="containsText" text="Einnahmen">
      <formula>NOT(ISERROR(SEARCH("Einnahmen",C467)))</formula>
    </cfRule>
    <cfRule type="containsText" dxfId="9330" priority="5373" operator="containsText" text="Ausgaben">
      <formula>NOT(ISERROR(SEARCH("Ausgaben",C467)))</formula>
    </cfRule>
  </conditionalFormatting>
  <conditionalFormatting sqref="J467">
    <cfRule type="cellIs" dxfId="9329" priority="5371" operator="equal">
      <formula>"ja"</formula>
    </cfRule>
  </conditionalFormatting>
  <conditionalFormatting sqref="T467">
    <cfRule type="expression" dxfId="9328" priority="5370">
      <formula>AND(AND($W467&lt;TODAY(),$W467&lt;&gt;""),$X467="")</formula>
    </cfRule>
  </conditionalFormatting>
  <conditionalFormatting sqref="Z467">
    <cfRule type="dataBar" priority="5369">
      <dataBar>
        <cfvo type="min"/>
        <cfvo type="max"/>
        <color rgb="FF63C384"/>
      </dataBar>
      <extLst>
        <ext xmlns:x14="http://schemas.microsoft.com/office/spreadsheetml/2009/9/main" uri="{B025F937-C7B1-47D3-B67F-A62EFF666E3E}">
          <x14:id>{CF84BAD3-AC00-4FF5-9F29-BDABA96C169F}</x14:id>
        </ext>
      </extLst>
    </cfRule>
  </conditionalFormatting>
  <conditionalFormatting sqref="Z467">
    <cfRule type="dataBar" priority="5368">
      <dataBar>
        <cfvo type="min"/>
        <cfvo type="max"/>
        <color rgb="FF63C384"/>
      </dataBar>
      <extLst>
        <ext xmlns:x14="http://schemas.microsoft.com/office/spreadsheetml/2009/9/main" uri="{B025F937-C7B1-47D3-B67F-A62EFF666E3E}">
          <x14:id>{338076F6-835E-4D7B-BAD3-EC9B8659EC08}</x14:id>
        </ext>
      </extLst>
    </cfRule>
  </conditionalFormatting>
  <conditionalFormatting sqref="T468">
    <cfRule type="expression" dxfId="9327" priority="5365">
      <formula>AND(AND($W468&lt;TODAY(),$W468&lt;&gt;""),$X468="")</formula>
    </cfRule>
  </conditionalFormatting>
  <conditionalFormatting sqref="Z468">
    <cfRule type="dataBar" priority="5364">
      <dataBar>
        <cfvo type="min"/>
        <cfvo type="max"/>
        <color rgb="FF63C384"/>
      </dataBar>
      <extLst>
        <ext xmlns:x14="http://schemas.microsoft.com/office/spreadsheetml/2009/9/main" uri="{B025F937-C7B1-47D3-B67F-A62EFF666E3E}">
          <x14:id>{E3793CED-364F-4A46-9967-5582BA4FE105}</x14:id>
        </ext>
      </extLst>
    </cfRule>
  </conditionalFormatting>
  <conditionalFormatting sqref="Z468">
    <cfRule type="dataBar" priority="5363">
      <dataBar>
        <cfvo type="min"/>
        <cfvo type="max"/>
        <color rgb="FF63C384"/>
      </dataBar>
      <extLst>
        <ext xmlns:x14="http://schemas.microsoft.com/office/spreadsheetml/2009/9/main" uri="{B025F937-C7B1-47D3-B67F-A62EFF666E3E}">
          <x14:id>{2841A04B-1CD8-4325-8180-98E506E47A3E}</x14:id>
        </ext>
      </extLst>
    </cfRule>
  </conditionalFormatting>
  <conditionalFormatting sqref="C469">
    <cfRule type="containsText" dxfId="9326" priority="5361" operator="containsText" text="Einnahmen">
      <formula>NOT(ISERROR(SEARCH("Einnahmen",C469)))</formula>
    </cfRule>
    <cfRule type="containsText" dxfId="9325" priority="5362" operator="containsText" text="Ausgaben">
      <formula>NOT(ISERROR(SEARCH("Ausgaben",C469)))</formula>
    </cfRule>
  </conditionalFormatting>
  <conditionalFormatting sqref="T469">
    <cfRule type="expression" dxfId="9324" priority="5360">
      <formula>AND(AND($W469&lt;TODAY(),$W469&lt;&gt;""),$X469="")</formula>
    </cfRule>
  </conditionalFormatting>
  <conditionalFormatting sqref="J469">
    <cfRule type="cellIs" dxfId="9323" priority="5359" operator="equal">
      <formula>"ja"</formula>
    </cfRule>
  </conditionalFormatting>
  <conditionalFormatting sqref="Z469">
    <cfRule type="dataBar" priority="5358">
      <dataBar>
        <cfvo type="min"/>
        <cfvo type="max"/>
        <color rgb="FF63C384"/>
      </dataBar>
      <extLst>
        <ext xmlns:x14="http://schemas.microsoft.com/office/spreadsheetml/2009/9/main" uri="{B025F937-C7B1-47D3-B67F-A62EFF666E3E}">
          <x14:id>{738C4FB9-143B-4A5B-A1B7-FC63A49761E6}</x14:id>
        </ext>
      </extLst>
    </cfRule>
  </conditionalFormatting>
  <conditionalFormatting sqref="Z469">
    <cfRule type="dataBar" priority="5357">
      <dataBar>
        <cfvo type="min"/>
        <cfvo type="max"/>
        <color rgb="FF63C384"/>
      </dataBar>
      <extLst>
        <ext xmlns:x14="http://schemas.microsoft.com/office/spreadsheetml/2009/9/main" uri="{B025F937-C7B1-47D3-B67F-A62EFF666E3E}">
          <x14:id>{C76398FB-76D0-40AD-B96E-947BA278E9DB}</x14:id>
        </ext>
      </extLst>
    </cfRule>
  </conditionalFormatting>
  <conditionalFormatting sqref="J470:J471">
    <cfRule type="cellIs" dxfId="9322" priority="5348" operator="equal">
      <formula>"ja"</formula>
    </cfRule>
  </conditionalFormatting>
  <conditionalFormatting sqref="C470">
    <cfRule type="containsText" dxfId="9321" priority="5346" operator="containsText" text="Einnahmen">
      <formula>NOT(ISERROR(SEARCH("Einnahmen",C470)))</formula>
    </cfRule>
    <cfRule type="containsText" dxfId="9320" priority="5347" operator="containsText" text="Ausgaben">
      <formula>NOT(ISERROR(SEARCH("Ausgaben",C470)))</formula>
    </cfRule>
  </conditionalFormatting>
  <conditionalFormatting sqref="T470">
    <cfRule type="expression" dxfId="9319" priority="5345">
      <formula>AND(AND($W470&lt;TODAY(),$W470&lt;&gt;""),$X470="")</formula>
    </cfRule>
  </conditionalFormatting>
  <conditionalFormatting sqref="Z470">
    <cfRule type="dataBar" priority="5344">
      <dataBar>
        <cfvo type="min"/>
        <cfvo type="max"/>
        <color rgb="FF63C384"/>
      </dataBar>
      <extLst>
        <ext xmlns:x14="http://schemas.microsoft.com/office/spreadsheetml/2009/9/main" uri="{B025F937-C7B1-47D3-B67F-A62EFF666E3E}">
          <x14:id>{87344775-8355-4C6A-882A-9B345040893D}</x14:id>
        </ext>
      </extLst>
    </cfRule>
  </conditionalFormatting>
  <conditionalFormatting sqref="Z470">
    <cfRule type="dataBar" priority="5343">
      <dataBar>
        <cfvo type="min"/>
        <cfvo type="max"/>
        <color rgb="FF63C384"/>
      </dataBar>
      <extLst>
        <ext xmlns:x14="http://schemas.microsoft.com/office/spreadsheetml/2009/9/main" uri="{B025F937-C7B1-47D3-B67F-A62EFF666E3E}">
          <x14:id>{07CDDC09-9804-464E-8C72-C44AE0EF3267}</x14:id>
        </ext>
      </extLst>
    </cfRule>
  </conditionalFormatting>
  <conditionalFormatting sqref="T501">
    <cfRule type="expression" dxfId="9318" priority="5036">
      <formula>AND(AND($W501&lt;TODAY(),$W501&lt;&gt;""),$X501="")</formula>
    </cfRule>
  </conditionalFormatting>
  <conditionalFormatting sqref="T474">
    <cfRule type="expression" dxfId="9317" priority="5334">
      <formula>AND(AND($W474&lt;TODAY(),$W474&lt;&gt;""),$X474="")</formula>
    </cfRule>
  </conditionalFormatting>
  <conditionalFormatting sqref="Z474">
    <cfRule type="dataBar" priority="5333">
      <dataBar>
        <cfvo type="min"/>
        <cfvo type="max"/>
        <color rgb="FF63C384"/>
      </dataBar>
      <extLst>
        <ext xmlns:x14="http://schemas.microsoft.com/office/spreadsheetml/2009/9/main" uri="{B025F937-C7B1-47D3-B67F-A62EFF666E3E}">
          <x14:id>{6A7330FC-5E65-4FC4-9DC9-B017E04EE895}</x14:id>
        </ext>
      </extLst>
    </cfRule>
  </conditionalFormatting>
  <conditionalFormatting sqref="Z474">
    <cfRule type="dataBar" priority="5332">
      <dataBar>
        <cfvo type="min"/>
        <cfvo type="max"/>
        <color rgb="FF63C384"/>
      </dataBar>
      <extLst>
        <ext xmlns:x14="http://schemas.microsoft.com/office/spreadsheetml/2009/9/main" uri="{B025F937-C7B1-47D3-B67F-A62EFF666E3E}">
          <x14:id>{317338CD-EB5A-46C9-BC83-27B4E5EE6B5B}</x14:id>
        </ext>
      </extLst>
    </cfRule>
  </conditionalFormatting>
  <conditionalFormatting sqref="J474">
    <cfRule type="cellIs" dxfId="9316" priority="5331" operator="equal">
      <formula>"ja"</formula>
    </cfRule>
  </conditionalFormatting>
  <conditionalFormatting sqref="J472:J473">
    <cfRule type="cellIs" dxfId="9315" priority="5329" operator="equal">
      <formula>"ja"</formula>
    </cfRule>
  </conditionalFormatting>
  <conditionalFormatting sqref="C472:C473">
    <cfRule type="containsText" dxfId="9314" priority="5327" operator="containsText" text="Einnahmen">
      <formula>NOT(ISERROR(SEARCH("Einnahmen",C472)))</formula>
    </cfRule>
    <cfRule type="containsText" dxfId="9313" priority="5328" operator="containsText" text="Ausgaben">
      <formula>NOT(ISERROR(SEARCH("Ausgaben",C472)))</formula>
    </cfRule>
  </conditionalFormatting>
  <conditionalFormatting sqref="T472">
    <cfRule type="expression" dxfId="9312" priority="5326">
      <formula>AND(AND($W472&lt;TODAY(),$W472&lt;&gt;""),$X472="")</formula>
    </cfRule>
  </conditionalFormatting>
  <conditionalFormatting sqref="Z472">
    <cfRule type="dataBar" priority="5325">
      <dataBar>
        <cfvo type="min"/>
        <cfvo type="max"/>
        <color rgb="FF63C384"/>
      </dataBar>
      <extLst>
        <ext xmlns:x14="http://schemas.microsoft.com/office/spreadsheetml/2009/9/main" uri="{B025F937-C7B1-47D3-B67F-A62EFF666E3E}">
          <x14:id>{A2CC0025-CDC2-4402-B484-0DECD561A93F}</x14:id>
        </ext>
      </extLst>
    </cfRule>
  </conditionalFormatting>
  <conditionalFormatting sqref="Z472">
    <cfRule type="dataBar" priority="5324">
      <dataBar>
        <cfvo type="min"/>
        <cfvo type="max"/>
        <color rgb="FF63C384"/>
      </dataBar>
      <extLst>
        <ext xmlns:x14="http://schemas.microsoft.com/office/spreadsheetml/2009/9/main" uri="{B025F937-C7B1-47D3-B67F-A62EFF666E3E}">
          <x14:id>{25A28D46-22C3-4000-95BC-53DB1BE469E6}</x14:id>
        </ext>
      </extLst>
    </cfRule>
  </conditionalFormatting>
  <conditionalFormatting sqref="J475">
    <cfRule type="cellIs" dxfId="9311" priority="5323" operator="equal">
      <formula>"ja"</formula>
    </cfRule>
  </conditionalFormatting>
  <conditionalFormatting sqref="C475">
    <cfRule type="containsText" dxfId="9310" priority="5321" operator="containsText" text="Einnahmen">
      <formula>NOT(ISERROR(SEARCH("Einnahmen",C475)))</formula>
    </cfRule>
    <cfRule type="containsText" dxfId="9309" priority="5322" operator="containsText" text="Ausgaben">
      <formula>NOT(ISERROR(SEARCH("Ausgaben",C475)))</formula>
    </cfRule>
  </conditionalFormatting>
  <conditionalFormatting sqref="T475">
    <cfRule type="expression" dxfId="9308" priority="5320">
      <formula>AND(AND($W475&lt;TODAY(),$W475&lt;&gt;""),$X475="")</formula>
    </cfRule>
  </conditionalFormatting>
  <conditionalFormatting sqref="Z475">
    <cfRule type="dataBar" priority="5319">
      <dataBar>
        <cfvo type="min"/>
        <cfvo type="max"/>
        <color rgb="FF63C384"/>
      </dataBar>
      <extLst>
        <ext xmlns:x14="http://schemas.microsoft.com/office/spreadsheetml/2009/9/main" uri="{B025F937-C7B1-47D3-B67F-A62EFF666E3E}">
          <x14:id>{47B66849-6AFE-4D5C-A932-E9C8DCAEC40D}</x14:id>
        </ext>
      </extLst>
    </cfRule>
  </conditionalFormatting>
  <conditionalFormatting sqref="Z475">
    <cfRule type="dataBar" priority="5318">
      <dataBar>
        <cfvo type="min"/>
        <cfvo type="max"/>
        <color rgb="FF63C384"/>
      </dataBar>
      <extLst>
        <ext xmlns:x14="http://schemas.microsoft.com/office/spreadsheetml/2009/9/main" uri="{B025F937-C7B1-47D3-B67F-A62EFF666E3E}">
          <x14:id>{4D202FE4-8EDE-45C5-A09F-5591A5D3BFC7}</x14:id>
        </ext>
      </extLst>
    </cfRule>
  </conditionalFormatting>
  <conditionalFormatting sqref="C476">
    <cfRule type="containsText" dxfId="9307" priority="5316" operator="containsText" text="Einnahmen">
      <formula>NOT(ISERROR(SEARCH("Einnahmen",C476)))</formula>
    </cfRule>
    <cfRule type="containsText" dxfId="9306" priority="5317" operator="containsText" text="Ausgaben">
      <formula>NOT(ISERROR(SEARCH("Ausgaben",C476)))</formula>
    </cfRule>
  </conditionalFormatting>
  <conditionalFormatting sqref="T476">
    <cfRule type="expression" dxfId="9305" priority="5315">
      <formula>AND(AND($W476&lt;TODAY(),$W476&lt;&gt;""),$X476="")</formula>
    </cfRule>
  </conditionalFormatting>
  <conditionalFormatting sqref="J476">
    <cfRule type="cellIs" dxfId="9304" priority="5313" operator="equal">
      <formula>"ja"</formula>
    </cfRule>
  </conditionalFormatting>
  <conditionalFormatting sqref="Z476">
    <cfRule type="dataBar" priority="5312">
      <dataBar>
        <cfvo type="min"/>
        <cfvo type="max"/>
        <color rgb="FF63C384"/>
      </dataBar>
      <extLst>
        <ext xmlns:x14="http://schemas.microsoft.com/office/spreadsheetml/2009/9/main" uri="{B025F937-C7B1-47D3-B67F-A62EFF666E3E}">
          <x14:id>{6B330D4B-C3A0-46A5-99F2-7C5306089998}</x14:id>
        </ext>
      </extLst>
    </cfRule>
  </conditionalFormatting>
  <conditionalFormatting sqref="Z476">
    <cfRule type="dataBar" priority="5311">
      <dataBar>
        <cfvo type="min"/>
        <cfvo type="max"/>
        <color rgb="FF63C384"/>
      </dataBar>
      <extLst>
        <ext xmlns:x14="http://schemas.microsoft.com/office/spreadsheetml/2009/9/main" uri="{B025F937-C7B1-47D3-B67F-A62EFF666E3E}">
          <x14:id>{10E1C20E-00DD-4278-AB11-111E835A93C3}</x14:id>
        </ext>
      </extLst>
    </cfRule>
  </conditionalFormatting>
  <conditionalFormatting sqref="C477">
    <cfRule type="containsText" dxfId="9303" priority="5302" operator="containsText" text="Einnahmen">
      <formula>NOT(ISERROR(SEARCH("Einnahmen",C477)))</formula>
    </cfRule>
    <cfRule type="containsText" dxfId="9302" priority="5303" operator="containsText" text="Ausgaben">
      <formula>NOT(ISERROR(SEARCH("Ausgaben",C477)))</formula>
    </cfRule>
  </conditionalFormatting>
  <conditionalFormatting sqref="C478">
    <cfRule type="containsText" dxfId="9301" priority="5296" operator="containsText" text="Einnahmen">
      <formula>NOT(ISERROR(SEARCH("Einnahmen",C478)))</formula>
    </cfRule>
    <cfRule type="containsText" dxfId="9300" priority="5297" operator="containsText" text="Ausgaben">
      <formula>NOT(ISERROR(SEARCH("Ausgaben",C478)))</formula>
    </cfRule>
  </conditionalFormatting>
  <conditionalFormatting sqref="C480">
    <cfRule type="containsText" dxfId="9299" priority="5282" operator="containsText" text="Einnahmen">
      <formula>NOT(ISERROR(SEARCH("Einnahmen",C480)))</formula>
    </cfRule>
    <cfRule type="containsText" dxfId="9298" priority="5283" operator="containsText" text="Ausgaben">
      <formula>NOT(ISERROR(SEARCH("Ausgaben",C480)))</formula>
    </cfRule>
  </conditionalFormatting>
  <conditionalFormatting sqref="J480">
    <cfRule type="cellIs" dxfId="9297" priority="5280" operator="equal">
      <formula>"ja"</formula>
    </cfRule>
  </conditionalFormatting>
  <conditionalFormatting sqref="T480">
    <cfRule type="expression" dxfId="9296" priority="5279">
      <formula>AND(AND($W480&lt;TODAY(),$W480&lt;&gt;""),$X480="")</formula>
    </cfRule>
  </conditionalFormatting>
  <conditionalFormatting sqref="Z480">
    <cfRule type="dataBar" priority="5278">
      <dataBar>
        <cfvo type="min"/>
        <cfvo type="max"/>
        <color rgb="FF63C384"/>
      </dataBar>
      <extLst>
        <ext xmlns:x14="http://schemas.microsoft.com/office/spreadsheetml/2009/9/main" uri="{B025F937-C7B1-47D3-B67F-A62EFF666E3E}">
          <x14:id>{5D56CCE2-4575-4A7B-A8F1-7284DE334BDB}</x14:id>
        </ext>
      </extLst>
    </cfRule>
  </conditionalFormatting>
  <conditionalFormatting sqref="Z480">
    <cfRule type="dataBar" priority="5277">
      <dataBar>
        <cfvo type="min"/>
        <cfvo type="max"/>
        <color rgb="FF63C384"/>
      </dataBar>
      <extLst>
        <ext xmlns:x14="http://schemas.microsoft.com/office/spreadsheetml/2009/9/main" uri="{B025F937-C7B1-47D3-B67F-A62EFF666E3E}">
          <x14:id>{4ACBEAD8-028F-41C9-8E0C-631B712D66A6}</x14:id>
        </ext>
      </extLst>
    </cfRule>
  </conditionalFormatting>
  <conditionalFormatting sqref="C480">
    <cfRule type="containsText" dxfId="9295" priority="5268" operator="containsText" text="Einnahmen">
      <formula>NOT(ISERROR(SEARCH("Einnahmen",C480)))</formula>
    </cfRule>
    <cfRule type="containsText" dxfId="9294" priority="5269" operator="containsText" text="Ausgaben">
      <formula>NOT(ISERROR(SEARCH("Ausgaben",C480)))</formula>
    </cfRule>
  </conditionalFormatting>
  <conditionalFormatting sqref="J480">
    <cfRule type="cellIs" dxfId="9293" priority="5267" operator="equal">
      <formula>"ja"</formula>
    </cfRule>
  </conditionalFormatting>
  <conditionalFormatting sqref="T480">
    <cfRule type="expression" dxfId="9292" priority="5266">
      <formula>AND(AND($W480&lt;TODAY(),$W480&lt;&gt;""),$X480="")</formula>
    </cfRule>
  </conditionalFormatting>
  <conditionalFormatting sqref="Z480">
    <cfRule type="dataBar" priority="5265">
      <dataBar>
        <cfvo type="min"/>
        <cfvo type="max"/>
        <color rgb="FF63C384"/>
      </dataBar>
      <extLst>
        <ext xmlns:x14="http://schemas.microsoft.com/office/spreadsheetml/2009/9/main" uri="{B025F937-C7B1-47D3-B67F-A62EFF666E3E}">
          <x14:id>{E7692183-E3DC-468B-89C5-AECF259F2109}</x14:id>
        </ext>
      </extLst>
    </cfRule>
  </conditionalFormatting>
  <conditionalFormatting sqref="Z480">
    <cfRule type="dataBar" priority="5264">
      <dataBar>
        <cfvo type="min"/>
        <cfvo type="max"/>
        <color rgb="FF63C384"/>
      </dataBar>
      <extLst>
        <ext xmlns:x14="http://schemas.microsoft.com/office/spreadsheetml/2009/9/main" uri="{B025F937-C7B1-47D3-B67F-A62EFF666E3E}">
          <x14:id>{B02A7208-802D-497F-8819-13BEA9E8184E}</x14:id>
        </ext>
      </extLst>
    </cfRule>
  </conditionalFormatting>
  <conditionalFormatting sqref="C481">
    <cfRule type="containsText" dxfId="9291" priority="5261" operator="containsText" text="Einnahmen">
      <formula>NOT(ISERROR(SEARCH("Einnahmen",C481)))</formula>
    </cfRule>
    <cfRule type="containsText" dxfId="9290" priority="5262" operator="containsText" text="Ausgaben">
      <formula>NOT(ISERROR(SEARCH("Ausgaben",C481)))</formula>
    </cfRule>
  </conditionalFormatting>
  <conditionalFormatting sqref="J481">
    <cfRule type="cellIs" dxfId="9289" priority="5259" operator="equal">
      <formula>"ja"</formula>
    </cfRule>
  </conditionalFormatting>
  <conditionalFormatting sqref="T481">
    <cfRule type="expression" dxfId="9288" priority="5258">
      <formula>AND(AND($W481&lt;TODAY(),$W481&lt;&gt;""),$X481="")</formula>
    </cfRule>
  </conditionalFormatting>
  <conditionalFormatting sqref="Z481">
    <cfRule type="dataBar" priority="5257">
      <dataBar>
        <cfvo type="min"/>
        <cfvo type="max"/>
        <color rgb="FF63C384"/>
      </dataBar>
      <extLst>
        <ext xmlns:x14="http://schemas.microsoft.com/office/spreadsheetml/2009/9/main" uri="{B025F937-C7B1-47D3-B67F-A62EFF666E3E}">
          <x14:id>{649BF7EF-374C-4AC2-90F8-25B206997234}</x14:id>
        </ext>
      </extLst>
    </cfRule>
  </conditionalFormatting>
  <conditionalFormatting sqref="Z481">
    <cfRule type="dataBar" priority="5256">
      <dataBar>
        <cfvo type="min"/>
        <cfvo type="max"/>
        <color rgb="FF63C384"/>
      </dataBar>
      <extLst>
        <ext xmlns:x14="http://schemas.microsoft.com/office/spreadsheetml/2009/9/main" uri="{B025F937-C7B1-47D3-B67F-A62EFF666E3E}">
          <x14:id>{222F8B98-F96C-4FC2-9826-0F9520C407B4}</x14:id>
        </ext>
      </extLst>
    </cfRule>
  </conditionalFormatting>
  <conditionalFormatting sqref="C480">
    <cfRule type="containsText" dxfId="9287" priority="5254" operator="containsText" text="Einnahmen">
      <formula>NOT(ISERROR(SEARCH("Einnahmen",C480)))</formula>
    </cfRule>
    <cfRule type="containsText" dxfId="9286" priority="5255" operator="containsText" text="Ausgaben">
      <formula>NOT(ISERROR(SEARCH("Ausgaben",C480)))</formula>
    </cfRule>
  </conditionalFormatting>
  <conditionalFormatting sqref="J480">
    <cfRule type="cellIs" dxfId="9285" priority="5253" operator="equal">
      <formula>"ja"</formula>
    </cfRule>
  </conditionalFormatting>
  <conditionalFormatting sqref="T480">
    <cfRule type="expression" dxfId="9284" priority="5252">
      <formula>AND(AND($W480&lt;TODAY(),$W480&lt;&gt;""),$X480="")</formula>
    </cfRule>
  </conditionalFormatting>
  <conditionalFormatting sqref="Z480">
    <cfRule type="dataBar" priority="5251">
      <dataBar>
        <cfvo type="min"/>
        <cfvo type="max"/>
        <color rgb="FF63C384"/>
      </dataBar>
      <extLst>
        <ext xmlns:x14="http://schemas.microsoft.com/office/spreadsheetml/2009/9/main" uri="{B025F937-C7B1-47D3-B67F-A62EFF666E3E}">
          <x14:id>{C9B3590B-E38F-4DA6-8DC8-E23C81524B05}</x14:id>
        </ext>
      </extLst>
    </cfRule>
  </conditionalFormatting>
  <conditionalFormatting sqref="Z480">
    <cfRule type="dataBar" priority="5250">
      <dataBar>
        <cfvo type="min"/>
        <cfvo type="max"/>
        <color rgb="FF63C384"/>
      </dataBar>
      <extLst>
        <ext xmlns:x14="http://schemas.microsoft.com/office/spreadsheetml/2009/9/main" uri="{B025F937-C7B1-47D3-B67F-A62EFF666E3E}">
          <x14:id>{FF82ABC5-FBA6-416A-932D-07B79F7A2F7F}</x14:id>
        </ext>
      </extLst>
    </cfRule>
  </conditionalFormatting>
  <conditionalFormatting sqref="C481">
    <cfRule type="containsText" dxfId="9283" priority="5247" operator="containsText" text="Einnahmen">
      <formula>NOT(ISERROR(SEARCH("Einnahmen",C481)))</formula>
    </cfRule>
    <cfRule type="containsText" dxfId="9282" priority="5248" operator="containsText" text="Ausgaben">
      <formula>NOT(ISERROR(SEARCH("Ausgaben",C481)))</formula>
    </cfRule>
  </conditionalFormatting>
  <conditionalFormatting sqref="J481">
    <cfRule type="cellIs" dxfId="9281" priority="5245" operator="equal">
      <formula>"ja"</formula>
    </cfRule>
  </conditionalFormatting>
  <conditionalFormatting sqref="T481">
    <cfRule type="expression" dxfId="9280" priority="5244">
      <formula>AND(AND($W481&lt;TODAY(),$W481&lt;&gt;""),$X481="")</formula>
    </cfRule>
  </conditionalFormatting>
  <conditionalFormatting sqref="Z481">
    <cfRule type="dataBar" priority="5243">
      <dataBar>
        <cfvo type="min"/>
        <cfvo type="max"/>
        <color rgb="FF63C384"/>
      </dataBar>
      <extLst>
        <ext xmlns:x14="http://schemas.microsoft.com/office/spreadsheetml/2009/9/main" uri="{B025F937-C7B1-47D3-B67F-A62EFF666E3E}">
          <x14:id>{8484345E-61FC-497A-A7D8-CC23C8646D9D}</x14:id>
        </ext>
      </extLst>
    </cfRule>
  </conditionalFormatting>
  <conditionalFormatting sqref="Z481">
    <cfRule type="dataBar" priority="5242">
      <dataBar>
        <cfvo type="min"/>
        <cfvo type="max"/>
        <color rgb="FF63C384"/>
      </dataBar>
      <extLst>
        <ext xmlns:x14="http://schemas.microsoft.com/office/spreadsheetml/2009/9/main" uri="{B025F937-C7B1-47D3-B67F-A62EFF666E3E}">
          <x14:id>{2F267ADD-66C0-4B7C-82B0-3DC747712E8A}</x14:id>
        </ext>
      </extLst>
    </cfRule>
  </conditionalFormatting>
  <conditionalFormatting sqref="C480">
    <cfRule type="containsText" dxfId="9279" priority="5240" operator="containsText" text="Einnahmen">
      <formula>NOT(ISERROR(SEARCH("Einnahmen",C480)))</formula>
    </cfRule>
    <cfRule type="containsText" dxfId="9278" priority="5241" operator="containsText" text="Ausgaben">
      <formula>NOT(ISERROR(SEARCH("Ausgaben",C480)))</formula>
    </cfRule>
  </conditionalFormatting>
  <conditionalFormatting sqref="J480">
    <cfRule type="cellIs" dxfId="9277" priority="5238" operator="equal">
      <formula>"ja"</formula>
    </cfRule>
  </conditionalFormatting>
  <conditionalFormatting sqref="T480">
    <cfRule type="expression" dxfId="9276" priority="5237">
      <formula>AND(AND($W480&lt;TODAY(),$W480&lt;&gt;""),$X480="")</formula>
    </cfRule>
  </conditionalFormatting>
  <conditionalFormatting sqref="Z480">
    <cfRule type="dataBar" priority="5236">
      <dataBar>
        <cfvo type="min"/>
        <cfvo type="max"/>
        <color rgb="FF63C384"/>
      </dataBar>
      <extLst>
        <ext xmlns:x14="http://schemas.microsoft.com/office/spreadsheetml/2009/9/main" uri="{B025F937-C7B1-47D3-B67F-A62EFF666E3E}">
          <x14:id>{A7D417A6-1E57-4456-915D-CFEBFCF7802D}</x14:id>
        </ext>
      </extLst>
    </cfRule>
  </conditionalFormatting>
  <conditionalFormatting sqref="Z480">
    <cfRule type="dataBar" priority="5235">
      <dataBar>
        <cfvo type="min"/>
        <cfvo type="max"/>
        <color rgb="FF63C384"/>
      </dataBar>
      <extLst>
        <ext xmlns:x14="http://schemas.microsoft.com/office/spreadsheetml/2009/9/main" uri="{B025F937-C7B1-47D3-B67F-A62EFF666E3E}">
          <x14:id>{E369A7AB-9EF8-48A8-B183-38987C7B9CEF}</x14:id>
        </ext>
      </extLst>
    </cfRule>
  </conditionalFormatting>
  <conditionalFormatting sqref="C481">
    <cfRule type="containsText" dxfId="9275" priority="5233" operator="containsText" text="Einnahmen">
      <formula>NOT(ISERROR(SEARCH("Einnahmen",C481)))</formula>
    </cfRule>
    <cfRule type="containsText" dxfId="9274" priority="5234" operator="containsText" text="Ausgaben">
      <formula>NOT(ISERROR(SEARCH("Ausgaben",C481)))</formula>
    </cfRule>
  </conditionalFormatting>
  <conditionalFormatting sqref="J481">
    <cfRule type="cellIs" dxfId="9273" priority="5232" operator="equal">
      <formula>"ja"</formula>
    </cfRule>
  </conditionalFormatting>
  <conditionalFormatting sqref="T481">
    <cfRule type="expression" dxfId="9272" priority="5231">
      <formula>AND(AND($W481&lt;TODAY(),$W481&lt;&gt;""),$X481="")</formula>
    </cfRule>
  </conditionalFormatting>
  <conditionalFormatting sqref="Z481">
    <cfRule type="dataBar" priority="5230">
      <dataBar>
        <cfvo type="min"/>
        <cfvo type="max"/>
        <color rgb="FF63C384"/>
      </dataBar>
      <extLst>
        <ext xmlns:x14="http://schemas.microsoft.com/office/spreadsheetml/2009/9/main" uri="{B025F937-C7B1-47D3-B67F-A62EFF666E3E}">
          <x14:id>{7B5402EB-31F5-4ABC-B2B2-317C3C407265}</x14:id>
        </ext>
      </extLst>
    </cfRule>
  </conditionalFormatting>
  <conditionalFormatting sqref="Z481">
    <cfRule type="dataBar" priority="5229">
      <dataBar>
        <cfvo type="min"/>
        <cfvo type="max"/>
        <color rgb="FF63C384"/>
      </dataBar>
      <extLst>
        <ext xmlns:x14="http://schemas.microsoft.com/office/spreadsheetml/2009/9/main" uri="{B025F937-C7B1-47D3-B67F-A62EFF666E3E}">
          <x14:id>{A5A2703D-97C0-435D-8A24-2E83B6C93160}</x14:id>
        </ext>
      </extLst>
    </cfRule>
  </conditionalFormatting>
  <conditionalFormatting sqref="C482">
    <cfRule type="containsText" dxfId="9271" priority="5226" operator="containsText" text="Einnahmen">
      <formula>NOT(ISERROR(SEARCH("Einnahmen",C482)))</formula>
    </cfRule>
    <cfRule type="containsText" dxfId="9270" priority="5227" operator="containsText" text="Ausgaben">
      <formula>NOT(ISERROR(SEARCH("Ausgaben",C482)))</formula>
    </cfRule>
  </conditionalFormatting>
  <conditionalFormatting sqref="J482">
    <cfRule type="cellIs" dxfId="9269" priority="5224" operator="equal">
      <formula>"ja"</formula>
    </cfRule>
  </conditionalFormatting>
  <conditionalFormatting sqref="T482">
    <cfRule type="expression" dxfId="9268" priority="5223">
      <formula>AND(AND($W482&lt;TODAY(),$W482&lt;&gt;""),$X482="")</formula>
    </cfRule>
  </conditionalFormatting>
  <conditionalFormatting sqref="Z482">
    <cfRule type="dataBar" priority="5222">
      <dataBar>
        <cfvo type="min"/>
        <cfvo type="max"/>
        <color rgb="FF63C384"/>
      </dataBar>
      <extLst>
        <ext xmlns:x14="http://schemas.microsoft.com/office/spreadsheetml/2009/9/main" uri="{B025F937-C7B1-47D3-B67F-A62EFF666E3E}">
          <x14:id>{FF94995E-FBE4-4E1F-A6C3-1D23E988503B}</x14:id>
        </ext>
      </extLst>
    </cfRule>
  </conditionalFormatting>
  <conditionalFormatting sqref="Z482">
    <cfRule type="dataBar" priority="5221">
      <dataBar>
        <cfvo type="min"/>
        <cfvo type="max"/>
        <color rgb="FF63C384"/>
      </dataBar>
      <extLst>
        <ext xmlns:x14="http://schemas.microsoft.com/office/spreadsheetml/2009/9/main" uri="{B025F937-C7B1-47D3-B67F-A62EFF666E3E}">
          <x14:id>{3F1A9DC3-2C13-4901-84ED-E6359C535842}</x14:id>
        </ext>
      </extLst>
    </cfRule>
  </conditionalFormatting>
  <conditionalFormatting sqref="T479">
    <cfRule type="expression" dxfId="9267" priority="5220">
      <formula>AND(AND($W479&lt;TODAY(),$W479&lt;&gt;""),$X479="")</formula>
    </cfRule>
  </conditionalFormatting>
  <conditionalFormatting sqref="Z479">
    <cfRule type="dataBar" priority="5218">
      <dataBar>
        <cfvo type="min"/>
        <cfvo type="max"/>
        <color rgb="FF63C384"/>
      </dataBar>
      <extLst>
        <ext xmlns:x14="http://schemas.microsoft.com/office/spreadsheetml/2009/9/main" uri="{B025F937-C7B1-47D3-B67F-A62EFF666E3E}">
          <x14:id>{24D428F1-2672-4FCB-842E-AB84DAB8A05C}</x14:id>
        </ext>
      </extLst>
    </cfRule>
  </conditionalFormatting>
  <conditionalFormatting sqref="Z479">
    <cfRule type="dataBar" priority="5217">
      <dataBar>
        <cfvo type="min"/>
        <cfvo type="max"/>
        <color rgb="FF63C384"/>
      </dataBar>
      <extLst>
        <ext xmlns:x14="http://schemas.microsoft.com/office/spreadsheetml/2009/9/main" uri="{B025F937-C7B1-47D3-B67F-A62EFF666E3E}">
          <x14:id>{00C2FE0D-1D4D-4AB1-BB55-C54594A38C48}</x14:id>
        </ext>
      </extLst>
    </cfRule>
  </conditionalFormatting>
  <conditionalFormatting sqref="C479">
    <cfRule type="containsText" dxfId="9266" priority="5214" operator="containsText" text="Einnahmen">
      <formula>NOT(ISERROR(SEARCH("Einnahmen",C479)))</formula>
    </cfRule>
    <cfRule type="containsText" dxfId="9265" priority="5215" operator="containsText" text="Ausgaben">
      <formula>NOT(ISERROR(SEARCH("Ausgaben",C479)))</formula>
    </cfRule>
  </conditionalFormatting>
  <conditionalFormatting sqref="J478">
    <cfRule type="cellIs" dxfId="9264" priority="5213" operator="equal">
      <formula>"ja"</formula>
    </cfRule>
  </conditionalFormatting>
  <conditionalFormatting sqref="T478">
    <cfRule type="expression" dxfId="9263" priority="5212">
      <formula>AND(AND($W478&lt;TODAY(),$W478&lt;&gt;""),$X478="")</formula>
    </cfRule>
  </conditionalFormatting>
  <conditionalFormatting sqref="Z478">
    <cfRule type="dataBar" priority="5211">
      <dataBar>
        <cfvo type="min"/>
        <cfvo type="max"/>
        <color rgb="FF63C384"/>
      </dataBar>
      <extLst>
        <ext xmlns:x14="http://schemas.microsoft.com/office/spreadsheetml/2009/9/main" uri="{B025F937-C7B1-47D3-B67F-A62EFF666E3E}">
          <x14:id>{F083CE6B-9B59-43D5-9F92-1FAE318DC505}</x14:id>
        </ext>
      </extLst>
    </cfRule>
  </conditionalFormatting>
  <conditionalFormatting sqref="Z478">
    <cfRule type="dataBar" priority="5210">
      <dataBar>
        <cfvo type="min"/>
        <cfvo type="max"/>
        <color rgb="FF63C384"/>
      </dataBar>
      <extLst>
        <ext xmlns:x14="http://schemas.microsoft.com/office/spreadsheetml/2009/9/main" uri="{B025F937-C7B1-47D3-B67F-A62EFF666E3E}">
          <x14:id>{40D8A4AE-45CE-4C9E-BA09-0C06EAEFA418}</x14:id>
        </ext>
      </extLst>
    </cfRule>
  </conditionalFormatting>
  <conditionalFormatting sqref="J477">
    <cfRule type="cellIs" dxfId="9262" priority="5209" operator="equal">
      <formula>"ja"</formula>
    </cfRule>
  </conditionalFormatting>
  <conditionalFormatting sqref="T477">
    <cfRule type="expression" dxfId="9261" priority="5208">
      <formula>AND(AND($W477&lt;TODAY(),$W477&lt;&gt;""),$X477="")</formula>
    </cfRule>
  </conditionalFormatting>
  <conditionalFormatting sqref="Z477">
    <cfRule type="dataBar" priority="5207">
      <dataBar>
        <cfvo type="min"/>
        <cfvo type="max"/>
        <color rgb="FF63C384"/>
      </dataBar>
      <extLst>
        <ext xmlns:x14="http://schemas.microsoft.com/office/spreadsheetml/2009/9/main" uri="{B025F937-C7B1-47D3-B67F-A62EFF666E3E}">
          <x14:id>{6492F5E3-83FF-49AE-821B-9640C24276BB}</x14:id>
        </ext>
      </extLst>
    </cfRule>
  </conditionalFormatting>
  <conditionalFormatting sqref="Z477">
    <cfRule type="dataBar" priority="5206">
      <dataBar>
        <cfvo type="min"/>
        <cfvo type="max"/>
        <color rgb="FF63C384"/>
      </dataBar>
      <extLst>
        <ext xmlns:x14="http://schemas.microsoft.com/office/spreadsheetml/2009/9/main" uri="{B025F937-C7B1-47D3-B67F-A62EFF666E3E}">
          <x14:id>{6261E46E-0DE5-42FB-9655-4AA3E7AD84B7}</x14:id>
        </ext>
      </extLst>
    </cfRule>
  </conditionalFormatting>
  <conditionalFormatting sqref="T483">
    <cfRule type="expression" dxfId="9260" priority="5204">
      <formula>AND(AND($W483&lt;TODAY(),$W483&lt;&gt;""),$X483="")</formula>
    </cfRule>
  </conditionalFormatting>
  <conditionalFormatting sqref="C483">
    <cfRule type="containsText" dxfId="9259" priority="5202" operator="containsText" text="Einnahmen">
      <formula>NOT(ISERROR(SEARCH("Einnahmen",C483)))</formula>
    </cfRule>
    <cfRule type="containsText" dxfId="9258" priority="5203" operator="containsText" text="Ausgaben">
      <formula>NOT(ISERROR(SEARCH("Ausgaben",C483)))</formula>
    </cfRule>
  </conditionalFormatting>
  <conditionalFormatting sqref="J483">
    <cfRule type="cellIs" dxfId="9257" priority="5200" operator="equal">
      <formula>"ja"</formula>
    </cfRule>
  </conditionalFormatting>
  <conditionalFormatting sqref="Z483">
    <cfRule type="dataBar" priority="5199">
      <dataBar>
        <cfvo type="min"/>
        <cfvo type="max"/>
        <color rgb="FF63C384"/>
      </dataBar>
      <extLst>
        <ext xmlns:x14="http://schemas.microsoft.com/office/spreadsheetml/2009/9/main" uri="{B025F937-C7B1-47D3-B67F-A62EFF666E3E}">
          <x14:id>{6260B99C-21BD-4793-8AA6-E7FFEF30AB05}</x14:id>
        </ext>
      </extLst>
    </cfRule>
  </conditionalFormatting>
  <conditionalFormatting sqref="Z483">
    <cfRule type="dataBar" priority="5198">
      <dataBar>
        <cfvo type="min"/>
        <cfvo type="max"/>
        <color rgb="FF63C384"/>
      </dataBar>
      <extLst>
        <ext xmlns:x14="http://schemas.microsoft.com/office/spreadsheetml/2009/9/main" uri="{B025F937-C7B1-47D3-B67F-A62EFF666E3E}">
          <x14:id>{308CBF1A-61F0-4BB5-8C20-9106AE748F78}</x14:id>
        </ext>
      </extLst>
    </cfRule>
  </conditionalFormatting>
  <conditionalFormatting sqref="T484">
    <cfRule type="expression" dxfId="9256" priority="5197">
      <formula>AND(AND($W484&lt;TODAY(),$W484&lt;&gt;""),$X484="")</formula>
    </cfRule>
  </conditionalFormatting>
  <conditionalFormatting sqref="J484">
    <cfRule type="cellIs" dxfId="9255" priority="5196" operator="equal">
      <formula>"ja"</formula>
    </cfRule>
  </conditionalFormatting>
  <conditionalFormatting sqref="Z484">
    <cfRule type="dataBar" priority="5195">
      <dataBar>
        <cfvo type="min"/>
        <cfvo type="max"/>
        <color rgb="FF63C384"/>
      </dataBar>
      <extLst>
        <ext xmlns:x14="http://schemas.microsoft.com/office/spreadsheetml/2009/9/main" uri="{B025F937-C7B1-47D3-B67F-A62EFF666E3E}">
          <x14:id>{41CFF452-50F7-43A4-8E8F-5F87DA444838}</x14:id>
        </ext>
      </extLst>
    </cfRule>
  </conditionalFormatting>
  <conditionalFormatting sqref="Z484">
    <cfRule type="dataBar" priority="5194">
      <dataBar>
        <cfvo type="min"/>
        <cfvo type="max"/>
        <color rgb="FF63C384"/>
      </dataBar>
      <extLst>
        <ext xmlns:x14="http://schemas.microsoft.com/office/spreadsheetml/2009/9/main" uri="{B025F937-C7B1-47D3-B67F-A62EFF666E3E}">
          <x14:id>{E19DFF0B-C7EE-431E-BF84-1CBEBB9AD520}</x14:id>
        </ext>
      </extLst>
    </cfRule>
  </conditionalFormatting>
  <conditionalFormatting sqref="T485">
    <cfRule type="expression" dxfId="9254" priority="5193">
      <formula>AND(AND($W485&lt;TODAY(),$W485&lt;&gt;""),$X485="")</formula>
    </cfRule>
  </conditionalFormatting>
  <conditionalFormatting sqref="J485">
    <cfRule type="cellIs" dxfId="9253" priority="5192" operator="equal">
      <formula>"ja"</formula>
    </cfRule>
  </conditionalFormatting>
  <conditionalFormatting sqref="Z485">
    <cfRule type="dataBar" priority="5191">
      <dataBar>
        <cfvo type="min"/>
        <cfvo type="max"/>
        <color rgb="FF63C384"/>
      </dataBar>
      <extLst>
        <ext xmlns:x14="http://schemas.microsoft.com/office/spreadsheetml/2009/9/main" uri="{B025F937-C7B1-47D3-B67F-A62EFF666E3E}">
          <x14:id>{D7380EA0-EFB1-42BE-ADC1-6D5F2D6EBA4B}</x14:id>
        </ext>
      </extLst>
    </cfRule>
  </conditionalFormatting>
  <conditionalFormatting sqref="Z485">
    <cfRule type="dataBar" priority="5190">
      <dataBar>
        <cfvo type="min"/>
        <cfvo type="max"/>
        <color rgb="FF63C384"/>
      </dataBar>
      <extLst>
        <ext xmlns:x14="http://schemas.microsoft.com/office/spreadsheetml/2009/9/main" uri="{B025F937-C7B1-47D3-B67F-A62EFF666E3E}">
          <x14:id>{2535659D-AFBC-4DBF-9743-C003C6D448AE}</x14:id>
        </ext>
      </extLst>
    </cfRule>
  </conditionalFormatting>
  <conditionalFormatting sqref="C485">
    <cfRule type="containsText" dxfId="9252" priority="5187" operator="containsText" text="Einnahmen">
      <formula>NOT(ISERROR(SEARCH("Einnahmen",C485)))</formula>
    </cfRule>
    <cfRule type="containsText" dxfId="9251" priority="5188" operator="containsText" text="Ausgaben">
      <formula>NOT(ISERROR(SEARCH("Ausgaben",C485)))</formula>
    </cfRule>
  </conditionalFormatting>
  <conditionalFormatting sqref="T486">
    <cfRule type="expression" dxfId="9250" priority="5186">
      <formula>AND(AND($W486&lt;TODAY(),$W486&lt;&gt;""),$X486="")</formula>
    </cfRule>
  </conditionalFormatting>
  <conditionalFormatting sqref="Z486">
    <cfRule type="dataBar" priority="5185">
      <dataBar>
        <cfvo type="min"/>
        <cfvo type="max"/>
        <color rgb="FF63C384"/>
      </dataBar>
      <extLst>
        <ext xmlns:x14="http://schemas.microsoft.com/office/spreadsheetml/2009/9/main" uri="{B025F937-C7B1-47D3-B67F-A62EFF666E3E}">
          <x14:id>{62BFD850-287E-4804-86FB-CCF878489A04}</x14:id>
        </ext>
      </extLst>
    </cfRule>
  </conditionalFormatting>
  <conditionalFormatting sqref="Z486">
    <cfRule type="dataBar" priority="5184">
      <dataBar>
        <cfvo type="min"/>
        <cfvo type="max"/>
        <color rgb="FF63C384"/>
      </dataBar>
      <extLst>
        <ext xmlns:x14="http://schemas.microsoft.com/office/spreadsheetml/2009/9/main" uri="{B025F937-C7B1-47D3-B67F-A62EFF666E3E}">
          <x14:id>{10C3C89E-A379-4048-8F73-267E531963C0}</x14:id>
        </ext>
      </extLst>
    </cfRule>
  </conditionalFormatting>
  <conditionalFormatting sqref="C487">
    <cfRule type="containsText" dxfId="9249" priority="5182" operator="containsText" text="Einnahmen">
      <formula>NOT(ISERROR(SEARCH("Einnahmen",C487)))</formula>
    </cfRule>
    <cfRule type="containsText" dxfId="9248" priority="5183" operator="containsText" text="Ausgaben">
      <formula>NOT(ISERROR(SEARCH("Ausgaben",C487)))</formula>
    </cfRule>
  </conditionalFormatting>
  <conditionalFormatting sqref="J487">
    <cfRule type="cellIs" dxfId="9247" priority="5181" operator="equal">
      <formula>"ja"</formula>
    </cfRule>
  </conditionalFormatting>
  <conditionalFormatting sqref="T487">
    <cfRule type="expression" dxfId="9246" priority="5180">
      <formula>AND(AND($W487&lt;TODAY(),$W487&lt;&gt;""),$X487="")</formula>
    </cfRule>
  </conditionalFormatting>
  <conditionalFormatting sqref="Z487">
    <cfRule type="dataBar" priority="5179">
      <dataBar>
        <cfvo type="min"/>
        <cfvo type="max"/>
        <color rgb="FF63C384"/>
      </dataBar>
      <extLst>
        <ext xmlns:x14="http://schemas.microsoft.com/office/spreadsheetml/2009/9/main" uri="{B025F937-C7B1-47D3-B67F-A62EFF666E3E}">
          <x14:id>{D7E64595-2980-47FE-B449-43F937F934BD}</x14:id>
        </ext>
      </extLst>
    </cfRule>
  </conditionalFormatting>
  <conditionalFormatting sqref="Z487">
    <cfRule type="dataBar" priority="5178">
      <dataBar>
        <cfvo type="min"/>
        <cfvo type="max"/>
        <color rgb="FF63C384"/>
      </dataBar>
      <extLst>
        <ext xmlns:x14="http://schemas.microsoft.com/office/spreadsheetml/2009/9/main" uri="{B025F937-C7B1-47D3-B67F-A62EFF666E3E}">
          <x14:id>{456DE03C-87D4-47B0-B7D1-F0CC433486B1}</x14:id>
        </ext>
      </extLst>
    </cfRule>
  </conditionalFormatting>
  <conditionalFormatting sqref="C488">
    <cfRule type="containsText" dxfId="9245" priority="5175" operator="containsText" text="Einnahmen">
      <formula>NOT(ISERROR(SEARCH("Einnahmen",C488)))</formula>
    </cfRule>
    <cfRule type="containsText" dxfId="9244" priority="5176" operator="containsText" text="Ausgaben">
      <formula>NOT(ISERROR(SEARCH("Ausgaben",C488)))</formula>
    </cfRule>
  </conditionalFormatting>
  <conditionalFormatting sqref="J488">
    <cfRule type="cellIs" dxfId="9243" priority="5174" operator="equal">
      <formula>"ja"</formula>
    </cfRule>
  </conditionalFormatting>
  <conditionalFormatting sqref="T488">
    <cfRule type="expression" dxfId="9242" priority="5173">
      <formula>AND(AND($W488&lt;TODAY(),$W488&lt;&gt;""),$X488="")</formula>
    </cfRule>
  </conditionalFormatting>
  <conditionalFormatting sqref="Z488">
    <cfRule type="dataBar" priority="5172">
      <dataBar>
        <cfvo type="min"/>
        <cfvo type="max"/>
        <color rgb="FF63C384"/>
      </dataBar>
      <extLst>
        <ext xmlns:x14="http://schemas.microsoft.com/office/spreadsheetml/2009/9/main" uri="{B025F937-C7B1-47D3-B67F-A62EFF666E3E}">
          <x14:id>{B47236B4-CBF0-4A14-93A4-39B9150BC3E7}</x14:id>
        </ext>
      </extLst>
    </cfRule>
  </conditionalFormatting>
  <conditionalFormatting sqref="Z488">
    <cfRule type="dataBar" priority="5171">
      <dataBar>
        <cfvo type="min"/>
        <cfvo type="max"/>
        <color rgb="FF63C384"/>
      </dataBar>
      <extLst>
        <ext xmlns:x14="http://schemas.microsoft.com/office/spreadsheetml/2009/9/main" uri="{B025F937-C7B1-47D3-B67F-A62EFF666E3E}">
          <x14:id>{4955D0A2-6C87-42FF-88CA-B9B4AC198C1B}</x14:id>
        </ext>
      </extLst>
    </cfRule>
  </conditionalFormatting>
  <conditionalFormatting sqref="C489">
    <cfRule type="containsText" dxfId="9241" priority="5169" operator="containsText" text="Einnahmen">
      <formula>NOT(ISERROR(SEARCH("Einnahmen",C489)))</formula>
    </cfRule>
    <cfRule type="containsText" dxfId="9240" priority="5170" operator="containsText" text="Ausgaben">
      <formula>NOT(ISERROR(SEARCH("Ausgaben",C489)))</formula>
    </cfRule>
  </conditionalFormatting>
  <conditionalFormatting sqref="J489">
    <cfRule type="cellIs" dxfId="9239" priority="5167" operator="equal">
      <formula>"ja"</formula>
    </cfRule>
  </conditionalFormatting>
  <conditionalFormatting sqref="T489">
    <cfRule type="expression" dxfId="9238" priority="5166">
      <formula>AND(AND($W489&lt;TODAY(),$W489&lt;&gt;""),$X489="")</formula>
    </cfRule>
  </conditionalFormatting>
  <conditionalFormatting sqref="Z489">
    <cfRule type="dataBar" priority="5165">
      <dataBar>
        <cfvo type="min"/>
        <cfvo type="max"/>
        <color rgb="FF63C384"/>
      </dataBar>
      <extLst>
        <ext xmlns:x14="http://schemas.microsoft.com/office/spreadsheetml/2009/9/main" uri="{B025F937-C7B1-47D3-B67F-A62EFF666E3E}">
          <x14:id>{25C4A0C9-CD4C-41C3-85A7-2309E0EC5D90}</x14:id>
        </ext>
      </extLst>
    </cfRule>
  </conditionalFormatting>
  <conditionalFormatting sqref="Z489">
    <cfRule type="dataBar" priority="5164">
      <dataBar>
        <cfvo type="min"/>
        <cfvo type="max"/>
        <color rgb="FF63C384"/>
      </dataBar>
      <extLst>
        <ext xmlns:x14="http://schemas.microsoft.com/office/spreadsheetml/2009/9/main" uri="{B025F937-C7B1-47D3-B67F-A62EFF666E3E}">
          <x14:id>{5667F865-1C10-45B7-9F7C-0032267D9F79}</x14:id>
        </ext>
      </extLst>
    </cfRule>
  </conditionalFormatting>
  <conditionalFormatting sqref="T490">
    <cfRule type="expression" dxfId="9237" priority="5163">
      <formula>AND(AND($W490&lt;TODAY(),$W490&lt;&gt;""),$X490="")</formula>
    </cfRule>
  </conditionalFormatting>
  <conditionalFormatting sqref="J490">
    <cfRule type="cellIs" dxfId="9236" priority="5162" operator="equal">
      <formula>"ja"</formula>
    </cfRule>
  </conditionalFormatting>
  <conditionalFormatting sqref="Z490">
    <cfRule type="dataBar" priority="5161">
      <dataBar>
        <cfvo type="min"/>
        <cfvo type="max"/>
        <color rgb="FF63C384"/>
      </dataBar>
      <extLst>
        <ext xmlns:x14="http://schemas.microsoft.com/office/spreadsheetml/2009/9/main" uri="{B025F937-C7B1-47D3-B67F-A62EFF666E3E}">
          <x14:id>{16DF8DBD-AB7C-4C56-8004-7DFF809858CF}</x14:id>
        </ext>
      </extLst>
    </cfRule>
  </conditionalFormatting>
  <conditionalFormatting sqref="Z490">
    <cfRule type="dataBar" priority="5160">
      <dataBar>
        <cfvo type="min"/>
        <cfvo type="max"/>
        <color rgb="FF63C384"/>
      </dataBar>
      <extLst>
        <ext xmlns:x14="http://schemas.microsoft.com/office/spreadsheetml/2009/9/main" uri="{B025F937-C7B1-47D3-B67F-A62EFF666E3E}">
          <x14:id>{EDD09E36-BAE0-461C-BACF-C88DB4ACFB68}</x14:id>
        </ext>
      </extLst>
    </cfRule>
  </conditionalFormatting>
  <conditionalFormatting sqref="J491">
    <cfRule type="cellIs" dxfId="9235" priority="5158" operator="equal">
      <formula>"ja"</formula>
    </cfRule>
  </conditionalFormatting>
  <conditionalFormatting sqref="C491">
    <cfRule type="containsText" dxfId="9234" priority="5156" operator="containsText" text="Einnahmen">
      <formula>NOT(ISERROR(SEARCH("Einnahmen",C491)))</formula>
    </cfRule>
    <cfRule type="containsText" dxfId="9233" priority="5157" operator="containsText" text="Ausgaben">
      <formula>NOT(ISERROR(SEARCH("Ausgaben",C491)))</formula>
    </cfRule>
  </conditionalFormatting>
  <conditionalFormatting sqref="T491">
    <cfRule type="expression" dxfId="9232" priority="5155">
      <formula>AND(AND($W491&lt;TODAY(),$W491&lt;&gt;""),$X491="")</formula>
    </cfRule>
  </conditionalFormatting>
  <conditionalFormatting sqref="Z491">
    <cfRule type="dataBar" priority="5154">
      <dataBar>
        <cfvo type="min"/>
        <cfvo type="max"/>
        <color rgb="FF63C384"/>
      </dataBar>
      <extLst>
        <ext xmlns:x14="http://schemas.microsoft.com/office/spreadsheetml/2009/9/main" uri="{B025F937-C7B1-47D3-B67F-A62EFF666E3E}">
          <x14:id>{BF62DB8F-F642-41FD-96D7-0A4737A13D86}</x14:id>
        </ext>
      </extLst>
    </cfRule>
  </conditionalFormatting>
  <conditionalFormatting sqref="Z491">
    <cfRule type="dataBar" priority="5153">
      <dataBar>
        <cfvo type="min"/>
        <cfvo type="max"/>
        <color rgb="FF63C384"/>
      </dataBar>
      <extLst>
        <ext xmlns:x14="http://schemas.microsoft.com/office/spreadsheetml/2009/9/main" uri="{B025F937-C7B1-47D3-B67F-A62EFF666E3E}">
          <x14:id>{74B04A5D-6923-49BE-B15E-CDF991B96CBB}</x14:id>
        </ext>
      </extLst>
    </cfRule>
  </conditionalFormatting>
  <conditionalFormatting sqref="C492">
    <cfRule type="containsText" dxfId="9231" priority="5151" operator="containsText" text="Einnahmen">
      <formula>NOT(ISERROR(SEARCH("Einnahmen",C492)))</formula>
    </cfRule>
    <cfRule type="containsText" dxfId="9230" priority="5152" operator="containsText" text="Ausgaben">
      <formula>NOT(ISERROR(SEARCH("Ausgaben",C492)))</formula>
    </cfRule>
  </conditionalFormatting>
  <conditionalFormatting sqref="T492">
    <cfRule type="expression" dxfId="9229" priority="5148">
      <formula>AND(AND($W492&lt;TODAY(),$W492&lt;&gt;""),$X492="")</formula>
    </cfRule>
  </conditionalFormatting>
  <conditionalFormatting sqref="Z492">
    <cfRule type="dataBar" priority="5147">
      <dataBar>
        <cfvo type="min"/>
        <cfvo type="max"/>
        <color rgb="FF63C384"/>
      </dataBar>
      <extLst>
        <ext xmlns:x14="http://schemas.microsoft.com/office/spreadsheetml/2009/9/main" uri="{B025F937-C7B1-47D3-B67F-A62EFF666E3E}">
          <x14:id>{5B292535-270D-468F-94E4-3054175F38D4}</x14:id>
        </ext>
      </extLst>
    </cfRule>
  </conditionalFormatting>
  <conditionalFormatting sqref="Z492">
    <cfRule type="dataBar" priority="5146">
      <dataBar>
        <cfvo type="min"/>
        <cfvo type="max"/>
        <color rgb="FF63C384"/>
      </dataBar>
      <extLst>
        <ext xmlns:x14="http://schemas.microsoft.com/office/spreadsheetml/2009/9/main" uri="{B025F937-C7B1-47D3-B67F-A62EFF666E3E}">
          <x14:id>{662C2067-8131-4D44-AFE6-9D30A6AE4110}</x14:id>
        </ext>
      </extLst>
    </cfRule>
  </conditionalFormatting>
  <conditionalFormatting sqref="C493">
    <cfRule type="containsText" dxfId="9228" priority="5144" operator="containsText" text="Einnahmen">
      <formula>NOT(ISERROR(SEARCH("Einnahmen",C493)))</formula>
    </cfRule>
    <cfRule type="containsText" dxfId="9227" priority="5145" operator="containsText" text="Ausgaben">
      <formula>NOT(ISERROR(SEARCH("Ausgaben",C493)))</formula>
    </cfRule>
  </conditionalFormatting>
  <conditionalFormatting sqref="T493">
    <cfRule type="expression" dxfId="9226" priority="5143">
      <formula>AND(AND($W493&lt;TODAY(),$W493&lt;&gt;""),$X493="")</formula>
    </cfRule>
  </conditionalFormatting>
  <conditionalFormatting sqref="J493">
    <cfRule type="cellIs" dxfId="9225" priority="5141" operator="equal">
      <formula>"ja"</formula>
    </cfRule>
  </conditionalFormatting>
  <conditionalFormatting sqref="Z493">
    <cfRule type="dataBar" priority="5140">
      <dataBar>
        <cfvo type="min"/>
        <cfvo type="max"/>
        <color rgb="FF63C384"/>
      </dataBar>
      <extLst>
        <ext xmlns:x14="http://schemas.microsoft.com/office/spreadsheetml/2009/9/main" uri="{B025F937-C7B1-47D3-B67F-A62EFF666E3E}">
          <x14:id>{7626CFD9-C55F-49B2-A1BE-0C04C960C478}</x14:id>
        </ext>
      </extLst>
    </cfRule>
  </conditionalFormatting>
  <conditionalFormatting sqref="Z493">
    <cfRule type="dataBar" priority="5139">
      <dataBar>
        <cfvo type="min"/>
        <cfvo type="max"/>
        <color rgb="FF63C384"/>
      </dataBar>
      <extLst>
        <ext xmlns:x14="http://schemas.microsoft.com/office/spreadsheetml/2009/9/main" uri="{B025F937-C7B1-47D3-B67F-A62EFF666E3E}">
          <x14:id>{6F43018B-4C63-44C1-BCFB-3B1C43EB8962}</x14:id>
        </ext>
      </extLst>
    </cfRule>
  </conditionalFormatting>
  <conditionalFormatting sqref="C494">
    <cfRule type="containsText" dxfId="9224" priority="5137" operator="containsText" text="Einnahmen">
      <formula>NOT(ISERROR(SEARCH("Einnahmen",C494)))</formula>
    </cfRule>
    <cfRule type="containsText" dxfId="9223" priority="5138" operator="containsText" text="Ausgaben">
      <formula>NOT(ISERROR(SEARCH("Ausgaben",C494)))</formula>
    </cfRule>
  </conditionalFormatting>
  <conditionalFormatting sqref="T494">
    <cfRule type="expression" dxfId="9222" priority="5136">
      <formula>AND(AND($W494&lt;TODAY(),$W494&lt;&gt;""),$X494="")</formula>
    </cfRule>
  </conditionalFormatting>
  <conditionalFormatting sqref="Z494">
    <cfRule type="dataBar" priority="5135">
      <dataBar>
        <cfvo type="min"/>
        <cfvo type="max"/>
        <color rgb="FF63C384"/>
      </dataBar>
      <extLst>
        <ext xmlns:x14="http://schemas.microsoft.com/office/spreadsheetml/2009/9/main" uri="{B025F937-C7B1-47D3-B67F-A62EFF666E3E}">
          <x14:id>{D34D5ACC-9471-4483-ADAC-47A2C8C5BC46}</x14:id>
        </ext>
      </extLst>
    </cfRule>
  </conditionalFormatting>
  <conditionalFormatting sqref="Z494">
    <cfRule type="dataBar" priority="5134">
      <dataBar>
        <cfvo type="min"/>
        <cfvo type="max"/>
        <color rgb="FF63C384"/>
      </dataBar>
      <extLst>
        <ext xmlns:x14="http://schemas.microsoft.com/office/spreadsheetml/2009/9/main" uri="{B025F937-C7B1-47D3-B67F-A62EFF666E3E}">
          <x14:id>{F1DE646D-6EB0-4E3C-A4BE-5DBA1CB0D740}</x14:id>
        </ext>
      </extLst>
    </cfRule>
  </conditionalFormatting>
  <conditionalFormatting sqref="J494">
    <cfRule type="cellIs" dxfId="9221" priority="5133" operator="equal">
      <formula>"ja"</formula>
    </cfRule>
  </conditionalFormatting>
  <conditionalFormatting sqref="J495">
    <cfRule type="cellIs" dxfId="9220" priority="5131" operator="equal">
      <formula>"ja"</formula>
    </cfRule>
  </conditionalFormatting>
  <conditionalFormatting sqref="C495">
    <cfRule type="containsText" dxfId="9219" priority="5129" operator="containsText" text="Einnahmen">
      <formula>NOT(ISERROR(SEARCH("Einnahmen",C495)))</formula>
    </cfRule>
    <cfRule type="containsText" dxfId="9218" priority="5130" operator="containsText" text="Ausgaben">
      <formula>NOT(ISERROR(SEARCH("Ausgaben",C495)))</formula>
    </cfRule>
  </conditionalFormatting>
  <conditionalFormatting sqref="T495">
    <cfRule type="expression" dxfId="9217" priority="5128">
      <formula>AND(AND($W495&lt;TODAY(),$W495&lt;&gt;""),$X495="")</formula>
    </cfRule>
  </conditionalFormatting>
  <conditionalFormatting sqref="Z495">
    <cfRule type="dataBar" priority="5127">
      <dataBar>
        <cfvo type="min"/>
        <cfvo type="max"/>
        <color rgb="FF63C384"/>
      </dataBar>
      <extLst>
        <ext xmlns:x14="http://schemas.microsoft.com/office/spreadsheetml/2009/9/main" uri="{B025F937-C7B1-47D3-B67F-A62EFF666E3E}">
          <x14:id>{350183C6-A6AF-4D56-865E-E09830607681}</x14:id>
        </ext>
      </extLst>
    </cfRule>
  </conditionalFormatting>
  <conditionalFormatting sqref="Z495">
    <cfRule type="dataBar" priority="5126">
      <dataBar>
        <cfvo type="min"/>
        <cfvo type="max"/>
        <color rgb="FF63C384"/>
      </dataBar>
      <extLst>
        <ext xmlns:x14="http://schemas.microsoft.com/office/spreadsheetml/2009/9/main" uri="{B025F937-C7B1-47D3-B67F-A62EFF666E3E}">
          <x14:id>{637C4508-B603-4374-9C67-4B46FEEDAC89}</x14:id>
        </ext>
      </extLst>
    </cfRule>
  </conditionalFormatting>
  <conditionalFormatting sqref="J496">
    <cfRule type="cellIs" dxfId="9216" priority="5125" operator="equal">
      <formula>"ja"</formula>
    </cfRule>
  </conditionalFormatting>
  <conditionalFormatting sqref="T496">
    <cfRule type="expression" dxfId="9215" priority="5124">
      <formula>AND(AND($W496&lt;TODAY(),$W496&lt;&gt;""),$X496="")</formula>
    </cfRule>
  </conditionalFormatting>
  <conditionalFormatting sqref="Z496">
    <cfRule type="dataBar" priority="5123">
      <dataBar>
        <cfvo type="min"/>
        <cfvo type="max"/>
        <color rgb="FF63C384"/>
      </dataBar>
      <extLst>
        <ext xmlns:x14="http://schemas.microsoft.com/office/spreadsheetml/2009/9/main" uri="{B025F937-C7B1-47D3-B67F-A62EFF666E3E}">
          <x14:id>{3A984478-21AB-40EA-817F-C941A7936D40}</x14:id>
        </ext>
      </extLst>
    </cfRule>
  </conditionalFormatting>
  <conditionalFormatting sqref="Z496">
    <cfRule type="dataBar" priority="5122">
      <dataBar>
        <cfvo type="min"/>
        <cfvo type="max"/>
        <color rgb="FF63C384"/>
      </dataBar>
      <extLst>
        <ext xmlns:x14="http://schemas.microsoft.com/office/spreadsheetml/2009/9/main" uri="{B025F937-C7B1-47D3-B67F-A62EFF666E3E}">
          <x14:id>{60999EA6-A0B8-4BB6-9BC3-7E166676129F}</x14:id>
        </ext>
      </extLst>
    </cfRule>
  </conditionalFormatting>
  <conditionalFormatting sqref="C496">
    <cfRule type="containsText" dxfId="9214" priority="5120" operator="containsText" text="Einnahmen">
      <formula>NOT(ISERROR(SEARCH("Einnahmen",C496)))</formula>
    </cfRule>
    <cfRule type="containsText" dxfId="9213" priority="5121" operator="containsText" text="Ausgaben">
      <formula>NOT(ISERROR(SEARCH("Ausgaben",C496)))</formula>
    </cfRule>
  </conditionalFormatting>
  <conditionalFormatting sqref="C497">
    <cfRule type="containsText" dxfId="9212" priority="5110" operator="containsText" text="Einnahmen">
      <formula>NOT(ISERROR(SEARCH("Einnahmen",C497)))</formula>
    </cfRule>
    <cfRule type="containsText" dxfId="9211" priority="5111" operator="containsText" text="Ausgaben">
      <formula>NOT(ISERROR(SEARCH("Ausgaben",C497)))</formula>
    </cfRule>
  </conditionalFormatting>
  <conditionalFormatting sqref="J497">
    <cfRule type="cellIs" dxfId="9210" priority="5067" operator="equal">
      <formula>"ja"</formula>
    </cfRule>
  </conditionalFormatting>
  <conditionalFormatting sqref="J498">
    <cfRule type="cellIs" dxfId="9209" priority="5102" operator="equal">
      <formula>"ja"</formula>
    </cfRule>
  </conditionalFormatting>
  <conditionalFormatting sqref="T498">
    <cfRule type="expression" dxfId="9208" priority="5101">
      <formula>AND(AND($W498&lt;TODAY(),$W498&lt;&gt;""),$X498="")</formula>
    </cfRule>
  </conditionalFormatting>
  <conditionalFormatting sqref="Z498">
    <cfRule type="dataBar" priority="5100">
      <dataBar>
        <cfvo type="min"/>
        <cfvo type="max"/>
        <color rgb="FF63C384"/>
      </dataBar>
      <extLst>
        <ext xmlns:x14="http://schemas.microsoft.com/office/spreadsheetml/2009/9/main" uri="{B025F937-C7B1-47D3-B67F-A62EFF666E3E}">
          <x14:id>{406B5529-D86A-41ED-904B-CB006A579249}</x14:id>
        </ext>
      </extLst>
    </cfRule>
  </conditionalFormatting>
  <conditionalFormatting sqref="Z498">
    <cfRule type="dataBar" priority="5099">
      <dataBar>
        <cfvo type="min"/>
        <cfvo type="max"/>
        <color rgb="FF63C384"/>
      </dataBar>
      <extLst>
        <ext xmlns:x14="http://schemas.microsoft.com/office/spreadsheetml/2009/9/main" uri="{B025F937-C7B1-47D3-B67F-A62EFF666E3E}">
          <x14:id>{30B929E9-2BE5-476C-A576-0D681376AF64}</x14:id>
        </ext>
      </extLst>
    </cfRule>
  </conditionalFormatting>
  <conditionalFormatting sqref="T498">
    <cfRule type="expression" dxfId="9207" priority="5097">
      <formula>AND(AND($W498&lt;TODAY(),$W498&lt;&gt;""),$X498="")</formula>
    </cfRule>
  </conditionalFormatting>
  <conditionalFormatting sqref="J498">
    <cfRule type="cellIs" dxfId="9206" priority="5096" operator="equal">
      <formula>"ja"</formula>
    </cfRule>
  </conditionalFormatting>
  <conditionalFormatting sqref="Z498">
    <cfRule type="dataBar" priority="5095">
      <dataBar>
        <cfvo type="min"/>
        <cfvo type="max"/>
        <color rgb="FF63C384"/>
      </dataBar>
      <extLst>
        <ext xmlns:x14="http://schemas.microsoft.com/office/spreadsheetml/2009/9/main" uri="{B025F937-C7B1-47D3-B67F-A62EFF666E3E}">
          <x14:id>{2ADDC626-56F7-4CC8-A30D-B0D1E88A7FAF}</x14:id>
        </ext>
      </extLst>
    </cfRule>
  </conditionalFormatting>
  <conditionalFormatting sqref="Z498">
    <cfRule type="dataBar" priority="5094">
      <dataBar>
        <cfvo type="min"/>
        <cfvo type="max"/>
        <color rgb="FF63C384"/>
      </dataBar>
      <extLst>
        <ext xmlns:x14="http://schemas.microsoft.com/office/spreadsheetml/2009/9/main" uri="{B025F937-C7B1-47D3-B67F-A62EFF666E3E}">
          <x14:id>{68E14D7E-32B2-4631-8A90-381CE15D2F05}</x14:id>
        </ext>
      </extLst>
    </cfRule>
  </conditionalFormatting>
  <conditionalFormatting sqref="J499">
    <cfRule type="cellIs" dxfId="9205" priority="5092" operator="equal">
      <formula>"ja"</formula>
    </cfRule>
  </conditionalFormatting>
  <conditionalFormatting sqref="T499">
    <cfRule type="expression" dxfId="9204" priority="5091">
      <formula>AND(AND($W499&lt;TODAY(),$W499&lt;&gt;""),$X499="")</formula>
    </cfRule>
  </conditionalFormatting>
  <conditionalFormatting sqref="Z499">
    <cfRule type="dataBar" priority="5090">
      <dataBar>
        <cfvo type="min"/>
        <cfvo type="max"/>
        <color rgb="FF63C384"/>
      </dataBar>
      <extLst>
        <ext xmlns:x14="http://schemas.microsoft.com/office/spreadsheetml/2009/9/main" uri="{B025F937-C7B1-47D3-B67F-A62EFF666E3E}">
          <x14:id>{400E3B8F-075B-466B-AEC8-6AACEF39D34F}</x14:id>
        </ext>
      </extLst>
    </cfRule>
  </conditionalFormatting>
  <conditionalFormatting sqref="Z499">
    <cfRule type="dataBar" priority="5089">
      <dataBar>
        <cfvo type="min"/>
        <cfvo type="max"/>
        <color rgb="FF63C384"/>
      </dataBar>
      <extLst>
        <ext xmlns:x14="http://schemas.microsoft.com/office/spreadsheetml/2009/9/main" uri="{B025F937-C7B1-47D3-B67F-A62EFF666E3E}">
          <x14:id>{8638DA49-0353-4EE6-A673-D43FAB83AD6B}</x14:id>
        </ext>
      </extLst>
    </cfRule>
  </conditionalFormatting>
  <conditionalFormatting sqref="J497">
    <cfRule type="cellIs" dxfId="9203" priority="5055" operator="equal">
      <formula>"ja"</formula>
    </cfRule>
  </conditionalFormatting>
  <conditionalFormatting sqref="T497">
    <cfRule type="expression" dxfId="9202" priority="5054">
      <formula>AND(AND($W497&lt;TODAY(),$W497&lt;&gt;""),$X497="")</formula>
    </cfRule>
  </conditionalFormatting>
  <conditionalFormatting sqref="T497">
    <cfRule type="expression" dxfId="9201" priority="5066">
      <formula>AND(AND($W497&lt;TODAY(),$W497&lt;&gt;""),$X497="")</formula>
    </cfRule>
  </conditionalFormatting>
  <conditionalFormatting sqref="Z497">
    <cfRule type="dataBar" priority="5065">
      <dataBar>
        <cfvo type="min"/>
        <cfvo type="max"/>
        <color rgb="FF63C384"/>
      </dataBar>
      <extLst>
        <ext xmlns:x14="http://schemas.microsoft.com/office/spreadsheetml/2009/9/main" uri="{B025F937-C7B1-47D3-B67F-A62EFF666E3E}">
          <x14:id>{EFAE2477-891F-4908-8A59-47A235F2F963}</x14:id>
        </ext>
      </extLst>
    </cfRule>
  </conditionalFormatting>
  <conditionalFormatting sqref="Z497">
    <cfRule type="dataBar" priority="5064">
      <dataBar>
        <cfvo type="min"/>
        <cfvo type="max"/>
        <color rgb="FF63C384"/>
      </dataBar>
      <extLst>
        <ext xmlns:x14="http://schemas.microsoft.com/office/spreadsheetml/2009/9/main" uri="{B025F937-C7B1-47D3-B67F-A62EFF666E3E}">
          <x14:id>{720A69AA-47D9-40ED-A399-403EE7995DC4}</x14:id>
        </ext>
      </extLst>
    </cfRule>
  </conditionalFormatting>
  <conditionalFormatting sqref="J497">
    <cfRule type="cellIs" dxfId="9200" priority="5063" operator="equal">
      <formula>"ja"</formula>
    </cfRule>
  </conditionalFormatting>
  <conditionalFormatting sqref="T497">
    <cfRule type="expression" dxfId="9199" priority="5062">
      <formula>AND(AND($W497&lt;TODAY(),$W497&lt;&gt;""),$X497="")</formula>
    </cfRule>
  </conditionalFormatting>
  <conditionalFormatting sqref="Z497">
    <cfRule type="dataBar" priority="5061">
      <dataBar>
        <cfvo type="min"/>
        <cfvo type="max"/>
        <color rgb="FF63C384"/>
      </dataBar>
      <extLst>
        <ext xmlns:x14="http://schemas.microsoft.com/office/spreadsheetml/2009/9/main" uri="{B025F937-C7B1-47D3-B67F-A62EFF666E3E}">
          <x14:id>{BF0CBB1E-18B2-47E6-9E72-94B93864A194}</x14:id>
        </ext>
      </extLst>
    </cfRule>
  </conditionalFormatting>
  <conditionalFormatting sqref="Z497">
    <cfRule type="dataBar" priority="5060">
      <dataBar>
        <cfvo type="min"/>
        <cfvo type="max"/>
        <color rgb="FF63C384"/>
      </dataBar>
      <extLst>
        <ext xmlns:x14="http://schemas.microsoft.com/office/spreadsheetml/2009/9/main" uri="{B025F937-C7B1-47D3-B67F-A62EFF666E3E}">
          <x14:id>{EF3507C5-730E-4068-B3D0-3E9F1A89BF22}</x14:id>
        </ext>
      </extLst>
    </cfRule>
  </conditionalFormatting>
  <conditionalFormatting sqref="J497">
    <cfRule type="cellIs" dxfId="9198" priority="5059" operator="equal">
      <formula>"ja"</formula>
    </cfRule>
  </conditionalFormatting>
  <conditionalFormatting sqref="T497">
    <cfRule type="expression" dxfId="9197" priority="5058">
      <formula>AND(AND($W497&lt;TODAY(),$W497&lt;&gt;""),$X497="")</formula>
    </cfRule>
  </conditionalFormatting>
  <conditionalFormatting sqref="Z497">
    <cfRule type="dataBar" priority="5057">
      <dataBar>
        <cfvo type="min"/>
        <cfvo type="max"/>
        <color rgb="FF63C384"/>
      </dataBar>
      <extLst>
        <ext xmlns:x14="http://schemas.microsoft.com/office/spreadsheetml/2009/9/main" uri="{B025F937-C7B1-47D3-B67F-A62EFF666E3E}">
          <x14:id>{AAEEE601-1C19-4831-B445-ED3EF454D706}</x14:id>
        </ext>
      </extLst>
    </cfRule>
  </conditionalFormatting>
  <conditionalFormatting sqref="Z497">
    <cfRule type="dataBar" priority="5056">
      <dataBar>
        <cfvo type="min"/>
        <cfvo type="max"/>
        <color rgb="FF63C384"/>
      </dataBar>
      <extLst>
        <ext xmlns:x14="http://schemas.microsoft.com/office/spreadsheetml/2009/9/main" uri="{B025F937-C7B1-47D3-B67F-A62EFF666E3E}">
          <x14:id>{BEF2EFBB-B5B1-4583-B009-31850D9D83BB}</x14:id>
        </ext>
      </extLst>
    </cfRule>
  </conditionalFormatting>
  <conditionalFormatting sqref="Z497">
    <cfRule type="dataBar" priority="5053">
      <dataBar>
        <cfvo type="min"/>
        <cfvo type="max"/>
        <color rgb="FF63C384"/>
      </dataBar>
      <extLst>
        <ext xmlns:x14="http://schemas.microsoft.com/office/spreadsheetml/2009/9/main" uri="{B025F937-C7B1-47D3-B67F-A62EFF666E3E}">
          <x14:id>{8F9E921B-8D0C-4CAA-BDEF-AEBC28A1D45C}</x14:id>
        </ext>
      </extLst>
    </cfRule>
  </conditionalFormatting>
  <conditionalFormatting sqref="Z497">
    <cfRule type="dataBar" priority="5052">
      <dataBar>
        <cfvo type="min"/>
        <cfvo type="max"/>
        <color rgb="FF63C384"/>
      </dataBar>
      <extLst>
        <ext xmlns:x14="http://schemas.microsoft.com/office/spreadsheetml/2009/9/main" uri="{B025F937-C7B1-47D3-B67F-A62EFF666E3E}">
          <x14:id>{7C26A29A-2EFE-4156-A98B-FDD711F809C5}</x14:id>
        </ext>
      </extLst>
    </cfRule>
  </conditionalFormatting>
  <conditionalFormatting sqref="C500">
    <cfRule type="containsText" dxfId="9196" priority="5046" operator="containsText" text="Einnahmen">
      <formula>NOT(ISERROR(SEARCH("Einnahmen",C500)))</formula>
    </cfRule>
    <cfRule type="containsText" dxfId="9195" priority="5047" operator="containsText" text="Ausgaben">
      <formula>NOT(ISERROR(SEARCH("Ausgaben",C500)))</formula>
    </cfRule>
  </conditionalFormatting>
  <conditionalFormatting sqref="J500">
    <cfRule type="cellIs" dxfId="9194" priority="5044" operator="equal">
      <formula>"ja"</formula>
    </cfRule>
  </conditionalFormatting>
  <conditionalFormatting sqref="T500">
    <cfRule type="expression" dxfId="9193" priority="5043">
      <formula>AND(AND($W500&lt;TODAY(),$W500&lt;&gt;""),$X500="")</formula>
    </cfRule>
  </conditionalFormatting>
  <conditionalFormatting sqref="Z500">
    <cfRule type="dataBar" priority="5042">
      <dataBar>
        <cfvo type="min"/>
        <cfvo type="max"/>
        <color rgb="FF63C384"/>
      </dataBar>
      <extLst>
        <ext xmlns:x14="http://schemas.microsoft.com/office/spreadsheetml/2009/9/main" uri="{B025F937-C7B1-47D3-B67F-A62EFF666E3E}">
          <x14:id>{02ABC89A-84FB-42A2-B9A0-FB45CDB8845E}</x14:id>
        </ext>
      </extLst>
    </cfRule>
  </conditionalFormatting>
  <conditionalFormatting sqref="Z500">
    <cfRule type="dataBar" priority="5041">
      <dataBar>
        <cfvo type="min"/>
        <cfvo type="max"/>
        <color rgb="FF63C384"/>
      </dataBar>
      <extLst>
        <ext xmlns:x14="http://schemas.microsoft.com/office/spreadsheetml/2009/9/main" uri="{B025F937-C7B1-47D3-B67F-A62EFF666E3E}">
          <x14:id>{C7B464F1-F6B6-42CB-809B-CE0376C5A225}</x14:id>
        </ext>
      </extLst>
    </cfRule>
  </conditionalFormatting>
  <conditionalFormatting sqref="C501">
    <cfRule type="containsText" dxfId="9192" priority="5038" operator="containsText" text="Einnahmen">
      <formula>NOT(ISERROR(SEARCH("Einnahmen",C501)))</formula>
    </cfRule>
    <cfRule type="containsText" dxfId="9191" priority="5039" operator="containsText" text="Ausgaben">
      <formula>NOT(ISERROR(SEARCH("Ausgaben",C501)))</formula>
    </cfRule>
  </conditionalFormatting>
  <conditionalFormatting sqref="J501">
    <cfRule type="cellIs" dxfId="9190" priority="5037" operator="equal">
      <formula>"ja"</formula>
    </cfRule>
  </conditionalFormatting>
  <conditionalFormatting sqref="Z501">
    <cfRule type="dataBar" priority="5035">
      <dataBar>
        <cfvo type="min"/>
        <cfvo type="max"/>
        <color rgb="FF63C384"/>
      </dataBar>
      <extLst>
        <ext xmlns:x14="http://schemas.microsoft.com/office/spreadsheetml/2009/9/main" uri="{B025F937-C7B1-47D3-B67F-A62EFF666E3E}">
          <x14:id>{C834222C-72E2-4060-928A-4D36B682063E}</x14:id>
        </ext>
      </extLst>
    </cfRule>
  </conditionalFormatting>
  <conditionalFormatting sqref="Z501">
    <cfRule type="dataBar" priority="5034">
      <dataBar>
        <cfvo type="min"/>
        <cfvo type="max"/>
        <color rgb="FF63C384"/>
      </dataBar>
      <extLst>
        <ext xmlns:x14="http://schemas.microsoft.com/office/spreadsheetml/2009/9/main" uri="{B025F937-C7B1-47D3-B67F-A62EFF666E3E}">
          <x14:id>{994A8164-6D39-4733-BABC-4B4CC332C1A0}</x14:id>
        </ext>
      </extLst>
    </cfRule>
  </conditionalFormatting>
  <conditionalFormatting sqref="T502">
    <cfRule type="expression" dxfId="9189" priority="5033">
      <formula>AND(AND($W502&lt;TODAY(),$W502&lt;&gt;""),$X502="")</formula>
    </cfRule>
  </conditionalFormatting>
  <conditionalFormatting sqref="Z502">
    <cfRule type="dataBar" priority="5031">
      <dataBar>
        <cfvo type="min"/>
        <cfvo type="max"/>
        <color rgb="FF63C384"/>
      </dataBar>
      <extLst>
        <ext xmlns:x14="http://schemas.microsoft.com/office/spreadsheetml/2009/9/main" uri="{B025F937-C7B1-47D3-B67F-A62EFF666E3E}">
          <x14:id>{6E7D66FF-47DD-4EC5-8F55-C8DF43308097}</x14:id>
        </ext>
      </extLst>
    </cfRule>
  </conditionalFormatting>
  <conditionalFormatting sqref="Z502">
    <cfRule type="dataBar" priority="5030">
      <dataBar>
        <cfvo type="min"/>
        <cfvo type="max"/>
        <color rgb="FF63C384"/>
      </dataBar>
      <extLst>
        <ext xmlns:x14="http://schemas.microsoft.com/office/spreadsheetml/2009/9/main" uri="{B025F937-C7B1-47D3-B67F-A62EFF666E3E}">
          <x14:id>{DF03242B-8F5D-411B-A747-2AB78112D695}</x14:id>
        </ext>
      </extLst>
    </cfRule>
  </conditionalFormatting>
  <conditionalFormatting sqref="C502">
    <cfRule type="containsText" dxfId="9188" priority="5027" operator="containsText" text="Einnahmen">
      <formula>NOT(ISERROR(SEARCH("Einnahmen",C502)))</formula>
    </cfRule>
    <cfRule type="containsText" dxfId="9187" priority="5028" operator="containsText" text="Ausgaben">
      <formula>NOT(ISERROR(SEARCH("Ausgaben",C502)))</formula>
    </cfRule>
  </conditionalFormatting>
  <conditionalFormatting sqref="C471">
    <cfRule type="containsText" dxfId="9186" priority="5025" operator="containsText" text="Einnahmen">
      <formula>NOT(ISERROR(SEARCH("Einnahmen",C471)))</formula>
    </cfRule>
    <cfRule type="containsText" dxfId="9185" priority="5026" operator="containsText" text="Ausgaben">
      <formula>NOT(ISERROR(SEARCH("Ausgaben",C471)))</formula>
    </cfRule>
  </conditionalFormatting>
  <conditionalFormatting sqref="T471">
    <cfRule type="expression" dxfId="9184" priority="5024">
      <formula>AND(AND($W471&lt;TODAY(),$W471&lt;&gt;""),$X471="")</formula>
    </cfRule>
  </conditionalFormatting>
  <conditionalFormatting sqref="Z471">
    <cfRule type="dataBar" priority="5023">
      <dataBar>
        <cfvo type="min"/>
        <cfvo type="max"/>
        <color rgb="FF63C384"/>
      </dataBar>
      <extLst>
        <ext xmlns:x14="http://schemas.microsoft.com/office/spreadsheetml/2009/9/main" uri="{B025F937-C7B1-47D3-B67F-A62EFF666E3E}">
          <x14:id>{EC44A072-B6F8-4E0A-B305-EDDCE562BECB}</x14:id>
        </ext>
      </extLst>
    </cfRule>
  </conditionalFormatting>
  <conditionalFormatting sqref="Z471">
    <cfRule type="dataBar" priority="5022">
      <dataBar>
        <cfvo type="min"/>
        <cfvo type="max"/>
        <color rgb="FF63C384"/>
      </dataBar>
      <extLst>
        <ext xmlns:x14="http://schemas.microsoft.com/office/spreadsheetml/2009/9/main" uri="{B025F937-C7B1-47D3-B67F-A62EFF666E3E}">
          <x14:id>{D1D200DE-53E2-45A2-8D05-F15AA76220C1}</x14:id>
        </ext>
      </extLst>
    </cfRule>
  </conditionalFormatting>
  <conditionalFormatting sqref="T473">
    <cfRule type="expression" dxfId="9183" priority="5021">
      <formula>AND(AND($W473&lt;TODAY(),$W473&lt;&gt;""),$X473="")</formula>
    </cfRule>
  </conditionalFormatting>
  <conditionalFormatting sqref="Z473">
    <cfRule type="dataBar" priority="5020">
      <dataBar>
        <cfvo type="min"/>
        <cfvo type="max"/>
        <color rgb="FF63C384"/>
      </dataBar>
      <extLst>
        <ext xmlns:x14="http://schemas.microsoft.com/office/spreadsheetml/2009/9/main" uri="{B025F937-C7B1-47D3-B67F-A62EFF666E3E}">
          <x14:id>{EB2F0995-813D-40C7-B604-5A748AA3E085}</x14:id>
        </ext>
      </extLst>
    </cfRule>
  </conditionalFormatting>
  <conditionalFormatting sqref="Z473">
    <cfRule type="dataBar" priority="5019">
      <dataBar>
        <cfvo type="min"/>
        <cfvo type="max"/>
        <color rgb="FF63C384"/>
      </dataBar>
      <extLst>
        <ext xmlns:x14="http://schemas.microsoft.com/office/spreadsheetml/2009/9/main" uri="{B025F937-C7B1-47D3-B67F-A62EFF666E3E}">
          <x14:id>{EBE6166F-43C9-4DCE-9EC6-039B67C507A8}</x14:id>
        </ext>
      </extLst>
    </cfRule>
  </conditionalFormatting>
  <conditionalFormatting sqref="C498">
    <cfRule type="containsText" dxfId="9182" priority="5017" operator="containsText" text="Einnahmen">
      <formula>NOT(ISERROR(SEARCH("Einnahmen",C498)))</formula>
    </cfRule>
    <cfRule type="containsText" dxfId="9181" priority="5018" operator="containsText" text="Ausgaben">
      <formula>NOT(ISERROR(SEARCH("Ausgaben",C498)))</formula>
    </cfRule>
  </conditionalFormatting>
  <conditionalFormatting sqref="J503">
    <cfRule type="cellIs" dxfId="9180" priority="5016" operator="equal">
      <formula>"ja"</formula>
    </cfRule>
  </conditionalFormatting>
  <conditionalFormatting sqref="C503">
    <cfRule type="containsText" dxfId="9179" priority="5013" operator="containsText" text="Einnahmen">
      <formula>NOT(ISERROR(SEARCH("Einnahmen",C503)))</formula>
    </cfRule>
    <cfRule type="containsText" dxfId="9178" priority="5014" operator="containsText" text="Ausgaben">
      <formula>NOT(ISERROR(SEARCH("Ausgaben",C503)))</formula>
    </cfRule>
  </conditionalFormatting>
  <conditionalFormatting sqref="T504">
    <cfRule type="expression" dxfId="9177" priority="5009">
      <formula>AND(AND($W504&lt;TODAY(),$W504&lt;&gt;""),$X504="")</formula>
    </cfRule>
  </conditionalFormatting>
  <conditionalFormatting sqref="J504">
    <cfRule type="cellIs" dxfId="9176" priority="5008" operator="equal">
      <formula>"ja"</formula>
    </cfRule>
  </conditionalFormatting>
  <conditionalFormatting sqref="Z504">
    <cfRule type="dataBar" priority="5007">
      <dataBar>
        <cfvo type="min"/>
        <cfvo type="max"/>
        <color rgb="FF63C384"/>
      </dataBar>
      <extLst>
        <ext xmlns:x14="http://schemas.microsoft.com/office/spreadsheetml/2009/9/main" uri="{B025F937-C7B1-47D3-B67F-A62EFF666E3E}">
          <x14:id>{DD0590C8-B694-4FA4-9BC5-1ECE57DB4FBD}</x14:id>
        </ext>
      </extLst>
    </cfRule>
  </conditionalFormatting>
  <conditionalFormatting sqref="Z504">
    <cfRule type="dataBar" priority="5006">
      <dataBar>
        <cfvo type="min"/>
        <cfvo type="max"/>
        <color rgb="FF63C384"/>
      </dataBar>
      <extLst>
        <ext xmlns:x14="http://schemas.microsoft.com/office/spreadsheetml/2009/9/main" uri="{B025F937-C7B1-47D3-B67F-A62EFF666E3E}">
          <x14:id>{08DD7363-450D-4FDF-A91F-515801F5627A}</x14:id>
        </ext>
      </extLst>
    </cfRule>
  </conditionalFormatting>
  <conditionalFormatting sqref="C504">
    <cfRule type="containsText" dxfId="9175" priority="5003" operator="containsText" text="Einnahmen">
      <formula>NOT(ISERROR(SEARCH("Einnahmen",C504)))</formula>
    </cfRule>
    <cfRule type="containsText" dxfId="9174" priority="5004" operator="containsText" text="Ausgaben">
      <formula>NOT(ISERROR(SEARCH("Ausgaben",C504)))</formula>
    </cfRule>
  </conditionalFormatting>
  <conditionalFormatting sqref="C505">
    <cfRule type="containsText" dxfId="9173" priority="4979" operator="containsText" text="Einnahmen">
      <formula>NOT(ISERROR(SEARCH("Einnahmen",C505)))</formula>
    </cfRule>
    <cfRule type="containsText" dxfId="9172" priority="4980" operator="containsText" text="Ausgaben">
      <formula>NOT(ISERROR(SEARCH("Ausgaben",C505)))</formula>
    </cfRule>
  </conditionalFormatting>
  <conditionalFormatting sqref="J506">
    <cfRule type="cellIs" dxfId="9171" priority="4974" operator="equal">
      <formula>"ja"</formula>
    </cfRule>
  </conditionalFormatting>
  <conditionalFormatting sqref="T506">
    <cfRule type="expression" dxfId="9170" priority="4973">
      <formula>AND(AND($W506&lt;TODAY(),$W506&lt;&gt;""),$X506="")</formula>
    </cfRule>
  </conditionalFormatting>
  <conditionalFormatting sqref="Z506">
    <cfRule type="dataBar" priority="4972">
      <dataBar>
        <cfvo type="min"/>
        <cfvo type="max"/>
        <color rgb="FF63C384"/>
      </dataBar>
      <extLst>
        <ext xmlns:x14="http://schemas.microsoft.com/office/spreadsheetml/2009/9/main" uri="{B025F937-C7B1-47D3-B67F-A62EFF666E3E}">
          <x14:id>{B03C54DC-E083-4098-84DE-68603986CD0D}</x14:id>
        </ext>
      </extLst>
    </cfRule>
  </conditionalFormatting>
  <conditionalFormatting sqref="J505">
    <cfRule type="cellIs" dxfId="9169" priority="4970" operator="equal">
      <formula>"ja"</formula>
    </cfRule>
  </conditionalFormatting>
  <conditionalFormatting sqref="J505">
    <cfRule type="cellIs" dxfId="9168" priority="4958" operator="equal">
      <formula>"ja"</formula>
    </cfRule>
  </conditionalFormatting>
  <conditionalFormatting sqref="T505">
    <cfRule type="expression" dxfId="9167" priority="4957">
      <formula>AND(AND($W505&lt;TODAY(),$W505&lt;&gt;""),$X505="")</formula>
    </cfRule>
  </conditionalFormatting>
  <conditionalFormatting sqref="T505">
    <cfRule type="expression" dxfId="9166" priority="4969">
      <formula>AND(AND($W505&lt;TODAY(),$W505&lt;&gt;""),$X505="")</formula>
    </cfRule>
  </conditionalFormatting>
  <conditionalFormatting sqref="Z505">
    <cfRule type="dataBar" priority="4968">
      <dataBar>
        <cfvo type="min"/>
        <cfvo type="max"/>
        <color rgb="FF63C384"/>
      </dataBar>
      <extLst>
        <ext xmlns:x14="http://schemas.microsoft.com/office/spreadsheetml/2009/9/main" uri="{B025F937-C7B1-47D3-B67F-A62EFF666E3E}">
          <x14:id>{AC012C27-9B8D-4EF8-A6F3-9E945B14F3C0}</x14:id>
        </ext>
      </extLst>
    </cfRule>
  </conditionalFormatting>
  <conditionalFormatting sqref="Z505">
    <cfRule type="dataBar" priority="4967">
      <dataBar>
        <cfvo type="min"/>
        <cfvo type="max"/>
        <color rgb="FF63C384"/>
      </dataBar>
      <extLst>
        <ext xmlns:x14="http://schemas.microsoft.com/office/spreadsheetml/2009/9/main" uri="{B025F937-C7B1-47D3-B67F-A62EFF666E3E}">
          <x14:id>{37EEAADB-3BCF-49D6-AC7F-0264B9CF1F63}</x14:id>
        </ext>
      </extLst>
    </cfRule>
  </conditionalFormatting>
  <conditionalFormatting sqref="J505">
    <cfRule type="cellIs" dxfId="9165" priority="4966" operator="equal">
      <formula>"ja"</formula>
    </cfRule>
  </conditionalFormatting>
  <conditionalFormatting sqref="T505">
    <cfRule type="expression" dxfId="9164" priority="4965">
      <formula>AND(AND($W505&lt;TODAY(),$W505&lt;&gt;""),$X505="")</formula>
    </cfRule>
  </conditionalFormatting>
  <conditionalFormatting sqref="Z505">
    <cfRule type="dataBar" priority="4964">
      <dataBar>
        <cfvo type="min"/>
        <cfvo type="max"/>
        <color rgb="FF63C384"/>
      </dataBar>
      <extLst>
        <ext xmlns:x14="http://schemas.microsoft.com/office/spreadsheetml/2009/9/main" uri="{B025F937-C7B1-47D3-B67F-A62EFF666E3E}">
          <x14:id>{A606675E-0FB6-4CE4-8CD2-F6BCEF172286}</x14:id>
        </ext>
      </extLst>
    </cfRule>
  </conditionalFormatting>
  <conditionalFormatting sqref="Z505">
    <cfRule type="dataBar" priority="4963">
      <dataBar>
        <cfvo type="min"/>
        <cfvo type="max"/>
        <color rgb="FF63C384"/>
      </dataBar>
      <extLst>
        <ext xmlns:x14="http://schemas.microsoft.com/office/spreadsheetml/2009/9/main" uri="{B025F937-C7B1-47D3-B67F-A62EFF666E3E}">
          <x14:id>{9FFE1F3C-4EC7-4268-9E28-E610F65E7E6B}</x14:id>
        </ext>
      </extLst>
    </cfRule>
  </conditionalFormatting>
  <conditionalFormatting sqref="J505">
    <cfRule type="cellIs" dxfId="9163" priority="4962" operator="equal">
      <formula>"ja"</formula>
    </cfRule>
  </conditionalFormatting>
  <conditionalFormatting sqref="T505">
    <cfRule type="expression" dxfId="9162" priority="4961">
      <formula>AND(AND($W505&lt;TODAY(),$W505&lt;&gt;""),$X505="")</formula>
    </cfRule>
  </conditionalFormatting>
  <conditionalFormatting sqref="Z505">
    <cfRule type="dataBar" priority="4960">
      <dataBar>
        <cfvo type="min"/>
        <cfvo type="max"/>
        <color rgb="FF63C384"/>
      </dataBar>
      <extLst>
        <ext xmlns:x14="http://schemas.microsoft.com/office/spreadsheetml/2009/9/main" uri="{B025F937-C7B1-47D3-B67F-A62EFF666E3E}">
          <x14:id>{3F50A807-CC93-4EDE-A368-6535E6410975}</x14:id>
        </ext>
      </extLst>
    </cfRule>
  </conditionalFormatting>
  <conditionalFormatting sqref="Z505">
    <cfRule type="dataBar" priority="4959">
      <dataBar>
        <cfvo type="min"/>
        <cfvo type="max"/>
        <color rgb="FF63C384"/>
      </dataBar>
      <extLst>
        <ext xmlns:x14="http://schemas.microsoft.com/office/spreadsheetml/2009/9/main" uri="{B025F937-C7B1-47D3-B67F-A62EFF666E3E}">
          <x14:id>{CD570902-4A2B-4E61-B7D5-0201D6A1D02F}</x14:id>
        </ext>
      </extLst>
    </cfRule>
  </conditionalFormatting>
  <conditionalFormatting sqref="Z505">
    <cfRule type="dataBar" priority="4956">
      <dataBar>
        <cfvo type="min"/>
        <cfvo type="max"/>
        <color rgb="FF63C384"/>
      </dataBar>
      <extLst>
        <ext xmlns:x14="http://schemas.microsoft.com/office/spreadsheetml/2009/9/main" uri="{B025F937-C7B1-47D3-B67F-A62EFF666E3E}">
          <x14:id>{898BD4D2-77EC-4265-B1F0-FAC0A0A39E44}</x14:id>
        </ext>
      </extLst>
    </cfRule>
  </conditionalFormatting>
  <conditionalFormatting sqref="Z505">
    <cfRule type="dataBar" priority="4955">
      <dataBar>
        <cfvo type="min"/>
        <cfvo type="max"/>
        <color rgb="FF63C384"/>
      </dataBar>
      <extLst>
        <ext xmlns:x14="http://schemas.microsoft.com/office/spreadsheetml/2009/9/main" uri="{B025F937-C7B1-47D3-B67F-A62EFF666E3E}">
          <x14:id>{84CD532B-B103-4457-8EDB-B3238A46E4B5}</x14:id>
        </ext>
      </extLst>
    </cfRule>
  </conditionalFormatting>
  <conditionalFormatting sqref="J507">
    <cfRule type="cellIs" dxfId="9161" priority="4950" operator="equal">
      <formula>"ja"</formula>
    </cfRule>
  </conditionalFormatting>
  <conditionalFormatting sqref="T507">
    <cfRule type="expression" dxfId="9160" priority="4949">
      <formula>AND(AND($W507&lt;TODAY(),$W507&lt;&gt;""),$X507="")</formula>
    </cfRule>
  </conditionalFormatting>
  <conditionalFormatting sqref="Z507">
    <cfRule type="dataBar" priority="4948">
      <dataBar>
        <cfvo type="min"/>
        <cfvo type="max"/>
        <color rgb="FF63C384"/>
      </dataBar>
      <extLst>
        <ext xmlns:x14="http://schemas.microsoft.com/office/spreadsheetml/2009/9/main" uri="{B025F937-C7B1-47D3-B67F-A62EFF666E3E}">
          <x14:id>{A21519FD-450A-410A-A8A7-6895BA5CD231}</x14:id>
        </ext>
      </extLst>
    </cfRule>
  </conditionalFormatting>
  <conditionalFormatting sqref="C508">
    <cfRule type="containsText" dxfId="9159" priority="4945" operator="containsText" text="Einnahmen">
      <formula>NOT(ISERROR(SEARCH("Einnahmen",C508)))</formula>
    </cfRule>
    <cfRule type="containsText" dxfId="9158" priority="4946" operator="containsText" text="Ausgaben">
      <formula>NOT(ISERROR(SEARCH("Ausgaben",C508)))</formula>
    </cfRule>
  </conditionalFormatting>
  <conditionalFormatting sqref="T508">
    <cfRule type="expression" dxfId="9157" priority="4944">
      <formula>AND(AND($W508&lt;TODAY(),$W508&lt;&gt;""),$X508="")</formula>
    </cfRule>
  </conditionalFormatting>
  <conditionalFormatting sqref="Z508">
    <cfRule type="dataBar" priority="4943">
      <dataBar>
        <cfvo type="min"/>
        <cfvo type="max"/>
        <color rgb="FF63C384"/>
      </dataBar>
      <extLst>
        <ext xmlns:x14="http://schemas.microsoft.com/office/spreadsheetml/2009/9/main" uri="{B025F937-C7B1-47D3-B67F-A62EFF666E3E}">
          <x14:id>{6EC694C8-06BB-491D-8B30-36714032F32E}</x14:id>
        </ext>
      </extLst>
    </cfRule>
  </conditionalFormatting>
  <conditionalFormatting sqref="Z508">
    <cfRule type="dataBar" priority="4942">
      <dataBar>
        <cfvo type="min"/>
        <cfvo type="max"/>
        <color rgb="FF63C384"/>
      </dataBar>
      <extLst>
        <ext xmlns:x14="http://schemas.microsoft.com/office/spreadsheetml/2009/9/main" uri="{B025F937-C7B1-47D3-B67F-A62EFF666E3E}">
          <x14:id>{D15E9875-2A72-4F1F-A313-1747DAB87542}</x14:id>
        </ext>
      </extLst>
    </cfRule>
  </conditionalFormatting>
  <conditionalFormatting sqref="J508">
    <cfRule type="cellIs" dxfId="9156" priority="4941" operator="equal">
      <formula>"ja"</formula>
    </cfRule>
  </conditionalFormatting>
  <conditionalFormatting sqref="J510">
    <cfRule type="cellIs" dxfId="9155" priority="4938" operator="equal">
      <formula>"ja"</formula>
    </cfRule>
  </conditionalFormatting>
  <conditionalFormatting sqref="T510">
    <cfRule type="expression" dxfId="9154" priority="4937">
      <formula>AND(AND($W510&lt;TODAY(),$W510&lt;&gt;""),$X510="")</formula>
    </cfRule>
  </conditionalFormatting>
  <conditionalFormatting sqref="Z510">
    <cfRule type="dataBar" priority="4936">
      <dataBar>
        <cfvo type="min"/>
        <cfvo type="max"/>
        <color rgb="FF63C384"/>
      </dataBar>
      <extLst>
        <ext xmlns:x14="http://schemas.microsoft.com/office/spreadsheetml/2009/9/main" uri="{B025F937-C7B1-47D3-B67F-A62EFF666E3E}">
          <x14:id>{5618C451-70EA-44BC-877F-7CF4915C9691}</x14:id>
        </ext>
      </extLst>
    </cfRule>
  </conditionalFormatting>
  <conditionalFormatting sqref="C510">
    <cfRule type="containsText" dxfId="9153" priority="4934" operator="containsText" text="Einnahmen">
      <formula>NOT(ISERROR(SEARCH("Einnahmen",C510)))</formula>
    </cfRule>
    <cfRule type="containsText" dxfId="9152" priority="4935" operator="containsText" text="Ausgaben">
      <formula>NOT(ISERROR(SEARCH("Ausgaben",C510)))</formula>
    </cfRule>
  </conditionalFormatting>
  <conditionalFormatting sqref="J511">
    <cfRule type="cellIs" dxfId="9151" priority="4933" operator="equal">
      <formula>"ja"</formula>
    </cfRule>
  </conditionalFormatting>
  <conditionalFormatting sqref="C511">
    <cfRule type="containsText" dxfId="9150" priority="4931" operator="containsText" text="Einnahmen">
      <formula>NOT(ISERROR(SEARCH("Einnahmen",C511)))</formula>
    </cfRule>
    <cfRule type="containsText" dxfId="9149" priority="4932" operator="containsText" text="Ausgaben">
      <formula>NOT(ISERROR(SEARCH("Ausgaben",C511)))</formula>
    </cfRule>
  </conditionalFormatting>
  <conditionalFormatting sqref="T511">
    <cfRule type="expression" dxfId="9148" priority="4930">
      <formula>AND(AND($W511&lt;TODAY(),$W511&lt;&gt;""),$X511="")</formula>
    </cfRule>
  </conditionalFormatting>
  <conditionalFormatting sqref="Z511">
    <cfRule type="dataBar" priority="4929">
      <dataBar>
        <cfvo type="min"/>
        <cfvo type="max"/>
        <color rgb="FF63C384"/>
      </dataBar>
      <extLst>
        <ext xmlns:x14="http://schemas.microsoft.com/office/spreadsheetml/2009/9/main" uri="{B025F937-C7B1-47D3-B67F-A62EFF666E3E}">
          <x14:id>{6C36EAE1-DEFC-4935-819C-03D01C554B1E}</x14:id>
        </ext>
      </extLst>
    </cfRule>
  </conditionalFormatting>
  <conditionalFormatting sqref="Z511">
    <cfRule type="dataBar" priority="4928">
      <dataBar>
        <cfvo type="min"/>
        <cfvo type="max"/>
        <color rgb="FF63C384"/>
      </dataBar>
      <extLst>
        <ext xmlns:x14="http://schemas.microsoft.com/office/spreadsheetml/2009/9/main" uri="{B025F937-C7B1-47D3-B67F-A62EFF666E3E}">
          <x14:id>{ED71AA62-0870-4592-801C-5B67164FB392}</x14:id>
        </ext>
      </extLst>
    </cfRule>
  </conditionalFormatting>
  <conditionalFormatting sqref="C512">
    <cfRule type="containsText" dxfId="9147" priority="4926" operator="containsText" text="Einnahmen">
      <formula>NOT(ISERROR(SEARCH("Einnahmen",C512)))</formula>
    </cfRule>
    <cfRule type="containsText" dxfId="9146" priority="4927" operator="containsText" text="Ausgaben">
      <formula>NOT(ISERROR(SEARCH("Ausgaben",C512)))</formula>
    </cfRule>
  </conditionalFormatting>
  <conditionalFormatting sqref="J512">
    <cfRule type="cellIs" dxfId="9145" priority="4925" operator="equal">
      <formula>"ja"</formula>
    </cfRule>
  </conditionalFormatting>
  <conditionalFormatting sqref="J512">
    <cfRule type="cellIs" dxfId="9144" priority="4913" operator="equal">
      <formula>"ja"</formula>
    </cfRule>
  </conditionalFormatting>
  <conditionalFormatting sqref="T512">
    <cfRule type="expression" dxfId="9143" priority="4912">
      <formula>AND(AND($W512&lt;TODAY(),$W512&lt;&gt;""),$X512="")</formula>
    </cfRule>
  </conditionalFormatting>
  <conditionalFormatting sqref="T512">
    <cfRule type="expression" dxfId="9142" priority="4924">
      <formula>AND(AND($W512&lt;TODAY(),$W512&lt;&gt;""),$X512="")</formula>
    </cfRule>
  </conditionalFormatting>
  <conditionalFormatting sqref="Z512">
    <cfRule type="dataBar" priority="4923">
      <dataBar>
        <cfvo type="min"/>
        <cfvo type="max"/>
        <color rgb="FF63C384"/>
      </dataBar>
      <extLst>
        <ext xmlns:x14="http://schemas.microsoft.com/office/spreadsheetml/2009/9/main" uri="{B025F937-C7B1-47D3-B67F-A62EFF666E3E}">
          <x14:id>{04E1054B-7A2E-400C-809C-33C28FD5113A}</x14:id>
        </ext>
      </extLst>
    </cfRule>
  </conditionalFormatting>
  <conditionalFormatting sqref="Z512">
    <cfRule type="dataBar" priority="4922">
      <dataBar>
        <cfvo type="min"/>
        <cfvo type="max"/>
        <color rgb="FF63C384"/>
      </dataBar>
      <extLst>
        <ext xmlns:x14="http://schemas.microsoft.com/office/spreadsheetml/2009/9/main" uri="{B025F937-C7B1-47D3-B67F-A62EFF666E3E}">
          <x14:id>{4197B82A-E1B1-4EF8-B98D-D00B19CED24A}</x14:id>
        </ext>
      </extLst>
    </cfRule>
  </conditionalFormatting>
  <conditionalFormatting sqref="J512">
    <cfRule type="cellIs" dxfId="9141" priority="4921" operator="equal">
      <formula>"ja"</formula>
    </cfRule>
  </conditionalFormatting>
  <conditionalFormatting sqref="T512">
    <cfRule type="expression" dxfId="9140" priority="4920">
      <formula>AND(AND($W512&lt;TODAY(),$W512&lt;&gt;""),$X512="")</formula>
    </cfRule>
  </conditionalFormatting>
  <conditionalFormatting sqref="Z512">
    <cfRule type="dataBar" priority="4919">
      <dataBar>
        <cfvo type="min"/>
        <cfvo type="max"/>
        <color rgb="FF63C384"/>
      </dataBar>
      <extLst>
        <ext xmlns:x14="http://schemas.microsoft.com/office/spreadsheetml/2009/9/main" uri="{B025F937-C7B1-47D3-B67F-A62EFF666E3E}">
          <x14:id>{CA468F71-9939-43A9-9A92-0B95826C1753}</x14:id>
        </ext>
      </extLst>
    </cfRule>
  </conditionalFormatting>
  <conditionalFormatting sqref="Z512">
    <cfRule type="dataBar" priority="4918">
      <dataBar>
        <cfvo type="min"/>
        <cfvo type="max"/>
        <color rgb="FF63C384"/>
      </dataBar>
      <extLst>
        <ext xmlns:x14="http://schemas.microsoft.com/office/spreadsheetml/2009/9/main" uri="{B025F937-C7B1-47D3-B67F-A62EFF666E3E}">
          <x14:id>{4295A106-3047-45B7-BFE8-FCD29F4ABA6E}</x14:id>
        </ext>
      </extLst>
    </cfRule>
  </conditionalFormatting>
  <conditionalFormatting sqref="J512">
    <cfRule type="cellIs" dxfId="9139" priority="4917" operator="equal">
      <formula>"ja"</formula>
    </cfRule>
  </conditionalFormatting>
  <conditionalFormatting sqref="T512">
    <cfRule type="expression" dxfId="9138" priority="4916">
      <formula>AND(AND($W512&lt;TODAY(),$W512&lt;&gt;""),$X512="")</formula>
    </cfRule>
  </conditionalFormatting>
  <conditionalFormatting sqref="Z512">
    <cfRule type="dataBar" priority="4915">
      <dataBar>
        <cfvo type="min"/>
        <cfvo type="max"/>
        <color rgb="FF63C384"/>
      </dataBar>
      <extLst>
        <ext xmlns:x14="http://schemas.microsoft.com/office/spreadsheetml/2009/9/main" uri="{B025F937-C7B1-47D3-B67F-A62EFF666E3E}">
          <x14:id>{FFF817FD-971A-46E4-B82C-A557E0BF6CB2}</x14:id>
        </ext>
      </extLst>
    </cfRule>
  </conditionalFormatting>
  <conditionalFormatting sqref="Z512">
    <cfRule type="dataBar" priority="4914">
      <dataBar>
        <cfvo type="min"/>
        <cfvo type="max"/>
        <color rgb="FF63C384"/>
      </dataBar>
      <extLst>
        <ext xmlns:x14="http://schemas.microsoft.com/office/spreadsheetml/2009/9/main" uri="{B025F937-C7B1-47D3-B67F-A62EFF666E3E}">
          <x14:id>{C7EFFC60-55CD-42EB-9F10-583050C4C435}</x14:id>
        </ext>
      </extLst>
    </cfRule>
  </conditionalFormatting>
  <conditionalFormatting sqref="Z512">
    <cfRule type="dataBar" priority="4911">
      <dataBar>
        <cfvo type="min"/>
        <cfvo type="max"/>
        <color rgb="FF63C384"/>
      </dataBar>
      <extLst>
        <ext xmlns:x14="http://schemas.microsoft.com/office/spreadsheetml/2009/9/main" uri="{B025F937-C7B1-47D3-B67F-A62EFF666E3E}">
          <x14:id>{6A7EA94E-1D55-4DC7-B6B0-27642E5F4392}</x14:id>
        </ext>
      </extLst>
    </cfRule>
  </conditionalFormatting>
  <conditionalFormatting sqref="Z512">
    <cfRule type="dataBar" priority="4910">
      <dataBar>
        <cfvo type="min"/>
        <cfvo type="max"/>
        <color rgb="FF63C384"/>
      </dataBar>
      <extLst>
        <ext xmlns:x14="http://schemas.microsoft.com/office/spreadsheetml/2009/9/main" uri="{B025F937-C7B1-47D3-B67F-A62EFF666E3E}">
          <x14:id>{6A4F8923-005E-44D8-89B1-E03AC9541E8A}</x14:id>
        </ext>
      </extLst>
    </cfRule>
  </conditionalFormatting>
  <conditionalFormatting sqref="C513">
    <cfRule type="containsText" dxfId="9137" priority="4904" operator="containsText" text="Einnahmen">
      <formula>NOT(ISERROR(SEARCH("Einnahmen",C513)))</formula>
    </cfRule>
    <cfRule type="containsText" dxfId="9136" priority="4905" operator="containsText" text="Ausgaben">
      <formula>NOT(ISERROR(SEARCH("Ausgaben",C513)))</formula>
    </cfRule>
  </conditionalFormatting>
  <conditionalFormatting sqref="J513">
    <cfRule type="cellIs" dxfId="9135" priority="4903" operator="equal">
      <formula>"ja"</formula>
    </cfRule>
  </conditionalFormatting>
  <conditionalFormatting sqref="T513">
    <cfRule type="expression" dxfId="9134" priority="4902">
      <formula>AND(AND($W513&lt;TODAY(),$W513&lt;&gt;""),$X513="")</formula>
    </cfRule>
  </conditionalFormatting>
  <conditionalFormatting sqref="Z513">
    <cfRule type="dataBar" priority="4901">
      <dataBar>
        <cfvo type="min"/>
        <cfvo type="max"/>
        <color rgb="FF63C384"/>
      </dataBar>
      <extLst>
        <ext xmlns:x14="http://schemas.microsoft.com/office/spreadsheetml/2009/9/main" uri="{B025F937-C7B1-47D3-B67F-A62EFF666E3E}">
          <x14:id>{1B3F76D7-ADC7-4662-BDBB-472A92CB8197}</x14:id>
        </ext>
      </extLst>
    </cfRule>
  </conditionalFormatting>
  <conditionalFormatting sqref="Z513">
    <cfRule type="dataBar" priority="4900">
      <dataBar>
        <cfvo type="min"/>
        <cfvo type="max"/>
        <color rgb="FF63C384"/>
      </dataBar>
      <extLst>
        <ext xmlns:x14="http://schemas.microsoft.com/office/spreadsheetml/2009/9/main" uri="{B025F937-C7B1-47D3-B67F-A62EFF666E3E}">
          <x14:id>{5310C7D5-D7E3-4F0A-9A90-7829B8346F93}</x14:id>
        </ext>
      </extLst>
    </cfRule>
  </conditionalFormatting>
  <conditionalFormatting sqref="C514">
    <cfRule type="containsText" dxfId="9133" priority="4898" operator="containsText" text="Einnahmen">
      <formula>NOT(ISERROR(SEARCH("Einnahmen",C514)))</formula>
    </cfRule>
    <cfRule type="containsText" dxfId="9132" priority="4899" operator="containsText" text="Ausgaben">
      <formula>NOT(ISERROR(SEARCH("Ausgaben",C514)))</formula>
    </cfRule>
  </conditionalFormatting>
  <conditionalFormatting sqref="J514">
    <cfRule type="cellIs" dxfId="9131" priority="4896" operator="equal">
      <formula>"ja"</formula>
    </cfRule>
  </conditionalFormatting>
  <conditionalFormatting sqref="T514">
    <cfRule type="expression" dxfId="9130" priority="4895">
      <formula>AND(AND($W514&lt;TODAY(),$W514&lt;&gt;""),$X514="")</formula>
    </cfRule>
  </conditionalFormatting>
  <conditionalFormatting sqref="Z514">
    <cfRule type="dataBar" priority="4894">
      <dataBar>
        <cfvo type="min"/>
        <cfvo type="max"/>
        <color rgb="FF63C384"/>
      </dataBar>
      <extLst>
        <ext xmlns:x14="http://schemas.microsoft.com/office/spreadsheetml/2009/9/main" uri="{B025F937-C7B1-47D3-B67F-A62EFF666E3E}">
          <x14:id>{6E03F991-99DA-470B-9A0B-165B153E0457}</x14:id>
        </ext>
      </extLst>
    </cfRule>
  </conditionalFormatting>
  <conditionalFormatting sqref="Z514">
    <cfRule type="dataBar" priority="4893">
      <dataBar>
        <cfvo type="min"/>
        <cfvo type="max"/>
        <color rgb="FF63C384"/>
      </dataBar>
      <extLst>
        <ext xmlns:x14="http://schemas.microsoft.com/office/spreadsheetml/2009/9/main" uri="{B025F937-C7B1-47D3-B67F-A62EFF666E3E}">
          <x14:id>{59B7B37D-FA13-452C-A178-74C0AABD05D3}</x14:id>
        </ext>
      </extLst>
    </cfRule>
  </conditionalFormatting>
  <conditionalFormatting sqref="J515">
    <cfRule type="cellIs" dxfId="9129" priority="4892" operator="equal">
      <formula>"ja"</formula>
    </cfRule>
  </conditionalFormatting>
  <conditionalFormatting sqref="T515">
    <cfRule type="expression" dxfId="9128" priority="4891">
      <formula>AND(AND($W515&lt;TODAY(),$W515&lt;&gt;""),$X515="")</formula>
    </cfRule>
  </conditionalFormatting>
  <conditionalFormatting sqref="Z515">
    <cfRule type="dataBar" priority="4890">
      <dataBar>
        <cfvo type="min"/>
        <cfvo type="max"/>
        <color rgb="FF63C384"/>
      </dataBar>
      <extLst>
        <ext xmlns:x14="http://schemas.microsoft.com/office/spreadsheetml/2009/9/main" uri="{B025F937-C7B1-47D3-B67F-A62EFF666E3E}">
          <x14:id>{93E494F8-9323-44A6-84B0-4F19895A6563}</x14:id>
        </ext>
      </extLst>
    </cfRule>
  </conditionalFormatting>
  <conditionalFormatting sqref="Z515">
    <cfRule type="dataBar" priority="4889">
      <dataBar>
        <cfvo type="min"/>
        <cfvo type="max"/>
        <color rgb="FF63C384"/>
      </dataBar>
      <extLst>
        <ext xmlns:x14="http://schemas.microsoft.com/office/spreadsheetml/2009/9/main" uri="{B025F937-C7B1-47D3-B67F-A62EFF666E3E}">
          <x14:id>{0BF724A5-DDCF-42F5-B15F-9E246A46F8B7}</x14:id>
        </ext>
      </extLst>
    </cfRule>
  </conditionalFormatting>
  <conditionalFormatting sqref="T515">
    <cfRule type="expression" dxfId="9127" priority="4887">
      <formula>AND(AND($W515&lt;TODAY(),$W515&lt;&gt;""),$X515="")</formula>
    </cfRule>
  </conditionalFormatting>
  <conditionalFormatting sqref="J515">
    <cfRule type="cellIs" dxfId="9126" priority="4886" operator="equal">
      <formula>"ja"</formula>
    </cfRule>
  </conditionalFormatting>
  <conditionalFormatting sqref="Z515">
    <cfRule type="dataBar" priority="4885">
      <dataBar>
        <cfvo type="min"/>
        <cfvo type="max"/>
        <color rgb="FF63C384"/>
      </dataBar>
      <extLst>
        <ext xmlns:x14="http://schemas.microsoft.com/office/spreadsheetml/2009/9/main" uri="{B025F937-C7B1-47D3-B67F-A62EFF666E3E}">
          <x14:id>{0271E1C4-BDE2-447D-8902-CD0B4C709B9C}</x14:id>
        </ext>
      </extLst>
    </cfRule>
  </conditionalFormatting>
  <conditionalFormatting sqref="Z515">
    <cfRule type="dataBar" priority="4884">
      <dataBar>
        <cfvo type="min"/>
        <cfvo type="max"/>
        <color rgb="FF63C384"/>
      </dataBar>
      <extLst>
        <ext xmlns:x14="http://schemas.microsoft.com/office/spreadsheetml/2009/9/main" uri="{B025F937-C7B1-47D3-B67F-A62EFF666E3E}">
          <x14:id>{F1C7FE31-6F57-4F95-B77B-B8B4AFDA2A64}</x14:id>
        </ext>
      </extLst>
    </cfRule>
  </conditionalFormatting>
  <conditionalFormatting sqref="C515">
    <cfRule type="containsText" dxfId="9125" priority="4881" operator="containsText" text="Einnahmen">
      <formula>NOT(ISERROR(SEARCH("Einnahmen",C515)))</formula>
    </cfRule>
    <cfRule type="containsText" dxfId="9124" priority="4882" operator="containsText" text="Ausgaben">
      <formula>NOT(ISERROR(SEARCH("Ausgaben",C515)))</formula>
    </cfRule>
  </conditionalFormatting>
  <conditionalFormatting sqref="J516">
    <cfRule type="cellIs" dxfId="9123" priority="4879" operator="equal">
      <formula>"ja"</formula>
    </cfRule>
  </conditionalFormatting>
  <conditionalFormatting sqref="T516">
    <cfRule type="expression" dxfId="9122" priority="4878">
      <formula>AND(AND($W516&lt;TODAY(),$W516&lt;&gt;""),$X516="")</formula>
    </cfRule>
  </conditionalFormatting>
  <conditionalFormatting sqref="Z516">
    <cfRule type="dataBar" priority="4877">
      <dataBar>
        <cfvo type="min"/>
        <cfvo type="max"/>
        <color rgb="FF63C384"/>
      </dataBar>
      <extLst>
        <ext xmlns:x14="http://schemas.microsoft.com/office/spreadsheetml/2009/9/main" uri="{B025F937-C7B1-47D3-B67F-A62EFF666E3E}">
          <x14:id>{E4F46E1B-BFCB-4EBE-A4F4-AD9EB459B31B}</x14:id>
        </ext>
      </extLst>
    </cfRule>
  </conditionalFormatting>
  <conditionalFormatting sqref="C516">
    <cfRule type="containsText" dxfId="9121" priority="4875" operator="containsText" text="Einnahmen">
      <formula>NOT(ISERROR(SEARCH("Einnahmen",C516)))</formula>
    </cfRule>
    <cfRule type="containsText" dxfId="9120" priority="4876" operator="containsText" text="Ausgaben">
      <formula>NOT(ISERROR(SEARCH("Ausgaben",C516)))</formula>
    </cfRule>
  </conditionalFormatting>
  <conditionalFormatting sqref="J516">
    <cfRule type="cellIs" dxfId="9119" priority="4874" operator="equal">
      <formula>"ja"</formula>
    </cfRule>
  </conditionalFormatting>
  <conditionalFormatting sqref="T516">
    <cfRule type="expression" dxfId="9118" priority="4873">
      <formula>AND(AND($W516&lt;TODAY(),$W516&lt;&gt;""),$X516="")</formula>
    </cfRule>
  </conditionalFormatting>
  <conditionalFormatting sqref="Z516">
    <cfRule type="dataBar" priority="4872">
      <dataBar>
        <cfvo type="min"/>
        <cfvo type="max"/>
        <color rgb="FF63C384"/>
      </dataBar>
      <extLst>
        <ext xmlns:x14="http://schemas.microsoft.com/office/spreadsheetml/2009/9/main" uri="{B025F937-C7B1-47D3-B67F-A62EFF666E3E}">
          <x14:id>{2BE24807-07AF-4495-90E9-6248E371ED1B}</x14:id>
        </ext>
      </extLst>
    </cfRule>
  </conditionalFormatting>
  <conditionalFormatting sqref="Z516">
    <cfRule type="dataBar" priority="4871">
      <dataBar>
        <cfvo type="min"/>
        <cfvo type="max"/>
        <color rgb="FF63C384"/>
      </dataBar>
      <extLst>
        <ext xmlns:x14="http://schemas.microsoft.com/office/spreadsheetml/2009/9/main" uri="{B025F937-C7B1-47D3-B67F-A62EFF666E3E}">
          <x14:id>{FC35C0B1-EA9D-4B41-99C9-9DD9DD451FD1}</x14:id>
        </ext>
      </extLst>
    </cfRule>
  </conditionalFormatting>
  <conditionalFormatting sqref="T517">
    <cfRule type="expression" dxfId="9117" priority="4869">
      <formula>AND(AND($W517&lt;TODAY(),$W517&lt;&gt;""),$X517="")</formula>
    </cfRule>
  </conditionalFormatting>
  <conditionalFormatting sqref="Z517">
    <cfRule type="dataBar" priority="4867">
      <dataBar>
        <cfvo type="min"/>
        <cfvo type="max"/>
        <color rgb="FF63C384"/>
      </dataBar>
      <extLst>
        <ext xmlns:x14="http://schemas.microsoft.com/office/spreadsheetml/2009/9/main" uri="{B025F937-C7B1-47D3-B67F-A62EFF666E3E}">
          <x14:id>{25AA6E52-A09B-4DD9-8C49-292565B4BF20}</x14:id>
        </ext>
      </extLst>
    </cfRule>
  </conditionalFormatting>
  <conditionalFormatting sqref="Z517">
    <cfRule type="dataBar" priority="4866">
      <dataBar>
        <cfvo type="min"/>
        <cfvo type="max"/>
        <color rgb="FF63C384"/>
      </dataBar>
      <extLst>
        <ext xmlns:x14="http://schemas.microsoft.com/office/spreadsheetml/2009/9/main" uri="{B025F937-C7B1-47D3-B67F-A62EFF666E3E}">
          <x14:id>{C4FC492B-EFDA-4DA0-92E0-1829B1949E37}</x14:id>
        </ext>
      </extLst>
    </cfRule>
  </conditionalFormatting>
  <conditionalFormatting sqref="C517">
    <cfRule type="containsText" dxfId="9116" priority="4863" operator="containsText" text="Einnahmen">
      <formula>NOT(ISERROR(SEARCH("Einnahmen",C517)))</formula>
    </cfRule>
    <cfRule type="containsText" dxfId="9115" priority="4864" operator="containsText" text="Ausgaben">
      <formula>NOT(ISERROR(SEARCH("Ausgaben",C517)))</formula>
    </cfRule>
  </conditionalFormatting>
  <conditionalFormatting sqref="J518">
    <cfRule type="cellIs" dxfId="9114" priority="4862" operator="equal">
      <formula>"ja"</formula>
    </cfRule>
  </conditionalFormatting>
  <conditionalFormatting sqref="C518">
    <cfRule type="containsText" dxfId="9113" priority="4859" operator="containsText" text="Einnahmen">
      <formula>NOT(ISERROR(SEARCH("Einnahmen",C518)))</formula>
    </cfRule>
    <cfRule type="containsText" dxfId="9112" priority="4860" operator="containsText" text="Ausgaben">
      <formula>NOT(ISERROR(SEARCH("Ausgaben",C518)))</formula>
    </cfRule>
  </conditionalFormatting>
  <conditionalFormatting sqref="T519">
    <cfRule type="expression" dxfId="9111" priority="4855">
      <formula>AND(AND($W519&lt;TODAY(),$W519&lt;&gt;""),$X519="")</formula>
    </cfRule>
  </conditionalFormatting>
  <conditionalFormatting sqref="J519">
    <cfRule type="cellIs" dxfId="9110" priority="4854" operator="equal">
      <formula>"ja"</formula>
    </cfRule>
  </conditionalFormatting>
  <conditionalFormatting sqref="Z519">
    <cfRule type="dataBar" priority="4853">
      <dataBar>
        <cfvo type="min"/>
        <cfvo type="max"/>
        <color rgb="FF63C384"/>
      </dataBar>
      <extLst>
        <ext xmlns:x14="http://schemas.microsoft.com/office/spreadsheetml/2009/9/main" uri="{B025F937-C7B1-47D3-B67F-A62EFF666E3E}">
          <x14:id>{8BF20AD0-CD4A-4DC6-8877-DF3731D92877}</x14:id>
        </ext>
      </extLst>
    </cfRule>
  </conditionalFormatting>
  <conditionalFormatting sqref="Z519">
    <cfRule type="dataBar" priority="4852">
      <dataBar>
        <cfvo type="min"/>
        <cfvo type="max"/>
        <color rgb="FF63C384"/>
      </dataBar>
      <extLst>
        <ext xmlns:x14="http://schemas.microsoft.com/office/spreadsheetml/2009/9/main" uri="{B025F937-C7B1-47D3-B67F-A62EFF666E3E}">
          <x14:id>{5CE667D9-BFEC-4BBF-834E-F02D015BC32F}</x14:id>
        </ext>
      </extLst>
    </cfRule>
  </conditionalFormatting>
  <conditionalFormatting sqref="C519">
    <cfRule type="containsText" dxfId="9109" priority="4849" operator="containsText" text="Einnahmen">
      <formula>NOT(ISERROR(SEARCH("Einnahmen",C519)))</formula>
    </cfRule>
    <cfRule type="containsText" dxfId="9108" priority="4850" operator="containsText" text="Ausgaben">
      <formula>NOT(ISERROR(SEARCH("Ausgaben",C519)))</formula>
    </cfRule>
  </conditionalFormatting>
  <conditionalFormatting sqref="C520">
    <cfRule type="containsText" dxfId="9107" priority="4847" operator="containsText" text="Einnahmen">
      <formula>NOT(ISERROR(SEARCH("Einnahmen",C520)))</formula>
    </cfRule>
    <cfRule type="containsText" dxfId="9106" priority="4848" operator="containsText" text="Ausgaben">
      <formula>NOT(ISERROR(SEARCH("Ausgaben",C520)))</formula>
    </cfRule>
  </conditionalFormatting>
  <conditionalFormatting sqref="T520">
    <cfRule type="expression" dxfId="9105" priority="4846">
      <formula>AND(AND($W520&lt;TODAY(),$W520&lt;&gt;""),$X520="")</formula>
    </cfRule>
  </conditionalFormatting>
  <conditionalFormatting sqref="Z520">
    <cfRule type="dataBar" priority="4845">
      <dataBar>
        <cfvo type="min"/>
        <cfvo type="max"/>
        <color rgb="FF63C384"/>
      </dataBar>
      <extLst>
        <ext xmlns:x14="http://schemas.microsoft.com/office/spreadsheetml/2009/9/main" uri="{B025F937-C7B1-47D3-B67F-A62EFF666E3E}">
          <x14:id>{CCA463DA-9EA9-4A54-9721-0F94A44FD4FD}</x14:id>
        </ext>
      </extLst>
    </cfRule>
  </conditionalFormatting>
  <conditionalFormatting sqref="Z520">
    <cfRule type="dataBar" priority="4844">
      <dataBar>
        <cfvo type="min"/>
        <cfvo type="max"/>
        <color rgb="FF63C384"/>
      </dataBar>
      <extLst>
        <ext xmlns:x14="http://schemas.microsoft.com/office/spreadsheetml/2009/9/main" uri="{B025F937-C7B1-47D3-B67F-A62EFF666E3E}">
          <x14:id>{E29FBE98-F42F-432F-A3F4-2B16D9F62E68}</x14:id>
        </ext>
      </extLst>
    </cfRule>
  </conditionalFormatting>
  <conditionalFormatting sqref="J520">
    <cfRule type="cellIs" dxfId="9104" priority="4843" operator="equal">
      <formula>"ja"</formula>
    </cfRule>
  </conditionalFormatting>
  <conditionalFormatting sqref="C521">
    <cfRule type="containsText" dxfId="9103" priority="4840" operator="containsText" text="Einnahmen">
      <formula>NOT(ISERROR(SEARCH("Einnahmen",C521)))</formula>
    </cfRule>
    <cfRule type="containsText" dxfId="9102" priority="4841" operator="containsText" text="Ausgaben">
      <formula>NOT(ISERROR(SEARCH("Ausgaben",C521)))</formula>
    </cfRule>
  </conditionalFormatting>
  <conditionalFormatting sqref="J521">
    <cfRule type="cellIs" dxfId="9101" priority="4839" operator="equal">
      <formula>"ja"</formula>
    </cfRule>
  </conditionalFormatting>
  <conditionalFormatting sqref="T521">
    <cfRule type="expression" dxfId="9100" priority="4838">
      <formula>AND(AND($W521&lt;TODAY(),$W521&lt;&gt;""),$X521="")</formula>
    </cfRule>
  </conditionalFormatting>
  <conditionalFormatting sqref="Z521">
    <cfRule type="dataBar" priority="4837">
      <dataBar>
        <cfvo type="min"/>
        <cfvo type="max"/>
        <color rgb="FF63C384"/>
      </dataBar>
      <extLst>
        <ext xmlns:x14="http://schemas.microsoft.com/office/spreadsheetml/2009/9/main" uri="{B025F937-C7B1-47D3-B67F-A62EFF666E3E}">
          <x14:id>{40F1B512-B173-4F1F-88A4-551F7D701CF0}</x14:id>
        </ext>
      </extLst>
    </cfRule>
  </conditionalFormatting>
  <conditionalFormatting sqref="J492">
    <cfRule type="cellIs" dxfId="9099" priority="4823" operator="equal">
      <formula>"ja"</formula>
    </cfRule>
  </conditionalFormatting>
  <conditionalFormatting sqref="C522">
    <cfRule type="containsText" dxfId="9098" priority="4820" operator="containsText" text="Einnahmen">
      <formula>NOT(ISERROR(SEARCH("Einnahmen",C522)))</formula>
    </cfRule>
    <cfRule type="containsText" dxfId="9097" priority="4821" operator="containsText" text="Ausgaben">
      <formula>NOT(ISERROR(SEARCH("Ausgaben",C522)))</formula>
    </cfRule>
  </conditionalFormatting>
  <conditionalFormatting sqref="T522">
    <cfRule type="expression" dxfId="9096" priority="4819">
      <formula>AND(AND($W522&lt;TODAY(),$W522&lt;&gt;""),$X522="")</formula>
    </cfRule>
  </conditionalFormatting>
  <conditionalFormatting sqref="J522">
    <cfRule type="cellIs" dxfId="9095" priority="4818" operator="equal">
      <formula>"ja"</formula>
    </cfRule>
  </conditionalFormatting>
  <conditionalFormatting sqref="Z522">
    <cfRule type="dataBar" priority="4817">
      <dataBar>
        <cfvo type="min"/>
        <cfvo type="max"/>
        <color rgb="FF63C384"/>
      </dataBar>
      <extLst>
        <ext xmlns:x14="http://schemas.microsoft.com/office/spreadsheetml/2009/9/main" uri="{B025F937-C7B1-47D3-B67F-A62EFF666E3E}">
          <x14:id>{2CE258D8-434C-40BE-B5D1-49D9145E4FB7}</x14:id>
        </ext>
      </extLst>
    </cfRule>
  </conditionalFormatting>
  <conditionalFormatting sqref="Z522">
    <cfRule type="dataBar" priority="4816">
      <dataBar>
        <cfvo type="min"/>
        <cfvo type="max"/>
        <color rgb="FF63C384"/>
      </dataBar>
      <extLst>
        <ext xmlns:x14="http://schemas.microsoft.com/office/spreadsheetml/2009/9/main" uri="{B025F937-C7B1-47D3-B67F-A62EFF666E3E}">
          <x14:id>{1870FB4B-8790-41F6-AA6C-7DBB1E8E869A}</x14:id>
        </ext>
      </extLst>
    </cfRule>
  </conditionalFormatting>
  <conditionalFormatting sqref="T523">
    <cfRule type="expression" dxfId="9094" priority="4815">
      <formula>AND(AND($W523&lt;TODAY(),$W523&lt;&gt;""),$X523="")</formula>
    </cfRule>
  </conditionalFormatting>
  <conditionalFormatting sqref="Z523">
    <cfRule type="dataBar" priority="4814">
      <dataBar>
        <cfvo type="min"/>
        <cfvo type="max"/>
        <color rgb="FF63C384"/>
      </dataBar>
      <extLst>
        <ext xmlns:x14="http://schemas.microsoft.com/office/spreadsheetml/2009/9/main" uri="{B025F937-C7B1-47D3-B67F-A62EFF666E3E}">
          <x14:id>{C93B1D33-260C-4B0F-8129-BD1E76F8A969}</x14:id>
        </ext>
      </extLst>
    </cfRule>
  </conditionalFormatting>
  <conditionalFormatting sqref="Z523">
    <cfRule type="dataBar" priority="4813">
      <dataBar>
        <cfvo type="min"/>
        <cfvo type="max"/>
        <color rgb="FF63C384"/>
      </dataBar>
      <extLst>
        <ext xmlns:x14="http://schemas.microsoft.com/office/spreadsheetml/2009/9/main" uri="{B025F937-C7B1-47D3-B67F-A62EFF666E3E}">
          <x14:id>{B3751133-EED5-46FC-AC04-D548B99F6CA9}</x14:id>
        </ext>
      </extLst>
    </cfRule>
  </conditionalFormatting>
  <conditionalFormatting sqref="C524">
    <cfRule type="containsText" dxfId="9093" priority="4811" operator="containsText" text="Einnahmen">
      <formula>NOT(ISERROR(SEARCH("Einnahmen",C524)))</formula>
    </cfRule>
    <cfRule type="containsText" dxfId="9092" priority="4812" operator="containsText" text="Ausgaben">
      <formula>NOT(ISERROR(SEARCH("Ausgaben",C524)))</formula>
    </cfRule>
  </conditionalFormatting>
  <conditionalFormatting sqref="T524">
    <cfRule type="expression" dxfId="9091" priority="4810">
      <formula>AND(AND($W524&lt;TODAY(),$W524&lt;&gt;""),$X524="")</formula>
    </cfRule>
  </conditionalFormatting>
  <conditionalFormatting sqref="Z524">
    <cfRule type="dataBar" priority="4809">
      <dataBar>
        <cfvo type="min"/>
        <cfvo type="max"/>
        <color rgb="FF63C384"/>
      </dataBar>
      <extLst>
        <ext xmlns:x14="http://schemas.microsoft.com/office/spreadsheetml/2009/9/main" uri="{B025F937-C7B1-47D3-B67F-A62EFF666E3E}">
          <x14:id>{CA085BAF-CBDD-4C6C-BEB7-257E36404CCE}</x14:id>
        </ext>
      </extLst>
    </cfRule>
  </conditionalFormatting>
  <conditionalFormatting sqref="Z524">
    <cfRule type="dataBar" priority="4808">
      <dataBar>
        <cfvo type="min"/>
        <cfvo type="max"/>
        <color rgb="FF63C384"/>
      </dataBar>
      <extLst>
        <ext xmlns:x14="http://schemas.microsoft.com/office/spreadsheetml/2009/9/main" uri="{B025F937-C7B1-47D3-B67F-A62EFF666E3E}">
          <x14:id>{E5912002-3C30-4C83-84A9-EC0512119258}</x14:id>
        </ext>
      </extLst>
    </cfRule>
  </conditionalFormatting>
  <conditionalFormatting sqref="J524">
    <cfRule type="cellIs" dxfId="9090" priority="4807" operator="equal">
      <formula>"ja"</formula>
    </cfRule>
  </conditionalFormatting>
  <conditionalFormatting sqref="T525">
    <cfRule type="expression" dxfId="9089" priority="4806">
      <formula>AND(AND($W525&lt;TODAY(),$W525&lt;&gt;""),$X525="")</formula>
    </cfRule>
  </conditionalFormatting>
  <conditionalFormatting sqref="Z525">
    <cfRule type="dataBar" priority="4805">
      <dataBar>
        <cfvo type="min"/>
        <cfvo type="max"/>
        <color rgb="FF63C384"/>
      </dataBar>
      <extLst>
        <ext xmlns:x14="http://schemas.microsoft.com/office/spreadsheetml/2009/9/main" uri="{B025F937-C7B1-47D3-B67F-A62EFF666E3E}">
          <x14:id>{A60FB2FB-B034-4F4C-A7F5-0E31807E6F03}</x14:id>
        </ext>
      </extLst>
    </cfRule>
  </conditionalFormatting>
  <conditionalFormatting sqref="Z525">
    <cfRule type="dataBar" priority="4804">
      <dataBar>
        <cfvo type="min"/>
        <cfvo type="max"/>
        <color rgb="FF63C384"/>
      </dataBar>
      <extLst>
        <ext xmlns:x14="http://schemas.microsoft.com/office/spreadsheetml/2009/9/main" uri="{B025F937-C7B1-47D3-B67F-A62EFF666E3E}">
          <x14:id>{314110F2-CDF9-4B9D-8CD8-4B47E13F2104}</x14:id>
        </ext>
      </extLst>
    </cfRule>
  </conditionalFormatting>
  <conditionalFormatting sqref="C526">
    <cfRule type="containsText" dxfId="9088" priority="4802" operator="containsText" text="Einnahmen">
      <formula>NOT(ISERROR(SEARCH("Einnahmen",C526)))</formula>
    </cfRule>
    <cfRule type="containsText" dxfId="9087" priority="4803" operator="containsText" text="Ausgaben">
      <formula>NOT(ISERROR(SEARCH("Ausgaben",C526)))</formula>
    </cfRule>
  </conditionalFormatting>
  <conditionalFormatting sqref="J526">
    <cfRule type="cellIs" dxfId="9086" priority="4801" operator="equal">
      <formula>"ja"</formula>
    </cfRule>
  </conditionalFormatting>
  <conditionalFormatting sqref="T526">
    <cfRule type="expression" dxfId="9085" priority="4800">
      <formula>AND(AND($W526&lt;TODAY(),$W526&lt;&gt;""),$X526="")</formula>
    </cfRule>
  </conditionalFormatting>
  <conditionalFormatting sqref="Z526">
    <cfRule type="dataBar" priority="4799">
      <dataBar>
        <cfvo type="min"/>
        <cfvo type="max"/>
        <color rgb="FF63C384"/>
      </dataBar>
      <extLst>
        <ext xmlns:x14="http://schemas.microsoft.com/office/spreadsheetml/2009/9/main" uri="{B025F937-C7B1-47D3-B67F-A62EFF666E3E}">
          <x14:id>{950AE246-EBEA-439E-B1CD-2EF07BB0F7B8}</x14:id>
        </ext>
      </extLst>
    </cfRule>
  </conditionalFormatting>
  <conditionalFormatting sqref="Z526">
    <cfRule type="dataBar" priority="4798">
      <dataBar>
        <cfvo type="min"/>
        <cfvo type="max"/>
        <color rgb="FF63C384"/>
      </dataBar>
      <extLst>
        <ext xmlns:x14="http://schemas.microsoft.com/office/spreadsheetml/2009/9/main" uri="{B025F937-C7B1-47D3-B67F-A62EFF666E3E}">
          <x14:id>{31106FEE-218F-4F2F-8F06-B7529F01A179}</x14:id>
        </ext>
      </extLst>
    </cfRule>
  </conditionalFormatting>
  <conditionalFormatting sqref="T527">
    <cfRule type="expression" dxfId="9084" priority="4797">
      <formula>AND(AND($W527&lt;TODAY(),$W527&lt;&gt;""),$X527="")</formula>
    </cfRule>
  </conditionalFormatting>
  <conditionalFormatting sqref="Z527">
    <cfRule type="dataBar" priority="4796">
      <dataBar>
        <cfvo type="min"/>
        <cfvo type="max"/>
        <color rgb="FF63C384"/>
      </dataBar>
      <extLst>
        <ext xmlns:x14="http://schemas.microsoft.com/office/spreadsheetml/2009/9/main" uri="{B025F937-C7B1-47D3-B67F-A62EFF666E3E}">
          <x14:id>{166F77F6-AE4A-414F-A0EC-A4464C1D5EA5}</x14:id>
        </ext>
      </extLst>
    </cfRule>
  </conditionalFormatting>
  <conditionalFormatting sqref="Z527">
    <cfRule type="dataBar" priority="4795">
      <dataBar>
        <cfvo type="min"/>
        <cfvo type="max"/>
        <color rgb="FF63C384"/>
      </dataBar>
      <extLst>
        <ext xmlns:x14="http://schemas.microsoft.com/office/spreadsheetml/2009/9/main" uri="{B025F937-C7B1-47D3-B67F-A62EFF666E3E}">
          <x14:id>{D14B4BF3-4164-413B-B7B0-961ED71A2FF5}</x14:id>
        </ext>
      </extLst>
    </cfRule>
  </conditionalFormatting>
  <conditionalFormatting sqref="J528">
    <cfRule type="cellIs" dxfId="9083" priority="4794" operator="equal">
      <formula>"ja"</formula>
    </cfRule>
  </conditionalFormatting>
  <conditionalFormatting sqref="T528">
    <cfRule type="expression" dxfId="9082" priority="4793">
      <formula>AND(AND($W528&lt;TODAY(),$W528&lt;&gt;""),$X528="")</formula>
    </cfRule>
  </conditionalFormatting>
  <conditionalFormatting sqref="Z528">
    <cfRule type="dataBar" priority="4792">
      <dataBar>
        <cfvo type="min"/>
        <cfvo type="max"/>
        <color rgb="FF63C384"/>
      </dataBar>
      <extLst>
        <ext xmlns:x14="http://schemas.microsoft.com/office/spreadsheetml/2009/9/main" uri="{B025F937-C7B1-47D3-B67F-A62EFF666E3E}">
          <x14:id>{B1029EF6-4B32-459C-BF58-80125075B1AE}</x14:id>
        </ext>
      </extLst>
    </cfRule>
  </conditionalFormatting>
  <conditionalFormatting sqref="Z528">
    <cfRule type="dataBar" priority="4791">
      <dataBar>
        <cfvo type="min"/>
        <cfvo type="max"/>
        <color rgb="FF63C384"/>
      </dataBar>
      <extLst>
        <ext xmlns:x14="http://schemas.microsoft.com/office/spreadsheetml/2009/9/main" uri="{B025F937-C7B1-47D3-B67F-A62EFF666E3E}">
          <x14:id>{C3358E75-4933-4460-AAFA-5D2A47F1D9A1}</x14:id>
        </ext>
      </extLst>
    </cfRule>
  </conditionalFormatting>
  <conditionalFormatting sqref="T528">
    <cfRule type="expression" dxfId="9081" priority="4789">
      <formula>AND(AND($W528&lt;TODAY(),$W528&lt;&gt;""),$X528="")</formula>
    </cfRule>
  </conditionalFormatting>
  <conditionalFormatting sqref="J528">
    <cfRule type="cellIs" dxfId="9080" priority="4788" operator="equal">
      <formula>"ja"</formula>
    </cfRule>
  </conditionalFormatting>
  <conditionalFormatting sqref="Z528">
    <cfRule type="dataBar" priority="4787">
      <dataBar>
        <cfvo type="min"/>
        <cfvo type="max"/>
        <color rgb="FF63C384"/>
      </dataBar>
      <extLst>
        <ext xmlns:x14="http://schemas.microsoft.com/office/spreadsheetml/2009/9/main" uri="{B025F937-C7B1-47D3-B67F-A62EFF666E3E}">
          <x14:id>{7D8FEA5E-D39C-45BF-9651-19C3DB519C58}</x14:id>
        </ext>
      </extLst>
    </cfRule>
  </conditionalFormatting>
  <conditionalFormatting sqref="Z528">
    <cfRule type="dataBar" priority="4786">
      <dataBar>
        <cfvo type="min"/>
        <cfvo type="max"/>
        <color rgb="FF63C384"/>
      </dataBar>
      <extLst>
        <ext xmlns:x14="http://schemas.microsoft.com/office/spreadsheetml/2009/9/main" uri="{B025F937-C7B1-47D3-B67F-A62EFF666E3E}">
          <x14:id>{542CFCFC-74A1-4F71-99FF-A5E0C5E1CD4F}</x14:id>
        </ext>
      </extLst>
    </cfRule>
  </conditionalFormatting>
  <conditionalFormatting sqref="C528 C538 C540 C542 C552">
    <cfRule type="containsText" dxfId="9079" priority="4783" operator="containsText" text="Einnahmen">
      <formula>NOT(ISERROR(SEARCH("Einnahmen",C528)))</formula>
    </cfRule>
    <cfRule type="containsText" dxfId="9078" priority="4784" operator="containsText" text="Ausgaben">
      <formula>NOT(ISERROR(SEARCH("Ausgaben",C528)))</formula>
    </cfRule>
  </conditionalFormatting>
  <conditionalFormatting sqref="J529">
    <cfRule type="cellIs" dxfId="9077" priority="4782" operator="equal">
      <formula>"ja"</formula>
    </cfRule>
  </conditionalFormatting>
  <conditionalFormatting sqref="C529">
    <cfRule type="containsText" dxfId="9076" priority="4780" operator="containsText" text="Einnahmen">
      <formula>NOT(ISERROR(SEARCH("Einnahmen",C529)))</formula>
    </cfRule>
    <cfRule type="containsText" dxfId="9075" priority="4781" operator="containsText" text="Ausgaben">
      <formula>NOT(ISERROR(SEARCH("Ausgaben",C529)))</formula>
    </cfRule>
  </conditionalFormatting>
  <conditionalFormatting sqref="T529">
    <cfRule type="expression" dxfId="9074" priority="4779">
      <formula>AND(AND($W529&lt;TODAY(),$W529&lt;&gt;""),$X529="")</formula>
    </cfRule>
  </conditionalFormatting>
  <conditionalFormatting sqref="Z529">
    <cfRule type="dataBar" priority="4778">
      <dataBar>
        <cfvo type="min"/>
        <cfvo type="max"/>
        <color rgb="FF63C384"/>
      </dataBar>
      <extLst>
        <ext xmlns:x14="http://schemas.microsoft.com/office/spreadsheetml/2009/9/main" uri="{B025F937-C7B1-47D3-B67F-A62EFF666E3E}">
          <x14:id>{7604F595-62FB-407B-8082-64AFC55D0A7D}</x14:id>
        </ext>
      </extLst>
    </cfRule>
  </conditionalFormatting>
  <conditionalFormatting sqref="Z529">
    <cfRule type="dataBar" priority="4777">
      <dataBar>
        <cfvo type="min"/>
        <cfvo type="max"/>
        <color rgb="FF63C384"/>
      </dataBar>
      <extLst>
        <ext xmlns:x14="http://schemas.microsoft.com/office/spreadsheetml/2009/9/main" uri="{B025F937-C7B1-47D3-B67F-A62EFF666E3E}">
          <x14:id>{8020940B-0FAA-4E18-B451-B750F5CFE077}</x14:id>
        </ext>
      </extLst>
    </cfRule>
  </conditionalFormatting>
  <conditionalFormatting sqref="C530">
    <cfRule type="containsText" dxfId="9073" priority="4775" operator="containsText" text="Einnahmen">
      <formula>NOT(ISERROR(SEARCH("Einnahmen",C530)))</formula>
    </cfRule>
    <cfRule type="containsText" dxfId="9072" priority="4776" operator="containsText" text="Ausgaben">
      <formula>NOT(ISERROR(SEARCH("Ausgaben",C530)))</formula>
    </cfRule>
  </conditionalFormatting>
  <conditionalFormatting sqref="J530">
    <cfRule type="cellIs" dxfId="9071" priority="4774" operator="equal">
      <formula>"ja"</formula>
    </cfRule>
  </conditionalFormatting>
  <conditionalFormatting sqref="J530">
    <cfRule type="cellIs" dxfId="9070" priority="4762" operator="equal">
      <formula>"ja"</formula>
    </cfRule>
  </conditionalFormatting>
  <conditionalFormatting sqref="T530">
    <cfRule type="expression" dxfId="9069" priority="4761">
      <formula>AND(AND($W530&lt;TODAY(),$W530&lt;&gt;""),$X530="")</formula>
    </cfRule>
  </conditionalFormatting>
  <conditionalFormatting sqref="T530">
    <cfRule type="expression" dxfId="9068" priority="4773">
      <formula>AND(AND($W530&lt;TODAY(),$W530&lt;&gt;""),$X530="")</formula>
    </cfRule>
  </conditionalFormatting>
  <conditionalFormatting sqref="Z530">
    <cfRule type="dataBar" priority="4772">
      <dataBar>
        <cfvo type="min"/>
        <cfvo type="max"/>
        <color rgb="FF63C384"/>
      </dataBar>
      <extLst>
        <ext xmlns:x14="http://schemas.microsoft.com/office/spreadsheetml/2009/9/main" uri="{B025F937-C7B1-47D3-B67F-A62EFF666E3E}">
          <x14:id>{621D25C7-13DE-440C-96FE-F6248D4BA68B}</x14:id>
        </ext>
      </extLst>
    </cfRule>
  </conditionalFormatting>
  <conditionalFormatting sqref="Z530">
    <cfRule type="dataBar" priority="4771">
      <dataBar>
        <cfvo type="min"/>
        <cfvo type="max"/>
        <color rgb="FF63C384"/>
      </dataBar>
      <extLst>
        <ext xmlns:x14="http://schemas.microsoft.com/office/spreadsheetml/2009/9/main" uri="{B025F937-C7B1-47D3-B67F-A62EFF666E3E}">
          <x14:id>{D40318E6-B8A5-4AA6-A6CF-247CFF7FDA9F}</x14:id>
        </ext>
      </extLst>
    </cfRule>
  </conditionalFormatting>
  <conditionalFormatting sqref="J530">
    <cfRule type="cellIs" dxfId="9067" priority="4770" operator="equal">
      <formula>"ja"</formula>
    </cfRule>
  </conditionalFormatting>
  <conditionalFormatting sqref="T530">
    <cfRule type="expression" dxfId="9066" priority="4769">
      <formula>AND(AND($W530&lt;TODAY(),$W530&lt;&gt;""),$X530="")</formula>
    </cfRule>
  </conditionalFormatting>
  <conditionalFormatting sqref="Z530">
    <cfRule type="dataBar" priority="4768">
      <dataBar>
        <cfvo type="min"/>
        <cfvo type="max"/>
        <color rgb="FF63C384"/>
      </dataBar>
      <extLst>
        <ext xmlns:x14="http://schemas.microsoft.com/office/spreadsheetml/2009/9/main" uri="{B025F937-C7B1-47D3-B67F-A62EFF666E3E}">
          <x14:id>{CF21723E-7514-4D44-A339-1E6E68D2695C}</x14:id>
        </ext>
      </extLst>
    </cfRule>
  </conditionalFormatting>
  <conditionalFormatting sqref="Z530">
    <cfRule type="dataBar" priority="4767">
      <dataBar>
        <cfvo type="min"/>
        <cfvo type="max"/>
        <color rgb="FF63C384"/>
      </dataBar>
      <extLst>
        <ext xmlns:x14="http://schemas.microsoft.com/office/spreadsheetml/2009/9/main" uri="{B025F937-C7B1-47D3-B67F-A62EFF666E3E}">
          <x14:id>{1F330B44-5026-486C-A0ED-7B2D9186A6B1}</x14:id>
        </ext>
      </extLst>
    </cfRule>
  </conditionalFormatting>
  <conditionalFormatting sqref="J530">
    <cfRule type="cellIs" dxfId="9065" priority="4766" operator="equal">
      <formula>"ja"</formula>
    </cfRule>
  </conditionalFormatting>
  <conditionalFormatting sqref="T530">
    <cfRule type="expression" dxfId="9064" priority="4765">
      <formula>AND(AND($W530&lt;TODAY(),$W530&lt;&gt;""),$X530="")</formula>
    </cfRule>
  </conditionalFormatting>
  <conditionalFormatting sqref="Z530">
    <cfRule type="dataBar" priority="4764">
      <dataBar>
        <cfvo type="min"/>
        <cfvo type="max"/>
        <color rgb="FF63C384"/>
      </dataBar>
      <extLst>
        <ext xmlns:x14="http://schemas.microsoft.com/office/spreadsheetml/2009/9/main" uri="{B025F937-C7B1-47D3-B67F-A62EFF666E3E}">
          <x14:id>{6E2B1CB1-2F22-4673-88BB-12060450B15F}</x14:id>
        </ext>
      </extLst>
    </cfRule>
  </conditionalFormatting>
  <conditionalFormatting sqref="Z530">
    <cfRule type="dataBar" priority="4763">
      <dataBar>
        <cfvo type="min"/>
        <cfvo type="max"/>
        <color rgb="FF63C384"/>
      </dataBar>
      <extLst>
        <ext xmlns:x14="http://schemas.microsoft.com/office/spreadsheetml/2009/9/main" uri="{B025F937-C7B1-47D3-B67F-A62EFF666E3E}">
          <x14:id>{C687F450-A553-4A2A-A49B-90A406DA53FA}</x14:id>
        </ext>
      </extLst>
    </cfRule>
  </conditionalFormatting>
  <conditionalFormatting sqref="Z530">
    <cfRule type="dataBar" priority="4760">
      <dataBar>
        <cfvo type="min"/>
        <cfvo type="max"/>
        <color rgb="FF63C384"/>
      </dataBar>
      <extLst>
        <ext xmlns:x14="http://schemas.microsoft.com/office/spreadsheetml/2009/9/main" uri="{B025F937-C7B1-47D3-B67F-A62EFF666E3E}">
          <x14:id>{569A25F0-82E4-4346-9277-026D72F7FFF7}</x14:id>
        </ext>
      </extLst>
    </cfRule>
  </conditionalFormatting>
  <conditionalFormatting sqref="Z530">
    <cfRule type="dataBar" priority="4759">
      <dataBar>
        <cfvo type="min"/>
        <cfvo type="max"/>
        <color rgb="FF63C384"/>
      </dataBar>
      <extLst>
        <ext xmlns:x14="http://schemas.microsoft.com/office/spreadsheetml/2009/9/main" uri="{B025F937-C7B1-47D3-B67F-A62EFF666E3E}">
          <x14:id>{E81388A4-CC35-4D9A-AE7A-021949BE51D6}</x14:id>
        </ext>
      </extLst>
    </cfRule>
  </conditionalFormatting>
  <conditionalFormatting sqref="C531">
    <cfRule type="containsText" dxfId="9063" priority="4742" operator="containsText" text="Einnahmen">
      <formula>NOT(ISERROR(SEARCH("Einnahmen",C531)))</formula>
    </cfRule>
    <cfRule type="containsText" dxfId="9062" priority="4743" operator="containsText" text="Ausgaben">
      <formula>NOT(ISERROR(SEARCH("Ausgaben",C531)))</formula>
    </cfRule>
  </conditionalFormatting>
  <conditionalFormatting sqref="J531">
    <cfRule type="cellIs" dxfId="9061" priority="4740" operator="equal">
      <formula>"ja"</formula>
    </cfRule>
  </conditionalFormatting>
  <conditionalFormatting sqref="T531">
    <cfRule type="expression" dxfId="9060" priority="4739">
      <formula>AND(AND($W531&lt;TODAY(),$W531&lt;&gt;""),$X531="")</formula>
    </cfRule>
  </conditionalFormatting>
  <conditionalFormatting sqref="Z531">
    <cfRule type="dataBar" priority="4738">
      <dataBar>
        <cfvo type="min"/>
        <cfvo type="max"/>
        <color rgb="FF63C384"/>
      </dataBar>
      <extLst>
        <ext xmlns:x14="http://schemas.microsoft.com/office/spreadsheetml/2009/9/main" uri="{B025F937-C7B1-47D3-B67F-A62EFF666E3E}">
          <x14:id>{432B5A50-D3E4-4380-9944-6D5DBCD2BDEC}</x14:id>
        </ext>
      </extLst>
    </cfRule>
  </conditionalFormatting>
  <conditionalFormatting sqref="Z531">
    <cfRule type="dataBar" priority="4737">
      <dataBar>
        <cfvo type="min"/>
        <cfvo type="max"/>
        <color rgb="FF63C384"/>
      </dataBar>
      <extLst>
        <ext xmlns:x14="http://schemas.microsoft.com/office/spreadsheetml/2009/9/main" uri="{B025F937-C7B1-47D3-B67F-A62EFF666E3E}">
          <x14:id>{683626CF-12A1-4228-BE02-A506C3FF3E99}</x14:id>
        </ext>
      </extLst>
    </cfRule>
  </conditionalFormatting>
  <conditionalFormatting sqref="C531">
    <cfRule type="containsText" dxfId="9059" priority="4735" operator="containsText" text="Einnahmen">
      <formula>NOT(ISERROR(SEARCH("Einnahmen",C531)))</formula>
    </cfRule>
    <cfRule type="containsText" dxfId="9058" priority="4736" operator="containsText" text="Ausgaben">
      <formula>NOT(ISERROR(SEARCH("Ausgaben",C531)))</formula>
    </cfRule>
  </conditionalFormatting>
  <conditionalFormatting sqref="J531">
    <cfRule type="cellIs" dxfId="9057" priority="4734" operator="equal">
      <formula>"ja"</formula>
    </cfRule>
  </conditionalFormatting>
  <conditionalFormatting sqref="T531">
    <cfRule type="expression" dxfId="9056" priority="4733">
      <formula>AND(AND($W531&lt;TODAY(),$W531&lt;&gt;""),$X531="")</formula>
    </cfRule>
  </conditionalFormatting>
  <conditionalFormatting sqref="Z531">
    <cfRule type="dataBar" priority="4732">
      <dataBar>
        <cfvo type="min"/>
        <cfvo type="max"/>
        <color rgb="FF63C384"/>
      </dataBar>
      <extLst>
        <ext xmlns:x14="http://schemas.microsoft.com/office/spreadsheetml/2009/9/main" uri="{B025F937-C7B1-47D3-B67F-A62EFF666E3E}">
          <x14:id>{5FBCB05D-AAD9-4C0F-803F-5BB9B4A66C17}</x14:id>
        </ext>
      </extLst>
    </cfRule>
  </conditionalFormatting>
  <conditionalFormatting sqref="Z531">
    <cfRule type="dataBar" priority="4731">
      <dataBar>
        <cfvo type="min"/>
        <cfvo type="max"/>
        <color rgb="FF63C384"/>
      </dataBar>
      <extLst>
        <ext xmlns:x14="http://schemas.microsoft.com/office/spreadsheetml/2009/9/main" uri="{B025F937-C7B1-47D3-B67F-A62EFF666E3E}">
          <x14:id>{0658C951-5E5F-4A99-BCBD-22559BFA7C8D}</x14:id>
        </ext>
      </extLst>
    </cfRule>
  </conditionalFormatting>
  <conditionalFormatting sqref="C531">
    <cfRule type="containsText" dxfId="9055" priority="4728" operator="containsText" text="Einnahmen">
      <formula>NOT(ISERROR(SEARCH("Einnahmen",C531)))</formula>
    </cfRule>
    <cfRule type="containsText" dxfId="9054" priority="4729" operator="containsText" text="Ausgaben">
      <formula>NOT(ISERROR(SEARCH("Ausgaben",C531)))</formula>
    </cfRule>
  </conditionalFormatting>
  <conditionalFormatting sqref="J531">
    <cfRule type="cellIs" dxfId="9053" priority="4727" operator="equal">
      <formula>"ja"</formula>
    </cfRule>
  </conditionalFormatting>
  <conditionalFormatting sqref="T531">
    <cfRule type="expression" dxfId="9052" priority="4726">
      <formula>AND(AND($W531&lt;TODAY(),$W531&lt;&gt;""),$X531="")</formula>
    </cfRule>
  </conditionalFormatting>
  <conditionalFormatting sqref="Z531">
    <cfRule type="dataBar" priority="4725">
      <dataBar>
        <cfvo type="min"/>
        <cfvo type="max"/>
        <color rgb="FF63C384"/>
      </dataBar>
      <extLst>
        <ext xmlns:x14="http://schemas.microsoft.com/office/spreadsheetml/2009/9/main" uri="{B025F937-C7B1-47D3-B67F-A62EFF666E3E}">
          <x14:id>{2A29DA4A-0E1D-4C84-803B-8CAFCEAACBD9}</x14:id>
        </ext>
      </extLst>
    </cfRule>
  </conditionalFormatting>
  <conditionalFormatting sqref="Z531">
    <cfRule type="dataBar" priority="4724">
      <dataBar>
        <cfvo type="min"/>
        <cfvo type="max"/>
        <color rgb="FF63C384"/>
      </dataBar>
      <extLst>
        <ext xmlns:x14="http://schemas.microsoft.com/office/spreadsheetml/2009/9/main" uri="{B025F937-C7B1-47D3-B67F-A62EFF666E3E}">
          <x14:id>{EEADE5AE-31BF-486A-9212-0FC7B0DF7956}</x14:id>
        </ext>
      </extLst>
    </cfRule>
  </conditionalFormatting>
  <conditionalFormatting sqref="C531">
    <cfRule type="containsText" dxfId="9051" priority="4721" operator="containsText" text="Einnahmen">
      <formula>NOT(ISERROR(SEARCH("Einnahmen",C531)))</formula>
    </cfRule>
    <cfRule type="containsText" dxfId="9050" priority="4722" operator="containsText" text="Ausgaben">
      <formula>NOT(ISERROR(SEARCH("Ausgaben",C531)))</formula>
    </cfRule>
  </conditionalFormatting>
  <conditionalFormatting sqref="J531">
    <cfRule type="cellIs" dxfId="9049" priority="4719" operator="equal">
      <formula>"ja"</formula>
    </cfRule>
  </conditionalFormatting>
  <conditionalFormatting sqref="T531">
    <cfRule type="expression" dxfId="9048" priority="4718">
      <formula>AND(AND($W531&lt;TODAY(),$W531&lt;&gt;""),$X531="")</formula>
    </cfRule>
  </conditionalFormatting>
  <conditionalFormatting sqref="Z531">
    <cfRule type="dataBar" priority="4717">
      <dataBar>
        <cfvo type="min"/>
        <cfvo type="max"/>
        <color rgb="FF63C384"/>
      </dataBar>
      <extLst>
        <ext xmlns:x14="http://schemas.microsoft.com/office/spreadsheetml/2009/9/main" uri="{B025F937-C7B1-47D3-B67F-A62EFF666E3E}">
          <x14:id>{AB5D905C-5B0C-4603-B830-F7B35492448D}</x14:id>
        </ext>
      </extLst>
    </cfRule>
  </conditionalFormatting>
  <conditionalFormatting sqref="Z531">
    <cfRule type="dataBar" priority="4716">
      <dataBar>
        <cfvo type="min"/>
        <cfvo type="max"/>
        <color rgb="FF63C384"/>
      </dataBar>
      <extLst>
        <ext xmlns:x14="http://schemas.microsoft.com/office/spreadsheetml/2009/9/main" uri="{B025F937-C7B1-47D3-B67F-A62EFF666E3E}">
          <x14:id>{1B1B8ED8-C25A-4297-8F4C-504B7BDC7C59}</x14:id>
        </ext>
      </extLst>
    </cfRule>
  </conditionalFormatting>
  <conditionalFormatting sqref="J532">
    <cfRule type="cellIs" dxfId="9047" priority="4714" operator="equal">
      <formula>"ja"</formula>
    </cfRule>
  </conditionalFormatting>
  <conditionalFormatting sqref="T532">
    <cfRule type="expression" dxfId="9046" priority="4713">
      <formula>AND(AND($W532&lt;TODAY(),$W532&lt;&gt;""),$X532="")</formula>
    </cfRule>
  </conditionalFormatting>
  <conditionalFormatting sqref="Z532">
    <cfRule type="dataBar" priority="4712">
      <dataBar>
        <cfvo type="min"/>
        <cfvo type="max"/>
        <color rgb="FF63C384"/>
      </dataBar>
      <extLst>
        <ext xmlns:x14="http://schemas.microsoft.com/office/spreadsheetml/2009/9/main" uri="{B025F937-C7B1-47D3-B67F-A62EFF666E3E}">
          <x14:id>{6B9D614D-CF35-4075-920C-8B14713E33A2}</x14:id>
        </ext>
      </extLst>
    </cfRule>
  </conditionalFormatting>
  <conditionalFormatting sqref="C532">
    <cfRule type="containsText" dxfId="9045" priority="4710" operator="containsText" text="Einnahmen">
      <formula>NOT(ISERROR(SEARCH("Einnahmen",C532)))</formula>
    </cfRule>
    <cfRule type="containsText" dxfId="9044" priority="4711" operator="containsText" text="Ausgaben">
      <formula>NOT(ISERROR(SEARCH("Ausgaben",C532)))</formula>
    </cfRule>
  </conditionalFormatting>
  <conditionalFormatting sqref="J532">
    <cfRule type="cellIs" dxfId="9043" priority="4709" operator="equal">
      <formula>"ja"</formula>
    </cfRule>
  </conditionalFormatting>
  <conditionalFormatting sqref="T532">
    <cfRule type="expression" dxfId="9042" priority="4708">
      <formula>AND(AND($W532&lt;TODAY(),$W532&lt;&gt;""),$X532="")</formula>
    </cfRule>
  </conditionalFormatting>
  <conditionalFormatting sqref="Z532">
    <cfRule type="dataBar" priority="4707">
      <dataBar>
        <cfvo type="min"/>
        <cfvo type="max"/>
        <color rgb="FF63C384"/>
      </dataBar>
      <extLst>
        <ext xmlns:x14="http://schemas.microsoft.com/office/spreadsheetml/2009/9/main" uri="{B025F937-C7B1-47D3-B67F-A62EFF666E3E}">
          <x14:id>{84A46DCD-DC93-429A-9504-36F64379B7F5}</x14:id>
        </ext>
      </extLst>
    </cfRule>
  </conditionalFormatting>
  <conditionalFormatting sqref="Z532">
    <cfRule type="dataBar" priority="4706">
      <dataBar>
        <cfvo type="min"/>
        <cfvo type="max"/>
        <color rgb="FF63C384"/>
      </dataBar>
      <extLst>
        <ext xmlns:x14="http://schemas.microsoft.com/office/spreadsheetml/2009/9/main" uri="{B025F937-C7B1-47D3-B67F-A62EFF666E3E}">
          <x14:id>{B08E93EE-30E8-46BB-B711-10E852CDA5CA}</x14:id>
        </ext>
      </extLst>
    </cfRule>
  </conditionalFormatting>
  <conditionalFormatting sqref="T533">
    <cfRule type="expression" dxfId="9041" priority="4699">
      <formula>AND(AND($W533&lt;TODAY(),$W533&lt;&gt;""),$X533="")</formula>
    </cfRule>
  </conditionalFormatting>
  <conditionalFormatting sqref="Z533">
    <cfRule type="dataBar" priority="4698">
      <dataBar>
        <cfvo type="min"/>
        <cfvo type="max"/>
        <color rgb="FF63C384"/>
      </dataBar>
      <extLst>
        <ext xmlns:x14="http://schemas.microsoft.com/office/spreadsheetml/2009/9/main" uri="{B025F937-C7B1-47D3-B67F-A62EFF666E3E}">
          <x14:id>{1664A92A-5B26-4C8B-9A4A-1A353C31F721}</x14:id>
        </ext>
      </extLst>
    </cfRule>
  </conditionalFormatting>
  <conditionalFormatting sqref="T533">
    <cfRule type="expression" dxfId="9040" priority="4697">
      <formula>AND(AND($W533&lt;TODAY(),$W533&lt;&gt;""),$X533="")</formula>
    </cfRule>
  </conditionalFormatting>
  <conditionalFormatting sqref="Z533">
    <cfRule type="dataBar" priority="4696">
      <dataBar>
        <cfvo type="min"/>
        <cfvo type="max"/>
        <color rgb="FF63C384"/>
      </dataBar>
      <extLst>
        <ext xmlns:x14="http://schemas.microsoft.com/office/spreadsheetml/2009/9/main" uri="{B025F937-C7B1-47D3-B67F-A62EFF666E3E}">
          <x14:id>{D9C1A75C-C90A-40D2-83A6-921857006037}</x14:id>
        </ext>
      </extLst>
    </cfRule>
  </conditionalFormatting>
  <conditionalFormatting sqref="Z533">
    <cfRule type="dataBar" priority="4695">
      <dataBar>
        <cfvo type="min"/>
        <cfvo type="max"/>
        <color rgb="FF63C384"/>
      </dataBar>
      <extLst>
        <ext xmlns:x14="http://schemas.microsoft.com/office/spreadsheetml/2009/9/main" uri="{B025F937-C7B1-47D3-B67F-A62EFF666E3E}">
          <x14:id>{F4C4C809-E789-4C4B-83F6-2957E4282461}</x14:id>
        </ext>
      </extLst>
    </cfRule>
  </conditionalFormatting>
  <conditionalFormatting sqref="T534">
    <cfRule type="expression" dxfId="9039" priority="4694">
      <formula>AND(AND($W534&lt;TODAY(),$W534&lt;&gt;""),$X534="")</formula>
    </cfRule>
  </conditionalFormatting>
  <conditionalFormatting sqref="Z534">
    <cfRule type="dataBar" priority="4692">
      <dataBar>
        <cfvo type="min"/>
        <cfvo type="max"/>
        <color rgb="FF63C384"/>
      </dataBar>
      <extLst>
        <ext xmlns:x14="http://schemas.microsoft.com/office/spreadsheetml/2009/9/main" uri="{B025F937-C7B1-47D3-B67F-A62EFF666E3E}">
          <x14:id>{02A8CFDF-C304-443F-B9EF-9349E38B8F5F}</x14:id>
        </ext>
      </extLst>
    </cfRule>
  </conditionalFormatting>
  <conditionalFormatting sqref="Z534">
    <cfRule type="dataBar" priority="4691">
      <dataBar>
        <cfvo type="min"/>
        <cfvo type="max"/>
        <color rgb="FF63C384"/>
      </dataBar>
      <extLst>
        <ext xmlns:x14="http://schemas.microsoft.com/office/spreadsheetml/2009/9/main" uri="{B025F937-C7B1-47D3-B67F-A62EFF666E3E}">
          <x14:id>{9621CBF3-9391-4530-A665-8B4A780E77AC}</x14:id>
        </ext>
      </extLst>
    </cfRule>
  </conditionalFormatting>
  <conditionalFormatting sqref="C534">
    <cfRule type="containsText" dxfId="9038" priority="4688" operator="containsText" text="Einnahmen">
      <formula>NOT(ISERROR(SEARCH("Einnahmen",C534)))</formula>
    </cfRule>
    <cfRule type="containsText" dxfId="9037" priority="4689" operator="containsText" text="Ausgaben">
      <formula>NOT(ISERROR(SEARCH("Ausgaben",C534)))</formula>
    </cfRule>
  </conditionalFormatting>
  <conditionalFormatting sqref="C535">
    <cfRule type="containsText" dxfId="9036" priority="4686" operator="containsText" text="Einnahmen">
      <formula>NOT(ISERROR(SEARCH("Einnahmen",C535)))</formula>
    </cfRule>
    <cfRule type="containsText" dxfId="9035" priority="4687" operator="containsText" text="Ausgaben">
      <formula>NOT(ISERROR(SEARCH("Ausgaben",C535)))</formula>
    </cfRule>
  </conditionalFormatting>
  <conditionalFormatting sqref="J535">
    <cfRule type="cellIs" dxfId="9034" priority="4685" operator="equal">
      <formula>"ja"</formula>
    </cfRule>
  </conditionalFormatting>
  <conditionalFormatting sqref="T535">
    <cfRule type="expression" dxfId="9033" priority="4684">
      <formula>AND(AND($W535&lt;TODAY(),$W535&lt;&gt;""),$X535="")</formula>
    </cfRule>
  </conditionalFormatting>
  <conditionalFormatting sqref="Z535">
    <cfRule type="dataBar" priority="4683">
      <dataBar>
        <cfvo type="min"/>
        <cfvo type="max"/>
        <color rgb="FF63C384"/>
      </dataBar>
      <extLst>
        <ext xmlns:x14="http://schemas.microsoft.com/office/spreadsheetml/2009/9/main" uri="{B025F937-C7B1-47D3-B67F-A62EFF666E3E}">
          <x14:id>{23B2E62A-FB23-4D2A-85D3-0E538D263E27}</x14:id>
        </ext>
      </extLst>
    </cfRule>
  </conditionalFormatting>
  <conditionalFormatting sqref="Z535">
    <cfRule type="dataBar" priority="4682">
      <dataBar>
        <cfvo type="min"/>
        <cfvo type="max"/>
        <color rgb="FF63C384"/>
      </dataBar>
      <extLst>
        <ext xmlns:x14="http://schemas.microsoft.com/office/spreadsheetml/2009/9/main" uri="{B025F937-C7B1-47D3-B67F-A62EFF666E3E}">
          <x14:id>{9840DC2D-D124-415D-81FD-04DC19CE8A85}</x14:id>
        </ext>
      </extLst>
    </cfRule>
  </conditionalFormatting>
  <conditionalFormatting sqref="J536">
    <cfRule type="cellIs" dxfId="9032" priority="4681" operator="equal">
      <formula>"ja"</formula>
    </cfRule>
  </conditionalFormatting>
  <conditionalFormatting sqref="C536">
    <cfRule type="containsText" dxfId="9031" priority="4678" operator="containsText" text="Einnahmen">
      <formula>NOT(ISERROR(SEARCH("Einnahmen",C536)))</formula>
    </cfRule>
    <cfRule type="containsText" dxfId="9030" priority="4679" operator="containsText" text="Ausgaben">
      <formula>NOT(ISERROR(SEARCH("Ausgaben",C536)))</formula>
    </cfRule>
  </conditionalFormatting>
  <conditionalFormatting sqref="T536">
    <cfRule type="expression" dxfId="9029" priority="4677">
      <formula>AND(AND($W536&lt;TODAY(),$W536&lt;&gt;""),$X536="")</formula>
    </cfRule>
  </conditionalFormatting>
  <conditionalFormatting sqref="Z536">
    <cfRule type="dataBar" priority="4676">
      <dataBar>
        <cfvo type="min"/>
        <cfvo type="max"/>
        <color rgb="FF63C384"/>
      </dataBar>
      <extLst>
        <ext xmlns:x14="http://schemas.microsoft.com/office/spreadsheetml/2009/9/main" uri="{B025F937-C7B1-47D3-B67F-A62EFF666E3E}">
          <x14:id>{3C128DE8-D908-478C-8532-7EA33141E082}</x14:id>
        </ext>
      </extLst>
    </cfRule>
  </conditionalFormatting>
  <conditionalFormatting sqref="Z536">
    <cfRule type="dataBar" priority="4675">
      <dataBar>
        <cfvo type="min"/>
        <cfvo type="max"/>
        <color rgb="FF63C384"/>
      </dataBar>
      <extLst>
        <ext xmlns:x14="http://schemas.microsoft.com/office/spreadsheetml/2009/9/main" uri="{B025F937-C7B1-47D3-B67F-A62EFF666E3E}">
          <x14:id>{E65223AB-840C-4EB0-B1D2-BA7963812673}</x14:id>
        </ext>
      </extLst>
    </cfRule>
  </conditionalFormatting>
  <conditionalFormatting sqref="T518">
    <cfRule type="expression" dxfId="9028" priority="4674">
      <formula>AND(AND($W518&lt;TODAY(),$W518&lt;&gt;""),$X518="")</formula>
    </cfRule>
  </conditionalFormatting>
  <conditionalFormatting sqref="Z518">
    <cfRule type="dataBar" priority="4673">
      <dataBar>
        <cfvo type="min"/>
        <cfvo type="max"/>
        <color rgb="FF63C384"/>
      </dataBar>
      <extLst>
        <ext xmlns:x14="http://schemas.microsoft.com/office/spreadsheetml/2009/9/main" uri="{B025F937-C7B1-47D3-B67F-A62EFF666E3E}">
          <x14:id>{832248D3-8840-46BF-9808-192F68935687}</x14:id>
        </ext>
      </extLst>
    </cfRule>
  </conditionalFormatting>
  <conditionalFormatting sqref="Z518">
    <cfRule type="dataBar" priority="4672">
      <dataBar>
        <cfvo type="min"/>
        <cfvo type="max"/>
        <color rgb="FF63C384"/>
      </dataBar>
      <extLst>
        <ext xmlns:x14="http://schemas.microsoft.com/office/spreadsheetml/2009/9/main" uri="{B025F937-C7B1-47D3-B67F-A62EFF666E3E}">
          <x14:id>{69D1403F-B039-401C-824D-5E6F3AD828E8}</x14:id>
        </ext>
      </extLst>
    </cfRule>
  </conditionalFormatting>
  <conditionalFormatting sqref="T503">
    <cfRule type="expression" dxfId="9027" priority="4671">
      <formula>AND(AND($W503&lt;TODAY(),$W503&lt;&gt;""),$X503="")</formula>
    </cfRule>
  </conditionalFormatting>
  <conditionalFormatting sqref="Z503">
    <cfRule type="dataBar" priority="4670">
      <dataBar>
        <cfvo type="min"/>
        <cfvo type="max"/>
        <color rgb="FF63C384"/>
      </dataBar>
      <extLst>
        <ext xmlns:x14="http://schemas.microsoft.com/office/spreadsheetml/2009/9/main" uri="{B025F937-C7B1-47D3-B67F-A62EFF666E3E}">
          <x14:id>{95872678-22FD-4C57-A0C2-7ECBA579821E}</x14:id>
        </ext>
      </extLst>
    </cfRule>
  </conditionalFormatting>
  <conditionalFormatting sqref="Z503">
    <cfRule type="dataBar" priority="4669">
      <dataBar>
        <cfvo type="min"/>
        <cfvo type="max"/>
        <color rgb="FF63C384"/>
      </dataBar>
      <extLst>
        <ext xmlns:x14="http://schemas.microsoft.com/office/spreadsheetml/2009/9/main" uri="{B025F937-C7B1-47D3-B67F-A62EFF666E3E}">
          <x14:id>{F2E8FA2C-036E-48B3-89C5-29E3A8A70EB8}</x14:id>
        </ext>
      </extLst>
    </cfRule>
  </conditionalFormatting>
  <conditionalFormatting sqref="T537">
    <cfRule type="expression" dxfId="9026" priority="4668">
      <formula>AND(AND($W537&lt;TODAY(),$W537&lt;&gt;""),$X537="")</formula>
    </cfRule>
  </conditionalFormatting>
  <conditionalFormatting sqref="J537">
    <cfRule type="cellIs" dxfId="9025" priority="4667" operator="equal">
      <formula>"ja"</formula>
    </cfRule>
  </conditionalFormatting>
  <conditionalFormatting sqref="Z537">
    <cfRule type="dataBar" priority="4666">
      <dataBar>
        <cfvo type="min"/>
        <cfvo type="max"/>
        <color rgb="FF63C384"/>
      </dataBar>
      <extLst>
        <ext xmlns:x14="http://schemas.microsoft.com/office/spreadsheetml/2009/9/main" uri="{B025F937-C7B1-47D3-B67F-A62EFF666E3E}">
          <x14:id>{F624EB09-72D1-4327-9DC9-CBD005515DBF}</x14:id>
        </ext>
      </extLst>
    </cfRule>
  </conditionalFormatting>
  <conditionalFormatting sqref="Z537">
    <cfRule type="dataBar" priority="4665">
      <dataBar>
        <cfvo type="min"/>
        <cfvo type="max"/>
        <color rgb="FF63C384"/>
      </dataBar>
      <extLst>
        <ext xmlns:x14="http://schemas.microsoft.com/office/spreadsheetml/2009/9/main" uri="{B025F937-C7B1-47D3-B67F-A62EFF666E3E}">
          <x14:id>{50E6F24C-57DF-4C17-A9F8-9F03F8F3410F}</x14:id>
        </ext>
      </extLst>
    </cfRule>
  </conditionalFormatting>
  <conditionalFormatting sqref="C537">
    <cfRule type="containsText" dxfId="9024" priority="4662" operator="containsText" text="Einnahmen">
      <formula>NOT(ISERROR(SEARCH("Einnahmen",C537)))</formula>
    </cfRule>
    <cfRule type="containsText" dxfId="9023" priority="4663" operator="containsText" text="Ausgaben">
      <formula>NOT(ISERROR(SEARCH("Ausgaben",C537)))</formula>
    </cfRule>
  </conditionalFormatting>
  <conditionalFormatting sqref="T538">
    <cfRule type="expression" dxfId="9022" priority="4661">
      <formula>AND(AND($W538&lt;TODAY(),$W538&lt;&gt;""),$X538="")</formula>
    </cfRule>
  </conditionalFormatting>
  <conditionalFormatting sqref="Z538">
    <cfRule type="dataBar" priority="4660">
      <dataBar>
        <cfvo type="min"/>
        <cfvo type="max"/>
        <color rgb="FF63C384"/>
      </dataBar>
      <extLst>
        <ext xmlns:x14="http://schemas.microsoft.com/office/spreadsheetml/2009/9/main" uri="{B025F937-C7B1-47D3-B67F-A62EFF666E3E}">
          <x14:id>{6B3EF859-3C9D-4FBD-8197-2430FD87CA8C}</x14:id>
        </ext>
      </extLst>
    </cfRule>
  </conditionalFormatting>
  <conditionalFormatting sqref="Z538">
    <cfRule type="dataBar" priority="4659">
      <dataBar>
        <cfvo type="min"/>
        <cfvo type="max"/>
        <color rgb="FF63C384"/>
      </dataBar>
      <extLst>
        <ext xmlns:x14="http://schemas.microsoft.com/office/spreadsheetml/2009/9/main" uri="{B025F937-C7B1-47D3-B67F-A62EFF666E3E}">
          <x14:id>{243BF3D7-21A9-4887-AA12-7297BFAF73CC}</x14:id>
        </ext>
      </extLst>
    </cfRule>
  </conditionalFormatting>
  <conditionalFormatting sqref="C539">
    <cfRule type="containsText" dxfId="9021" priority="4657" operator="containsText" text="Einnahmen">
      <formula>NOT(ISERROR(SEARCH("Einnahmen",C539)))</formula>
    </cfRule>
    <cfRule type="containsText" dxfId="9020" priority="4658" operator="containsText" text="Ausgaben">
      <formula>NOT(ISERROR(SEARCH("Ausgaben",C539)))</formula>
    </cfRule>
  </conditionalFormatting>
  <conditionalFormatting sqref="T539">
    <cfRule type="expression" dxfId="9019" priority="4656">
      <formula>AND(AND($W539&lt;TODAY(),$W539&lt;&gt;""),$X539="")</formula>
    </cfRule>
  </conditionalFormatting>
  <conditionalFormatting sqref="Z539">
    <cfRule type="dataBar" priority="4655">
      <dataBar>
        <cfvo type="min"/>
        <cfvo type="max"/>
        <color rgb="FF63C384"/>
      </dataBar>
      <extLst>
        <ext xmlns:x14="http://schemas.microsoft.com/office/spreadsheetml/2009/9/main" uri="{B025F937-C7B1-47D3-B67F-A62EFF666E3E}">
          <x14:id>{A180547E-82B0-4A5B-8083-BDD10156A5EE}</x14:id>
        </ext>
      </extLst>
    </cfRule>
  </conditionalFormatting>
  <conditionalFormatting sqref="Z539">
    <cfRule type="dataBar" priority="4654">
      <dataBar>
        <cfvo type="min"/>
        <cfvo type="max"/>
        <color rgb="FF63C384"/>
      </dataBar>
      <extLst>
        <ext xmlns:x14="http://schemas.microsoft.com/office/spreadsheetml/2009/9/main" uri="{B025F937-C7B1-47D3-B67F-A62EFF666E3E}">
          <x14:id>{DAADC3EB-FEC1-4C7D-BA9E-680B58559329}</x14:id>
        </ext>
      </extLst>
    </cfRule>
  </conditionalFormatting>
  <conditionalFormatting sqref="J539">
    <cfRule type="cellIs" dxfId="9018" priority="4653" operator="equal">
      <formula>"ja"</formula>
    </cfRule>
  </conditionalFormatting>
  <conditionalFormatting sqref="T540">
    <cfRule type="expression" dxfId="9017" priority="4651">
      <formula>AND(AND($W540&lt;TODAY(),$W540&lt;&gt;""),$X540="")</formula>
    </cfRule>
  </conditionalFormatting>
  <conditionalFormatting sqref="Z540">
    <cfRule type="dataBar" priority="4650">
      <dataBar>
        <cfvo type="min"/>
        <cfvo type="max"/>
        <color rgb="FF63C384"/>
      </dataBar>
      <extLst>
        <ext xmlns:x14="http://schemas.microsoft.com/office/spreadsheetml/2009/9/main" uri="{B025F937-C7B1-47D3-B67F-A62EFF666E3E}">
          <x14:id>{25D902A4-FD7D-40B3-9A4B-F58F4B50859F}</x14:id>
        </ext>
      </extLst>
    </cfRule>
  </conditionalFormatting>
  <conditionalFormatting sqref="Z540">
    <cfRule type="dataBar" priority="4649">
      <dataBar>
        <cfvo type="min"/>
        <cfvo type="max"/>
        <color rgb="FF63C384"/>
      </dataBar>
      <extLst>
        <ext xmlns:x14="http://schemas.microsoft.com/office/spreadsheetml/2009/9/main" uri="{B025F937-C7B1-47D3-B67F-A62EFF666E3E}">
          <x14:id>{6B34B241-79F1-4DE9-89AD-74357F9EC436}</x14:id>
        </ext>
      </extLst>
    </cfRule>
  </conditionalFormatting>
  <conditionalFormatting sqref="C541">
    <cfRule type="containsText" dxfId="9016" priority="4647" operator="containsText" text="Einnahmen">
      <formula>NOT(ISERROR(SEARCH("Einnahmen",C541)))</formula>
    </cfRule>
    <cfRule type="containsText" dxfId="9015" priority="4648" operator="containsText" text="Ausgaben">
      <formula>NOT(ISERROR(SEARCH("Ausgaben",C541)))</formula>
    </cfRule>
  </conditionalFormatting>
  <conditionalFormatting sqref="J541">
    <cfRule type="cellIs" dxfId="9014" priority="4646" operator="equal">
      <formula>"ja"</formula>
    </cfRule>
  </conditionalFormatting>
  <conditionalFormatting sqref="T541">
    <cfRule type="expression" dxfId="9013" priority="4645">
      <formula>AND(AND($W541&lt;TODAY(),$W541&lt;&gt;""),$X541="")</formula>
    </cfRule>
  </conditionalFormatting>
  <conditionalFormatting sqref="Z541">
    <cfRule type="dataBar" priority="4644">
      <dataBar>
        <cfvo type="min"/>
        <cfvo type="max"/>
        <color rgb="FF63C384"/>
      </dataBar>
      <extLst>
        <ext xmlns:x14="http://schemas.microsoft.com/office/spreadsheetml/2009/9/main" uri="{B025F937-C7B1-47D3-B67F-A62EFF666E3E}">
          <x14:id>{92F84E9D-1BDC-48BD-A982-F32894FDD19F}</x14:id>
        </ext>
      </extLst>
    </cfRule>
  </conditionalFormatting>
  <conditionalFormatting sqref="T542">
    <cfRule type="expression" dxfId="9012" priority="4641">
      <formula>AND(AND($W542&lt;TODAY(),$W542&lt;&gt;""),$X542="")</formula>
    </cfRule>
  </conditionalFormatting>
  <conditionalFormatting sqref="Z542">
    <cfRule type="dataBar" priority="4640">
      <dataBar>
        <cfvo type="min"/>
        <cfvo type="max"/>
        <color rgb="FF63C384"/>
      </dataBar>
      <extLst>
        <ext xmlns:x14="http://schemas.microsoft.com/office/spreadsheetml/2009/9/main" uri="{B025F937-C7B1-47D3-B67F-A62EFF666E3E}">
          <x14:id>{17A666A7-686D-4BAA-8EE9-1A5FBE49614D}</x14:id>
        </ext>
      </extLst>
    </cfRule>
  </conditionalFormatting>
  <conditionalFormatting sqref="J543">
    <cfRule type="cellIs" dxfId="9011" priority="4629" operator="equal">
      <formula>"ja"</formula>
    </cfRule>
  </conditionalFormatting>
  <conditionalFormatting sqref="T543">
    <cfRule type="expression" dxfId="9010" priority="4628">
      <formula>AND(AND($W543&lt;TODAY(),$W543&lt;&gt;""),$X543="")</formula>
    </cfRule>
  </conditionalFormatting>
  <conditionalFormatting sqref="Z543">
    <cfRule type="dataBar" priority="4627">
      <dataBar>
        <cfvo type="min"/>
        <cfvo type="max"/>
        <color rgb="FF63C384"/>
      </dataBar>
      <extLst>
        <ext xmlns:x14="http://schemas.microsoft.com/office/spreadsheetml/2009/9/main" uri="{B025F937-C7B1-47D3-B67F-A62EFF666E3E}">
          <x14:id>{66DF3ECE-95E7-4D36-8321-AE871E990525}</x14:id>
        </ext>
      </extLst>
    </cfRule>
  </conditionalFormatting>
  <conditionalFormatting sqref="Z543">
    <cfRule type="dataBar" priority="4626">
      <dataBar>
        <cfvo type="min"/>
        <cfvo type="max"/>
        <color rgb="FF63C384"/>
      </dataBar>
      <extLst>
        <ext xmlns:x14="http://schemas.microsoft.com/office/spreadsheetml/2009/9/main" uri="{B025F937-C7B1-47D3-B67F-A62EFF666E3E}">
          <x14:id>{BCF9341A-B70A-4B3D-AD3B-1B0307FBA4E1}</x14:id>
        </ext>
      </extLst>
    </cfRule>
  </conditionalFormatting>
  <conditionalFormatting sqref="T543">
    <cfRule type="expression" dxfId="9009" priority="4625">
      <formula>AND(AND($W543&lt;TODAY(),$W543&lt;&gt;""),$X543="")</formula>
    </cfRule>
  </conditionalFormatting>
  <conditionalFormatting sqref="J543">
    <cfRule type="cellIs" dxfId="9008" priority="4624" operator="equal">
      <formula>"ja"</formula>
    </cfRule>
  </conditionalFormatting>
  <conditionalFormatting sqref="Z543">
    <cfRule type="dataBar" priority="4623">
      <dataBar>
        <cfvo type="min"/>
        <cfvo type="max"/>
        <color rgb="FF63C384"/>
      </dataBar>
      <extLst>
        <ext xmlns:x14="http://schemas.microsoft.com/office/spreadsheetml/2009/9/main" uri="{B025F937-C7B1-47D3-B67F-A62EFF666E3E}">
          <x14:id>{953C9BC4-B937-4870-BA3A-622DA0B85199}</x14:id>
        </ext>
      </extLst>
    </cfRule>
  </conditionalFormatting>
  <conditionalFormatting sqref="Z543">
    <cfRule type="dataBar" priority="4622">
      <dataBar>
        <cfvo type="min"/>
        <cfvo type="max"/>
        <color rgb="FF63C384"/>
      </dataBar>
      <extLst>
        <ext xmlns:x14="http://schemas.microsoft.com/office/spreadsheetml/2009/9/main" uri="{B025F937-C7B1-47D3-B67F-A62EFF666E3E}">
          <x14:id>{ED0E7724-E799-475C-9CEC-773A48B777FD}</x14:id>
        </ext>
      </extLst>
    </cfRule>
  </conditionalFormatting>
  <conditionalFormatting sqref="C544">
    <cfRule type="containsText" dxfId="9007" priority="4620" operator="containsText" text="Einnahmen">
      <formula>NOT(ISERROR(SEARCH("Einnahmen",C544)))</formula>
    </cfRule>
    <cfRule type="containsText" dxfId="9006" priority="4621" operator="containsText" text="Ausgaben">
      <formula>NOT(ISERROR(SEARCH("Ausgaben",C544)))</formula>
    </cfRule>
  </conditionalFormatting>
  <conditionalFormatting sqref="T544">
    <cfRule type="expression" dxfId="9005" priority="4619">
      <formula>AND(AND($W544&lt;TODAY(),$W544&lt;&gt;""),$X544="")</formula>
    </cfRule>
  </conditionalFormatting>
  <conditionalFormatting sqref="Z544">
    <cfRule type="dataBar" priority="4618">
      <dataBar>
        <cfvo type="min"/>
        <cfvo type="max"/>
        <color rgb="FF63C384"/>
      </dataBar>
      <extLst>
        <ext xmlns:x14="http://schemas.microsoft.com/office/spreadsheetml/2009/9/main" uri="{B025F937-C7B1-47D3-B67F-A62EFF666E3E}">
          <x14:id>{8B0B4DB7-04E8-4DD8-B733-ABCD515966B3}</x14:id>
        </ext>
      </extLst>
    </cfRule>
  </conditionalFormatting>
  <conditionalFormatting sqref="Z544">
    <cfRule type="dataBar" priority="4617">
      <dataBar>
        <cfvo type="min"/>
        <cfvo type="max"/>
        <color rgb="FF63C384"/>
      </dataBar>
      <extLst>
        <ext xmlns:x14="http://schemas.microsoft.com/office/spreadsheetml/2009/9/main" uri="{B025F937-C7B1-47D3-B67F-A62EFF666E3E}">
          <x14:id>{23B5A099-1022-499E-863F-A49A58328EEF}</x14:id>
        </ext>
      </extLst>
    </cfRule>
  </conditionalFormatting>
  <conditionalFormatting sqref="J544">
    <cfRule type="cellIs" dxfId="9004" priority="4616" operator="equal">
      <formula>"ja"</formula>
    </cfRule>
  </conditionalFormatting>
  <conditionalFormatting sqref="J545">
    <cfRule type="cellIs" dxfId="9003" priority="4613" operator="equal">
      <formula>"ja"</formula>
    </cfRule>
  </conditionalFormatting>
  <conditionalFormatting sqref="C545">
    <cfRule type="containsText" dxfId="9002" priority="4611" operator="containsText" text="Einnahmen">
      <formula>NOT(ISERROR(SEARCH("Einnahmen",C545)))</formula>
    </cfRule>
    <cfRule type="containsText" dxfId="9001" priority="4612" operator="containsText" text="Ausgaben">
      <formula>NOT(ISERROR(SEARCH("Ausgaben",C545)))</formula>
    </cfRule>
  </conditionalFormatting>
  <conditionalFormatting sqref="T545">
    <cfRule type="expression" dxfId="9000" priority="4610">
      <formula>AND(AND($W545&lt;TODAY(),$W545&lt;&gt;""),$X545="")</formula>
    </cfRule>
  </conditionalFormatting>
  <conditionalFormatting sqref="Z545">
    <cfRule type="dataBar" priority="4609">
      <dataBar>
        <cfvo type="min"/>
        <cfvo type="max"/>
        <color rgb="FF63C384"/>
      </dataBar>
      <extLst>
        <ext xmlns:x14="http://schemas.microsoft.com/office/spreadsheetml/2009/9/main" uri="{B025F937-C7B1-47D3-B67F-A62EFF666E3E}">
          <x14:id>{D7DE73D9-8E87-4882-855A-A5F776E91953}</x14:id>
        </ext>
      </extLst>
    </cfRule>
  </conditionalFormatting>
  <conditionalFormatting sqref="Z545">
    <cfRule type="dataBar" priority="4608">
      <dataBar>
        <cfvo type="min"/>
        <cfvo type="max"/>
        <color rgb="FF63C384"/>
      </dataBar>
      <extLst>
        <ext xmlns:x14="http://schemas.microsoft.com/office/spreadsheetml/2009/9/main" uri="{B025F937-C7B1-47D3-B67F-A62EFF666E3E}">
          <x14:id>{8E0A0C7D-4131-46AC-B450-16D6361F2E87}</x14:id>
        </ext>
      </extLst>
    </cfRule>
  </conditionalFormatting>
  <conditionalFormatting sqref="C546">
    <cfRule type="containsText" dxfId="8999" priority="4606" operator="containsText" text="Einnahmen">
      <formula>NOT(ISERROR(SEARCH("Einnahmen",C546)))</formula>
    </cfRule>
    <cfRule type="containsText" dxfId="8998" priority="4607" operator="containsText" text="Ausgaben">
      <formula>NOT(ISERROR(SEARCH("Ausgaben",C546)))</formula>
    </cfRule>
  </conditionalFormatting>
  <conditionalFormatting sqref="J546">
    <cfRule type="cellIs" dxfId="8997" priority="4605" operator="equal">
      <formula>"ja"</formula>
    </cfRule>
  </conditionalFormatting>
  <conditionalFormatting sqref="J546">
    <cfRule type="cellIs" dxfId="8996" priority="4593" operator="equal">
      <formula>"ja"</formula>
    </cfRule>
  </conditionalFormatting>
  <conditionalFormatting sqref="T546">
    <cfRule type="expression" dxfId="8995" priority="4592">
      <formula>AND(AND($W546&lt;TODAY(),$W546&lt;&gt;""),$X546="")</formula>
    </cfRule>
  </conditionalFormatting>
  <conditionalFormatting sqref="T546">
    <cfRule type="expression" dxfId="8994" priority="4604">
      <formula>AND(AND($W546&lt;TODAY(),$W546&lt;&gt;""),$X546="")</formula>
    </cfRule>
  </conditionalFormatting>
  <conditionalFormatting sqref="Z546">
    <cfRule type="dataBar" priority="4603">
      <dataBar>
        <cfvo type="min"/>
        <cfvo type="max"/>
        <color rgb="FF63C384"/>
      </dataBar>
      <extLst>
        <ext xmlns:x14="http://schemas.microsoft.com/office/spreadsheetml/2009/9/main" uri="{B025F937-C7B1-47D3-B67F-A62EFF666E3E}">
          <x14:id>{09521BC1-3660-41E5-82DC-8C13C93DD0CB}</x14:id>
        </ext>
      </extLst>
    </cfRule>
  </conditionalFormatting>
  <conditionalFormatting sqref="Z546">
    <cfRule type="dataBar" priority="4602">
      <dataBar>
        <cfvo type="min"/>
        <cfvo type="max"/>
        <color rgb="FF63C384"/>
      </dataBar>
      <extLst>
        <ext xmlns:x14="http://schemas.microsoft.com/office/spreadsheetml/2009/9/main" uri="{B025F937-C7B1-47D3-B67F-A62EFF666E3E}">
          <x14:id>{64659C06-81E4-4569-9676-7C403062657F}</x14:id>
        </ext>
      </extLst>
    </cfRule>
  </conditionalFormatting>
  <conditionalFormatting sqref="J546">
    <cfRule type="cellIs" dxfId="8993" priority="4601" operator="equal">
      <formula>"ja"</formula>
    </cfRule>
  </conditionalFormatting>
  <conditionalFormatting sqref="T546">
    <cfRule type="expression" dxfId="8992" priority="4600">
      <formula>AND(AND($W546&lt;TODAY(),$W546&lt;&gt;""),$X546="")</formula>
    </cfRule>
  </conditionalFormatting>
  <conditionalFormatting sqref="Z546">
    <cfRule type="dataBar" priority="4599">
      <dataBar>
        <cfvo type="min"/>
        <cfvo type="max"/>
        <color rgb="FF63C384"/>
      </dataBar>
      <extLst>
        <ext xmlns:x14="http://schemas.microsoft.com/office/spreadsheetml/2009/9/main" uri="{B025F937-C7B1-47D3-B67F-A62EFF666E3E}">
          <x14:id>{CAA5F6B1-091D-4C8E-B6EE-7B82C81E89E6}</x14:id>
        </ext>
      </extLst>
    </cfRule>
  </conditionalFormatting>
  <conditionalFormatting sqref="Z546">
    <cfRule type="dataBar" priority="4598">
      <dataBar>
        <cfvo type="min"/>
        <cfvo type="max"/>
        <color rgb="FF63C384"/>
      </dataBar>
      <extLst>
        <ext xmlns:x14="http://schemas.microsoft.com/office/spreadsheetml/2009/9/main" uri="{B025F937-C7B1-47D3-B67F-A62EFF666E3E}">
          <x14:id>{53F66525-B7F0-4676-BEC0-73E0EFD5973B}</x14:id>
        </ext>
      </extLst>
    </cfRule>
  </conditionalFormatting>
  <conditionalFormatting sqref="J546">
    <cfRule type="cellIs" dxfId="8991" priority="4597" operator="equal">
      <formula>"ja"</formula>
    </cfRule>
  </conditionalFormatting>
  <conditionalFormatting sqref="T546">
    <cfRule type="expression" dxfId="8990" priority="4596">
      <formula>AND(AND($W546&lt;TODAY(),$W546&lt;&gt;""),$X546="")</formula>
    </cfRule>
  </conditionalFormatting>
  <conditionalFormatting sqref="Z546">
    <cfRule type="dataBar" priority="4595">
      <dataBar>
        <cfvo type="min"/>
        <cfvo type="max"/>
        <color rgb="FF63C384"/>
      </dataBar>
      <extLst>
        <ext xmlns:x14="http://schemas.microsoft.com/office/spreadsheetml/2009/9/main" uri="{B025F937-C7B1-47D3-B67F-A62EFF666E3E}">
          <x14:id>{A7DBD2F2-70BD-469F-83C4-CD39B55E78D4}</x14:id>
        </ext>
      </extLst>
    </cfRule>
  </conditionalFormatting>
  <conditionalFormatting sqref="Z546">
    <cfRule type="dataBar" priority="4594">
      <dataBar>
        <cfvo type="min"/>
        <cfvo type="max"/>
        <color rgb="FF63C384"/>
      </dataBar>
      <extLst>
        <ext xmlns:x14="http://schemas.microsoft.com/office/spreadsheetml/2009/9/main" uri="{B025F937-C7B1-47D3-B67F-A62EFF666E3E}">
          <x14:id>{EA0BE8B1-EEE6-4388-BDA3-1D3559187C79}</x14:id>
        </ext>
      </extLst>
    </cfRule>
  </conditionalFormatting>
  <conditionalFormatting sqref="Z546">
    <cfRule type="dataBar" priority="4591">
      <dataBar>
        <cfvo type="min"/>
        <cfvo type="max"/>
        <color rgb="FF63C384"/>
      </dataBar>
      <extLst>
        <ext xmlns:x14="http://schemas.microsoft.com/office/spreadsheetml/2009/9/main" uri="{B025F937-C7B1-47D3-B67F-A62EFF666E3E}">
          <x14:id>{CD760639-A2ED-43E8-9A67-543CEA00FA75}</x14:id>
        </ext>
      </extLst>
    </cfRule>
  </conditionalFormatting>
  <conditionalFormatting sqref="Z546">
    <cfRule type="dataBar" priority="4590">
      <dataBar>
        <cfvo type="min"/>
        <cfvo type="max"/>
        <color rgb="FF63C384"/>
      </dataBar>
      <extLst>
        <ext xmlns:x14="http://schemas.microsoft.com/office/spreadsheetml/2009/9/main" uri="{B025F937-C7B1-47D3-B67F-A62EFF666E3E}">
          <x14:id>{D9996A90-6854-458C-BFF8-A6121DF41143}</x14:id>
        </ext>
      </extLst>
    </cfRule>
  </conditionalFormatting>
  <conditionalFormatting sqref="J547">
    <cfRule type="cellIs" dxfId="8989" priority="4584" operator="equal">
      <formula>"ja"</formula>
    </cfRule>
  </conditionalFormatting>
  <conditionalFormatting sqref="T547">
    <cfRule type="expression" dxfId="8988" priority="4583">
      <formula>AND(AND($W547&lt;TODAY(),$W547&lt;&gt;""),$X547="")</formula>
    </cfRule>
  </conditionalFormatting>
  <conditionalFormatting sqref="Z547">
    <cfRule type="dataBar" priority="4582">
      <dataBar>
        <cfvo type="min"/>
        <cfvo type="max"/>
        <color rgb="FF63C384"/>
      </dataBar>
      <extLst>
        <ext xmlns:x14="http://schemas.microsoft.com/office/spreadsheetml/2009/9/main" uri="{B025F937-C7B1-47D3-B67F-A62EFF666E3E}">
          <x14:id>{AB6C1BFA-7C5B-4698-9216-DB2586FDEEA1}</x14:id>
        </ext>
      </extLst>
    </cfRule>
  </conditionalFormatting>
  <conditionalFormatting sqref="C547">
    <cfRule type="containsText" dxfId="8987" priority="4580" operator="containsText" text="Einnahmen">
      <formula>NOT(ISERROR(SEARCH("Einnahmen",C547)))</formula>
    </cfRule>
    <cfRule type="containsText" dxfId="8986" priority="4581" operator="containsText" text="Ausgaben">
      <formula>NOT(ISERROR(SEARCH("Ausgaben",C547)))</formula>
    </cfRule>
  </conditionalFormatting>
  <conditionalFormatting sqref="J547">
    <cfRule type="cellIs" dxfId="8985" priority="4579" operator="equal">
      <formula>"ja"</formula>
    </cfRule>
  </conditionalFormatting>
  <conditionalFormatting sqref="T547">
    <cfRule type="expression" dxfId="8984" priority="4578">
      <formula>AND(AND($W547&lt;TODAY(),$W547&lt;&gt;""),$X547="")</formula>
    </cfRule>
  </conditionalFormatting>
  <conditionalFormatting sqref="Z547">
    <cfRule type="dataBar" priority="4577">
      <dataBar>
        <cfvo type="min"/>
        <cfvo type="max"/>
        <color rgb="FF63C384"/>
      </dataBar>
      <extLst>
        <ext xmlns:x14="http://schemas.microsoft.com/office/spreadsheetml/2009/9/main" uri="{B025F937-C7B1-47D3-B67F-A62EFF666E3E}">
          <x14:id>{E2EEAB93-17AC-4DC5-AF94-599E356BD903}</x14:id>
        </ext>
      </extLst>
    </cfRule>
  </conditionalFormatting>
  <conditionalFormatting sqref="Z547">
    <cfRule type="dataBar" priority="4576">
      <dataBar>
        <cfvo type="min"/>
        <cfvo type="max"/>
        <color rgb="FF63C384"/>
      </dataBar>
      <extLst>
        <ext xmlns:x14="http://schemas.microsoft.com/office/spreadsheetml/2009/9/main" uri="{B025F937-C7B1-47D3-B67F-A62EFF666E3E}">
          <x14:id>{1E8158F5-5AC2-4063-82F1-BBB188996B3C}</x14:id>
        </ext>
      </extLst>
    </cfRule>
  </conditionalFormatting>
  <conditionalFormatting sqref="T548">
    <cfRule type="expression" dxfId="8983" priority="4574">
      <formula>AND(AND($W548&lt;TODAY(),$W548&lt;&gt;""),$X548="")</formula>
    </cfRule>
  </conditionalFormatting>
  <conditionalFormatting sqref="Z548">
    <cfRule type="dataBar" priority="4572">
      <dataBar>
        <cfvo type="min"/>
        <cfvo type="max"/>
        <color rgb="FF63C384"/>
      </dataBar>
      <extLst>
        <ext xmlns:x14="http://schemas.microsoft.com/office/spreadsheetml/2009/9/main" uri="{B025F937-C7B1-47D3-B67F-A62EFF666E3E}">
          <x14:id>{CF9C4C3C-B229-490A-9FCC-390C34CEA0D2}</x14:id>
        </ext>
      </extLst>
    </cfRule>
  </conditionalFormatting>
  <conditionalFormatting sqref="Z548">
    <cfRule type="dataBar" priority="4571">
      <dataBar>
        <cfvo type="min"/>
        <cfvo type="max"/>
        <color rgb="FF63C384"/>
      </dataBar>
      <extLst>
        <ext xmlns:x14="http://schemas.microsoft.com/office/spreadsheetml/2009/9/main" uri="{B025F937-C7B1-47D3-B67F-A62EFF666E3E}">
          <x14:id>{E093D3A2-7F10-4094-8B98-87EAC5E25EC5}</x14:id>
        </ext>
      </extLst>
    </cfRule>
  </conditionalFormatting>
  <conditionalFormatting sqref="C548">
    <cfRule type="containsText" dxfId="8982" priority="4568" operator="containsText" text="Einnahmen">
      <formula>NOT(ISERROR(SEARCH("Einnahmen",C548)))</formula>
    </cfRule>
    <cfRule type="containsText" dxfId="8981" priority="4569" operator="containsText" text="Ausgaben">
      <formula>NOT(ISERROR(SEARCH("Ausgaben",C548)))</formula>
    </cfRule>
  </conditionalFormatting>
  <conditionalFormatting sqref="J549">
    <cfRule type="cellIs" dxfId="8980" priority="4567" operator="equal">
      <formula>"ja"</formula>
    </cfRule>
  </conditionalFormatting>
  <conditionalFormatting sqref="C549">
    <cfRule type="containsText" dxfId="8979" priority="4564" operator="containsText" text="Einnahmen">
      <formula>NOT(ISERROR(SEARCH("Einnahmen",C549)))</formula>
    </cfRule>
    <cfRule type="containsText" dxfId="8978" priority="4565" operator="containsText" text="Ausgaben">
      <formula>NOT(ISERROR(SEARCH("Ausgaben",C549)))</formula>
    </cfRule>
  </conditionalFormatting>
  <conditionalFormatting sqref="T549">
    <cfRule type="expression" dxfId="8977" priority="4563">
      <formula>AND(AND($W549&lt;TODAY(),$W549&lt;&gt;""),$X549="")</formula>
    </cfRule>
  </conditionalFormatting>
  <conditionalFormatting sqref="Z549">
    <cfRule type="dataBar" priority="4562">
      <dataBar>
        <cfvo type="min"/>
        <cfvo type="max"/>
        <color rgb="FF63C384"/>
      </dataBar>
      <extLst>
        <ext xmlns:x14="http://schemas.microsoft.com/office/spreadsheetml/2009/9/main" uri="{B025F937-C7B1-47D3-B67F-A62EFF666E3E}">
          <x14:id>{A721D9E3-BF01-4756-BA59-76BC01AE1351}</x14:id>
        </ext>
      </extLst>
    </cfRule>
  </conditionalFormatting>
  <conditionalFormatting sqref="Z549">
    <cfRule type="dataBar" priority="4561">
      <dataBar>
        <cfvo type="min"/>
        <cfvo type="max"/>
        <color rgb="FF63C384"/>
      </dataBar>
      <extLst>
        <ext xmlns:x14="http://schemas.microsoft.com/office/spreadsheetml/2009/9/main" uri="{B025F937-C7B1-47D3-B67F-A62EFF666E3E}">
          <x14:id>{2A49016E-E49F-4F83-8C6B-BF2DBEE6D615}</x14:id>
        </ext>
      </extLst>
    </cfRule>
  </conditionalFormatting>
  <conditionalFormatting sqref="T550">
    <cfRule type="expression" dxfId="8976" priority="4560">
      <formula>AND(AND($W550&lt;TODAY(),$W550&lt;&gt;""),$X550="")</formula>
    </cfRule>
  </conditionalFormatting>
  <conditionalFormatting sqref="J550">
    <cfRule type="cellIs" dxfId="8975" priority="4559" operator="equal">
      <formula>"ja"</formula>
    </cfRule>
  </conditionalFormatting>
  <conditionalFormatting sqref="Z550">
    <cfRule type="dataBar" priority="4558">
      <dataBar>
        <cfvo type="min"/>
        <cfvo type="max"/>
        <color rgb="FF63C384"/>
      </dataBar>
      <extLst>
        <ext xmlns:x14="http://schemas.microsoft.com/office/spreadsheetml/2009/9/main" uri="{B025F937-C7B1-47D3-B67F-A62EFF666E3E}">
          <x14:id>{9E2F74BF-3E3A-4E6F-BF6E-0449FCA77EC9}</x14:id>
        </ext>
      </extLst>
    </cfRule>
  </conditionalFormatting>
  <conditionalFormatting sqref="Z550">
    <cfRule type="dataBar" priority="4557">
      <dataBar>
        <cfvo type="min"/>
        <cfvo type="max"/>
        <color rgb="FF63C384"/>
      </dataBar>
      <extLst>
        <ext xmlns:x14="http://schemas.microsoft.com/office/spreadsheetml/2009/9/main" uri="{B025F937-C7B1-47D3-B67F-A62EFF666E3E}">
          <x14:id>{A1B380C5-2954-49D7-AF07-8CE83FD61EE1}</x14:id>
        </ext>
      </extLst>
    </cfRule>
  </conditionalFormatting>
  <conditionalFormatting sqref="C550">
    <cfRule type="containsText" dxfId="8974" priority="4554" operator="containsText" text="Einnahmen">
      <formula>NOT(ISERROR(SEARCH("Einnahmen",C550)))</formula>
    </cfRule>
    <cfRule type="containsText" dxfId="8973" priority="4555" operator="containsText" text="Ausgaben">
      <formula>NOT(ISERROR(SEARCH("Ausgaben",C550)))</formula>
    </cfRule>
  </conditionalFormatting>
  <conditionalFormatting sqref="C551">
    <cfRule type="containsText" dxfId="8972" priority="4552" operator="containsText" text="Einnahmen">
      <formula>NOT(ISERROR(SEARCH("Einnahmen",C551)))</formula>
    </cfRule>
    <cfRule type="containsText" dxfId="8971" priority="4553" operator="containsText" text="Ausgaben">
      <formula>NOT(ISERROR(SEARCH("Ausgaben",C551)))</formula>
    </cfRule>
  </conditionalFormatting>
  <conditionalFormatting sqref="J551">
    <cfRule type="cellIs" dxfId="8970" priority="4551" operator="equal">
      <formula>"ja"</formula>
    </cfRule>
  </conditionalFormatting>
  <conditionalFormatting sqref="T551">
    <cfRule type="expression" dxfId="8969" priority="4550">
      <formula>AND(AND($W551&lt;TODAY(),$W551&lt;&gt;""),$X551="")</formula>
    </cfRule>
  </conditionalFormatting>
  <conditionalFormatting sqref="Z551">
    <cfRule type="dataBar" priority="4549">
      <dataBar>
        <cfvo type="min"/>
        <cfvo type="max"/>
        <color rgb="FF63C384"/>
      </dataBar>
      <extLst>
        <ext xmlns:x14="http://schemas.microsoft.com/office/spreadsheetml/2009/9/main" uri="{B025F937-C7B1-47D3-B67F-A62EFF666E3E}">
          <x14:id>{3DF78557-A102-49A2-9D1C-8EF89C79EB55}</x14:id>
        </ext>
      </extLst>
    </cfRule>
  </conditionalFormatting>
  <conditionalFormatting sqref="T552">
    <cfRule type="expression" dxfId="8968" priority="4547">
      <formula>AND(AND($W552&lt;TODAY(),$W552&lt;&gt;""),$X552="")</formula>
    </cfRule>
  </conditionalFormatting>
  <conditionalFormatting sqref="Z552">
    <cfRule type="dataBar" priority="4546">
      <dataBar>
        <cfvo type="min"/>
        <cfvo type="max"/>
        <color rgb="FF63C384"/>
      </dataBar>
      <extLst>
        <ext xmlns:x14="http://schemas.microsoft.com/office/spreadsheetml/2009/9/main" uri="{B025F937-C7B1-47D3-B67F-A62EFF666E3E}">
          <x14:id>{1EEDD027-66D7-4023-AC24-04933ECBAA3C}</x14:id>
        </ext>
      </extLst>
    </cfRule>
  </conditionalFormatting>
  <conditionalFormatting sqref="C553">
    <cfRule type="containsText" dxfId="8967" priority="4543" operator="containsText" text="Einnahmen">
      <formula>NOT(ISERROR(SEARCH("Einnahmen",C553)))</formula>
    </cfRule>
    <cfRule type="containsText" dxfId="8966" priority="4544" operator="containsText" text="Ausgaben">
      <formula>NOT(ISERROR(SEARCH("Ausgaben",C553)))</formula>
    </cfRule>
  </conditionalFormatting>
  <conditionalFormatting sqref="J553">
    <cfRule type="cellIs" dxfId="8965" priority="4542" operator="equal">
      <formula>"ja"</formula>
    </cfRule>
  </conditionalFormatting>
  <conditionalFormatting sqref="T553">
    <cfRule type="expression" dxfId="8964" priority="4541">
      <formula>AND(AND($W553&lt;TODAY(),$W553&lt;&gt;""),$X553="")</formula>
    </cfRule>
  </conditionalFormatting>
  <conditionalFormatting sqref="Z553">
    <cfRule type="dataBar" priority="4540">
      <dataBar>
        <cfvo type="min"/>
        <cfvo type="max"/>
        <color rgb="FF63C384"/>
      </dataBar>
      <extLst>
        <ext xmlns:x14="http://schemas.microsoft.com/office/spreadsheetml/2009/9/main" uri="{B025F937-C7B1-47D3-B67F-A62EFF666E3E}">
          <x14:id>{C45617AE-CE34-41E9-A0B4-833A477D3E50}</x14:id>
        </ext>
      </extLst>
    </cfRule>
  </conditionalFormatting>
  <conditionalFormatting sqref="Z553">
    <cfRule type="dataBar" priority="4539">
      <dataBar>
        <cfvo type="min"/>
        <cfvo type="max"/>
        <color rgb="FF63C384"/>
      </dataBar>
      <extLst>
        <ext xmlns:x14="http://schemas.microsoft.com/office/spreadsheetml/2009/9/main" uri="{B025F937-C7B1-47D3-B67F-A62EFF666E3E}">
          <x14:id>{7F9BC6F9-7C52-4E07-91C3-78261678DAA4}</x14:id>
        </ext>
      </extLst>
    </cfRule>
  </conditionalFormatting>
  <conditionalFormatting sqref="T553">
    <cfRule type="expression" dxfId="8963" priority="4538">
      <formula>AND(AND($W553&lt;TODAY(),$W553&lt;&gt;""),$X553="")</formula>
    </cfRule>
  </conditionalFormatting>
  <conditionalFormatting sqref="J553">
    <cfRule type="cellIs" dxfId="8962" priority="4537" operator="equal">
      <formula>"ja"</formula>
    </cfRule>
  </conditionalFormatting>
  <conditionalFormatting sqref="Z553">
    <cfRule type="dataBar" priority="4536">
      <dataBar>
        <cfvo type="min"/>
        <cfvo type="max"/>
        <color rgb="FF63C384"/>
      </dataBar>
      <extLst>
        <ext xmlns:x14="http://schemas.microsoft.com/office/spreadsheetml/2009/9/main" uri="{B025F937-C7B1-47D3-B67F-A62EFF666E3E}">
          <x14:id>{83C7B644-03A1-4655-A29A-C51C3CEEA866}</x14:id>
        </ext>
      </extLst>
    </cfRule>
  </conditionalFormatting>
  <conditionalFormatting sqref="Z553">
    <cfRule type="dataBar" priority="4535">
      <dataBar>
        <cfvo type="min"/>
        <cfvo type="max"/>
        <color rgb="FF63C384"/>
      </dataBar>
      <extLst>
        <ext xmlns:x14="http://schemas.microsoft.com/office/spreadsheetml/2009/9/main" uri="{B025F937-C7B1-47D3-B67F-A62EFF666E3E}">
          <x14:id>{9FEED9D5-3A97-4C58-9EEB-A66A7EE7F3E8}</x14:id>
        </ext>
      </extLst>
    </cfRule>
  </conditionalFormatting>
  <conditionalFormatting sqref="C554">
    <cfRule type="containsText" dxfId="8961" priority="4533" operator="containsText" text="Einnahmen">
      <formula>NOT(ISERROR(SEARCH("Einnahmen",C554)))</formula>
    </cfRule>
    <cfRule type="containsText" dxfId="8960" priority="4534" operator="containsText" text="Ausgaben">
      <formula>NOT(ISERROR(SEARCH("Ausgaben",C554)))</formula>
    </cfRule>
  </conditionalFormatting>
  <conditionalFormatting sqref="J554">
    <cfRule type="cellIs" dxfId="8959" priority="4531" operator="equal">
      <formula>"ja"</formula>
    </cfRule>
  </conditionalFormatting>
  <conditionalFormatting sqref="T554">
    <cfRule type="expression" dxfId="8958" priority="4530">
      <formula>AND(AND($W554&lt;TODAY(),$W554&lt;&gt;""),$X554="")</formula>
    </cfRule>
  </conditionalFormatting>
  <conditionalFormatting sqref="Z554">
    <cfRule type="dataBar" priority="4529">
      <dataBar>
        <cfvo type="min"/>
        <cfvo type="max"/>
        <color rgb="FF63C384"/>
      </dataBar>
      <extLst>
        <ext xmlns:x14="http://schemas.microsoft.com/office/spreadsheetml/2009/9/main" uri="{B025F937-C7B1-47D3-B67F-A62EFF666E3E}">
          <x14:id>{392F5D52-24F0-4029-9D4C-9686D3500A4B}</x14:id>
        </ext>
      </extLst>
    </cfRule>
  </conditionalFormatting>
  <conditionalFormatting sqref="Z554">
    <cfRule type="dataBar" priority="4528">
      <dataBar>
        <cfvo type="min"/>
        <cfvo type="max"/>
        <color rgb="FF63C384"/>
      </dataBar>
      <extLst>
        <ext xmlns:x14="http://schemas.microsoft.com/office/spreadsheetml/2009/9/main" uri="{B025F937-C7B1-47D3-B67F-A62EFF666E3E}">
          <x14:id>{70433009-E355-49BF-BF44-A3225A952E09}</x14:id>
        </ext>
      </extLst>
    </cfRule>
  </conditionalFormatting>
  <conditionalFormatting sqref="C555">
    <cfRule type="containsText" dxfId="8957" priority="4526" operator="containsText" text="Einnahmen">
      <formula>NOT(ISERROR(SEARCH("Einnahmen",C555)))</formula>
    </cfRule>
    <cfRule type="containsText" dxfId="8956" priority="4527" operator="containsText" text="Ausgaben">
      <formula>NOT(ISERROR(SEARCH("Ausgaben",C555)))</formula>
    </cfRule>
  </conditionalFormatting>
  <conditionalFormatting sqref="T555">
    <cfRule type="expression" dxfId="8955" priority="4525">
      <formula>AND(AND($W555&lt;TODAY(),$W555&lt;&gt;""),$X555="")</formula>
    </cfRule>
  </conditionalFormatting>
  <conditionalFormatting sqref="Z555">
    <cfRule type="dataBar" priority="4524">
      <dataBar>
        <cfvo type="min"/>
        <cfvo type="max"/>
        <color rgb="FF63C384"/>
      </dataBar>
      <extLst>
        <ext xmlns:x14="http://schemas.microsoft.com/office/spreadsheetml/2009/9/main" uri="{B025F937-C7B1-47D3-B67F-A62EFF666E3E}">
          <x14:id>{CC93E049-79FD-4584-A268-3729E0D80245}</x14:id>
        </ext>
      </extLst>
    </cfRule>
  </conditionalFormatting>
  <conditionalFormatting sqref="Z555">
    <cfRule type="dataBar" priority="4523">
      <dataBar>
        <cfvo type="min"/>
        <cfvo type="max"/>
        <color rgb="FF63C384"/>
      </dataBar>
      <extLst>
        <ext xmlns:x14="http://schemas.microsoft.com/office/spreadsheetml/2009/9/main" uri="{B025F937-C7B1-47D3-B67F-A62EFF666E3E}">
          <x14:id>{288029DB-1D3A-477C-9830-88C497D39937}</x14:id>
        </ext>
      </extLst>
    </cfRule>
  </conditionalFormatting>
  <conditionalFormatting sqref="J555">
    <cfRule type="cellIs" dxfId="8954" priority="4522" operator="equal">
      <formula>"ja"</formula>
    </cfRule>
  </conditionalFormatting>
  <conditionalFormatting sqref="J556">
    <cfRule type="cellIs" dxfId="8953" priority="4520" operator="equal">
      <formula>"ja"</formula>
    </cfRule>
  </conditionalFormatting>
  <conditionalFormatting sqref="C556">
    <cfRule type="containsText" dxfId="8952" priority="4518" operator="containsText" text="Einnahmen">
      <formula>NOT(ISERROR(SEARCH("Einnahmen",C556)))</formula>
    </cfRule>
    <cfRule type="containsText" dxfId="8951" priority="4519" operator="containsText" text="Ausgaben">
      <formula>NOT(ISERROR(SEARCH("Ausgaben",C556)))</formula>
    </cfRule>
  </conditionalFormatting>
  <conditionalFormatting sqref="T556">
    <cfRule type="expression" dxfId="8950" priority="4517">
      <formula>AND(AND($W556&lt;TODAY(),$W556&lt;&gt;""),$X556="")</formula>
    </cfRule>
  </conditionalFormatting>
  <conditionalFormatting sqref="Z556">
    <cfRule type="dataBar" priority="4516">
      <dataBar>
        <cfvo type="min"/>
        <cfvo type="max"/>
        <color rgb="FF63C384"/>
      </dataBar>
      <extLst>
        <ext xmlns:x14="http://schemas.microsoft.com/office/spreadsheetml/2009/9/main" uri="{B025F937-C7B1-47D3-B67F-A62EFF666E3E}">
          <x14:id>{FF7BADED-7430-43E7-ABAB-6C51ACED5264}</x14:id>
        </ext>
      </extLst>
    </cfRule>
  </conditionalFormatting>
  <conditionalFormatting sqref="Z556">
    <cfRule type="dataBar" priority="4515">
      <dataBar>
        <cfvo type="min"/>
        <cfvo type="max"/>
        <color rgb="FF63C384"/>
      </dataBar>
      <extLst>
        <ext xmlns:x14="http://schemas.microsoft.com/office/spreadsheetml/2009/9/main" uri="{B025F937-C7B1-47D3-B67F-A62EFF666E3E}">
          <x14:id>{6EC76F3E-F1D2-4B9A-94CE-75927916D6FF}</x14:id>
        </ext>
      </extLst>
    </cfRule>
  </conditionalFormatting>
  <conditionalFormatting sqref="C557">
    <cfRule type="containsText" dxfId="8949" priority="4513" operator="containsText" text="Einnahmen">
      <formula>NOT(ISERROR(SEARCH("Einnahmen",C557)))</formula>
    </cfRule>
    <cfRule type="containsText" dxfId="8948" priority="4514" operator="containsText" text="Ausgaben">
      <formula>NOT(ISERROR(SEARCH("Ausgaben",C557)))</formula>
    </cfRule>
  </conditionalFormatting>
  <conditionalFormatting sqref="J557">
    <cfRule type="cellIs" dxfId="8947" priority="4512" operator="equal">
      <formula>"ja"</formula>
    </cfRule>
  </conditionalFormatting>
  <conditionalFormatting sqref="J557">
    <cfRule type="cellIs" dxfId="8946" priority="4500" operator="equal">
      <formula>"ja"</formula>
    </cfRule>
  </conditionalFormatting>
  <conditionalFormatting sqref="T557">
    <cfRule type="expression" dxfId="8945" priority="4499">
      <formula>AND(AND($W557&lt;TODAY(),$W557&lt;&gt;""),$X557="")</formula>
    </cfRule>
  </conditionalFormatting>
  <conditionalFormatting sqref="T557">
    <cfRule type="expression" dxfId="8944" priority="4511">
      <formula>AND(AND($W557&lt;TODAY(),$W557&lt;&gt;""),$X557="")</formula>
    </cfRule>
  </conditionalFormatting>
  <conditionalFormatting sqref="Z557">
    <cfRule type="dataBar" priority="4510">
      <dataBar>
        <cfvo type="min"/>
        <cfvo type="max"/>
        <color rgb="FF63C384"/>
      </dataBar>
      <extLst>
        <ext xmlns:x14="http://schemas.microsoft.com/office/spreadsheetml/2009/9/main" uri="{B025F937-C7B1-47D3-B67F-A62EFF666E3E}">
          <x14:id>{80BABAAD-3763-47DC-90E2-2D882FE38F9B}</x14:id>
        </ext>
      </extLst>
    </cfRule>
  </conditionalFormatting>
  <conditionalFormatting sqref="Z557">
    <cfRule type="dataBar" priority="4509">
      <dataBar>
        <cfvo type="min"/>
        <cfvo type="max"/>
        <color rgb="FF63C384"/>
      </dataBar>
      <extLst>
        <ext xmlns:x14="http://schemas.microsoft.com/office/spreadsheetml/2009/9/main" uri="{B025F937-C7B1-47D3-B67F-A62EFF666E3E}">
          <x14:id>{27FDB3A6-8046-4AF4-BE93-316CE224EE8B}</x14:id>
        </ext>
      </extLst>
    </cfRule>
  </conditionalFormatting>
  <conditionalFormatting sqref="J557">
    <cfRule type="cellIs" dxfId="8943" priority="4508" operator="equal">
      <formula>"ja"</formula>
    </cfRule>
  </conditionalFormatting>
  <conditionalFormatting sqref="T557">
    <cfRule type="expression" dxfId="8942" priority="4507">
      <formula>AND(AND($W557&lt;TODAY(),$W557&lt;&gt;""),$X557="")</formula>
    </cfRule>
  </conditionalFormatting>
  <conditionalFormatting sqref="Z557">
    <cfRule type="dataBar" priority="4506">
      <dataBar>
        <cfvo type="min"/>
        <cfvo type="max"/>
        <color rgb="FF63C384"/>
      </dataBar>
      <extLst>
        <ext xmlns:x14="http://schemas.microsoft.com/office/spreadsheetml/2009/9/main" uri="{B025F937-C7B1-47D3-B67F-A62EFF666E3E}">
          <x14:id>{BF7707F4-237B-4B37-ACB1-644BC36D3295}</x14:id>
        </ext>
      </extLst>
    </cfRule>
  </conditionalFormatting>
  <conditionalFormatting sqref="Z557">
    <cfRule type="dataBar" priority="4505">
      <dataBar>
        <cfvo type="min"/>
        <cfvo type="max"/>
        <color rgb="FF63C384"/>
      </dataBar>
      <extLst>
        <ext xmlns:x14="http://schemas.microsoft.com/office/spreadsheetml/2009/9/main" uri="{B025F937-C7B1-47D3-B67F-A62EFF666E3E}">
          <x14:id>{D67CB468-717D-4A37-A07A-09E9A3E0B24E}</x14:id>
        </ext>
      </extLst>
    </cfRule>
  </conditionalFormatting>
  <conditionalFormatting sqref="J557">
    <cfRule type="cellIs" dxfId="8941" priority="4504" operator="equal">
      <formula>"ja"</formula>
    </cfRule>
  </conditionalFormatting>
  <conditionalFormatting sqref="T557">
    <cfRule type="expression" dxfId="8940" priority="4503">
      <formula>AND(AND($W557&lt;TODAY(),$W557&lt;&gt;""),$X557="")</formula>
    </cfRule>
  </conditionalFormatting>
  <conditionalFormatting sqref="Z557">
    <cfRule type="dataBar" priority="4502">
      <dataBar>
        <cfvo type="min"/>
        <cfvo type="max"/>
        <color rgb="FF63C384"/>
      </dataBar>
      <extLst>
        <ext xmlns:x14="http://schemas.microsoft.com/office/spreadsheetml/2009/9/main" uri="{B025F937-C7B1-47D3-B67F-A62EFF666E3E}">
          <x14:id>{A5B129CD-7241-4FB2-9AD9-FB75E48E3477}</x14:id>
        </ext>
      </extLst>
    </cfRule>
  </conditionalFormatting>
  <conditionalFormatting sqref="Z557">
    <cfRule type="dataBar" priority="4501">
      <dataBar>
        <cfvo type="min"/>
        <cfvo type="max"/>
        <color rgb="FF63C384"/>
      </dataBar>
      <extLst>
        <ext xmlns:x14="http://schemas.microsoft.com/office/spreadsheetml/2009/9/main" uri="{B025F937-C7B1-47D3-B67F-A62EFF666E3E}">
          <x14:id>{0D8A9979-F432-490E-A012-4E0FA562D938}</x14:id>
        </ext>
      </extLst>
    </cfRule>
  </conditionalFormatting>
  <conditionalFormatting sqref="Z557">
    <cfRule type="dataBar" priority="4498">
      <dataBar>
        <cfvo type="min"/>
        <cfvo type="max"/>
        <color rgb="FF63C384"/>
      </dataBar>
      <extLst>
        <ext xmlns:x14="http://schemas.microsoft.com/office/spreadsheetml/2009/9/main" uri="{B025F937-C7B1-47D3-B67F-A62EFF666E3E}">
          <x14:id>{51032F8F-6390-4553-BFB5-A6A9477783DB}</x14:id>
        </ext>
      </extLst>
    </cfRule>
  </conditionalFormatting>
  <conditionalFormatting sqref="Z557">
    <cfRule type="dataBar" priority="4497">
      <dataBar>
        <cfvo type="min"/>
        <cfvo type="max"/>
        <color rgb="FF63C384"/>
      </dataBar>
      <extLst>
        <ext xmlns:x14="http://schemas.microsoft.com/office/spreadsheetml/2009/9/main" uri="{B025F937-C7B1-47D3-B67F-A62EFF666E3E}">
          <x14:id>{3264FBBF-14E5-4E90-8E05-77998A565FEE}</x14:id>
        </ext>
      </extLst>
    </cfRule>
  </conditionalFormatting>
  <conditionalFormatting sqref="J558">
    <cfRule type="cellIs" dxfId="8939" priority="4491" operator="equal">
      <formula>"ja"</formula>
    </cfRule>
  </conditionalFormatting>
  <conditionalFormatting sqref="T558">
    <cfRule type="expression" dxfId="8938" priority="4490">
      <formula>AND(AND($W558&lt;TODAY(),$W558&lt;&gt;""),$X558="")</formula>
    </cfRule>
  </conditionalFormatting>
  <conditionalFormatting sqref="Z558">
    <cfRule type="dataBar" priority="4489">
      <dataBar>
        <cfvo type="min"/>
        <cfvo type="max"/>
        <color rgb="FF63C384"/>
      </dataBar>
      <extLst>
        <ext xmlns:x14="http://schemas.microsoft.com/office/spreadsheetml/2009/9/main" uri="{B025F937-C7B1-47D3-B67F-A62EFF666E3E}">
          <x14:id>{6ED09EDC-43ED-4FCC-A483-43BC6B485369}</x14:id>
        </ext>
      </extLst>
    </cfRule>
  </conditionalFormatting>
  <conditionalFormatting sqref="C558">
    <cfRule type="containsText" dxfId="8937" priority="4487" operator="containsText" text="Einnahmen">
      <formula>NOT(ISERROR(SEARCH("Einnahmen",C558)))</formula>
    </cfRule>
    <cfRule type="containsText" dxfId="8936" priority="4488" operator="containsText" text="Ausgaben">
      <formula>NOT(ISERROR(SEARCH("Ausgaben",C558)))</formula>
    </cfRule>
  </conditionalFormatting>
  <conditionalFormatting sqref="J558">
    <cfRule type="cellIs" dxfId="8935" priority="4486" operator="equal">
      <formula>"ja"</formula>
    </cfRule>
  </conditionalFormatting>
  <conditionalFormatting sqref="T558">
    <cfRule type="expression" dxfId="8934" priority="4485">
      <formula>AND(AND($W558&lt;TODAY(),$W558&lt;&gt;""),$X558="")</formula>
    </cfRule>
  </conditionalFormatting>
  <conditionalFormatting sqref="Z558">
    <cfRule type="dataBar" priority="4484">
      <dataBar>
        <cfvo type="min"/>
        <cfvo type="max"/>
        <color rgb="FF63C384"/>
      </dataBar>
      <extLst>
        <ext xmlns:x14="http://schemas.microsoft.com/office/spreadsheetml/2009/9/main" uri="{B025F937-C7B1-47D3-B67F-A62EFF666E3E}">
          <x14:id>{3B5D8F6E-349D-460D-A3F4-8D76EB0A4C91}</x14:id>
        </ext>
      </extLst>
    </cfRule>
  </conditionalFormatting>
  <conditionalFormatting sqref="Z558">
    <cfRule type="dataBar" priority="4483">
      <dataBar>
        <cfvo type="min"/>
        <cfvo type="max"/>
        <color rgb="FF63C384"/>
      </dataBar>
      <extLst>
        <ext xmlns:x14="http://schemas.microsoft.com/office/spreadsheetml/2009/9/main" uri="{B025F937-C7B1-47D3-B67F-A62EFF666E3E}">
          <x14:id>{AB945125-17F9-4B84-A4CA-45332948220A}</x14:id>
        </ext>
      </extLst>
    </cfRule>
  </conditionalFormatting>
  <conditionalFormatting sqref="J559">
    <cfRule type="cellIs" dxfId="8933" priority="4481" operator="equal">
      <formula>"ja"</formula>
    </cfRule>
  </conditionalFormatting>
  <conditionalFormatting sqref="T559">
    <cfRule type="expression" dxfId="8932" priority="4480">
      <formula>AND(AND($W559&lt;TODAY(),$W559&lt;&gt;""),$X559="")</formula>
    </cfRule>
  </conditionalFormatting>
  <conditionalFormatting sqref="Z559">
    <cfRule type="dataBar" priority="4479">
      <dataBar>
        <cfvo type="min"/>
        <cfvo type="max"/>
        <color rgb="FF63C384"/>
      </dataBar>
      <extLst>
        <ext xmlns:x14="http://schemas.microsoft.com/office/spreadsheetml/2009/9/main" uri="{B025F937-C7B1-47D3-B67F-A62EFF666E3E}">
          <x14:id>{902EFFFE-0832-4E1D-A9E2-666EE462A634}</x14:id>
        </ext>
      </extLst>
    </cfRule>
  </conditionalFormatting>
  <conditionalFormatting sqref="Z559">
    <cfRule type="dataBar" priority="4478">
      <dataBar>
        <cfvo type="min"/>
        <cfvo type="max"/>
        <color rgb="FF63C384"/>
      </dataBar>
      <extLst>
        <ext xmlns:x14="http://schemas.microsoft.com/office/spreadsheetml/2009/9/main" uri="{B025F937-C7B1-47D3-B67F-A62EFF666E3E}">
          <x14:id>{8F0C921E-8C2C-4C5B-8679-370A9C482DD4}</x14:id>
        </ext>
      </extLst>
    </cfRule>
  </conditionalFormatting>
  <conditionalFormatting sqref="C559">
    <cfRule type="containsText" dxfId="8931" priority="4476" operator="containsText" text="Einnahmen">
      <formula>NOT(ISERROR(SEARCH("Einnahmen",C559)))</formula>
    </cfRule>
    <cfRule type="containsText" dxfId="8930" priority="4477" operator="containsText" text="Ausgaben">
      <formula>NOT(ISERROR(SEARCH("Ausgaben",C559)))</formula>
    </cfRule>
  </conditionalFormatting>
  <conditionalFormatting sqref="T560">
    <cfRule type="expression" dxfId="8929" priority="4475">
      <formula>AND(AND($W560&lt;TODAY(),$W560&lt;&gt;""),$X560="")</formula>
    </cfRule>
  </conditionalFormatting>
  <conditionalFormatting sqref="Z560">
    <cfRule type="dataBar" priority="4473">
      <dataBar>
        <cfvo type="min"/>
        <cfvo type="max"/>
        <color rgb="FF63C384"/>
      </dataBar>
      <extLst>
        <ext xmlns:x14="http://schemas.microsoft.com/office/spreadsheetml/2009/9/main" uri="{B025F937-C7B1-47D3-B67F-A62EFF666E3E}">
          <x14:id>{57E9A569-F22C-49B8-893E-1F1BE0E926B4}</x14:id>
        </ext>
      </extLst>
    </cfRule>
  </conditionalFormatting>
  <conditionalFormatting sqref="Z560">
    <cfRule type="dataBar" priority="4472">
      <dataBar>
        <cfvo type="min"/>
        <cfvo type="max"/>
        <color rgb="FF63C384"/>
      </dataBar>
      <extLst>
        <ext xmlns:x14="http://schemas.microsoft.com/office/spreadsheetml/2009/9/main" uri="{B025F937-C7B1-47D3-B67F-A62EFF666E3E}">
          <x14:id>{F936E1BE-324C-4C9D-BC72-80261146742E}</x14:id>
        </ext>
      </extLst>
    </cfRule>
  </conditionalFormatting>
  <conditionalFormatting sqref="C560">
    <cfRule type="containsText" dxfId="8928" priority="4469" operator="containsText" text="Einnahmen">
      <formula>NOT(ISERROR(SEARCH("Einnahmen",C560)))</formula>
    </cfRule>
    <cfRule type="containsText" dxfId="8927" priority="4470" operator="containsText" text="Ausgaben">
      <formula>NOT(ISERROR(SEARCH("Ausgaben",C560)))</formula>
    </cfRule>
  </conditionalFormatting>
  <conditionalFormatting sqref="J561">
    <cfRule type="cellIs" dxfId="8926" priority="4468" operator="equal">
      <formula>"ja"</formula>
    </cfRule>
  </conditionalFormatting>
  <conditionalFormatting sqref="C561">
    <cfRule type="containsText" dxfId="8925" priority="4465" operator="containsText" text="Einnahmen">
      <formula>NOT(ISERROR(SEARCH("Einnahmen",C561)))</formula>
    </cfRule>
    <cfRule type="containsText" dxfId="8924" priority="4466" operator="containsText" text="Ausgaben">
      <formula>NOT(ISERROR(SEARCH("Ausgaben",C561)))</formula>
    </cfRule>
  </conditionalFormatting>
  <conditionalFormatting sqref="T561">
    <cfRule type="expression" dxfId="8923" priority="4464">
      <formula>AND(AND($W561&lt;TODAY(),$W561&lt;&gt;""),$X561="")</formula>
    </cfRule>
  </conditionalFormatting>
  <conditionalFormatting sqref="Z561">
    <cfRule type="dataBar" priority="4463">
      <dataBar>
        <cfvo type="min"/>
        <cfvo type="max"/>
        <color rgb="FF63C384"/>
      </dataBar>
      <extLst>
        <ext xmlns:x14="http://schemas.microsoft.com/office/spreadsheetml/2009/9/main" uri="{B025F937-C7B1-47D3-B67F-A62EFF666E3E}">
          <x14:id>{94D01D9D-C4A0-4237-886D-4390D35C2740}</x14:id>
        </ext>
      </extLst>
    </cfRule>
  </conditionalFormatting>
  <conditionalFormatting sqref="Z561">
    <cfRule type="dataBar" priority="4462">
      <dataBar>
        <cfvo type="min"/>
        <cfvo type="max"/>
        <color rgb="FF63C384"/>
      </dataBar>
      <extLst>
        <ext xmlns:x14="http://schemas.microsoft.com/office/spreadsheetml/2009/9/main" uri="{B025F937-C7B1-47D3-B67F-A62EFF666E3E}">
          <x14:id>{4A5ED52B-D959-466F-8DE4-5119704C8E0A}</x14:id>
        </ext>
      </extLst>
    </cfRule>
  </conditionalFormatting>
  <conditionalFormatting sqref="T562">
    <cfRule type="expression" dxfId="8922" priority="4461">
      <formula>AND(AND($W562&lt;TODAY(),$W562&lt;&gt;""),$X562="")</formula>
    </cfRule>
  </conditionalFormatting>
  <conditionalFormatting sqref="J562">
    <cfRule type="cellIs" dxfId="8921" priority="4460" operator="equal">
      <formula>"ja"</formula>
    </cfRule>
  </conditionalFormatting>
  <conditionalFormatting sqref="Z562">
    <cfRule type="dataBar" priority="4459">
      <dataBar>
        <cfvo type="min"/>
        <cfvo type="max"/>
        <color rgb="FF63C384"/>
      </dataBar>
      <extLst>
        <ext xmlns:x14="http://schemas.microsoft.com/office/spreadsheetml/2009/9/main" uri="{B025F937-C7B1-47D3-B67F-A62EFF666E3E}">
          <x14:id>{F3E59EDA-1569-4F95-A678-C1E635E51837}</x14:id>
        </ext>
      </extLst>
    </cfRule>
  </conditionalFormatting>
  <conditionalFormatting sqref="Z562">
    <cfRule type="dataBar" priority="4458">
      <dataBar>
        <cfvo type="min"/>
        <cfvo type="max"/>
        <color rgb="FF63C384"/>
      </dataBar>
      <extLst>
        <ext xmlns:x14="http://schemas.microsoft.com/office/spreadsheetml/2009/9/main" uri="{B025F937-C7B1-47D3-B67F-A62EFF666E3E}">
          <x14:id>{7358443B-FCDF-44CA-AC87-34D48369DCD8}</x14:id>
        </ext>
      </extLst>
    </cfRule>
  </conditionalFormatting>
  <conditionalFormatting sqref="C562">
    <cfRule type="containsText" dxfId="8920" priority="4455" operator="containsText" text="Einnahmen">
      <formula>NOT(ISERROR(SEARCH("Einnahmen",C562)))</formula>
    </cfRule>
    <cfRule type="containsText" dxfId="8919" priority="4456" operator="containsText" text="Ausgaben">
      <formula>NOT(ISERROR(SEARCH("Ausgaben",C562)))</formula>
    </cfRule>
  </conditionalFormatting>
  <conditionalFormatting sqref="C563">
    <cfRule type="containsText" dxfId="8918" priority="4451" operator="containsText" text="Einnahmen">
      <formula>NOT(ISERROR(SEARCH("Einnahmen",C563)))</formula>
    </cfRule>
    <cfRule type="containsText" dxfId="8917" priority="4452" operator="containsText" text="Ausgaben">
      <formula>NOT(ISERROR(SEARCH("Ausgaben",C563)))</formula>
    </cfRule>
  </conditionalFormatting>
  <conditionalFormatting sqref="T563">
    <cfRule type="expression" dxfId="8916" priority="4450">
      <formula>AND(AND($W563&lt;TODAY(),$W563&lt;&gt;""),$X563="")</formula>
    </cfRule>
  </conditionalFormatting>
  <conditionalFormatting sqref="Z563">
    <cfRule type="dataBar" priority="4449">
      <dataBar>
        <cfvo type="min"/>
        <cfvo type="max"/>
        <color rgb="FF63C384"/>
      </dataBar>
      <extLst>
        <ext xmlns:x14="http://schemas.microsoft.com/office/spreadsheetml/2009/9/main" uri="{B025F937-C7B1-47D3-B67F-A62EFF666E3E}">
          <x14:id>{65EEBAC7-8E9A-4706-86CF-ED497CF271FD}</x14:id>
        </ext>
      </extLst>
    </cfRule>
  </conditionalFormatting>
  <conditionalFormatting sqref="Z563">
    <cfRule type="dataBar" priority="4448">
      <dataBar>
        <cfvo type="min"/>
        <cfvo type="max"/>
        <color rgb="FF63C384"/>
      </dataBar>
      <extLst>
        <ext xmlns:x14="http://schemas.microsoft.com/office/spreadsheetml/2009/9/main" uri="{B025F937-C7B1-47D3-B67F-A62EFF666E3E}">
          <x14:id>{2AE14ABE-CE0A-4A1E-866A-A747420A95FC}</x14:id>
        </ext>
      </extLst>
    </cfRule>
  </conditionalFormatting>
  <conditionalFormatting sqref="C564">
    <cfRule type="containsText" dxfId="8915" priority="4444" operator="containsText" text="Einnahmen">
      <formula>NOT(ISERROR(SEARCH("Einnahmen",C564)))</formula>
    </cfRule>
    <cfRule type="containsText" dxfId="8914" priority="4445" operator="containsText" text="Ausgaben">
      <formula>NOT(ISERROR(SEARCH("Ausgaben",C564)))</formula>
    </cfRule>
  </conditionalFormatting>
  <conditionalFormatting sqref="J564">
    <cfRule type="cellIs" dxfId="8913" priority="4443" operator="equal">
      <formula>"ja"</formula>
    </cfRule>
  </conditionalFormatting>
  <conditionalFormatting sqref="T564">
    <cfRule type="expression" dxfId="8912" priority="4442">
      <formula>AND(AND($W564&lt;TODAY(),$W564&lt;&gt;""),$X564="")</formula>
    </cfRule>
  </conditionalFormatting>
  <conditionalFormatting sqref="Z564">
    <cfRule type="dataBar" priority="4441">
      <dataBar>
        <cfvo type="min"/>
        <cfvo type="max"/>
        <color rgb="FF63C384"/>
      </dataBar>
      <extLst>
        <ext xmlns:x14="http://schemas.microsoft.com/office/spreadsheetml/2009/9/main" uri="{B025F937-C7B1-47D3-B67F-A62EFF666E3E}">
          <x14:id>{105C0E13-C0B3-4188-90AE-06E4A8F1FA30}</x14:id>
        </ext>
      </extLst>
    </cfRule>
  </conditionalFormatting>
  <conditionalFormatting sqref="Z564">
    <cfRule type="dataBar" priority="4440">
      <dataBar>
        <cfvo type="min"/>
        <cfvo type="max"/>
        <color rgb="FF63C384"/>
      </dataBar>
      <extLst>
        <ext xmlns:x14="http://schemas.microsoft.com/office/spreadsheetml/2009/9/main" uri="{B025F937-C7B1-47D3-B67F-A62EFF666E3E}">
          <x14:id>{A9772E0E-E27B-4FF5-9F9B-E0097A127E28}</x14:id>
        </ext>
      </extLst>
    </cfRule>
  </conditionalFormatting>
  <conditionalFormatting sqref="T565">
    <cfRule type="expression" dxfId="8911" priority="4435">
      <formula>AND(AND($W565&lt;TODAY(),$W565&lt;&gt;""),$X565="")</formula>
    </cfRule>
  </conditionalFormatting>
  <conditionalFormatting sqref="Z565">
    <cfRule type="dataBar" priority="4434">
      <dataBar>
        <cfvo type="min"/>
        <cfvo type="max"/>
        <color rgb="FF63C384"/>
      </dataBar>
      <extLst>
        <ext xmlns:x14="http://schemas.microsoft.com/office/spreadsheetml/2009/9/main" uri="{B025F937-C7B1-47D3-B67F-A62EFF666E3E}">
          <x14:id>{0CDC40A9-16B4-454A-A9D2-8F8F8B3710C5}</x14:id>
        </ext>
      </extLst>
    </cfRule>
  </conditionalFormatting>
  <conditionalFormatting sqref="Z565">
    <cfRule type="dataBar" priority="4433">
      <dataBar>
        <cfvo type="min"/>
        <cfvo type="max"/>
        <color rgb="FF63C384"/>
      </dataBar>
      <extLst>
        <ext xmlns:x14="http://schemas.microsoft.com/office/spreadsheetml/2009/9/main" uri="{B025F937-C7B1-47D3-B67F-A62EFF666E3E}">
          <x14:id>{4A04E3FB-D60D-45B9-AFD8-70DCEE31B052}</x14:id>
        </ext>
      </extLst>
    </cfRule>
  </conditionalFormatting>
  <conditionalFormatting sqref="C566">
    <cfRule type="containsText" dxfId="8910" priority="4424" operator="containsText" text="Einnahmen">
      <formula>NOT(ISERROR(SEARCH("Einnahmen",C566)))</formula>
    </cfRule>
    <cfRule type="containsText" dxfId="8909" priority="4425" operator="containsText" text="Ausgaben">
      <formula>NOT(ISERROR(SEARCH("Ausgaben",C566)))</formula>
    </cfRule>
  </conditionalFormatting>
  <conditionalFormatting sqref="T566">
    <cfRule type="expression" dxfId="8908" priority="4423">
      <formula>AND(AND($W566&lt;TODAY(),$W566&lt;&gt;""),$X566="")</formula>
    </cfRule>
  </conditionalFormatting>
  <conditionalFormatting sqref="Z566">
    <cfRule type="dataBar" priority="4422">
      <dataBar>
        <cfvo type="min"/>
        <cfvo type="max"/>
        <color rgb="FF63C384"/>
      </dataBar>
      <extLst>
        <ext xmlns:x14="http://schemas.microsoft.com/office/spreadsheetml/2009/9/main" uri="{B025F937-C7B1-47D3-B67F-A62EFF666E3E}">
          <x14:id>{4967D8BB-1635-432A-97E7-D0328071B7E6}</x14:id>
        </ext>
      </extLst>
    </cfRule>
  </conditionalFormatting>
  <conditionalFormatting sqref="Z566">
    <cfRule type="dataBar" priority="4421">
      <dataBar>
        <cfvo type="min"/>
        <cfvo type="max"/>
        <color rgb="FF63C384"/>
      </dataBar>
      <extLst>
        <ext xmlns:x14="http://schemas.microsoft.com/office/spreadsheetml/2009/9/main" uri="{B025F937-C7B1-47D3-B67F-A62EFF666E3E}">
          <x14:id>{2324CC5A-8840-4DF3-AC7E-8DCA9F1219AA}</x14:id>
        </ext>
      </extLst>
    </cfRule>
  </conditionalFormatting>
  <conditionalFormatting sqref="J565">
    <cfRule type="cellIs" dxfId="8907" priority="4417" operator="equal">
      <formula>"ja"</formula>
    </cfRule>
  </conditionalFormatting>
  <conditionalFormatting sqref="J563">
    <cfRule type="cellIs" dxfId="8906" priority="4416" operator="equal">
      <formula>"ja"</formula>
    </cfRule>
  </conditionalFormatting>
  <conditionalFormatting sqref="J560">
    <cfRule type="cellIs" dxfId="8905" priority="4415" operator="equal">
      <formula>"ja"</formula>
    </cfRule>
  </conditionalFormatting>
  <conditionalFormatting sqref="T567">
    <cfRule type="expression" dxfId="8904" priority="4414">
      <formula>AND(AND($W567&lt;TODAY(),$W567&lt;&gt;""),$X567="")</formula>
    </cfRule>
  </conditionalFormatting>
  <conditionalFormatting sqref="Z567">
    <cfRule type="dataBar" priority="4413">
      <dataBar>
        <cfvo type="min"/>
        <cfvo type="max"/>
        <color rgb="FF63C384"/>
      </dataBar>
      <extLst>
        <ext xmlns:x14="http://schemas.microsoft.com/office/spreadsheetml/2009/9/main" uri="{B025F937-C7B1-47D3-B67F-A62EFF666E3E}">
          <x14:id>{1A6FC47B-55AD-42EE-ABC9-0A55F9D8E32F}</x14:id>
        </ext>
      </extLst>
    </cfRule>
  </conditionalFormatting>
  <conditionalFormatting sqref="Z567">
    <cfRule type="dataBar" priority="4412">
      <dataBar>
        <cfvo type="min"/>
        <cfvo type="max"/>
        <color rgb="FF63C384"/>
      </dataBar>
      <extLst>
        <ext xmlns:x14="http://schemas.microsoft.com/office/spreadsheetml/2009/9/main" uri="{B025F937-C7B1-47D3-B67F-A62EFF666E3E}">
          <x14:id>{4F4CFAC4-57E8-4A61-93D6-8BDEB228630B}</x14:id>
        </ext>
      </extLst>
    </cfRule>
  </conditionalFormatting>
  <conditionalFormatting sqref="J567">
    <cfRule type="cellIs" dxfId="8903" priority="4411" operator="equal">
      <formula>"ja"</formula>
    </cfRule>
  </conditionalFormatting>
  <conditionalFormatting sqref="J566">
    <cfRule type="cellIs" dxfId="8902" priority="4409" operator="equal">
      <formula>"ja"</formula>
    </cfRule>
  </conditionalFormatting>
  <conditionalFormatting sqref="C568">
    <cfRule type="containsText" dxfId="8901" priority="4406" operator="containsText" text="Einnahmen">
      <formula>NOT(ISERROR(SEARCH("Einnahmen",C568)))</formula>
    </cfRule>
    <cfRule type="containsText" dxfId="8900" priority="4407" operator="containsText" text="Ausgaben">
      <formula>NOT(ISERROR(SEARCH("Ausgaben",C568)))</formula>
    </cfRule>
  </conditionalFormatting>
  <conditionalFormatting sqref="J568">
    <cfRule type="cellIs" dxfId="8899" priority="4405" operator="equal">
      <formula>"ja"</formula>
    </cfRule>
  </conditionalFormatting>
  <conditionalFormatting sqref="T568">
    <cfRule type="expression" dxfId="8898" priority="4404">
      <formula>AND(AND($W568&lt;TODAY(),$W568&lt;&gt;""),$X568="")</formula>
    </cfRule>
  </conditionalFormatting>
  <conditionalFormatting sqref="Z568">
    <cfRule type="dataBar" priority="4403">
      <dataBar>
        <cfvo type="min"/>
        <cfvo type="max"/>
        <color rgb="FF63C384"/>
      </dataBar>
      <extLst>
        <ext xmlns:x14="http://schemas.microsoft.com/office/spreadsheetml/2009/9/main" uri="{B025F937-C7B1-47D3-B67F-A62EFF666E3E}">
          <x14:id>{377275B4-E9AF-4195-A9BB-C848D619570D}</x14:id>
        </ext>
      </extLst>
    </cfRule>
  </conditionalFormatting>
  <conditionalFormatting sqref="Z568">
    <cfRule type="dataBar" priority="4402">
      <dataBar>
        <cfvo type="min"/>
        <cfvo type="max"/>
        <color rgb="FF63C384"/>
      </dataBar>
      <extLst>
        <ext xmlns:x14="http://schemas.microsoft.com/office/spreadsheetml/2009/9/main" uri="{B025F937-C7B1-47D3-B67F-A62EFF666E3E}">
          <x14:id>{3297EC28-94D6-4F2A-A9B6-BE76744B11F5}</x14:id>
        </ext>
      </extLst>
    </cfRule>
  </conditionalFormatting>
  <conditionalFormatting sqref="T568">
    <cfRule type="expression" dxfId="8897" priority="4401">
      <formula>AND(AND($W568&lt;TODAY(),$W568&lt;&gt;""),$X568="")</formula>
    </cfRule>
  </conditionalFormatting>
  <conditionalFormatting sqref="J568">
    <cfRule type="cellIs" dxfId="8896" priority="4400" operator="equal">
      <formula>"ja"</formula>
    </cfRule>
  </conditionalFormatting>
  <conditionalFormatting sqref="Z568">
    <cfRule type="dataBar" priority="4399">
      <dataBar>
        <cfvo type="min"/>
        <cfvo type="max"/>
        <color rgb="FF63C384"/>
      </dataBar>
      <extLst>
        <ext xmlns:x14="http://schemas.microsoft.com/office/spreadsheetml/2009/9/main" uri="{B025F937-C7B1-47D3-B67F-A62EFF666E3E}">
          <x14:id>{8086CA61-5964-47BF-B6DD-4C54D69CB031}</x14:id>
        </ext>
      </extLst>
    </cfRule>
  </conditionalFormatting>
  <conditionalFormatting sqref="Z568">
    <cfRule type="dataBar" priority="4398">
      <dataBar>
        <cfvo type="min"/>
        <cfvo type="max"/>
        <color rgb="FF63C384"/>
      </dataBar>
      <extLst>
        <ext xmlns:x14="http://schemas.microsoft.com/office/spreadsheetml/2009/9/main" uri="{B025F937-C7B1-47D3-B67F-A62EFF666E3E}">
          <x14:id>{7DCB7468-CAC8-4575-B523-79FEE343662E}</x14:id>
        </ext>
      </extLst>
    </cfRule>
  </conditionalFormatting>
  <conditionalFormatting sqref="J570">
    <cfRule type="cellIs" dxfId="8895" priority="4382" operator="equal">
      <formula>"ja"</formula>
    </cfRule>
  </conditionalFormatting>
  <conditionalFormatting sqref="C570">
    <cfRule type="containsText" dxfId="8894" priority="4380" operator="containsText" text="Einnahmen">
      <formula>NOT(ISERROR(SEARCH("Einnahmen",C570)))</formula>
    </cfRule>
    <cfRule type="containsText" dxfId="8893" priority="4381" operator="containsText" text="Ausgaben">
      <formula>NOT(ISERROR(SEARCH("Ausgaben",C570)))</formula>
    </cfRule>
  </conditionalFormatting>
  <conditionalFormatting sqref="T570">
    <cfRule type="expression" dxfId="8892" priority="4379">
      <formula>AND(AND($W570&lt;TODAY(),$W570&lt;&gt;""),$X570="")</formula>
    </cfRule>
  </conditionalFormatting>
  <conditionalFormatting sqref="Z570">
    <cfRule type="dataBar" priority="4378">
      <dataBar>
        <cfvo type="min"/>
        <cfvo type="max"/>
        <color rgb="FF63C384"/>
      </dataBar>
      <extLst>
        <ext xmlns:x14="http://schemas.microsoft.com/office/spreadsheetml/2009/9/main" uri="{B025F937-C7B1-47D3-B67F-A62EFF666E3E}">
          <x14:id>{4407A811-87E2-456D-93D4-5B906BBB191C}</x14:id>
        </ext>
      </extLst>
    </cfRule>
  </conditionalFormatting>
  <conditionalFormatting sqref="Z570">
    <cfRule type="dataBar" priority="4377">
      <dataBar>
        <cfvo type="min"/>
        <cfvo type="max"/>
        <color rgb="FF63C384"/>
      </dataBar>
      <extLst>
        <ext xmlns:x14="http://schemas.microsoft.com/office/spreadsheetml/2009/9/main" uri="{B025F937-C7B1-47D3-B67F-A62EFF666E3E}">
          <x14:id>{7713CAA4-E542-4D32-87BE-4565F706773C}</x14:id>
        </ext>
      </extLst>
    </cfRule>
  </conditionalFormatting>
  <conditionalFormatting sqref="T569">
    <cfRule type="expression" dxfId="8891" priority="4376">
      <formula>AND(AND($W569&lt;TODAY(),$W569&lt;&gt;""),$X569="")</formula>
    </cfRule>
  </conditionalFormatting>
  <conditionalFormatting sqref="Z569">
    <cfRule type="dataBar" priority="4375">
      <dataBar>
        <cfvo type="min"/>
        <cfvo type="max"/>
        <color rgb="FF63C384"/>
      </dataBar>
      <extLst>
        <ext xmlns:x14="http://schemas.microsoft.com/office/spreadsheetml/2009/9/main" uri="{B025F937-C7B1-47D3-B67F-A62EFF666E3E}">
          <x14:id>{D8DCE6A3-35EF-4EF7-A81C-896AEE1610F4}</x14:id>
        </ext>
      </extLst>
    </cfRule>
  </conditionalFormatting>
  <conditionalFormatting sqref="Z569">
    <cfRule type="dataBar" priority="4374">
      <dataBar>
        <cfvo type="min"/>
        <cfvo type="max"/>
        <color rgb="FF63C384"/>
      </dataBar>
      <extLst>
        <ext xmlns:x14="http://schemas.microsoft.com/office/spreadsheetml/2009/9/main" uri="{B025F937-C7B1-47D3-B67F-A62EFF666E3E}">
          <x14:id>{3472444F-7304-4F1B-88A8-92B034DCCEFA}</x14:id>
        </ext>
      </extLst>
    </cfRule>
  </conditionalFormatting>
  <conditionalFormatting sqref="J569">
    <cfRule type="cellIs" dxfId="8890" priority="4373" operator="equal">
      <formula>"ja"</formula>
    </cfRule>
  </conditionalFormatting>
  <conditionalFormatting sqref="C569">
    <cfRule type="containsText" dxfId="8889" priority="4371" operator="containsText" text="Einnahmen">
      <formula>NOT(ISERROR(SEARCH("Einnahmen",C569)))</formula>
    </cfRule>
    <cfRule type="containsText" dxfId="8888" priority="4372" operator="containsText" text="Ausgaben">
      <formula>NOT(ISERROR(SEARCH("Ausgaben",C569)))</formula>
    </cfRule>
  </conditionalFormatting>
  <conditionalFormatting sqref="C571">
    <cfRule type="containsText" dxfId="8887" priority="4368" operator="containsText" text="Einnahmen">
      <formula>NOT(ISERROR(SEARCH("Einnahmen",C571)))</formula>
    </cfRule>
    <cfRule type="containsText" dxfId="8886" priority="4369" operator="containsText" text="Ausgaben">
      <formula>NOT(ISERROR(SEARCH("Ausgaben",C571)))</formula>
    </cfRule>
  </conditionalFormatting>
  <conditionalFormatting sqref="J571">
    <cfRule type="cellIs" dxfId="8885" priority="4367" operator="equal">
      <formula>"ja"</formula>
    </cfRule>
  </conditionalFormatting>
  <conditionalFormatting sqref="T571">
    <cfRule type="expression" dxfId="8884" priority="4366">
      <formula>AND(AND($W571&lt;TODAY(),$W571&lt;&gt;""),$X571="")</formula>
    </cfRule>
  </conditionalFormatting>
  <conditionalFormatting sqref="Z571">
    <cfRule type="dataBar" priority="4365">
      <dataBar>
        <cfvo type="min"/>
        <cfvo type="max"/>
        <color rgb="FF63C384"/>
      </dataBar>
      <extLst>
        <ext xmlns:x14="http://schemas.microsoft.com/office/spreadsheetml/2009/9/main" uri="{B025F937-C7B1-47D3-B67F-A62EFF666E3E}">
          <x14:id>{D8065999-4064-4E97-A627-F080D8AEF5E1}</x14:id>
        </ext>
      </extLst>
    </cfRule>
  </conditionalFormatting>
  <conditionalFormatting sqref="Z571">
    <cfRule type="dataBar" priority="4364">
      <dataBar>
        <cfvo type="min"/>
        <cfvo type="max"/>
        <color rgb="FF63C384"/>
      </dataBar>
      <extLst>
        <ext xmlns:x14="http://schemas.microsoft.com/office/spreadsheetml/2009/9/main" uri="{B025F937-C7B1-47D3-B67F-A62EFF666E3E}">
          <x14:id>{B07E7002-EB8C-4EB5-8B76-0C9C5F6C66AA}</x14:id>
        </ext>
      </extLst>
    </cfRule>
  </conditionalFormatting>
  <conditionalFormatting sqref="T572">
    <cfRule type="expression" dxfId="8883" priority="4363">
      <formula>AND(AND($W572&lt;TODAY(),$W572&lt;&gt;""),$X572="")</formula>
    </cfRule>
  </conditionalFormatting>
  <conditionalFormatting sqref="C572">
    <cfRule type="containsText" dxfId="8882" priority="4361" operator="containsText" text="Einnahmen">
      <formula>NOT(ISERROR(SEARCH("Einnahmen",C572)))</formula>
    </cfRule>
    <cfRule type="containsText" dxfId="8881" priority="4362" operator="containsText" text="Ausgaben">
      <formula>NOT(ISERROR(SEARCH("Ausgaben",C572)))</formula>
    </cfRule>
  </conditionalFormatting>
  <conditionalFormatting sqref="J572">
    <cfRule type="cellIs" dxfId="8880" priority="4359" operator="equal">
      <formula>"ja"</formula>
    </cfRule>
  </conditionalFormatting>
  <conditionalFormatting sqref="Z572">
    <cfRule type="dataBar" priority="4358">
      <dataBar>
        <cfvo type="min"/>
        <cfvo type="max"/>
        <color rgb="FF63C384"/>
      </dataBar>
      <extLst>
        <ext xmlns:x14="http://schemas.microsoft.com/office/spreadsheetml/2009/9/main" uri="{B025F937-C7B1-47D3-B67F-A62EFF666E3E}">
          <x14:id>{0C63C08F-D078-4CC5-AEA6-F30FEAF4DD27}</x14:id>
        </ext>
      </extLst>
    </cfRule>
  </conditionalFormatting>
  <conditionalFormatting sqref="Z572">
    <cfRule type="dataBar" priority="4357">
      <dataBar>
        <cfvo type="min"/>
        <cfvo type="max"/>
        <color rgb="FF63C384"/>
      </dataBar>
      <extLst>
        <ext xmlns:x14="http://schemas.microsoft.com/office/spreadsheetml/2009/9/main" uri="{B025F937-C7B1-47D3-B67F-A62EFF666E3E}">
          <x14:id>{A32BFF77-C1DE-45EE-8D0A-91772669BBDC}</x14:id>
        </ext>
      </extLst>
    </cfRule>
  </conditionalFormatting>
  <conditionalFormatting sqref="J573">
    <cfRule type="cellIs" dxfId="8879" priority="4356" operator="equal">
      <formula>"ja"</formula>
    </cfRule>
  </conditionalFormatting>
  <conditionalFormatting sqref="C573">
    <cfRule type="containsText" dxfId="8878" priority="4354" operator="containsText" text="Einnahmen">
      <formula>NOT(ISERROR(SEARCH("Einnahmen",C573)))</formula>
    </cfRule>
    <cfRule type="containsText" dxfId="8877" priority="4355" operator="containsText" text="Ausgaben">
      <formula>NOT(ISERROR(SEARCH("Ausgaben",C573)))</formula>
    </cfRule>
  </conditionalFormatting>
  <conditionalFormatting sqref="T573">
    <cfRule type="expression" dxfId="8876" priority="4353">
      <formula>AND(AND($W573&lt;TODAY(),$W573&lt;&gt;""),$X573="")</formula>
    </cfRule>
  </conditionalFormatting>
  <conditionalFormatting sqref="Z573">
    <cfRule type="dataBar" priority="4352">
      <dataBar>
        <cfvo type="min"/>
        <cfvo type="max"/>
        <color rgb="FF63C384"/>
      </dataBar>
      <extLst>
        <ext xmlns:x14="http://schemas.microsoft.com/office/spreadsheetml/2009/9/main" uri="{B025F937-C7B1-47D3-B67F-A62EFF666E3E}">
          <x14:id>{ED77BAEA-CD75-477D-BBEA-E68921AFB51E}</x14:id>
        </ext>
      </extLst>
    </cfRule>
  </conditionalFormatting>
  <conditionalFormatting sqref="Z573">
    <cfRule type="dataBar" priority="4351">
      <dataBar>
        <cfvo type="min"/>
        <cfvo type="max"/>
        <color rgb="FF63C384"/>
      </dataBar>
      <extLst>
        <ext xmlns:x14="http://schemas.microsoft.com/office/spreadsheetml/2009/9/main" uri="{B025F937-C7B1-47D3-B67F-A62EFF666E3E}">
          <x14:id>{6911DBC7-7900-4A9D-AFE8-215C80E5BD45}</x14:id>
        </ext>
      </extLst>
    </cfRule>
  </conditionalFormatting>
  <conditionalFormatting sqref="J574">
    <cfRule type="cellIs" dxfId="8875" priority="4347" operator="equal">
      <formula>"ja"</formula>
    </cfRule>
  </conditionalFormatting>
  <conditionalFormatting sqref="T574">
    <cfRule type="expression" dxfId="8874" priority="4346">
      <formula>AND(AND($W574&lt;TODAY(),$W574&lt;&gt;""),$X574="")</formula>
    </cfRule>
  </conditionalFormatting>
  <conditionalFormatting sqref="Z574">
    <cfRule type="dataBar" priority="4345">
      <dataBar>
        <cfvo type="min"/>
        <cfvo type="max"/>
        <color rgb="FF63C384"/>
      </dataBar>
      <extLst>
        <ext xmlns:x14="http://schemas.microsoft.com/office/spreadsheetml/2009/9/main" uri="{B025F937-C7B1-47D3-B67F-A62EFF666E3E}">
          <x14:id>{C3D2B7F1-224C-4139-A69E-DCA7F705A7C7}</x14:id>
        </ext>
      </extLst>
    </cfRule>
  </conditionalFormatting>
  <conditionalFormatting sqref="Z574">
    <cfRule type="dataBar" priority="4344">
      <dataBar>
        <cfvo type="min"/>
        <cfvo type="max"/>
        <color rgb="FF63C384"/>
      </dataBar>
      <extLst>
        <ext xmlns:x14="http://schemas.microsoft.com/office/spreadsheetml/2009/9/main" uri="{B025F937-C7B1-47D3-B67F-A62EFF666E3E}">
          <x14:id>{7A8969D7-740A-425D-99B8-E83982B6E758}</x14:id>
        </ext>
      </extLst>
    </cfRule>
  </conditionalFormatting>
  <conditionalFormatting sqref="C574">
    <cfRule type="containsText" dxfId="8873" priority="4342" operator="containsText" text="Einnahmen">
      <formula>NOT(ISERROR(SEARCH("Einnahmen",C574)))</formula>
    </cfRule>
    <cfRule type="containsText" dxfId="8872" priority="4343" operator="containsText" text="Ausgaben">
      <formula>NOT(ISERROR(SEARCH("Ausgaben",C574)))</formula>
    </cfRule>
  </conditionalFormatting>
  <conditionalFormatting sqref="C575">
    <cfRule type="containsText" dxfId="8871" priority="4340" operator="containsText" text="Einnahmen">
      <formula>NOT(ISERROR(SEARCH("Einnahmen",C575)))</formula>
    </cfRule>
    <cfRule type="containsText" dxfId="8870" priority="4341" operator="containsText" text="Ausgaben">
      <formula>NOT(ISERROR(SEARCH("Ausgaben",C575)))</formula>
    </cfRule>
  </conditionalFormatting>
  <conditionalFormatting sqref="J575">
    <cfRule type="cellIs" dxfId="8869" priority="4339" operator="equal">
      <formula>"ja"</formula>
    </cfRule>
  </conditionalFormatting>
  <conditionalFormatting sqref="J575">
    <cfRule type="cellIs" dxfId="8868" priority="4327" operator="equal">
      <formula>"ja"</formula>
    </cfRule>
  </conditionalFormatting>
  <conditionalFormatting sqref="T575">
    <cfRule type="expression" dxfId="8867" priority="4326">
      <formula>AND(AND($W575&lt;TODAY(),$W575&lt;&gt;""),$X575="")</formula>
    </cfRule>
  </conditionalFormatting>
  <conditionalFormatting sqref="T575">
    <cfRule type="expression" dxfId="8866" priority="4338">
      <formula>AND(AND($W575&lt;TODAY(),$W575&lt;&gt;""),$X575="")</formula>
    </cfRule>
  </conditionalFormatting>
  <conditionalFormatting sqref="Z575">
    <cfRule type="dataBar" priority="4337">
      <dataBar>
        <cfvo type="min"/>
        <cfvo type="max"/>
        <color rgb="FF63C384"/>
      </dataBar>
      <extLst>
        <ext xmlns:x14="http://schemas.microsoft.com/office/spreadsheetml/2009/9/main" uri="{B025F937-C7B1-47D3-B67F-A62EFF666E3E}">
          <x14:id>{8AC8DE84-D98C-477C-991A-6EA360D9DC97}</x14:id>
        </ext>
      </extLst>
    </cfRule>
  </conditionalFormatting>
  <conditionalFormatting sqref="Z575">
    <cfRule type="dataBar" priority="4336">
      <dataBar>
        <cfvo type="min"/>
        <cfvo type="max"/>
        <color rgb="FF63C384"/>
      </dataBar>
      <extLst>
        <ext xmlns:x14="http://schemas.microsoft.com/office/spreadsheetml/2009/9/main" uri="{B025F937-C7B1-47D3-B67F-A62EFF666E3E}">
          <x14:id>{C0D793E4-3647-4C50-95BE-3EA7BB3EC94D}</x14:id>
        </ext>
      </extLst>
    </cfRule>
  </conditionalFormatting>
  <conditionalFormatting sqref="J575">
    <cfRule type="cellIs" dxfId="8865" priority="4335" operator="equal">
      <formula>"ja"</formula>
    </cfRule>
  </conditionalFormatting>
  <conditionalFormatting sqref="T575">
    <cfRule type="expression" dxfId="8864" priority="4334">
      <formula>AND(AND($W575&lt;TODAY(),$W575&lt;&gt;""),$X575="")</formula>
    </cfRule>
  </conditionalFormatting>
  <conditionalFormatting sqref="Z575">
    <cfRule type="dataBar" priority="4333">
      <dataBar>
        <cfvo type="min"/>
        <cfvo type="max"/>
        <color rgb="FF63C384"/>
      </dataBar>
      <extLst>
        <ext xmlns:x14="http://schemas.microsoft.com/office/spreadsheetml/2009/9/main" uri="{B025F937-C7B1-47D3-B67F-A62EFF666E3E}">
          <x14:id>{9406B8EA-5C25-43FE-AD07-E7B5654E913D}</x14:id>
        </ext>
      </extLst>
    </cfRule>
  </conditionalFormatting>
  <conditionalFormatting sqref="Z575">
    <cfRule type="dataBar" priority="4332">
      <dataBar>
        <cfvo type="min"/>
        <cfvo type="max"/>
        <color rgb="FF63C384"/>
      </dataBar>
      <extLst>
        <ext xmlns:x14="http://schemas.microsoft.com/office/spreadsheetml/2009/9/main" uri="{B025F937-C7B1-47D3-B67F-A62EFF666E3E}">
          <x14:id>{C54DB5ED-4E99-4C49-B060-FC0720D22B6A}</x14:id>
        </ext>
      </extLst>
    </cfRule>
  </conditionalFormatting>
  <conditionalFormatting sqref="J575">
    <cfRule type="cellIs" dxfId="8863" priority="4331" operator="equal">
      <formula>"ja"</formula>
    </cfRule>
  </conditionalFormatting>
  <conditionalFormatting sqref="T575">
    <cfRule type="expression" dxfId="8862" priority="4330">
      <formula>AND(AND($W575&lt;TODAY(),$W575&lt;&gt;""),$X575="")</formula>
    </cfRule>
  </conditionalFormatting>
  <conditionalFormatting sqref="Z575">
    <cfRule type="dataBar" priority="4329">
      <dataBar>
        <cfvo type="min"/>
        <cfvo type="max"/>
        <color rgb="FF63C384"/>
      </dataBar>
      <extLst>
        <ext xmlns:x14="http://schemas.microsoft.com/office/spreadsheetml/2009/9/main" uri="{B025F937-C7B1-47D3-B67F-A62EFF666E3E}">
          <x14:id>{9E4F2242-7C91-40CF-A7DF-A5475928AC48}</x14:id>
        </ext>
      </extLst>
    </cfRule>
  </conditionalFormatting>
  <conditionalFormatting sqref="Z575">
    <cfRule type="dataBar" priority="4328">
      <dataBar>
        <cfvo type="min"/>
        <cfvo type="max"/>
        <color rgb="FF63C384"/>
      </dataBar>
      <extLst>
        <ext xmlns:x14="http://schemas.microsoft.com/office/spreadsheetml/2009/9/main" uri="{B025F937-C7B1-47D3-B67F-A62EFF666E3E}">
          <x14:id>{480E370B-E7E7-4652-94CB-03620E249867}</x14:id>
        </ext>
      </extLst>
    </cfRule>
  </conditionalFormatting>
  <conditionalFormatting sqref="Z575">
    <cfRule type="dataBar" priority="4325">
      <dataBar>
        <cfvo type="min"/>
        <cfvo type="max"/>
        <color rgb="FF63C384"/>
      </dataBar>
      <extLst>
        <ext xmlns:x14="http://schemas.microsoft.com/office/spreadsheetml/2009/9/main" uri="{B025F937-C7B1-47D3-B67F-A62EFF666E3E}">
          <x14:id>{FE9ECD92-6796-40DD-AA14-EC6C79F8AC4A}</x14:id>
        </ext>
      </extLst>
    </cfRule>
  </conditionalFormatting>
  <conditionalFormatting sqref="Z575">
    <cfRule type="dataBar" priority="4324">
      <dataBar>
        <cfvo type="min"/>
        <cfvo type="max"/>
        <color rgb="FF63C384"/>
      </dataBar>
      <extLst>
        <ext xmlns:x14="http://schemas.microsoft.com/office/spreadsheetml/2009/9/main" uri="{B025F937-C7B1-47D3-B67F-A62EFF666E3E}">
          <x14:id>{C32B78D5-4324-4C35-9B08-FFD373D2A02A}</x14:id>
        </ext>
      </extLst>
    </cfRule>
  </conditionalFormatting>
  <conditionalFormatting sqref="J576">
    <cfRule type="cellIs" dxfId="8861" priority="4318" operator="equal">
      <formula>"ja"</formula>
    </cfRule>
  </conditionalFormatting>
  <conditionalFormatting sqref="T576">
    <cfRule type="expression" dxfId="8860" priority="4317">
      <formula>AND(AND($W576&lt;TODAY(),$W576&lt;&gt;""),$X576="")</formula>
    </cfRule>
  </conditionalFormatting>
  <conditionalFormatting sqref="Z576">
    <cfRule type="dataBar" priority="4316">
      <dataBar>
        <cfvo type="min"/>
        <cfvo type="max"/>
        <color rgb="FF63C384"/>
      </dataBar>
      <extLst>
        <ext xmlns:x14="http://schemas.microsoft.com/office/spreadsheetml/2009/9/main" uri="{B025F937-C7B1-47D3-B67F-A62EFF666E3E}">
          <x14:id>{6685449D-134C-4579-9309-470BF17D8A22}</x14:id>
        </ext>
      </extLst>
    </cfRule>
  </conditionalFormatting>
  <conditionalFormatting sqref="C576">
    <cfRule type="containsText" dxfId="8859" priority="4314" operator="containsText" text="Einnahmen">
      <formula>NOT(ISERROR(SEARCH("Einnahmen",C576)))</formula>
    </cfRule>
    <cfRule type="containsText" dxfId="8858" priority="4315" operator="containsText" text="Ausgaben">
      <formula>NOT(ISERROR(SEARCH("Ausgaben",C576)))</formula>
    </cfRule>
  </conditionalFormatting>
  <conditionalFormatting sqref="J576">
    <cfRule type="cellIs" dxfId="8857" priority="4313" operator="equal">
      <formula>"ja"</formula>
    </cfRule>
  </conditionalFormatting>
  <conditionalFormatting sqref="T576">
    <cfRule type="expression" dxfId="8856" priority="4312">
      <formula>AND(AND($W576&lt;TODAY(),$W576&lt;&gt;""),$X576="")</formula>
    </cfRule>
  </conditionalFormatting>
  <conditionalFormatting sqref="Z576">
    <cfRule type="dataBar" priority="4311">
      <dataBar>
        <cfvo type="min"/>
        <cfvo type="max"/>
        <color rgb="FF63C384"/>
      </dataBar>
      <extLst>
        <ext xmlns:x14="http://schemas.microsoft.com/office/spreadsheetml/2009/9/main" uri="{B025F937-C7B1-47D3-B67F-A62EFF666E3E}">
          <x14:id>{B98927D9-4046-4F06-BB12-351A2F01D547}</x14:id>
        </ext>
      </extLst>
    </cfRule>
  </conditionalFormatting>
  <conditionalFormatting sqref="Z576">
    <cfRule type="dataBar" priority="4310">
      <dataBar>
        <cfvo type="min"/>
        <cfvo type="max"/>
        <color rgb="FF63C384"/>
      </dataBar>
      <extLst>
        <ext xmlns:x14="http://schemas.microsoft.com/office/spreadsheetml/2009/9/main" uri="{B025F937-C7B1-47D3-B67F-A62EFF666E3E}">
          <x14:id>{4CA79900-AE95-41A6-B523-4E5F5ED1888C}</x14:id>
        </ext>
      </extLst>
    </cfRule>
  </conditionalFormatting>
  <conditionalFormatting sqref="T577">
    <cfRule type="expression" dxfId="8855" priority="4301">
      <formula>AND(AND($W577&lt;TODAY(),$W577&lt;&gt;""),$X577="")</formula>
    </cfRule>
  </conditionalFormatting>
  <conditionalFormatting sqref="Z577">
    <cfRule type="dataBar" priority="4300">
      <dataBar>
        <cfvo type="min"/>
        <cfvo type="max"/>
        <color rgb="FF63C384"/>
      </dataBar>
      <extLst>
        <ext xmlns:x14="http://schemas.microsoft.com/office/spreadsheetml/2009/9/main" uri="{B025F937-C7B1-47D3-B67F-A62EFF666E3E}">
          <x14:id>{E0516999-3CC2-4683-94D8-AEB14588CC65}</x14:id>
        </ext>
      </extLst>
    </cfRule>
  </conditionalFormatting>
  <conditionalFormatting sqref="Z577">
    <cfRule type="dataBar" priority="4299">
      <dataBar>
        <cfvo type="min"/>
        <cfvo type="max"/>
        <color rgb="FF63C384"/>
      </dataBar>
      <extLst>
        <ext xmlns:x14="http://schemas.microsoft.com/office/spreadsheetml/2009/9/main" uri="{B025F937-C7B1-47D3-B67F-A62EFF666E3E}">
          <x14:id>{8B057D6D-5B0E-41DB-982C-5DDB25847142}</x14:id>
        </ext>
      </extLst>
    </cfRule>
  </conditionalFormatting>
  <conditionalFormatting sqref="C577">
    <cfRule type="containsText" dxfId="8854" priority="4296" operator="containsText" text="Einnahmen">
      <formula>NOT(ISERROR(SEARCH("Einnahmen",C577)))</formula>
    </cfRule>
    <cfRule type="containsText" dxfId="8853" priority="4297" operator="containsText" text="Ausgaben">
      <formula>NOT(ISERROR(SEARCH("Ausgaben",C577)))</formula>
    </cfRule>
  </conditionalFormatting>
  <conditionalFormatting sqref="J577">
    <cfRule type="cellIs" dxfId="8852" priority="4295" operator="equal">
      <formula>"ja"</formula>
    </cfRule>
  </conditionalFormatting>
  <conditionalFormatting sqref="J578">
    <cfRule type="cellIs" dxfId="8851" priority="4294" operator="equal">
      <formula>"ja"</formula>
    </cfRule>
  </conditionalFormatting>
  <conditionalFormatting sqref="C578">
    <cfRule type="containsText" dxfId="8850" priority="4292" operator="containsText" text="Einnahmen">
      <formula>NOT(ISERROR(SEARCH("Einnahmen",C578)))</formula>
    </cfRule>
    <cfRule type="containsText" dxfId="8849" priority="4293" operator="containsText" text="Ausgaben">
      <formula>NOT(ISERROR(SEARCH("Ausgaben",C578)))</formula>
    </cfRule>
  </conditionalFormatting>
  <conditionalFormatting sqref="T578">
    <cfRule type="expression" dxfId="8848" priority="4291">
      <formula>AND(AND($W578&lt;TODAY(),$W578&lt;&gt;""),$X578="")</formula>
    </cfRule>
  </conditionalFormatting>
  <conditionalFormatting sqref="Z578">
    <cfRule type="dataBar" priority="4290">
      <dataBar>
        <cfvo type="min"/>
        <cfvo type="max"/>
        <color rgb="FF63C384"/>
      </dataBar>
      <extLst>
        <ext xmlns:x14="http://schemas.microsoft.com/office/spreadsheetml/2009/9/main" uri="{B025F937-C7B1-47D3-B67F-A62EFF666E3E}">
          <x14:id>{43160958-1F24-40A4-8301-CCEA176C1A13}</x14:id>
        </ext>
      </extLst>
    </cfRule>
  </conditionalFormatting>
  <conditionalFormatting sqref="Z578">
    <cfRule type="dataBar" priority="4289">
      <dataBar>
        <cfvo type="min"/>
        <cfvo type="max"/>
        <color rgb="FF63C384"/>
      </dataBar>
      <extLst>
        <ext xmlns:x14="http://schemas.microsoft.com/office/spreadsheetml/2009/9/main" uri="{B025F937-C7B1-47D3-B67F-A62EFF666E3E}">
          <x14:id>{163EEC2F-A335-401A-ADCA-CEFE9DD7D1BF}</x14:id>
        </ext>
      </extLst>
    </cfRule>
  </conditionalFormatting>
  <conditionalFormatting sqref="C579">
    <cfRule type="containsText" dxfId="8847" priority="4286" operator="containsText" text="Einnahmen">
      <formula>NOT(ISERROR(SEARCH("Einnahmen",C579)))</formula>
    </cfRule>
    <cfRule type="containsText" dxfId="8846" priority="4287" operator="containsText" text="Ausgaben">
      <formula>NOT(ISERROR(SEARCH("Ausgaben",C579)))</formula>
    </cfRule>
  </conditionalFormatting>
  <conditionalFormatting sqref="T579">
    <cfRule type="expression" dxfId="8845" priority="4285">
      <formula>AND(AND($W579&lt;TODAY(),$W579&lt;&gt;""),$X579="")</formula>
    </cfRule>
  </conditionalFormatting>
  <conditionalFormatting sqref="J579">
    <cfRule type="cellIs" dxfId="8844" priority="4284" operator="equal">
      <formula>"ja"</formula>
    </cfRule>
  </conditionalFormatting>
  <conditionalFormatting sqref="Z579">
    <cfRule type="dataBar" priority="4283">
      <dataBar>
        <cfvo type="min"/>
        <cfvo type="max"/>
        <color rgb="FF63C384"/>
      </dataBar>
      <extLst>
        <ext xmlns:x14="http://schemas.microsoft.com/office/spreadsheetml/2009/9/main" uri="{B025F937-C7B1-47D3-B67F-A62EFF666E3E}">
          <x14:id>{9B78C2B3-EC04-4CD3-B33B-591FC65A0DD2}</x14:id>
        </ext>
      </extLst>
    </cfRule>
  </conditionalFormatting>
  <conditionalFormatting sqref="Z579">
    <cfRule type="dataBar" priority="4282">
      <dataBar>
        <cfvo type="min"/>
        <cfvo type="max"/>
        <color rgb="FF63C384"/>
      </dataBar>
      <extLst>
        <ext xmlns:x14="http://schemas.microsoft.com/office/spreadsheetml/2009/9/main" uri="{B025F937-C7B1-47D3-B67F-A62EFF666E3E}">
          <x14:id>{4ED30DB4-CA3B-46B2-981B-0E14BB05557E}</x14:id>
        </ext>
      </extLst>
    </cfRule>
  </conditionalFormatting>
  <conditionalFormatting sqref="J580">
    <cfRule type="cellIs" dxfId="8843" priority="4280" operator="equal">
      <formula>"ja"</formula>
    </cfRule>
  </conditionalFormatting>
  <conditionalFormatting sqref="C580">
    <cfRule type="containsText" dxfId="8842" priority="4278" operator="containsText" text="Einnahmen">
      <formula>NOT(ISERROR(SEARCH("Einnahmen",C580)))</formula>
    </cfRule>
    <cfRule type="containsText" dxfId="8841" priority="4279" operator="containsText" text="Ausgaben">
      <formula>NOT(ISERROR(SEARCH("Ausgaben",C580)))</formula>
    </cfRule>
  </conditionalFormatting>
  <conditionalFormatting sqref="T580">
    <cfRule type="expression" dxfId="8840" priority="4277">
      <formula>AND(AND($W580&lt;TODAY(),$W580&lt;&gt;""),$X580="")</formula>
    </cfRule>
  </conditionalFormatting>
  <conditionalFormatting sqref="Z580">
    <cfRule type="dataBar" priority="4276">
      <dataBar>
        <cfvo type="min"/>
        <cfvo type="max"/>
        <color rgb="FF63C384"/>
      </dataBar>
      <extLst>
        <ext xmlns:x14="http://schemas.microsoft.com/office/spreadsheetml/2009/9/main" uri="{B025F937-C7B1-47D3-B67F-A62EFF666E3E}">
          <x14:id>{935CAE63-B6DE-4C6E-8984-AA64A723825B}</x14:id>
        </ext>
      </extLst>
    </cfRule>
  </conditionalFormatting>
  <conditionalFormatting sqref="Z580">
    <cfRule type="dataBar" priority="4275">
      <dataBar>
        <cfvo type="min"/>
        <cfvo type="max"/>
        <color rgb="FF63C384"/>
      </dataBar>
      <extLst>
        <ext xmlns:x14="http://schemas.microsoft.com/office/spreadsheetml/2009/9/main" uri="{B025F937-C7B1-47D3-B67F-A62EFF666E3E}">
          <x14:id>{14C075BC-6711-42C2-B33B-F62D72E49DF4}</x14:id>
        </ext>
      </extLst>
    </cfRule>
  </conditionalFormatting>
  <conditionalFormatting sqref="J581">
    <cfRule type="cellIs" dxfId="8839" priority="4274" operator="equal">
      <formula>"ja"</formula>
    </cfRule>
  </conditionalFormatting>
  <conditionalFormatting sqref="T581">
    <cfRule type="expression" dxfId="8838" priority="4273">
      <formula>AND(AND($W581&lt;TODAY(),$W581&lt;&gt;""),$X581="")</formula>
    </cfRule>
  </conditionalFormatting>
  <conditionalFormatting sqref="Z581">
    <cfRule type="dataBar" priority="4272">
      <dataBar>
        <cfvo type="min"/>
        <cfvo type="max"/>
        <color rgb="FF63C384"/>
      </dataBar>
      <extLst>
        <ext xmlns:x14="http://schemas.microsoft.com/office/spreadsheetml/2009/9/main" uri="{B025F937-C7B1-47D3-B67F-A62EFF666E3E}">
          <x14:id>{6A71D63E-76C7-40B7-ACDF-E6895379881B}</x14:id>
        </ext>
      </extLst>
    </cfRule>
  </conditionalFormatting>
  <conditionalFormatting sqref="Z581">
    <cfRule type="dataBar" priority="4271">
      <dataBar>
        <cfvo type="min"/>
        <cfvo type="max"/>
        <color rgb="FF63C384"/>
      </dataBar>
      <extLst>
        <ext xmlns:x14="http://schemas.microsoft.com/office/spreadsheetml/2009/9/main" uri="{B025F937-C7B1-47D3-B67F-A62EFF666E3E}">
          <x14:id>{4E3ACF14-E97C-442F-8993-050CE3395F99}</x14:id>
        </ext>
      </extLst>
    </cfRule>
  </conditionalFormatting>
  <conditionalFormatting sqref="C581">
    <cfRule type="containsText" dxfId="8837" priority="4269" operator="containsText" text="Einnahmen">
      <formula>NOT(ISERROR(SEARCH("Einnahmen",C581)))</formula>
    </cfRule>
    <cfRule type="containsText" dxfId="8836" priority="4270" operator="containsText" text="Ausgaben">
      <formula>NOT(ISERROR(SEARCH("Ausgaben",C581)))</formula>
    </cfRule>
  </conditionalFormatting>
  <conditionalFormatting sqref="T582">
    <cfRule type="expression" dxfId="8835" priority="4268">
      <formula>AND(AND($W582&lt;TODAY(),$W582&lt;&gt;""),$X582="")</formula>
    </cfRule>
  </conditionalFormatting>
  <conditionalFormatting sqref="Z582">
    <cfRule type="dataBar" priority="4267">
      <dataBar>
        <cfvo type="min"/>
        <cfvo type="max"/>
        <color rgb="FF63C384"/>
      </dataBar>
      <extLst>
        <ext xmlns:x14="http://schemas.microsoft.com/office/spreadsheetml/2009/9/main" uri="{B025F937-C7B1-47D3-B67F-A62EFF666E3E}">
          <x14:id>{B47D239B-6438-405F-A11B-2A1B6F11A9EB}</x14:id>
        </ext>
      </extLst>
    </cfRule>
  </conditionalFormatting>
  <conditionalFormatting sqref="Z582">
    <cfRule type="dataBar" priority="4266">
      <dataBar>
        <cfvo type="min"/>
        <cfvo type="max"/>
        <color rgb="FF63C384"/>
      </dataBar>
      <extLst>
        <ext xmlns:x14="http://schemas.microsoft.com/office/spreadsheetml/2009/9/main" uri="{B025F937-C7B1-47D3-B67F-A62EFF666E3E}">
          <x14:id>{34A438D2-DB20-42C1-A2B5-CB049546B957}</x14:id>
        </ext>
      </extLst>
    </cfRule>
  </conditionalFormatting>
  <conditionalFormatting sqref="C582">
    <cfRule type="containsText" dxfId="8834" priority="4264" operator="containsText" text="Einnahmen">
      <formula>NOT(ISERROR(SEARCH("Einnahmen",C582)))</formula>
    </cfRule>
    <cfRule type="containsText" dxfId="8833" priority="4265" operator="containsText" text="Ausgaben">
      <formula>NOT(ISERROR(SEARCH("Ausgaben",C582)))</formula>
    </cfRule>
  </conditionalFormatting>
  <conditionalFormatting sqref="C583">
    <cfRule type="containsText" dxfId="8832" priority="4262" operator="containsText" text="Einnahmen">
      <formula>NOT(ISERROR(SEARCH("Einnahmen",C583)))</formula>
    </cfRule>
    <cfRule type="containsText" dxfId="8831" priority="4263" operator="containsText" text="Ausgaben">
      <formula>NOT(ISERROR(SEARCH("Ausgaben",C583)))</formula>
    </cfRule>
  </conditionalFormatting>
  <conditionalFormatting sqref="T583">
    <cfRule type="expression" dxfId="8830" priority="4261">
      <formula>AND(AND($W583&lt;TODAY(),$W583&lt;&gt;""),$X583="")</formula>
    </cfRule>
  </conditionalFormatting>
  <conditionalFormatting sqref="Z583">
    <cfRule type="dataBar" priority="4260">
      <dataBar>
        <cfvo type="min"/>
        <cfvo type="max"/>
        <color rgb="FF63C384"/>
      </dataBar>
      <extLst>
        <ext xmlns:x14="http://schemas.microsoft.com/office/spreadsheetml/2009/9/main" uri="{B025F937-C7B1-47D3-B67F-A62EFF666E3E}">
          <x14:id>{95E11636-A743-4D8D-AD2F-E9C297C46709}</x14:id>
        </ext>
      </extLst>
    </cfRule>
  </conditionalFormatting>
  <conditionalFormatting sqref="Z583">
    <cfRule type="dataBar" priority="4259">
      <dataBar>
        <cfvo type="min"/>
        <cfvo type="max"/>
        <color rgb="FF63C384"/>
      </dataBar>
      <extLst>
        <ext xmlns:x14="http://schemas.microsoft.com/office/spreadsheetml/2009/9/main" uri="{B025F937-C7B1-47D3-B67F-A62EFF666E3E}">
          <x14:id>{1CA8B991-E32C-470E-BD91-B1D61150F238}</x14:id>
        </ext>
      </extLst>
    </cfRule>
  </conditionalFormatting>
  <conditionalFormatting sqref="J583">
    <cfRule type="cellIs" dxfId="8829" priority="4257" operator="equal">
      <formula>"ja"</formula>
    </cfRule>
  </conditionalFormatting>
  <conditionalFormatting sqref="C584">
    <cfRule type="containsText" dxfId="8828" priority="4255" operator="containsText" text="Einnahmen">
      <formula>NOT(ISERROR(SEARCH("Einnahmen",C584)))</formula>
    </cfRule>
    <cfRule type="containsText" dxfId="8827" priority="4256" operator="containsText" text="Ausgaben">
      <formula>NOT(ISERROR(SEARCH("Ausgaben",C584)))</formula>
    </cfRule>
  </conditionalFormatting>
  <conditionalFormatting sqref="T584">
    <cfRule type="expression" dxfId="8826" priority="4254">
      <formula>AND(AND($W584&lt;TODAY(),$W584&lt;&gt;""),$X584="")</formula>
    </cfRule>
  </conditionalFormatting>
  <conditionalFormatting sqref="Z584">
    <cfRule type="dataBar" priority="4253">
      <dataBar>
        <cfvo type="min"/>
        <cfvo type="max"/>
        <color rgb="FF63C384"/>
      </dataBar>
      <extLst>
        <ext xmlns:x14="http://schemas.microsoft.com/office/spreadsheetml/2009/9/main" uri="{B025F937-C7B1-47D3-B67F-A62EFF666E3E}">
          <x14:id>{DC4184B7-E0BC-41B0-BEB2-0F6A7FDB7D09}</x14:id>
        </ext>
      </extLst>
    </cfRule>
  </conditionalFormatting>
  <conditionalFormatting sqref="Z584">
    <cfRule type="dataBar" priority="4252">
      <dataBar>
        <cfvo type="min"/>
        <cfvo type="max"/>
        <color rgb="FF63C384"/>
      </dataBar>
      <extLst>
        <ext xmlns:x14="http://schemas.microsoft.com/office/spreadsheetml/2009/9/main" uri="{B025F937-C7B1-47D3-B67F-A62EFF666E3E}">
          <x14:id>{5D979DE4-25BB-41F4-BB5F-928C7C36CB0A}</x14:id>
        </ext>
      </extLst>
    </cfRule>
  </conditionalFormatting>
  <conditionalFormatting sqref="J584">
    <cfRule type="cellIs" dxfId="8825" priority="4251" operator="equal">
      <formula>"ja"</formula>
    </cfRule>
  </conditionalFormatting>
  <conditionalFormatting sqref="C585">
    <cfRule type="containsText" dxfId="8824" priority="4248" operator="containsText" text="Einnahmen">
      <formula>NOT(ISERROR(SEARCH("Einnahmen",C585)))</formula>
    </cfRule>
    <cfRule type="containsText" dxfId="8823" priority="4249" operator="containsText" text="Ausgaben">
      <formula>NOT(ISERROR(SEARCH("Ausgaben",C585)))</formula>
    </cfRule>
  </conditionalFormatting>
  <conditionalFormatting sqref="T585">
    <cfRule type="expression" dxfId="8822" priority="4247">
      <formula>AND(AND($W585&lt;TODAY(),$W585&lt;&gt;""),$X585="")</formula>
    </cfRule>
  </conditionalFormatting>
  <conditionalFormatting sqref="Z585">
    <cfRule type="dataBar" priority="4246">
      <dataBar>
        <cfvo type="min"/>
        <cfvo type="max"/>
        <color rgb="FF63C384"/>
      </dataBar>
      <extLst>
        <ext xmlns:x14="http://schemas.microsoft.com/office/spreadsheetml/2009/9/main" uri="{B025F937-C7B1-47D3-B67F-A62EFF666E3E}">
          <x14:id>{1A0CB400-9EEA-4613-988C-66FDFBB11F0E}</x14:id>
        </ext>
      </extLst>
    </cfRule>
  </conditionalFormatting>
  <conditionalFormatting sqref="Z585">
    <cfRule type="dataBar" priority="4245">
      <dataBar>
        <cfvo type="min"/>
        <cfvo type="max"/>
        <color rgb="FF63C384"/>
      </dataBar>
      <extLst>
        <ext xmlns:x14="http://schemas.microsoft.com/office/spreadsheetml/2009/9/main" uri="{B025F937-C7B1-47D3-B67F-A62EFF666E3E}">
          <x14:id>{E9F19ACA-EB3F-4A56-B62D-7FFF0ECF0223}</x14:id>
        </ext>
      </extLst>
    </cfRule>
  </conditionalFormatting>
  <conditionalFormatting sqref="J585">
    <cfRule type="cellIs" dxfId="8821" priority="4244" operator="equal">
      <formula>"ja"</formula>
    </cfRule>
  </conditionalFormatting>
  <conditionalFormatting sqref="T586">
    <cfRule type="expression" dxfId="8820" priority="4242">
      <formula>AND(AND($W586&lt;TODAY(),$W586&lt;&gt;""),$X586="")</formula>
    </cfRule>
  </conditionalFormatting>
  <conditionalFormatting sqref="Z586">
    <cfRule type="dataBar" priority="4241">
      <dataBar>
        <cfvo type="min"/>
        <cfvo type="max"/>
        <color rgb="FF63C384"/>
      </dataBar>
      <extLst>
        <ext xmlns:x14="http://schemas.microsoft.com/office/spreadsheetml/2009/9/main" uri="{B025F937-C7B1-47D3-B67F-A62EFF666E3E}">
          <x14:id>{590B06DD-D74F-4D1E-B699-266FBC7590F0}</x14:id>
        </ext>
      </extLst>
    </cfRule>
  </conditionalFormatting>
  <conditionalFormatting sqref="Z586">
    <cfRule type="dataBar" priority="4240">
      <dataBar>
        <cfvo type="min"/>
        <cfvo type="max"/>
        <color rgb="FF63C384"/>
      </dataBar>
      <extLst>
        <ext xmlns:x14="http://schemas.microsoft.com/office/spreadsheetml/2009/9/main" uri="{B025F937-C7B1-47D3-B67F-A62EFF666E3E}">
          <x14:id>{33C0DAB2-2417-4867-AC35-3778E68DAF7A}</x14:id>
        </ext>
      </extLst>
    </cfRule>
  </conditionalFormatting>
  <conditionalFormatting sqref="J586">
    <cfRule type="cellIs" dxfId="8819" priority="4239" operator="equal">
      <formula>"ja"</formula>
    </cfRule>
  </conditionalFormatting>
  <conditionalFormatting sqref="T585">
    <cfRule type="expression" dxfId="8818" priority="4232">
      <formula>AND(AND($W585&lt;TODAY(),$W585&lt;&gt;""),$X585="")</formula>
    </cfRule>
  </conditionalFormatting>
  <conditionalFormatting sqref="Z585">
    <cfRule type="dataBar" priority="4231">
      <dataBar>
        <cfvo type="min"/>
        <cfvo type="max"/>
        <color rgb="FF63C384"/>
      </dataBar>
      <extLst>
        <ext xmlns:x14="http://schemas.microsoft.com/office/spreadsheetml/2009/9/main" uri="{B025F937-C7B1-47D3-B67F-A62EFF666E3E}">
          <x14:id>{7299620C-4A47-45B3-A8A2-570E75541343}</x14:id>
        </ext>
      </extLst>
    </cfRule>
  </conditionalFormatting>
  <conditionalFormatting sqref="Z585">
    <cfRule type="dataBar" priority="4230">
      <dataBar>
        <cfvo type="min"/>
        <cfvo type="max"/>
        <color rgb="FF63C384"/>
      </dataBar>
      <extLst>
        <ext xmlns:x14="http://schemas.microsoft.com/office/spreadsheetml/2009/9/main" uri="{B025F937-C7B1-47D3-B67F-A62EFF666E3E}">
          <x14:id>{5F4766A3-3B55-487A-B6AF-F94BD201587E}</x14:id>
        </ext>
      </extLst>
    </cfRule>
  </conditionalFormatting>
  <conditionalFormatting sqref="J585">
    <cfRule type="cellIs" dxfId="8817" priority="4229" operator="equal">
      <formula>"ja"</formula>
    </cfRule>
  </conditionalFormatting>
  <conditionalFormatting sqref="T586">
    <cfRule type="expression" dxfId="8816" priority="4227">
      <formula>AND(AND($W586&lt;TODAY(),$W586&lt;&gt;""),$X586="")</formula>
    </cfRule>
  </conditionalFormatting>
  <conditionalFormatting sqref="Z586">
    <cfRule type="dataBar" priority="4226">
      <dataBar>
        <cfvo type="min"/>
        <cfvo type="max"/>
        <color rgb="FF63C384"/>
      </dataBar>
      <extLst>
        <ext xmlns:x14="http://schemas.microsoft.com/office/spreadsheetml/2009/9/main" uri="{B025F937-C7B1-47D3-B67F-A62EFF666E3E}">
          <x14:id>{37D6B9D4-ABED-49F7-B843-E819BFEE3270}</x14:id>
        </ext>
      </extLst>
    </cfRule>
  </conditionalFormatting>
  <conditionalFormatting sqref="Z586">
    <cfRule type="dataBar" priority="4225">
      <dataBar>
        <cfvo type="min"/>
        <cfvo type="max"/>
        <color rgb="FF63C384"/>
      </dataBar>
      <extLst>
        <ext xmlns:x14="http://schemas.microsoft.com/office/spreadsheetml/2009/9/main" uri="{B025F937-C7B1-47D3-B67F-A62EFF666E3E}">
          <x14:id>{21133EF2-5AEF-44B3-97D1-DCB597716146}</x14:id>
        </ext>
      </extLst>
    </cfRule>
  </conditionalFormatting>
  <conditionalFormatting sqref="J586">
    <cfRule type="cellIs" dxfId="8815" priority="4224" operator="equal">
      <formula>"ja"</formula>
    </cfRule>
  </conditionalFormatting>
  <conditionalFormatting sqref="C586">
    <cfRule type="containsText" dxfId="8814" priority="4220" operator="containsText" text="Einnahmen">
      <formula>NOT(ISERROR(SEARCH("Einnahmen",C586)))</formula>
    </cfRule>
    <cfRule type="containsText" dxfId="8813" priority="4221" operator="containsText" text="Ausgaben">
      <formula>NOT(ISERROR(SEARCH("Ausgaben",C586)))</formula>
    </cfRule>
  </conditionalFormatting>
  <conditionalFormatting sqref="C587">
    <cfRule type="containsText" dxfId="8812" priority="4209" operator="containsText" text="Einnahmen">
      <formula>NOT(ISERROR(SEARCH("Einnahmen",C587)))</formula>
    </cfRule>
    <cfRule type="containsText" dxfId="8811" priority="4210" operator="containsText" text="Ausgaben">
      <formula>NOT(ISERROR(SEARCH("Ausgaben",C587)))</formula>
    </cfRule>
  </conditionalFormatting>
  <conditionalFormatting sqref="J587">
    <cfRule type="cellIs" dxfId="8810" priority="4208" operator="equal">
      <formula>"ja"</formula>
    </cfRule>
  </conditionalFormatting>
  <conditionalFormatting sqref="T587">
    <cfRule type="expression" dxfId="8809" priority="4207">
      <formula>AND(AND($W587&lt;TODAY(),$W587&lt;&gt;""),$X587="")</formula>
    </cfRule>
  </conditionalFormatting>
  <conditionalFormatting sqref="Z587">
    <cfRule type="dataBar" priority="4206">
      <dataBar>
        <cfvo type="min"/>
        <cfvo type="max"/>
        <color rgb="FF63C384"/>
      </dataBar>
      <extLst>
        <ext xmlns:x14="http://schemas.microsoft.com/office/spreadsheetml/2009/9/main" uri="{B025F937-C7B1-47D3-B67F-A62EFF666E3E}">
          <x14:id>{B1F42774-4C17-435A-8D9E-EF58A3B6228F}</x14:id>
        </ext>
      </extLst>
    </cfRule>
  </conditionalFormatting>
  <conditionalFormatting sqref="Z587">
    <cfRule type="dataBar" priority="4205">
      <dataBar>
        <cfvo type="min"/>
        <cfvo type="max"/>
        <color rgb="FF63C384"/>
      </dataBar>
      <extLst>
        <ext xmlns:x14="http://schemas.microsoft.com/office/spreadsheetml/2009/9/main" uri="{B025F937-C7B1-47D3-B67F-A62EFF666E3E}">
          <x14:id>{F23D4E42-3584-4D7E-A08C-252698CD2E8E}</x14:id>
        </ext>
      </extLst>
    </cfRule>
  </conditionalFormatting>
  <conditionalFormatting sqref="T587">
    <cfRule type="expression" dxfId="8808" priority="4204">
      <formula>AND(AND($W587&lt;TODAY(),$W587&lt;&gt;""),$X587="")</formula>
    </cfRule>
  </conditionalFormatting>
  <conditionalFormatting sqref="J587">
    <cfRule type="cellIs" dxfId="8807" priority="4203" operator="equal">
      <formula>"ja"</formula>
    </cfRule>
  </conditionalFormatting>
  <conditionalFormatting sqref="Z587">
    <cfRule type="dataBar" priority="4202">
      <dataBar>
        <cfvo type="min"/>
        <cfvo type="max"/>
        <color rgb="FF63C384"/>
      </dataBar>
      <extLst>
        <ext xmlns:x14="http://schemas.microsoft.com/office/spreadsheetml/2009/9/main" uri="{B025F937-C7B1-47D3-B67F-A62EFF666E3E}">
          <x14:id>{3A7F97A9-1E52-4F82-A7A3-49F8F592D3F7}</x14:id>
        </ext>
      </extLst>
    </cfRule>
  </conditionalFormatting>
  <conditionalFormatting sqref="Z587">
    <cfRule type="dataBar" priority="4201">
      <dataBar>
        <cfvo type="min"/>
        <cfvo type="max"/>
        <color rgb="FF63C384"/>
      </dataBar>
      <extLst>
        <ext xmlns:x14="http://schemas.microsoft.com/office/spreadsheetml/2009/9/main" uri="{B025F937-C7B1-47D3-B67F-A62EFF666E3E}">
          <x14:id>{763932A3-6217-4012-8887-4C3146414EEF}</x14:id>
        </ext>
      </extLst>
    </cfRule>
  </conditionalFormatting>
  <conditionalFormatting sqref="T588">
    <cfRule type="expression" dxfId="8806" priority="4196">
      <formula>AND(AND($W588&lt;TODAY(),$W588&lt;&gt;""),$X588="")</formula>
    </cfRule>
  </conditionalFormatting>
  <conditionalFormatting sqref="C588">
    <cfRule type="containsText" dxfId="8805" priority="4198" operator="containsText" text="Einnahmen">
      <formula>NOT(ISERROR(SEARCH("Einnahmen",C588)))</formula>
    </cfRule>
    <cfRule type="containsText" dxfId="8804" priority="4199" operator="containsText" text="Ausgaben">
      <formula>NOT(ISERROR(SEARCH("Ausgaben",C588)))</formula>
    </cfRule>
  </conditionalFormatting>
  <conditionalFormatting sqref="J588">
    <cfRule type="cellIs" dxfId="8803" priority="4197" operator="equal">
      <formula>"ja"</formula>
    </cfRule>
  </conditionalFormatting>
  <conditionalFormatting sqref="Z588">
    <cfRule type="dataBar" priority="4195">
      <dataBar>
        <cfvo type="min"/>
        <cfvo type="max"/>
        <color rgb="FF63C384"/>
      </dataBar>
      <extLst>
        <ext xmlns:x14="http://schemas.microsoft.com/office/spreadsheetml/2009/9/main" uri="{B025F937-C7B1-47D3-B67F-A62EFF666E3E}">
          <x14:id>{01920533-861A-4E03-9D45-27C8135EFCDB}</x14:id>
        </ext>
      </extLst>
    </cfRule>
  </conditionalFormatting>
  <conditionalFormatting sqref="Z588">
    <cfRule type="dataBar" priority="4194">
      <dataBar>
        <cfvo type="min"/>
        <cfvo type="max"/>
        <color rgb="FF63C384"/>
      </dataBar>
      <extLst>
        <ext xmlns:x14="http://schemas.microsoft.com/office/spreadsheetml/2009/9/main" uri="{B025F937-C7B1-47D3-B67F-A62EFF666E3E}">
          <x14:id>{116168F8-4D1B-46F0-A31C-D53852B0A458}</x14:id>
        </ext>
      </extLst>
    </cfRule>
  </conditionalFormatting>
  <conditionalFormatting sqref="C589">
    <cfRule type="containsText" dxfId="8802" priority="4192" operator="containsText" text="Einnahmen">
      <formula>NOT(ISERROR(SEARCH("Einnahmen",C589)))</formula>
    </cfRule>
    <cfRule type="containsText" dxfId="8801" priority="4193" operator="containsText" text="Ausgaben">
      <formula>NOT(ISERROR(SEARCH("Ausgaben",C589)))</formula>
    </cfRule>
  </conditionalFormatting>
  <conditionalFormatting sqref="J589">
    <cfRule type="cellIs" dxfId="8800" priority="4191" operator="equal">
      <formula>"ja"</formula>
    </cfRule>
  </conditionalFormatting>
  <conditionalFormatting sqref="J589">
    <cfRule type="cellIs" dxfId="8799" priority="4179" operator="equal">
      <formula>"ja"</formula>
    </cfRule>
  </conditionalFormatting>
  <conditionalFormatting sqref="T589">
    <cfRule type="expression" dxfId="8798" priority="4178">
      <formula>AND(AND($W589&lt;TODAY(),$W589&lt;&gt;""),$X589="")</formula>
    </cfRule>
  </conditionalFormatting>
  <conditionalFormatting sqref="T589">
    <cfRule type="expression" dxfId="8797" priority="4190">
      <formula>AND(AND($W589&lt;TODAY(),$W589&lt;&gt;""),$X589="")</formula>
    </cfRule>
  </conditionalFormatting>
  <conditionalFormatting sqref="Z589">
    <cfRule type="dataBar" priority="4189">
      <dataBar>
        <cfvo type="min"/>
        <cfvo type="max"/>
        <color rgb="FF63C384"/>
      </dataBar>
      <extLst>
        <ext xmlns:x14="http://schemas.microsoft.com/office/spreadsheetml/2009/9/main" uri="{B025F937-C7B1-47D3-B67F-A62EFF666E3E}">
          <x14:id>{8C699B64-523C-4C6F-935C-4ADB734BACBE}</x14:id>
        </ext>
      </extLst>
    </cfRule>
  </conditionalFormatting>
  <conditionalFormatting sqref="Z589">
    <cfRule type="dataBar" priority="4188">
      <dataBar>
        <cfvo type="min"/>
        <cfvo type="max"/>
        <color rgb="FF63C384"/>
      </dataBar>
      <extLst>
        <ext xmlns:x14="http://schemas.microsoft.com/office/spreadsheetml/2009/9/main" uri="{B025F937-C7B1-47D3-B67F-A62EFF666E3E}">
          <x14:id>{F3044B24-7A86-4222-BD99-5EA23319AB7C}</x14:id>
        </ext>
      </extLst>
    </cfRule>
  </conditionalFormatting>
  <conditionalFormatting sqref="J589">
    <cfRule type="cellIs" dxfId="8796" priority="4187" operator="equal">
      <formula>"ja"</formula>
    </cfRule>
  </conditionalFormatting>
  <conditionalFormatting sqref="T589">
    <cfRule type="expression" dxfId="8795" priority="4186">
      <formula>AND(AND($W589&lt;TODAY(),$W589&lt;&gt;""),$X589="")</formula>
    </cfRule>
  </conditionalFormatting>
  <conditionalFormatting sqref="Z589">
    <cfRule type="dataBar" priority="4185">
      <dataBar>
        <cfvo type="min"/>
        <cfvo type="max"/>
        <color rgb="FF63C384"/>
      </dataBar>
      <extLst>
        <ext xmlns:x14="http://schemas.microsoft.com/office/spreadsheetml/2009/9/main" uri="{B025F937-C7B1-47D3-B67F-A62EFF666E3E}">
          <x14:id>{E0D11DB1-6BB6-40A5-9308-ADC892110B01}</x14:id>
        </ext>
      </extLst>
    </cfRule>
  </conditionalFormatting>
  <conditionalFormatting sqref="Z589">
    <cfRule type="dataBar" priority="4184">
      <dataBar>
        <cfvo type="min"/>
        <cfvo type="max"/>
        <color rgb="FF63C384"/>
      </dataBar>
      <extLst>
        <ext xmlns:x14="http://schemas.microsoft.com/office/spreadsheetml/2009/9/main" uri="{B025F937-C7B1-47D3-B67F-A62EFF666E3E}">
          <x14:id>{4BA566A0-394B-433B-B411-30166165B0B5}</x14:id>
        </ext>
      </extLst>
    </cfRule>
  </conditionalFormatting>
  <conditionalFormatting sqref="J589">
    <cfRule type="cellIs" dxfId="8794" priority="4183" operator="equal">
      <formula>"ja"</formula>
    </cfRule>
  </conditionalFormatting>
  <conditionalFormatting sqref="T589">
    <cfRule type="expression" dxfId="8793" priority="4182">
      <formula>AND(AND($W589&lt;TODAY(),$W589&lt;&gt;""),$X589="")</formula>
    </cfRule>
  </conditionalFormatting>
  <conditionalFormatting sqref="Z589">
    <cfRule type="dataBar" priority="4181">
      <dataBar>
        <cfvo type="min"/>
        <cfvo type="max"/>
        <color rgb="FF63C384"/>
      </dataBar>
      <extLst>
        <ext xmlns:x14="http://schemas.microsoft.com/office/spreadsheetml/2009/9/main" uri="{B025F937-C7B1-47D3-B67F-A62EFF666E3E}">
          <x14:id>{931E5E50-415D-4BC4-A19E-493961FF09CE}</x14:id>
        </ext>
      </extLst>
    </cfRule>
  </conditionalFormatting>
  <conditionalFormatting sqref="Z589">
    <cfRule type="dataBar" priority="4180">
      <dataBar>
        <cfvo type="min"/>
        <cfvo type="max"/>
        <color rgb="FF63C384"/>
      </dataBar>
      <extLst>
        <ext xmlns:x14="http://schemas.microsoft.com/office/spreadsheetml/2009/9/main" uri="{B025F937-C7B1-47D3-B67F-A62EFF666E3E}">
          <x14:id>{C8766BDE-C375-4000-A851-462E0A0731CF}</x14:id>
        </ext>
      </extLst>
    </cfRule>
  </conditionalFormatting>
  <conditionalFormatting sqref="Z589">
    <cfRule type="dataBar" priority="4177">
      <dataBar>
        <cfvo type="min"/>
        <cfvo type="max"/>
        <color rgb="FF63C384"/>
      </dataBar>
      <extLst>
        <ext xmlns:x14="http://schemas.microsoft.com/office/spreadsheetml/2009/9/main" uri="{B025F937-C7B1-47D3-B67F-A62EFF666E3E}">
          <x14:id>{2EE7F307-3C1D-4F5E-A2C0-8DF3DB03D61E}</x14:id>
        </ext>
      </extLst>
    </cfRule>
  </conditionalFormatting>
  <conditionalFormatting sqref="Z589">
    <cfRule type="dataBar" priority="4176">
      <dataBar>
        <cfvo type="min"/>
        <cfvo type="max"/>
        <color rgb="FF63C384"/>
      </dataBar>
      <extLst>
        <ext xmlns:x14="http://schemas.microsoft.com/office/spreadsheetml/2009/9/main" uri="{B025F937-C7B1-47D3-B67F-A62EFF666E3E}">
          <x14:id>{DF73C319-3120-4C81-A9C1-D30A72A26A6D}</x14:id>
        </ext>
      </extLst>
    </cfRule>
  </conditionalFormatting>
  <conditionalFormatting sqref="J590">
    <cfRule type="cellIs" dxfId="8792" priority="4170" operator="equal">
      <formula>"ja"</formula>
    </cfRule>
  </conditionalFormatting>
  <conditionalFormatting sqref="C590">
    <cfRule type="containsText" dxfId="8791" priority="4168" operator="containsText" text="Einnahmen">
      <formula>NOT(ISERROR(SEARCH("Einnahmen",C590)))</formula>
    </cfRule>
    <cfRule type="containsText" dxfId="8790" priority="4169" operator="containsText" text="Ausgaben">
      <formula>NOT(ISERROR(SEARCH("Ausgaben",C590)))</formula>
    </cfRule>
  </conditionalFormatting>
  <conditionalFormatting sqref="T590">
    <cfRule type="expression" dxfId="8789" priority="4167">
      <formula>AND(AND($W590&lt;TODAY(),$W590&lt;&gt;""),$X590="")</formula>
    </cfRule>
  </conditionalFormatting>
  <conditionalFormatting sqref="Z590">
    <cfRule type="dataBar" priority="4166">
      <dataBar>
        <cfvo type="min"/>
        <cfvo type="max"/>
        <color rgb="FF63C384"/>
      </dataBar>
      <extLst>
        <ext xmlns:x14="http://schemas.microsoft.com/office/spreadsheetml/2009/9/main" uri="{B025F937-C7B1-47D3-B67F-A62EFF666E3E}">
          <x14:id>{39EADA6F-F63C-4B29-8678-C73C1ECCABCE}</x14:id>
        </ext>
      </extLst>
    </cfRule>
  </conditionalFormatting>
  <conditionalFormatting sqref="Z590">
    <cfRule type="dataBar" priority="4165">
      <dataBar>
        <cfvo type="min"/>
        <cfvo type="max"/>
        <color rgb="FF63C384"/>
      </dataBar>
      <extLst>
        <ext xmlns:x14="http://schemas.microsoft.com/office/spreadsheetml/2009/9/main" uri="{B025F937-C7B1-47D3-B67F-A62EFF666E3E}">
          <x14:id>{012C15BD-81D0-4FAD-BD9F-9378DC71FCEE}</x14:id>
        </ext>
      </extLst>
    </cfRule>
  </conditionalFormatting>
  <conditionalFormatting sqref="C591">
    <cfRule type="containsText" dxfId="8788" priority="4163" operator="containsText" text="Einnahmen">
      <formula>NOT(ISERROR(SEARCH("Einnahmen",C591)))</formula>
    </cfRule>
    <cfRule type="containsText" dxfId="8787" priority="4164" operator="containsText" text="Ausgaben">
      <formula>NOT(ISERROR(SEARCH("Ausgaben",C591)))</formula>
    </cfRule>
  </conditionalFormatting>
  <conditionalFormatting sqref="T591">
    <cfRule type="expression" dxfId="8786" priority="4162">
      <formula>AND(AND($W591&lt;TODAY(),$W591&lt;&gt;""),$X591="")</formula>
    </cfRule>
  </conditionalFormatting>
  <conditionalFormatting sqref="Z591">
    <cfRule type="dataBar" priority="4161">
      <dataBar>
        <cfvo type="min"/>
        <cfvo type="max"/>
        <color rgb="FF63C384"/>
      </dataBar>
      <extLst>
        <ext xmlns:x14="http://schemas.microsoft.com/office/spreadsheetml/2009/9/main" uri="{B025F937-C7B1-47D3-B67F-A62EFF666E3E}">
          <x14:id>{1C720D62-8093-4B8C-8C7C-3955FFB59489}</x14:id>
        </ext>
      </extLst>
    </cfRule>
  </conditionalFormatting>
  <conditionalFormatting sqref="Z591">
    <cfRule type="dataBar" priority="4160">
      <dataBar>
        <cfvo type="min"/>
        <cfvo type="max"/>
        <color rgb="FF63C384"/>
      </dataBar>
      <extLst>
        <ext xmlns:x14="http://schemas.microsoft.com/office/spreadsheetml/2009/9/main" uri="{B025F937-C7B1-47D3-B67F-A62EFF666E3E}">
          <x14:id>{04340860-D835-42AB-AD3E-86CCBBBA30A4}</x14:id>
        </ext>
      </extLst>
    </cfRule>
  </conditionalFormatting>
  <conditionalFormatting sqref="J591">
    <cfRule type="cellIs" dxfId="8785" priority="4159" operator="equal">
      <formula>"ja"</formula>
    </cfRule>
  </conditionalFormatting>
  <conditionalFormatting sqref="C592">
    <cfRule type="containsText" dxfId="8784" priority="4147" operator="containsText" text="Einnahmen">
      <formula>NOT(ISERROR(SEARCH("Einnahmen",C592)))</formula>
    </cfRule>
    <cfRule type="containsText" dxfId="8783" priority="4148" operator="containsText" text="Ausgaben">
      <formula>NOT(ISERROR(SEARCH("Ausgaben",C592)))</formula>
    </cfRule>
  </conditionalFormatting>
  <conditionalFormatting sqref="T592">
    <cfRule type="expression" dxfId="8782" priority="4146">
      <formula>AND(AND($W592&lt;TODAY(),$W592&lt;&gt;""),$X592="")</formula>
    </cfRule>
  </conditionalFormatting>
  <conditionalFormatting sqref="Z592">
    <cfRule type="dataBar" priority="4145">
      <dataBar>
        <cfvo type="min"/>
        <cfvo type="max"/>
        <color rgb="FF63C384"/>
      </dataBar>
      <extLst>
        <ext xmlns:x14="http://schemas.microsoft.com/office/spreadsheetml/2009/9/main" uri="{B025F937-C7B1-47D3-B67F-A62EFF666E3E}">
          <x14:id>{0BB6F710-CC92-492B-AF6E-BBCB777C3A00}</x14:id>
        </ext>
      </extLst>
    </cfRule>
  </conditionalFormatting>
  <conditionalFormatting sqref="Z592">
    <cfRule type="dataBar" priority="4144">
      <dataBar>
        <cfvo type="min"/>
        <cfvo type="max"/>
        <color rgb="FF63C384"/>
      </dataBar>
      <extLst>
        <ext xmlns:x14="http://schemas.microsoft.com/office/spreadsheetml/2009/9/main" uri="{B025F937-C7B1-47D3-B67F-A62EFF666E3E}">
          <x14:id>{486EF059-ED7F-409E-AEEE-8AC0F8D71998}</x14:id>
        </ext>
      </extLst>
    </cfRule>
  </conditionalFormatting>
  <conditionalFormatting sqref="J592">
    <cfRule type="cellIs" dxfId="8781" priority="4143" operator="equal">
      <formula>"ja"</formula>
    </cfRule>
  </conditionalFormatting>
  <conditionalFormatting sqref="C593">
    <cfRule type="containsText" dxfId="8780" priority="4139" operator="containsText" text="Einnahmen">
      <formula>NOT(ISERROR(SEARCH("Einnahmen",C593)))</formula>
    </cfRule>
    <cfRule type="containsText" dxfId="8779" priority="4140" operator="containsText" text="Ausgaben">
      <formula>NOT(ISERROR(SEARCH("Ausgaben",C593)))</formula>
    </cfRule>
  </conditionalFormatting>
  <conditionalFormatting sqref="J593">
    <cfRule type="cellIs" dxfId="8778" priority="4138" operator="equal">
      <formula>"ja"</formula>
    </cfRule>
  </conditionalFormatting>
  <conditionalFormatting sqref="T593">
    <cfRule type="expression" dxfId="8777" priority="4137">
      <formula>AND(AND($W593&lt;TODAY(),$W593&lt;&gt;""),$X593="")</formula>
    </cfRule>
  </conditionalFormatting>
  <conditionalFormatting sqref="Z593">
    <cfRule type="dataBar" priority="4136">
      <dataBar>
        <cfvo type="min"/>
        <cfvo type="max"/>
        <color rgb="FF63C384"/>
      </dataBar>
      <extLst>
        <ext xmlns:x14="http://schemas.microsoft.com/office/spreadsheetml/2009/9/main" uri="{B025F937-C7B1-47D3-B67F-A62EFF666E3E}">
          <x14:id>{C5E027B5-B604-4F6B-A74A-7A5F465DE569}</x14:id>
        </ext>
      </extLst>
    </cfRule>
  </conditionalFormatting>
  <conditionalFormatting sqref="Z593">
    <cfRule type="dataBar" priority="4135">
      <dataBar>
        <cfvo type="min"/>
        <cfvo type="max"/>
        <color rgb="FF63C384"/>
      </dataBar>
      <extLst>
        <ext xmlns:x14="http://schemas.microsoft.com/office/spreadsheetml/2009/9/main" uri="{B025F937-C7B1-47D3-B67F-A62EFF666E3E}">
          <x14:id>{9666DEDA-F824-4D65-9A76-C48DAE095784}</x14:id>
        </ext>
      </extLst>
    </cfRule>
  </conditionalFormatting>
  <conditionalFormatting sqref="T594">
    <cfRule type="expression" dxfId="8776" priority="4134">
      <formula>AND(AND($W594&lt;TODAY(),$W594&lt;&gt;""),$X594="")</formula>
    </cfRule>
  </conditionalFormatting>
  <conditionalFormatting sqref="Z594">
    <cfRule type="dataBar" priority="4133">
      <dataBar>
        <cfvo type="min"/>
        <cfvo type="max"/>
        <color rgb="FF63C384"/>
      </dataBar>
      <extLst>
        <ext xmlns:x14="http://schemas.microsoft.com/office/spreadsheetml/2009/9/main" uri="{B025F937-C7B1-47D3-B67F-A62EFF666E3E}">
          <x14:id>{9EC0741E-41C2-4D93-8686-FA33F280519F}</x14:id>
        </ext>
      </extLst>
    </cfRule>
  </conditionalFormatting>
  <conditionalFormatting sqref="Z594">
    <cfRule type="dataBar" priority="4132">
      <dataBar>
        <cfvo type="min"/>
        <cfvo type="max"/>
        <color rgb="FF63C384"/>
      </dataBar>
      <extLst>
        <ext xmlns:x14="http://schemas.microsoft.com/office/spreadsheetml/2009/9/main" uri="{B025F937-C7B1-47D3-B67F-A62EFF666E3E}">
          <x14:id>{EF478268-151E-4B5D-9BE9-3F663C0C504C}</x14:id>
        </ext>
      </extLst>
    </cfRule>
  </conditionalFormatting>
  <conditionalFormatting sqref="C594">
    <cfRule type="containsText" dxfId="8775" priority="4129" operator="containsText" text="Einnahmen">
      <formula>NOT(ISERROR(SEARCH("Einnahmen",C594)))</formula>
    </cfRule>
    <cfRule type="containsText" dxfId="8774" priority="4130" operator="containsText" text="Ausgaben">
      <formula>NOT(ISERROR(SEARCH("Ausgaben",C594)))</formula>
    </cfRule>
  </conditionalFormatting>
  <conditionalFormatting sqref="J594">
    <cfRule type="cellIs" dxfId="8773" priority="4128" operator="equal">
      <formula>"ja"</formula>
    </cfRule>
  </conditionalFormatting>
  <conditionalFormatting sqref="J595">
    <cfRule type="cellIs" dxfId="8772" priority="4126" operator="equal">
      <formula>"ja"</formula>
    </cfRule>
  </conditionalFormatting>
  <conditionalFormatting sqref="T595">
    <cfRule type="expression" dxfId="8771" priority="4125">
      <formula>AND(AND($W595&lt;TODAY(),$W595&lt;&gt;""),$X595="")</formula>
    </cfRule>
  </conditionalFormatting>
  <conditionalFormatting sqref="Z595">
    <cfRule type="dataBar" priority="4124">
      <dataBar>
        <cfvo type="min"/>
        <cfvo type="max"/>
        <color rgb="FF63C384"/>
      </dataBar>
      <extLst>
        <ext xmlns:x14="http://schemas.microsoft.com/office/spreadsheetml/2009/9/main" uri="{B025F937-C7B1-47D3-B67F-A62EFF666E3E}">
          <x14:id>{AB0EE6A3-DAA0-40A3-91BB-50B95FC269C2}</x14:id>
        </ext>
      </extLst>
    </cfRule>
  </conditionalFormatting>
  <conditionalFormatting sqref="Z595">
    <cfRule type="dataBar" priority="4123">
      <dataBar>
        <cfvo type="min"/>
        <cfvo type="max"/>
        <color rgb="FF63C384"/>
      </dataBar>
      <extLst>
        <ext xmlns:x14="http://schemas.microsoft.com/office/spreadsheetml/2009/9/main" uri="{B025F937-C7B1-47D3-B67F-A62EFF666E3E}">
          <x14:id>{772FEA2D-4B32-42DE-8A31-CA48F54A7A3F}</x14:id>
        </ext>
      </extLst>
    </cfRule>
  </conditionalFormatting>
  <conditionalFormatting sqref="C595">
    <cfRule type="containsText" dxfId="8770" priority="4121" operator="containsText" text="Einnahmen">
      <formula>NOT(ISERROR(SEARCH("Einnahmen",C595)))</formula>
    </cfRule>
    <cfRule type="containsText" dxfId="8769" priority="4122" operator="containsText" text="Ausgaben">
      <formula>NOT(ISERROR(SEARCH("Ausgaben",C595)))</formula>
    </cfRule>
  </conditionalFormatting>
  <conditionalFormatting sqref="J596">
    <cfRule type="cellIs" dxfId="8768" priority="4113" operator="equal">
      <formula>"ja"</formula>
    </cfRule>
  </conditionalFormatting>
  <conditionalFormatting sqref="C596">
    <cfRule type="containsText" dxfId="8767" priority="4111" operator="containsText" text="Einnahmen">
      <formula>NOT(ISERROR(SEARCH("Einnahmen",C596)))</formula>
    </cfRule>
    <cfRule type="containsText" dxfId="8766" priority="4112" operator="containsText" text="Ausgaben">
      <formula>NOT(ISERROR(SEARCH("Ausgaben",C596)))</formula>
    </cfRule>
  </conditionalFormatting>
  <conditionalFormatting sqref="T596">
    <cfRule type="expression" dxfId="8765" priority="4110">
      <formula>AND(AND($W596&lt;TODAY(),$W596&lt;&gt;""),$X596="")</formula>
    </cfRule>
  </conditionalFormatting>
  <conditionalFormatting sqref="Z596">
    <cfRule type="dataBar" priority="4109">
      <dataBar>
        <cfvo type="min"/>
        <cfvo type="max"/>
        <color rgb="FF63C384"/>
      </dataBar>
      <extLst>
        <ext xmlns:x14="http://schemas.microsoft.com/office/spreadsheetml/2009/9/main" uri="{B025F937-C7B1-47D3-B67F-A62EFF666E3E}">
          <x14:id>{24823896-F2D4-4C9C-A5A5-B36F0C22A0B8}</x14:id>
        </ext>
      </extLst>
    </cfRule>
  </conditionalFormatting>
  <conditionalFormatting sqref="Z596">
    <cfRule type="dataBar" priority="4108">
      <dataBar>
        <cfvo type="min"/>
        <cfvo type="max"/>
        <color rgb="FF63C384"/>
      </dataBar>
      <extLst>
        <ext xmlns:x14="http://schemas.microsoft.com/office/spreadsheetml/2009/9/main" uri="{B025F937-C7B1-47D3-B67F-A62EFF666E3E}">
          <x14:id>{753CBDE5-831C-4F94-85BE-F34DAA5F5604}</x14:id>
        </ext>
      </extLst>
    </cfRule>
  </conditionalFormatting>
  <conditionalFormatting sqref="C597">
    <cfRule type="containsText" dxfId="8764" priority="4104" operator="containsText" text="Einnahmen">
      <formula>NOT(ISERROR(SEARCH("Einnahmen",C597)))</formula>
    </cfRule>
    <cfRule type="containsText" dxfId="8763" priority="4105" operator="containsText" text="Ausgaben">
      <formula>NOT(ISERROR(SEARCH("Ausgaben",C597)))</formula>
    </cfRule>
  </conditionalFormatting>
  <conditionalFormatting sqref="T597">
    <cfRule type="expression" dxfId="8762" priority="4103">
      <formula>AND(AND($W597&lt;TODAY(),$W597&lt;&gt;""),$X597="")</formula>
    </cfRule>
  </conditionalFormatting>
  <conditionalFormatting sqref="J597">
    <cfRule type="cellIs" dxfId="8761" priority="4102" operator="equal">
      <formula>"ja"</formula>
    </cfRule>
  </conditionalFormatting>
  <conditionalFormatting sqref="Z597">
    <cfRule type="dataBar" priority="4101">
      <dataBar>
        <cfvo type="min"/>
        <cfvo type="max"/>
        <color rgb="FF63C384"/>
      </dataBar>
      <extLst>
        <ext xmlns:x14="http://schemas.microsoft.com/office/spreadsheetml/2009/9/main" uri="{B025F937-C7B1-47D3-B67F-A62EFF666E3E}">
          <x14:id>{53C8FF82-1AC4-43AF-8E3D-661D945AE22E}</x14:id>
        </ext>
      </extLst>
    </cfRule>
  </conditionalFormatting>
  <conditionalFormatting sqref="Z597">
    <cfRule type="dataBar" priority="4100">
      <dataBar>
        <cfvo type="min"/>
        <cfvo type="max"/>
        <color rgb="FF63C384"/>
      </dataBar>
      <extLst>
        <ext xmlns:x14="http://schemas.microsoft.com/office/spreadsheetml/2009/9/main" uri="{B025F937-C7B1-47D3-B67F-A62EFF666E3E}">
          <x14:id>{BBBA21E1-7950-49D8-8551-D9496EE64113}</x14:id>
        </ext>
      </extLst>
    </cfRule>
  </conditionalFormatting>
  <conditionalFormatting sqref="J598">
    <cfRule type="cellIs" dxfId="8760" priority="4099" operator="equal">
      <formula>"ja"</formula>
    </cfRule>
  </conditionalFormatting>
  <conditionalFormatting sqref="T598">
    <cfRule type="expression" dxfId="8759" priority="4098">
      <formula>AND(AND($W598&lt;TODAY(),$W598&lt;&gt;""),$X598="")</formula>
    </cfRule>
  </conditionalFormatting>
  <conditionalFormatting sqref="Z598">
    <cfRule type="dataBar" priority="4097">
      <dataBar>
        <cfvo type="min"/>
        <cfvo type="max"/>
        <color rgb="FF63C384"/>
      </dataBar>
      <extLst>
        <ext xmlns:x14="http://schemas.microsoft.com/office/spreadsheetml/2009/9/main" uri="{B025F937-C7B1-47D3-B67F-A62EFF666E3E}">
          <x14:id>{426AB4E5-89EF-4B68-9090-FF85B7417082}</x14:id>
        </ext>
      </extLst>
    </cfRule>
  </conditionalFormatting>
  <conditionalFormatting sqref="Z598">
    <cfRule type="dataBar" priority="4096">
      <dataBar>
        <cfvo type="min"/>
        <cfvo type="max"/>
        <color rgb="FF63C384"/>
      </dataBar>
      <extLst>
        <ext xmlns:x14="http://schemas.microsoft.com/office/spreadsheetml/2009/9/main" uri="{B025F937-C7B1-47D3-B67F-A62EFF666E3E}">
          <x14:id>{89CE903D-DC8D-48B2-A31A-0BC4CD7400A6}</x14:id>
        </ext>
      </extLst>
    </cfRule>
  </conditionalFormatting>
  <conditionalFormatting sqref="C598">
    <cfRule type="containsText" dxfId="8758" priority="4094" operator="containsText" text="Einnahmen">
      <formula>NOT(ISERROR(SEARCH("Einnahmen",C598)))</formula>
    </cfRule>
    <cfRule type="containsText" dxfId="8757" priority="4095" operator="containsText" text="Ausgaben">
      <formula>NOT(ISERROR(SEARCH("Ausgaben",C598)))</formula>
    </cfRule>
  </conditionalFormatting>
  <conditionalFormatting sqref="C599">
    <cfRule type="containsText" dxfId="8756" priority="4092" operator="containsText" text="Einnahmen">
      <formula>NOT(ISERROR(SEARCH("Einnahmen",C599)))</formula>
    </cfRule>
    <cfRule type="containsText" dxfId="8755" priority="4093" operator="containsText" text="Ausgaben">
      <formula>NOT(ISERROR(SEARCH("Ausgaben",C599)))</formula>
    </cfRule>
  </conditionalFormatting>
  <conditionalFormatting sqref="T599">
    <cfRule type="expression" dxfId="8754" priority="4091">
      <formula>AND(AND($W599&lt;TODAY(),$W599&lt;&gt;""),$X599="")</formula>
    </cfRule>
  </conditionalFormatting>
  <conditionalFormatting sqref="Z599">
    <cfRule type="dataBar" priority="4090">
      <dataBar>
        <cfvo type="min"/>
        <cfvo type="max"/>
        <color rgb="FF63C384"/>
      </dataBar>
      <extLst>
        <ext xmlns:x14="http://schemas.microsoft.com/office/spreadsheetml/2009/9/main" uri="{B025F937-C7B1-47D3-B67F-A62EFF666E3E}">
          <x14:id>{2AA4949C-B8BE-4F72-9884-E2EB02F272B1}</x14:id>
        </ext>
      </extLst>
    </cfRule>
  </conditionalFormatting>
  <conditionalFormatting sqref="Z599">
    <cfRule type="dataBar" priority="4089">
      <dataBar>
        <cfvo type="min"/>
        <cfvo type="max"/>
        <color rgb="FF63C384"/>
      </dataBar>
      <extLst>
        <ext xmlns:x14="http://schemas.microsoft.com/office/spreadsheetml/2009/9/main" uri="{B025F937-C7B1-47D3-B67F-A62EFF666E3E}">
          <x14:id>{3CA46D62-1AD5-402E-9D40-077BBACFE548}</x14:id>
        </ext>
      </extLst>
    </cfRule>
  </conditionalFormatting>
  <conditionalFormatting sqref="J599">
    <cfRule type="cellIs" dxfId="8753" priority="4087" operator="equal">
      <formula>"ja"</formula>
    </cfRule>
  </conditionalFormatting>
  <conditionalFormatting sqref="C600">
    <cfRule type="containsText" dxfId="8752" priority="4084" operator="containsText" text="Einnahmen">
      <formula>NOT(ISERROR(SEARCH("Einnahmen",C600)))</formula>
    </cfRule>
    <cfRule type="containsText" dxfId="8751" priority="4085" operator="containsText" text="Ausgaben">
      <formula>NOT(ISERROR(SEARCH("Ausgaben",C600)))</formula>
    </cfRule>
  </conditionalFormatting>
  <conditionalFormatting sqref="T600">
    <cfRule type="expression" dxfId="8750" priority="4083">
      <formula>AND(AND($W600&lt;TODAY(),$W600&lt;&gt;""),$X600="")</formula>
    </cfRule>
  </conditionalFormatting>
  <conditionalFormatting sqref="Z600">
    <cfRule type="dataBar" priority="4082">
      <dataBar>
        <cfvo type="min"/>
        <cfvo type="max"/>
        <color rgb="FF63C384"/>
      </dataBar>
      <extLst>
        <ext xmlns:x14="http://schemas.microsoft.com/office/spreadsheetml/2009/9/main" uri="{B025F937-C7B1-47D3-B67F-A62EFF666E3E}">
          <x14:id>{71D6B02A-AD8A-4CDA-9EED-22CA8D9ECB54}</x14:id>
        </ext>
      </extLst>
    </cfRule>
  </conditionalFormatting>
  <conditionalFormatting sqref="Z600">
    <cfRule type="dataBar" priority="4081">
      <dataBar>
        <cfvo type="min"/>
        <cfvo type="max"/>
        <color rgb="FF63C384"/>
      </dataBar>
      <extLst>
        <ext xmlns:x14="http://schemas.microsoft.com/office/spreadsheetml/2009/9/main" uri="{B025F937-C7B1-47D3-B67F-A62EFF666E3E}">
          <x14:id>{3684F94E-FF05-40B2-9062-5D84B8069A88}</x14:id>
        </ext>
      </extLst>
    </cfRule>
  </conditionalFormatting>
  <conditionalFormatting sqref="J600">
    <cfRule type="cellIs" dxfId="8749" priority="4080" operator="equal">
      <formula>"ja"</formula>
    </cfRule>
  </conditionalFormatting>
  <conditionalFormatting sqref="C601">
    <cfRule type="containsText" dxfId="8748" priority="4077" operator="containsText" text="Einnahmen">
      <formula>NOT(ISERROR(SEARCH("Einnahmen",C601)))</formula>
    </cfRule>
    <cfRule type="containsText" dxfId="8747" priority="4078" operator="containsText" text="Ausgaben">
      <formula>NOT(ISERROR(SEARCH("Ausgaben",C601)))</formula>
    </cfRule>
  </conditionalFormatting>
  <conditionalFormatting sqref="J601">
    <cfRule type="cellIs" dxfId="8746" priority="4075" operator="equal">
      <formula>"ja"</formula>
    </cfRule>
  </conditionalFormatting>
  <conditionalFormatting sqref="T601">
    <cfRule type="expression" dxfId="8745" priority="4074">
      <formula>AND(AND($W601&lt;TODAY(),$W601&lt;&gt;""),$X601="")</formula>
    </cfRule>
  </conditionalFormatting>
  <conditionalFormatting sqref="Z601">
    <cfRule type="dataBar" priority="4073">
      <dataBar>
        <cfvo type="min"/>
        <cfvo type="max"/>
        <color rgb="FF63C384"/>
      </dataBar>
      <extLst>
        <ext xmlns:x14="http://schemas.microsoft.com/office/spreadsheetml/2009/9/main" uri="{B025F937-C7B1-47D3-B67F-A62EFF666E3E}">
          <x14:id>{04AB88E7-7DB3-4955-88A5-AC213EA87FBD}</x14:id>
        </ext>
      </extLst>
    </cfRule>
  </conditionalFormatting>
  <conditionalFormatting sqref="Z601">
    <cfRule type="dataBar" priority="4072">
      <dataBar>
        <cfvo type="min"/>
        <cfvo type="max"/>
        <color rgb="FF63C384"/>
      </dataBar>
      <extLst>
        <ext xmlns:x14="http://schemas.microsoft.com/office/spreadsheetml/2009/9/main" uri="{B025F937-C7B1-47D3-B67F-A62EFF666E3E}">
          <x14:id>{88AC61D8-4D94-4D3F-A3C4-1F75ECAA7BDF}</x14:id>
        </ext>
      </extLst>
    </cfRule>
  </conditionalFormatting>
  <conditionalFormatting sqref="T602">
    <cfRule type="expression" dxfId="8744" priority="4071">
      <formula>AND(AND($W602&lt;TODAY(),$W602&lt;&gt;""),$X602="")</formula>
    </cfRule>
  </conditionalFormatting>
  <conditionalFormatting sqref="Z602">
    <cfRule type="dataBar" priority="4070">
      <dataBar>
        <cfvo type="min"/>
        <cfvo type="max"/>
        <color rgb="FF63C384"/>
      </dataBar>
      <extLst>
        <ext xmlns:x14="http://schemas.microsoft.com/office/spreadsheetml/2009/9/main" uri="{B025F937-C7B1-47D3-B67F-A62EFF666E3E}">
          <x14:id>{00539AC1-CB29-46E5-8FEB-405B7A5884FB}</x14:id>
        </ext>
      </extLst>
    </cfRule>
  </conditionalFormatting>
  <conditionalFormatting sqref="Z602">
    <cfRule type="dataBar" priority="4069">
      <dataBar>
        <cfvo type="min"/>
        <cfvo type="max"/>
        <color rgb="FF63C384"/>
      </dataBar>
      <extLst>
        <ext xmlns:x14="http://schemas.microsoft.com/office/spreadsheetml/2009/9/main" uri="{B025F937-C7B1-47D3-B67F-A62EFF666E3E}">
          <x14:id>{6B91CBA9-79D5-4616-960D-536962E5EEEB}</x14:id>
        </ext>
      </extLst>
    </cfRule>
  </conditionalFormatting>
  <conditionalFormatting sqref="J602">
    <cfRule type="cellIs" dxfId="8743" priority="4068" operator="equal">
      <formula>"ja"</formula>
    </cfRule>
  </conditionalFormatting>
  <conditionalFormatting sqref="C602">
    <cfRule type="containsText" dxfId="8742" priority="4066" operator="containsText" text="Einnahmen">
      <formula>NOT(ISERROR(SEARCH("Einnahmen",C602)))</formula>
    </cfRule>
    <cfRule type="containsText" dxfId="8741" priority="4067" operator="containsText" text="Ausgaben">
      <formula>NOT(ISERROR(SEARCH("Ausgaben",C602)))</formula>
    </cfRule>
  </conditionalFormatting>
  <conditionalFormatting sqref="C603">
    <cfRule type="containsText" dxfId="8740" priority="4061" operator="containsText" text="Einnahmen">
      <formula>NOT(ISERROR(SEARCH("Einnahmen",C603)))</formula>
    </cfRule>
    <cfRule type="containsText" dxfId="8739" priority="4062" operator="containsText" text="Ausgaben">
      <formula>NOT(ISERROR(SEARCH("Ausgaben",C603)))</formula>
    </cfRule>
  </conditionalFormatting>
  <conditionalFormatting sqref="J603">
    <cfRule type="cellIs" dxfId="8738" priority="4060" operator="equal">
      <formula>"ja"</formula>
    </cfRule>
  </conditionalFormatting>
  <conditionalFormatting sqref="T603">
    <cfRule type="expression" dxfId="8737" priority="4059">
      <formula>AND(AND($W603&lt;TODAY(),$W603&lt;&gt;""),$X603="")</formula>
    </cfRule>
  </conditionalFormatting>
  <conditionalFormatting sqref="Z603">
    <cfRule type="dataBar" priority="4058">
      <dataBar>
        <cfvo type="min"/>
        <cfvo type="max"/>
        <color rgb="FF63C384"/>
      </dataBar>
      <extLst>
        <ext xmlns:x14="http://schemas.microsoft.com/office/spreadsheetml/2009/9/main" uri="{B025F937-C7B1-47D3-B67F-A62EFF666E3E}">
          <x14:id>{6F463DF9-8F05-4FAD-B4A5-5D824CFE0244}</x14:id>
        </ext>
      </extLst>
    </cfRule>
  </conditionalFormatting>
  <conditionalFormatting sqref="Z603">
    <cfRule type="dataBar" priority="4057">
      <dataBar>
        <cfvo type="min"/>
        <cfvo type="max"/>
        <color rgb="FF63C384"/>
      </dataBar>
      <extLst>
        <ext xmlns:x14="http://schemas.microsoft.com/office/spreadsheetml/2009/9/main" uri="{B025F937-C7B1-47D3-B67F-A62EFF666E3E}">
          <x14:id>{532FEF7E-3912-48D4-86AD-44C80603296A}</x14:id>
        </ext>
      </extLst>
    </cfRule>
  </conditionalFormatting>
  <conditionalFormatting sqref="T603">
    <cfRule type="expression" dxfId="8736" priority="4056">
      <formula>AND(AND($W603&lt;TODAY(),$W603&lt;&gt;""),$X603="")</formula>
    </cfRule>
  </conditionalFormatting>
  <conditionalFormatting sqref="J603">
    <cfRule type="cellIs" dxfId="8735" priority="4055" operator="equal">
      <formula>"ja"</formula>
    </cfRule>
  </conditionalFormatting>
  <conditionalFormatting sqref="Z603">
    <cfRule type="dataBar" priority="4054">
      <dataBar>
        <cfvo type="min"/>
        <cfvo type="max"/>
        <color rgb="FF63C384"/>
      </dataBar>
      <extLst>
        <ext xmlns:x14="http://schemas.microsoft.com/office/spreadsheetml/2009/9/main" uri="{B025F937-C7B1-47D3-B67F-A62EFF666E3E}">
          <x14:id>{EBE91D0F-E785-48CD-890C-13D5B2E592B9}</x14:id>
        </ext>
      </extLst>
    </cfRule>
  </conditionalFormatting>
  <conditionalFormatting sqref="Z603">
    <cfRule type="dataBar" priority="4053">
      <dataBar>
        <cfvo type="min"/>
        <cfvo type="max"/>
        <color rgb="FF63C384"/>
      </dataBar>
      <extLst>
        <ext xmlns:x14="http://schemas.microsoft.com/office/spreadsheetml/2009/9/main" uri="{B025F937-C7B1-47D3-B67F-A62EFF666E3E}">
          <x14:id>{F2E25F6B-3C25-4C38-9CDF-478A97F5D7FE}</x14:id>
        </ext>
      </extLst>
    </cfRule>
  </conditionalFormatting>
  <conditionalFormatting sqref="C604">
    <cfRule type="containsText" dxfId="8734" priority="4050" operator="containsText" text="Einnahmen">
      <formula>NOT(ISERROR(SEARCH("Einnahmen",C604)))</formula>
    </cfRule>
    <cfRule type="containsText" dxfId="8733" priority="4051" operator="containsText" text="Ausgaben">
      <formula>NOT(ISERROR(SEARCH("Ausgaben",C604)))</formula>
    </cfRule>
  </conditionalFormatting>
  <conditionalFormatting sqref="J604">
    <cfRule type="cellIs" dxfId="8732" priority="4049" operator="equal">
      <formula>"ja"</formula>
    </cfRule>
  </conditionalFormatting>
  <conditionalFormatting sqref="J604">
    <cfRule type="cellIs" dxfId="8731" priority="4037" operator="equal">
      <formula>"ja"</formula>
    </cfRule>
  </conditionalFormatting>
  <conditionalFormatting sqref="T604">
    <cfRule type="expression" dxfId="8730" priority="4036">
      <formula>AND(AND($W604&lt;TODAY(),$W604&lt;&gt;""),$X604="")</formula>
    </cfRule>
  </conditionalFormatting>
  <conditionalFormatting sqref="T604">
    <cfRule type="expression" dxfId="8729" priority="4048">
      <formula>AND(AND($W604&lt;TODAY(),$W604&lt;&gt;""),$X604="")</formula>
    </cfRule>
  </conditionalFormatting>
  <conditionalFormatting sqref="Z604">
    <cfRule type="dataBar" priority="4047">
      <dataBar>
        <cfvo type="min"/>
        <cfvo type="max"/>
        <color rgb="FF63C384"/>
      </dataBar>
      <extLst>
        <ext xmlns:x14="http://schemas.microsoft.com/office/spreadsheetml/2009/9/main" uri="{B025F937-C7B1-47D3-B67F-A62EFF666E3E}">
          <x14:id>{8EB5A6EB-E263-4D6D-AAB8-30CE526BCBD1}</x14:id>
        </ext>
      </extLst>
    </cfRule>
  </conditionalFormatting>
  <conditionalFormatting sqref="Z604">
    <cfRule type="dataBar" priority="4046">
      <dataBar>
        <cfvo type="min"/>
        <cfvo type="max"/>
        <color rgb="FF63C384"/>
      </dataBar>
      <extLst>
        <ext xmlns:x14="http://schemas.microsoft.com/office/spreadsheetml/2009/9/main" uri="{B025F937-C7B1-47D3-B67F-A62EFF666E3E}">
          <x14:id>{A1F4C1B0-D8AD-438A-847F-8EE29321E7AB}</x14:id>
        </ext>
      </extLst>
    </cfRule>
  </conditionalFormatting>
  <conditionalFormatting sqref="J604">
    <cfRule type="cellIs" dxfId="8728" priority="4045" operator="equal">
      <formula>"ja"</formula>
    </cfRule>
  </conditionalFormatting>
  <conditionalFormatting sqref="T604">
    <cfRule type="expression" dxfId="8727" priority="4044">
      <formula>AND(AND($W604&lt;TODAY(),$W604&lt;&gt;""),$X604="")</formula>
    </cfRule>
  </conditionalFormatting>
  <conditionalFormatting sqref="Z604">
    <cfRule type="dataBar" priority="4043">
      <dataBar>
        <cfvo type="min"/>
        <cfvo type="max"/>
        <color rgb="FF63C384"/>
      </dataBar>
      <extLst>
        <ext xmlns:x14="http://schemas.microsoft.com/office/spreadsheetml/2009/9/main" uri="{B025F937-C7B1-47D3-B67F-A62EFF666E3E}">
          <x14:id>{F62D94CB-B992-49D1-8321-EB21D704374D}</x14:id>
        </ext>
      </extLst>
    </cfRule>
  </conditionalFormatting>
  <conditionalFormatting sqref="Z604">
    <cfRule type="dataBar" priority="4042">
      <dataBar>
        <cfvo type="min"/>
        <cfvo type="max"/>
        <color rgb="FF63C384"/>
      </dataBar>
      <extLst>
        <ext xmlns:x14="http://schemas.microsoft.com/office/spreadsheetml/2009/9/main" uri="{B025F937-C7B1-47D3-B67F-A62EFF666E3E}">
          <x14:id>{789A2E1B-007A-4307-A574-C54790E0CA00}</x14:id>
        </ext>
      </extLst>
    </cfRule>
  </conditionalFormatting>
  <conditionalFormatting sqref="J604">
    <cfRule type="cellIs" dxfId="8726" priority="4041" operator="equal">
      <formula>"ja"</formula>
    </cfRule>
  </conditionalFormatting>
  <conditionalFormatting sqref="T604">
    <cfRule type="expression" dxfId="8725" priority="4040">
      <formula>AND(AND($W604&lt;TODAY(),$W604&lt;&gt;""),$X604="")</formula>
    </cfRule>
  </conditionalFormatting>
  <conditionalFormatting sqref="Z604">
    <cfRule type="dataBar" priority="4039">
      <dataBar>
        <cfvo type="min"/>
        <cfvo type="max"/>
        <color rgb="FF63C384"/>
      </dataBar>
      <extLst>
        <ext xmlns:x14="http://schemas.microsoft.com/office/spreadsheetml/2009/9/main" uri="{B025F937-C7B1-47D3-B67F-A62EFF666E3E}">
          <x14:id>{F1D4CD0F-1E56-468A-AAFA-7E4BFA2BF02A}</x14:id>
        </ext>
      </extLst>
    </cfRule>
  </conditionalFormatting>
  <conditionalFormatting sqref="Z604">
    <cfRule type="dataBar" priority="4038">
      <dataBar>
        <cfvo type="min"/>
        <cfvo type="max"/>
        <color rgb="FF63C384"/>
      </dataBar>
      <extLst>
        <ext xmlns:x14="http://schemas.microsoft.com/office/spreadsheetml/2009/9/main" uri="{B025F937-C7B1-47D3-B67F-A62EFF666E3E}">
          <x14:id>{E1BE9695-1611-4FF8-ABE4-179EFE45DA42}</x14:id>
        </ext>
      </extLst>
    </cfRule>
  </conditionalFormatting>
  <conditionalFormatting sqref="Z604">
    <cfRule type="dataBar" priority="4035">
      <dataBar>
        <cfvo type="min"/>
        <cfvo type="max"/>
        <color rgb="FF63C384"/>
      </dataBar>
      <extLst>
        <ext xmlns:x14="http://schemas.microsoft.com/office/spreadsheetml/2009/9/main" uri="{B025F937-C7B1-47D3-B67F-A62EFF666E3E}">
          <x14:id>{BCAE0322-3D02-4F0B-B720-0B308F23E13C}</x14:id>
        </ext>
      </extLst>
    </cfRule>
  </conditionalFormatting>
  <conditionalFormatting sqref="Z604">
    <cfRule type="dataBar" priority="4034">
      <dataBar>
        <cfvo type="min"/>
        <cfvo type="max"/>
        <color rgb="FF63C384"/>
      </dataBar>
      <extLst>
        <ext xmlns:x14="http://schemas.microsoft.com/office/spreadsheetml/2009/9/main" uri="{B025F937-C7B1-47D3-B67F-A62EFF666E3E}">
          <x14:id>{2B3AC75E-115A-4ED8-A8D4-3C876F7DF6A1}</x14:id>
        </ext>
      </extLst>
    </cfRule>
  </conditionalFormatting>
  <conditionalFormatting sqref="J605">
    <cfRule type="cellIs" dxfId="8724" priority="4029" operator="equal">
      <formula>"ja"</formula>
    </cfRule>
  </conditionalFormatting>
  <conditionalFormatting sqref="C605">
    <cfRule type="containsText" dxfId="8723" priority="4027" operator="containsText" text="Einnahmen">
      <formula>NOT(ISERROR(SEARCH("Einnahmen",C605)))</formula>
    </cfRule>
    <cfRule type="containsText" dxfId="8722" priority="4028" operator="containsText" text="Ausgaben">
      <formula>NOT(ISERROR(SEARCH("Ausgaben",C605)))</formula>
    </cfRule>
  </conditionalFormatting>
  <conditionalFormatting sqref="T605">
    <cfRule type="expression" dxfId="8721" priority="4026">
      <formula>AND(AND($W605&lt;TODAY(),$W605&lt;&gt;""),$X605="")</formula>
    </cfRule>
  </conditionalFormatting>
  <conditionalFormatting sqref="Z605">
    <cfRule type="dataBar" priority="4025">
      <dataBar>
        <cfvo type="min"/>
        <cfvo type="max"/>
        <color rgb="FF63C384"/>
      </dataBar>
      <extLst>
        <ext xmlns:x14="http://schemas.microsoft.com/office/spreadsheetml/2009/9/main" uri="{B025F937-C7B1-47D3-B67F-A62EFF666E3E}">
          <x14:id>{60B64844-49D7-4EB1-BD82-2FB49126ECE6}</x14:id>
        </ext>
      </extLst>
    </cfRule>
  </conditionalFormatting>
  <conditionalFormatting sqref="Z605">
    <cfRule type="dataBar" priority="4024">
      <dataBar>
        <cfvo type="min"/>
        <cfvo type="max"/>
        <color rgb="FF63C384"/>
      </dataBar>
      <extLst>
        <ext xmlns:x14="http://schemas.microsoft.com/office/spreadsheetml/2009/9/main" uri="{B025F937-C7B1-47D3-B67F-A62EFF666E3E}">
          <x14:id>{4EA8F685-A433-4E54-B3D6-D2D4BB06E6D7}</x14:id>
        </ext>
      </extLst>
    </cfRule>
  </conditionalFormatting>
  <conditionalFormatting sqref="C606">
    <cfRule type="containsText" dxfId="8720" priority="4022" operator="containsText" text="Einnahmen">
      <formula>NOT(ISERROR(SEARCH("Einnahmen",C606)))</formula>
    </cfRule>
    <cfRule type="containsText" dxfId="8719" priority="4023" operator="containsText" text="Ausgaben">
      <formula>NOT(ISERROR(SEARCH("Ausgaben",C606)))</formula>
    </cfRule>
  </conditionalFormatting>
  <conditionalFormatting sqref="T606">
    <cfRule type="expression" dxfId="8718" priority="4021">
      <formula>AND(AND($W606&lt;TODAY(),$W606&lt;&gt;""),$X606="")</formula>
    </cfRule>
  </conditionalFormatting>
  <conditionalFormatting sqref="Z606">
    <cfRule type="dataBar" priority="4020">
      <dataBar>
        <cfvo type="min"/>
        <cfvo type="max"/>
        <color rgb="FF63C384"/>
      </dataBar>
      <extLst>
        <ext xmlns:x14="http://schemas.microsoft.com/office/spreadsheetml/2009/9/main" uri="{B025F937-C7B1-47D3-B67F-A62EFF666E3E}">
          <x14:id>{D2EAE9C6-D578-4015-8523-7327454E4EC9}</x14:id>
        </ext>
      </extLst>
    </cfRule>
  </conditionalFormatting>
  <conditionalFormatting sqref="Z606">
    <cfRule type="dataBar" priority="4019">
      <dataBar>
        <cfvo type="min"/>
        <cfvo type="max"/>
        <color rgb="FF63C384"/>
      </dataBar>
      <extLst>
        <ext xmlns:x14="http://schemas.microsoft.com/office/spreadsheetml/2009/9/main" uri="{B025F937-C7B1-47D3-B67F-A62EFF666E3E}">
          <x14:id>{3528B55F-CA6B-48DA-9B13-FF645E141CF0}</x14:id>
        </ext>
      </extLst>
    </cfRule>
  </conditionalFormatting>
  <conditionalFormatting sqref="J606">
    <cfRule type="cellIs" dxfId="8717" priority="4018" operator="equal">
      <formula>"ja"</formula>
    </cfRule>
  </conditionalFormatting>
  <conditionalFormatting sqref="J607">
    <cfRule type="cellIs" dxfId="8716" priority="4015" operator="equal">
      <formula>"ja"</formula>
    </cfRule>
  </conditionalFormatting>
  <conditionalFormatting sqref="C607">
    <cfRule type="containsText" dxfId="8715" priority="4013" operator="containsText" text="Einnahmen">
      <formula>NOT(ISERROR(SEARCH("Einnahmen",C607)))</formula>
    </cfRule>
    <cfRule type="containsText" dxfId="8714" priority="4014" operator="containsText" text="Ausgaben">
      <formula>NOT(ISERROR(SEARCH("Ausgaben",C607)))</formula>
    </cfRule>
  </conditionalFormatting>
  <conditionalFormatting sqref="T607">
    <cfRule type="expression" dxfId="8713" priority="4012">
      <formula>AND(AND($W607&lt;TODAY(),$W607&lt;&gt;""),$X607="")</formula>
    </cfRule>
  </conditionalFormatting>
  <conditionalFormatting sqref="Z607">
    <cfRule type="dataBar" priority="4011">
      <dataBar>
        <cfvo type="min"/>
        <cfvo type="max"/>
        <color rgb="FF63C384"/>
      </dataBar>
      <extLst>
        <ext xmlns:x14="http://schemas.microsoft.com/office/spreadsheetml/2009/9/main" uri="{B025F937-C7B1-47D3-B67F-A62EFF666E3E}">
          <x14:id>{30F699A7-97BC-4C79-80C8-2B98EBA15189}</x14:id>
        </ext>
      </extLst>
    </cfRule>
  </conditionalFormatting>
  <conditionalFormatting sqref="Z607">
    <cfRule type="dataBar" priority="4010">
      <dataBar>
        <cfvo type="min"/>
        <cfvo type="max"/>
        <color rgb="FF63C384"/>
      </dataBar>
      <extLst>
        <ext xmlns:x14="http://schemas.microsoft.com/office/spreadsheetml/2009/9/main" uri="{B025F937-C7B1-47D3-B67F-A62EFF666E3E}">
          <x14:id>{878E76AF-6A75-4D4B-8FC8-82E74B2075D7}</x14:id>
        </ext>
      </extLst>
    </cfRule>
  </conditionalFormatting>
  <conditionalFormatting sqref="T608">
    <cfRule type="expression" dxfId="8712" priority="4009">
      <formula>AND(AND($W608&lt;TODAY(),$W608&lt;&gt;""),$X608="")</formula>
    </cfRule>
  </conditionalFormatting>
  <conditionalFormatting sqref="Z608">
    <cfRule type="dataBar" priority="4008">
      <dataBar>
        <cfvo type="min"/>
        <cfvo type="max"/>
        <color rgb="FF63C384"/>
      </dataBar>
      <extLst>
        <ext xmlns:x14="http://schemas.microsoft.com/office/spreadsheetml/2009/9/main" uri="{B025F937-C7B1-47D3-B67F-A62EFF666E3E}">
          <x14:id>{79DE89AF-5907-429C-93B9-AF2C50FD99AB}</x14:id>
        </ext>
      </extLst>
    </cfRule>
  </conditionalFormatting>
  <conditionalFormatting sqref="Z608">
    <cfRule type="dataBar" priority="4007">
      <dataBar>
        <cfvo type="min"/>
        <cfvo type="max"/>
        <color rgb="FF63C384"/>
      </dataBar>
      <extLst>
        <ext xmlns:x14="http://schemas.microsoft.com/office/spreadsheetml/2009/9/main" uri="{B025F937-C7B1-47D3-B67F-A62EFF666E3E}">
          <x14:id>{B3987D1A-5D4F-4F21-A217-4F53126EF29F}</x14:id>
        </ext>
      </extLst>
    </cfRule>
  </conditionalFormatting>
  <conditionalFormatting sqref="C608">
    <cfRule type="containsText" dxfId="8711" priority="4004" operator="containsText" text="Einnahmen">
      <formula>NOT(ISERROR(SEARCH("Einnahmen",C608)))</formula>
    </cfRule>
    <cfRule type="containsText" dxfId="8710" priority="4005" operator="containsText" text="Ausgaben">
      <formula>NOT(ISERROR(SEARCH("Ausgaben",C608)))</formula>
    </cfRule>
  </conditionalFormatting>
  <conditionalFormatting sqref="J608">
    <cfRule type="cellIs" dxfId="8709" priority="4003" operator="equal">
      <formula>"ja"</formula>
    </cfRule>
  </conditionalFormatting>
  <conditionalFormatting sqref="J609">
    <cfRule type="cellIs" dxfId="8708" priority="4002" operator="equal">
      <formula>"ja"</formula>
    </cfRule>
  </conditionalFormatting>
  <conditionalFormatting sqref="C609">
    <cfRule type="containsText" dxfId="8707" priority="4000" operator="containsText" text="Einnahmen">
      <formula>NOT(ISERROR(SEARCH("Einnahmen",C609)))</formula>
    </cfRule>
    <cfRule type="containsText" dxfId="8706" priority="4001" operator="containsText" text="Ausgaben">
      <formula>NOT(ISERROR(SEARCH("Ausgaben",C609)))</formula>
    </cfRule>
  </conditionalFormatting>
  <conditionalFormatting sqref="T609">
    <cfRule type="expression" dxfId="8705" priority="3999">
      <formula>AND(AND($W609&lt;TODAY(),$W609&lt;&gt;""),$X609="")</formula>
    </cfRule>
  </conditionalFormatting>
  <conditionalFormatting sqref="Z609">
    <cfRule type="dataBar" priority="3998">
      <dataBar>
        <cfvo type="min"/>
        <cfvo type="max"/>
        <color rgb="FF63C384"/>
      </dataBar>
      <extLst>
        <ext xmlns:x14="http://schemas.microsoft.com/office/spreadsheetml/2009/9/main" uri="{B025F937-C7B1-47D3-B67F-A62EFF666E3E}">
          <x14:id>{C7A3FBF4-A6F7-40C4-A205-27017640F963}</x14:id>
        </ext>
      </extLst>
    </cfRule>
  </conditionalFormatting>
  <conditionalFormatting sqref="Z609">
    <cfRule type="dataBar" priority="3997">
      <dataBar>
        <cfvo type="min"/>
        <cfvo type="max"/>
        <color rgb="FF63C384"/>
      </dataBar>
      <extLst>
        <ext xmlns:x14="http://schemas.microsoft.com/office/spreadsheetml/2009/9/main" uri="{B025F937-C7B1-47D3-B67F-A62EFF666E3E}">
          <x14:id>{9B1C8324-3414-4566-92BB-21AFB0465A95}</x14:id>
        </ext>
      </extLst>
    </cfRule>
  </conditionalFormatting>
  <conditionalFormatting sqref="C610">
    <cfRule type="containsText" dxfId="8704" priority="3993" operator="containsText" text="Einnahmen">
      <formula>NOT(ISERROR(SEARCH("Einnahmen",C610)))</formula>
    </cfRule>
    <cfRule type="containsText" dxfId="8703" priority="3994" operator="containsText" text="Ausgaben">
      <formula>NOT(ISERROR(SEARCH("Ausgaben",C610)))</formula>
    </cfRule>
  </conditionalFormatting>
  <conditionalFormatting sqref="T610">
    <cfRule type="expression" dxfId="8702" priority="3992">
      <formula>AND(AND($W610&lt;TODAY(),$W610&lt;&gt;""),$X610="")</formula>
    </cfRule>
  </conditionalFormatting>
  <conditionalFormatting sqref="J610">
    <cfRule type="cellIs" dxfId="8701" priority="3991" operator="equal">
      <formula>"ja"</formula>
    </cfRule>
  </conditionalFormatting>
  <conditionalFormatting sqref="Z610">
    <cfRule type="dataBar" priority="3990">
      <dataBar>
        <cfvo type="min"/>
        <cfvo type="max"/>
        <color rgb="FF63C384"/>
      </dataBar>
      <extLst>
        <ext xmlns:x14="http://schemas.microsoft.com/office/spreadsheetml/2009/9/main" uri="{B025F937-C7B1-47D3-B67F-A62EFF666E3E}">
          <x14:id>{35E0D64E-0FB7-4E54-B7A5-619FC0789836}</x14:id>
        </ext>
      </extLst>
    </cfRule>
  </conditionalFormatting>
  <conditionalFormatting sqref="Z610">
    <cfRule type="dataBar" priority="3989">
      <dataBar>
        <cfvo type="min"/>
        <cfvo type="max"/>
        <color rgb="FF63C384"/>
      </dataBar>
      <extLst>
        <ext xmlns:x14="http://schemas.microsoft.com/office/spreadsheetml/2009/9/main" uri="{B025F937-C7B1-47D3-B67F-A62EFF666E3E}">
          <x14:id>{6CABF28E-BEA9-4959-AFF6-6F6335DB0F76}</x14:id>
        </ext>
      </extLst>
    </cfRule>
  </conditionalFormatting>
  <conditionalFormatting sqref="C611">
    <cfRule type="containsText" dxfId="8700" priority="3987" operator="containsText" text="Einnahmen">
      <formula>NOT(ISERROR(SEARCH("Einnahmen",C611)))</formula>
    </cfRule>
    <cfRule type="containsText" dxfId="8699" priority="3988" operator="containsText" text="Ausgaben">
      <formula>NOT(ISERROR(SEARCH("Ausgaben",C611)))</formula>
    </cfRule>
  </conditionalFormatting>
  <conditionalFormatting sqref="T611">
    <cfRule type="expression" dxfId="8698" priority="3986">
      <formula>AND(AND($W611&lt;TODAY(),$W611&lt;&gt;""),$X611="")</formula>
    </cfRule>
  </conditionalFormatting>
  <conditionalFormatting sqref="Z611">
    <cfRule type="dataBar" priority="3985">
      <dataBar>
        <cfvo type="min"/>
        <cfvo type="max"/>
        <color rgb="FF63C384"/>
      </dataBar>
      <extLst>
        <ext xmlns:x14="http://schemas.microsoft.com/office/spreadsheetml/2009/9/main" uri="{B025F937-C7B1-47D3-B67F-A62EFF666E3E}">
          <x14:id>{ACD4143B-5D1E-4408-AD41-002D702A8C66}</x14:id>
        </ext>
      </extLst>
    </cfRule>
  </conditionalFormatting>
  <conditionalFormatting sqref="Z611">
    <cfRule type="dataBar" priority="3984">
      <dataBar>
        <cfvo type="min"/>
        <cfvo type="max"/>
        <color rgb="FF63C384"/>
      </dataBar>
      <extLst>
        <ext xmlns:x14="http://schemas.microsoft.com/office/spreadsheetml/2009/9/main" uri="{B025F937-C7B1-47D3-B67F-A62EFF666E3E}">
          <x14:id>{71117F8E-32D4-4CE7-984F-0F2CF2B514B4}</x14:id>
        </ext>
      </extLst>
    </cfRule>
  </conditionalFormatting>
  <conditionalFormatting sqref="J611">
    <cfRule type="cellIs" dxfId="8697" priority="3983" operator="equal">
      <formula>"ja"</formula>
    </cfRule>
  </conditionalFormatting>
  <conditionalFormatting sqref="T612">
    <cfRule type="expression" dxfId="8696" priority="3981">
      <formula>AND(AND($W612&lt;TODAY(),$W612&lt;&gt;""),$X612="")</formula>
    </cfRule>
  </conditionalFormatting>
  <conditionalFormatting sqref="Z612">
    <cfRule type="dataBar" priority="3980">
      <dataBar>
        <cfvo type="min"/>
        <cfvo type="max"/>
        <color rgb="FF63C384"/>
      </dataBar>
      <extLst>
        <ext xmlns:x14="http://schemas.microsoft.com/office/spreadsheetml/2009/9/main" uri="{B025F937-C7B1-47D3-B67F-A62EFF666E3E}">
          <x14:id>{D6509B06-8F52-4165-87C3-3FC173E48C52}</x14:id>
        </ext>
      </extLst>
    </cfRule>
  </conditionalFormatting>
  <conditionalFormatting sqref="Z612">
    <cfRule type="dataBar" priority="3979">
      <dataBar>
        <cfvo type="min"/>
        <cfvo type="max"/>
        <color rgb="FF63C384"/>
      </dataBar>
      <extLst>
        <ext xmlns:x14="http://schemas.microsoft.com/office/spreadsheetml/2009/9/main" uri="{B025F937-C7B1-47D3-B67F-A62EFF666E3E}">
          <x14:id>{718981F6-65D8-4312-8D05-1196F2177BC5}</x14:id>
        </ext>
      </extLst>
    </cfRule>
  </conditionalFormatting>
  <conditionalFormatting sqref="J612">
    <cfRule type="cellIs" dxfId="8695" priority="3978" operator="equal">
      <formula>"ja"</formula>
    </cfRule>
  </conditionalFormatting>
  <conditionalFormatting sqref="C612">
    <cfRule type="containsText" dxfId="8694" priority="3976" operator="containsText" text="Einnahmen">
      <formula>NOT(ISERROR(SEARCH("Einnahmen",C612)))</formula>
    </cfRule>
    <cfRule type="containsText" dxfId="8693" priority="3977" operator="containsText" text="Ausgaben">
      <formula>NOT(ISERROR(SEARCH("Ausgaben",C612)))</formula>
    </cfRule>
  </conditionalFormatting>
  <conditionalFormatting sqref="C613">
    <cfRule type="containsText" dxfId="8692" priority="3973" operator="containsText" text="Einnahmen">
      <formula>NOT(ISERROR(SEARCH("Einnahmen",C613)))</formula>
    </cfRule>
    <cfRule type="containsText" dxfId="8691" priority="3974" operator="containsText" text="Ausgaben">
      <formula>NOT(ISERROR(SEARCH("Ausgaben",C613)))</formula>
    </cfRule>
  </conditionalFormatting>
  <conditionalFormatting sqref="J613">
    <cfRule type="cellIs" dxfId="8690" priority="3972" operator="equal">
      <formula>"ja"</formula>
    </cfRule>
  </conditionalFormatting>
  <conditionalFormatting sqref="T613">
    <cfRule type="expression" dxfId="8689" priority="3971">
      <formula>AND(AND($W613&lt;TODAY(),$W613&lt;&gt;""),$X613="")</formula>
    </cfRule>
  </conditionalFormatting>
  <conditionalFormatting sqref="Z613">
    <cfRule type="dataBar" priority="3970">
      <dataBar>
        <cfvo type="min"/>
        <cfvo type="max"/>
        <color rgb="FF63C384"/>
      </dataBar>
      <extLst>
        <ext xmlns:x14="http://schemas.microsoft.com/office/spreadsheetml/2009/9/main" uri="{B025F937-C7B1-47D3-B67F-A62EFF666E3E}">
          <x14:id>{F21DF07F-587A-465D-ABFA-08C47F92A59C}</x14:id>
        </ext>
      </extLst>
    </cfRule>
  </conditionalFormatting>
  <conditionalFormatting sqref="Z613">
    <cfRule type="dataBar" priority="3969">
      <dataBar>
        <cfvo type="min"/>
        <cfvo type="max"/>
        <color rgb="FF63C384"/>
      </dataBar>
      <extLst>
        <ext xmlns:x14="http://schemas.microsoft.com/office/spreadsheetml/2009/9/main" uri="{B025F937-C7B1-47D3-B67F-A62EFF666E3E}">
          <x14:id>{A07E8F5B-6E9E-4E66-8D25-CFB0FC499FC8}</x14:id>
        </ext>
      </extLst>
    </cfRule>
  </conditionalFormatting>
  <conditionalFormatting sqref="T613">
    <cfRule type="expression" dxfId="8688" priority="3968">
      <formula>AND(AND($W613&lt;TODAY(),$W613&lt;&gt;""),$X613="")</formula>
    </cfRule>
  </conditionalFormatting>
  <conditionalFormatting sqref="J613">
    <cfRule type="cellIs" dxfId="8687" priority="3967" operator="equal">
      <formula>"ja"</formula>
    </cfRule>
  </conditionalFormatting>
  <conditionalFormatting sqref="Z613">
    <cfRule type="dataBar" priority="3966">
      <dataBar>
        <cfvo type="min"/>
        <cfvo type="max"/>
        <color rgb="FF63C384"/>
      </dataBar>
      <extLst>
        <ext xmlns:x14="http://schemas.microsoft.com/office/spreadsheetml/2009/9/main" uri="{B025F937-C7B1-47D3-B67F-A62EFF666E3E}">
          <x14:id>{61841985-0B4D-491A-A699-96C77CBC9E9C}</x14:id>
        </ext>
      </extLst>
    </cfRule>
  </conditionalFormatting>
  <conditionalFormatting sqref="Z613">
    <cfRule type="dataBar" priority="3965">
      <dataBar>
        <cfvo type="min"/>
        <cfvo type="max"/>
        <color rgb="FF63C384"/>
      </dataBar>
      <extLst>
        <ext xmlns:x14="http://schemas.microsoft.com/office/spreadsheetml/2009/9/main" uri="{B025F937-C7B1-47D3-B67F-A62EFF666E3E}">
          <x14:id>{AB3F0398-B1A3-4B2C-BAAD-EED598ECF627}</x14:id>
        </ext>
      </extLst>
    </cfRule>
  </conditionalFormatting>
  <conditionalFormatting sqref="J614">
    <cfRule type="cellIs" dxfId="8686" priority="3963" operator="equal">
      <formula>"ja"</formula>
    </cfRule>
  </conditionalFormatting>
  <conditionalFormatting sqref="C614">
    <cfRule type="containsText" dxfId="8685" priority="3961" operator="containsText" text="Einnahmen">
      <formula>NOT(ISERROR(SEARCH("Einnahmen",C614)))</formula>
    </cfRule>
    <cfRule type="containsText" dxfId="8684" priority="3962" operator="containsText" text="Ausgaben">
      <formula>NOT(ISERROR(SEARCH("Ausgaben",C614)))</formula>
    </cfRule>
  </conditionalFormatting>
  <conditionalFormatting sqref="T614">
    <cfRule type="expression" dxfId="8683" priority="3960">
      <formula>AND(AND($W614&lt;TODAY(),$W614&lt;&gt;""),$X614="")</formula>
    </cfRule>
  </conditionalFormatting>
  <conditionalFormatting sqref="Z614">
    <cfRule type="dataBar" priority="3959">
      <dataBar>
        <cfvo type="min"/>
        <cfvo type="max"/>
        <color rgb="FF63C384"/>
      </dataBar>
      <extLst>
        <ext xmlns:x14="http://schemas.microsoft.com/office/spreadsheetml/2009/9/main" uri="{B025F937-C7B1-47D3-B67F-A62EFF666E3E}">
          <x14:id>{D0B5A5AF-B560-4006-9B63-7A91683F14A0}</x14:id>
        </ext>
      </extLst>
    </cfRule>
  </conditionalFormatting>
  <conditionalFormatting sqref="Z614">
    <cfRule type="dataBar" priority="3958">
      <dataBar>
        <cfvo type="min"/>
        <cfvo type="max"/>
        <color rgb="FF63C384"/>
      </dataBar>
      <extLst>
        <ext xmlns:x14="http://schemas.microsoft.com/office/spreadsheetml/2009/9/main" uri="{B025F937-C7B1-47D3-B67F-A62EFF666E3E}">
          <x14:id>{DD2CF215-61C1-42AF-BA1B-C12CBA4CD9FC}</x14:id>
        </ext>
      </extLst>
    </cfRule>
  </conditionalFormatting>
  <conditionalFormatting sqref="J615">
    <cfRule type="cellIs" dxfId="8682" priority="3956" operator="equal">
      <formula>"ja"</formula>
    </cfRule>
  </conditionalFormatting>
  <conditionalFormatting sqref="C615">
    <cfRule type="containsText" dxfId="8681" priority="3954" operator="containsText" text="Einnahmen">
      <formula>NOT(ISERROR(SEARCH("Einnahmen",C615)))</formula>
    </cfRule>
    <cfRule type="containsText" dxfId="8680" priority="3955" operator="containsText" text="Ausgaben">
      <formula>NOT(ISERROR(SEARCH("Ausgaben",C615)))</formula>
    </cfRule>
  </conditionalFormatting>
  <conditionalFormatting sqref="T615">
    <cfRule type="expression" dxfId="8679" priority="3953">
      <formula>AND(AND($W615&lt;TODAY(),$W615&lt;&gt;""),$X615="")</formula>
    </cfRule>
  </conditionalFormatting>
  <conditionalFormatting sqref="Z615">
    <cfRule type="dataBar" priority="3952">
      <dataBar>
        <cfvo type="min"/>
        <cfvo type="max"/>
        <color rgb="FF63C384"/>
      </dataBar>
      <extLst>
        <ext xmlns:x14="http://schemas.microsoft.com/office/spreadsheetml/2009/9/main" uri="{B025F937-C7B1-47D3-B67F-A62EFF666E3E}">
          <x14:id>{DB40752B-00B6-4F55-BE80-794A039E6BCB}</x14:id>
        </ext>
      </extLst>
    </cfRule>
  </conditionalFormatting>
  <conditionalFormatting sqref="Z615">
    <cfRule type="dataBar" priority="3951">
      <dataBar>
        <cfvo type="min"/>
        <cfvo type="max"/>
        <color rgb="FF63C384"/>
      </dataBar>
      <extLst>
        <ext xmlns:x14="http://schemas.microsoft.com/office/spreadsheetml/2009/9/main" uri="{B025F937-C7B1-47D3-B67F-A62EFF666E3E}">
          <x14:id>{DB92278A-2E7F-4C47-A958-3C491DF76621}</x14:id>
        </ext>
      </extLst>
    </cfRule>
  </conditionalFormatting>
  <conditionalFormatting sqref="C616">
    <cfRule type="containsText" dxfId="8678" priority="3949" operator="containsText" text="Einnahmen">
      <formula>NOT(ISERROR(SEARCH("Einnahmen",C616)))</formula>
    </cfRule>
    <cfRule type="containsText" dxfId="8677" priority="3950" operator="containsText" text="Ausgaben">
      <formula>NOT(ISERROR(SEARCH("Ausgaben",C616)))</formula>
    </cfRule>
  </conditionalFormatting>
  <conditionalFormatting sqref="J616">
    <cfRule type="cellIs" dxfId="8676" priority="3948" operator="equal">
      <formula>"ja"</formula>
    </cfRule>
  </conditionalFormatting>
  <conditionalFormatting sqref="T616">
    <cfRule type="expression" dxfId="8675" priority="3947">
      <formula>AND(AND($W616&lt;TODAY(),$W616&lt;&gt;""),$X616="")</formula>
    </cfRule>
  </conditionalFormatting>
  <conditionalFormatting sqref="Z616">
    <cfRule type="dataBar" priority="3946">
      <dataBar>
        <cfvo type="min"/>
        <cfvo type="max"/>
        <color rgb="FF63C384"/>
      </dataBar>
      <extLst>
        <ext xmlns:x14="http://schemas.microsoft.com/office/spreadsheetml/2009/9/main" uri="{B025F937-C7B1-47D3-B67F-A62EFF666E3E}">
          <x14:id>{CD3A68A2-B8AB-40F8-88C9-F8D45AFE35B2}</x14:id>
        </ext>
      </extLst>
    </cfRule>
  </conditionalFormatting>
  <conditionalFormatting sqref="Z616">
    <cfRule type="dataBar" priority="3945">
      <dataBar>
        <cfvo type="min"/>
        <cfvo type="max"/>
        <color rgb="FF63C384"/>
      </dataBar>
      <extLst>
        <ext xmlns:x14="http://schemas.microsoft.com/office/spreadsheetml/2009/9/main" uri="{B025F937-C7B1-47D3-B67F-A62EFF666E3E}">
          <x14:id>{FF77EBFE-230F-4F6F-BB5A-21D17265F22D}</x14:id>
        </ext>
      </extLst>
    </cfRule>
  </conditionalFormatting>
  <conditionalFormatting sqref="J617">
    <cfRule type="cellIs" dxfId="8674" priority="3944" operator="equal">
      <formula>"ja"</formula>
    </cfRule>
  </conditionalFormatting>
  <conditionalFormatting sqref="C617">
    <cfRule type="containsText" dxfId="8673" priority="3942" operator="containsText" text="Einnahmen">
      <formula>NOT(ISERROR(SEARCH("Einnahmen",C617)))</formula>
    </cfRule>
    <cfRule type="containsText" dxfId="8672" priority="3943" operator="containsText" text="Ausgaben">
      <formula>NOT(ISERROR(SEARCH("Ausgaben",C617)))</formula>
    </cfRule>
  </conditionalFormatting>
  <conditionalFormatting sqref="T617">
    <cfRule type="expression" dxfId="8671" priority="3941">
      <formula>AND(AND($W617&lt;TODAY(),$W617&lt;&gt;""),$X617="")</formula>
    </cfRule>
  </conditionalFormatting>
  <conditionalFormatting sqref="Z617">
    <cfRule type="dataBar" priority="3940">
      <dataBar>
        <cfvo type="min"/>
        <cfvo type="max"/>
        <color rgb="FF63C384"/>
      </dataBar>
      <extLst>
        <ext xmlns:x14="http://schemas.microsoft.com/office/spreadsheetml/2009/9/main" uri="{B025F937-C7B1-47D3-B67F-A62EFF666E3E}">
          <x14:id>{224278BD-7797-4EB3-9DB2-DE2CDB5791A0}</x14:id>
        </ext>
      </extLst>
    </cfRule>
  </conditionalFormatting>
  <conditionalFormatting sqref="Z617">
    <cfRule type="dataBar" priority="3939">
      <dataBar>
        <cfvo type="min"/>
        <cfvo type="max"/>
        <color rgb="FF63C384"/>
      </dataBar>
      <extLst>
        <ext xmlns:x14="http://schemas.microsoft.com/office/spreadsheetml/2009/9/main" uri="{B025F937-C7B1-47D3-B67F-A62EFF666E3E}">
          <x14:id>{7745133B-CBC3-4E00-8302-D03245714D74}</x14:id>
        </ext>
      </extLst>
    </cfRule>
  </conditionalFormatting>
  <conditionalFormatting sqref="T618">
    <cfRule type="expression" dxfId="8670" priority="3937">
      <formula>AND(AND($W618&lt;TODAY(),$W618&lt;&gt;""),$X618="")</formula>
    </cfRule>
  </conditionalFormatting>
  <conditionalFormatting sqref="Z618">
    <cfRule type="dataBar" priority="3936">
      <dataBar>
        <cfvo type="min"/>
        <cfvo type="max"/>
        <color rgb="FF63C384"/>
      </dataBar>
      <extLst>
        <ext xmlns:x14="http://schemas.microsoft.com/office/spreadsheetml/2009/9/main" uri="{B025F937-C7B1-47D3-B67F-A62EFF666E3E}">
          <x14:id>{8B0FA11A-6B3B-4F2D-B44B-4848DD6430DC}</x14:id>
        </ext>
      </extLst>
    </cfRule>
  </conditionalFormatting>
  <conditionalFormatting sqref="Z618">
    <cfRule type="dataBar" priority="3935">
      <dataBar>
        <cfvo type="min"/>
        <cfvo type="max"/>
        <color rgb="FF63C384"/>
      </dataBar>
      <extLst>
        <ext xmlns:x14="http://schemas.microsoft.com/office/spreadsheetml/2009/9/main" uri="{B025F937-C7B1-47D3-B67F-A62EFF666E3E}">
          <x14:id>{D7F89FEA-5CB1-47C5-AF58-00B138EBFF7F}</x14:id>
        </ext>
      </extLst>
    </cfRule>
  </conditionalFormatting>
  <conditionalFormatting sqref="C618">
    <cfRule type="containsText" dxfId="8669" priority="3932" operator="containsText" text="Einnahmen">
      <formula>NOT(ISERROR(SEARCH("Einnahmen",C618)))</formula>
    </cfRule>
    <cfRule type="containsText" dxfId="8668" priority="3933" operator="containsText" text="Ausgaben">
      <formula>NOT(ISERROR(SEARCH("Ausgaben",C618)))</formula>
    </cfRule>
  </conditionalFormatting>
  <conditionalFormatting sqref="J618">
    <cfRule type="cellIs" dxfId="8667" priority="3931" operator="equal">
      <formula>"ja"</formula>
    </cfRule>
  </conditionalFormatting>
  <conditionalFormatting sqref="C619">
    <cfRule type="containsText" dxfId="8666" priority="3929" operator="containsText" text="Einnahmen">
      <formula>NOT(ISERROR(SEARCH("Einnahmen",C619)))</formula>
    </cfRule>
    <cfRule type="containsText" dxfId="8665" priority="3930" operator="containsText" text="Ausgaben">
      <formula>NOT(ISERROR(SEARCH("Ausgaben",C619)))</formula>
    </cfRule>
  </conditionalFormatting>
  <conditionalFormatting sqref="J619">
    <cfRule type="cellIs" dxfId="8664" priority="3928" operator="equal">
      <formula>"ja"</formula>
    </cfRule>
  </conditionalFormatting>
  <conditionalFormatting sqref="J619">
    <cfRule type="cellIs" dxfId="8663" priority="3916" operator="equal">
      <formula>"ja"</formula>
    </cfRule>
  </conditionalFormatting>
  <conditionalFormatting sqref="T619">
    <cfRule type="expression" dxfId="8662" priority="3915">
      <formula>AND(AND($W619&lt;TODAY(),$W619&lt;&gt;""),$X619="")</formula>
    </cfRule>
  </conditionalFormatting>
  <conditionalFormatting sqref="T619">
    <cfRule type="expression" dxfId="8661" priority="3927">
      <formula>AND(AND($W619&lt;TODAY(),$W619&lt;&gt;""),$X619="")</formula>
    </cfRule>
  </conditionalFormatting>
  <conditionalFormatting sqref="Z619">
    <cfRule type="dataBar" priority="3926">
      <dataBar>
        <cfvo type="min"/>
        <cfvo type="max"/>
        <color rgb="FF63C384"/>
      </dataBar>
      <extLst>
        <ext xmlns:x14="http://schemas.microsoft.com/office/spreadsheetml/2009/9/main" uri="{B025F937-C7B1-47D3-B67F-A62EFF666E3E}">
          <x14:id>{5D5C3177-F692-4093-A51A-B89D8F77EEFE}</x14:id>
        </ext>
      </extLst>
    </cfRule>
  </conditionalFormatting>
  <conditionalFormatting sqref="Z619">
    <cfRule type="dataBar" priority="3925">
      <dataBar>
        <cfvo type="min"/>
        <cfvo type="max"/>
        <color rgb="FF63C384"/>
      </dataBar>
      <extLst>
        <ext xmlns:x14="http://schemas.microsoft.com/office/spreadsheetml/2009/9/main" uri="{B025F937-C7B1-47D3-B67F-A62EFF666E3E}">
          <x14:id>{CC3842BD-4F9B-4711-906D-9AEA7F48E998}</x14:id>
        </ext>
      </extLst>
    </cfRule>
  </conditionalFormatting>
  <conditionalFormatting sqref="J619">
    <cfRule type="cellIs" dxfId="8660" priority="3924" operator="equal">
      <formula>"ja"</formula>
    </cfRule>
  </conditionalFormatting>
  <conditionalFormatting sqref="T619">
    <cfRule type="expression" dxfId="8659" priority="3923">
      <formula>AND(AND($W619&lt;TODAY(),$W619&lt;&gt;""),$X619="")</formula>
    </cfRule>
  </conditionalFormatting>
  <conditionalFormatting sqref="Z619">
    <cfRule type="dataBar" priority="3922">
      <dataBar>
        <cfvo type="min"/>
        <cfvo type="max"/>
        <color rgb="FF63C384"/>
      </dataBar>
      <extLst>
        <ext xmlns:x14="http://schemas.microsoft.com/office/spreadsheetml/2009/9/main" uri="{B025F937-C7B1-47D3-B67F-A62EFF666E3E}">
          <x14:id>{EBC222E6-7A00-4477-BC25-0CDB3B0D81B1}</x14:id>
        </ext>
      </extLst>
    </cfRule>
  </conditionalFormatting>
  <conditionalFormatting sqref="Z619">
    <cfRule type="dataBar" priority="3921">
      <dataBar>
        <cfvo type="min"/>
        <cfvo type="max"/>
        <color rgb="FF63C384"/>
      </dataBar>
      <extLst>
        <ext xmlns:x14="http://schemas.microsoft.com/office/spreadsheetml/2009/9/main" uri="{B025F937-C7B1-47D3-B67F-A62EFF666E3E}">
          <x14:id>{7A71F000-2234-413C-93EA-47BFC7EC862C}</x14:id>
        </ext>
      </extLst>
    </cfRule>
  </conditionalFormatting>
  <conditionalFormatting sqref="J619">
    <cfRule type="cellIs" dxfId="8658" priority="3920" operator="equal">
      <formula>"ja"</formula>
    </cfRule>
  </conditionalFormatting>
  <conditionalFormatting sqref="T619">
    <cfRule type="expression" dxfId="8657" priority="3919">
      <formula>AND(AND($W619&lt;TODAY(),$W619&lt;&gt;""),$X619="")</formula>
    </cfRule>
  </conditionalFormatting>
  <conditionalFormatting sqref="Z619">
    <cfRule type="dataBar" priority="3918">
      <dataBar>
        <cfvo type="min"/>
        <cfvo type="max"/>
        <color rgb="FF63C384"/>
      </dataBar>
      <extLst>
        <ext xmlns:x14="http://schemas.microsoft.com/office/spreadsheetml/2009/9/main" uri="{B025F937-C7B1-47D3-B67F-A62EFF666E3E}">
          <x14:id>{2F8B09DE-4B6F-4B91-869A-70E899D287BF}</x14:id>
        </ext>
      </extLst>
    </cfRule>
  </conditionalFormatting>
  <conditionalFormatting sqref="Z619">
    <cfRule type="dataBar" priority="3917">
      <dataBar>
        <cfvo type="min"/>
        <cfvo type="max"/>
        <color rgb="FF63C384"/>
      </dataBar>
      <extLst>
        <ext xmlns:x14="http://schemas.microsoft.com/office/spreadsheetml/2009/9/main" uri="{B025F937-C7B1-47D3-B67F-A62EFF666E3E}">
          <x14:id>{EB3FCA00-953B-4276-A18C-DF895CEBDC94}</x14:id>
        </ext>
      </extLst>
    </cfRule>
  </conditionalFormatting>
  <conditionalFormatting sqref="Z619">
    <cfRule type="dataBar" priority="3914">
      <dataBar>
        <cfvo type="min"/>
        <cfvo type="max"/>
        <color rgb="FF63C384"/>
      </dataBar>
      <extLst>
        <ext xmlns:x14="http://schemas.microsoft.com/office/spreadsheetml/2009/9/main" uri="{B025F937-C7B1-47D3-B67F-A62EFF666E3E}">
          <x14:id>{FB283887-C3D6-4A53-86E1-9A353F889D91}</x14:id>
        </ext>
      </extLst>
    </cfRule>
  </conditionalFormatting>
  <conditionalFormatting sqref="Z619">
    <cfRule type="dataBar" priority="3913">
      <dataBar>
        <cfvo type="min"/>
        <cfvo type="max"/>
        <color rgb="FF63C384"/>
      </dataBar>
      <extLst>
        <ext xmlns:x14="http://schemas.microsoft.com/office/spreadsheetml/2009/9/main" uri="{B025F937-C7B1-47D3-B67F-A62EFF666E3E}">
          <x14:id>{FEB980E8-EAC3-4909-92CC-8070BCD8A6F8}</x14:id>
        </ext>
      </extLst>
    </cfRule>
  </conditionalFormatting>
  <conditionalFormatting sqref="C620">
    <cfRule type="containsText" dxfId="8656" priority="3907" operator="containsText" text="Einnahmen">
      <formula>NOT(ISERROR(SEARCH("Einnahmen",C620)))</formula>
    </cfRule>
    <cfRule type="containsText" dxfId="8655" priority="3908" operator="containsText" text="Ausgaben">
      <formula>NOT(ISERROR(SEARCH("Ausgaben",C620)))</formula>
    </cfRule>
  </conditionalFormatting>
  <conditionalFormatting sqref="T620">
    <cfRule type="expression" dxfId="8654" priority="3906">
      <formula>AND(AND($W620&lt;TODAY(),$W620&lt;&gt;""),$X620="")</formula>
    </cfRule>
  </conditionalFormatting>
  <conditionalFormatting sqref="Z620">
    <cfRule type="dataBar" priority="3905">
      <dataBar>
        <cfvo type="min"/>
        <cfvo type="max"/>
        <color rgb="FF63C384"/>
      </dataBar>
      <extLst>
        <ext xmlns:x14="http://schemas.microsoft.com/office/spreadsheetml/2009/9/main" uri="{B025F937-C7B1-47D3-B67F-A62EFF666E3E}">
          <x14:id>{EDC958E9-ADDD-4531-B8C7-279CB495564D}</x14:id>
        </ext>
      </extLst>
    </cfRule>
  </conditionalFormatting>
  <conditionalFormatting sqref="Z620">
    <cfRule type="dataBar" priority="3904">
      <dataBar>
        <cfvo type="min"/>
        <cfvo type="max"/>
        <color rgb="FF63C384"/>
      </dataBar>
      <extLst>
        <ext xmlns:x14="http://schemas.microsoft.com/office/spreadsheetml/2009/9/main" uri="{B025F937-C7B1-47D3-B67F-A62EFF666E3E}">
          <x14:id>{E1CFEFBD-6D3D-49CB-B4AC-5FF6D3577D08}</x14:id>
        </ext>
      </extLst>
    </cfRule>
  </conditionalFormatting>
  <conditionalFormatting sqref="J620">
    <cfRule type="cellIs" dxfId="8653" priority="3903" operator="equal">
      <formula>"ja"</formula>
    </cfRule>
  </conditionalFormatting>
  <conditionalFormatting sqref="J621">
    <cfRule type="cellIs" dxfId="8652" priority="3900" operator="equal">
      <formula>"ja"</formula>
    </cfRule>
  </conditionalFormatting>
  <conditionalFormatting sqref="C621">
    <cfRule type="containsText" dxfId="8651" priority="3898" operator="containsText" text="Einnahmen">
      <formula>NOT(ISERROR(SEARCH("Einnahmen",C621)))</formula>
    </cfRule>
    <cfRule type="containsText" dxfId="8650" priority="3899" operator="containsText" text="Ausgaben">
      <formula>NOT(ISERROR(SEARCH("Ausgaben",C621)))</formula>
    </cfRule>
  </conditionalFormatting>
  <conditionalFormatting sqref="T621">
    <cfRule type="expression" dxfId="8649" priority="3897">
      <formula>AND(AND($W621&lt;TODAY(),$W621&lt;&gt;""),$X621="")</formula>
    </cfRule>
  </conditionalFormatting>
  <conditionalFormatting sqref="Z621">
    <cfRule type="dataBar" priority="3896">
      <dataBar>
        <cfvo type="min"/>
        <cfvo type="max"/>
        <color rgb="FF63C384"/>
      </dataBar>
      <extLst>
        <ext xmlns:x14="http://schemas.microsoft.com/office/spreadsheetml/2009/9/main" uri="{B025F937-C7B1-47D3-B67F-A62EFF666E3E}">
          <x14:id>{5F596715-FE33-41B6-9FD0-EC6A07A7D655}</x14:id>
        </ext>
      </extLst>
    </cfRule>
  </conditionalFormatting>
  <conditionalFormatting sqref="Z621">
    <cfRule type="dataBar" priority="3895">
      <dataBar>
        <cfvo type="min"/>
        <cfvo type="max"/>
        <color rgb="FF63C384"/>
      </dataBar>
      <extLst>
        <ext xmlns:x14="http://schemas.microsoft.com/office/spreadsheetml/2009/9/main" uri="{B025F937-C7B1-47D3-B67F-A62EFF666E3E}">
          <x14:id>{2C5E06A0-E054-47D5-AD9E-C14ED6541E9F}</x14:id>
        </ext>
      </extLst>
    </cfRule>
  </conditionalFormatting>
  <conditionalFormatting sqref="J622">
    <cfRule type="cellIs" dxfId="8648" priority="3893" operator="equal">
      <formula>"ja"</formula>
    </cfRule>
  </conditionalFormatting>
  <conditionalFormatting sqref="C622">
    <cfRule type="containsText" dxfId="8647" priority="3891" operator="containsText" text="Einnahmen">
      <formula>NOT(ISERROR(SEARCH("Einnahmen",C622)))</formula>
    </cfRule>
    <cfRule type="containsText" dxfId="8646" priority="3892" operator="containsText" text="Ausgaben">
      <formula>NOT(ISERROR(SEARCH("Ausgaben",C622)))</formula>
    </cfRule>
  </conditionalFormatting>
  <conditionalFormatting sqref="T622">
    <cfRule type="expression" dxfId="8645" priority="3890">
      <formula>AND(AND($W622&lt;TODAY(),$W622&lt;&gt;""),$X622="")</formula>
    </cfRule>
  </conditionalFormatting>
  <conditionalFormatting sqref="Z622">
    <cfRule type="dataBar" priority="3889">
      <dataBar>
        <cfvo type="min"/>
        <cfvo type="max"/>
        <color rgb="FF63C384"/>
      </dataBar>
      <extLst>
        <ext xmlns:x14="http://schemas.microsoft.com/office/spreadsheetml/2009/9/main" uri="{B025F937-C7B1-47D3-B67F-A62EFF666E3E}">
          <x14:id>{7F467C63-82A0-4313-96E6-48B03D42BE20}</x14:id>
        </ext>
      </extLst>
    </cfRule>
  </conditionalFormatting>
  <conditionalFormatting sqref="Z622">
    <cfRule type="dataBar" priority="3888">
      <dataBar>
        <cfvo type="min"/>
        <cfvo type="max"/>
        <color rgb="FF63C384"/>
      </dataBar>
      <extLst>
        <ext xmlns:x14="http://schemas.microsoft.com/office/spreadsheetml/2009/9/main" uri="{B025F937-C7B1-47D3-B67F-A62EFF666E3E}">
          <x14:id>{B2BB1B9B-2E5D-455F-9599-00F90F33FC7F}</x14:id>
        </ext>
      </extLst>
    </cfRule>
  </conditionalFormatting>
  <conditionalFormatting sqref="J623">
    <cfRule type="cellIs" dxfId="8644" priority="3886" operator="equal">
      <formula>"ja"</formula>
    </cfRule>
  </conditionalFormatting>
  <conditionalFormatting sqref="C623">
    <cfRule type="containsText" dxfId="8643" priority="3884" operator="containsText" text="Einnahmen">
      <formula>NOT(ISERROR(SEARCH("Einnahmen",C623)))</formula>
    </cfRule>
    <cfRule type="containsText" dxfId="8642" priority="3885" operator="containsText" text="Ausgaben">
      <formula>NOT(ISERROR(SEARCH("Ausgaben",C623)))</formula>
    </cfRule>
  </conditionalFormatting>
  <conditionalFormatting sqref="T623">
    <cfRule type="expression" dxfId="8641" priority="3883">
      <formula>AND(AND($W623&lt;TODAY(),$W623&lt;&gt;""),$X623="")</formula>
    </cfRule>
  </conditionalFormatting>
  <conditionalFormatting sqref="Z623">
    <cfRule type="dataBar" priority="3882">
      <dataBar>
        <cfvo type="min"/>
        <cfvo type="max"/>
        <color rgb="FF63C384"/>
      </dataBar>
      <extLst>
        <ext xmlns:x14="http://schemas.microsoft.com/office/spreadsheetml/2009/9/main" uri="{B025F937-C7B1-47D3-B67F-A62EFF666E3E}">
          <x14:id>{83A2671C-EE4D-49EF-B4D9-0CC7765810A8}</x14:id>
        </ext>
      </extLst>
    </cfRule>
  </conditionalFormatting>
  <conditionalFormatting sqref="Z623">
    <cfRule type="dataBar" priority="3881">
      <dataBar>
        <cfvo type="min"/>
        <cfvo type="max"/>
        <color rgb="FF63C384"/>
      </dataBar>
      <extLst>
        <ext xmlns:x14="http://schemas.microsoft.com/office/spreadsheetml/2009/9/main" uri="{B025F937-C7B1-47D3-B67F-A62EFF666E3E}">
          <x14:id>{A6034B70-F704-43FB-9E59-181CEC4A0914}</x14:id>
        </ext>
      </extLst>
    </cfRule>
  </conditionalFormatting>
  <conditionalFormatting sqref="C624">
    <cfRule type="containsText" dxfId="8640" priority="3878" operator="containsText" text="Einnahmen">
      <formula>NOT(ISERROR(SEARCH("Einnahmen",C624)))</formula>
    </cfRule>
    <cfRule type="containsText" dxfId="8639" priority="3879" operator="containsText" text="Ausgaben">
      <formula>NOT(ISERROR(SEARCH("Ausgaben",C624)))</formula>
    </cfRule>
  </conditionalFormatting>
  <conditionalFormatting sqref="T624">
    <cfRule type="expression" dxfId="8638" priority="3877">
      <formula>AND(AND($W624&lt;TODAY(),$W624&lt;&gt;""),$X624="")</formula>
    </cfRule>
  </conditionalFormatting>
  <conditionalFormatting sqref="J624">
    <cfRule type="cellIs" dxfId="8637" priority="3876" operator="equal">
      <formula>"ja"</formula>
    </cfRule>
  </conditionalFormatting>
  <conditionalFormatting sqref="Z624">
    <cfRule type="dataBar" priority="3875">
      <dataBar>
        <cfvo type="min"/>
        <cfvo type="max"/>
        <color rgb="FF63C384"/>
      </dataBar>
      <extLst>
        <ext xmlns:x14="http://schemas.microsoft.com/office/spreadsheetml/2009/9/main" uri="{B025F937-C7B1-47D3-B67F-A62EFF666E3E}">
          <x14:id>{A0CF63BB-22AF-465A-B739-C8D347135E0B}</x14:id>
        </ext>
      </extLst>
    </cfRule>
  </conditionalFormatting>
  <conditionalFormatting sqref="Z624">
    <cfRule type="dataBar" priority="3874">
      <dataBar>
        <cfvo type="min"/>
        <cfvo type="max"/>
        <color rgb="FF63C384"/>
      </dataBar>
      <extLst>
        <ext xmlns:x14="http://schemas.microsoft.com/office/spreadsheetml/2009/9/main" uri="{B025F937-C7B1-47D3-B67F-A62EFF666E3E}">
          <x14:id>{B2DA3287-9926-4FAA-BDE0-E803103CA762}</x14:id>
        </ext>
      </extLst>
    </cfRule>
  </conditionalFormatting>
  <conditionalFormatting sqref="C625 C628 C640 C665:C666 C701 C707 C712 C731 C733 C748 C763:C764">
    <cfRule type="containsText" dxfId="8636" priority="3872" operator="containsText" text="Einnahmen">
      <formula>NOT(ISERROR(SEARCH("Einnahmen",C625)))</formula>
    </cfRule>
    <cfRule type="containsText" dxfId="8635" priority="3873" operator="containsText" text="Ausgaben">
      <formula>NOT(ISERROR(SEARCH("Ausgaben",C625)))</formula>
    </cfRule>
  </conditionalFormatting>
  <conditionalFormatting sqref="T625">
    <cfRule type="expression" dxfId="8634" priority="3871">
      <formula>AND(AND($W625&lt;TODAY(),$W625&lt;&gt;""),$X625="")</formula>
    </cfRule>
  </conditionalFormatting>
  <conditionalFormatting sqref="Z625">
    <cfRule type="dataBar" priority="3870">
      <dataBar>
        <cfvo type="min"/>
        <cfvo type="max"/>
        <color rgb="FF63C384"/>
      </dataBar>
      <extLst>
        <ext xmlns:x14="http://schemas.microsoft.com/office/spreadsheetml/2009/9/main" uri="{B025F937-C7B1-47D3-B67F-A62EFF666E3E}">
          <x14:id>{495DDCB0-E603-4090-9D07-8C674783C7C3}</x14:id>
        </ext>
      </extLst>
    </cfRule>
  </conditionalFormatting>
  <conditionalFormatting sqref="Z625">
    <cfRule type="dataBar" priority="3869">
      <dataBar>
        <cfvo type="min"/>
        <cfvo type="max"/>
        <color rgb="FF63C384"/>
      </dataBar>
      <extLst>
        <ext xmlns:x14="http://schemas.microsoft.com/office/spreadsheetml/2009/9/main" uri="{B025F937-C7B1-47D3-B67F-A62EFF666E3E}">
          <x14:id>{6216259A-FEA6-4766-85BC-891E08C0794B}</x14:id>
        </ext>
      </extLst>
    </cfRule>
  </conditionalFormatting>
  <conditionalFormatting sqref="C626">
    <cfRule type="containsText" dxfId="8633" priority="3867" operator="containsText" text="Einnahmen">
      <formula>NOT(ISERROR(SEARCH("Einnahmen",C626)))</formula>
    </cfRule>
    <cfRule type="containsText" dxfId="8632" priority="3868" operator="containsText" text="Ausgaben">
      <formula>NOT(ISERROR(SEARCH("Ausgaben",C626)))</formula>
    </cfRule>
  </conditionalFormatting>
  <conditionalFormatting sqref="T626">
    <cfRule type="expression" dxfId="8631" priority="3866">
      <formula>AND(AND($W626&lt;TODAY(),$W626&lt;&gt;""),$X626="")</formula>
    </cfRule>
  </conditionalFormatting>
  <conditionalFormatting sqref="Z626">
    <cfRule type="dataBar" priority="3865">
      <dataBar>
        <cfvo type="min"/>
        <cfvo type="max"/>
        <color rgb="FF63C384"/>
      </dataBar>
      <extLst>
        <ext xmlns:x14="http://schemas.microsoft.com/office/spreadsheetml/2009/9/main" uri="{B025F937-C7B1-47D3-B67F-A62EFF666E3E}">
          <x14:id>{567A33CD-E51D-417F-B8C8-0460F63B3B28}</x14:id>
        </ext>
      </extLst>
    </cfRule>
  </conditionalFormatting>
  <conditionalFormatting sqref="Z626">
    <cfRule type="dataBar" priority="3864">
      <dataBar>
        <cfvo type="min"/>
        <cfvo type="max"/>
        <color rgb="FF63C384"/>
      </dataBar>
      <extLst>
        <ext xmlns:x14="http://schemas.microsoft.com/office/spreadsheetml/2009/9/main" uri="{B025F937-C7B1-47D3-B67F-A62EFF666E3E}">
          <x14:id>{EC491369-8F3A-4E56-80CD-0F02201802F3}</x14:id>
        </ext>
      </extLst>
    </cfRule>
  </conditionalFormatting>
  <conditionalFormatting sqref="J626">
    <cfRule type="cellIs" dxfId="8630" priority="3863" operator="equal">
      <formula>"ja"</formula>
    </cfRule>
  </conditionalFormatting>
  <conditionalFormatting sqref="J627">
    <cfRule type="cellIs" dxfId="8629" priority="3862" operator="equal">
      <formula>"ja"</formula>
    </cfRule>
  </conditionalFormatting>
  <conditionalFormatting sqref="C627">
    <cfRule type="containsText" dxfId="8628" priority="3860" operator="containsText" text="Einnahmen">
      <formula>NOT(ISERROR(SEARCH("Einnahmen",C627)))</formula>
    </cfRule>
    <cfRule type="containsText" dxfId="8627" priority="3861" operator="containsText" text="Ausgaben">
      <formula>NOT(ISERROR(SEARCH("Ausgaben",C627)))</formula>
    </cfRule>
  </conditionalFormatting>
  <conditionalFormatting sqref="T627">
    <cfRule type="expression" dxfId="8626" priority="3859">
      <formula>AND(AND($W627&lt;TODAY(),$W627&lt;&gt;""),$X627="")</formula>
    </cfRule>
  </conditionalFormatting>
  <conditionalFormatting sqref="Z627">
    <cfRule type="dataBar" priority="3858">
      <dataBar>
        <cfvo type="min"/>
        <cfvo type="max"/>
        <color rgb="FF63C384"/>
      </dataBar>
      <extLst>
        <ext xmlns:x14="http://schemas.microsoft.com/office/spreadsheetml/2009/9/main" uri="{B025F937-C7B1-47D3-B67F-A62EFF666E3E}">
          <x14:id>{9F891184-838C-4CA4-842E-E6C42D5539FC}</x14:id>
        </ext>
      </extLst>
    </cfRule>
  </conditionalFormatting>
  <conditionalFormatting sqref="Z627">
    <cfRule type="dataBar" priority="3857">
      <dataBar>
        <cfvo type="min"/>
        <cfvo type="max"/>
        <color rgb="FF63C384"/>
      </dataBar>
      <extLst>
        <ext xmlns:x14="http://schemas.microsoft.com/office/spreadsheetml/2009/9/main" uri="{B025F937-C7B1-47D3-B67F-A62EFF666E3E}">
          <x14:id>{C4E5F5EA-BCB3-4DB3-8250-9FB3F0570DC0}</x14:id>
        </ext>
      </extLst>
    </cfRule>
  </conditionalFormatting>
  <conditionalFormatting sqref="T628">
    <cfRule type="expression" dxfId="8625" priority="3856">
      <formula>AND(AND($W628&lt;TODAY(),$W628&lt;&gt;""),$X628="")</formula>
    </cfRule>
  </conditionalFormatting>
  <conditionalFormatting sqref="Z628">
    <cfRule type="dataBar" priority="3855">
      <dataBar>
        <cfvo type="min"/>
        <cfvo type="max"/>
        <color rgb="FF63C384"/>
      </dataBar>
      <extLst>
        <ext xmlns:x14="http://schemas.microsoft.com/office/spreadsheetml/2009/9/main" uri="{B025F937-C7B1-47D3-B67F-A62EFF666E3E}">
          <x14:id>{565B466A-7DDE-4F6D-BC04-37BF7100E2B3}</x14:id>
        </ext>
      </extLst>
    </cfRule>
  </conditionalFormatting>
  <conditionalFormatting sqref="Z628">
    <cfRule type="dataBar" priority="3854">
      <dataBar>
        <cfvo type="min"/>
        <cfvo type="max"/>
        <color rgb="FF63C384"/>
      </dataBar>
      <extLst>
        <ext xmlns:x14="http://schemas.microsoft.com/office/spreadsheetml/2009/9/main" uri="{B025F937-C7B1-47D3-B67F-A62EFF666E3E}">
          <x14:id>{767DB7B7-BE4E-40A1-9D9B-FEA2EB4BC10C}</x14:id>
        </ext>
      </extLst>
    </cfRule>
  </conditionalFormatting>
  <conditionalFormatting sqref="J629">
    <cfRule type="cellIs" dxfId="8624" priority="3853" operator="equal">
      <formula>"ja"</formula>
    </cfRule>
  </conditionalFormatting>
  <conditionalFormatting sqref="C629">
    <cfRule type="containsText" dxfId="8623" priority="3851" operator="containsText" text="Einnahmen">
      <formula>NOT(ISERROR(SEARCH("Einnahmen",C629)))</formula>
    </cfRule>
    <cfRule type="containsText" dxfId="8622" priority="3852" operator="containsText" text="Ausgaben">
      <formula>NOT(ISERROR(SEARCH("Ausgaben",C629)))</formula>
    </cfRule>
  </conditionalFormatting>
  <conditionalFormatting sqref="T629">
    <cfRule type="expression" dxfId="8621" priority="3850">
      <formula>AND(AND($W629&lt;TODAY(),$W629&lt;&gt;""),$X629="")</formula>
    </cfRule>
  </conditionalFormatting>
  <conditionalFormatting sqref="Z629">
    <cfRule type="dataBar" priority="3849">
      <dataBar>
        <cfvo type="min"/>
        <cfvo type="max"/>
        <color rgb="FF63C384"/>
      </dataBar>
      <extLst>
        <ext xmlns:x14="http://schemas.microsoft.com/office/spreadsheetml/2009/9/main" uri="{B025F937-C7B1-47D3-B67F-A62EFF666E3E}">
          <x14:id>{AE56F179-ABA8-41BC-8975-A3B2650566B3}</x14:id>
        </ext>
      </extLst>
    </cfRule>
  </conditionalFormatting>
  <conditionalFormatting sqref="Z629">
    <cfRule type="dataBar" priority="3848">
      <dataBar>
        <cfvo type="min"/>
        <cfvo type="max"/>
        <color rgb="FF63C384"/>
      </dataBar>
      <extLst>
        <ext xmlns:x14="http://schemas.microsoft.com/office/spreadsheetml/2009/9/main" uri="{B025F937-C7B1-47D3-B67F-A62EFF666E3E}">
          <x14:id>{00EED3B4-92F2-4752-AAB2-34E0A228EB38}</x14:id>
        </ext>
      </extLst>
    </cfRule>
  </conditionalFormatting>
  <conditionalFormatting sqref="T630">
    <cfRule type="expression" dxfId="8620" priority="3847">
      <formula>AND(AND($W630&lt;TODAY(),$W630&lt;&gt;""),$X630="")</formula>
    </cfRule>
  </conditionalFormatting>
  <conditionalFormatting sqref="Z630">
    <cfRule type="dataBar" priority="3846">
      <dataBar>
        <cfvo type="min"/>
        <cfvo type="max"/>
        <color rgb="FF63C384"/>
      </dataBar>
      <extLst>
        <ext xmlns:x14="http://schemas.microsoft.com/office/spreadsheetml/2009/9/main" uri="{B025F937-C7B1-47D3-B67F-A62EFF666E3E}">
          <x14:id>{5AE6DDBF-DC98-4DF1-824D-518B8C7772A4}</x14:id>
        </ext>
      </extLst>
    </cfRule>
  </conditionalFormatting>
  <conditionalFormatting sqref="Z630">
    <cfRule type="dataBar" priority="3845">
      <dataBar>
        <cfvo type="min"/>
        <cfvo type="max"/>
        <color rgb="FF63C384"/>
      </dataBar>
      <extLst>
        <ext xmlns:x14="http://schemas.microsoft.com/office/spreadsheetml/2009/9/main" uri="{B025F937-C7B1-47D3-B67F-A62EFF666E3E}">
          <x14:id>{77710396-33EB-4A89-98D2-69EFA21EEB15}</x14:id>
        </ext>
      </extLst>
    </cfRule>
  </conditionalFormatting>
  <conditionalFormatting sqref="J630">
    <cfRule type="cellIs" dxfId="8619" priority="3844" operator="equal">
      <formula>"ja"</formula>
    </cfRule>
  </conditionalFormatting>
  <conditionalFormatting sqref="C630">
    <cfRule type="containsText" dxfId="8618" priority="3842" operator="containsText" text="Einnahmen">
      <formula>NOT(ISERROR(SEARCH("Einnahmen",C630)))</formula>
    </cfRule>
    <cfRule type="containsText" dxfId="8617" priority="3843" operator="containsText" text="Ausgaben">
      <formula>NOT(ISERROR(SEARCH("Ausgaben",C630)))</formula>
    </cfRule>
  </conditionalFormatting>
  <conditionalFormatting sqref="C631">
    <cfRule type="containsText" dxfId="8616" priority="3839" operator="containsText" text="Einnahmen">
      <formula>NOT(ISERROR(SEARCH("Einnahmen",C631)))</formula>
    </cfRule>
    <cfRule type="containsText" dxfId="8615" priority="3840" operator="containsText" text="Ausgaben">
      <formula>NOT(ISERROR(SEARCH("Ausgaben",C631)))</formula>
    </cfRule>
  </conditionalFormatting>
  <conditionalFormatting sqref="J631">
    <cfRule type="cellIs" dxfId="8614" priority="3838" operator="equal">
      <formula>"ja"</formula>
    </cfRule>
  </conditionalFormatting>
  <conditionalFormatting sqref="T631">
    <cfRule type="expression" dxfId="8613" priority="3837">
      <formula>AND(AND($W631&lt;TODAY(),$W631&lt;&gt;""),$X631="")</formula>
    </cfRule>
  </conditionalFormatting>
  <conditionalFormatting sqref="Z631">
    <cfRule type="dataBar" priority="3836">
      <dataBar>
        <cfvo type="min"/>
        <cfvo type="max"/>
        <color rgb="FF63C384"/>
      </dataBar>
      <extLst>
        <ext xmlns:x14="http://schemas.microsoft.com/office/spreadsheetml/2009/9/main" uri="{B025F937-C7B1-47D3-B67F-A62EFF666E3E}">
          <x14:id>{AE79CDFF-14F7-49BE-85F4-E734B857ACB2}</x14:id>
        </ext>
      </extLst>
    </cfRule>
  </conditionalFormatting>
  <conditionalFormatting sqref="Z631">
    <cfRule type="dataBar" priority="3835">
      <dataBar>
        <cfvo type="min"/>
        <cfvo type="max"/>
        <color rgb="FF63C384"/>
      </dataBar>
      <extLst>
        <ext xmlns:x14="http://schemas.microsoft.com/office/spreadsheetml/2009/9/main" uri="{B025F937-C7B1-47D3-B67F-A62EFF666E3E}">
          <x14:id>{278F60D1-83F5-43EE-BFD5-C3CBEF8D644F}</x14:id>
        </ext>
      </extLst>
    </cfRule>
  </conditionalFormatting>
  <conditionalFormatting sqref="T631">
    <cfRule type="expression" dxfId="8612" priority="3834">
      <formula>AND(AND($W631&lt;TODAY(),$W631&lt;&gt;""),$X631="")</formula>
    </cfRule>
  </conditionalFormatting>
  <conditionalFormatting sqref="J631">
    <cfRule type="cellIs" dxfId="8611" priority="3833" operator="equal">
      <formula>"ja"</formula>
    </cfRule>
  </conditionalFormatting>
  <conditionalFormatting sqref="Z631">
    <cfRule type="dataBar" priority="3832">
      <dataBar>
        <cfvo type="min"/>
        <cfvo type="max"/>
        <color rgb="FF63C384"/>
      </dataBar>
      <extLst>
        <ext xmlns:x14="http://schemas.microsoft.com/office/spreadsheetml/2009/9/main" uri="{B025F937-C7B1-47D3-B67F-A62EFF666E3E}">
          <x14:id>{51FDBD16-A24D-4964-A6F9-347C6E57B4B6}</x14:id>
        </ext>
      </extLst>
    </cfRule>
  </conditionalFormatting>
  <conditionalFormatting sqref="Z631">
    <cfRule type="dataBar" priority="3831">
      <dataBar>
        <cfvo type="min"/>
        <cfvo type="max"/>
        <color rgb="FF63C384"/>
      </dataBar>
      <extLst>
        <ext xmlns:x14="http://schemas.microsoft.com/office/spreadsheetml/2009/9/main" uri="{B025F937-C7B1-47D3-B67F-A62EFF666E3E}">
          <x14:id>{3C28CF30-675F-4C36-886E-567ECE08643F}</x14:id>
        </ext>
      </extLst>
    </cfRule>
  </conditionalFormatting>
  <conditionalFormatting sqref="J632">
    <cfRule type="cellIs" dxfId="8610" priority="3829" operator="equal">
      <formula>"ja"</formula>
    </cfRule>
  </conditionalFormatting>
  <conditionalFormatting sqref="C632">
    <cfRule type="containsText" dxfId="8609" priority="3827" operator="containsText" text="Einnahmen">
      <formula>NOT(ISERROR(SEARCH("Einnahmen",C632)))</formula>
    </cfRule>
    <cfRule type="containsText" dxfId="8608" priority="3828" operator="containsText" text="Ausgaben">
      <formula>NOT(ISERROR(SEARCH("Ausgaben",C632)))</formula>
    </cfRule>
  </conditionalFormatting>
  <conditionalFormatting sqref="T632">
    <cfRule type="expression" dxfId="8607" priority="3826">
      <formula>AND(AND($W632&lt;TODAY(),$W632&lt;&gt;""),$X632="")</formula>
    </cfRule>
  </conditionalFormatting>
  <conditionalFormatting sqref="Z632">
    <cfRule type="dataBar" priority="3825">
      <dataBar>
        <cfvo type="min"/>
        <cfvo type="max"/>
        <color rgb="FF63C384"/>
      </dataBar>
      <extLst>
        <ext xmlns:x14="http://schemas.microsoft.com/office/spreadsheetml/2009/9/main" uri="{B025F937-C7B1-47D3-B67F-A62EFF666E3E}">
          <x14:id>{67C3168C-897C-4D60-B10F-E9FE6FBCBA53}</x14:id>
        </ext>
      </extLst>
    </cfRule>
  </conditionalFormatting>
  <conditionalFormatting sqref="Z632">
    <cfRule type="dataBar" priority="3824">
      <dataBar>
        <cfvo type="min"/>
        <cfvo type="max"/>
        <color rgb="FF63C384"/>
      </dataBar>
      <extLst>
        <ext xmlns:x14="http://schemas.microsoft.com/office/spreadsheetml/2009/9/main" uri="{B025F937-C7B1-47D3-B67F-A62EFF666E3E}">
          <x14:id>{B7507057-14F0-41D8-BE8C-B83E94D4B934}</x14:id>
        </ext>
      </extLst>
    </cfRule>
  </conditionalFormatting>
  <conditionalFormatting sqref="J633">
    <cfRule type="cellIs" dxfId="8606" priority="3823" operator="equal">
      <formula>"ja"</formula>
    </cfRule>
  </conditionalFormatting>
  <conditionalFormatting sqref="C633">
    <cfRule type="containsText" dxfId="8605" priority="3821" operator="containsText" text="Einnahmen">
      <formula>NOT(ISERROR(SEARCH("Einnahmen",C633)))</formula>
    </cfRule>
    <cfRule type="containsText" dxfId="8604" priority="3822" operator="containsText" text="Ausgaben">
      <formula>NOT(ISERROR(SEARCH("Ausgaben",C633)))</formula>
    </cfRule>
  </conditionalFormatting>
  <conditionalFormatting sqref="T633">
    <cfRule type="expression" dxfId="8603" priority="3820">
      <formula>AND(AND($W633&lt;TODAY(),$W633&lt;&gt;""),$X633="")</formula>
    </cfRule>
  </conditionalFormatting>
  <conditionalFormatting sqref="Z633">
    <cfRule type="dataBar" priority="3819">
      <dataBar>
        <cfvo type="min"/>
        <cfvo type="max"/>
        <color rgb="FF63C384"/>
      </dataBar>
      <extLst>
        <ext xmlns:x14="http://schemas.microsoft.com/office/spreadsheetml/2009/9/main" uri="{B025F937-C7B1-47D3-B67F-A62EFF666E3E}">
          <x14:id>{CE516395-A652-45FF-899B-EDDFA2A69C89}</x14:id>
        </ext>
      </extLst>
    </cfRule>
  </conditionalFormatting>
  <conditionalFormatting sqref="Z633">
    <cfRule type="dataBar" priority="3818">
      <dataBar>
        <cfvo type="min"/>
        <cfvo type="max"/>
        <color rgb="FF63C384"/>
      </dataBar>
      <extLst>
        <ext xmlns:x14="http://schemas.microsoft.com/office/spreadsheetml/2009/9/main" uri="{B025F937-C7B1-47D3-B67F-A62EFF666E3E}">
          <x14:id>{426ADAD0-B534-4F8D-A19F-6924FE12C3ED}</x14:id>
        </ext>
      </extLst>
    </cfRule>
  </conditionalFormatting>
  <conditionalFormatting sqref="C634">
    <cfRule type="containsText" dxfId="8602" priority="3816" operator="containsText" text="Einnahmen">
      <formula>NOT(ISERROR(SEARCH("Einnahmen",C634)))</formula>
    </cfRule>
    <cfRule type="containsText" dxfId="8601" priority="3817" operator="containsText" text="Ausgaben">
      <formula>NOT(ISERROR(SEARCH("Ausgaben",C634)))</formula>
    </cfRule>
  </conditionalFormatting>
  <conditionalFormatting sqref="J634">
    <cfRule type="cellIs" dxfId="8600" priority="3815" operator="equal">
      <formula>"ja"</formula>
    </cfRule>
  </conditionalFormatting>
  <conditionalFormatting sqref="J634">
    <cfRule type="cellIs" dxfId="8599" priority="3803" operator="equal">
      <formula>"ja"</formula>
    </cfRule>
  </conditionalFormatting>
  <conditionalFormatting sqref="T634">
    <cfRule type="expression" dxfId="8598" priority="3802">
      <formula>AND(AND($W634&lt;TODAY(),$W634&lt;&gt;""),$X634="")</formula>
    </cfRule>
  </conditionalFormatting>
  <conditionalFormatting sqref="T634">
    <cfRule type="expression" dxfId="8597" priority="3814">
      <formula>AND(AND($W634&lt;TODAY(),$W634&lt;&gt;""),$X634="")</formula>
    </cfRule>
  </conditionalFormatting>
  <conditionalFormatting sqref="Z634">
    <cfRule type="dataBar" priority="3813">
      <dataBar>
        <cfvo type="min"/>
        <cfvo type="max"/>
        <color rgb="FF63C384"/>
      </dataBar>
      <extLst>
        <ext xmlns:x14="http://schemas.microsoft.com/office/spreadsheetml/2009/9/main" uri="{B025F937-C7B1-47D3-B67F-A62EFF666E3E}">
          <x14:id>{58AD7117-B92C-43FB-A001-65432C2ED720}</x14:id>
        </ext>
      </extLst>
    </cfRule>
  </conditionalFormatting>
  <conditionalFormatting sqref="Z634">
    <cfRule type="dataBar" priority="3812">
      <dataBar>
        <cfvo type="min"/>
        <cfvo type="max"/>
        <color rgb="FF63C384"/>
      </dataBar>
      <extLst>
        <ext xmlns:x14="http://schemas.microsoft.com/office/spreadsheetml/2009/9/main" uri="{B025F937-C7B1-47D3-B67F-A62EFF666E3E}">
          <x14:id>{923E36EF-D0B3-446C-9F44-9C5B1CC17C6D}</x14:id>
        </ext>
      </extLst>
    </cfRule>
  </conditionalFormatting>
  <conditionalFormatting sqref="J634">
    <cfRule type="cellIs" dxfId="8596" priority="3811" operator="equal">
      <formula>"ja"</formula>
    </cfRule>
  </conditionalFormatting>
  <conditionalFormatting sqref="T634">
    <cfRule type="expression" dxfId="8595" priority="3810">
      <formula>AND(AND($W634&lt;TODAY(),$W634&lt;&gt;""),$X634="")</formula>
    </cfRule>
  </conditionalFormatting>
  <conditionalFormatting sqref="Z634">
    <cfRule type="dataBar" priority="3809">
      <dataBar>
        <cfvo type="min"/>
        <cfvo type="max"/>
        <color rgb="FF63C384"/>
      </dataBar>
      <extLst>
        <ext xmlns:x14="http://schemas.microsoft.com/office/spreadsheetml/2009/9/main" uri="{B025F937-C7B1-47D3-B67F-A62EFF666E3E}">
          <x14:id>{1EBA768B-6C88-4555-B3F8-BF268A15A873}</x14:id>
        </ext>
      </extLst>
    </cfRule>
  </conditionalFormatting>
  <conditionalFormatting sqref="Z634">
    <cfRule type="dataBar" priority="3808">
      <dataBar>
        <cfvo type="min"/>
        <cfvo type="max"/>
        <color rgb="FF63C384"/>
      </dataBar>
      <extLst>
        <ext xmlns:x14="http://schemas.microsoft.com/office/spreadsheetml/2009/9/main" uri="{B025F937-C7B1-47D3-B67F-A62EFF666E3E}">
          <x14:id>{B8F03E8E-1592-4B32-8F9A-F22459F00D91}</x14:id>
        </ext>
      </extLst>
    </cfRule>
  </conditionalFormatting>
  <conditionalFormatting sqref="J634">
    <cfRule type="cellIs" dxfId="8594" priority="3807" operator="equal">
      <formula>"ja"</formula>
    </cfRule>
  </conditionalFormatting>
  <conditionalFormatting sqref="T634">
    <cfRule type="expression" dxfId="8593" priority="3806">
      <formula>AND(AND($W634&lt;TODAY(),$W634&lt;&gt;""),$X634="")</formula>
    </cfRule>
  </conditionalFormatting>
  <conditionalFormatting sqref="Z634">
    <cfRule type="dataBar" priority="3805">
      <dataBar>
        <cfvo type="min"/>
        <cfvo type="max"/>
        <color rgb="FF63C384"/>
      </dataBar>
      <extLst>
        <ext xmlns:x14="http://schemas.microsoft.com/office/spreadsheetml/2009/9/main" uri="{B025F937-C7B1-47D3-B67F-A62EFF666E3E}">
          <x14:id>{68E0FA92-F70D-4931-9F88-01AFC63F30FB}</x14:id>
        </ext>
      </extLst>
    </cfRule>
  </conditionalFormatting>
  <conditionalFormatting sqref="Z634">
    <cfRule type="dataBar" priority="3804">
      <dataBar>
        <cfvo type="min"/>
        <cfvo type="max"/>
        <color rgb="FF63C384"/>
      </dataBar>
      <extLst>
        <ext xmlns:x14="http://schemas.microsoft.com/office/spreadsheetml/2009/9/main" uri="{B025F937-C7B1-47D3-B67F-A62EFF666E3E}">
          <x14:id>{12F2B869-9E00-4AEE-9628-3113D7337AB3}</x14:id>
        </ext>
      </extLst>
    </cfRule>
  </conditionalFormatting>
  <conditionalFormatting sqref="Z634">
    <cfRule type="dataBar" priority="3801">
      <dataBar>
        <cfvo type="min"/>
        <cfvo type="max"/>
        <color rgb="FF63C384"/>
      </dataBar>
      <extLst>
        <ext xmlns:x14="http://schemas.microsoft.com/office/spreadsheetml/2009/9/main" uri="{B025F937-C7B1-47D3-B67F-A62EFF666E3E}">
          <x14:id>{E9069D0F-FBE4-4AF2-B47C-1FEF9EA02FB9}</x14:id>
        </ext>
      </extLst>
    </cfRule>
  </conditionalFormatting>
  <conditionalFormatting sqref="Z634">
    <cfRule type="dataBar" priority="3800">
      <dataBar>
        <cfvo type="min"/>
        <cfvo type="max"/>
        <color rgb="FF63C384"/>
      </dataBar>
      <extLst>
        <ext xmlns:x14="http://schemas.microsoft.com/office/spreadsheetml/2009/9/main" uri="{B025F937-C7B1-47D3-B67F-A62EFF666E3E}">
          <x14:id>{810B083D-2C4B-42C6-ACC1-97D8D865BBDA}</x14:id>
        </ext>
      </extLst>
    </cfRule>
  </conditionalFormatting>
  <conditionalFormatting sqref="C635">
    <cfRule type="containsText" dxfId="8592" priority="3794" operator="containsText" text="Einnahmen">
      <formula>NOT(ISERROR(SEARCH("Einnahmen",C635)))</formula>
    </cfRule>
    <cfRule type="containsText" dxfId="8591" priority="3795" operator="containsText" text="Ausgaben">
      <formula>NOT(ISERROR(SEARCH("Ausgaben",C635)))</formula>
    </cfRule>
  </conditionalFormatting>
  <conditionalFormatting sqref="T635">
    <cfRule type="expression" dxfId="8590" priority="3793">
      <formula>AND(AND($W635&lt;TODAY(),$W635&lt;&gt;""),$X635="")</formula>
    </cfRule>
  </conditionalFormatting>
  <conditionalFormatting sqref="Z635">
    <cfRule type="dataBar" priority="3792">
      <dataBar>
        <cfvo type="min"/>
        <cfvo type="max"/>
        <color rgb="FF63C384"/>
      </dataBar>
      <extLst>
        <ext xmlns:x14="http://schemas.microsoft.com/office/spreadsheetml/2009/9/main" uri="{B025F937-C7B1-47D3-B67F-A62EFF666E3E}">
          <x14:id>{A64D0FF8-1C0A-4D47-9DDB-426A0B84D6AA}</x14:id>
        </ext>
      </extLst>
    </cfRule>
  </conditionalFormatting>
  <conditionalFormatting sqref="Z635">
    <cfRule type="dataBar" priority="3791">
      <dataBar>
        <cfvo type="min"/>
        <cfvo type="max"/>
        <color rgb="FF63C384"/>
      </dataBar>
      <extLst>
        <ext xmlns:x14="http://schemas.microsoft.com/office/spreadsheetml/2009/9/main" uri="{B025F937-C7B1-47D3-B67F-A62EFF666E3E}">
          <x14:id>{F5F9DE1F-8224-4715-9BB5-0F692EFC629D}</x14:id>
        </ext>
      </extLst>
    </cfRule>
  </conditionalFormatting>
  <conditionalFormatting sqref="J635">
    <cfRule type="cellIs" dxfId="8589" priority="3790" operator="equal">
      <formula>"ja"</formula>
    </cfRule>
  </conditionalFormatting>
  <conditionalFormatting sqref="J636">
    <cfRule type="cellIs" dxfId="8588" priority="3787" operator="equal">
      <formula>"ja"</formula>
    </cfRule>
  </conditionalFormatting>
  <conditionalFormatting sqref="C636">
    <cfRule type="containsText" dxfId="8587" priority="3785" operator="containsText" text="Einnahmen">
      <formula>NOT(ISERROR(SEARCH("Einnahmen",C636)))</formula>
    </cfRule>
    <cfRule type="containsText" dxfId="8586" priority="3786" operator="containsText" text="Ausgaben">
      <formula>NOT(ISERROR(SEARCH("Ausgaben",C636)))</formula>
    </cfRule>
  </conditionalFormatting>
  <conditionalFormatting sqref="T636">
    <cfRule type="expression" dxfId="8585" priority="3784">
      <formula>AND(AND($W636&lt;TODAY(),$W636&lt;&gt;""),$X636="")</formula>
    </cfRule>
  </conditionalFormatting>
  <conditionalFormatting sqref="Z636">
    <cfRule type="dataBar" priority="3783">
      <dataBar>
        <cfvo type="min"/>
        <cfvo type="max"/>
        <color rgb="FF63C384"/>
      </dataBar>
      <extLst>
        <ext xmlns:x14="http://schemas.microsoft.com/office/spreadsheetml/2009/9/main" uri="{B025F937-C7B1-47D3-B67F-A62EFF666E3E}">
          <x14:id>{1EA103BC-7A02-43CA-8E87-09C9CD2874E3}</x14:id>
        </ext>
      </extLst>
    </cfRule>
  </conditionalFormatting>
  <conditionalFormatting sqref="Z636">
    <cfRule type="dataBar" priority="3782">
      <dataBar>
        <cfvo type="min"/>
        <cfvo type="max"/>
        <color rgb="FF63C384"/>
      </dataBar>
      <extLst>
        <ext xmlns:x14="http://schemas.microsoft.com/office/spreadsheetml/2009/9/main" uri="{B025F937-C7B1-47D3-B67F-A62EFF666E3E}">
          <x14:id>{0F49DBB2-4338-4BA4-9DEA-279A0BDF5694}</x14:id>
        </ext>
      </extLst>
    </cfRule>
  </conditionalFormatting>
  <conditionalFormatting sqref="Z637">
    <cfRule type="dataBar" priority="3780">
      <dataBar>
        <cfvo type="min"/>
        <cfvo type="max"/>
        <color rgb="FF63C384"/>
      </dataBar>
      <extLst>
        <ext xmlns:x14="http://schemas.microsoft.com/office/spreadsheetml/2009/9/main" uri="{B025F937-C7B1-47D3-B67F-A62EFF666E3E}">
          <x14:id>{ADC98609-6E89-4F88-B76E-4305723CFFAC}</x14:id>
        </ext>
      </extLst>
    </cfRule>
  </conditionalFormatting>
  <conditionalFormatting sqref="Z637">
    <cfRule type="dataBar" priority="3779">
      <dataBar>
        <cfvo type="min"/>
        <cfvo type="max"/>
        <color rgb="FF63C384"/>
      </dataBar>
      <extLst>
        <ext xmlns:x14="http://schemas.microsoft.com/office/spreadsheetml/2009/9/main" uri="{B025F937-C7B1-47D3-B67F-A62EFF666E3E}">
          <x14:id>{425EDD4C-897D-4158-A503-317A843DCBFD}</x14:id>
        </ext>
      </extLst>
    </cfRule>
  </conditionalFormatting>
  <conditionalFormatting sqref="C637">
    <cfRule type="containsText" dxfId="8584" priority="3776" operator="containsText" text="Einnahmen">
      <formula>NOT(ISERROR(SEARCH("Einnahmen",C637)))</formula>
    </cfRule>
    <cfRule type="containsText" dxfId="8583" priority="3777" operator="containsText" text="Ausgaben">
      <formula>NOT(ISERROR(SEARCH("Ausgaben",C637)))</formula>
    </cfRule>
  </conditionalFormatting>
  <conditionalFormatting sqref="J637">
    <cfRule type="cellIs" dxfId="8582" priority="3775" operator="equal">
      <formula>"ja"</formula>
    </cfRule>
  </conditionalFormatting>
  <conditionalFormatting sqref="T637">
    <cfRule type="expression" dxfId="8581" priority="3774">
      <formula>AND(AND($W637&lt;TODAY(),$W637&lt;&gt;""),$X637="")</formula>
    </cfRule>
  </conditionalFormatting>
  <conditionalFormatting sqref="J638">
    <cfRule type="cellIs" dxfId="8580" priority="3773" operator="equal">
      <formula>"ja"</formula>
    </cfRule>
  </conditionalFormatting>
  <conditionalFormatting sqref="C638">
    <cfRule type="containsText" dxfId="8579" priority="3771" operator="containsText" text="Einnahmen">
      <formula>NOT(ISERROR(SEARCH("Einnahmen",C638)))</formula>
    </cfRule>
    <cfRule type="containsText" dxfId="8578" priority="3772" operator="containsText" text="Ausgaben">
      <formula>NOT(ISERROR(SEARCH("Ausgaben",C638)))</formula>
    </cfRule>
  </conditionalFormatting>
  <conditionalFormatting sqref="T638">
    <cfRule type="expression" dxfId="8577" priority="3770">
      <formula>AND(AND($W638&lt;TODAY(),$W638&lt;&gt;""),$X638="")</formula>
    </cfRule>
  </conditionalFormatting>
  <conditionalFormatting sqref="Z638">
    <cfRule type="dataBar" priority="3769">
      <dataBar>
        <cfvo type="min"/>
        <cfvo type="max"/>
        <color rgb="FF63C384"/>
      </dataBar>
      <extLst>
        <ext xmlns:x14="http://schemas.microsoft.com/office/spreadsheetml/2009/9/main" uri="{B025F937-C7B1-47D3-B67F-A62EFF666E3E}">
          <x14:id>{C01988B5-094A-4814-A1E5-53FACD6CE455}</x14:id>
        </ext>
      </extLst>
    </cfRule>
  </conditionalFormatting>
  <conditionalFormatting sqref="Z638">
    <cfRule type="dataBar" priority="3768">
      <dataBar>
        <cfvo type="min"/>
        <cfvo type="max"/>
        <color rgb="FF63C384"/>
      </dataBar>
      <extLst>
        <ext xmlns:x14="http://schemas.microsoft.com/office/spreadsheetml/2009/9/main" uri="{B025F937-C7B1-47D3-B67F-A62EFF666E3E}">
          <x14:id>{F5703901-E8E8-45FF-9440-7BDC6549E645}</x14:id>
        </ext>
      </extLst>
    </cfRule>
  </conditionalFormatting>
  <conditionalFormatting sqref="C639">
    <cfRule type="containsText" dxfId="8576" priority="3764" operator="containsText" text="Einnahmen">
      <formula>NOT(ISERROR(SEARCH("Einnahmen",C639)))</formula>
    </cfRule>
    <cfRule type="containsText" dxfId="8575" priority="3765" operator="containsText" text="Ausgaben">
      <formula>NOT(ISERROR(SEARCH("Ausgaben",C639)))</formula>
    </cfRule>
  </conditionalFormatting>
  <conditionalFormatting sqref="T639">
    <cfRule type="expression" dxfId="8574" priority="3763">
      <formula>AND(AND($W639&lt;TODAY(),$W639&lt;&gt;""),$X639="")</formula>
    </cfRule>
  </conditionalFormatting>
  <conditionalFormatting sqref="J639">
    <cfRule type="cellIs" dxfId="8573" priority="3762" operator="equal">
      <formula>"ja"</formula>
    </cfRule>
  </conditionalFormatting>
  <conditionalFormatting sqref="Z639">
    <cfRule type="dataBar" priority="3761">
      <dataBar>
        <cfvo type="min"/>
        <cfvo type="max"/>
        <color rgb="FF63C384"/>
      </dataBar>
      <extLst>
        <ext xmlns:x14="http://schemas.microsoft.com/office/spreadsheetml/2009/9/main" uri="{B025F937-C7B1-47D3-B67F-A62EFF666E3E}">
          <x14:id>{F24F4F95-675D-4D13-8FB1-BBC1166C1393}</x14:id>
        </ext>
      </extLst>
    </cfRule>
  </conditionalFormatting>
  <conditionalFormatting sqref="Z639">
    <cfRule type="dataBar" priority="3760">
      <dataBar>
        <cfvo type="min"/>
        <cfvo type="max"/>
        <color rgb="FF63C384"/>
      </dataBar>
      <extLst>
        <ext xmlns:x14="http://schemas.microsoft.com/office/spreadsheetml/2009/9/main" uri="{B025F937-C7B1-47D3-B67F-A62EFF666E3E}">
          <x14:id>{ECC6C41F-380A-4F19-A0AA-C8EF813DC87A}</x14:id>
        </ext>
      </extLst>
    </cfRule>
  </conditionalFormatting>
  <conditionalFormatting sqref="T640">
    <cfRule type="expression" dxfId="8572" priority="3759">
      <formula>AND(AND($W640&lt;TODAY(),$W640&lt;&gt;""),$X640="")</formula>
    </cfRule>
  </conditionalFormatting>
  <conditionalFormatting sqref="Z640">
    <cfRule type="dataBar" priority="3758">
      <dataBar>
        <cfvo type="min"/>
        <cfvo type="max"/>
        <color rgb="FF63C384"/>
      </dataBar>
      <extLst>
        <ext xmlns:x14="http://schemas.microsoft.com/office/spreadsheetml/2009/9/main" uri="{B025F937-C7B1-47D3-B67F-A62EFF666E3E}">
          <x14:id>{46D0C598-2579-4C0F-961F-E058E3CE05CB}</x14:id>
        </ext>
      </extLst>
    </cfRule>
  </conditionalFormatting>
  <conditionalFormatting sqref="Z640">
    <cfRule type="dataBar" priority="3757">
      <dataBar>
        <cfvo type="min"/>
        <cfvo type="max"/>
        <color rgb="FF63C384"/>
      </dataBar>
      <extLst>
        <ext xmlns:x14="http://schemas.microsoft.com/office/spreadsheetml/2009/9/main" uri="{B025F937-C7B1-47D3-B67F-A62EFF666E3E}">
          <x14:id>{10EC3B63-45F3-41A1-A10C-9ADF8ED5774C}</x14:id>
        </ext>
      </extLst>
    </cfRule>
  </conditionalFormatting>
  <conditionalFormatting sqref="J641">
    <cfRule type="cellIs" dxfId="8571" priority="3756" operator="equal">
      <formula>"ja"</formula>
    </cfRule>
  </conditionalFormatting>
  <conditionalFormatting sqref="C641">
    <cfRule type="containsText" dxfId="8570" priority="3754" operator="containsText" text="Einnahmen">
      <formula>NOT(ISERROR(SEARCH("Einnahmen",C641)))</formula>
    </cfRule>
    <cfRule type="containsText" dxfId="8569" priority="3755" operator="containsText" text="Ausgaben">
      <formula>NOT(ISERROR(SEARCH("Ausgaben",C641)))</formula>
    </cfRule>
  </conditionalFormatting>
  <conditionalFormatting sqref="T641">
    <cfRule type="expression" dxfId="8568" priority="3753">
      <formula>AND(AND($W641&lt;TODAY(),$W641&lt;&gt;""),$X641="")</formula>
    </cfRule>
  </conditionalFormatting>
  <conditionalFormatting sqref="Z641">
    <cfRule type="dataBar" priority="3752">
      <dataBar>
        <cfvo type="min"/>
        <cfvo type="max"/>
        <color rgb="FF63C384"/>
      </dataBar>
      <extLst>
        <ext xmlns:x14="http://schemas.microsoft.com/office/spreadsheetml/2009/9/main" uri="{B025F937-C7B1-47D3-B67F-A62EFF666E3E}">
          <x14:id>{DCD7D76E-0A12-4FC5-B6FB-5E6DEBF74312}</x14:id>
        </ext>
      </extLst>
    </cfRule>
  </conditionalFormatting>
  <conditionalFormatting sqref="Z641">
    <cfRule type="dataBar" priority="3751">
      <dataBar>
        <cfvo type="min"/>
        <cfvo type="max"/>
        <color rgb="FF63C384"/>
      </dataBar>
      <extLst>
        <ext xmlns:x14="http://schemas.microsoft.com/office/spreadsheetml/2009/9/main" uri="{B025F937-C7B1-47D3-B67F-A62EFF666E3E}">
          <x14:id>{F525C59C-4D92-4DA2-8AC4-6ABCD2D88E24}</x14:id>
        </ext>
      </extLst>
    </cfRule>
  </conditionalFormatting>
  <conditionalFormatting sqref="C642">
    <cfRule type="containsText" dxfId="8567" priority="3749" operator="containsText" text="Einnahmen">
      <formula>NOT(ISERROR(SEARCH("Einnahmen",C642)))</formula>
    </cfRule>
    <cfRule type="containsText" dxfId="8566" priority="3750" operator="containsText" text="Ausgaben">
      <formula>NOT(ISERROR(SEARCH("Ausgaben",C642)))</formula>
    </cfRule>
  </conditionalFormatting>
  <conditionalFormatting sqref="J642">
    <cfRule type="cellIs" dxfId="8565" priority="3748" operator="equal">
      <formula>"ja"</formula>
    </cfRule>
  </conditionalFormatting>
  <conditionalFormatting sqref="T642">
    <cfRule type="expression" dxfId="8564" priority="3747">
      <formula>AND(AND($W642&lt;TODAY(),$W642&lt;&gt;""),$X642="")</formula>
    </cfRule>
  </conditionalFormatting>
  <conditionalFormatting sqref="Z642">
    <cfRule type="dataBar" priority="3746">
      <dataBar>
        <cfvo type="min"/>
        <cfvo type="max"/>
        <color rgb="FF63C384"/>
      </dataBar>
      <extLst>
        <ext xmlns:x14="http://schemas.microsoft.com/office/spreadsheetml/2009/9/main" uri="{B025F937-C7B1-47D3-B67F-A62EFF666E3E}">
          <x14:id>{8B313FD6-185D-4FDF-A927-2F465D4FE3CA}</x14:id>
        </ext>
      </extLst>
    </cfRule>
  </conditionalFormatting>
  <conditionalFormatting sqref="Z642">
    <cfRule type="dataBar" priority="3745">
      <dataBar>
        <cfvo type="min"/>
        <cfvo type="max"/>
        <color rgb="FF63C384"/>
      </dataBar>
      <extLst>
        <ext xmlns:x14="http://schemas.microsoft.com/office/spreadsheetml/2009/9/main" uri="{B025F937-C7B1-47D3-B67F-A62EFF666E3E}">
          <x14:id>{BDF2F4EF-A112-4B6F-AD85-3977F2541DBE}</x14:id>
        </ext>
      </extLst>
    </cfRule>
  </conditionalFormatting>
  <conditionalFormatting sqref="C643">
    <cfRule type="containsText" dxfId="8563" priority="3743" operator="containsText" text="Einnahmen">
      <formula>NOT(ISERROR(SEARCH("Einnahmen",C643)))</formula>
    </cfRule>
    <cfRule type="containsText" dxfId="8562" priority="3744" operator="containsText" text="Ausgaben">
      <formula>NOT(ISERROR(SEARCH("Ausgaben",C643)))</formula>
    </cfRule>
  </conditionalFormatting>
  <conditionalFormatting sqref="T643">
    <cfRule type="expression" dxfId="8561" priority="3742">
      <formula>AND(AND($W643&lt;TODAY(),$W643&lt;&gt;""),$X643="")</formula>
    </cfRule>
  </conditionalFormatting>
  <conditionalFormatting sqref="Z643">
    <cfRule type="dataBar" priority="3741">
      <dataBar>
        <cfvo type="min"/>
        <cfvo type="max"/>
        <color rgb="FF63C384"/>
      </dataBar>
      <extLst>
        <ext xmlns:x14="http://schemas.microsoft.com/office/spreadsheetml/2009/9/main" uri="{B025F937-C7B1-47D3-B67F-A62EFF666E3E}">
          <x14:id>{EDFE05E0-0BC8-4913-B741-44F37D6A5CB1}</x14:id>
        </ext>
      </extLst>
    </cfRule>
  </conditionalFormatting>
  <conditionalFormatting sqref="Z643">
    <cfRule type="dataBar" priority="3740">
      <dataBar>
        <cfvo type="min"/>
        <cfvo type="max"/>
        <color rgb="FF63C384"/>
      </dataBar>
      <extLst>
        <ext xmlns:x14="http://schemas.microsoft.com/office/spreadsheetml/2009/9/main" uri="{B025F937-C7B1-47D3-B67F-A62EFF666E3E}">
          <x14:id>{9B2F479B-22E0-409E-9DE1-3A1ECC8CD261}</x14:id>
        </ext>
      </extLst>
    </cfRule>
  </conditionalFormatting>
  <conditionalFormatting sqref="J643">
    <cfRule type="cellIs" dxfId="8560" priority="3739" operator="equal">
      <formula>"ja"</formula>
    </cfRule>
  </conditionalFormatting>
  <conditionalFormatting sqref="J644">
    <cfRule type="cellIs" dxfId="8559" priority="3738" operator="equal">
      <formula>"ja"</formula>
    </cfRule>
  </conditionalFormatting>
  <conditionalFormatting sqref="T644">
    <cfRule type="expression" dxfId="8558" priority="3737">
      <formula>AND(AND($W644&lt;TODAY(),$W644&lt;&gt;""),$X644="")</formula>
    </cfRule>
  </conditionalFormatting>
  <conditionalFormatting sqref="Z644">
    <cfRule type="dataBar" priority="3736">
      <dataBar>
        <cfvo type="min"/>
        <cfvo type="max"/>
        <color rgb="FF63C384"/>
      </dataBar>
      <extLst>
        <ext xmlns:x14="http://schemas.microsoft.com/office/spreadsheetml/2009/9/main" uri="{B025F937-C7B1-47D3-B67F-A62EFF666E3E}">
          <x14:id>{2E4A5C80-DAB4-4EED-91BA-8DA253A3550A}</x14:id>
        </ext>
      </extLst>
    </cfRule>
  </conditionalFormatting>
  <conditionalFormatting sqref="Z644">
    <cfRule type="dataBar" priority="3735">
      <dataBar>
        <cfvo type="min"/>
        <cfvo type="max"/>
        <color rgb="FF63C384"/>
      </dataBar>
      <extLst>
        <ext xmlns:x14="http://schemas.microsoft.com/office/spreadsheetml/2009/9/main" uri="{B025F937-C7B1-47D3-B67F-A62EFF666E3E}">
          <x14:id>{BADC91EE-35E3-47E8-A1FE-0E17900E9530}</x14:id>
        </ext>
      </extLst>
    </cfRule>
  </conditionalFormatting>
  <conditionalFormatting sqref="C644">
    <cfRule type="containsText" dxfId="8557" priority="3733" operator="containsText" text="Einnahmen">
      <formula>NOT(ISERROR(SEARCH("Einnahmen",C644)))</formula>
    </cfRule>
    <cfRule type="containsText" dxfId="8556" priority="3734" operator="containsText" text="Ausgaben">
      <formula>NOT(ISERROR(SEARCH("Ausgaben",C644)))</formula>
    </cfRule>
  </conditionalFormatting>
  <conditionalFormatting sqref="J645">
    <cfRule type="cellIs" dxfId="8555" priority="3731" operator="equal">
      <formula>"ja"</formula>
    </cfRule>
  </conditionalFormatting>
  <conditionalFormatting sqref="C645">
    <cfRule type="containsText" dxfId="8554" priority="3729" operator="containsText" text="Einnahmen">
      <formula>NOT(ISERROR(SEARCH("Einnahmen",C645)))</formula>
    </cfRule>
    <cfRule type="containsText" dxfId="8553" priority="3730" operator="containsText" text="Ausgaben">
      <formula>NOT(ISERROR(SEARCH("Ausgaben",C645)))</formula>
    </cfRule>
  </conditionalFormatting>
  <conditionalFormatting sqref="T645">
    <cfRule type="expression" dxfId="8552" priority="3728">
      <formula>AND(AND($W645&lt;TODAY(),$W645&lt;&gt;""),$X645="")</formula>
    </cfRule>
  </conditionalFormatting>
  <conditionalFormatting sqref="Z645">
    <cfRule type="dataBar" priority="3727">
      <dataBar>
        <cfvo type="min"/>
        <cfvo type="max"/>
        <color rgb="FF63C384"/>
      </dataBar>
      <extLst>
        <ext xmlns:x14="http://schemas.microsoft.com/office/spreadsheetml/2009/9/main" uri="{B025F937-C7B1-47D3-B67F-A62EFF666E3E}">
          <x14:id>{BEA86F44-4348-4CE1-A55B-50C1736D242E}</x14:id>
        </ext>
      </extLst>
    </cfRule>
  </conditionalFormatting>
  <conditionalFormatting sqref="Z645">
    <cfRule type="dataBar" priority="3726">
      <dataBar>
        <cfvo type="min"/>
        <cfvo type="max"/>
        <color rgb="FF63C384"/>
      </dataBar>
      <extLst>
        <ext xmlns:x14="http://schemas.microsoft.com/office/spreadsheetml/2009/9/main" uri="{B025F937-C7B1-47D3-B67F-A62EFF666E3E}">
          <x14:id>{D722061C-CC76-4C52-9FC0-FE406A1C2259}</x14:id>
        </ext>
      </extLst>
    </cfRule>
  </conditionalFormatting>
  <conditionalFormatting sqref="J646">
    <cfRule type="cellIs" dxfId="8551" priority="3725" operator="equal">
      <formula>"ja"</formula>
    </cfRule>
  </conditionalFormatting>
  <conditionalFormatting sqref="C646">
    <cfRule type="containsText" dxfId="8550" priority="3723" operator="containsText" text="Einnahmen">
      <formula>NOT(ISERROR(SEARCH("Einnahmen",C646)))</formula>
    </cfRule>
    <cfRule type="containsText" dxfId="8549" priority="3724" operator="containsText" text="Ausgaben">
      <formula>NOT(ISERROR(SEARCH("Ausgaben",C646)))</formula>
    </cfRule>
  </conditionalFormatting>
  <conditionalFormatting sqref="T646">
    <cfRule type="expression" dxfId="8548" priority="3722">
      <formula>AND(AND($W646&lt;TODAY(),$W646&lt;&gt;""),$X646="")</formula>
    </cfRule>
  </conditionalFormatting>
  <conditionalFormatting sqref="Z646">
    <cfRule type="dataBar" priority="3721">
      <dataBar>
        <cfvo type="min"/>
        <cfvo type="max"/>
        <color rgb="FF63C384"/>
      </dataBar>
      <extLst>
        <ext xmlns:x14="http://schemas.microsoft.com/office/spreadsheetml/2009/9/main" uri="{B025F937-C7B1-47D3-B67F-A62EFF666E3E}">
          <x14:id>{BA419072-9EB5-4FFD-8B12-E3FFA4402C67}</x14:id>
        </ext>
      </extLst>
    </cfRule>
  </conditionalFormatting>
  <conditionalFormatting sqref="Z646">
    <cfRule type="dataBar" priority="3720">
      <dataBar>
        <cfvo type="min"/>
        <cfvo type="max"/>
        <color rgb="FF63C384"/>
      </dataBar>
      <extLst>
        <ext xmlns:x14="http://schemas.microsoft.com/office/spreadsheetml/2009/9/main" uri="{B025F937-C7B1-47D3-B67F-A62EFF666E3E}">
          <x14:id>{CC96BB2F-AA4E-43BC-9D03-EB627FF9C43A}</x14:id>
        </ext>
      </extLst>
    </cfRule>
  </conditionalFormatting>
  <conditionalFormatting sqref="J647">
    <cfRule type="cellIs" dxfId="8547" priority="3719" operator="equal">
      <formula>"ja"</formula>
    </cfRule>
  </conditionalFormatting>
  <conditionalFormatting sqref="C647">
    <cfRule type="containsText" dxfId="8546" priority="3717" operator="containsText" text="Einnahmen">
      <formula>NOT(ISERROR(SEARCH("Einnahmen",C647)))</formula>
    </cfRule>
    <cfRule type="containsText" dxfId="8545" priority="3718" operator="containsText" text="Ausgaben">
      <formula>NOT(ISERROR(SEARCH("Ausgaben",C647)))</formula>
    </cfRule>
  </conditionalFormatting>
  <conditionalFormatting sqref="T647">
    <cfRule type="expression" dxfId="8544" priority="3716">
      <formula>AND(AND($W647&lt;TODAY(),$W647&lt;&gt;""),$X647="")</formula>
    </cfRule>
  </conditionalFormatting>
  <conditionalFormatting sqref="Z647">
    <cfRule type="dataBar" priority="3715">
      <dataBar>
        <cfvo type="min"/>
        <cfvo type="max"/>
        <color rgb="FF63C384"/>
      </dataBar>
      <extLst>
        <ext xmlns:x14="http://schemas.microsoft.com/office/spreadsheetml/2009/9/main" uri="{B025F937-C7B1-47D3-B67F-A62EFF666E3E}">
          <x14:id>{21927F43-4015-402D-8A42-F644AA387275}</x14:id>
        </ext>
      </extLst>
    </cfRule>
  </conditionalFormatting>
  <conditionalFormatting sqref="Z647">
    <cfRule type="dataBar" priority="3714">
      <dataBar>
        <cfvo type="min"/>
        <cfvo type="max"/>
        <color rgb="FF63C384"/>
      </dataBar>
      <extLst>
        <ext xmlns:x14="http://schemas.microsoft.com/office/spreadsheetml/2009/9/main" uri="{B025F937-C7B1-47D3-B67F-A62EFF666E3E}">
          <x14:id>{5FEC6039-2EAD-40D1-8625-74C59981C4DF}</x14:id>
        </ext>
      </extLst>
    </cfRule>
  </conditionalFormatting>
  <conditionalFormatting sqref="C648">
    <cfRule type="containsText" dxfId="8543" priority="3712" operator="containsText" text="Einnahmen">
      <formula>NOT(ISERROR(SEARCH("Einnahmen",C648)))</formula>
    </cfRule>
    <cfRule type="containsText" dxfId="8542" priority="3713" operator="containsText" text="Ausgaben">
      <formula>NOT(ISERROR(SEARCH("Ausgaben",C648)))</formula>
    </cfRule>
  </conditionalFormatting>
  <conditionalFormatting sqref="T648">
    <cfRule type="expression" dxfId="8541" priority="3711">
      <formula>AND(AND($W648&lt;TODAY(),$W648&lt;&gt;""),$X648="")</formula>
    </cfRule>
  </conditionalFormatting>
  <conditionalFormatting sqref="Z648">
    <cfRule type="dataBar" priority="3710">
      <dataBar>
        <cfvo type="min"/>
        <cfvo type="max"/>
        <color rgb="FF63C384"/>
      </dataBar>
      <extLst>
        <ext xmlns:x14="http://schemas.microsoft.com/office/spreadsheetml/2009/9/main" uri="{B025F937-C7B1-47D3-B67F-A62EFF666E3E}">
          <x14:id>{71B61EB9-229C-494E-BB77-B4E732EFFC50}</x14:id>
        </ext>
      </extLst>
    </cfRule>
  </conditionalFormatting>
  <conditionalFormatting sqref="Z648">
    <cfRule type="dataBar" priority="3709">
      <dataBar>
        <cfvo type="min"/>
        <cfvo type="max"/>
        <color rgb="FF63C384"/>
      </dataBar>
      <extLst>
        <ext xmlns:x14="http://schemas.microsoft.com/office/spreadsheetml/2009/9/main" uri="{B025F937-C7B1-47D3-B67F-A62EFF666E3E}">
          <x14:id>{EE89AA07-6547-402F-A78F-482CF04A4E5A}</x14:id>
        </ext>
      </extLst>
    </cfRule>
  </conditionalFormatting>
  <conditionalFormatting sqref="J648">
    <cfRule type="cellIs" dxfId="8540" priority="3708" operator="equal">
      <formula>"ja"</formula>
    </cfRule>
  </conditionalFormatting>
  <conditionalFormatting sqref="T649">
    <cfRule type="expression" dxfId="8539" priority="3707">
      <formula>AND(AND($W649&lt;TODAY(),$W649&lt;&gt;""),$X649="")</formula>
    </cfRule>
  </conditionalFormatting>
  <conditionalFormatting sqref="Z649">
    <cfRule type="dataBar" priority="3706">
      <dataBar>
        <cfvo type="min"/>
        <cfvo type="max"/>
        <color rgb="FF63C384"/>
      </dataBar>
      <extLst>
        <ext xmlns:x14="http://schemas.microsoft.com/office/spreadsheetml/2009/9/main" uri="{B025F937-C7B1-47D3-B67F-A62EFF666E3E}">
          <x14:id>{36A75BFB-E4F4-4BB7-8B20-EADE54518D85}</x14:id>
        </ext>
      </extLst>
    </cfRule>
  </conditionalFormatting>
  <conditionalFormatting sqref="Z649">
    <cfRule type="dataBar" priority="3705">
      <dataBar>
        <cfvo type="min"/>
        <cfvo type="max"/>
        <color rgb="FF63C384"/>
      </dataBar>
      <extLst>
        <ext xmlns:x14="http://schemas.microsoft.com/office/spreadsheetml/2009/9/main" uri="{B025F937-C7B1-47D3-B67F-A62EFF666E3E}">
          <x14:id>{4FA4C3C2-9A78-449A-AA50-694EE6C19854}</x14:id>
        </ext>
      </extLst>
    </cfRule>
  </conditionalFormatting>
  <conditionalFormatting sqref="J649">
    <cfRule type="cellIs" dxfId="8538" priority="3704" operator="equal">
      <formula>"ja"</formula>
    </cfRule>
  </conditionalFormatting>
  <conditionalFormatting sqref="C649">
    <cfRule type="containsText" dxfId="8537" priority="3702" operator="containsText" text="Einnahmen">
      <formula>NOT(ISERROR(SEARCH("Einnahmen",C649)))</formula>
    </cfRule>
    <cfRule type="containsText" dxfId="8536" priority="3703" operator="containsText" text="Ausgaben">
      <formula>NOT(ISERROR(SEARCH("Ausgaben",C649)))</formula>
    </cfRule>
  </conditionalFormatting>
  <conditionalFormatting sqref="J650">
    <cfRule type="cellIs" dxfId="8535" priority="3700" operator="equal">
      <formula>"ja"</formula>
    </cfRule>
  </conditionalFormatting>
  <conditionalFormatting sqref="C650">
    <cfRule type="containsText" dxfId="8534" priority="3698" operator="containsText" text="Einnahmen">
      <formula>NOT(ISERROR(SEARCH("Einnahmen",C650)))</formula>
    </cfRule>
    <cfRule type="containsText" dxfId="8533" priority="3699" operator="containsText" text="Ausgaben">
      <formula>NOT(ISERROR(SEARCH("Ausgaben",C650)))</formula>
    </cfRule>
  </conditionalFormatting>
  <conditionalFormatting sqref="T650">
    <cfRule type="expression" dxfId="8532" priority="3697">
      <formula>AND(AND($W650&lt;TODAY(),$W650&lt;&gt;""),$X650="")</formula>
    </cfRule>
  </conditionalFormatting>
  <conditionalFormatting sqref="Z650">
    <cfRule type="dataBar" priority="3696">
      <dataBar>
        <cfvo type="min"/>
        <cfvo type="max"/>
        <color rgb="FF63C384"/>
      </dataBar>
      <extLst>
        <ext xmlns:x14="http://schemas.microsoft.com/office/spreadsheetml/2009/9/main" uri="{B025F937-C7B1-47D3-B67F-A62EFF666E3E}">
          <x14:id>{9D2AB5BC-8954-445E-8C46-DDD2BD30CEAA}</x14:id>
        </ext>
      </extLst>
    </cfRule>
  </conditionalFormatting>
  <conditionalFormatting sqref="Z650">
    <cfRule type="dataBar" priority="3695">
      <dataBar>
        <cfvo type="min"/>
        <cfvo type="max"/>
        <color rgb="FF63C384"/>
      </dataBar>
      <extLst>
        <ext xmlns:x14="http://schemas.microsoft.com/office/spreadsheetml/2009/9/main" uri="{B025F937-C7B1-47D3-B67F-A62EFF666E3E}">
          <x14:id>{1137006C-F702-4B3A-B287-BA23F411DB29}</x14:id>
        </ext>
      </extLst>
    </cfRule>
  </conditionalFormatting>
  <conditionalFormatting sqref="C651">
    <cfRule type="containsText" dxfId="8531" priority="3693" operator="containsText" text="Einnahmen">
      <formula>NOT(ISERROR(SEARCH("Einnahmen",C651)))</formula>
    </cfRule>
    <cfRule type="containsText" dxfId="8530" priority="3694" operator="containsText" text="Ausgaben">
      <formula>NOT(ISERROR(SEARCH("Ausgaben",C651)))</formula>
    </cfRule>
  </conditionalFormatting>
  <conditionalFormatting sqref="J651">
    <cfRule type="cellIs" dxfId="8529" priority="3692" operator="equal">
      <formula>"ja"</formula>
    </cfRule>
  </conditionalFormatting>
  <conditionalFormatting sqref="T651">
    <cfRule type="expression" dxfId="8528" priority="3691">
      <formula>AND(AND($W651&lt;TODAY(),$W651&lt;&gt;""),$X651="")</formula>
    </cfRule>
  </conditionalFormatting>
  <conditionalFormatting sqref="Z651">
    <cfRule type="dataBar" priority="3690">
      <dataBar>
        <cfvo type="min"/>
        <cfvo type="max"/>
        <color rgb="FF63C384"/>
      </dataBar>
      <extLst>
        <ext xmlns:x14="http://schemas.microsoft.com/office/spreadsheetml/2009/9/main" uri="{B025F937-C7B1-47D3-B67F-A62EFF666E3E}">
          <x14:id>{B853D4FE-0065-4032-900D-D2D9A653F1B0}</x14:id>
        </ext>
      </extLst>
    </cfRule>
  </conditionalFormatting>
  <conditionalFormatting sqref="Z651">
    <cfRule type="dataBar" priority="3689">
      <dataBar>
        <cfvo type="min"/>
        <cfvo type="max"/>
        <color rgb="FF63C384"/>
      </dataBar>
      <extLst>
        <ext xmlns:x14="http://schemas.microsoft.com/office/spreadsheetml/2009/9/main" uri="{B025F937-C7B1-47D3-B67F-A62EFF666E3E}">
          <x14:id>{259D0E5D-6A76-4936-9B19-C058BB036D9F}</x14:id>
        </ext>
      </extLst>
    </cfRule>
  </conditionalFormatting>
  <conditionalFormatting sqref="T651">
    <cfRule type="expression" dxfId="8527" priority="3688">
      <formula>AND(AND($W651&lt;TODAY(),$W651&lt;&gt;""),$X651="")</formula>
    </cfRule>
  </conditionalFormatting>
  <conditionalFormatting sqref="J651">
    <cfRule type="cellIs" dxfId="8526" priority="3687" operator="equal">
      <formula>"ja"</formula>
    </cfRule>
  </conditionalFormatting>
  <conditionalFormatting sqref="Z651">
    <cfRule type="dataBar" priority="3686">
      <dataBar>
        <cfvo type="min"/>
        <cfvo type="max"/>
        <color rgb="FF63C384"/>
      </dataBar>
      <extLst>
        <ext xmlns:x14="http://schemas.microsoft.com/office/spreadsheetml/2009/9/main" uri="{B025F937-C7B1-47D3-B67F-A62EFF666E3E}">
          <x14:id>{9E1A8D88-45BD-4A70-A3A7-8537DD9BC5A0}</x14:id>
        </ext>
      </extLst>
    </cfRule>
  </conditionalFormatting>
  <conditionalFormatting sqref="Z651">
    <cfRule type="dataBar" priority="3685">
      <dataBar>
        <cfvo type="min"/>
        <cfvo type="max"/>
        <color rgb="FF63C384"/>
      </dataBar>
      <extLst>
        <ext xmlns:x14="http://schemas.microsoft.com/office/spreadsheetml/2009/9/main" uri="{B025F937-C7B1-47D3-B67F-A62EFF666E3E}">
          <x14:id>{C58C59AD-5367-47B8-848B-CBC9A4CD5426}</x14:id>
        </ext>
      </extLst>
    </cfRule>
  </conditionalFormatting>
  <conditionalFormatting sqref="C652">
    <cfRule type="containsText" dxfId="8525" priority="3682" operator="containsText" text="Einnahmen">
      <formula>NOT(ISERROR(SEARCH("Einnahmen",C652)))</formula>
    </cfRule>
    <cfRule type="containsText" dxfId="8524" priority="3683" operator="containsText" text="Ausgaben">
      <formula>NOT(ISERROR(SEARCH("Ausgaben",C652)))</formula>
    </cfRule>
  </conditionalFormatting>
  <conditionalFormatting sqref="J652">
    <cfRule type="cellIs" dxfId="8523" priority="3681" operator="equal">
      <formula>"ja"</formula>
    </cfRule>
  </conditionalFormatting>
  <conditionalFormatting sqref="J652">
    <cfRule type="cellIs" dxfId="8522" priority="3669" operator="equal">
      <formula>"ja"</formula>
    </cfRule>
  </conditionalFormatting>
  <conditionalFormatting sqref="T652">
    <cfRule type="expression" dxfId="8521" priority="3668">
      <formula>AND(AND($W652&lt;TODAY(),$W652&lt;&gt;""),$X652="")</formula>
    </cfRule>
  </conditionalFormatting>
  <conditionalFormatting sqref="T652">
    <cfRule type="expression" dxfId="8520" priority="3680">
      <formula>AND(AND($W652&lt;TODAY(),$W652&lt;&gt;""),$X652="")</formula>
    </cfRule>
  </conditionalFormatting>
  <conditionalFormatting sqref="Z652">
    <cfRule type="dataBar" priority="3679">
      <dataBar>
        <cfvo type="min"/>
        <cfvo type="max"/>
        <color rgb="FF63C384"/>
      </dataBar>
      <extLst>
        <ext xmlns:x14="http://schemas.microsoft.com/office/spreadsheetml/2009/9/main" uri="{B025F937-C7B1-47D3-B67F-A62EFF666E3E}">
          <x14:id>{F583687F-996B-49C6-9985-5A2CF1687C50}</x14:id>
        </ext>
      </extLst>
    </cfRule>
  </conditionalFormatting>
  <conditionalFormatting sqref="Z652">
    <cfRule type="dataBar" priority="3678">
      <dataBar>
        <cfvo type="min"/>
        <cfvo type="max"/>
        <color rgb="FF63C384"/>
      </dataBar>
      <extLst>
        <ext xmlns:x14="http://schemas.microsoft.com/office/spreadsheetml/2009/9/main" uri="{B025F937-C7B1-47D3-B67F-A62EFF666E3E}">
          <x14:id>{33F2D88D-9F48-44D1-BAC9-74460E292F13}</x14:id>
        </ext>
      </extLst>
    </cfRule>
  </conditionalFormatting>
  <conditionalFormatting sqref="J652">
    <cfRule type="cellIs" dxfId="8519" priority="3677" operator="equal">
      <formula>"ja"</formula>
    </cfRule>
  </conditionalFormatting>
  <conditionalFormatting sqref="T652">
    <cfRule type="expression" dxfId="8518" priority="3676">
      <formula>AND(AND($W652&lt;TODAY(),$W652&lt;&gt;""),$X652="")</formula>
    </cfRule>
  </conditionalFormatting>
  <conditionalFormatting sqref="Z652">
    <cfRule type="dataBar" priority="3675">
      <dataBar>
        <cfvo type="min"/>
        <cfvo type="max"/>
        <color rgb="FF63C384"/>
      </dataBar>
      <extLst>
        <ext xmlns:x14="http://schemas.microsoft.com/office/spreadsheetml/2009/9/main" uri="{B025F937-C7B1-47D3-B67F-A62EFF666E3E}">
          <x14:id>{08D48FBC-EF68-47C7-B8AE-247603089371}</x14:id>
        </ext>
      </extLst>
    </cfRule>
  </conditionalFormatting>
  <conditionalFormatting sqref="Z652">
    <cfRule type="dataBar" priority="3674">
      <dataBar>
        <cfvo type="min"/>
        <cfvo type="max"/>
        <color rgb="FF63C384"/>
      </dataBar>
      <extLst>
        <ext xmlns:x14="http://schemas.microsoft.com/office/spreadsheetml/2009/9/main" uri="{B025F937-C7B1-47D3-B67F-A62EFF666E3E}">
          <x14:id>{9D6F7100-C392-4D97-9506-78615FDF8AFC}</x14:id>
        </ext>
      </extLst>
    </cfRule>
  </conditionalFormatting>
  <conditionalFormatting sqref="J652">
    <cfRule type="cellIs" dxfId="8517" priority="3673" operator="equal">
      <formula>"ja"</formula>
    </cfRule>
  </conditionalFormatting>
  <conditionalFormatting sqref="T652">
    <cfRule type="expression" dxfId="8516" priority="3672">
      <formula>AND(AND($W652&lt;TODAY(),$W652&lt;&gt;""),$X652="")</formula>
    </cfRule>
  </conditionalFormatting>
  <conditionalFormatting sqref="Z652">
    <cfRule type="dataBar" priority="3671">
      <dataBar>
        <cfvo type="min"/>
        <cfvo type="max"/>
        <color rgb="FF63C384"/>
      </dataBar>
      <extLst>
        <ext xmlns:x14="http://schemas.microsoft.com/office/spreadsheetml/2009/9/main" uri="{B025F937-C7B1-47D3-B67F-A62EFF666E3E}">
          <x14:id>{20CFCB67-F164-4F80-9B45-8704F43457EC}</x14:id>
        </ext>
      </extLst>
    </cfRule>
  </conditionalFormatting>
  <conditionalFormatting sqref="Z652">
    <cfRule type="dataBar" priority="3670">
      <dataBar>
        <cfvo type="min"/>
        <cfvo type="max"/>
        <color rgb="FF63C384"/>
      </dataBar>
      <extLst>
        <ext xmlns:x14="http://schemas.microsoft.com/office/spreadsheetml/2009/9/main" uri="{B025F937-C7B1-47D3-B67F-A62EFF666E3E}">
          <x14:id>{3D1CBCFE-6025-4192-B3D9-B241A7819567}</x14:id>
        </ext>
      </extLst>
    </cfRule>
  </conditionalFormatting>
  <conditionalFormatting sqref="Z652">
    <cfRule type="dataBar" priority="3667">
      <dataBar>
        <cfvo type="min"/>
        <cfvo type="max"/>
        <color rgb="FF63C384"/>
      </dataBar>
      <extLst>
        <ext xmlns:x14="http://schemas.microsoft.com/office/spreadsheetml/2009/9/main" uri="{B025F937-C7B1-47D3-B67F-A62EFF666E3E}">
          <x14:id>{B5EE375A-66F2-4000-B2E8-823C22E919CD}</x14:id>
        </ext>
      </extLst>
    </cfRule>
  </conditionalFormatting>
  <conditionalFormatting sqref="Z652">
    <cfRule type="dataBar" priority="3666">
      <dataBar>
        <cfvo type="min"/>
        <cfvo type="max"/>
        <color rgb="FF63C384"/>
      </dataBar>
      <extLst>
        <ext xmlns:x14="http://schemas.microsoft.com/office/spreadsheetml/2009/9/main" uri="{B025F937-C7B1-47D3-B67F-A62EFF666E3E}">
          <x14:id>{7B923603-79F5-4722-95A9-9AC52078DF2F}</x14:id>
        </ext>
      </extLst>
    </cfRule>
  </conditionalFormatting>
  <conditionalFormatting sqref="C653">
    <cfRule type="containsText" dxfId="8515" priority="3660" operator="containsText" text="Einnahmen">
      <formula>NOT(ISERROR(SEARCH("Einnahmen",C653)))</formula>
    </cfRule>
    <cfRule type="containsText" dxfId="8514" priority="3661" operator="containsText" text="Ausgaben">
      <formula>NOT(ISERROR(SEARCH("Ausgaben",C653)))</formula>
    </cfRule>
  </conditionalFormatting>
  <conditionalFormatting sqref="T653">
    <cfRule type="expression" dxfId="8513" priority="3659">
      <formula>AND(AND($W653&lt;TODAY(),$W653&lt;&gt;""),$X653="")</formula>
    </cfRule>
  </conditionalFormatting>
  <conditionalFormatting sqref="Z653">
    <cfRule type="dataBar" priority="3658">
      <dataBar>
        <cfvo type="min"/>
        <cfvo type="max"/>
        <color rgb="FF63C384"/>
      </dataBar>
      <extLst>
        <ext xmlns:x14="http://schemas.microsoft.com/office/spreadsheetml/2009/9/main" uri="{B025F937-C7B1-47D3-B67F-A62EFF666E3E}">
          <x14:id>{D54C8BCF-F6C1-48E0-818B-83831F29C4D2}</x14:id>
        </ext>
      </extLst>
    </cfRule>
  </conditionalFormatting>
  <conditionalFormatting sqref="Z653">
    <cfRule type="dataBar" priority="3657">
      <dataBar>
        <cfvo type="min"/>
        <cfvo type="max"/>
        <color rgb="FF63C384"/>
      </dataBar>
      <extLst>
        <ext xmlns:x14="http://schemas.microsoft.com/office/spreadsheetml/2009/9/main" uri="{B025F937-C7B1-47D3-B67F-A62EFF666E3E}">
          <x14:id>{36C889EE-20DA-4C55-B031-DCCAD3F9C8BF}</x14:id>
        </ext>
      </extLst>
    </cfRule>
  </conditionalFormatting>
  <conditionalFormatting sqref="J653">
    <cfRule type="cellIs" dxfId="8512" priority="3656" operator="equal">
      <formula>"ja"</formula>
    </cfRule>
  </conditionalFormatting>
  <conditionalFormatting sqref="J654">
    <cfRule type="cellIs" dxfId="8511" priority="3652" operator="equal">
      <formula>"ja"</formula>
    </cfRule>
  </conditionalFormatting>
  <conditionalFormatting sqref="T654">
    <cfRule type="expression" dxfId="8510" priority="3651">
      <formula>AND(AND($W654&lt;TODAY(),$W654&lt;&gt;""),$X654="")</formula>
    </cfRule>
  </conditionalFormatting>
  <conditionalFormatting sqref="Z654">
    <cfRule type="dataBar" priority="3650">
      <dataBar>
        <cfvo type="min"/>
        <cfvo type="max"/>
        <color rgb="FF63C384"/>
      </dataBar>
      <extLst>
        <ext xmlns:x14="http://schemas.microsoft.com/office/spreadsheetml/2009/9/main" uri="{B025F937-C7B1-47D3-B67F-A62EFF666E3E}">
          <x14:id>{ED72953F-91A6-4587-B7BE-AE5164BA4A99}</x14:id>
        </ext>
      </extLst>
    </cfRule>
  </conditionalFormatting>
  <conditionalFormatting sqref="Z654">
    <cfRule type="dataBar" priority="3649">
      <dataBar>
        <cfvo type="min"/>
        <cfvo type="max"/>
        <color rgb="FF63C384"/>
      </dataBar>
      <extLst>
        <ext xmlns:x14="http://schemas.microsoft.com/office/spreadsheetml/2009/9/main" uri="{B025F937-C7B1-47D3-B67F-A62EFF666E3E}">
          <x14:id>{3425BAA3-4DC5-4277-8B04-A6C8FD0BE723}</x14:id>
        </ext>
      </extLst>
    </cfRule>
  </conditionalFormatting>
  <conditionalFormatting sqref="C654">
    <cfRule type="containsText" dxfId="8509" priority="3647" operator="containsText" text="Einnahmen">
      <formula>NOT(ISERROR(SEARCH("Einnahmen",C654)))</formula>
    </cfRule>
    <cfRule type="containsText" dxfId="8508" priority="3648" operator="containsText" text="Ausgaben">
      <formula>NOT(ISERROR(SEARCH("Ausgaben",C654)))</formula>
    </cfRule>
  </conditionalFormatting>
  <conditionalFormatting sqref="C654">
    <cfRule type="containsText" dxfId="8507" priority="3645" operator="containsText" text="Einnahmen">
      <formula>NOT(ISERROR(SEARCH("Einnahmen",C654)))</formula>
    </cfRule>
    <cfRule type="containsText" dxfId="8506" priority="3646" operator="containsText" text="Ausgaben">
      <formula>NOT(ISERROR(SEARCH("Ausgaben",C654)))</formula>
    </cfRule>
  </conditionalFormatting>
  <conditionalFormatting sqref="J654">
    <cfRule type="cellIs" dxfId="8505" priority="3643" operator="equal">
      <formula>"ja"</formula>
    </cfRule>
  </conditionalFormatting>
  <conditionalFormatting sqref="T654">
    <cfRule type="expression" dxfId="8504" priority="3642">
      <formula>AND(AND($W654&lt;TODAY(),$W654&lt;&gt;""),$X654="")</formula>
    </cfRule>
  </conditionalFormatting>
  <conditionalFormatting sqref="Z654">
    <cfRule type="dataBar" priority="3641">
      <dataBar>
        <cfvo type="min"/>
        <cfvo type="max"/>
        <color rgb="FF63C384"/>
      </dataBar>
      <extLst>
        <ext xmlns:x14="http://schemas.microsoft.com/office/spreadsheetml/2009/9/main" uri="{B025F937-C7B1-47D3-B67F-A62EFF666E3E}">
          <x14:id>{DA803794-7192-4740-A4CF-40677CB17A99}</x14:id>
        </ext>
      </extLst>
    </cfRule>
  </conditionalFormatting>
  <conditionalFormatting sqref="Z654">
    <cfRule type="dataBar" priority="3640">
      <dataBar>
        <cfvo type="min"/>
        <cfvo type="max"/>
        <color rgb="FF63C384"/>
      </dataBar>
      <extLst>
        <ext xmlns:x14="http://schemas.microsoft.com/office/spreadsheetml/2009/9/main" uri="{B025F937-C7B1-47D3-B67F-A62EFF666E3E}">
          <x14:id>{5CBCC5CE-BE5F-40DC-B67F-EE985BB21192}</x14:id>
        </ext>
      </extLst>
    </cfRule>
  </conditionalFormatting>
  <conditionalFormatting sqref="Z655">
    <cfRule type="dataBar" priority="3639">
      <dataBar>
        <cfvo type="min"/>
        <cfvo type="max"/>
        <color rgb="FF63C384"/>
      </dataBar>
      <extLst>
        <ext xmlns:x14="http://schemas.microsoft.com/office/spreadsheetml/2009/9/main" uri="{B025F937-C7B1-47D3-B67F-A62EFF666E3E}">
          <x14:id>{0471F148-DB16-4F6D-BBC6-D22FFAC04B2F}</x14:id>
        </ext>
      </extLst>
    </cfRule>
  </conditionalFormatting>
  <conditionalFormatting sqref="Z655">
    <cfRule type="dataBar" priority="3638">
      <dataBar>
        <cfvo type="min"/>
        <cfvo type="max"/>
        <color rgb="FF63C384"/>
      </dataBar>
      <extLst>
        <ext xmlns:x14="http://schemas.microsoft.com/office/spreadsheetml/2009/9/main" uri="{B025F937-C7B1-47D3-B67F-A62EFF666E3E}">
          <x14:id>{709DF995-A020-48FF-8662-F8B1A43CC5AB}</x14:id>
        </ext>
      </extLst>
    </cfRule>
  </conditionalFormatting>
  <conditionalFormatting sqref="C655">
    <cfRule type="containsText" dxfId="8503" priority="3636" operator="containsText" text="Einnahmen">
      <formula>NOT(ISERROR(SEARCH("Einnahmen",C655)))</formula>
    </cfRule>
    <cfRule type="containsText" dxfId="8502" priority="3637" operator="containsText" text="Ausgaben">
      <formula>NOT(ISERROR(SEARCH("Ausgaben",C655)))</formula>
    </cfRule>
  </conditionalFormatting>
  <conditionalFormatting sqref="J655">
    <cfRule type="cellIs" dxfId="8501" priority="3635" operator="equal">
      <formula>"ja"</formula>
    </cfRule>
  </conditionalFormatting>
  <conditionalFormatting sqref="T655">
    <cfRule type="expression" dxfId="8500" priority="3634">
      <formula>AND(AND($W655&lt;TODAY(),$W655&lt;&gt;""),$X655="")</formula>
    </cfRule>
  </conditionalFormatting>
  <conditionalFormatting sqref="C656">
    <cfRule type="containsText" dxfId="8499" priority="3631" operator="containsText" text="Einnahmen">
      <formula>NOT(ISERROR(SEARCH("Einnahmen",C656)))</formula>
    </cfRule>
    <cfRule type="containsText" dxfId="8498" priority="3632" operator="containsText" text="Ausgaben">
      <formula>NOT(ISERROR(SEARCH("Ausgaben",C656)))</formula>
    </cfRule>
  </conditionalFormatting>
  <conditionalFormatting sqref="T656">
    <cfRule type="expression" dxfId="8497" priority="3630">
      <formula>AND(AND($W656&lt;TODAY(),$W656&lt;&gt;""),$X656="")</formula>
    </cfRule>
  </conditionalFormatting>
  <conditionalFormatting sqref="J656">
    <cfRule type="cellIs" dxfId="8496" priority="3629" operator="equal">
      <formula>"ja"</formula>
    </cfRule>
  </conditionalFormatting>
  <conditionalFormatting sqref="Z656">
    <cfRule type="dataBar" priority="3628">
      <dataBar>
        <cfvo type="min"/>
        <cfvo type="max"/>
        <color rgb="FF63C384"/>
      </dataBar>
      <extLst>
        <ext xmlns:x14="http://schemas.microsoft.com/office/spreadsheetml/2009/9/main" uri="{B025F937-C7B1-47D3-B67F-A62EFF666E3E}">
          <x14:id>{D9176763-6CE0-478E-99D0-281A95D4800B}</x14:id>
        </ext>
      </extLst>
    </cfRule>
  </conditionalFormatting>
  <conditionalFormatting sqref="Z656">
    <cfRule type="dataBar" priority="3627">
      <dataBar>
        <cfvo type="min"/>
        <cfvo type="max"/>
        <color rgb="FF63C384"/>
      </dataBar>
      <extLst>
        <ext xmlns:x14="http://schemas.microsoft.com/office/spreadsheetml/2009/9/main" uri="{B025F937-C7B1-47D3-B67F-A62EFF666E3E}">
          <x14:id>{20C815F6-4646-4ADB-9DE6-D8DF661D27B3}</x14:id>
        </ext>
      </extLst>
    </cfRule>
  </conditionalFormatting>
  <conditionalFormatting sqref="J657">
    <cfRule type="cellIs" dxfId="8495" priority="3626" operator="equal">
      <formula>"ja"</formula>
    </cfRule>
  </conditionalFormatting>
  <conditionalFormatting sqref="T657">
    <cfRule type="expression" dxfId="8494" priority="3625">
      <formula>AND(AND($W657&lt;TODAY(),$W657&lt;&gt;""),$X657="")</formula>
    </cfRule>
  </conditionalFormatting>
  <conditionalFormatting sqref="Z657">
    <cfRule type="dataBar" priority="3624">
      <dataBar>
        <cfvo type="min"/>
        <cfvo type="max"/>
        <color rgb="FF63C384"/>
      </dataBar>
      <extLst>
        <ext xmlns:x14="http://schemas.microsoft.com/office/spreadsheetml/2009/9/main" uri="{B025F937-C7B1-47D3-B67F-A62EFF666E3E}">
          <x14:id>{4370850F-4C80-461B-BBAE-92D6BEBAE953}</x14:id>
        </ext>
      </extLst>
    </cfRule>
  </conditionalFormatting>
  <conditionalFormatting sqref="Z657">
    <cfRule type="dataBar" priority="3623">
      <dataBar>
        <cfvo type="min"/>
        <cfvo type="max"/>
        <color rgb="FF63C384"/>
      </dataBar>
      <extLst>
        <ext xmlns:x14="http://schemas.microsoft.com/office/spreadsheetml/2009/9/main" uri="{B025F937-C7B1-47D3-B67F-A62EFF666E3E}">
          <x14:id>{7F7FD966-1859-4AE5-A1DB-A06EDE3AB4A0}</x14:id>
        </ext>
      </extLst>
    </cfRule>
  </conditionalFormatting>
  <conditionalFormatting sqref="C657">
    <cfRule type="containsText" dxfId="8493" priority="3621" operator="containsText" text="Einnahmen">
      <formula>NOT(ISERROR(SEARCH("Einnahmen",C657)))</formula>
    </cfRule>
    <cfRule type="containsText" dxfId="8492" priority="3622" operator="containsText" text="Ausgaben">
      <formula>NOT(ISERROR(SEARCH("Ausgaben",C657)))</formula>
    </cfRule>
  </conditionalFormatting>
  <conditionalFormatting sqref="C658">
    <cfRule type="containsText" dxfId="8491" priority="3619" operator="containsText" text="Einnahmen">
      <formula>NOT(ISERROR(SEARCH("Einnahmen",C658)))</formula>
    </cfRule>
    <cfRule type="containsText" dxfId="8490" priority="3620" operator="containsText" text="Ausgaben">
      <formula>NOT(ISERROR(SEARCH("Ausgaben",C658)))</formula>
    </cfRule>
  </conditionalFormatting>
  <conditionalFormatting sqref="T658">
    <cfRule type="expression" dxfId="8489" priority="3618">
      <formula>AND(AND($W658&lt;TODAY(),$W658&lt;&gt;""),$X658="")</formula>
    </cfRule>
  </conditionalFormatting>
  <conditionalFormatting sqref="Z658">
    <cfRule type="dataBar" priority="3617">
      <dataBar>
        <cfvo type="min"/>
        <cfvo type="max"/>
        <color rgb="FF63C384"/>
      </dataBar>
      <extLst>
        <ext xmlns:x14="http://schemas.microsoft.com/office/spreadsheetml/2009/9/main" uri="{B025F937-C7B1-47D3-B67F-A62EFF666E3E}">
          <x14:id>{DF16C273-F646-48A8-A2D4-1F77106CE3A4}</x14:id>
        </ext>
      </extLst>
    </cfRule>
  </conditionalFormatting>
  <conditionalFormatting sqref="Z658">
    <cfRule type="dataBar" priority="3616">
      <dataBar>
        <cfvo type="min"/>
        <cfvo type="max"/>
        <color rgb="FF63C384"/>
      </dataBar>
      <extLst>
        <ext xmlns:x14="http://schemas.microsoft.com/office/spreadsheetml/2009/9/main" uri="{B025F937-C7B1-47D3-B67F-A62EFF666E3E}">
          <x14:id>{35EC2F7C-86C9-4259-9F11-36BF0375B7C7}</x14:id>
        </ext>
      </extLst>
    </cfRule>
  </conditionalFormatting>
  <conditionalFormatting sqref="J658">
    <cfRule type="cellIs" dxfId="8488" priority="3615" operator="equal">
      <formula>"ja"</formula>
    </cfRule>
  </conditionalFormatting>
  <conditionalFormatting sqref="J659">
    <cfRule type="cellIs" dxfId="8487" priority="3612" operator="equal">
      <formula>"ja"</formula>
    </cfRule>
  </conditionalFormatting>
  <conditionalFormatting sqref="T659">
    <cfRule type="expression" dxfId="8486" priority="3611">
      <formula>AND(AND($W659&lt;TODAY(),$W659&lt;&gt;""),$X659="")</formula>
    </cfRule>
  </conditionalFormatting>
  <conditionalFormatting sqref="Z659">
    <cfRule type="dataBar" priority="3610">
      <dataBar>
        <cfvo type="min"/>
        <cfvo type="max"/>
        <color rgb="FF63C384"/>
      </dataBar>
      <extLst>
        <ext xmlns:x14="http://schemas.microsoft.com/office/spreadsheetml/2009/9/main" uri="{B025F937-C7B1-47D3-B67F-A62EFF666E3E}">
          <x14:id>{76556758-C5F9-45C5-B792-A19B783E36CD}</x14:id>
        </ext>
      </extLst>
    </cfRule>
  </conditionalFormatting>
  <conditionalFormatting sqref="Z659">
    <cfRule type="dataBar" priority="3609">
      <dataBar>
        <cfvo type="min"/>
        <cfvo type="max"/>
        <color rgb="FF63C384"/>
      </dataBar>
      <extLst>
        <ext xmlns:x14="http://schemas.microsoft.com/office/spreadsheetml/2009/9/main" uri="{B025F937-C7B1-47D3-B67F-A62EFF666E3E}">
          <x14:id>{8C492E93-B6B3-4050-80DA-D8B30AEF4E0B}</x14:id>
        </ext>
      </extLst>
    </cfRule>
  </conditionalFormatting>
  <conditionalFormatting sqref="J660">
    <cfRule type="cellIs" dxfId="8485" priority="3606" operator="equal">
      <formula>"ja"</formula>
    </cfRule>
  </conditionalFormatting>
  <conditionalFormatting sqref="T660">
    <cfRule type="expression" dxfId="8484" priority="3605">
      <formula>AND(AND($W660&lt;TODAY(),$W660&lt;&gt;""),$X660="")</formula>
    </cfRule>
  </conditionalFormatting>
  <conditionalFormatting sqref="Z660">
    <cfRule type="dataBar" priority="3604">
      <dataBar>
        <cfvo type="min"/>
        <cfvo type="max"/>
        <color rgb="FF63C384"/>
      </dataBar>
      <extLst>
        <ext xmlns:x14="http://schemas.microsoft.com/office/spreadsheetml/2009/9/main" uri="{B025F937-C7B1-47D3-B67F-A62EFF666E3E}">
          <x14:id>{5490E517-3D2B-4581-8DE5-611A77F62F3B}</x14:id>
        </ext>
      </extLst>
    </cfRule>
  </conditionalFormatting>
  <conditionalFormatting sqref="Z660">
    <cfRule type="dataBar" priority="3603">
      <dataBar>
        <cfvo type="min"/>
        <cfvo type="max"/>
        <color rgb="FF63C384"/>
      </dataBar>
      <extLst>
        <ext xmlns:x14="http://schemas.microsoft.com/office/spreadsheetml/2009/9/main" uri="{B025F937-C7B1-47D3-B67F-A62EFF666E3E}">
          <x14:id>{3B655B78-5EAC-40DA-B72E-5D0527485E5E}</x14:id>
        </ext>
      </extLst>
    </cfRule>
  </conditionalFormatting>
  <conditionalFormatting sqref="J661">
    <cfRule type="cellIs" dxfId="8483" priority="3601" operator="equal">
      <formula>"ja"</formula>
    </cfRule>
  </conditionalFormatting>
  <conditionalFormatting sqref="C661">
    <cfRule type="containsText" dxfId="8482" priority="3599" operator="containsText" text="Einnahmen">
      <formula>NOT(ISERROR(SEARCH("Einnahmen",C661)))</formula>
    </cfRule>
    <cfRule type="containsText" dxfId="8481" priority="3600" operator="containsText" text="Ausgaben">
      <formula>NOT(ISERROR(SEARCH("Ausgaben",C661)))</formula>
    </cfRule>
  </conditionalFormatting>
  <conditionalFormatting sqref="T661">
    <cfRule type="expression" dxfId="8480" priority="3598">
      <formula>AND(AND($W661&lt;TODAY(),$W661&lt;&gt;""),$X661="")</formula>
    </cfRule>
  </conditionalFormatting>
  <conditionalFormatting sqref="Z661">
    <cfRule type="dataBar" priority="3597">
      <dataBar>
        <cfvo type="min"/>
        <cfvo type="max"/>
        <color rgb="FF63C384"/>
      </dataBar>
      <extLst>
        <ext xmlns:x14="http://schemas.microsoft.com/office/spreadsheetml/2009/9/main" uri="{B025F937-C7B1-47D3-B67F-A62EFF666E3E}">
          <x14:id>{A2C52626-8C06-4C68-B6EE-2BE85F663187}</x14:id>
        </ext>
      </extLst>
    </cfRule>
  </conditionalFormatting>
  <conditionalFormatting sqref="Z661">
    <cfRule type="dataBar" priority="3596">
      <dataBar>
        <cfvo type="min"/>
        <cfvo type="max"/>
        <color rgb="FF63C384"/>
      </dataBar>
      <extLst>
        <ext xmlns:x14="http://schemas.microsoft.com/office/spreadsheetml/2009/9/main" uri="{B025F937-C7B1-47D3-B67F-A62EFF666E3E}">
          <x14:id>{9EE6AAB5-1CB0-4D02-B678-73F589EB0F05}</x14:id>
        </ext>
      </extLst>
    </cfRule>
  </conditionalFormatting>
  <conditionalFormatting sqref="C662">
    <cfRule type="containsText" dxfId="8479" priority="3592" operator="containsText" text="Einnahmen">
      <formula>NOT(ISERROR(SEARCH("Einnahmen",C662)))</formula>
    </cfRule>
    <cfRule type="containsText" dxfId="8478" priority="3593" operator="containsText" text="Ausgaben">
      <formula>NOT(ISERROR(SEARCH("Ausgaben",C662)))</formula>
    </cfRule>
  </conditionalFormatting>
  <conditionalFormatting sqref="T662">
    <cfRule type="expression" dxfId="8477" priority="3591">
      <formula>AND(AND($W662&lt;TODAY(),$W662&lt;&gt;""),$X662="")</formula>
    </cfRule>
  </conditionalFormatting>
  <conditionalFormatting sqref="J662">
    <cfRule type="cellIs" dxfId="8476" priority="3590" operator="equal">
      <formula>"ja"</formula>
    </cfRule>
  </conditionalFormatting>
  <conditionalFormatting sqref="Z662">
    <cfRule type="dataBar" priority="3589">
      <dataBar>
        <cfvo type="min"/>
        <cfvo type="max"/>
        <color rgb="FF63C384"/>
      </dataBar>
      <extLst>
        <ext xmlns:x14="http://schemas.microsoft.com/office/spreadsheetml/2009/9/main" uri="{B025F937-C7B1-47D3-B67F-A62EFF666E3E}">
          <x14:id>{FBF8F982-8F53-4D1B-A683-256D64CE7D18}</x14:id>
        </ext>
      </extLst>
    </cfRule>
  </conditionalFormatting>
  <conditionalFormatting sqref="Z662">
    <cfRule type="dataBar" priority="3588">
      <dataBar>
        <cfvo type="min"/>
        <cfvo type="max"/>
        <color rgb="FF63C384"/>
      </dataBar>
      <extLst>
        <ext xmlns:x14="http://schemas.microsoft.com/office/spreadsheetml/2009/9/main" uri="{B025F937-C7B1-47D3-B67F-A62EFF666E3E}">
          <x14:id>{6757B6C4-3035-4A79-A8B1-CDB013C70289}</x14:id>
        </ext>
      </extLst>
    </cfRule>
  </conditionalFormatting>
  <conditionalFormatting sqref="J663">
    <cfRule type="cellIs" dxfId="8475" priority="3586" operator="equal">
      <formula>"ja"</formula>
    </cfRule>
  </conditionalFormatting>
  <conditionalFormatting sqref="T663">
    <cfRule type="expression" dxfId="8474" priority="3583">
      <formula>AND(AND($W663&lt;TODAY(),$W663&lt;&gt;""),$X663="")</formula>
    </cfRule>
  </conditionalFormatting>
  <conditionalFormatting sqref="Z663">
    <cfRule type="dataBar" priority="3582">
      <dataBar>
        <cfvo type="min"/>
        <cfvo type="max"/>
        <color rgb="FF63C384"/>
      </dataBar>
      <extLst>
        <ext xmlns:x14="http://schemas.microsoft.com/office/spreadsheetml/2009/9/main" uri="{B025F937-C7B1-47D3-B67F-A62EFF666E3E}">
          <x14:id>{C94F19CE-8152-476F-8AD1-EBF53FE44FA2}</x14:id>
        </ext>
      </extLst>
    </cfRule>
  </conditionalFormatting>
  <conditionalFormatting sqref="Z663">
    <cfRule type="dataBar" priority="3581">
      <dataBar>
        <cfvo type="min"/>
        <cfvo type="max"/>
        <color rgb="FF63C384"/>
      </dataBar>
      <extLst>
        <ext xmlns:x14="http://schemas.microsoft.com/office/spreadsheetml/2009/9/main" uri="{B025F937-C7B1-47D3-B67F-A62EFF666E3E}">
          <x14:id>{579F241D-29BC-44CC-BC12-2469E297E977}</x14:id>
        </ext>
      </extLst>
    </cfRule>
  </conditionalFormatting>
  <conditionalFormatting sqref="T659">
    <cfRule type="expression" dxfId="8473" priority="3580">
      <formula>AND(AND($W659&lt;TODAY(),$W659&lt;&gt;""),$X659="")</formula>
    </cfRule>
  </conditionalFormatting>
  <conditionalFormatting sqref="Z659">
    <cfRule type="dataBar" priority="3579">
      <dataBar>
        <cfvo type="min"/>
        <cfvo type="max"/>
        <color rgb="FF63C384"/>
      </dataBar>
      <extLst>
        <ext xmlns:x14="http://schemas.microsoft.com/office/spreadsheetml/2009/9/main" uri="{B025F937-C7B1-47D3-B67F-A62EFF666E3E}">
          <x14:id>{EC59D547-8BD2-4D16-B599-B61621942AAE}</x14:id>
        </ext>
      </extLst>
    </cfRule>
  </conditionalFormatting>
  <conditionalFormatting sqref="Z659">
    <cfRule type="dataBar" priority="3578">
      <dataBar>
        <cfvo type="min"/>
        <cfvo type="max"/>
        <color rgb="FF63C384"/>
      </dataBar>
      <extLst>
        <ext xmlns:x14="http://schemas.microsoft.com/office/spreadsheetml/2009/9/main" uri="{B025F937-C7B1-47D3-B67F-A62EFF666E3E}">
          <x14:id>{0032421A-F09F-4A73-B85F-ABA63EF4F9DD}</x14:id>
        </ext>
      </extLst>
    </cfRule>
  </conditionalFormatting>
  <conditionalFormatting sqref="J659">
    <cfRule type="cellIs" dxfId="8472" priority="3577" operator="equal">
      <formula>"ja"</formula>
    </cfRule>
  </conditionalFormatting>
  <conditionalFormatting sqref="J660">
    <cfRule type="cellIs" dxfId="8471" priority="3576" operator="equal">
      <formula>"ja"</formula>
    </cfRule>
  </conditionalFormatting>
  <conditionalFormatting sqref="T660">
    <cfRule type="expression" dxfId="8470" priority="3575">
      <formula>AND(AND($W660&lt;TODAY(),$W660&lt;&gt;""),$X660="")</formula>
    </cfRule>
  </conditionalFormatting>
  <conditionalFormatting sqref="Z660">
    <cfRule type="dataBar" priority="3574">
      <dataBar>
        <cfvo type="min"/>
        <cfvo type="max"/>
        <color rgb="FF63C384"/>
      </dataBar>
      <extLst>
        <ext xmlns:x14="http://schemas.microsoft.com/office/spreadsheetml/2009/9/main" uri="{B025F937-C7B1-47D3-B67F-A62EFF666E3E}">
          <x14:id>{704B017E-F823-45D4-8490-1166B444E314}</x14:id>
        </ext>
      </extLst>
    </cfRule>
  </conditionalFormatting>
  <conditionalFormatting sqref="Z660">
    <cfRule type="dataBar" priority="3573">
      <dataBar>
        <cfvo type="min"/>
        <cfvo type="max"/>
        <color rgb="FF63C384"/>
      </dataBar>
      <extLst>
        <ext xmlns:x14="http://schemas.microsoft.com/office/spreadsheetml/2009/9/main" uri="{B025F937-C7B1-47D3-B67F-A62EFF666E3E}">
          <x14:id>{8A3A1F44-603D-4DE6-BD79-AFEA73697B1B}</x14:id>
        </ext>
      </extLst>
    </cfRule>
  </conditionalFormatting>
  <conditionalFormatting sqref="J661">
    <cfRule type="cellIs" dxfId="8469" priority="3572" operator="equal">
      <formula>"ja"</formula>
    </cfRule>
  </conditionalFormatting>
  <conditionalFormatting sqref="T661">
    <cfRule type="expression" dxfId="8468" priority="3571">
      <formula>AND(AND($W661&lt;TODAY(),$W661&lt;&gt;""),$X661="")</formula>
    </cfRule>
  </conditionalFormatting>
  <conditionalFormatting sqref="Z661">
    <cfRule type="dataBar" priority="3570">
      <dataBar>
        <cfvo type="min"/>
        <cfvo type="max"/>
        <color rgb="FF63C384"/>
      </dataBar>
      <extLst>
        <ext xmlns:x14="http://schemas.microsoft.com/office/spreadsheetml/2009/9/main" uri="{B025F937-C7B1-47D3-B67F-A62EFF666E3E}">
          <x14:id>{D19A0596-8D9B-4BD1-AFA1-50240469241C}</x14:id>
        </ext>
      </extLst>
    </cfRule>
  </conditionalFormatting>
  <conditionalFormatting sqref="Z661">
    <cfRule type="dataBar" priority="3569">
      <dataBar>
        <cfvo type="min"/>
        <cfvo type="max"/>
        <color rgb="FF63C384"/>
      </dataBar>
      <extLst>
        <ext xmlns:x14="http://schemas.microsoft.com/office/spreadsheetml/2009/9/main" uri="{B025F937-C7B1-47D3-B67F-A62EFF666E3E}">
          <x14:id>{C394A8E0-0FD7-45AF-BA0B-5A92E47F4868}</x14:id>
        </ext>
      </extLst>
    </cfRule>
  </conditionalFormatting>
  <conditionalFormatting sqref="J662">
    <cfRule type="cellIs" dxfId="8467" priority="3568" operator="equal">
      <formula>"ja"</formula>
    </cfRule>
  </conditionalFormatting>
  <conditionalFormatting sqref="T662">
    <cfRule type="expression" dxfId="8466" priority="3567">
      <formula>AND(AND($W662&lt;TODAY(),$W662&lt;&gt;""),$X662="")</formula>
    </cfRule>
  </conditionalFormatting>
  <conditionalFormatting sqref="Z662">
    <cfRule type="dataBar" priority="3566">
      <dataBar>
        <cfvo type="min"/>
        <cfvo type="max"/>
        <color rgb="FF63C384"/>
      </dataBar>
      <extLst>
        <ext xmlns:x14="http://schemas.microsoft.com/office/spreadsheetml/2009/9/main" uri="{B025F937-C7B1-47D3-B67F-A62EFF666E3E}">
          <x14:id>{A397E04F-5709-4A96-9B29-30453CB1E821}</x14:id>
        </ext>
      </extLst>
    </cfRule>
  </conditionalFormatting>
  <conditionalFormatting sqref="Z662">
    <cfRule type="dataBar" priority="3565">
      <dataBar>
        <cfvo type="min"/>
        <cfvo type="max"/>
        <color rgb="FF63C384"/>
      </dataBar>
      <extLst>
        <ext xmlns:x14="http://schemas.microsoft.com/office/spreadsheetml/2009/9/main" uri="{B025F937-C7B1-47D3-B67F-A62EFF666E3E}">
          <x14:id>{3940564D-EF95-4766-8C3D-7341A6FD3FDB}</x14:id>
        </ext>
      </extLst>
    </cfRule>
  </conditionalFormatting>
  <conditionalFormatting sqref="T663">
    <cfRule type="expression" dxfId="8465" priority="3563">
      <formula>AND(AND($W663&lt;TODAY(),$W663&lt;&gt;""),$X663="")</formula>
    </cfRule>
  </conditionalFormatting>
  <conditionalFormatting sqref="J663">
    <cfRule type="cellIs" dxfId="8464" priority="3562" operator="equal">
      <formula>"ja"</formula>
    </cfRule>
  </conditionalFormatting>
  <conditionalFormatting sqref="Z663">
    <cfRule type="dataBar" priority="3561">
      <dataBar>
        <cfvo type="min"/>
        <cfvo type="max"/>
        <color rgb="FF63C384"/>
      </dataBar>
      <extLst>
        <ext xmlns:x14="http://schemas.microsoft.com/office/spreadsheetml/2009/9/main" uri="{B025F937-C7B1-47D3-B67F-A62EFF666E3E}">
          <x14:id>{FA5115A2-2C00-4C77-8A95-6C0DCABEC76C}</x14:id>
        </ext>
      </extLst>
    </cfRule>
  </conditionalFormatting>
  <conditionalFormatting sqref="Z663">
    <cfRule type="dataBar" priority="3560">
      <dataBar>
        <cfvo type="min"/>
        <cfvo type="max"/>
        <color rgb="FF63C384"/>
      </dataBar>
      <extLst>
        <ext xmlns:x14="http://schemas.microsoft.com/office/spreadsheetml/2009/9/main" uri="{B025F937-C7B1-47D3-B67F-A62EFF666E3E}">
          <x14:id>{B3E9B723-09EE-4A58-9177-697E9F54FDAA}</x14:id>
        </ext>
      </extLst>
    </cfRule>
  </conditionalFormatting>
  <conditionalFormatting sqref="J664">
    <cfRule type="cellIs" dxfId="8463" priority="3559" operator="equal">
      <formula>"ja"</formula>
    </cfRule>
  </conditionalFormatting>
  <conditionalFormatting sqref="T664">
    <cfRule type="expression" dxfId="8462" priority="3558">
      <formula>AND(AND($W664&lt;TODAY(),$W664&lt;&gt;""),$X664="")</formula>
    </cfRule>
  </conditionalFormatting>
  <conditionalFormatting sqref="Z664">
    <cfRule type="dataBar" priority="3557">
      <dataBar>
        <cfvo type="min"/>
        <cfvo type="max"/>
        <color rgb="FF63C384"/>
      </dataBar>
      <extLst>
        <ext xmlns:x14="http://schemas.microsoft.com/office/spreadsheetml/2009/9/main" uri="{B025F937-C7B1-47D3-B67F-A62EFF666E3E}">
          <x14:id>{56A0470D-0DA3-4787-A9B5-9891679B417A}</x14:id>
        </ext>
      </extLst>
    </cfRule>
  </conditionalFormatting>
  <conditionalFormatting sqref="Z664">
    <cfRule type="dataBar" priority="3556">
      <dataBar>
        <cfvo type="min"/>
        <cfvo type="max"/>
        <color rgb="FF63C384"/>
      </dataBar>
      <extLst>
        <ext xmlns:x14="http://schemas.microsoft.com/office/spreadsheetml/2009/9/main" uri="{B025F937-C7B1-47D3-B67F-A62EFF666E3E}">
          <x14:id>{89FCBB78-F919-4ED1-9AEC-D61C4C5AAD10}</x14:id>
        </ext>
      </extLst>
    </cfRule>
  </conditionalFormatting>
  <conditionalFormatting sqref="C664">
    <cfRule type="containsText" dxfId="8461" priority="3554" operator="containsText" text="Einnahmen">
      <formula>NOT(ISERROR(SEARCH("Einnahmen",C664)))</formula>
    </cfRule>
    <cfRule type="containsText" dxfId="8460" priority="3555" operator="containsText" text="Ausgaben">
      <formula>NOT(ISERROR(SEARCH("Ausgaben",C664)))</formula>
    </cfRule>
  </conditionalFormatting>
  <conditionalFormatting sqref="C663">
    <cfRule type="containsText" dxfId="8459" priority="3552" operator="containsText" text="Einnahmen">
      <formula>NOT(ISERROR(SEARCH("Einnahmen",C663)))</formula>
    </cfRule>
    <cfRule type="containsText" dxfId="8458" priority="3553" operator="containsText" text="Ausgaben">
      <formula>NOT(ISERROR(SEARCH("Ausgaben",C663)))</formula>
    </cfRule>
  </conditionalFormatting>
  <conditionalFormatting sqref="C659">
    <cfRule type="containsText" dxfId="8457" priority="3550" operator="containsText" text="Einnahmen">
      <formula>NOT(ISERROR(SEARCH("Einnahmen",C659)))</formula>
    </cfRule>
    <cfRule type="containsText" dxfId="8456" priority="3551" operator="containsText" text="Ausgaben">
      <formula>NOT(ISERROR(SEARCH("Ausgaben",C659)))</formula>
    </cfRule>
  </conditionalFormatting>
  <conditionalFormatting sqref="C660">
    <cfRule type="containsText" dxfId="8455" priority="3548" operator="containsText" text="Einnahmen">
      <formula>NOT(ISERROR(SEARCH("Einnahmen",C660)))</formula>
    </cfRule>
    <cfRule type="containsText" dxfId="8454" priority="3549" operator="containsText" text="Ausgaben">
      <formula>NOT(ISERROR(SEARCH("Ausgaben",C660)))</formula>
    </cfRule>
  </conditionalFormatting>
  <conditionalFormatting sqref="T665">
    <cfRule type="expression" dxfId="8453" priority="3547">
      <formula>AND(AND($W665&lt;TODAY(),$W665&lt;&gt;""),$X665="")</formula>
    </cfRule>
  </conditionalFormatting>
  <conditionalFormatting sqref="Z665">
    <cfRule type="dataBar" priority="3546">
      <dataBar>
        <cfvo type="min"/>
        <cfvo type="max"/>
        <color rgb="FF63C384"/>
      </dataBar>
      <extLst>
        <ext xmlns:x14="http://schemas.microsoft.com/office/spreadsheetml/2009/9/main" uri="{B025F937-C7B1-47D3-B67F-A62EFF666E3E}">
          <x14:id>{D2FB1FC1-FF65-4821-83AB-F882F1954415}</x14:id>
        </ext>
      </extLst>
    </cfRule>
  </conditionalFormatting>
  <conditionalFormatting sqref="Z665">
    <cfRule type="dataBar" priority="3545">
      <dataBar>
        <cfvo type="min"/>
        <cfvo type="max"/>
        <color rgb="FF63C384"/>
      </dataBar>
      <extLst>
        <ext xmlns:x14="http://schemas.microsoft.com/office/spreadsheetml/2009/9/main" uri="{B025F937-C7B1-47D3-B67F-A62EFF666E3E}">
          <x14:id>{A40EEE4C-DCBB-4004-875E-AA8FF5FEC597}</x14:id>
        </ext>
      </extLst>
    </cfRule>
  </conditionalFormatting>
  <conditionalFormatting sqref="T665">
    <cfRule type="expression" dxfId="8452" priority="3544">
      <formula>AND(AND($W665&lt;TODAY(),$W665&lt;&gt;""),$X665="")</formula>
    </cfRule>
  </conditionalFormatting>
  <conditionalFormatting sqref="Z665">
    <cfRule type="dataBar" priority="3543">
      <dataBar>
        <cfvo type="min"/>
        <cfvo type="max"/>
        <color rgb="FF63C384"/>
      </dataBar>
      <extLst>
        <ext xmlns:x14="http://schemas.microsoft.com/office/spreadsheetml/2009/9/main" uri="{B025F937-C7B1-47D3-B67F-A62EFF666E3E}">
          <x14:id>{7B5313BF-674E-4053-9712-DCE12C6C6931}</x14:id>
        </ext>
      </extLst>
    </cfRule>
  </conditionalFormatting>
  <conditionalFormatting sqref="Z665">
    <cfRule type="dataBar" priority="3542">
      <dataBar>
        <cfvo type="min"/>
        <cfvo type="max"/>
        <color rgb="FF63C384"/>
      </dataBar>
      <extLst>
        <ext xmlns:x14="http://schemas.microsoft.com/office/spreadsheetml/2009/9/main" uri="{B025F937-C7B1-47D3-B67F-A62EFF666E3E}">
          <x14:id>{E41A0CB7-CB96-4F17-B0AC-337E1DD3D323}</x14:id>
        </ext>
      </extLst>
    </cfRule>
  </conditionalFormatting>
  <conditionalFormatting sqref="T666">
    <cfRule type="expression" dxfId="8451" priority="3541">
      <formula>AND(AND($W666&lt;TODAY(),$W666&lt;&gt;""),$X666="")</formula>
    </cfRule>
  </conditionalFormatting>
  <conditionalFormatting sqref="Z666">
    <cfRule type="dataBar" priority="3540">
      <dataBar>
        <cfvo type="min"/>
        <cfvo type="max"/>
        <color rgb="FF63C384"/>
      </dataBar>
      <extLst>
        <ext xmlns:x14="http://schemas.microsoft.com/office/spreadsheetml/2009/9/main" uri="{B025F937-C7B1-47D3-B67F-A62EFF666E3E}">
          <x14:id>{31E0C261-D90C-4F19-9123-F63981F3FBEC}</x14:id>
        </ext>
      </extLst>
    </cfRule>
  </conditionalFormatting>
  <conditionalFormatting sqref="Z666">
    <cfRule type="dataBar" priority="3539">
      <dataBar>
        <cfvo type="min"/>
        <cfvo type="max"/>
        <color rgb="FF63C384"/>
      </dataBar>
      <extLst>
        <ext xmlns:x14="http://schemas.microsoft.com/office/spreadsheetml/2009/9/main" uri="{B025F937-C7B1-47D3-B67F-A62EFF666E3E}">
          <x14:id>{048DC636-A7A7-4253-A34F-23D233AC9837}</x14:id>
        </ext>
      </extLst>
    </cfRule>
  </conditionalFormatting>
  <conditionalFormatting sqref="T666">
    <cfRule type="expression" dxfId="8450" priority="3538">
      <formula>AND(AND($W666&lt;TODAY(),$W666&lt;&gt;""),$X666="")</formula>
    </cfRule>
  </conditionalFormatting>
  <conditionalFormatting sqref="Z666">
    <cfRule type="dataBar" priority="3537">
      <dataBar>
        <cfvo type="min"/>
        <cfvo type="max"/>
        <color rgb="FF63C384"/>
      </dataBar>
      <extLst>
        <ext xmlns:x14="http://schemas.microsoft.com/office/spreadsheetml/2009/9/main" uri="{B025F937-C7B1-47D3-B67F-A62EFF666E3E}">
          <x14:id>{AB93CB57-9B94-4B1A-A9FC-EC1A2705C376}</x14:id>
        </ext>
      </extLst>
    </cfRule>
  </conditionalFormatting>
  <conditionalFormatting sqref="Z666">
    <cfRule type="dataBar" priority="3536">
      <dataBar>
        <cfvo type="min"/>
        <cfvo type="max"/>
        <color rgb="FF63C384"/>
      </dataBar>
      <extLst>
        <ext xmlns:x14="http://schemas.microsoft.com/office/spreadsheetml/2009/9/main" uri="{B025F937-C7B1-47D3-B67F-A62EFF666E3E}">
          <x14:id>{ABD78328-AB66-4CDE-9D33-C95F37A87B9D}</x14:id>
        </ext>
      </extLst>
    </cfRule>
  </conditionalFormatting>
  <conditionalFormatting sqref="J548">
    <cfRule type="cellIs" dxfId="8449" priority="3534" operator="equal">
      <formula>"ja"</formula>
    </cfRule>
  </conditionalFormatting>
  <conditionalFormatting sqref="J534">
    <cfRule type="cellIs" dxfId="8448" priority="3533" operator="equal">
      <formula>"ja"</formula>
    </cfRule>
  </conditionalFormatting>
  <conditionalFormatting sqref="J517">
    <cfRule type="cellIs" dxfId="8447" priority="3532" operator="equal">
      <formula>"ja"</formula>
    </cfRule>
  </conditionalFormatting>
  <conditionalFormatting sqref="J502">
    <cfRule type="cellIs" dxfId="8446" priority="3531" operator="equal">
      <formula>"ja"</formula>
    </cfRule>
  </conditionalFormatting>
  <conditionalFormatting sqref="J479">
    <cfRule type="cellIs" dxfId="8445" priority="3530" operator="equal">
      <formula>"ja"</formula>
    </cfRule>
  </conditionalFormatting>
  <conditionalFormatting sqref="C667">
    <cfRule type="containsText" dxfId="8444" priority="3528" operator="containsText" text="Einnahmen">
      <formula>NOT(ISERROR(SEARCH("Einnahmen",C667)))</formula>
    </cfRule>
    <cfRule type="containsText" dxfId="8443" priority="3529" operator="containsText" text="Ausgaben">
      <formula>NOT(ISERROR(SEARCH("Ausgaben",C667)))</formula>
    </cfRule>
  </conditionalFormatting>
  <conditionalFormatting sqref="J667">
    <cfRule type="cellIs" dxfId="8442" priority="3527" operator="equal">
      <formula>"ja"</formula>
    </cfRule>
  </conditionalFormatting>
  <conditionalFormatting sqref="T667">
    <cfRule type="expression" dxfId="8441" priority="3526">
      <formula>AND(AND($W667&lt;TODAY(),$W667&lt;&gt;""),$X667="")</formula>
    </cfRule>
  </conditionalFormatting>
  <conditionalFormatting sqref="Z667">
    <cfRule type="dataBar" priority="3525">
      <dataBar>
        <cfvo type="min"/>
        <cfvo type="max"/>
        <color rgb="FF63C384"/>
      </dataBar>
      <extLst>
        <ext xmlns:x14="http://schemas.microsoft.com/office/spreadsheetml/2009/9/main" uri="{B025F937-C7B1-47D3-B67F-A62EFF666E3E}">
          <x14:id>{FC889D9E-19C8-46A4-ADE6-389D78C30FC4}</x14:id>
        </ext>
      </extLst>
    </cfRule>
  </conditionalFormatting>
  <conditionalFormatting sqref="Z667">
    <cfRule type="dataBar" priority="3524">
      <dataBar>
        <cfvo type="min"/>
        <cfvo type="max"/>
        <color rgb="FF63C384"/>
      </dataBar>
      <extLst>
        <ext xmlns:x14="http://schemas.microsoft.com/office/spreadsheetml/2009/9/main" uri="{B025F937-C7B1-47D3-B67F-A62EFF666E3E}">
          <x14:id>{069A2D1D-AD72-4859-952A-A5970135CAA9}</x14:id>
        </ext>
      </extLst>
    </cfRule>
  </conditionalFormatting>
  <conditionalFormatting sqref="T667">
    <cfRule type="expression" dxfId="8440" priority="3523">
      <formula>AND(AND($W667&lt;TODAY(),$W667&lt;&gt;""),$X667="")</formula>
    </cfRule>
  </conditionalFormatting>
  <conditionalFormatting sqref="J667">
    <cfRule type="cellIs" dxfId="8439" priority="3522" operator="equal">
      <formula>"ja"</formula>
    </cfRule>
  </conditionalFormatting>
  <conditionalFormatting sqref="Z667">
    <cfRule type="dataBar" priority="3521">
      <dataBar>
        <cfvo type="min"/>
        <cfvo type="max"/>
        <color rgb="FF63C384"/>
      </dataBar>
      <extLst>
        <ext xmlns:x14="http://schemas.microsoft.com/office/spreadsheetml/2009/9/main" uri="{B025F937-C7B1-47D3-B67F-A62EFF666E3E}">
          <x14:id>{5B007BBB-C4B0-4BFA-B119-304006E88AD1}</x14:id>
        </ext>
      </extLst>
    </cfRule>
  </conditionalFormatting>
  <conditionalFormatting sqref="Z667">
    <cfRule type="dataBar" priority="3520">
      <dataBar>
        <cfvo type="min"/>
        <cfvo type="max"/>
        <color rgb="FF63C384"/>
      </dataBar>
      <extLst>
        <ext xmlns:x14="http://schemas.microsoft.com/office/spreadsheetml/2009/9/main" uri="{B025F937-C7B1-47D3-B67F-A62EFF666E3E}">
          <x14:id>{A4B7D7E5-A70A-4C18-A885-67EF73891791}</x14:id>
        </ext>
      </extLst>
    </cfRule>
  </conditionalFormatting>
  <conditionalFormatting sqref="J668">
    <cfRule type="cellIs" dxfId="8438" priority="3518" operator="equal">
      <formula>"ja"</formula>
    </cfRule>
  </conditionalFormatting>
  <conditionalFormatting sqref="C668">
    <cfRule type="containsText" dxfId="8437" priority="3516" operator="containsText" text="Einnahmen">
      <formula>NOT(ISERROR(SEARCH("Einnahmen",C668)))</formula>
    </cfRule>
    <cfRule type="containsText" dxfId="8436" priority="3517" operator="containsText" text="Ausgaben">
      <formula>NOT(ISERROR(SEARCH("Ausgaben",C668)))</formula>
    </cfRule>
  </conditionalFormatting>
  <conditionalFormatting sqref="T668">
    <cfRule type="expression" dxfId="8435" priority="3515">
      <formula>AND(AND($W668&lt;TODAY(),$W668&lt;&gt;""),$X668="")</formula>
    </cfRule>
  </conditionalFormatting>
  <conditionalFormatting sqref="Z668">
    <cfRule type="dataBar" priority="3514">
      <dataBar>
        <cfvo type="min"/>
        <cfvo type="max"/>
        <color rgb="FF63C384"/>
      </dataBar>
      <extLst>
        <ext xmlns:x14="http://schemas.microsoft.com/office/spreadsheetml/2009/9/main" uri="{B025F937-C7B1-47D3-B67F-A62EFF666E3E}">
          <x14:id>{713E67DA-B0F4-45E2-9F89-1D20CAFCB521}</x14:id>
        </ext>
      </extLst>
    </cfRule>
  </conditionalFormatting>
  <conditionalFormatting sqref="Z668">
    <cfRule type="dataBar" priority="3513">
      <dataBar>
        <cfvo type="min"/>
        <cfvo type="max"/>
        <color rgb="FF63C384"/>
      </dataBar>
      <extLst>
        <ext xmlns:x14="http://schemas.microsoft.com/office/spreadsheetml/2009/9/main" uri="{B025F937-C7B1-47D3-B67F-A62EFF666E3E}">
          <x14:id>{599723C4-FD61-4717-B8F3-1E557ACAA8CA}</x14:id>
        </ext>
      </extLst>
    </cfRule>
  </conditionalFormatting>
  <conditionalFormatting sqref="J669">
    <cfRule type="cellIs" dxfId="8434" priority="3512" operator="equal">
      <formula>"ja"</formula>
    </cfRule>
  </conditionalFormatting>
  <conditionalFormatting sqref="T669">
    <cfRule type="expression" dxfId="8433" priority="3511">
      <formula>AND(AND($W669&lt;TODAY(),$W669&lt;&gt;""),$X669="")</formula>
    </cfRule>
  </conditionalFormatting>
  <conditionalFormatting sqref="Z669">
    <cfRule type="dataBar" priority="3510">
      <dataBar>
        <cfvo type="min"/>
        <cfvo type="max"/>
        <color rgb="FF63C384"/>
      </dataBar>
      <extLst>
        <ext xmlns:x14="http://schemas.microsoft.com/office/spreadsheetml/2009/9/main" uri="{B025F937-C7B1-47D3-B67F-A62EFF666E3E}">
          <x14:id>{BCA2235B-06F5-4E2F-A11B-30AF33A589CB}</x14:id>
        </ext>
      </extLst>
    </cfRule>
  </conditionalFormatting>
  <conditionalFormatting sqref="Z669">
    <cfRule type="dataBar" priority="3509">
      <dataBar>
        <cfvo type="min"/>
        <cfvo type="max"/>
        <color rgb="FF63C384"/>
      </dataBar>
      <extLst>
        <ext xmlns:x14="http://schemas.microsoft.com/office/spreadsheetml/2009/9/main" uri="{B025F937-C7B1-47D3-B67F-A62EFF666E3E}">
          <x14:id>{770B39CF-B18F-4B7F-AC80-9DDE4C4611F1}</x14:id>
        </ext>
      </extLst>
    </cfRule>
  </conditionalFormatting>
  <conditionalFormatting sqref="C669">
    <cfRule type="containsText" dxfId="8432" priority="3507" operator="containsText" text="Einnahmen">
      <formula>NOT(ISERROR(SEARCH("Einnahmen",C669)))</formula>
    </cfRule>
    <cfRule type="containsText" dxfId="8431" priority="3508" operator="containsText" text="Ausgaben">
      <formula>NOT(ISERROR(SEARCH("Ausgaben",C669)))</formula>
    </cfRule>
  </conditionalFormatting>
  <conditionalFormatting sqref="T670">
    <cfRule type="expression" dxfId="8430" priority="3506">
      <formula>AND(AND($W670&lt;TODAY(),$W670&lt;&gt;""),$X670="")</formula>
    </cfRule>
  </conditionalFormatting>
  <conditionalFormatting sqref="Z670">
    <cfRule type="dataBar" priority="3505">
      <dataBar>
        <cfvo type="min"/>
        <cfvo type="max"/>
        <color rgb="FF63C384"/>
      </dataBar>
      <extLst>
        <ext xmlns:x14="http://schemas.microsoft.com/office/spreadsheetml/2009/9/main" uri="{B025F937-C7B1-47D3-B67F-A62EFF666E3E}">
          <x14:id>{582D5AFF-6205-4522-8151-F3759295C55D}</x14:id>
        </ext>
      </extLst>
    </cfRule>
  </conditionalFormatting>
  <conditionalFormatting sqref="Z670">
    <cfRule type="dataBar" priority="3504">
      <dataBar>
        <cfvo type="min"/>
        <cfvo type="max"/>
        <color rgb="FF63C384"/>
      </dataBar>
      <extLst>
        <ext xmlns:x14="http://schemas.microsoft.com/office/spreadsheetml/2009/9/main" uri="{B025F937-C7B1-47D3-B67F-A62EFF666E3E}">
          <x14:id>{D5EDC331-F584-4728-BE24-2A7A78460254}</x14:id>
        </ext>
      </extLst>
    </cfRule>
  </conditionalFormatting>
  <conditionalFormatting sqref="J670">
    <cfRule type="cellIs" dxfId="8429" priority="3503" operator="equal">
      <formula>"ja"</formula>
    </cfRule>
  </conditionalFormatting>
  <conditionalFormatting sqref="C670">
    <cfRule type="containsText" dxfId="8428" priority="3501" operator="containsText" text="Einnahmen">
      <formula>NOT(ISERROR(SEARCH("Einnahmen",C670)))</formula>
    </cfRule>
    <cfRule type="containsText" dxfId="8427" priority="3502" operator="containsText" text="Ausgaben">
      <formula>NOT(ISERROR(SEARCH("Ausgaben",C670)))</formula>
    </cfRule>
  </conditionalFormatting>
  <conditionalFormatting sqref="T671">
    <cfRule type="expression" dxfId="8426" priority="3499">
      <formula>AND(AND($W671&lt;TODAY(),$W671&lt;&gt;""),$X671="")</formula>
    </cfRule>
  </conditionalFormatting>
  <conditionalFormatting sqref="C671">
    <cfRule type="containsText" dxfId="8425" priority="3497" operator="containsText" text="Einnahmen">
      <formula>NOT(ISERROR(SEARCH("Einnahmen",C671)))</formula>
    </cfRule>
    <cfRule type="containsText" dxfId="8424" priority="3498" operator="containsText" text="Ausgaben">
      <formula>NOT(ISERROR(SEARCH("Ausgaben",C671)))</formula>
    </cfRule>
  </conditionalFormatting>
  <conditionalFormatting sqref="J671">
    <cfRule type="cellIs" dxfId="8423" priority="3495" operator="equal">
      <formula>"ja"</formula>
    </cfRule>
  </conditionalFormatting>
  <conditionalFormatting sqref="Z671">
    <cfRule type="dataBar" priority="3494">
      <dataBar>
        <cfvo type="min"/>
        <cfvo type="max"/>
        <color rgb="FF63C384"/>
      </dataBar>
      <extLst>
        <ext xmlns:x14="http://schemas.microsoft.com/office/spreadsheetml/2009/9/main" uri="{B025F937-C7B1-47D3-B67F-A62EFF666E3E}">
          <x14:id>{99239DD2-61DC-464C-9A7C-024D7884AF3D}</x14:id>
        </ext>
      </extLst>
    </cfRule>
  </conditionalFormatting>
  <conditionalFormatting sqref="Z671">
    <cfRule type="dataBar" priority="3493">
      <dataBar>
        <cfvo type="min"/>
        <cfvo type="max"/>
        <color rgb="FF63C384"/>
      </dataBar>
      <extLst>
        <ext xmlns:x14="http://schemas.microsoft.com/office/spreadsheetml/2009/9/main" uri="{B025F937-C7B1-47D3-B67F-A62EFF666E3E}">
          <x14:id>{B80E044A-96E7-42CF-8224-CB0DFCEB6F74}</x14:id>
        </ext>
      </extLst>
    </cfRule>
  </conditionalFormatting>
  <conditionalFormatting sqref="C672">
    <cfRule type="containsText" dxfId="8422" priority="3491" operator="containsText" text="Einnahmen">
      <formula>NOT(ISERROR(SEARCH("Einnahmen",C672)))</formula>
    </cfRule>
    <cfRule type="containsText" dxfId="8421" priority="3492" operator="containsText" text="Ausgaben">
      <formula>NOT(ISERROR(SEARCH("Ausgaben",C672)))</formula>
    </cfRule>
  </conditionalFormatting>
  <conditionalFormatting sqref="T672">
    <cfRule type="expression" dxfId="8420" priority="3490">
      <formula>AND(AND($W672&lt;TODAY(),$W672&lt;&gt;""),$X672="")</formula>
    </cfRule>
  </conditionalFormatting>
  <conditionalFormatting sqref="Z672">
    <cfRule type="dataBar" priority="3489">
      <dataBar>
        <cfvo type="min"/>
        <cfvo type="max"/>
        <color rgb="FF63C384"/>
      </dataBar>
      <extLst>
        <ext xmlns:x14="http://schemas.microsoft.com/office/spreadsheetml/2009/9/main" uri="{B025F937-C7B1-47D3-B67F-A62EFF666E3E}">
          <x14:id>{0C8E3DC9-CF52-4899-B7A4-651D9A70F0B3}</x14:id>
        </ext>
      </extLst>
    </cfRule>
  </conditionalFormatting>
  <conditionalFormatting sqref="Z672">
    <cfRule type="dataBar" priority="3488">
      <dataBar>
        <cfvo type="min"/>
        <cfvo type="max"/>
        <color rgb="FF63C384"/>
      </dataBar>
      <extLst>
        <ext xmlns:x14="http://schemas.microsoft.com/office/spreadsheetml/2009/9/main" uri="{B025F937-C7B1-47D3-B67F-A62EFF666E3E}">
          <x14:id>{4BDF6141-21AF-482D-93B8-02210B8D27AF}</x14:id>
        </ext>
      </extLst>
    </cfRule>
  </conditionalFormatting>
  <conditionalFormatting sqref="J672">
    <cfRule type="cellIs" dxfId="8419" priority="3487" operator="equal">
      <formula>"ja"</formula>
    </cfRule>
  </conditionalFormatting>
  <conditionalFormatting sqref="Z673">
    <cfRule type="dataBar" priority="3462">
      <dataBar>
        <cfvo type="min"/>
        <cfvo type="max"/>
        <color rgb="FF63C384"/>
      </dataBar>
      <extLst>
        <ext xmlns:x14="http://schemas.microsoft.com/office/spreadsheetml/2009/9/main" uri="{B025F937-C7B1-47D3-B67F-A62EFF666E3E}">
          <x14:id>{631EA222-73EB-4BB6-8ED9-975DBEA4503F}</x14:id>
        </ext>
      </extLst>
    </cfRule>
  </conditionalFormatting>
  <conditionalFormatting sqref="Z673">
    <cfRule type="dataBar" priority="3461">
      <dataBar>
        <cfvo type="min"/>
        <cfvo type="max"/>
        <color rgb="FF63C384"/>
      </dataBar>
      <extLst>
        <ext xmlns:x14="http://schemas.microsoft.com/office/spreadsheetml/2009/9/main" uri="{B025F937-C7B1-47D3-B67F-A62EFF666E3E}">
          <x14:id>{0D2C79F4-0AFC-4959-B4F8-6180BE55AD8A}</x14:id>
        </ext>
      </extLst>
    </cfRule>
  </conditionalFormatting>
  <conditionalFormatting sqref="C673">
    <cfRule type="containsText" dxfId="8418" priority="3459" operator="containsText" text="Einnahmen">
      <formula>NOT(ISERROR(SEARCH("Einnahmen",C673)))</formula>
    </cfRule>
    <cfRule type="containsText" dxfId="8417" priority="3460" operator="containsText" text="Ausgaben">
      <formula>NOT(ISERROR(SEARCH("Ausgaben",C673)))</formula>
    </cfRule>
  </conditionalFormatting>
  <conditionalFormatting sqref="J673">
    <cfRule type="cellIs" dxfId="8416" priority="3458" operator="equal">
      <formula>"ja"</formula>
    </cfRule>
  </conditionalFormatting>
  <conditionalFormatting sqref="T673">
    <cfRule type="expression" dxfId="8415" priority="3457">
      <formula>AND(AND($W673&lt;TODAY(),$W673&lt;&gt;""),$X673="")</formula>
    </cfRule>
  </conditionalFormatting>
  <conditionalFormatting sqref="C674">
    <cfRule type="containsText" dxfId="8414" priority="3455" operator="containsText" text="Einnahmen">
      <formula>NOT(ISERROR(SEARCH("Einnahmen",C674)))</formula>
    </cfRule>
    <cfRule type="containsText" dxfId="8413" priority="3456" operator="containsText" text="Ausgaben">
      <formula>NOT(ISERROR(SEARCH("Ausgaben",C674)))</formula>
    </cfRule>
  </conditionalFormatting>
  <conditionalFormatting sqref="J674">
    <cfRule type="cellIs" dxfId="8412" priority="3454" operator="equal">
      <formula>"ja"</formula>
    </cfRule>
  </conditionalFormatting>
  <conditionalFormatting sqref="J674">
    <cfRule type="cellIs" dxfId="8411" priority="3442" operator="equal">
      <formula>"ja"</formula>
    </cfRule>
  </conditionalFormatting>
  <conditionalFormatting sqref="T674">
    <cfRule type="expression" dxfId="8410" priority="3441">
      <formula>AND(AND($W674&lt;TODAY(),$W674&lt;&gt;""),$X674="")</formula>
    </cfRule>
  </conditionalFormatting>
  <conditionalFormatting sqref="T674">
    <cfRule type="expression" dxfId="8409" priority="3453">
      <formula>AND(AND($W674&lt;TODAY(),$W674&lt;&gt;""),$X674="")</formula>
    </cfRule>
  </conditionalFormatting>
  <conditionalFormatting sqref="Z674">
    <cfRule type="dataBar" priority="3452">
      <dataBar>
        <cfvo type="min"/>
        <cfvo type="max"/>
        <color rgb="FF63C384"/>
      </dataBar>
      <extLst>
        <ext xmlns:x14="http://schemas.microsoft.com/office/spreadsheetml/2009/9/main" uri="{B025F937-C7B1-47D3-B67F-A62EFF666E3E}">
          <x14:id>{41CD139A-9E3F-4155-96D6-C890F6A1AE1F}</x14:id>
        </ext>
      </extLst>
    </cfRule>
  </conditionalFormatting>
  <conditionalFormatting sqref="Z674">
    <cfRule type="dataBar" priority="3451">
      <dataBar>
        <cfvo type="min"/>
        <cfvo type="max"/>
        <color rgb="FF63C384"/>
      </dataBar>
      <extLst>
        <ext xmlns:x14="http://schemas.microsoft.com/office/spreadsheetml/2009/9/main" uri="{B025F937-C7B1-47D3-B67F-A62EFF666E3E}">
          <x14:id>{160ADF10-5FBA-45D4-80BB-4DC6B859FEB8}</x14:id>
        </ext>
      </extLst>
    </cfRule>
  </conditionalFormatting>
  <conditionalFormatting sqref="J674">
    <cfRule type="cellIs" dxfId="8408" priority="3450" operator="equal">
      <formula>"ja"</formula>
    </cfRule>
  </conditionalFormatting>
  <conditionalFormatting sqref="T674">
    <cfRule type="expression" dxfId="8407" priority="3449">
      <formula>AND(AND($W674&lt;TODAY(),$W674&lt;&gt;""),$X674="")</formula>
    </cfRule>
  </conditionalFormatting>
  <conditionalFormatting sqref="Z674">
    <cfRule type="dataBar" priority="3448">
      <dataBar>
        <cfvo type="min"/>
        <cfvo type="max"/>
        <color rgb="FF63C384"/>
      </dataBar>
      <extLst>
        <ext xmlns:x14="http://schemas.microsoft.com/office/spreadsheetml/2009/9/main" uri="{B025F937-C7B1-47D3-B67F-A62EFF666E3E}">
          <x14:id>{48451854-0E15-445A-B863-DA756800589C}</x14:id>
        </ext>
      </extLst>
    </cfRule>
  </conditionalFormatting>
  <conditionalFormatting sqref="Z674">
    <cfRule type="dataBar" priority="3447">
      <dataBar>
        <cfvo type="min"/>
        <cfvo type="max"/>
        <color rgb="FF63C384"/>
      </dataBar>
      <extLst>
        <ext xmlns:x14="http://schemas.microsoft.com/office/spreadsheetml/2009/9/main" uri="{B025F937-C7B1-47D3-B67F-A62EFF666E3E}">
          <x14:id>{9F428587-7162-4AC3-BBC2-E551B9526CE5}</x14:id>
        </ext>
      </extLst>
    </cfRule>
  </conditionalFormatting>
  <conditionalFormatting sqref="J674">
    <cfRule type="cellIs" dxfId="8406" priority="3446" operator="equal">
      <formula>"ja"</formula>
    </cfRule>
  </conditionalFormatting>
  <conditionalFormatting sqref="T674">
    <cfRule type="expression" dxfId="8405" priority="3445">
      <formula>AND(AND($W674&lt;TODAY(),$W674&lt;&gt;""),$X674="")</formula>
    </cfRule>
  </conditionalFormatting>
  <conditionalFormatting sqref="Z674">
    <cfRule type="dataBar" priority="3444">
      <dataBar>
        <cfvo type="min"/>
        <cfvo type="max"/>
        <color rgb="FF63C384"/>
      </dataBar>
      <extLst>
        <ext xmlns:x14="http://schemas.microsoft.com/office/spreadsheetml/2009/9/main" uri="{B025F937-C7B1-47D3-B67F-A62EFF666E3E}">
          <x14:id>{B3030058-4CB5-42F8-B08F-BFDEC249F85A}</x14:id>
        </ext>
      </extLst>
    </cfRule>
  </conditionalFormatting>
  <conditionalFormatting sqref="Z674">
    <cfRule type="dataBar" priority="3443">
      <dataBar>
        <cfvo type="min"/>
        <cfvo type="max"/>
        <color rgb="FF63C384"/>
      </dataBar>
      <extLst>
        <ext xmlns:x14="http://schemas.microsoft.com/office/spreadsheetml/2009/9/main" uri="{B025F937-C7B1-47D3-B67F-A62EFF666E3E}">
          <x14:id>{F14BB69B-37C6-43F9-B7CE-065BB2AF4686}</x14:id>
        </ext>
      </extLst>
    </cfRule>
  </conditionalFormatting>
  <conditionalFormatting sqref="Z674">
    <cfRule type="dataBar" priority="3440">
      <dataBar>
        <cfvo type="min"/>
        <cfvo type="max"/>
        <color rgb="FF63C384"/>
      </dataBar>
      <extLst>
        <ext xmlns:x14="http://schemas.microsoft.com/office/spreadsheetml/2009/9/main" uri="{B025F937-C7B1-47D3-B67F-A62EFF666E3E}">
          <x14:id>{B6DDB214-B46D-4CDC-A842-9782EF4F0D4C}</x14:id>
        </ext>
      </extLst>
    </cfRule>
  </conditionalFormatting>
  <conditionalFormatting sqref="Z674">
    <cfRule type="dataBar" priority="3439">
      <dataBar>
        <cfvo type="min"/>
        <cfvo type="max"/>
        <color rgb="FF63C384"/>
      </dataBar>
      <extLst>
        <ext xmlns:x14="http://schemas.microsoft.com/office/spreadsheetml/2009/9/main" uri="{B025F937-C7B1-47D3-B67F-A62EFF666E3E}">
          <x14:id>{71D548C7-5279-4B0C-AA94-BBFAB9197E58}</x14:id>
        </ext>
      </extLst>
    </cfRule>
  </conditionalFormatting>
  <conditionalFormatting sqref="C675">
    <cfRule type="containsText" dxfId="8404" priority="3433" operator="containsText" text="Einnahmen">
      <formula>NOT(ISERROR(SEARCH("Einnahmen",C675)))</formula>
    </cfRule>
    <cfRule type="containsText" dxfId="8403" priority="3434" operator="containsText" text="Ausgaben">
      <formula>NOT(ISERROR(SEARCH("Ausgaben",C675)))</formula>
    </cfRule>
  </conditionalFormatting>
  <conditionalFormatting sqref="J675">
    <cfRule type="cellIs" dxfId="8402" priority="3432" operator="equal">
      <formula>"ja"</formula>
    </cfRule>
  </conditionalFormatting>
  <conditionalFormatting sqref="T675">
    <cfRule type="expression" dxfId="8401" priority="3431">
      <formula>AND(AND($W675&lt;TODAY(),$W675&lt;&gt;""),$X675="")</formula>
    </cfRule>
  </conditionalFormatting>
  <conditionalFormatting sqref="Z675">
    <cfRule type="dataBar" priority="3430">
      <dataBar>
        <cfvo type="min"/>
        <cfvo type="max"/>
        <color rgb="FF63C384"/>
      </dataBar>
      <extLst>
        <ext xmlns:x14="http://schemas.microsoft.com/office/spreadsheetml/2009/9/main" uri="{B025F937-C7B1-47D3-B67F-A62EFF666E3E}">
          <x14:id>{107394ED-7F3B-45C8-B698-22B084FF915B}</x14:id>
        </ext>
      </extLst>
    </cfRule>
  </conditionalFormatting>
  <conditionalFormatting sqref="Z675">
    <cfRule type="dataBar" priority="3429">
      <dataBar>
        <cfvo type="min"/>
        <cfvo type="max"/>
        <color rgb="FF63C384"/>
      </dataBar>
      <extLst>
        <ext xmlns:x14="http://schemas.microsoft.com/office/spreadsheetml/2009/9/main" uri="{B025F937-C7B1-47D3-B67F-A62EFF666E3E}">
          <x14:id>{96B2E543-345C-40A1-BD35-FFED1DEE2892}</x14:id>
        </ext>
      </extLst>
    </cfRule>
  </conditionalFormatting>
  <conditionalFormatting sqref="J676">
    <cfRule type="cellIs" dxfId="8400" priority="3428" operator="equal">
      <formula>"ja"</formula>
    </cfRule>
  </conditionalFormatting>
  <conditionalFormatting sqref="C676">
    <cfRule type="containsText" dxfId="8399" priority="3426" operator="containsText" text="Einnahmen">
      <formula>NOT(ISERROR(SEARCH("Einnahmen",C676)))</formula>
    </cfRule>
    <cfRule type="containsText" dxfId="8398" priority="3427" operator="containsText" text="Ausgaben">
      <formula>NOT(ISERROR(SEARCH("Ausgaben",C676)))</formula>
    </cfRule>
  </conditionalFormatting>
  <conditionalFormatting sqref="T676">
    <cfRule type="expression" dxfId="8397" priority="3425">
      <formula>AND(AND($W676&lt;TODAY(),$W676&lt;&gt;""),$X676="")</formula>
    </cfRule>
  </conditionalFormatting>
  <conditionalFormatting sqref="Z676">
    <cfRule type="dataBar" priority="3424">
      <dataBar>
        <cfvo type="min"/>
        <cfvo type="max"/>
        <color rgb="FF63C384"/>
      </dataBar>
      <extLst>
        <ext xmlns:x14="http://schemas.microsoft.com/office/spreadsheetml/2009/9/main" uri="{B025F937-C7B1-47D3-B67F-A62EFF666E3E}">
          <x14:id>{8A6697CE-E932-4F3A-8915-FEA1C915B935}</x14:id>
        </ext>
      </extLst>
    </cfRule>
  </conditionalFormatting>
  <conditionalFormatting sqref="Z676">
    <cfRule type="dataBar" priority="3423">
      <dataBar>
        <cfvo type="min"/>
        <cfvo type="max"/>
        <color rgb="FF63C384"/>
      </dataBar>
      <extLst>
        <ext xmlns:x14="http://schemas.microsoft.com/office/spreadsheetml/2009/9/main" uri="{B025F937-C7B1-47D3-B67F-A62EFF666E3E}">
          <x14:id>{A9C234E3-03D9-4BF3-A69D-4EF8BA43176C}</x14:id>
        </ext>
      </extLst>
    </cfRule>
  </conditionalFormatting>
  <conditionalFormatting sqref="C677">
    <cfRule type="containsText" dxfId="8396" priority="3419" operator="containsText" text="Einnahmen">
      <formula>NOT(ISERROR(SEARCH("Einnahmen",C677)))</formula>
    </cfRule>
    <cfRule type="containsText" dxfId="8395" priority="3420" operator="containsText" text="Ausgaben">
      <formula>NOT(ISERROR(SEARCH("Ausgaben",C677)))</formula>
    </cfRule>
  </conditionalFormatting>
  <conditionalFormatting sqref="T677">
    <cfRule type="expression" dxfId="8394" priority="3418">
      <formula>AND(AND($W677&lt;TODAY(),$W677&lt;&gt;""),$X677="")</formula>
    </cfRule>
  </conditionalFormatting>
  <conditionalFormatting sqref="J677">
    <cfRule type="cellIs" dxfId="8393" priority="3417" operator="equal">
      <formula>"ja"</formula>
    </cfRule>
  </conditionalFormatting>
  <conditionalFormatting sqref="Z677">
    <cfRule type="dataBar" priority="3416">
      <dataBar>
        <cfvo type="min"/>
        <cfvo type="max"/>
        <color rgb="FF63C384"/>
      </dataBar>
      <extLst>
        <ext xmlns:x14="http://schemas.microsoft.com/office/spreadsheetml/2009/9/main" uri="{B025F937-C7B1-47D3-B67F-A62EFF666E3E}">
          <x14:id>{8B676FD3-13C7-4BCC-986E-0CC8BB310F49}</x14:id>
        </ext>
      </extLst>
    </cfRule>
  </conditionalFormatting>
  <conditionalFormatting sqref="Z677">
    <cfRule type="dataBar" priority="3415">
      <dataBar>
        <cfvo type="min"/>
        <cfvo type="max"/>
        <color rgb="FF63C384"/>
      </dataBar>
      <extLst>
        <ext xmlns:x14="http://schemas.microsoft.com/office/spreadsheetml/2009/9/main" uri="{B025F937-C7B1-47D3-B67F-A62EFF666E3E}">
          <x14:id>{069230A6-1821-46BE-BBB5-3070132A8FCA}</x14:id>
        </ext>
      </extLst>
    </cfRule>
  </conditionalFormatting>
  <conditionalFormatting sqref="C678">
    <cfRule type="containsText" dxfId="8392" priority="3413" operator="containsText" text="Einnahmen">
      <formula>NOT(ISERROR(SEARCH("Einnahmen",C678)))</formula>
    </cfRule>
    <cfRule type="containsText" dxfId="8391" priority="3414" operator="containsText" text="Ausgaben">
      <formula>NOT(ISERROR(SEARCH("Ausgaben",C678)))</formula>
    </cfRule>
  </conditionalFormatting>
  <conditionalFormatting sqref="T678">
    <cfRule type="expression" dxfId="8390" priority="3412">
      <formula>AND(AND($W678&lt;TODAY(),$W678&lt;&gt;""),$X678="")</formula>
    </cfRule>
  </conditionalFormatting>
  <conditionalFormatting sqref="Z678">
    <cfRule type="dataBar" priority="3411">
      <dataBar>
        <cfvo type="min"/>
        <cfvo type="max"/>
        <color rgb="FF63C384"/>
      </dataBar>
      <extLst>
        <ext xmlns:x14="http://schemas.microsoft.com/office/spreadsheetml/2009/9/main" uri="{B025F937-C7B1-47D3-B67F-A62EFF666E3E}">
          <x14:id>{04B52CCA-E06D-4ECB-836F-72AA09EF3351}</x14:id>
        </ext>
      </extLst>
    </cfRule>
  </conditionalFormatting>
  <conditionalFormatting sqref="Z678">
    <cfRule type="dataBar" priority="3410">
      <dataBar>
        <cfvo type="min"/>
        <cfvo type="max"/>
        <color rgb="FF63C384"/>
      </dataBar>
      <extLst>
        <ext xmlns:x14="http://schemas.microsoft.com/office/spreadsheetml/2009/9/main" uri="{B025F937-C7B1-47D3-B67F-A62EFF666E3E}">
          <x14:id>{6DFB1878-1D34-45F4-B93B-1A67C42B24C6}</x14:id>
        </ext>
      </extLst>
    </cfRule>
  </conditionalFormatting>
  <conditionalFormatting sqref="C679">
    <cfRule type="containsText" dxfId="8389" priority="3408" operator="containsText" text="Einnahmen">
      <formula>NOT(ISERROR(SEARCH("Einnahmen",C679)))</formula>
    </cfRule>
    <cfRule type="containsText" dxfId="8388" priority="3409" operator="containsText" text="Ausgaben">
      <formula>NOT(ISERROR(SEARCH("Ausgaben",C679)))</formula>
    </cfRule>
  </conditionalFormatting>
  <conditionalFormatting sqref="J679">
    <cfRule type="cellIs" dxfId="8387" priority="3407" operator="equal">
      <formula>"ja"</formula>
    </cfRule>
  </conditionalFormatting>
  <conditionalFormatting sqref="J679">
    <cfRule type="cellIs" dxfId="8386" priority="3395" operator="equal">
      <formula>"ja"</formula>
    </cfRule>
  </conditionalFormatting>
  <conditionalFormatting sqref="T679">
    <cfRule type="expression" dxfId="8385" priority="3394">
      <formula>AND(AND($W679&lt;TODAY(),$W679&lt;&gt;""),$X679="")</formula>
    </cfRule>
  </conditionalFormatting>
  <conditionalFormatting sqref="T679">
    <cfRule type="expression" dxfId="8384" priority="3406">
      <formula>AND(AND($W679&lt;TODAY(),$W679&lt;&gt;""),$X679="")</formula>
    </cfRule>
  </conditionalFormatting>
  <conditionalFormatting sqref="Z679">
    <cfRule type="dataBar" priority="3405">
      <dataBar>
        <cfvo type="min"/>
        <cfvo type="max"/>
        <color rgb="FF63C384"/>
      </dataBar>
      <extLst>
        <ext xmlns:x14="http://schemas.microsoft.com/office/spreadsheetml/2009/9/main" uri="{B025F937-C7B1-47D3-B67F-A62EFF666E3E}">
          <x14:id>{C016566A-81C5-4B47-99F3-C325DC72D571}</x14:id>
        </ext>
      </extLst>
    </cfRule>
  </conditionalFormatting>
  <conditionalFormatting sqref="Z679">
    <cfRule type="dataBar" priority="3404">
      <dataBar>
        <cfvo type="min"/>
        <cfvo type="max"/>
        <color rgb="FF63C384"/>
      </dataBar>
      <extLst>
        <ext xmlns:x14="http://schemas.microsoft.com/office/spreadsheetml/2009/9/main" uri="{B025F937-C7B1-47D3-B67F-A62EFF666E3E}">
          <x14:id>{CA1B7767-5B8A-4176-B031-B17D1EF88FB6}</x14:id>
        </ext>
      </extLst>
    </cfRule>
  </conditionalFormatting>
  <conditionalFormatting sqref="J679">
    <cfRule type="cellIs" dxfId="8383" priority="3403" operator="equal">
      <formula>"ja"</formula>
    </cfRule>
  </conditionalFormatting>
  <conditionalFormatting sqref="T679">
    <cfRule type="expression" dxfId="8382" priority="3402">
      <formula>AND(AND($W679&lt;TODAY(),$W679&lt;&gt;""),$X679="")</formula>
    </cfRule>
  </conditionalFormatting>
  <conditionalFormatting sqref="Z679">
    <cfRule type="dataBar" priority="3401">
      <dataBar>
        <cfvo type="min"/>
        <cfvo type="max"/>
        <color rgb="FF63C384"/>
      </dataBar>
      <extLst>
        <ext xmlns:x14="http://schemas.microsoft.com/office/spreadsheetml/2009/9/main" uri="{B025F937-C7B1-47D3-B67F-A62EFF666E3E}">
          <x14:id>{0AFFDE62-032F-4C7E-97D2-B0F95AABB4CE}</x14:id>
        </ext>
      </extLst>
    </cfRule>
  </conditionalFormatting>
  <conditionalFormatting sqref="Z679">
    <cfRule type="dataBar" priority="3400">
      <dataBar>
        <cfvo type="min"/>
        <cfvo type="max"/>
        <color rgb="FF63C384"/>
      </dataBar>
      <extLst>
        <ext xmlns:x14="http://schemas.microsoft.com/office/spreadsheetml/2009/9/main" uri="{B025F937-C7B1-47D3-B67F-A62EFF666E3E}">
          <x14:id>{0EC474F7-5E41-4E97-AB38-987FA26E5116}</x14:id>
        </ext>
      </extLst>
    </cfRule>
  </conditionalFormatting>
  <conditionalFormatting sqref="J679">
    <cfRule type="cellIs" dxfId="8381" priority="3399" operator="equal">
      <formula>"ja"</formula>
    </cfRule>
  </conditionalFormatting>
  <conditionalFormatting sqref="T679">
    <cfRule type="expression" dxfId="8380" priority="3398">
      <formula>AND(AND($W679&lt;TODAY(),$W679&lt;&gt;""),$X679="")</formula>
    </cfRule>
  </conditionalFormatting>
  <conditionalFormatting sqref="Z679">
    <cfRule type="dataBar" priority="3397">
      <dataBar>
        <cfvo type="min"/>
        <cfvo type="max"/>
        <color rgb="FF63C384"/>
      </dataBar>
      <extLst>
        <ext xmlns:x14="http://schemas.microsoft.com/office/spreadsheetml/2009/9/main" uri="{B025F937-C7B1-47D3-B67F-A62EFF666E3E}">
          <x14:id>{A3A4F96E-95A9-4E32-932D-4693A73ABD18}</x14:id>
        </ext>
      </extLst>
    </cfRule>
  </conditionalFormatting>
  <conditionalFormatting sqref="Z679">
    <cfRule type="dataBar" priority="3396">
      <dataBar>
        <cfvo type="min"/>
        <cfvo type="max"/>
        <color rgb="FF63C384"/>
      </dataBar>
      <extLst>
        <ext xmlns:x14="http://schemas.microsoft.com/office/spreadsheetml/2009/9/main" uri="{B025F937-C7B1-47D3-B67F-A62EFF666E3E}">
          <x14:id>{78D9197E-FE0D-496C-B0FD-64BCA43C57FD}</x14:id>
        </ext>
      </extLst>
    </cfRule>
  </conditionalFormatting>
  <conditionalFormatting sqref="Z679">
    <cfRule type="dataBar" priority="3393">
      <dataBar>
        <cfvo type="min"/>
        <cfvo type="max"/>
        <color rgb="FF63C384"/>
      </dataBar>
      <extLst>
        <ext xmlns:x14="http://schemas.microsoft.com/office/spreadsheetml/2009/9/main" uri="{B025F937-C7B1-47D3-B67F-A62EFF666E3E}">
          <x14:id>{60184D2B-4785-425C-8B30-23797ACE8DA9}</x14:id>
        </ext>
      </extLst>
    </cfRule>
  </conditionalFormatting>
  <conditionalFormatting sqref="Z679">
    <cfRule type="dataBar" priority="3392">
      <dataBar>
        <cfvo type="min"/>
        <cfvo type="max"/>
        <color rgb="FF63C384"/>
      </dataBar>
      <extLst>
        <ext xmlns:x14="http://schemas.microsoft.com/office/spreadsheetml/2009/9/main" uri="{B025F937-C7B1-47D3-B67F-A62EFF666E3E}">
          <x14:id>{09128AB2-D95F-40F8-B006-7FB1E74C0523}</x14:id>
        </ext>
      </extLst>
    </cfRule>
  </conditionalFormatting>
  <conditionalFormatting sqref="C680">
    <cfRule type="containsText" dxfId="8379" priority="3385" operator="containsText" text="Einnahmen">
      <formula>NOT(ISERROR(SEARCH("Einnahmen",C680)))</formula>
    </cfRule>
    <cfRule type="containsText" dxfId="8378" priority="3386" operator="containsText" text="Ausgaben">
      <formula>NOT(ISERROR(SEARCH("Ausgaben",C680)))</formula>
    </cfRule>
  </conditionalFormatting>
  <conditionalFormatting sqref="T680">
    <cfRule type="expression" dxfId="8377" priority="3384">
      <formula>AND(AND($W680&lt;TODAY(),$W680&lt;&gt;""),$X680="")</formula>
    </cfRule>
  </conditionalFormatting>
  <conditionalFormatting sqref="J680">
    <cfRule type="cellIs" dxfId="8376" priority="3382" operator="equal">
      <formula>"ja"</formula>
    </cfRule>
  </conditionalFormatting>
  <conditionalFormatting sqref="Z680">
    <cfRule type="dataBar" priority="3381">
      <dataBar>
        <cfvo type="min"/>
        <cfvo type="max"/>
        <color rgb="FF63C384"/>
      </dataBar>
      <extLst>
        <ext xmlns:x14="http://schemas.microsoft.com/office/spreadsheetml/2009/9/main" uri="{B025F937-C7B1-47D3-B67F-A62EFF666E3E}">
          <x14:id>{A44A4216-1745-4330-9456-45803BAF9371}</x14:id>
        </ext>
      </extLst>
    </cfRule>
  </conditionalFormatting>
  <conditionalFormatting sqref="Z680">
    <cfRule type="dataBar" priority="3380">
      <dataBar>
        <cfvo type="min"/>
        <cfvo type="max"/>
        <color rgb="FF63C384"/>
      </dataBar>
      <extLst>
        <ext xmlns:x14="http://schemas.microsoft.com/office/spreadsheetml/2009/9/main" uri="{B025F937-C7B1-47D3-B67F-A62EFF666E3E}">
          <x14:id>{2B5C69CA-2489-4FE1-95B4-F115E7CE09E7}</x14:id>
        </ext>
      </extLst>
    </cfRule>
  </conditionalFormatting>
  <conditionalFormatting sqref="J681">
    <cfRule type="cellIs" dxfId="8375" priority="3378" operator="equal">
      <formula>"ja"</formula>
    </cfRule>
  </conditionalFormatting>
  <conditionalFormatting sqref="C681">
    <cfRule type="containsText" dxfId="8374" priority="3376" operator="containsText" text="Einnahmen">
      <formula>NOT(ISERROR(SEARCH("Einnahmen",C681)))</formula>
    </cfRule>
    <cfRule type="containsText" dxfId="8373" priority="3377" operator="containsText" text="Ausgaben">
      <formula>NOT(ISERROR(SEARCH("Ausgaben",C681)))</formula>
    </cfRule>
  </conditionalFormatting>
  <conditionalFormatting sqref="T681">
    <cfRule type="expression" dxfId="8372" priority="3375">
      <formula>AND(AND($W681&lt;TODAY(),$W681&lt;&gt;""),$X681="")</formula>
    </cfRule>
  </conditionalFormatting>
  <conditionalFormatting sqref="Z681">
    <cfRule type="dataBar" priority="3374">
      <dataBar>
        <cfvo type="min"/>
        <cfvo type="max"/>
        <color rgb="FF63C384"/>
      </dataBar>
      <extLst>
        <ext xmlns:x14="http://schemas.microsoft.com/office/spreadsheetml/2009/9/main" uri="{B025F937-C7B1-47D3-B67F-A62EFF666E3E}">
          <x14:id>{63DB0569-C70A-49C5-9631-D9B9C396DE87}</x14:id>
        </ext>
      </extLst>
    </cfRule>
  </conditionalFormatting>
  <conditionalFormatting sqref="Z681">
    <cfRule type="dataBar" priority="3373">
      <dataBar>
        <cfvo type="min"/>
        <cfvo type="max"/>
        <color rgb="FF63C384"/>
      </dataBar>
      <extLst>
        <ext xmlns:x14="http://schemas.microsoft.com/office/spreadsheetml/2009/9/main" uri="{B025F937-C7B1-47D3-B67F-A62EFF666E3E}">
          <x14:id>{82024255-D9FB-444C-A722-7CF6AE554FE1}</x14:id>
        </ext>
      </extLst>
    </cfRule>
  </conditionalFormatting>
  <conditionalFormatting sqref="J681">
    <cfRule type="cellIs" dxfId="8371" priority="3371" operator="equal">
      <formula>"ja"</formula>
    </cfRule>
  </conditionalFormatting>
  <conditionalFormatting sqref="T681">
    <cfRule type="expression" dxfId="8370" priority="3370">
      <formula>AND(AND($W681&lt;TODAY(),$W681&lt;&gt;""),$X681="")</formula>
    </cfRule>
  </conditionalFormatting>
  <conditionalFormatting sqref="Z681">
    <cfRule type="dataBar" priority="3369">
      <dataBar>
        <cfvo type="min"/>
        <cfvo type="max"/>
        <color rgb="FF63C384"/>
      </dataBar>
      <extLst>
        <ext xmlns:x14="http://schemas.microsoft.com/office/spreadsheetml/2009/9/main" uri="{B025F937-C7B1-47D3-B67F-A62EFF666E3E}">
          <x14:id>{33606D0D-B34D-4652-A9E2-0FDABB450D6A}</x14:id>
        </ext>
      </extLst>
    </cfRule>
  </conditionalFormatting>
  <conditionalFormatting sqref="Z681">
    <cfRule type="dataBar" priority="3368">
      <dataBar>
        <cfvo type="min"/>
        <cfvo type="max"/>
        <color rgb="FF63C384"/>
      </dataBar>
      <extLst>
        <ext xmlns:x14="http://schemas.microsoft.com/office/spreadsheetml/2009/9/main" uri="{B025F937-C7B1-47D3-B67F-A62EFF666E3E}">
          <x14:id>{6147E168-1012-4C79-BF8A-4EE89A6F2808}</x14:id>
        </ext>
      </extLst>
    </cfRule>
  </conditionalFormatting>
  <conditionalFormatting sqref="J682">
    <cfRule type="cellIs" dxfId="8369" priority="3367" operator="equal">
      <formula>"ja"</formula>
    </cfRule>
  </conditionalFormatting>
  <conditionalFormatting sqref="T682">
    <cfRule type="expression" dxfId="8368" priority="3366">
      <formula>AND(AND($W682&lt;TODAY(),$W682&lt;&gt;""),$X682="")</formula>
    </cfRule>
  </conditionalFormatting>
  <conditionalFormatting sqref="Z682">
    <cfRule type="dataBar" priority="3365">
      <dataBar>
        <cfvo type="min"/>
        <cfvo type="max"/>
        <color rgb="FF63C384"/>
      </dataBar>
      <extLst>
        <ext xmlns:x14="http://schemas.microsoft.com/office/spreadsheetml/2009/9/main" uri="{B025F937-C7B1-47D3-B67F-A62EFF666E3E}">
          <x14:id>{8F2A1DDF-5DCD-41A7-B5FE-FEC49ED0DBC9}</x14:id>
        </ext>
      </extLst>
    </cfRule>
  </conditionalFormatting>
  <conditionalFormatting sqref="Z682">
    <cfRule type="dataBar" priority="3364">
      <dataBar>
        <cfvo type="min"/>
        <cfvo type="max"/>
        <color rgb="FF63C384"/>
      </dataBar>
      <extLst>
        <ext xmlns:x14="http://schemas.microsoft.com/office/spreadsheetml/2009/9/main" uri="{B025F937-C7B1-47D3-B67F-A62EFF666E3E}">
          <x14:id>{2F1A3E5E-2F29-4C9F-B944-8F63326D336A}</x14:id>
        </ext>
      </extLst>
    </cfRule>
  </conditionalFormatting>
  <conditionalFormatting sqref="T682">
    <cfRule type="expression" dxfId="8367" priority="3363">
      <formula>AND(AND($W682&lt;TODAY(),$W682&lt;&gt;""),$X682="")</formula>
    </cfRule>
  </conditionalFormatting>
  <conditionalFormatting sqref="Z682">
    <cfRule type="dataBar" priority="3362">
      <dataBar>
        <cfvo type="min"/>
        <cfvo type="max"/>
        <color rgb="FF63C384"/>
      </dataBar>
      <extLst>
        <ext xmlns:x14="http://schemas.microsoft.com/office/spreadsheetml/2009/9/main" uri="{B025F937-C7B1-47D3-B67F-A62EFF666E3E}">
          <x14:id>{AA5B0977-9B75-4D46-BD70-714A237595D6}</x14:id>
        </ext>
      </extLst>
    </cfRule>
  </conditionalFormatting>
  <conditionalFormatting sqref="Z682">
    <cfRule type="dataBar" priority="3361">
      <dataBar>
        <cfvo type="min"/>
        <cfvo type="max"/>
        <color rgb="FF63C384"/>
      </dataBar>
      <extLst>
        <ext xmlns:x14="http://schemas.microsoft.com/office/spreadsheetml/2009/9/main" uri="{B025F937-C7B1-47D3-B67F-A62EFF666E3E}">
          <x14:id>{39AAA755-71DE-4B0A-AECA-6EC90FCD9BDC}</x14:id>
        </ext>
      </extLst>
    </cfRule>
  </conditionalFormatting>
  <conditionalFormatting sqref="J682">
    <cfRule type="cellIs" dxfId="8366" priority="3360" operator="equal">
      <formula>"ja"</formula>
    </cfRule>
  </conditionalFormatting>
  <conditionalFormatting sqref="C682">
    <cfRule type="containsText" dxfId="8365" priority="3358" operator="containsText" text="Einnahmen">
      <formula>NOT(ISERROR(SEARCH("Einnahmen",C682)))</formula>
    </cfRule>
    <cfRule type="containsText" dxfId="8364" priority="3359" operator="containsText" text="Ausgaben">
      <formula>NOT(ISERROR(SEARCH("Ausgaben",C682)))</formula>
    </cfRule>
  </conditionalFormatting>
  <conditionalFormatting sqref="J683">
    <cfRule type="cellIs" dxfId="8363" priority="3344" operator="equal">
      <formula>"ja"</formula>
    </cfRule>
  </conditionalFormatting>
  <conditionalFormatting sqref="C683">
    <cfRule type="containsText" dxfId="8362" priority="3342" operator="containsText" text="Einnahmen">
      <formula>NOT(ISERROR(SEARCH("Einnahmen",C683)))</formula>
    </cfRule>
    <cfRule type="containsText" dxfId="8361" priority="3343" operator="containsText" text="Ausgaben">
      <formula>NOT(ISERROR(SEARCH("Ausgaben",C683)))</formula>
    </cfRule>
  </conditionalFormatting>
  <conditionalFormatting sqref="T683">
    <cfRule type="expression" dxfId="8360" priority="3341">
      <formula>AND(AND($W683&lt;TODAY(),$W683&lt;&gt;""),$X683="")</formula>
    </cfRule>
  </conditionalFormatting>
  <conditionalFormatting sqref="Z683">
    <cfRule type="dataBar" priority="3340">
      <dataBar>
        <cfvo type="min"/>
        <cfvo type="max"/>
        <color rgb="FF63C384"/>
      </dataBar>
      <extLst>
        <ext xmlns:x14="http://schemas.microsoft.com/office/spreadsheetml/2009/9/main" uri="{B025F937-C7B1-47D3-B67F-A62EFF666E3E}">
          <x14:id>{7D1C67A1-D2E4-4ED6-BD9D-112FCD9D621F}</x14:id>
        </ext>
      </extLst>
    </cfRule>
  </conditionalFormatting>
  <conditionalFormatting sqref="Z683">
    <cfRule type="dataBar" priority="3339">
      <dataBar>
        <cfvo type="min"/>
        <cfvo type="max"/>
        <color rgb="FF63C384"/>
      </dataBar>
      <extLst>
        <ext xmlns:x14="http://schemas.microsoft.com/office/spreadsheetml/2009/9/main" uri="{B025F937-C7B1-47D3-B67F-A62EFF666E3E}">
          <x14:id>{CA14CB3F-B669-4A79-AF5D-357FCBE3A186}</x14:id>
        </ext>
      </extLst>
    </cfRule>
  </conditionalFormatting>
  <conditionalFormatting sqref="C684">
    <cfRule type="containsText" dxfId="8359" priority="3337" operator="containsText" text="Einnahmen">
      <formula>NOT(ISERROR(SEARCH("Einnahmen",C684)))</formula>
    </cfRule>
    <cfRule type="containsText" dxfId="8358" priority="3338" operator="containsText" text="Ausgaben">
      <formula>NOT(ISERROR(SEARCH("Ausgaben",C684)))</formula>
    </cfRule>
  </conditionalFormatting>
  <conditionalFormatting sqref="T684">
    <cfRule type="expression" dxfId="8357" priority="3336">
      <formula>AND(AND($W684&lt;TODAY(),$W684&lt;&gt;""),$X684="")</formula>
    </cfRule>
  </conditionalFormatting>
  <conditionalFormatting sqref="J684">
    <cfRule type="cellIs" dxfId="8356" priority="3334" operator="equal">
      <formula>"ja"</formula>
    </cfRule>
  </conditionalFormatting>
  <conditionalFormatting sqref="Z684">
    <cfRule type="dataBar" priority="3333">
      <dataBar>
        <cfvo type="min"/>
        <cfvo type="max"/>
        <color rgb="FF63C384"/>
      </dataBar>
      <extLst>
        <ext xmlns:x14="http://schemas.microsoft.com/office/spreadsheetml/2009/9/main" uri="{B025F937-C7B1-47D3-B67F-A62EFF666E3E}">
          <x14:id>{9685578E-B955-4AD2-B59E-3F38B7780424}</x14:id>
        </ext>
      </extLst>
    </cfRule>
  </conditionalFormatting>
  <conditionalFormatting sqref="Z684">
    <cfRule type="dataBar" priority="3332">
      <dataBar>
        <cfvo type="min"/>
        <cfvo type="max"/>
        <color rgb="FF63C384"/>
      </dataBar>
      <extLst>
        <ext xmlns:x14="http://schemas.microsoft.com/office/spreadsheetml/2009/9/main" uri="{B025F937-C7B1-47D3-B67F-A62EFF666E3E}">
          <x14:id>{AABA2AEA-80E2-41A2-8CEA-D79CB73B167F}</x14:id>
        </ext>
      </extLst>
    </cfRule>
  </conditionalFormatting>
  <conditionalFormatting sqref="C685">
    <cfRule type="containsText" dxfId="8355" priority="3330" operator="containsText" text="Einnahmen">
      <formula>NOT(ISERROR(SEARCH("Einnahmen",C685)))</formula>
    </cfRule>
    <cfRule type="containsText" dxfId="8354" priority="3331" operator="containsText" text="Ausgaben">
      <formula>NOT(ISERROR(SEARCH("Ausgaben",C685)))</formula>
    </cfRule>
  </conditionalFormatting>
  <conditionalFormatting sqref="T685">
    <cfRule type="expression" dxfId="8353" priority="3329">
      <formula>AND(AND($W685&lt;TODAY(),$W685&lt;&gt;""),$X685="")</formula>
    </cfRule>
  </conditionalFormatting>
  <conditionalFormatting sqref="Z685">
    <cfRule type="dataBar" priority="3328">
      <dataBar>
        <cfvo type="min"/>
        <cfvo type="max"/>
        <color rgb="FF63C384"/>
      </dataBar>
      <extLst>
        <ext xmlns:x14="http://schemas.microsoft.com/office/spreadsheetml/2009/9/main" uri="{B025F937-C7B1-47D3-B67F-A62EFF666E3E}">
          <x14:id>{8E60E772-52AA-4CCC-9F05-62536D29BBD2}</x14:id>
        </ext>
      </extLst>
    </cfRule>
  </conditionalFormatting>
  <conditionalFormatting sqref="Z685">
    <cfRule type="dataBar" priority="3327">
      <dataBar>
        <cfvo type="min"/>
        <cfvo type="max"/>
        <color rgb="FF63C384"/>
      </dataBar>
      <extLst>
        <ext xmlns:x14="http://schemas.microsoft.com/office/spreadsheetml/2009/9/main" uri="{B025F937-C7B1-47D3-B67F-A62EFF666E3E}">
          <x14:id>{2906F442-0788-48A2-B781-BD69171C84F4}</x14:id>
        </ext>
      </extLst>
    </cfRule>
  </conditionalFormatting>
  <conditionalFormatting sqref="J685">
    <cfRule type="cellIs" dxfId="8352" priority="3326" operator="equal">
      <formula>"ja"</formula>
    </cfRule>
  </conditionalFormatting>
  <conditionalFormatting sqref="T686">
    <cfRule type="expression" dxfId="8351" priority="3323">
      <formula>AND(AND($W686&lt;TODAY(),$W686&lt;&gt;""),$X686="")</formula>
    </cfRule>
  </conditionalFormatting>
  <conditionalFormatting sqref="Z686">
    <cfRule type="dataBar" priority="3322">
      <dataBar>
        <cfvo type="min"/>
        <cfvo type="max"/>
        <color rgb="FF63C384"/>
      </dataBar>
      <extLst>
        <ext xmlns:x14="http://schemas.microsoft.com/office/spreadsheetml/2009/9/main" uri="{B025F937-C7B1-47D3-B67F-A62EFF666E3E}">
          <x14:id>{011C5422-5833-468F-8A71-6A9FE224688E}</x14:id>
        </ext>
      </extLst>
    </cfRule>
  </conditionalFormatting>
  <conditionalFormatting sqref="Z686">
    <cfRule type="dataBar" priority="3321">
      <dataBar>
        <cfvo type="min"/>
        <cfvo type="max"/>
        <color rgb="FF63C384"/>
      </dataBar>
      <extLst>
        <ext xmlns:x14="http://schemas.microsoft.com/office/spreadsheetml/2009/9/main" uri="{B025F937-C7B1-47D3-B67F-A62EFF666E3E}">
          <x14:id>{07F51ABE-8A7F-4B79-8709-E29C61973FEE}</x14:id>
        </ext>
      </extLst>
    </cfRule>
  </conditionalFormatting>
  <conditionalFormatting sqref="J686">
    <cfRule type="cellIs" dxfId="8350" priority="3320" operator="equal">
      <formula>"ja"</formula>
    </cfRule>
  </conditionalFormatting>
  <conditionalFormatting sqref="C686">
    <cfRule type="containsText" dxfId="8349" priority="3318" operator="containsText" text="Einnahmen">
      <formula>NOT(ISERROR(SEARCH("Einnahmen",C686)))</formula>
    </cfRule>
    <cfRule type="containsText" dxfId="8348" priority="3319" operator="containsText" text="Ausgaben">
      <formula>NOT(ISERROR(SEARCH("Ausgaben",C686)))</formula>
    </cfRule>
  </conditionalFormatting>
  <conditionalFormatting sqref="C687">
    <cfRule type="containsText" dxfId="8347" priority="3315" operator="containsText" text="Einnahmen">
      <formula>NOT(ISERROR(SEARCH("Einnahmen",C687)))</formula>
    </cfRule>
    <cfRule type="containsText" dxfId="8346" priority="3316" operator="containsText" text="Ausgaben">
      <formula>NOT(ISERROR(SEARCH("Ausgaben",C687)))</formula>
    </cfRule>
  </conditionalFormatting>
  <conditionalFormatting sqref="J687">
    <cfRule type="cellIs" dxfId="8345" priority="3314" operator="equal">
      <formula>"ja"</formula>
    </cfRule>
  </conditionalFormatting>
  <conditionalFormatting sqref="T687">
    <cfRule type="expression" dxfId="8344" priority="3313">
      <formula>AND(AND($W687&lt;TODAY(),$W687&lt;&gt;""),$X687="")</formula>
    </cfRule>
  </conditionalFormatting>
  <conditionalFormatting sqref="Z687">
    <cfRule type="dataBar" priority="3312">
      <dataBar>
        <cfvo type="min"/>
        <cfvo type="max"/>
        <color rgb="FF63C384"/>
      </dataBar>
      <extLst>
        <ext xmlns:x14="http://schemas.microsoft.com/office/spreadsheetml/2009/9/main" uri="{B025F937-C7B1-47D3-B67F-A62EFF666E3E}">
          <x14:id>{4AE24ED1-94FD-4C9A-A6BA-F2D387A4C58D}</x14:id>
        </ext>
      </extLst>
    </cfRule>
  </conditionalFormatting>
  <conditionalFormatting sqref="Z687">
    <cfRule type="dataBar" priority="3311">
      <dataBar>
        <cfvo type="min"/>
        <cfvo type="max"/>
        <color rgb="FF63C384"/>
      </dataBar>
      <extLst>
        <ext xmlns:x14="http://schemas.microsoft.com/office/spreadsheetml/2009/9/main" uri="{B025F937-C7B1-47D3-B67F-A62EFF666E3E}">
          <x14:id>{79CADB65-B1CD-4E5A-9E72-E92AC1A9C7D1}</x14:id>
        </ext>
      </extLst>
    </cfRule>
  </conditionalFormatting>
  <conditionalFormatting sqref="T687">
    <cfRule type="expression" dxfId="8343" priority="3310">
      <formula>AND(AND($W687&lt;TODAY(),$W687&lt;&gt;""),$X687="")</formula>
    </cfRule>
  </conditionalFormatting>
  <conditionalFormatting sqref="J687">
    <cfRule type="cellIs" dxfId="8342" priority="3309" operator="equal">
      <formula>"ja"</formula>
    </cfRule>
  </conditionalFormatting>
  <conditionalFormatting sqref="Z687">
    <cfRule type="dataBar" priority="3308">
      <dataBar>
        <cfvo type="min"/>
        <cfvo type="max"/>
        <color rgb="FF63C384"/>
      </dataBar>
      <extLst>
        <ext xmlns:x14="http://schemas.microsoft.com/office/spreadsheetml/2009/9/main" uri="{B025F937-C7B1-47D3-B67F-A62EFF666E3E}">
          <x14:id>{0EAD1A2F-DF45-43CA-9C4D-9513C320A930}</x14:id>
        </ext>
      </extLst>
    </cfRule>
  </conditionalFormatting>
  <conditionalFormatting sqref="Z687">
    <cfRule type="dataBar" priority="3307">
      <dataBar>
        <cfvo type="min"/>
        <cfvo type="max"/>
        <color rgb="FF63C384"/>
      </dataBar>
      <extLst>
        <ext xmlns:x14="http://schemas.microsoft.com/office/spreadsheetml/2009/9/main" uri="{B025F937-C7B1-47D3-B67F-A62EFF666E3E}">
          <x14:id>{86FE174C-7D65-4E52-838A-2BC933B8D9F4}</x14:id>
        </ext>
      </extLst>
    </cfRule>
  </conditionalFormatting>
  <conditionalFormatting sqref="J688">
    <cfRule type="cellIs" dxfId="8341" priority="3305" operator="equal">
      <formula>"ja"</formula>
    </cfRule>
  </conditionalFormatting>
  <conditionalFormatting sqref="C688">
    <cfRule type="containsText" dxfId="8340" priority="3303" operator="containsText" text="Einnahmen">
      <formula>NOT(ISERROR(SEARCH("Einnahmen",C688)))</formula>
    </cfRule>
    <cfRule type="containsText" dxfId="8339" priority="3304" operator="containsText" text="Ausgaben">
      <formula>NOT(ISERROR(SEARCH("Ausgaben",C688)))</formula>
    </cfRule>
  </conditionalFormatting>
  <conditionalFormatting sqref="T688">
    <cfRule type="expression" dxfId="8338" priority="3302">
      <formula>AND(AND($W688&lt;TODAY(),$W688&lt;&gt;""),$X688="")</formula>
    </cfRule>
  </conditionalFormatting>
  <conditionalFormatting sqref="Z688">
    <cfRule type="dataBar" priority="3301">
      <dataBar>
        <cfvo type="min"/>
        <cfvo type="max"/>
        <color rgb="FF63C384"/>
      </dataBar>
      <extLst>
        <ext xmlns:x14="http://schemas.microsoft.com/office/spreadsheetml/2009/9/main" uri="{B025F937-C7B1-47D3-B67F-A62EFF666E3E}">
          <x14:id>{661B58C1-5080-4BB8-B6CF-06F0E23BFE2E}</x14:id>
        </ext>
      </extLst>
    </cfRule>
  </conditionalFormatting>
  <conditionalFormatting sqref="Z688">
    <cfRule type="dataBar" priority="3300">
      <dataBar>
        <cfvo type="min"/>
        <cfvo type="max"/>
        <color rgb="FF63C384"/>
      </dataBar>
      <extLst>
        <ext xmlns:x14="http://schemas.microsoft.com/office/spreadsheetml/2009/9/main" uri="{B025F937-C7B1-47D3-B67F-A62EFF666E3E}">
          <x14:id>{DC67D777-35BE-40C8-818D-27F771ACF638}</x14:id>
        </ext>
      </extLst>
    </cfRule>
  </conditionalFormatting>
  <conditionalFormatting sqref="J689">
    <cfRule type="cellIs" dxfId="8337" priority="3299" operator="equal">
      <formula>"ja"</formula>
    </cfRule>
  </conditionalFormatting>
  <conditionalFormatting sqref="C689">
    <cfRule type="containsText" dxfId="8336" priority="3297" operator="containsText" text="Einnahmen">
      <formula>NOT(ISERROR(SEARCH("Einnahmen",C689)))</formula>
    </cfRule>
    <cfRule type="containsText" dxfId="8335" priority="3298" operator="containsText" text="Ausgaben">
      <formula>NOT(ISERROR(SEARCH("Ausgaben",C689)))</formula>
    </cfRule>
  </conditionalFormatting>
  <conditionalFormatting sqref="T689">
    <cfRule type="expression" dxfId="8334" priority="3296">
      <formula>AND(AND($W689&lt;TODAY(),$W689&lt;&gt;""),$X689="")</formula>
    </cfRule>
  </conditionalFormatting>
  <conditionalFormatting sqref="Z689">
    <cfRule type="dataBar" priority="3295">
      <dataBar>
        <cfvo type="min"/>
        <cfvo type="max"/>
        <color rgb="FF63C384"/>
      </dataBar>
      <extLst>
        <ext xmlns:x14="http://schemas.microsoft.com/office/spreadsheetml/2009/9/main" uri="{B025F937-C7B1-47D3-B67F-A62EFF666E3E}">
          <x14:id>{2342EAA4-4A93-4E18-AA4B-3D5500E67DCD}</x14:id>
        </ext>
      </extLst>
    </cfRule>
  </conditionalFormatting>
  <conditionalFormatting sqref="Z689">
    <cfRule type="dataBar" priority="3294">
      <dataBar>
        <cfvo type="min"/>
        <cfvo type="max"/>
        <color rgb="FF63C384"/>
      </dataBar>
      <extLst>
        <ext xmlns:x14="http://schemas.microsoft.com/office/spreadsheetml/2009/9/main" uri="{B025F937-C7B1-47D3-B67F-A62EFF666E3E}">
          <x14:id>{4934BB4E-4432-4A3B-8411-C1D96774DBB6}</x14:id>
        </ext>
      </extLst>
    </cfRule>
  </conditionalFormatting>
  <conditionalFormatting sqref="C690">
    <cfRule type="containsText" dxfId="8333" priority="3292" operator="containsText" text="Einnahmen">
      <formula>NOT(ISERROR(SEARCH("Einnahmen",C690)))</formula>
    </cfRule>
    <cfRule type="containsText" dxfId="8332" priority="3293" operator="containsText" text="Ausgaben">
      <formula>NOT(ISERROR(SEARCH("Ausgaben",C690)))</formula>
    </cfRule>
  </conditionalFormatting>
  <conditionalFormatting sqref="J690">
    <cfRule type="cellIs" dxfId="8331" priority="3291" operator="equal">
      <formula>"ja"</formula>
    </cfRule>
  </conditionalFormatting>
  <conditionalFormatting sqref="J690">
    <cfRule type="cellIs" dxfId="8330" priority="3279" operator="equal">
      <formula>"ja"</formula>
    </cfRule>
  </conditionalFormatting>
  <conditionalFormatting sqref="T690">
    <cfRule type="expression" dxfId="8329" priority="3278">
      <formula>AND(AND($W690&lt;TODAY(),$W690&lt;&gt;""),$X690="")</formula>
    </cfRule>
  </conditionalFormatting>
  <conditionalFormatting sqref="T690">
    <cfRule type="expression" dxfId="8328" priority="3290">
      <formula>AND(AND($W690&lt;TODAY(),$W690&lt;&gt;""),$X690="")</formula>
    </cfRule>
  </conditionalFormatting>
  <conditionalFormatting sqref="Z690">
    <cfRule type="dataBar" priority="3289">
      <dataBar>
        <cfvo type="min"/>
        <cfvo type="max"/>
        <color rgb="FF63C384"/>
      </dataBar>
      <extLst>
        <ext xmlns:x14="http://schemas.microsoft.com/office/spreadsheetml/2009/9/main" uri="{B025F937-C7B1-47D3-B67F-A62EFF666E3E}">
          <x14:id>{92D52FD1-8179-43A2-A879-670D57F7EAFC}</x14:id>
        </ext>
      </extLst>
    </cfRule>
  </conditionalFormatting>
  <conditionalFormatting sqref="Z690">
    <cfRule type="dataBar" priority="3288">
      <dataBar>
        <cfvo type="min"/>
        <cfvo type="max"/>
        <color rgb="FF63C384"/>
      </dataBar>
      <extLst>
        <ext xmlns:x14="http://schemas.microsoft.com/office/spreadsheetml/2009/9/main" uri="{B025F937-C7B1-47D3-B67F-A62EFF666E3E}">
          <x14:id>{F0B17ECA-15AC-43CD-ABA4-680780A364A3}</x14:id>
        </ext>
      </extLst>
    </cfRule>
  </conditionalFormatting>
  <conditionalFormatting sqref="J690">
    <cfRule type="cellIs" dxfId="8327" priority="3287" operator="equal">
      <formula>"ja"</formula>
    </cfRule>
  </conditionalFormatting>
  <conditionalFormatting sqref="T690">
    <cfRule type="expression" dxfId="8326" priority="3286">
      <formula>AND(AND($W690&lt;TODAY(),$W690&lt;&gt;""),$X690="")</formula>
    </cfRule>
  </conditionalFormatting>
  <conditionalFormatting sqref="Z690">
    <cfRule type="dataBar" priority="3285">
      <dataBar>
        <cfvo type="min"/>
        <cfvo type="max"/>
        <color rgb="FF63C384"/>
      </dataBar>
      <extLst>
        <ext xmlns:x14="http://schemas.microsoft.com/office/spreadsheetml/2009/9/main" uri="{B025F937-C7B1-47D3-B67F-A62EFF666E3E}">
          <x14:id>{94B1F0A6-C62A-4427-8855-6E304F25A027}</x14:id>
        </ext>
      </extLst>
    </cfRule>
  </conditionalFormatting>
  <conditionalFormatting sqref="Z690">
    <cfRule type="dataBar" priority="3284">
      <dataBar>
        <cfvo type="min"/>
        <cfvo type="max"/>
        <color rgb="FF63C384"/>
      </dataBar>
      <extLst>
        <ext xmlns:x14="http://schemas.microsoft.com/office/spreadsheetml/2009/9/main" uri="{B025F937-C7B1-47D3-B67F-A62EFF666E3E}">
          <x14:id>{4BCAD1E7-C47B-4D0F-969D-086F5C5DEC29}</x14:id>
        </ext>
      </extLst>
    </cfRule>
  </conditionalFormatting>
  <conditionalFormatting sqref="J690">
    <cfRule type="cellIs" dxfId="8325" priority="3283" operator="equal">
      <formula>"ja"</formula>
    </cfRule>
  </conditionalFormatting>
  <conditionalFormatting sqref="T690">
    <cfRule type="expression" dxfId="8324" priority="3282">
      <formula>AND(AND($W690&lt;TODAY(),$W690&lt;&gt;""),$X690="")</formula>
    </cfRule>
  </conditionalFormatting>
  <conditionalFormatting sqref="Z690">
    <cfRule type="dataBar" priority="3281">
      <dataBar>
        <cfvo type="min"/>
        <cfvo type="max"/>
        <color rgb="FF63C384"/>
      </dataBar>
      <extLst>
        <ext xmlns:x14="http://schemas.microsoft.com/office/spreadsheetml/2009/9/main" uri="{B025F937-C7B1-47D3-B67F-A62EFF666E3E}">
          <x14:id>{51989A05-EDA7-4E1E-B33D-215755D89796}</x14:id>
        </ext>
      </extLst>
    </cfRule>
  </conditionalFormatting>
  <conditionalFormatting sqref="Z690">
    <cfRule type="dataBar" priority="3280">
      <dataBar>
        <cfvo type="min"/>
        <cfvo type="max"/>
        <color rgb="FF63C384"/>
      </dataBar>
      <extLst>
        <ext xmlns:x14="http://schemas.microsoft.com/office/spreadsheetml/2009/9/main" uri="{B025F937-C7B1-47D3-B67F-A62EFF666E3E}">
          <x14:id>{5EFE8D04-3D31-42AE-8150-E61025850134}</x14:id>
        </ext>
      </extLst>
    </cfRule>
  </conditionalFormatting>
  <conditionalFormatting sqref="Z690">
    <cfRule type="dataBar" priority="3277">
      <dataBar>
        <cfvo type="min"/>
        <cfvo type="max"/>
        <color rgb="FF63C384"/>
      </dataBar>
      <extLst>
        <ext xmlns:x14="http://schemas.microsoft.com/office/spreadsheetml/2009/9/main" uri="{B025F937-C7B1-47D3-B67F-A62EFF666E3E}">
          <x14:id>{9A6D50E9-E800-472E-9589-D3B632DCD507}</x14:id>
        </ext>
      </extLst>
    </cfRule>
  </conditionalFormatting>
  <conditionalFormatting sqref="Z690">
    <cfRule type="dataBar" priority="3276">
      <dataBar>
        <cfvo type="min"/>
        <cfvo type="max"/>
        <color rgb="FF63C384"/>
      </dataBar>
      <extLst>
        <ext xmlns:x14="http://schemas.microsoft.com/office/spreadsheetml/2009/9/main" uri="{B025F937-C7B1-47D3-B67F-A62EFF666E3E}">
          <x14:id>{05D054A3-A6C6-4D30-BA18-D339C78436E5}</x14:id>
        </ext>
      </extLst>
    </cfRule>
  </conditionalFormatting>
  <conditionalFormatting sqref="J691">
    <cfRule type="cellIs" dxfId="8323" priority="3270" operator="equal">
      <formula>"ja"</formula>
    </cfRule>
  </conditionalFormatting>
  <conditionalFormatting sqref="C691">
    <cfRule type="containsText" dxfId="8322" priority="3268" operator="containsText" text="Einnahmen">
      <formula>NOT(ISERROR(SEARCH("Einnahmen",C691)))</formula>
    </cfRule>
    <cfRule type="containsText" dxfId="8321" priority="3269" operator="containsText" text="Ausgaben">
      <formula>NOT(ISERROR(SEARCH("Ausgaben",C691)))</formula>
    </cfRule>
  </conditionalFormatting>
  <conditionalFormatting sqref="T691">
    <cfRule type="expression" dxfId="8320" priority="3267">
      <formula>AND(AND($W691&lt;TODAY(),$W691&lt;&gt;""),$X691="")</formula>
    </cfRule>
  </conditionalFormatting>
  <conditionalFormatting sqref="Z691">
    <cfRule type="dataBar" priority="3266">
      <dataBar>
        <cfvo type="min"/>
        <cfvo type="max"/>
        <color rgb="FF63C384"/>
      </dataBar>
      <extLst>
        <ext xmlns:x14="http://schemas.microsoft.com/office/spreadsheetml/2009/9/main" uri="{B025F937-C7B1-47D3-B67F-A62EFF666E3E}">
          <x14:id>{0129E45C-58EA-471F-A0C9-BE60195BCC5B}</x14:id>
        </ext>
      </extLst>
    </cfRule>
  </conditionalFormatting>
  <conditionalFormatting sqref="Z691">
    <cfRule type="dataBar" priority="3265">
      <dataBar>
        <cfvo type="min"/>
        <cfvo type="max"/>
        <color rgb="FF63C384"/>
      </dataBar>
      <extLst>
        <ext xmlns:x14="http://schemas.microsoft.com/office/spreadsheetml/2009/9/main" uri="{B025F937-C7B1-47D3-B67F-A62EFF666E3E}">
          <x14:id>{912A38F5-0539-47F8-AD84-5C0EAE3CE740}</x14:id>
        </ext>
      </extLst>
    </cfRule>
  </conditionalFormatting>
  <conditionalFormatting sqref="Z692">
    <cfRule type="dataBar" priority="3264">
      <dataBar>
        <cfvo type="min"/>
        <cfvo type="max"/>
        <color rgb="FF63C384"/>
      </dataBar>
      <extLst>
        <ext xmlns:x14="http://schemas.microsoft.com/office/spreadsheetml/2009/9/main" uri="{B025F937-C7B1-47D3-B67F-A62EFF666E3E}">
          <x14:id>{C79D1B04-20D3-43CF-9C02-F608A601BC99}</x14:id>
        </ext>
      </extLst>
    </cfRule>
  </conditionalFormatting>
  <conditionalFormatting sqref="Z692">
    <cfRule type="dataBar" priority="3263">
      <dataBar>
        <cfvo type="min"/>
        <cfvo type="max"/>
        <color rgb="FF63C384"/>
      </dataBar>
      <extLst>
        <ext xmlns:x14="http://schemas.microsoft.com/office/spreadsheetml/2009/9/main" uri="{B025F937-C7B1-47D3-B67F-A62EFF666E3E}">
          <x14:id>{DFA1A366-9FAC-4483-B70B-F73EFF725009}</x14:id>
        </ext>
      </extLst>
    </cfRule>
  </conditionalFormatting>
  <conditionalFormatting sqref="C692">
    <cfRule type="containsText" dxfId="8319" priority="3261" operator="containsText" text="Einnahmen">
      <formula>NOT(ISERROR(SEARCH("Einnahmen",C692)))</formula>
    </cfRule>
    <cfRule type="containsText" dxfId="8318" priority="3262" operator="containsText" text="Ausgaben">
      <formula>NOT(ISERROR(SEARCH("Ausgaben",C692)))</formula>
    </cfRule>
  </conditionalFormatting>
  <conditionalFormatting sqref="J692">
    <cfRule type="cellIs" dxfId="8317" priority="3260" operator="equal">
      <formula>"ja"</formula>
    </cfRule>
  </conditionalFormatting>
  <conditionalFormatting sqref="T692">
    <cfRule type="expression" dxfId="8316" priority="3259">
      <formula>AND(AND($W692&lt;TODAY(),$W692&lt;&gt;""),$X692="")</formula>
    </cfRule>
  </conditionalFormatting>
  <conditionalFormatting sqref="C693">
    <cfRule type="containsText" dxfId="8315" priority="3257" operator="containsText" text="Einnahmen">
      <formula>NOT(ISERROR(SEARCH("Einnahmen",C693)))</formula>
    </cfRule>
    <cfRule type="containsText" dxfId="8314" priority="3258" operator="containsText" text="Ausgaben">
      <formula>NOT(ISERROR(SEARCH("Ausgaben",C693)))</formula>
    </cfRule>
  </conditionalFormatting>
  <conditionalFormatting sqref="T693">
    <cfRule type="expression" dxfId="8313" priority="3256">
      <formula>AND(AND($W693&lt;TODAY(),$W693&lt;&gt;""),$X693="")</formula>
    </cfRule>
  </conditionalFormatting>
  <conditionalFormatting sqref="Z693">
    <cfRule type="dataBar" priority="3255">
      <dataBar>
        <cfvo type="min"/>
        <cfvo type="max"/>
        <color rgb="FF63C384"/>
      </dataBar>
      <extLst>
        <ext xmlns:x14="http://schemas.microsoft.com/office/spreadsheetml/2009/9/main" uri="{B025F937-C7B1-47D3-B67F-A62EFF666E3E}">
          <x14:id>{90A6C811-0405-48FE-A1E8-8B9E057C9FF7}</x14:id>
        </ext>
      </extLst>
    </cfRule>
  </conditionalFormatting>
  <conditionalFormatting sqref="Z693">
    <cfRule type="dataBar" priority="3254">
      <dataBar>
        <cfvo type="min"/>
        <cfvo type="max"/>
        <color rgb="FF63C384"/>
      </dataBar>
      <extLst>
        <ext xmlns:x14="http://schemas.microsoft.com/office/spreadsheetml/2009/9/main" uri="{B025F937-C7B1-47D3-B67F-A62EFF666E3E}">
          <x14:id>{6EDF9E18-7F89-4160-9676-B049EF51C9BE}</x14:id>
        </ext>
      </extLst>
    </cfRule>
  </conditionalFormatting>
  <conditionalFormatting sqref="J693">
    <cfRule type="cellIs" dxfId="8312" priority="3253" operator="equal">
      <formula>"ja"</formula>
    </cfRule>
  </conditionalFormatting>
  <conditionalFormatting sqref="J694">
    <cfRule type="cellIs" dxfId="8311" priority="3250" operator="equal">
      <formula>"ja"</formula>
    </cfRule>
  </conditionalFormatting>
  <conditionalFormatting sqref="C694">
    <cfRule type="containsText" dxfId="8310" priority="3248" operator="containsText" text="Einnahmen">
      <formula>NOT(ISERROR(SEARCH("Einnahmen",C694)))</formula>
    </cfRule>
    <cfRule type="containsText" dxfId="8309" priority="3249" operator="containsText" text="Ausgaben">
      <formula>NOT(ISERROR(SEARCH("Ausgaben",C694)))</formula>
    </cfRule>
  </conditionalFormatting>
  <conditionalFormatting sqref="T694">
    <cfRule type="expression" dxfId="8308" priority="3247">
      <formula>AND(AND($W694&lt;TODAY(),$W694&lt;&gt;""),$X694="")</formula>
    </cfRule>
  </conditionalFormatting>
  <conditionalFormatting sqref="Z694">
    <cfRule type="dataBar" priority="3246">
      <dataBar>
        <cfvo type="min"/>
        <cfvo type="max"/>
        <color rgb="FF63C384"/>
      </dataBar>
      <extLst>
        <ext xmlns:x14="http://schemas.microsoft.com/office/spreadsheetml/2009/9/main" uri="{B025F937-C7B1-47D3-B67F-A62EFF666E3E}">
          <x14:id>{692176AF-BA84-4DBB-8C4A-CE643B28512E}</x14:id>
        </ext>
      </extLst>
    </cfRule>
  </conditionalFormatting>
  <conditionalFormatting sqref="Z694">
    <cfRule type="dataBar" priority="3245">
      <dataBar>
        <cfvo type="min"/>
        <cfvo type="max"/>
        <color rgb="FF63C384"/>
      </dataBar>
      <extLst>
        <ext xmlns:x14="http://schemas.microsoft.com/office/spreadsheetml/2009/9/main" uri="{B025F937-C7B1-47D3-B67F-A62EFF666E3E}">
          <x14:id>{8CCEA6AA-BBEC-4AA1-A3B1-FC05B956BFA8}</x14:id>
        </ext>
      </extLst>
    </cfRule>
  </conditionalFormatting>
  <conditionalFormatting sqref="C695">
    <cfRule type="containsText" dxfId="8307" priority="3239" operator="containsText" text="Einnahmen">
      <formula>NOT(ISERROR(SEARCH("Einnahmen",C695)))</formula>
    </cfRule>
    <cfRule type="containsText" dxfId="8306" priority="3240" operator="containsText" text="Ausgaben">
      <formula>NOT(ISERROR(SEARCH("Ausgaben",C695)))</formula>
    </cfRule>
  </conditionalFormatting>
  <conditionalFormatting sqref="T695">
    <cfRule type="expression" dxfId="8305" priority="3238">
      <formula>AND(AND($W695&lt;TODAY(),$W695&lt;&gt;""),$X695="")</formula>
    </cfRule>
  </conditionalFormatting>
  <conditionalFormatting sqref="J695">
    <cfRule type="cellIs" dxfId="8304" priority="3237" operator="equal">
      <formula>"ja"</formula>
    </cfRule>
  </conditionalFormatting>
  <conditionalFormatting sqref="Z695">
    <cfRule type="dataBar" priority="3236">
      <dataBar>
        <cfvo type="min"/>
        <cfvo type="max"/>
        <color rgb="FF63C384"/>
      </dataBar>
      <extLst>
        <ext xmlns:x14="http://schemas.microsoft.com/office/spreadsheetml/2009/9/main" uri="{B025F937-C7B1-47D3-B67F-A62EFF666E3E}">
          <x14:id>{1EA6EBAB-DB0B-426C-8236-426FEA5A4A2B}</x14:id>
        </ext>
      </extLst>
    </cfRule>
  </conditionalFormatting>
  <conditionalFormatting sqref="Z695">
    <cfRule type="dataBar" priority="3235">
      <dataBar>
        <cfvo type="min"/>
        <cfvo type="max"/>
        <color rgb="FF63C384"/>
      </dataBar>
      <extLst>
        <ext xmlns:x14="http://schemas.microsoft.com/office/spreadsheetml/2009/9/main" uri="{B025F937-C7B1-47D3-B67F-A62EFF666E3E}">
          <x14:id>{99F2FCD3-8D02-4879-A420-FE4B80AD3DF7}</x14:id>
        </ext>
      </extLst>
    </cfRule>
  </conditionalFormatting>
  <conditionalFormatting sqref="J696">
    <cfRule type="cellIs" dxfId="8303" priority="3228" operator="equal">
      <formula>"ja"</formula>
    </cfRule>
  </conditionalFormatting>
  <conditionalFormatting sqref="T696">
    <cfRule type="expression" dxfId="8302" priority="3227">
      <formula>AND(AND($W696&lt;TODAY(),$W696&lt;&gt;""),$X696="")</formula>
    </cfRule>
  </conditionalFormatting>
  <conditionalFormatting sqref="Z696">
    <cfRule type="dataBar" priority="3226">
      <dataBar>
        <cfvo type="min"/>
        <cfvo type="max"/>
        <color rgb="FF63C384"/>
      </dataBar>
      <extLst>
        <ext xmlns:x14="http://schemas.microsoft.com/office/spreadsheetml/2009/9/main" uri="{B025F937-C7B1-47D3-B67F-A62EFF666E3E}">
          <x14:id>{149E3D5F-A4C9-4F2A-9A4D-D340A8CA5322}</x14:id>
        </ext>
      </extLst>
    </cfRule>
  </conditionalFormatting>
  <conditionalFormatting sqref="Z696">
    <cfRule type="dataBar" priority="3225">
      <dataBar>
        <cfvo type="min"/>
        <cfvo type="max"/>
        <color rgb="FF63C384"/>
      </dataBar>
      <extLst>
        <ext xmlns:x14="http://schemas.microsoft.com/office/spreadsheetml/2009/9/main" uri="{B025F937-C7B1-47D3-B67F-A62EFF666E3E}">
          <x14:id>{D9B9F794-B839-4C6C-8686-1F73F7830C00}</x14:id>
        </ext>
      </extLst>
    </cfRule>
  </conditionalFormatting>
  <conditionalFormatting sqref="C696">
    <cfRule type="containsText" dxfId="8301" priority="3223" operator="containsText" text="Einnahmen">
      <formula>NOT(ISERROR(SEARCH("Einnahmen",C696)))</formula>
    </cfRule>
    <cfRule type="containsText" dxfId="8300" priority="3224" operator="containsText" text="Ausgaben">
      <formula>NOT(ISERROR(SEARCH("Ausgaben",C696)))</formula>
    </cfRule>
  </conditionalFormatting>
  <conditionalFormatting sqref="J697">
    <cfRule type="cellIs" dxfId="8299" priority="3222" operator="equal">
      <formula>"ja"</formula>
    </cfRule>
  </conditionalFormatting>
  <conditionalFormatting sqref="C697">
    <cfRule type="containsText" dxfId="8298" priority="3220" operator="containsText" text="Einnahmen">
      <formula>NOT(ISERROR(SEARCH("Einnahmen",C697)))</formula>
    </cfRule>
    <cfRule type="containsText" dxfId="8297" priority="3221" operator="containsText" text="Ausgaben">
      <formula>NOT(ISERROR(SEARCH("Ausgaben",C697)))</formula>
    </cfRule>
  </conditionalFormatting>
  <conditionalFormatting sqref="T697">
    <cfRule type="expression" dxfId="8296" priority="3219">
      <formula>AND(AND($W697&lt;TODAY(),$W697&lt;&gt;""),$X697="")</formula>
    </cfRule>
  </conditionalFormatting>
  <conditionalFormatting sqref="Z697">
    <cfRule type="dataBar" priority="3218">
      <dataBar>
        <cfvo type="min"/>
        <cfvo type="max"/>
        <color rgb="FF63C384"/>
      </dataBar>
      <extLst>
        <ext xmlns:x14="http://schemas.microsoft.com/office/spreadsheetml/2009/9/main" uri="{B025F937-C7B1-47D3-B67F-A62EFF666E3E}">
          <x14:id>{0CB9BB0F-B733-4A31-8503-4C25BEC37522}</x14:id>
        </ext>
      </extLst>
    </cfRule>
  </conditionalFormatting>
  <conditionalFormatting sqref="Z697">
    <cfRule type="dataBar" priority="3217">
      <dataBar>
        <cfvo type="min"/>
        <cfvo type="max"/>
        <color rgb="FF63C384"/>
      </dataBar>
      <extLst>
        <ext xmlns:x14="http://schemas.microsoft.com/office/spreadsheetml/2009/9/main" uri="{B025F937-C7B1-47D3-B67F-A62EFF666E3E}">
          <x14:id>{25F99F73-9C69-4576-A19C-FD422FFF7CA3}</x14:id>
        </ext>
      </extLst>
    </cfRule>
  </conditionalFormatting>
  <conditionalFormatting sqref="J697">
    <cfRule type="cellIs" dxfId="8295" priority="3215" operator="equal">
      <formula>"ja"</formula>
    </cfRule>
  </conditionalFormatting>
  <conditionalFormatting sqref="T697">
    <cfRule type="expression" dxfId="8294" priority="3214">
      <formula>AND(AND($W697&lt;TODAY(),$W697&lt;&gt;""),$X697="")</formula>
    </cfRule>
  </conditionalFormatting>
  <conditionalFormatting sqref="Z697">
    <cfRule type="dataBar" priority="3213">
      <dataBar>
        <cfvo type="min"/>
        <cfvo type="max"/>
        <color rgb="FF63C384"/>
      </dataBar>
      <extLst>
        <ext xmlns:x14="http://schemas.microsoft.com/office/spreadsheetml/2009/9/main" uri="{B025F937-C7B1-47D3-B67F-A62EFF666E3E}">
          <x14:id>{07F02A2F-F561-4B35-8FB3-490EB5735D1F}</x14:id>
        </ext>
      </extLst>
    </cfRule>
  </conditionalFormatting>
  <conditionalFormatting sqref="Z697">
    <cfRule type="dataBar" priority="3212">
      <dataBar>
        <cfvo type="min"/>
        <cfvo type="max"/>
        <color rgb="FF63C384"/>
      </dataBar>
      <extLst>
        <ext xmlns:x14="http://schemas.microsoft.com/office/spreadsheetml/2009/9/main" uri="{B025F937-C7B1-47D3-B67F-A62EFF666E3E}">
          <x14:id>{71F93314-259D-4188-B60A-CAB060ECC7AE}</x14:id>
        </ext>
      </extLst>
    </cfRule>
  </conditionalFormatting>
  <conditionalFormatting sqref="J698">
    <cfRule type="cellIs" dxfId="8293" priority="3211" operator="equal">
      <formula>"ja"</formula>
    </cfRule>
  </conditionalFormatting>
  <conditionalFormatting sqref="T698">
    <cfRule type="expression" dxfId="8292" priority="3210">
      <formula>AND(AND($W698&lt;TODAY(),$W698&lt;&gt;""),$X698="")</formula>
    </cfRule>
  </conditionalFormatting>
  <conditionalFormatting sqref="Z698">
    <cfRule type="dataBar" priority="3209">
      <dataBar>
        <cfvo type="min"/>
        <cfvo type="max"/>
        <color rgb="FF63C384"/>
      </dataBar>
      <extLst>
        <ext xmlns:x14="http://schemas.microsoft.com/office/spreadsheetml/2009/9/main" uri="{B025F937-C7B1-47D3-B67F-A62EFF666E3E}">
          <x14:id>{3E60D1B6-4AF5-4FB1-A108-144E860B039D}</x14:id>
        </ext>
      </extLst>
    </cfRule>
  </conditionalFormatting>
  <conditionalFormatting sqref="Z698">
    <cfRule type="dataBar" priority="3208">
      <dataBar>
        <cfvo type="min"/>
        <cfvo type="max"/>
        <color rgb="FF63C384"/>
      </dataBar>
      <extLst>
        <ext xmlns:x14="http://schemas.microsoft.com/office/spreadsheetml/2009/9/main" uri="{B025F937-C7B1-47D3-B67F-A62EFF666E3E}">
          <x14:id>{953616A0-0DA0-4B85-A9EA-37F927259AD0}</x14:id>
        </ext>
      </extLst>
    </cfRule>
  </conditionalFormatting>
  <conditionalFormatting sqref="T698">
    <cfRule type="expression" dxfId="8291" priority="3207">
      <formula>AND(AND($W698&lt;TODAY(),$W698&lt;&gt;""),$X698="")</formula>
    </cfRule>
  </conditionalFormatting>
  <conditionalFormatting sqref="Z698">
    <cfRule type="dataBar" priority="3206">
      <dataBar>
        <cfvo type="min"/>
        <cfvo type="max"/>
        <color rgb="FF63C384"/>
      </dataBar>
      <extLst>
        <ext xmlns:x14="http://schemas.microsoft.com/office/spreadsheetml/2009/9/main" uri="{B025F937-C7B1-47D3-B67F-A62EFF666E3E}">
          <x14:id>{B765B9DD-D52D-4127-AA23-AE58E4379DA8}</x14:id>
        </ext>
      </extLst>
    </cfRule>
  </conditionalFormatting>
  <conditionalFormatting sqref="Z698">
    <cfRule type="dataBar" priority="3205">
      <dataBar>
        <cfvo type="min"/>
        <cfvo type="max"/>
        <color rgb="FF63C384"/>
      </dataBar>
      <extLst>
        <ext xmlns:x14="http://schemas.microsoft.com/office/spreadsheetml/2009/9/main" uri="{B025F937-C7B1-47D3-B67F-A62EFF666E3E}">
          <x14:id>{1A29195D-F4CE-41A6-B7C6-F285091611B3}</x14:id>
        </ext>
      </extLst>
    </cfRule>
  </conditionalFormatting>
  <conditionalFormatting sqref="J698">
    <cfRule type="cellIs" dxfId="8290" priority="3204" operator="equal">
      <formula>"ja"</formula>
    </cfRule>
  </conditionalFormatting>
  <conditionalFormatting sqref="C698">
    <cfRule type="containsText" dxfId="8289" priority="3202" operator="containsText" text="Einnahmen">
      <formula>NOT(ISERROR(SEARCH("Einnahmen",C698)))</formula>
    </cfRule>
    <cfRule type="containsText" dxfId="8288" priority="3203" operator="containsText" text="Ausgaben">
      <formula>NOT(ISERROR(SEARCH("Ausgaben",C698)))</formula>
    </cfRule>
  </conditionalFormatting>
  <conditionalFormatting sqref="C699">
    <cfRule type="containsText" dxfId="8287" priority="3200" operator="containsText" text="Einnahmen">
      <formula>NOT(ISERROR(SEARCH("Einnahmen",C699)))</formula>
    </cfRule>
    <cfRule type="containsText" dxfId="8286" priority="3201" operator="containsText" text="Ausgaben">
      <formula>NOT(ISERROR(SEARCH("Ausgaben",C699)))</formula>
    </cfRule>
  </conditionalFormatting>
  <conditionalFormatting sqref="T699">
    <cfRule type="expression" dxfId="8285" priority="3199">
      <formula>AND(AND($W699&lt;TODAY(),$W699&lt;&gt;""),$X699="")</formula>
    </cfRule>
  </conditionalFormatting>
  <conditionalFormatting sqref="J699">
    <cfRule type="cellIs" dxfId="8284" priority="3197" operator="equal">
      <formula>"ja"</formula>
    </cfRule>
  </conditionalFormatting>
  <conditionalFormatting sqref="Z699">
    <cfRule type="dataBar" priority="3196">
      <dataBar>
        <cfvo type="min"/>
        <cfvo type="max"/>
        <color rgb="FF63C384"/>
      </dataBar>
      <extLst>
        <ext xmlns:x14="http://schemas.microsoft.com/office/spreadsheetml/2009/9/main" uri="{B025F937-C7B1-47D3-B67F-A62EFF666E3E}">
          <x14:id>{57477521-88E1-4E41-ADC3-6EEEE463EF65}</x14:id>
        </ext>
      </extLst>
    </cfRule>
  </conditionalFormatting>
  <conditionalFormatting sqref="Z699">
    <cfRule type="dataBar" priority="3195">
      <dataBar>
        <cfvo type="min"/>
        <cfvo type="max"/>
        <color rgb="FF63C384"/>
      </dataBar>
      <extLst>
        <ext xmlns:x14="http://schemas.microsoft.com/office/spreadsheetml/2009/9/main" uri="{B025F937-C7B1-47D3-B67F-A62EFF666E3E}">
          <x14:id>{D64F54BB-849E-46F6-87AB-86DC07C58118}</x14:id>
        </ext>
      </extLst>
    </cfRule>
  </conditionalFormatting>
  <conditionalFormatting sqref="C700">
    <cfRule type="containsText" dxfId="8283" priority="3193" operator="containsText" text="Einnahmen">
      <formula>NOT(ISERROR(SEARCH("Einnahmen",C700)))</formula>
    </cfRule>
    <cfRule type="containsText" dxfId="8282" priority="3194" operator="containsText" text="Ausgaben">
      <formula>NOT(ISERROR(SEARCH("Ausgaben",C700)))</formula>
    </cfRule>
  </conditionalFormatting>
  <conditionalFormatting sqref="T700">
    <cfRule type="expression" dxfId="8281" priority="3192">
      <formula>AND(AND($W700&lt;TODAY(),$W700&lt;&gt;""),$X700="")</formula>
    </cfRule>
  </conditionalFormatting>
  <conditionalFormatting sqref="Z700">
    <cfRule type="dataBar" priority="3191">
      <dataBar>
        <cfvo type="min"/>
        <cfvo type="max"/>
        <color rgb="FF63C384"/>
      </dataBar>
      <extLst>
        <ext xmlns:x14="http://schemas.microsoft.com/office/spreadsheetml/2009/9/main" uri="{B025F937-C7B1-47D3-B67F-A62EFF666E3E}">
          <x14:id>{5A5B1EC1-14F7-4E57-9049-0CE3387B9AEE}</x14:id>
        </ext>
      </extLst>
    </cfRule>
  </conditionalFormatting>
  <conditionalFormatting sqref="Z700">
    <cfRule type="dataBar" priority="3190">
      <dataBar>
        <cfvo type="min"/>
        <cfvo type="max"/>
        <color rgb="FF63C384"/>
      </dataBar>
      <extLst>
        <ext xmlns:x14="http://schemas.microsoft.com/office/spreadsheetml/2009/9/main" uri="{B025F937-C7B1-47D3-B67F-A62EFF666E3E}">
          <x14:id>{0F2A7C4E-5D11-4AD8-8F8D-B94285675F67}</x14:id>
        </ext>
      </extLst>
    </cfRule>
  </conditionalFormatting>
  <conditionalFormatting sqref="J700">
    <cfRule type="cellIs" dxfId="8280" priority="3189" operator="equal">
      <formula>"ja"</formula>
    </cfRule>
  </conditionalFormatting>
  <conditionalFormatting sqref="T701">
    <cfRule type="expression" dxfId="8279" priority="3187">
      <formula>AND(AND($W701&lt;TODAY(),$W701&lt;&gt;""),$X701="")</formula>
    </cfRule>
  </conditionalFormatting>
  <conditionalFormatting sqref="Z701">
    <cfRule type="dataBar" priority="3186">
      <dataBar>
        <cfvo type="min"/>
        <cfvo type="max"/>
        <color rgb="FF63C384"/>
      </dataBar>
      <extLst>
        <ext xmlns:x14="http://schemas.microsoft.com/office/spreadsheetml/2009/9/main" uri="{B025F937-C7B1-47D3-B67F-A62EFF666E3E}">
          <x14:id>{FF8896D3-DE0F-403B-B118-1351CCFEA4EE}</x14:id>
        </ext>
      </extLst>
    </cfRule>
  </conditionalFormatting>
  <conditionalFormatting sqref="Z701">
    <cfRule type="dataBar" priority="3185">
      <dataBar>
        <cfvo type="min"/>
        <cfvo type="max"/>
        <color rgb="FF63C384"/>
      </dataBar>
      <extLst>
        <ext xmlns:x14="http://schemas.microsoft.com/office/spreadsheetml/2009/9/main" uri="{B025F937-C7B1-47D3-B67F-A62EFF666E3E}">
          <x14:id>{E2B5F383-888E-4BCB-AB88-A92CB3E0D844}</x14:id>
        </ext>
      </extLst>
    </cfRule>
  </conditionalFormatting>
  <conditionalFormatting sqref="T702">
    <cfRule type="expression" dxfId="8278" priority="3184">
      <formula>AND(AND($W702&lt;TODAY(),$W702&lt;&gt;""),$X702="")</formula>
    </cfRule>
  </conditionalFormatting>
  <conditionalFormatting sqref="Z702">
    <cfRule type="dataBar" priority="3183">
      <dataBar>
        <cfvo type="min"/>
        <cfvo type="max"/>
        <color rgb="FF63C384"/>
      </dataBar>
      <extLst>
        <ext xmlns:x14="http://schemas.microsoft.com/office/spreadsheetml/2009/9/main" uri="{B025F937-C7B1-47D3-B67F-A62EFF666E3E}">
          <x14:id>{B5B77E95-C2F8-4FB9-B238-31CD771B25E2}</x14:id>
        </ext>
      </extLst>
    </cfRule>
  </conditionalFormatting>
  <conditionalFormatting sqref="Z702">
    <cfRule type="dataBar" priority="3182">
      <dataBar>
        <cfvo type="min"/>
        <cfvo type="max"/>
        <color rgb="FF63C384"/>
      </dataBar>
      <extLst>
        <ext xmlns:x14="http://schemas.microsoft.com/office/spreadsheetml/2009/9/main" uri="{B025F937-C7B1-47D3-B67F-A62EFF666E3E}">
          <x14:id>{A25BC48C-E812-455F-A70A-9CF2BEF03BD9}</x14:id>
        </ext>
      </extLst>
    </cfRule>
  </conditionalFormatting>
  <conditionalFormatting sqref="J702">
    <cfRule type="cellIs" dxfId="8277" priority="3181" operator="equal">
      <formula>"ja"</formula>
    </cfRule>
  </conditionalFormatting>
  <conditionalFormatting sqref="C702">
    <cfRule type="containsText" dxfId="8276" priority="3179" operator="containsText" text="Einnahmen">
      <formula>NOT(ISERROR(SEARCH("Einnahmen",C702)))</formula>
    </cfRule>
    <cfRule type="containsText" dxfId="8275" priority="3180" operator="containsText" text="Ausgaben">
      <formula>NOT(ISERROR(SEARCH("Ausgaben",C702)))</formula>
    </cfRule>
  </conditionalFormatting>
  <conditionalFormatting sqref="J703">
    <cfRule type="cellIs" dxfId="8274" priority="3177" operator="equal">
      <formula>"ja"</formula>
    </cfRule>
  </conditionalFormatting>
  <conditionalFormatting sqref="C703">
    <cfRule type="containsText" dxfId="8273" priority="3175" operator="containsText" text="Einnahmen">
      <formula>NOT(ISERROR(SEARCH("Einnahmen",C703)))</formula>
    </cfRule>
    <cfRule type="containsText" dxfId="8272" priority="3176" operator="containsText" text="Ausgaben">
      <formula>NOT(ISERROR(SEARCH("Ausgaben",C703)))</formula>
    </cfRule>
  </conditionalFormatting>
  <conditionalFormatting sqref="T703">
    <cfRule type="expression" dxfId="8271" priority="3174">
      <formula>AND(AND($W703&lt;TODAY(),$W703&lt;&gt;""),$X703="")</formula>
    </cfRule>
  </conditionalFormatting>
  <conditionalFormatting sqref="Z703">
    <cfRule type="dataBar" priority="3173">
      <dataBar>
        <cfvo type="min"/>
        <cfvo type="max"/>
        <color rgb="FF63C384"/>
      </dataBar>
      <extLst>
        <ext xmlns:x14="http://schemas.microsoft.com/office/spreadsheetml/2009/9/main" uri="{B025F937-C7B1-47D3-B67F-A62EFF666E3E}">
          <x14:id>{9AFA9577-8761-4977-B74C-F28A48E993A1}</x14:id>
        </ext>
      </extLst>
    </cfRule>
  </conditionalFormatting>
  <conditionalFormatting sqref="Z703">
    <cfRule type="dataBar" priority="3172">
      <dataBar>
        <cfvo type="min"/>
        <cfvo type="max"/>
        <color rgb="FF63C384"/>
      </dataBar>
      <extLst>
        <ext xmlns:x14="http://schemas.microsoft.com/office/spreadsheetml/2009/9/main" uri="{B025F937-C7B1-47D3-B67F-A62EFF666E3E}">
          <x14:id>{4B5DFCF9-E024-4CDB-A6B6-A88C32FDE108}</x14:id>
        </ext>
      </extLst>
    </cfRule>
  </conditionalFormatting>
  <conditionalFormatting sqref="C704">
    <cfRule type="containsText" dxfId="8270" priority="3170" operator="containsText" text="Einnahmen">
      <formula>NOT(ISERROR(SEARCH("Einnahmen",C704)))</formula>
    </cfRule>
    <cfRule type="containsText" dxfId="8269" priority="3171" operator="containsText" text="Ausgaben">
      <formula>NOT(ISERROR(SEARCH("Ausgaben",C704)))</formula>
    </cfRule>
  </conditionalFormatting>
  <conditionalFormatting sqref="J704">
    <cfRule type="cellIs" dxfId="8268" priority="3169" operator="equal">
      <formula>"ja"</formula>
    </cfRule>
  </conditionalFormatting>
  <conditionalFormatting sqref="J704">
    <cfRule type="cellIs" dxfId="8267" priority="3157" operator="equal">
      <formula>"ja"</formula>
    </cfRule>
  </conditionalFormatting>
  <conditionalFormatting sqref="T704">
    <cfRule type="expression" dxfId="8266" priority="3156">
      <formula>AND(AND($W704&lt;TODAY(),$W704&lt;&gt;""),$X704="")</formula>
    </cfRule>
  </conditionalFormatting>
  <conditionalFormatting sqref="T704">
    <cfRule type="expression" dxfId="8265" priority="3168">
      <formula>AND(AND($W704&lt;TODAY(),$W704&lt;&gt;""),$X704="")</formula>
    </cfRule>
  </conditionalFormatting>
  <conditionalFormatting sqref="Z704">
    <cfRule type="dataBar" priority="3167">
      <dataBar>
        <cfvo type="min"/>
        <cfvo type="max"/>
        <color rgb="FF63C384"/>
      </dataBar>
      <extLst>
        <ext xmlns:x14="http://schemas.microsoft.com/office/spreadsheetml/2009/9/main" uri="{B025F937-C7B1-47D3-B67F-A62EFF666E3E}">
          <x14:id>{23A79C38-4BE5-4967-A7FB-1307434D2181}</x14:id>
        </ext>
      </extLst>
    </cfRule>
  </conditionalFormatting>
  <conditionalFormatting sqref="Z704">
    <cfRule type="dataBar" priority="3166">
      <dataBar>
        <cfvo type="min"/>
        <cfvo type="max"/>
        <color rgb="FF63C384"/>
      </dataBar>
      <extLst>
        <ext xmlns:x14="http://schemas.microsoft.com/office/spreadsheetml/2009/9/main" uri="{B025F937-C7B1-47D3-B67F-A62EFF666E3E}">
          <x14:id>{00EE9F4A-91A8-4E1A-87FF-DE2743457CDE}</x14:id>
        </ext>
      </extLst>
    </cfRule>
  </conditionalFormatting>
  <conditionalFormatting sqref="J704">
    <cfRule type="cellIs" dxfId="8264" priority="3165" operator="equal">
      <formula>"ja"</formula>
    </cfRule>
  </conditionalFormatting>
  <conditionalFormatting sqref="T704">
    <cfRule type="expression" dxfId="8263" priority="3164">
      <formula>AND(AND($W704&lt;TODAY(),$W704&lt;&gt;""),$X704="")</formula>
    </cfRule>
  </conditionalFormatting>
  <conditionalFormatting sqref="Z704">
    <cfRule type="dataBar" priority="3163">
      <dataBar>
        <cfvo type="min"/>
        <cfvo type="max"/>
        <color rgb="FF63C384"/>
      </dataBar>
      <extLst>
        <ext xmlns:x14="http://schemas.microsoft.com/office/spreadsheetml/2009/9/main" uri="{B025F937-C7B1-47D3-B67F-A62EFF666E3E}">
          <x14:id>{C3B52C5C-BC69-49A6-B024-DBF3FBD7109C}</x14:id>
        </ext>
      </extLst>
    </cfRule>
  </conditionalFormatting>
  <conditionalFormatting sqref="Z704">
    <cfRule type="dataBar" priority="3162">
      <dataBar>
        <cfvo type="min"/>
        <cfvo type="max"/>
        <color rgb="FF63C384"/>
      </dataBar>
      <extLst>
        <ext xmlns:x14="http://schemas.microsoft.com/office/spreadsheetml/2009/9/main" uri="{B025F937-C7B1-47D3-B67F-A62EFF666E3E}">
          <x14:id>{9C9712F0-3DAB-472B-B827-8768DE58724A}</x14:id>
        </ext>
      </extLst>
    </cfRule>
  </conditionalFormatting>
  <conditionalFormatting sqref="J704">
    <cfRule type="cellIs" dxfId="8262" priority="3161" operator="equal">
      <formula>"ja"</formula>
    </cfRule>
  </conditionalFormatting>
  <conditionalFormatting sqref="T704">
    <cfRule type="expression" dxfId="8261" priority="3160">
      <formula>AND(AND($W704&lt;TODAY(),$W704&lt;&gt;""),$X704="")</formula>
    </cfRule>
  </conditionalFormatting>
  <conditionalFormatting sqref="Z704">
    <cfRule type="dataBar" priority="3159">
      <dataBar>
        <cfvo type="min"/>
        <cfvo type="max"/>
        <color rgb="FF63C384"/>
      </dataBar>
      <extLst>
        <ext xmlns:x14="http://schemas.microsoft.com/office/spreadsheetml/2009/9/main" uri="{B025F937-C7B1-47D3-B67F-A62EFF666E3E}">
          <x14:id>{F18163DB-F9D1-46A4-AB68-84E53D0C2C1F}</x14:id>
        </ext>
      </extLst>
    </cfRule>
  </conditionalFormatting>
  <conditionalFormatting sqref="Z704">
    <cfRule type="dataBar" priority="3158">
      <dataBar>
        <cfvo type="min"/>
        <cfvo type="max"/>
        <color rgb="FF63C384"/>
      </dataBar>
      <extLst>
        <ext xmlns:x14="http://schemas.microsoft.com/office/spreadsheetml/2009/9/main" uri="{B025F937-C7B1-47D3-B67F-A62EFF666E3E}">
          <x14:id>{5D11583B-BB5E-40BC-B5BC-644F9652EEC1}</x14:id>
        </ext>
      </extLst>
    </cfRule>
  </conditionalFormatting>
  <conditionalFormatting sqref="Z704">
    <cfRule type="dataBar" priority="3155">
      <dataBar>
        <cfvo type="min"/>
        <cfvo type="max"/>
        <color rgb="FF63C384"/>
      </dataBar>
      <extLst>
        <ext xmlns:x14="http://schemas.microsoft.com/office/spreadsheetml/2009/9/main" uri="{B025F937-C7B1-47D3-B67F-A62EFF666E3E}">
          <x14:id>{0AA03799-ADB0-47D7-B87D-D32A34D2C568}</x14:id>
        </ext>
      </extLst>
    </cfRule>
  </conditionalFormatting>
  <conditionalFormatting sqref="Z704">
    <cfRule type="dataBar" priority="3154">
      <dataBar>
        <cfvo type="min"/>
        <cfvo type="max"/>
        <color rgb="FF63C384"/>
      </dataBar>
      <extLst>
        <ext xmlns:x14="http://schemas.microsoft.com/office/spreadsheetml/2009/9/main" uri="{B025F937-C7B1-47D3-B67F-A62EFF666E3E}">
          <x14:id>{DAB836B9-FD84-4265-9BCC-B6E6B91C6962}</x14:id>
        </ext>
      </extLst>
    </cfRule>
  </conditionalFormatting>
  <conditionalFormatting sqref="C705">
    <cfRule type="containsText" dxfId="8260" priority="3139" operator="containsText" text="Einnahmen">
      <formula>NOT(ISERROR(SEARCH("Einnahmen",C705)))</formula>
    </cfRule>
    <cfRule type="containsText" dxfId="8259" priority="3140" operator="containsText" text="Ausgaben">
      <formula>NOT(ISERROR(SEARCH("Ausgaben",C705)))</formula>
    </cfRule>
  </conditionalFormatting>
  <conditionalFormatting sqref="C706">
    <cfRule type="containsText" dxfId="8258" priority="3131" operator="containsText" text="Einnahmen">
      <formula>NOT(ISERROR(SEARCH("Einnahmen",C706)))</formula>
    </cfRule>
    <cfRule type="containsText" dxfId="8257" priority="3132" operator="containsText" text="Ausgaben">
      <formula>NOT(ISERROR(SEARCH("Ausgaben",C706)))</formula>
    </cfRule>
  </conditionalFormatting>
  <conditionalFormatting sqref="J706">
    <cfRule type="cellIs" dxfId="8256" priority="3130" operator="equal">
      <formula>"ja"</formula>
    </cfRule>
  </conditionalFormatting>
  <conditionalFormatting sqref="T706">
    <cfRule type="expression" dxfId="8255" priority="3129">
      <formula>AND(AND($W706&lt;TODAY(),$W706&lt;&gt;""),$X706="")</formula>
    </cfRule>
  </conditionalFormatting>
  <conditionalFormatting sqref="Z706">
    <cfRule type="dataBar" priority="3128">
      <dataBar>
        <cfvo type="min"/>
        <cfvo type="max"/>
        <color rgb="FF63C384"/>
      </dataBar>
      <extLst>
        <ext xmlns:x14="http://schemas.microsoft.com/office/spreadsheetml/2009/9/main" uri="{B025F937-C7B1-47D3-B67F-A62EFF666E3E}">
          <x14:id>{15207DB1-4A4E-4028-AE36-B142E851CD11}</x14:id>
        </ext>
      </extLst>
    </cfRule>
  </conditionalFormatting>
  <conditionalFormatting sqref="Z706">
    <cfRule type="dataBar" priority="3127">
      <dataBar>
        <cfvo type="min"/>
        <cfvo type="max"/>
        <color rgb="FF63C384"/>
      </dataBar>
      <extLst>
        <ext xmlns:x14="http://schemas.microsoft.com/office/spreadsheetml/2009/9/main" uri="{B025F937-C7B1-47D3-B67F-A62EFF666E3E}">
          <x14:id>{1ECBA807-555F-43B3-8ADF-C105DBA11042}</x14:id>
        </ext>
      </extLst>
    </cfRule>
  </conditionalFormatting>
  <conditionalFormatting sqref="T706">
    <cfRule type="expression" dxfId="8254" priority="3125">
      <formula>AND(AND($W706&lt;TODAY(),$W706&lt;&gt;""),$X706="")</formula>
    </cfRule>
  </conditionalFormatting>
  <conditionalFormatting sqref="Z706">
    <cfRule type="dataBar" priority="3124">
      <dataBar>
        <cfvo type="min"/>
        <cfvo type="max"/>
        <color rgb="FF63C384"/>
      </dataBar>
      <extLst>
        <ext xmlns:x14="http://schemas.microsoft.com/office/spreadsheetml/2009/9/main" uri="{B025F937-C7B1-47D3-B67F-A62EFF666E3E}">
          <x14:id>{05F26461-F588-47CA-8C53-A0F7D511E2DD}</x14:id>
        </ext>
      </extLst>
    </cfRule>
  </conditionalFormatting>
  <conditionalFormatting sqref="Z706">
    <cfRule type="dataBar" priority="3123">
      <dataBar>
        <cfvo type="min"/>
        <cfvo type="max"/>
        <color rgb="FF63C384"/>
      </dataBar>
      <extLst>
        <ext xmlns:x14="http://schemas.microsoft.com/office/spreadsheetml/2009/9/main" uri="{B025F937-C7B1-47D3-B67F-A62EFF666E3E}">
          <x14:id>{6881A1F0-13C1-4FE8-86C8-3995CE59B593}</x14:id>
        </ext>
      </extLst>
    </cfRule>
  </conditionalFormatting>
  <conditionalFormatting sqref="J706">
    <cfRule type="cellIs" dxfId="8253" priority="3122" operator="equal">
      <formula>"ja"</formula>
    </cfRule>
  </conditionalFormatting>
  <conditionalFormatting sqref="J707">
    <cfRule type="cellIs" dxfId="8252" priority="3119" operator="equal">
      <formula>"ja"</formula>
    </cfRule>
  </conditionalFormatting>
  <conditionalFormatting sqref="T707">
    <cfRule type="expression" dxfId="8251" priority="3118">
      <formula>AND(AND($W707&lt;TODAY(),$W707&lt;&gt;""),$X707="")</formula>
    </cfRule>
  </conditionalFormatting>
  <conditionalFormatting sqref="Z707">
    <cfRule type="dataBar" priority="3117">
      <dataBar>
        <cfvo type="min"/>
        <cfvo type="max"/>
        <color rgb="FF63C384"/>
      </dataBar>
      <extLst>
        <ext xmlns:x14="http://schemas.microsoft.com/office/spreadsheetml/2009/9/main" uri="{B025F937-C7B1-47D3-B67F-A62EFF666E3E}">
          <x14:id>{C579E329-DF09-4561-AFD3-16B9F4F09609}</x14:id>
        </ext>
      </extLst>
    </cfRule>
  </conditionalFormatting>
  <conditionalFormatting sqref="Z707">
    <cfRule type="dataBar" priority="3116">
      <dataBar>
        <cfvo type="min"/>
        <cfvo type="max"/>
        <color rgb="FF63C384"/>
      </dataBar>
      <extLst>
        <ext xmlns:x14="http://schemas.microsoft.com/office/spreadsheetml/2009/9/main" uri="{B025F937-C7B1-47D3-B67F-A62EFF666E3E}">
          <x14:id>{BEEDFC7D-93B7-45A1-9A47-7EE0D0055079}</x14:id>
        </ext>
      </extLst>
    </cfRule>
  </conditionalFormatting>
  <conditionalFormatting sqref="J705">
    <cfRule type="cellIs" dxfId="8250" priority="3114" operator="equal">
      <formula>"ja"</formula>
    </cfRule>
  </conditionalFormatting>
  <conditionalFormatting sqref="T705">
    <cfRule type="expression" dxfId="8249" priority="3113">
      <formula>AND(AND($W705&lt;TODAY(),$W705&lt;&gt;""),$X705="")</formula>
    </cfRule>
  </conditionalFormatting>
  <conditionalFormatting sqref="Z705">
    <cfRule type="dataBar" priority="3112">
      <dataBar>
        <cfvo type="min"/>
        <cfvo type="max"/>
        <color rgb="FF63C384"/>
      </dataBar>
      <extLst>
        <ext xmlns:x14="http://schemas.microsoft.com/office/spreadsheetml/2009/9/main" uri="{B025F937-C7B1-47D3-B67F-A62EFF666E3E}">
          <x14:id>{7D48A5E4-2554-4A69-B8F1-A769BC8947F4}</x14:id>
        </ext>
      </extLst>
    </cfRule>
  </conditionalFormatting>
  <conditionalFormatting sqref="Z705">
    <cfRule type="dataBar" priority="3111">
      <dataBar>
        <cfvo type="min"/>
        <cfvo type="max"/>
        <color rgb="FF63C384"/>
      </dataBar>
      <extLst>
        <ext xmlns:x14="http://schemas.microsoft.com/office/spreadsheetml/2009/9/main" uri="{B025F937-C7B1-47D3-B67F-A62EFF666E3E}">
          <x14:id>{437DFD45-C8CF-4652-8FEE-D0B4338C06BF}</x14:id>
        </ext>
      </extLst>
    </cfRule>
  </conditionalFormatting>
  <conditionalFormatting sqref="C708">
    <cfRule type="containsText" dxfId="8248" priority="3109" operator="containsText" text="Einnahmen">
      <formula>NOT(ISERROR(SEARCH("Einnahmen",C708)))</formula>
    </cfRule>
    <cfRule type="containsText" dxfId="8247" priority="3110" operator="containsText" text="Ausgaben">
      <formula>NOT(ISERROR(SEARCH("Ausgaben",C708)))</formula>
    </cfRule>
  </conditionalFormatting>
  <conditionalFormatting sqref="J708">
    <cfRule type="cellIs" dxfId="8246" priority="3108" operator="equal">
      <formula>"ja"</formula>
    </cfRule>
  </conditionalFormatting>
  <conditionalFormatting sqref="T708">
    <cfRule type="expression" dxfId="8245" priority="3107">
      <formula>AND(AND($W708&lt;TODAY(),$W708&lt;&gt;""),$X708="")</formula>
    </cfRule>
  </conditionalFormatting>
  <conditionalFormatting sqref="Z708">
    <cfRule type="dataBar" priority="3106">
      <dataBar>
        <cfvo type="min"/>
        <cfvo type="max"/>
        <color rgb="FF63C384"/>
      </dataBar>
      <extLst>
        <ext xmlns:x14="http://schemas.microsoft.com/office/spreadsheetml/2009/9/main" uri="{B025F937-C7B1-47D3-B67F-A62EFF666E3E}">
          <x14:id>{AE935994-29D3-4433-B374-931DCA34D946}</x14:id>
        </ext>
      </extLst>
    </cfRule>
  </conditionalFormatting>
  <conditionalFormatting sqref="Z708">
    <cfRule type="dataBar" priority="3105">
      <dataBar>
        <cfvo type="min"/>
        <cfvo type="max"/>
        <color rgb="FF63C384"/>
      </dataBar>
      <extLst>
        <ext xmlns:x14="http://schemas.microsoft.com/office/spreadsheetml/2009/9/main" uri="{B025F937-C7B1-47D3-B67F-A62EFF666E3E}">
          <x14:id>{5D466019-D6BB-4738-9FD7-98E6FF6947C6}</x14:id>
        </ext>
      </extLst>
    </cfRule>
  </conditionalFormatting>
  <conditionalFormatting sqref="T708">
    <cfRule type="expression" dxfId="8244" priority="3104">
      <formula>AND(AND($W708&lt;TODAY(),$W708&lt;&gt;""),$X708="")</formula>
    </cfRule>
  </conditionalFormatting>
  <conditionalFormatting sqref="J708">
    <cfRule type="cellIs" dxfId="8243" priority="3103" operator="equal">
      <formula>"ja"</formula>
    </cfRule>
  </conditionalFormatting>
  <conditionalFormatting sqref="Z708">
    <cfRule type="dataBar" priority="3102">
      <dataBar>
        <cfvo type="min"/>
        <cfvo type="max"/>
        <color rgb="FF63C384"/>
      </dataBar>
      <extLst>
        <ext xmlns:x14="http://schemas.microsoft.com/office/spreadsheetml/2009/9/main" uri="{B025F937-C7B1-47D3-B67F-A62EFF666E3E}">
          <x14:id>{80FA0C85-D5E7-4D57-B32C-6E5D0F16F1BD}</x14:id>
        </ext>
      </extLst>
    </cfRule>
  </conditionalFormatting>
  <conditionalFormatting sqref="Z708">
    <cfRule type="dataBar" priority="3101">
      <dataBar>
        <cfvo type="min"/>
        <cfvo type="max"/>
        <color rgb="FF63C384"/>
      </dataBar>
      <extLst>
        <ext xmlns:x14="http://schemas.microsoft.com/office/spreadsheetml/2009/9/main" uri="{B025F937-C7B1-47D3-B67F-A62EFF666E3E}">
          <x14:id>{62262236-9533-48E5-B581-FFC2ED3F54CD}</x14:id>
        </ext>
      </extLst>
    </cfRule>
  </conditionalFormatting>
  <conditionalFormatting sqref="J710">
    <cfRule type="cellIs" dxfId="8242" priority="3085" operator="equal">
      <formula>"ja"</formula>
    </cfRule>
  </conditionalFormatting>
  <conditionalFormatting sqref="C710">
    <cfRule type="containsText" dxfId="8241" priority="3083" operator="containsText" text="Einnahmen">
      <formula>NOT(ISERROR(SEARCH("Einnahmen",C710)))</formula>
    </cfRule>
    <cfRule type="containsText" dxfId="8240" priority="3084" operator="containsText" text="Ausgaben">
      <formula>NOT(ISERROR(SEARCH("Ausgaben",C710)))</formula>
    </cfRule>
  </conditionalFormatting>
  <conditionalFormatting sqref="T710">
    <cfRule type="expression" dxfId="8239" priority="3082">
      <formula>AND(AND($W710&lt;TODAY(),$W710&lt;&gt;""),$X710="")</formula>
    </cfRule>
  </conditionalFormatting>
  <conditionalFormatting sqref="Z710">
    <cfRule type="dataBar" priority="3081">
      <dataBar>
        <cfvo type="min"/>
        <cfvo type="max"/>
        <color rgb="FF63C384"/>
      </dataBar>
      <extLst>
        <ext xmlns:x14="http://schemas.microsoft.com/office/spreadsheetml/2009/9/main" uri="{B025F937-C7B1-47D3-B67F-A62EFF666E3E}">
          <x14:id>{F41FBD43-E832-4683-949C-5E900F00149E}</x14:id>
        </ext>
      </extLst>
    </cfRule>
  </conditionalFormatting>
  <conditionalFormatting sqref="Z710">
    <cfRule type="dataBar" priority="3080">
      <dataBar>
        <cfvo type="min"/>
        <cfvo type="max"/>
        <color rgb="FF63C384"/>
      </dataBar>
      <extLst>
        <ext xmlns:x14="http://schemas.microsoft.com/office/spreadsheetml/2009/9/main" uri="{B025F937-C7B1-47D3-B67F-A62EFF666E3E}">
          <x14:id>{98D7C928-13EB-4D31-8A6C-DB13A242AB6F}</x14:id>
        </ext>
      </extLst>
    </cfRule>
  </conditionalFormatting>
  <conditionalFormatting sqref="J711">
    <cfRule type="cellIs" dxfId="8238" priority="3079" operator="equal">
      <formula>"ja"</formula>
    </cfRule>
  </conditionalFormatting>
  <conditionalFormatting sqref="C711">
    <cfRule type="containsText" dxfId="8237" priority="3077" operator="containsText" text="Einnahmen">
      <formula>NOT(ISERROR(SEARCH("Einnahmen",C711)))</formula>
    </cfRule>
    <cfRule type="containsText" dxfId="8236" priority="3078" operator="containsText" text="Ausgaben">
      <formula>NOT(ISERROR(SEARCH("Ausgaben",C711)))</formula>
    </cfRule>
  </conditionalFormatting>
  <conditionalFormatting sqref="T711">
    <cfRule type="expression" dxfId="8235" priority="3076">
      <formula>AND(AND($W711&lt;TODAY(),$W711&lt;&gt;""),$X711="")</formula>
    </cfRule>
  </conditionalFormatting>
  <conditionalFormatting sqref="Z711">
    <cfRule type="dataBar" priority="3075">
      <dataBar>
        <cfvo type="min"/>
        <cfvo type="max"/>
        <color rgb="FF63C384"/>
      </dataBar>
      <extLst>
        <ext xmlns:x14="http://schemas.microsoft.com/office/spreadsheetml/2009/9/main" uri="{B025F937-C7B1-47D3-B67F-A62EFF666E3E}">
          <x14:id>{9E967017-7294-4E75-A39A-94BC158FE4CE}</x14:id>
        </ext>
      </extLst>
    </cfRule>
  </conditionalFormatting>
  <conditionalFormatting sqref="Z711">
    <cfRule type="dataBar" priority="3074">
      <dataBar>
        <cfvo type="min"/>
        <cfvo type="max"/>
        <color rgb="FF63C384"/>
      </dataBar>
      <extLst>
        <ext xmlns:x14="http://schemas.microsoft.com/office/spreadsheetml/2009/9/main" uri="{B025F937-C7B1-47D3-B67F-A62EFF666E3E}">
          <x14:id>{384FF560-29F7-449D-A7E0-DFE890FB2A03}</x14:id>
        </ext>
      </extLst>
    </cfRule>
  </conditionalFormatting>
  <conditionalFormatting sqref="J711">
    <cfRule type="cellIs" dxfId="8234" priority="3072" operator="equal">
      <formula>"ja"</formula>
    </cfRule>
  </conditionalFormatting>
  <conditionalFormatting sqref="T711">
    <cfRule type="expression" dxfId="8233" priority="3071">
      <formula>AND(AND($W711&lt;TODAY(),$W711&lt;&gt;""),$X711="")</formula>
    </cfRule>
  </conditionalFormatting>
  <conditionalFormatting sqref="Z711">
    <cfRule type="dataBar" priority="3070">
      <dataBar>
        <cfvo type="min"/>
        <cfvo type="max"/>
        <color rgb="FF63C384"/>
      </dataBar>
      <extLst>
        <ext xmlns:x14="http://schemas.microsoft.com/office/spreadsheetml/2009/9/main" uri="{B025F937-C7B1-47D3-B67F-A62EFF666E3E}">
          <x14:id>{541F4592-AFD5-4D47-9510-66B57D631CB4}</x14:id>
        </ext>
      </extLst>
    </cfRule>
  </conditionalFormatting>
  <conditionalFormatting sqref="Z711">
    <cfRule type="dataBar" priority="3069">
      <dataBar>
        <cfvo type="min"/>
        <cfvo type="max"/>
        <color rgb="FF63C384"/>
      </dataBar>
      <extLst>
        <ext xmlns:x14="http://schemas.microsoft.com/office/spreadsheetml/2009/9/main" uri="{B025F937-C7B1-47D3-B67F-A62EFF666E3E}">
          <x14:id>{FA1A007F-BE82-41D1-A24B-CB5B5A1B65B2}</x14:id>
        </ext>
      </extLst>
    </cfRule>
  </conditionalFormatting>
  <conditionalFormatting sqref="C710">
    <cfRule type="containsText" dxfId="8232" priority="3066" operator="containsText" text="Einnahmen">
      <formula>NOT(ISERROR(SEARCH("Einnahmen",C710)))</formula>
    </cfRule>
    <cfRule type="containsText" dxfId="8231" priority="3067" operator="containsText" text="Ausgaben">
      <formula>NOT(ISERROR(SEARCH("Ausgaben",C710)))</formula>
    </cfRule>
  </conditionalFormatting>
  <conditionalFormatting sqref="T710">
    <cfRule type="expression" dxfId="8230" priority="3065">
      <formula>AND(AND($W710&lt;TODAY(),$W710&lt;&gt;""),$X710="")</formula>
    </cfRule>
  </conditionalFormatting>
  <conditionalFormatting sqref="J710">
    <cfRule type="cellIs" dxfId="8229" priority="3064" operator="equal">
      <formula>"ja"</formula>
    </cfRule>
  </conditionalFormatting>
  <conditionalFormatting sqref="Z710">
    <cfRule type="dataBar" priority="3063">
      <dataBar>
        <cfvo type="min"/>
        <cfvo type="max"/>
        <color rgb="FF63C384"/>
      </dataBar>
      <extLst>
        <ext xmlns:x14="http://schemas.microsoft.com/office/spreadsheetml/2009/9/main" uri="{B025F937-C7B1-47D3-B67F-A62EFF666E3E}">
          <x14:id>{6F8AABEE-9EED-4FF1-8816-857286DC5472}</x14:id>
        </ext>
      </extLst>
    </cfRule>
  </conditionalFormatting>
  <conditionalFormatting sqref="Z710">
    <cfRule type="dataBar" priority="3062">
      <dataBar>
        <cfvo type="min"/>
        <cfvo type="max"/>
        <color rgb="FF63C384"/>
      </dataBar>
      <extLst>
        <ext xmlns:x14="http://schemas.microsoft.com/office/spreadsheetml/2009/9/main" uri="{B025F937-C7B1-47D3-B67F-A62EFF666E3E}">
          <x14:id>{87DA21E7-F7FE-4794-A187-5636991FCC7E}</x14:id>
        </ext>
      </extLst>
    </cfRule>
  </conditionalFormatting>
  <conditionalFormatting sqref="J711">
    <cfRule type="cellIs" dxfId="8228" priority="3061" operator="equal">
      <formula>"ja"</formula>
    </cfRule>
  </conditionalFormatting>
  <conditionalFormatting sqref="C711">
    <cfRule type="containsText" dxfId="8227" priority="3059" operator="containsText" text="Einnahmen">
      <formula>NOT(ISERROR(SEARCH("Einnahmen",C711)))</formula>
    </cfRule>
    <cfRule type="containsText" dxfId="8226" priority="3060" operator="containsText" text="Ausgaben">
      <formula>NOT(ISERROR(SEARCH("Ausgaben",C711)))</formula>
    </cfRule>
  </conditionalFormatting>
  <conditionalFormatting sqref="T711">
    <cfRule type="expression" dxfId="8225" priority="3058">
      <formula>AND(AND($W711&lt;TODAY(),$W711&lt;&gt;""),$X711="")</formula>
    </cfRule>
  </conditionalFormatting>
  <conditionalFormatting sqref="Z711">
    <cfRule type="dataBar" priority="3057">
      <dataBar>
        <cfvo type="min"/>
        <cfvo type="max"/>
        <color rgb="FF63C384"/>
      </dataBar>
      <extLst>
        <ext xmlns:x14="http://schemas.microsoft.com/office/spreadsheetml/2009/9/main" uri="{B025F937-C7B1-47D3-B67F-A62EFF666E3E}">
          <x14:id>{41DBF123-9337-44C0-A5B5-CB104DBFCB34}</x14:id>
        </ext>
      </extLst>
    </cfRule>
  </conditionalFormatting>
  <conditionalFormatting sqref="Z711">
    <cfRule type="dataBar" priority="3056">
      <dataBar>
        <cfvo type="min"/>
        <cfvo type="max"/>
        <color rgb="FF63C384"/>
      </dataBar>
      <extLst>
        <ext xmlns:x14="http://schemas.microsoft.com/office/spreadsheetml/2009/9/main" uri="{B025F937-C7B1-47D3-B67F-A62EFF666E3E}">
          <x14:id>{2DC70C85-8CD0-4088-A4BD-59972D964A2D}</x14:id>
        </ext>
      </extLst>
    </cfRule>
  </conditionalFormatting>
  <conditionalFormatting sqref="J712">
    <cfRule type="cellIs" dxfId="8224" priority="3055" operator="equal">
      <formula>"ja"</formula>
    </cfRule>
  </conditionalFormatting>
  <conditionalFormatting sqref="C712">
    <cfRule type="containsText" dxfId="8223" priority="3053" operator="containsText" text="Einnahmen">
      <formula>NOT(ISERROR(SEARCH("Einnahmen",C712)))</formula>
    </cfRule>
    <cfRule type="containsText" dxfId="8222" priority="3054" operator="containsText" text="Ausgaben">
      <formula>NOT(ISERROR(SEARCH("Ausgaben",C712)))</formula>
    </cfRule>
  </conditionalFormatting>
  <conditionalFormatting sqref="T712">
    <cfRule type="expression" dxfId="8221" priority="3052">
      <formula>AND(AND($W712&lt;TODAY(),$W712&lt;&gt;""),$X712="")</formula>
    </cfRule>
  </conditionalFormatting>
  <conditionalFormatting sqref="Z712">
    <cfRule type="dataBar" priority="3051">
      <dataBar>
        <cfvo type="min"/>
        <cfvo type="max"/>
        <color rgb="FF63C384"/>
      </dataBar>
      <extLst>
        <ext xmlns:x14="http://schemas.microsoft.com/office/spreadsheetml/2009/9/main" uri="{B025F937-C7B1-47D3-B67F-A62EFF666E3E}">
          <x14:id>{4E1E4C7B-1A3F-47BE-9DD4-620CC1828F73}</x14:id>
        </ext>
      </extLst>
    </cfRule>
  </conditionalFormatting>
  <conditionalFormatting sqref="Z712">
    <cfRule type="dataBar" priority="3050">
      <dataBar>
        <cfvo type="min"/>
        <cfvo type="max"/>
        <color rgb="FF63C384"/>
      </dataBar>
      <extLst>
        <ext xmlns:x14="http://schemas.microsoft.com/office/spreadsheetml/2009/9/main" uri="{B025F937-C7B1-47D3-B67F-A62EFF666E3E}">
          <x14:id>{253DDE69-B8F1-456E-BAB4-44825372D361}</x14:id>
        </ext>
      </extLst>
    </cfRule>
  </conditionalFormatting>
  <conditionalFormatting sqref="J712">
    <cfRule type="cellIs" dxfId="8220" priority="3048" operator="equal">
      <formula>"ja"</formula>
    </cfRule>
  </conditionalFormatting>
  <conditionalFormatting sqref="T712">
    <cfRule type="expression" dxfId="8219" priority="3047">
      <formula>AND(AND($W712&lt;TODAY(),$W712&lt;&gt;""),$X712="")</formula>
    </cfRule>
  </conditionalFormatting>
  <conditionalFormatting sqref="Z712">
    <cfRule type="dataBar" priority="3046">
      <dataBar>
        <cfvo type="min"/>
        <cfvo type="max"/>
        <color rgb="FF63C384"/>
      </dataBar>
      <extLst>
        <ext xmlns:x14="http://schemas.microsoft.com/office/spreadsheetml/2009/9/main" uri="{B025F937-C7B1-47D3-B67F-A62EFF666E3E}">
          <x14:id>{1997F0F4-D608-4C60-8367-EF1D14D03800}</x14:id>
        </ext>
      </extLst>
    </cfRule>
  </conditionalFormatting>
  <conditionalFormatting sqref="Z712">
    <cfRule type="dataBar" priority="3045">
      <dataBar>
        <cfvo type="min"/>
        <cfvo type="max"/>
        <color rgb="FF63C384"/>
      </dataBar>
      <extLst>
        <ext xmlns:x14="http://schemas.microsoft.com/office/spreadsheetml/2009/9/main" uri="{B025F937-C7B1-47D3-B67F-A62EFF666E3E}">
          <x14:id>{73C2E97E-E20A-429D-971B-6247A84652CF}</x14:id>
        </ext>
      </extLst>
    </cfRule>
  </conditionalFormatting>
  <conditionalFormatting sqref="J709">
    <cfRule type="cellIs" dxfId="8218" priority="3044" operator="equal">
      <formula>"ja"</formula>
    </cfRule>
  </conditionalFormatting>
  <conditionalFormatting sqref="C709">
    <cfRule type="containsText" dxfId="8217" priority="3042" operator="containsText" text="Einnahmen">
      <formula>NOT(ISERROR(SEARCH("Einnahmen",C709)))</formula>
    </cfRule>
    <cfRule type="containsText" dxfId="8216" priority="3043" operator="containsText" text="Ausgaben">
      <formula>NOT(ISERROR(SEARCH("Ausgaben",C709)))</formula>
    </cfRule>
  </conditionalFormatting>
  <conditionalFormatting sqref="T709">
    <cfRule type="expression" dxfId="8215" priority="3041">
      <formula>AND(AND($W709&lt;TODAY(),$W709&lt;&gt;""),$X709="")</formula>
    </cfRule>
  </conditionalFormatting>
  <conditionalFormatting sqref="Z709">
    <cfRule type="dataBar" priority="3040">
      <dataBar>
        <cfvo type="min"/>
        <cfvo type="max"/>
        <color rgb="FF63C384"/>
      </dataBar>
      <extLst>
        <ext xmlns:x14="http://schemas.microsoft.com/office/spreadsheetml/2009/9/main" uri="{B025F937-C7B1-47D3-B67F-A62EFF666E3E}">
          <x14:id>{54F51F2D-1A30-474E-B1F1-9772BDB535A3}</x14:id>
        </ext>
      </extLst>
    </cfRule>
  </conditionalFormatting>
  <conditionalFormatting sqref="Z709">
    <cfRule type="dataBar" priority="3039">
      <dataBar>
        <cfvo type="min"/>
        <cfvo type="max"/>
        <color rgb="FF63C384"/>
      </dataBar>
      <extLst>
        <ext xmlns:x14="http://schemas.microsoft.com/office/spreadsheetml/2009/9/main" uri="{B025F937-C7B1-47D3-B67F-A62EFF666E3E}">
          <x14:id>{74CE74F2-6A7C-4983-92CA-D261374F8ABF}</x14:id>
        </ext>
      </extLst>
    </cfRule>
  </conditionalFormatting>
  <conditionalFormatting sqref="J713">
    <cfRule type="cellIs" dxfId="8214" priority="3037" operator="equal">
      <formula>"ja"</formula>
    </cfRule>
  </conditionalFormatting>
  <conditionalFormatting sqref="T713">
    <cfRule type="expression" dxfId="8213" priority="3036">
      <formula>AND(AND($W713&lt;TODAY(),$W713&lt;&gt;""),$X713="")</formula>
    </cfRule>
  </conditionalFormatting>
  <conditionalFormatting sqref="Z713">
    <cfRule type="dataBar" priority="3035">
      <dataBar>
        <cfvo type="min"/>
        <cfvo type="max"/>
        <color rgb="FF63C384"/>
      </dataBar>
      <extLst>
        <ext xmlns:x14="http://schemas.microsoft.com/office/spreadsheetml/2009/9/main" uri="{B025F937-C7B1-47D3-B67F-A62EFF666E3E}">
          <x14:id>{170A4F13-9D34-49B3-8529-EEF8F79A0B4B}</x14:id>
        </ext>
      </extLst>
    </cfRule>
  </conditionalFormatting>
  <conditionalFormatting sqref="Z713">
    <cfRule type="dataBar" priority="3034">
      <dataBar>
        <cfvo type="min"/>
        <cfvo type="max"/>
        <color rgb="FF63C384"/>
      </dataBar>
      <extLst>
        <ext xmlns:x14="http://schemas.microsoft.com/office/spreadsheetml/2009/9/main" uri="{B025F937-C7B1-47D3-B67F-A62EFF666E3E}">
          <x14:id>{6A16745B-64EA-4500-A9FA-0B0625F94F0B}</x14:id>
        </ext>
      </extLst>
    </cfRule>
  </conditionalFormatting>
  <conditionalFormatting sqref="T713">
    <cfRule type="expression" dxfId="8212" priority="3033">
      <formula>AND(AND($W713&lt;TODAY(),$W713&lt;&gt;""),$X713="")</formula>
    </cfRule>
  </conditionalFormatting>
  <conditionalFormatting sqref="Z713">
    <cfRule type="dataBar" priority="3032">
      <dataBar>
        <cfvo type="min"/>
        <cfvo type="max"/>
        <color rgb="FF63C384"/>
      </dataBar>
      <extLst>
        <ext xmlns:x14="http://schemas.microsoft.com/office/spreadsheetml/2009/9/main" uri="{B025F937-C7B1-47D3-B67F-A62EFF666E3E}">
          <x14:id>{E5AB2C4B-FE03-4171-A551-38D02E3945D9}</x14:id>
        </ext>
      </extLst>
    </cfRule>
  </conditionalFormatting>
  <conditionalFormatting sqref="Z713">
    <cfRule type="dataBar" priority="3031">
      <dataBar>
        <cfvo type="min"/>
        <cfvo type="max"/>
        <color rgb="FF63C384"/>
      </dataBar>
      <extLst>
        <ext xmlns:x14="http://schemas.microsoft.com/office/spreadsheetml/2009/9/main" uri="{B025F937-C7B1-47D3-B67F-A62EFF666E3E}">
          <x14:id>{84910E43-7244-43DD-A437-0038AA8CE5E0}</x14:id>
        </ext>
      </extLst>
    </cfRule>
  </conditionalFormatting>
  <conditionalFormatting sqref="J713">
    <cfRule type="cellIs" dxfId="8211" priority="3030" operator="equal">
      <formula>"ja"</formula>
    </cfRule>
  </conditionalFormatting>
  <conditionalFormatting sqref="C713">
    <cfRule type="containsText" dxfId="8210" priority="3028" operator="containsText" text="Einnahmen">
      <formula>NOT(ISERROR(SEARCH("Einnahmen",C713)))</formula>
    </cfRule>
    <cfRule type="containsText" dxfId="8209" priority="3029" operator="containsText" text="Ausgaben">
      <formula>NOT(ISERROR(SEARCH("Ausgaben",C713)))</formula>
    </cfRule>
  </conditionalFormatting>
  <conditionalFormatting sqref="C714">
    <cfRule type="containsText" dxfId="8208" priority="3026" operator="containsText" text="Einnahmen">
      <formula>NOT(ISERROR(SEARCH("Einnahmen",C714)))</formula>
    </cfRule>
    <cfRule type="containsText" dxfId="8207" priority="3027" operator="containsText" text="Ausgaben">
      <formula>NOT(ISERROR(SEARCH("Ausgaben",C714)))</formula>
    </cfRule>
  </conditionalFormatting>
  <conditionalFormatting sqref="T714">
    <cfRule type="expression" dxfId="8206" priority="3025">
      <formula>AND(AND($W714&lt;TODAY(),$W714&lt;&gt;""),$X714="")</formula>
    </cfRule>
  </conditionalFormatting>
  <conditionalFormatting sqref="J714">
    <cfRule type="cellIs" dxfId="8205" priority="3023" operator="equal">
      <formula>"ja"</formula>
    </cfRule>
  </conditionalFormatting>
  <conditionalFormatting sqref="Z714">
    <cfRule type="dataBar" priority="3022">
      <dataBar>
        <cfvo type="min"/>
        <cfvo type="max"/>
        <color rgb="FF63C384"/>
      </dataBar>
      <extLst>
        <ext xmlns:x14="http://schemas.microsoft.com/office/spreadsheetml/2009/9/main" uri="{B025F937-C7B1-47D3-B67F-A62EFF666E3E}">
          <x14:id>{4F3F01E1-372C-4CD5-9F62-8FD340120F8E}</x14:id>
        </ext>
      </extLst>
    </cfRule>
  </conditionalFormatting>
  <conditionalFormatting sqref="Z714">
    <cfRule type="dataBar" priority="3021">
      <dataBar>
        <cfvo type="min"/>
        <cfvo type="max"/>
        <color rgb="FF63C384"/>
      </dataBar>
      <extLst>
        <ext xmlns:x14="http://schemas.microsoft.com/office/spreadsheetml/2009/9/main" uri="{B025F937-C7B1-47D3-B67F-A62EFF666E3E}">
          <x14:id>{99F2C83D-BC42-44A6-8093-25CE5864FD18}</x14:id>
        </ext>
      </extLst>
    </cfRule>
  </conditionalFormatting>
  <conditionalFormatting sqref="C715">
    <cfRule type="containsText" dxfId="8204" priority="3019" operator="containsText" text="Einnahmen">
      <formula>NOT(ISERROR(SEARCH("Einnahmen",C715)))</formula>
    </cfRule>
    <cfRule type="containsText" dxfId="8203" priority="3020" operator="containsText" text="Ausgaben">
      <formula>NOT(ISERROR(SEARCH("Ausgaben",C715)))</formula>
    </cfRule>
  </conditionalFormatting>
  <conditionalFormatting sqref="J715">
    <cfRule type="cellIs" dxfId="8202" priority="3017" operator="equal">
      <formula>"ja"</formula>
    </cfRule>
  </conditionalFormatting>
  <conditionalFormatting sqref="T715">
    <cfRule type="expression" dxfId="8201" priority="3016">
      <formula>AND(AND($W715&lt;TODAY(),$W715&lt;&gt;""),$X715="")</formula>
    </cfRule>
  </conditionalFormatting>
  <conditionalFormatting sqref="Z715">
    <cfRule type="dataBar" priority="3015">
      <dataBar>
        <cfvo type="min"/>
        <cfvo type="max"/>
        <color rgb="FF63C384"/>
      </dataBar>
      <extLst>
        <ext xmlns:x14="http://schemas.microsoft.com/office/spreadsheetml/2009/9/main" uri="{B025F937-C7B1-47D3-B67F-A62EFF666E3E}">
          <x14:id>{5E925182-7B7E-40CC-A10F-E0223EF1E782}</x14:id>
        </ext>
      </extLst>
    </cfRule>
  </conditionalFormatting>
  <conditionalFormatting sqref="Z715">
    <cfRule type="dataBar" priority="3014">
      <dataBar>
        <cfvo type="min"/>
        <cfvo type="max"/>
        <color rgb="FF63C384"/>
      </dataBar>
      <extLst>
        <ext xmlns:x14="http://schemas.microsoft.com/office/spreadsheetml/2009/9/main" uri="{B025F937-C7B1-47D3-B67F-A62EFF666E3E}">
          <x14:id>{8FE030EA-E046-4145-A6E8-648D8D463649}</x14:id>
        </ext>
      </extLst>
    </cfRule>
  </conditionalFormatting>
  <conditionalFormatting sqref="C716">
    <cfRule type="containsText" dxfId="8200" priority="3012" operator="containsText" text="Einnahmen">
      <formula>NOT(ISERROR(SEARCH("Einnahmen",C716)))</formula>
    </cfRule>
    <cfRule type="containsText" dxfId="8199" priority="3013" operator="containsText" text="Ausgaben">
      <formula>NOT(ISERROR(SEARCH("Ausgaben",C716)))</formula>
    </cfRule>
  </conditionalFormatting>
  <conditionalFormatting sqref="J716">
    <cfRule type="cellIs" dxfId="8198" priority="3010" operator="equal">
      <formula>"ja"</formula>
    </cfRule>
  </conditionalFormatting>
  <conditionalFormatting sqref="T716">
    <cfRule type="expression" dxfId="8197" priority="3009">
      <formula>AND(AND($W716&lt;TODAY(),$W716&lt;&gt;""),$X716="")</formula>
    </cfRule>
  </conditionalFormatting>
  <conditionalFormatting sqref="Z716">
    <cfRule type="dataBar" priority="3008">
      <dataBar>
        <cfvo type="min"/>
        <cfvo type="max"/>
        <color rgb="FF63C384"/>
      </dataBar>
      <extLst>
        <ext xmlns:x14="http://schemas.microsoft.com/office/spreadsheetml/2009/9/main" uri="{B025F937-C7B1-47D3-B67F-A62EFF666E3E}">
          <x14:id>{5EFBDF0D-B2FE-427D-9F5F-7CDDC43454E4}</x14:id>
        </ext>
      </extLst>
    </cfRule>
  </conditionalFormatting>
  <conditionalFormatting sqref="Z716">
    <cfRule type="dataBar" priority="3007">
      <dataBar>
        <cfvo type="min"/>
        <cfvo type="max"/>
        <color rgb="FF63C384"/>
      </dataBar>
      <extLst>
        <ext xmlns:x14="http://schemas.microsoft.com/office/spreadsheetml/2009/9/main" uri="{B025F937-C7B1-47D3-B67F-A62EFF666E3E}">
          <x14:id>{3C911C50-D2F1-4504-B1F4-1E95B6801133}</x14:id>
        </ext>
      </extLst>
    </cfRule>
  </conditionalFormatting>
  <conditionalFormatting sqref="J717">
    <cfRule type="cellIs" dxfId="8196" priority="3006" operator="equal">
      <formula>"ja"</formula>
    </cfRule>
  </conditionalFormatting>
  <conditionalFormatting sqref="T717">
    <cfRule type="expression" dxfId="8195" priority="3005">
      <formula>AND(AND($W717&lt;TODAY(),$W717&lt;&gt;""),$X717="")</formula>
    </cfRule>
  </conditionalFormatting>
  <conditionalFormatting sqref="Z717">
    <cfRule type="dataBar" priority="3004">
      <dataBar>
        <cfvo type="min"/>
        <cfvo type="max"/>
        <color rgb="FF63C384"/>
      </dataBar>
      <extLst>
        <ext xmlns:x14="http://schemas.microsoft.com/office/spreadsheetml/2009/9/main" uri="{B025F937-C7B1-47D3-B67F-A62EFF666E3E}">
          <x14:id>{2F618E75-09BF-432B-ACB0-693C6A6DD643}</x14:id>
        </ext>
      </extLst>
    </cfRule>
  </conditionalFormatting>
  <conditionalFormatting sqref="Z717">
    <cfRule type="dataBar" priority="3003">
      <dataBar>
        <cfvo type="min"/>
        <cfvo type="max"/>
        <color rgb="FF63C384"/>
      </dataBar>
      <extLst>
        <ext xmlns:x14="http://schemas.microsoft.com/office/spreadsheetml/2009/9/main" uri="{B025F937-C7B1-47D3-B67F-A62EFF666E3E}">
          <x14:id>{FD4D0F85-E898-443E-8C91-A7E645A27F85}</x14:id>
        </ext>
      </extLst>
    </cfRule>
  </conditionalFormatting>
  <conditionalFormatting sqref="J717">
    <cfRule type="cellIs" dxfId="8194" priority="3002" operator="equal">
      <formula>"ja"</formula>
    </cfRule>
  </conditionalFormatting>
  <conditionalFormatting sqref="T717">
    <cfRule type="expression" dxfId="8193" priority="3001">
      <formula>AND(AND($W717&lt;TODAY(),$W717&lt;&gt;""),$X717="")</formula>
    </cfRule>
  </conditionalFormatting>
  <conditionalFormatting sqref="Z717">
    <cfRule type="dataBar" priority="3000">
      <dataBar>
        <cfvo type="min"/>
        <cfvo type="max"/>
        <color rgb="FF63C384"/>
      </dataBar>
      <extLst>
        <ext xmlns:x14="http://schemas.microsoft.com/office/spreadsheetml/2009/9/main" uri="{B025F937-C7B1-47D3-B67F-A62EFF666E3E}">
          <x14:id>{E2C1B980-05B9-4351-A7D1-D97CF15B87BE}</x14:id>
        </ext>
      </extLst>
    </cfRule>
  </conditionalFormatting>
  <conditionalFormatting sqref="Z717">
    <cfRule type="dataBar" priority="2999">
      <dataBar>
        <cfvo type="min"/>
        <cfvo type="max"/>
        <color rgb="FF63C384"/>
      </dataBar>
      <extLst>
        <ext xmlns:x14="http://schemas.microsoft.com/office/spreadsheetml/2009/9/main" uri="{B025F937-C7B1-47D3-B67F-A62EFF666E3E}">
          <x14:id>{E2B93019-3543-48F4-8C18-D94E6FE70482}</x14:id>
        </ext>
      </extLst>
    </cfRule>
  </conditionalFormatting>
  <conditionalFormatting sqref="C717">
    <cfRule type="containsText" dxfId="8192" priority="2997" operator="containsText" text="Einnahmen">
      <formula>NOT(ISERROR(SEARCH("Einnahmen",C717)))</formula>
    </cfRule>
    <cfRule type="containsText" dxfId="8191" priority="2998" operator="containsText" text="Ausgaben">
      <formula>NOT(ISERROR(SEARCH("Ausgaben",C717)))</formula>
    </cfRule>
  </conditionalFormatting>
  <conditionalFormatting sqref="T718">
    <cfRule type="expression" dxfId="8190" priority="2980">
      <formula>AND(AND($W718&lt;TODAY(),$W718&lt;&gt;""),$X718="")</formula>
    </cfRule>
  </conditionalFormatting>
  <conditionalFormatting sqref="Z718">
    <cfRule type="dataBar" priority="2979">
      <dataBar>
        <cfvo type="min"/>
        <cfvo type="max"/>
        <color rgb="FF63C384"/>
      </dataBar>
      <extLst>
        <ext xmlns:x14="http://schemas.microsoft.com/office/spreadsheetml/2009/9/main" uri="{B025F937-C7B1-47D3-B67F-A62EFF666E3E}">
          <x14:id>{C6AF5600-ADF3-457D-B0B0-90C1088645EB}</x14:id>
        </ext>
      </extLst>
    </cfRule>
  </conditionalFormatting>
  <conditionalFormatting sqref="Z718">
    <cfRule type="dataBar" priority="2978">
      <dataBar>
        <cfvo type="min"/>
        <cfvo type="max"/>
        <color rgb="FF63C384"/>
      </dataBar>
      <extLst>
        <ext xmlns:x14="http://schemas.microsoft.com/office/spreadsheetml/2009/9/main" uri="{B025F937-C7B1-47D3-B67F-A62EFF666E3E}">
          <x14:id>{964D77A3-DF58-4F55-9508-DEF47C66772E}</x14:id>
        </ext>
      </extLst>
    </cfRule>
  </conditionalFormatting>
  <conditionalFormatting sqref="J718">
    <cfRule type="cellIs" dxfId="8189" priority="2977" operator="equal">
      <formula>"ja"</formula>
    </cfRule>
  </conditionalFormatting>
  <conditionalFormatting sqref="C718">
    <cfRule type="containsText" dxfId="8188" priority="2975" operator="containsText" text="Einnahmen">
      <formula>NOT(ISERROR(SEARCH("Einnahmen",C718)))</formula>
    </cfRule>
    <cfRule type="containsText" dxfId="8187" priority="2976" operator="containsText" text="Ausgaben">
      <formula>NOT(ISERROR(SEARCH("Ausgaben",C718)))</formula>
    </cfRule>
  </conditionalFormatting>
  <conditionalFormatting sqref="C719">
    <cfRule type="containsText" dxfId="8186" priority="2973" operator="containsText" text="Einnahmen">
      <formula>NOT(ISERROR(SEARCH("Einnahmen",C719)))</formula>
    </cfRule>
    <cfRule type="containsText" dxfId="8185" priority="2974" operator="containsText" text="Ausgaben">
      <formula>NOT(ISERROR(SEARCH("Ausgaben",C719)))</formula>
    </cfRule>
  </conditionalFormatting>
  <conditionalFormatting sqref="J719">
    <cfRule type="cellIs" dxfId="8184" priority="2972" operator="equal">
      <formula>"ja"</formula>
    </cfRule>
  </conditionalFormatting>
  <conditionalFormatting sqref="T719">
    <cfRule type="expression" dxfId="8183" priority="2971">
      <formula>AND(AND($W719&lt;TODAY(),$W719&lt;&gt;""),$X719="")</formula>
    </cfRule>
  </conditionalFormatting>
  <conditionalFormatting sqref="Z719">
    <cfRule type="dataBar" priority="2970">
      <dataBar>
        <cfvo type="min"/>
        <cfvo type="max"/>
        <color rgb="FF63C384"/>
      </dataBar>
      <extLst>
        <ext xmlns:x14="http://schemas.microsoft.com/office/spreadsheetml/2009/9/main" uri="{B025F937-C7B1-47D3-B67F-A62EFF666E3E}">
          <x14:id>{36DC69F2-D123-487A-84DD-1FE3D1DB95ED}</x14:id>
        </ext>
      </extLst>
    </cfRule>
  </conditionalFormatting>
  <conditionalFormatting sqref="Z719">
    <cfRule type="dataBar" priority="2969">
      <dataBar>
        <cfvo type="min"/>
        <cfvo type="max"/>
        <color rgb="FF63C384"/>
      </dataBar>
      <extLst>
        <ext xmlns:x14="http://schemas.microsoft.com/office/spreadsheetml/2009/9/main" uri="{B025F937-C7B1-47D3-B67F-A62EFF666E3E}">
          <x14:id>{C62318FA-0FB7-4E81-9F50-7B78554E011E}</x14:id>
        </ext>
      </extLst>
    </cfRule>
  </conditionalFormatting>
  <conditionalFormatting sqref="T719">
    <cfRule type="expression" dxfId="8182" priority="2968">
      <formula>AND(AND($W719&lt;TODAY(),$W719&lt;&gt;""),$X719="")</formula>
    </cfRule>
  </conditionalFormatting>
  <conditionalFormatting sqref="J719">
    <cfRule type="cellIs" dxfId="8181" priority="2967" operator="equal">
      <formula>"ja"</formula>
    </cfRule>
  </conditionalFormatting>
  <conditionalFormatting sqref="Z719">
    <cfRule type="dataBar" priority="2966">
      <dataBar>
        <cfvo type="min"/>
        <cfvo type="max"/>
        <color rgb="FF63C384"/>
      </dataBar>
      <extLst>
        <ext xmlns:x14="http://schemas.microsoft.com/office/spreadsheetml/2009/9/main" uri="{B025F937-C7B1-47D3-B67F-A62EFF666E3E}">
          <x14:id>{50B27DBA-56EE-496D-844D-93BABD16C699}</x14:id>
        </ext>
      </extLst>
    </cfRule>
  </conditionalFormatting>
  <conditionalFormatting sqref="Z719">
    <cfRule type="dataBar" priority="2965">
      <dataBar>
        <cfvo type="min"/>
        <cfvo type="max"/>
        <color rgb="FF63C384"/>
      </dataBar>
      <extLst>
        <ext xmlns:x14="http://schemas.microsoft.com/office/spreadsheetml/2009/9/main" uri="{B025F937-C7B1-47D3-B67F-A62EFF666E3E}">
          <x14:id>{977A0683-2C07-4066-AB5A-28E30355139A}</x14:id>
        </ext>
      </extLst>
    </cfRule>
  </conditionalFormatting>
  <conditionalFormatting sqref="J720">
    <cfRule type="cellIs" dxfId="8180" priority="2964" operator="equal">
      <formula>"ja"</formula>
    </cfRule>
  </conditionalFormatting>
  <conditionalFormatting sqref="C720">
    <cfRule type="containsText" dxfId="8179" priority="2962" operator="containsText" text="Einnahmen">
      <formula>NOT(ISERROR(SEARCH("Einnahmen",C720)))</formula>
    </cfRule>
    <cfRule type="containsText" dxfId="8178" priority="2963" operator="containsText" text="Ausgaben">
      <formula>NOT(ISERROR(SEARCH("Ausgaben",C720)))</formula>
    </cfRule>
  </conditionalFormatting>
  <conditionalFormatting sqref="T720">
    <cfRule type="expression" dxfId="8177" priority="2961">
      <formula>AND(AND($W720&lt;TODAY(),$W720&lt;&gt;""),$X720="")</formula>
    </cfRule>
  </conditionalFormatting>
  <conditionalFormatting sqref="Z720">
    <cfRule type="dataBar" priority="2960">
      <dataBar>
        <cfvo type="min"/>
        <cfvo type="max"/>
        <color rgb="FF63C384"/>
      </dataBar>
      <extLst>
        <ext xmlns:x14="http://schemas.microsoft.com/office/spreadsheetml/2009/9/main" uri="{B025F937-C7B1-47D3-B67F-A62EFF666E3E}">
          <x14:id>{6D5C2703-2FD0-480A-9068-3FE195F2FE9F}</x14:id>
        </ext>
      </extLst>
    </cfRule>
  </conditionalFormatting>
  <conditionalFormatting sqref="Z720">
    <cfRule type="dataBar" priority="2959">
      <dataBar>
        <cfvo type="min"/>
        <cfvo type="max"/>
        <color rgb="FF63C384"/>
      </dataBar>
      <extLst>
        <ext xmlns:x14="http://schemas.microsoft.com/office/spreadsheetml/2009/9/main" uri="{B025F937-C7B1-47D3-B67F-A62EFF666E3E}">
          <x14:id>{949A4767-11B9-4F7E-94D5-1C4C108EAF60}</x14:id>
        </ext>
      </extLst>
    </cfRule>
  </conditionalFormatting>
  <conditionalFormatting sqref="C721">
    <cfRule type="containsText" dxfId="8176" priority="2957" operator="containsText" text="Einnahmen">
      <formula>NOT(ISERROR(SEARCH("Einnahmen",C721)))</formula>
    </cfRule>
    <cfRule type="containsText" dxfId="8175" priority="2958" operator="containsText" text="Ausgaben">
      <formula>NOT(ISERROR(SEARCH("Ausgaben",C721)))</formula>
    </cfRule>
  </conditionalFormatting>
  <conditionalFormatting sqref="J721">
    <cfRule type="cellIs" dxfId="8174" priority="2956" operator="equal">
      <formula>"ja"</formula>
    </cfRule>
  </conditionalFormatting>
  <conditionalFormatting sqref="T721">
    <cfRule type="expression" dxfId="8173" priority="2955">
      <formula>AND(AND($W721&lt;TODAY(),$W721&lt;&gt;""),$X721="")</formula>
    </cfRule>
  </conditionalFormatting>
  <conditionalFormatting sqref="Z721">
    <cfRule type="dataBar" priority="2954">
      <dataBar>
        <cfvo type="min"/>
        <cfvo type="max"/>
        <color rgb="FF63C384"/>
      </dataBar>
      <extLst>
        <ext xmlns:x14="http://schemas.microsoft.com/office/spreadsheetml/2009/9/main" uri="{B025F937-C7B1-47D3-B67F-A62EFF666E3E}">
          <x14:id>{DFF012AF-16F5-4DBC-BFB9-58B40F9FE7FA}</x14:id>
        </ext>
      </extLst>
    </cfRule>
  </conditionalFormatting>
  <conditionalFormatting sqref="Z721">
    <cfRule type="dataBar" priority="2953">
      <dataBar>
        <cfvo type="min"/>
        <cfvo type="max"/>
        <color rgb="FF63C384"/>
      </dataBar>
      <extLst>
        <ext xmlns:x14="http://schemas.microsoft.com/office/spreadsheetml/2009/9/main" uri="{B025F937-C7B1-47D3-B67F-A62EFF666E3E}">
          <x14:id>{104EF69E-7508-4BDE-BDF5-2101AD61ADA6}</x14:id>
        </ext>
      </extLst>
    </cfRule>
  </conditionalFormatting>
  <conditionalFormatting sqref="C722">
    <cfRule type="containsText" dxfId="8172" priority="2951" operator="containsText" text="Einnahmen">
      <formula>NOT(ISERROR(SEARCH("Einnahmen",C722)))</formula>
    </cfRule>
    <cfRule type="containsText" dxfId="8171" priority="2952" operator="containsText" text="Ausgaben">
      <formula>NOT(ISERROR(SEARCH("Ausgaben",C722)))</formula>
    </cfRule>
  </conditionalFormatting>
  <conditionalFormatting sqref="T722">
    <cfRule type="expression" dxfId="8170" priority="2950">
      <formula>AND(AND($W722&lt;TODAY(),$W722&lt;&gt;""),$X722="")</formula>
    </cfRule>
  </conditionalFormatting>
  <conditionalFormatting sqref="J722">
    <cfRule type="cellIs" dxfId="8169" priority="2949" operator="equal">
      <formula>"ja"</formula>
    </cfRule>
  </conditionalFormatting>
  <conditionalFormatting sqref="Z722">
    <cfRule type="dataBar" priority="2948">
      <dataBar>
        <cfvo type="min"/>
        <cfvo type="max"/>
        <color rgb="FF63C384"/>
      </dataBar>
      <extLst>
        <ext xmlns:x14="http://schemas.microsoft.com/office/spreadsheetml/2009/9/main" uri="{B025F937-C7B1-47D3-B67F-A62EFF666E3E}">
          <x14:id>{3CAA392C-04F0-43DA-9A8F-45156CFA7650}</x14:id>
        </ext>
      </extLst>
    </cfRule>
  </conditionalFormatting>
  <conditionalFormatting sqref="Z722">
    <cfRule type="dataBar" priority="2947">
      <dataBar>
        <cfvo type="min"/>
        <cfvo type="max"/>
        <color rgb="FF63C384"/>
      </dataBar>
      <extLst>
        <ext xmlns:x14="http://schemas.microsoft.com/office/spreadsheetml/2009/9/main" uri="{B025F937-C7B1-47D3-B67F-A62EFF666E3E}">
          <x14:id>{4FB9C187-32A5-46C9-A521-F11C7DA9EDC1}</x14:id>
        </ext>
      </extLst>
    </cfRule>
  </conditionalFormatting>
  <conditionalFormatting sqref="J722">
    <cfRule type="cellIs" dxfId="8168" priority="2946" operator="equal">
      <formula>"ja"</formula>
    </cfRule>
  </conditionalFormatting>
  <conditionalFormatting sqref="T722">
    <cfRule type="expression" dxfId="8167" priority="2945">
      <formula>AND(AND($W722&lt;TODAY(),$W722&lt;&gt;""),$X722="")</formula>
    </cfRule>
  </conditionalFormatting>
  <conditionalFormatting sqref="Z722">
    <cfRule type="dataBar" priority="2944">
      <dataBar>
        <cfvo type="min"/>
        <cfvo type="max"/>
        <color rgb="FF63C384"/>
      </dataBar>
      <extLst>
        <ext xmlns:x14="http://schemas.microsoft.com/office/spreadsheetml/2009/9/main" uri="{B025F937-C7B1-47D3-B67F-A62EFF666E3E}">
          <x14:id>{55C1DF71-3E64-4EE1-9E0B-815AA3CEADEC}</x14:id>
        </ext>
      </extLst>
    </cfRule>
  </conditionalFormatting>
  <conditionalFormatting sqref="Z722">
    <cfRule type="dataBar" priority="2943">
      <dataBar>
        <cfvo type="min"/>
        <cfvo type="max"/>
        <color rgb="FF63C384"/>
      </dataBar>
      <extLst>
        <ext xmlns:x14="http://schemas.microsoft.com/office/spreadsheetml/2009/9/main" uri="{B025F937-C7B1-47D3-B67F-A62EFF666E3E}">
          <x14:id>{17B616C6-371F-4B16-AB54-B37928BB6E10}</x14:id>
        </ext>
      </extLst>
    </cfRule>
  </conditionalFormatting>
  <conditionalFormatting sqref="J723">
    <cfRule type="cellIs" dxfId="8166" priority="2942" operator="equal">
      <formula>"ja"</formula>
    </cfRule>
  </conditionalFormatting>
  <conditionalFormatting sqref="C723">
    <cfRule type="containsText" dxfId="8165" priority="2940" operator="containsText" text="Einnahmen">
      <formula>NOT(ISERROR(SEARCH("Einnahmen",C723)))</formula>
    </cfRule>
    <cfRule type="containsText" dxfId="8164" priority="2941" operator="containsText" text="Ausgaben">
      <formula>NOT(ISERROR(SEARCH("Ausgaben",C723)))</formula>
    </cfRule>
  </conditionalFormatting>
  <conditionalFormatting sqref="T723">
    <cfRule type="expression" dxfId="8163" priority="2939">
      <formula>AND(AND($W723&lt;TODAY(),$W723&lt;&gt;""),$X723="")</formula>
    </cfRule>
  </conditionalFormatting>
  <conditionalFormatting sqref="Z723">
    <cfRule type="dataBar" priority="2938">
      <dataBar>
        <cfvo type="min"/>
        <cfvo type="max"/>
        <color rgb="FF63C384"/>
      </dataBar>
      <extLst>
        <ext xmlns:x14="http://schemas.microsoft.com/office/spreadsheetml/2009/9/main" uri="{B025F937-C7B1-47D3-B67F-A62EFF666E3E}">
          <x14:id>{44390AB0-CDEE-40C8-B899-D560D0DC3D1C}</x14:id>
        </ext>
      </extLst>
    </cfRule>
  </conditionalFormatting>
  <conditionalFormatting sqref="Z723">
    <cfRule type="dataBar" priority="2937">
      <dataBar>
        <cfvo type="min"/>
        <cfvo type="max"/>
        <color rgb="FF63C384"/>
      </dataBar>
      <extLst>
        <ext xmlns:x14="http://schemas.microsoft.com/office/spreadsheetml/2009/9/main" uri="{B025F937-C7B1-47D3-B67F-A62EFF666E3E}">
          <x14:id>{384A7E4E-2F0E-41B2-950C-A9F292E7DE9E}</x14:id>
        </ext>
      </extLst>
    </cfRule>
  </conditionalFormatting>
  <conditionalFormatting sqref="C724">
    <cfRule type="containsText" dxfId="8162" priority="2935" operator="containsText" text="Einnahmen">
      <formula>NOT(ISERROR(SEARCH("Einnahmen",C724)))</formula>
    </cfRule>
    <cfRule type="containsText" dxfId="8161" priority="2936" operator="containsText" text="Ausgaben">
      <formula>NOT(ISERROR(SEARCH("Ausgaben",C724)))</formula>
    </cfRule>
  </conditionalFormatting>
  <conditionalFormatting sqref="J724">
    <cfRule type="cellIs" dxfId="8160" priority="2934" operator="equal">
      <formula>"ja"</formula>
    </cfRule>
  </conditionalFormatting>
  <conditionalFormatting sqref="J724">
    <cfRule type="cellIs" dxfId="8159" priority="2922" operator="equal">
      <formula>"ja"</formula>
    </cfRule>
  </conditionalFormatting>
  <conditionalFormatting sqref="T724">
    <cfRule type="expression" dxfId="8158" priority="2921">
      <formula>AND(AND($W724&lt;TODAY(),$W724&lt;&gt;""),$X724="")</formula>
    </cfRule>
  </conditionalFormatting>
  <conditionalFormatting sqref="T724">
    <cfRule type="expression" dxfId="8157" priority="2933">
      <formula>AND(AND($W724&lt;TODAY(),$W724&lt;&gt;""),$X724="")</formula>
    </cfRule>
  </conditionalFormatting>
  <conditionalFormatting sqref="Z724">
    <cfRule type="dataBar" priority="2932">
      <dataBar>
        <cfvo type="min"/>
        <cfvo type="max"/>
        <color rgb="FF63C384"/>
      </dataBar>
      <extLst>
        <ext xmlns:x14="http://schemas.microsoft.com/office/spreadsheetml/2009/9/main" uri="{B025F937-C7B1-47D3-B67F-A62EFF666E3E}">
          <x14:id>{AAA83019-E70D-4C68-A4AC-989D1D83F878}</x14:id>
        </ext>
      </extLst>
    </cfRule>
  </conditionalFormatting>
  <conditionalFormatting sqref="Z724">
    <cfRule type="dataBar" priority="2931">
      <dataBar>
        <cfvo type="min"/>
        <cfvo type="max"/>
        <color rgb="FF63C384"/>
      </dataBar>
      <extLst>
        <ext xmlns:x14="http://schemas.microsoft.com/office/spreadsheetml/2009/9/main" uri="{B025F937-C7B1-47D3-B67F-A62EFF666E3E}">
          <x14:id>{613D4B9A-5B01-413F-8F68-295230C9DC8D}</x14:id>
        </ext>
      </extLst>
    </cfRule>
  </conditionalFormatting>
  <conditionalFormatting sqref="J724">
    <cfRule type="cellIs" dxfId="8156" priority="2930" operator="equal">
      <formula>"ja"</formula>
    </cfRule>
  </conditionalFormatting>
  <conditionalFormatting sqref="T724">
    <cfRule type="expression" dxfId="8155" priority="2929">
      <formula>AND(AND($W724&lt;TODAY(),$W724&lt;&gt;""),$X724="")</formula>
    </cfRule>
  </conditionalFormatting>
  <conditionalFormatting sqref="Z724">
    <cfRule type="dataBar" priority="2928">
      <dataBar>
        <cfvo type="min"/>
        <cfvo type="max"/>
        <color rgb="FF63C384"/>
      </dataBar>
      <extLst>
        <ext xmlns:x14="http://schemas.microsoft.com/office/spreadsheetml/2009/9/main" uri="{B025F937-C7B1-47D3-B67F-A62EFF666E3E}">
          <x14:id>{83CAA6A6-629F-4EA5-A874-C205DB31F1B8}</x14:id>
        </ext>
      </extLst>
    </cfRule>
  </conditionalFormatting>
  <conditionalFormatting sqref="Z724">
    <cfRule type="dataBar" priority="2927">
      <dataBar>
        <cfvo type="min"/>
        <cfvo type="max"/>
        <color rgb="FF63C384"/>
      </dataBar>
      <extLst>
        <ext xmlns:x14="http://schemas.microsoft.com/office/spreadsheetml/2009/9/main" uri="{B025F937-C7B1-47D3-B67F-A62EFF666E3E}">
          <x14:id>{6A66C597-5640-4156-BF20-F1C0A62F89BA}</x14:id>
        </ext>
      </extLst>
    </cfRule>
  </conditionalFormatting>
  <conditionalFormatting sqref="J724">
    <cfRule type="cellIs" dxfId="8154" priority="2926" operator="equal">
      <formula>"ja"</formula>
    </cfRule>
  </conditionalFormatting>
  <conditionalFormatting sqref="T724">
    <cfRule type="expression" dxfId="8153" priority="2925">
      <formula>AND(AND($W724&lt;TODAY(),$W724&lt;&gt;""),$X724="")</formula>
    </cfRule>
  </conditionalFormatting>
  <conditionalFormatting sqref="Z724">
    <cfRule type="dataBar" priority="2924">
      <dataBar>
        <cfvo type="min"/>
        <cfvo type="max"/>
        <color rgb="FF63C384"/>
      </dataBar>
      <extLst>
        <ext xmlns:x14="http://schemas.microsoft.com/office/spreadsheetml/2009/9/main" uri="{B025F937-C7B1-47D3-B67F-A62EFF666E3E}">
          <x14:id>{698DE54A-CC9E-448C-9710-0692A00272B4}</x14:id>
        </ext>
      </extLst>
    </cfRule>
  </conditionalFormatting>
  <conditionalFormatting sqref="Z724">
    <cfRule type="dataBar" priority="2923">
      <dataBar>
        <cfvo type="min"/>
        <cfvo type="max"/>
        <color rgb="FF63C384"/>
      </dataBar>
      <extLst>
        <ext xmlns:x14="http://schemas.microsoft.com/office/spreadsheetml/2009/9/main" uri="{B025F937-C7B1-47D3-B67F-A62EFF666E3E}">
          <x14:id>{DB8CFA17-A90F-4FC1-9D69-7B14D8531E13}</x14:id>
        </ext>
      </extLst>
    </cfRule>
  </conditionalFormatting>
  <conditionalFormatting sqref="Z724">
    <cfRule type="dataBar" priority="2920">
      <dataBar>
        <cfvo type="min"/>
        <cfvo type="max"/>
        <color rgb="FF63C384"/>
      </dataBar>
      <extLst>
        <ext xmlns:x14="http://schemas.microsoft.com/office/spreadsheetml/2009/9/main" uri="{B025F937-C7B1-47D3-B67F-A62EFF666E3E}">
          <x14:id>{E8CF27B5-CDF3-462B-A8C2-5083832DB6CE}</x14:id>
        </ext>
      </extLst>
    </cfRule>
  </conditionalFormatting>
  <conditionalFormatting sqref="Z724">
    <cfRule type="dataBar" priority="2919">
      <dataBar>
        <cfvo type="min"/>
        <cfvo type="max"/>
        <color rgb="FF63C384"/>
      </dataBar>
      <extLst>
        <ext xmlns:x14="http://schemas.microsoft.com/office/spreadsheetml/2009/9/main" uri="{B025F937-C7B1-47D3-B67F-A62EFF666E3E}">
          <x14:id>{1799AE2F-7661-4783-948B-B284AB9A7814}</x14:id>
        </ext>
      </extLst>
    </cfRule>
  </conditionalFormatting>
  <conditionalFormatting sqref="C725">
    <cfRule type="containsText" dxfId="8152" priority="2917" operator="containsText" text="Einnahmen">
      <formula>NOT(ISERROR(SEARCH("Einnahmen",C725)))</formula>
    </cfRule>
    <cfRule type="containsText" dxfId="8151" priority="2918" operator="containsText" text="Ausgaben">
      <formula>NOT(ISERROR(SEARCH("Ausgaben",C725)))</formula>
    </cfRule>
  </conditionalFormatting>
  <conditionalFormatting sqref="J725">
    <cfRule type="cellIs" dxfId="8150" priority="2916" operator="equal">
      <formula>"ja"</formula>
    </cfRule>
  </conditionalFormatting>
  <conditionalFormatting sqref="T725">
    <cfRule type="expression" dxfId="8149" priority="2915">
      <formula>AND(AND($W725&lt;TODAY(),$W725&lt;&gt;""),$X725="")</formula>
    </cfRule>
  </conditionalFormatting>
  <conditionalFormatting sqref="Z725">
    <cfRule type="dataBar" priority="2914">
      <dataBar>
        <cfvo type="min"/>
        <cfvo type="max"/>
        <color rgb="FF63C384"/>
      </dataBar>
      <extLst>
        <ext xmlns:x14="http://schemas.microsoft.com/office/spreadsheetml/2009/9/main" uri="{B025F937-C7B1-47D3-B67F-A62EFF666E3E}">
          <x14:id>{FFEC2A53-9811-4780-8E64-369D2E07F015}</x14:id>
        </ext>
      </extLst>
    </cfRule>
  </conditionalFormatting>
  <conditionalFormatting sqref="Z725">
    <cfRule type="dataBar" priority="2913">
      <dataBar>
        <cfvo type="min"/>
        <cfvo type="max"/>
        <color rgb="FF63C384"/>
      </dataBar>
      <extLst>
        <ext xmlns:x14="http://schemas.microsoft.com/office/spreadsheetml/2009/9/main" uri="{B025F937-C7B1-47D3-B67F-A62EFF666E3E}">
          <x14:id>{D152D87F-172A-429F-9F60-E3C1B1FDFD31}</x14:id>
        </ext>
      </extLst>
    </cfRule>
  </conditionalFormatting>
  <conditionalFormatting sqref="T725">
    <cfRule type="expression" dxfId="8148" priority="2912">
      <formula>AND(AND($W725&lt;TODAY(),$W725&lt;&gt;""),$X725="")</formula>
    </cfRule>
  </conditionalFormatting>
  <conditionalFormatting sqref="Z725">
    <cfRule type="dataBar" priority="2911">
      <dataBar>
        <cfvo type="min"/>
        <cfvo type="max"/>
        <color rgb="FF63C384"/>
      </dataBar>
      <extLst>
        <ext xmlns:x14="http://schemas.microsoft.com/office/spreadsheetml/2009/9/main" uri="{B025F937-C7B1-47D3-B67F-A62EFF666E3E}">
          <x14:id>{8E72E25B-4F00-4216-84CE-4AF97BA1DCF9}</x14:id>
        </ext>
      </extLst>
    </cfRule>
  </conditionalFormatting>
  <conditionalFormatting sqref="Z725">
    <cfRule type="dataBar" priority="2910">
      <dataBar>
        <cfvo type="min"/>
        <cfvo type="max"/>
        <color rgb="FF63C384"/>
      </dataBar>
      <extLst>
        <ext xmlns:x14="http://schemas.microsoft.com/office/spreadsheetml/2009/9/main" uri="{B025F937-C7B1-47D3-B67F-A62EFF666E3E}">
          <x14:id>{A35D5B8B-A733-462C-8566-9642977AE339}</x14:id>
        </ext>
      </extLst>
    </cfRule>
  </conditionalFormatting>
  <conditionalFormatting sqref="J725">
    <cfRule type="cellIs" dxfId="8147" priority="2909" operator="equal">
      <formula>"ja"</formula>
    </cfRule>
  </conditionalFormatting>
  <conditionalFormatting sqref="T726">
    <cfRule type="expression" dxfId="8146" priority="2905">
      <formula>AND(AND($W726&lt;TODAY(),$W726&lt;&gt;""),$X726="")</formula>
    </cfRule>
  </conditionalFormatting>
  <conditionalFormatting sqref="C726">
    <cfRule type="containsText" dxfId="8145" priority="2907" operator="containsText" text="Einnahmen">
      <formula>NOT(ISERROR(SEARCH("Einnahmen",C726)))</formula>
    </cfRule>
    <cfRule type="containsText" dxfId="8144" priority="2908" operator="containsText" text="Ausgaben">
      <formula>NOT(ISERROR(SEARCH("Ausgaben",C726)))</formula>
    </cfRule>
  </conditionalFormatting>
  <conditionalFormatting sqref="J726">
    <cfRule type="cellIs" dxfId="8143" priority="2906" operator="equal">
      <formula>"ja"</formula>
    </cfRule>
  </conditionalFormatting>
  <conditionalFormatting sqref="Z726">
    <cfRule type="dataBar" priority="2904">
      <dataBar>
        <cfvo type="min"/>
        <cfvo type="max"/>
        <color rgb="FF63C384"/>
      </dataBar>
      <extLst>
        <ext xmlns:x14="http://schemas.microsoft.com/office/spreadsheetml/2009/9/main" uri="{B025F937-C7B1-47D3-B67F-A62EFF666E3E}">
          <x14:id>{91497CDC-FB38-49EC-8435-0594F5AC0EC7}</x14:id>
        </ext>
      </extLst>
    </cfRule>
  </conditionalFormatting>
  <conditionalFormatting sqref="Z726">
    <cfRule type="dataBar" priority="2903">
      <dataBar>
        <cfvo type="min"/>
        <cfvo type="max"/>
        <color rgb="FF63C384"/>
      </dataBar>
      <extLst>
        <ext xmlns:x14="http://schemas.microsoft.com/office/spreadsheetml/2009/9/main" uri="{B025F937-C7B1-47D3-B67F-A62EFF666E3E}">
          <x14:id>{5786A9B1-219C-4C5C-8D82-7526A06E2391}</x14:id>
        </ext>
      </extLst>
    </cfRule>
  </conditionalFormatting>
  <conditionalFormatting sqref="C727">
    <cfRule type="containsText" dxfId="8142" priority="2901" operator="containsText" text="Einnahmen">
      <formula>NOT(ISERROR(SEARCH("Einnahmen",C727)))</formula>
    </cfRule>
    <cfRule type="containsText" dxfId="8141" priority="2902" operator="containsText" text="Ausgaben">
      <formula>NOT(ISERROR(SEARCH("Ausgaben",C727)))</formula>
    </cfRule>
  </conditionalFormatting>
  <conditionalFormatting sqref="J727">
    <cfRule type="cellIs" dxfId="8140" priority="2900" operator="equal">
      <formula>"ja"</formula>
    </cfRule>
  </conditionalFormatting>
  <conditionalFormatting sqref="T727">
    <cfRule type="expression" dxfId="8139" priority="2899">
      <formula>AND(AND($W727&lt;TODAY(),$W727&lt;&gt;""),$X727="")</formula>
    </cfRule>
  </conditionalFormatting>
  <conditionalFormatting sqref="Z727">
    <cfRule type="dataBar" priority="2898">
      <dataBar>
        <cfvo type="min"/>
        <cfvo type="max"/>
        <color rgb="FF63C384"/>
      </dataBar>
      <extLst>
        <ext xmlns:x14="http://schemas.microsoft.com/office/spreadsheetml/2009/9/main" uri="{B025F937-C7B1-47D3-B67F-A62EFF666E3E}">
          <x14:id>{24728180-8C51-437C-BBD1-56A6981326AA}</x14:id>
        </ext>
      </extLst>
    </cfRule>
  </conditionalFormatting>
  <conditionalFormatting sqref="Z727">
    <cfRule type="dataBar" priority="2897">
      <dataBar>
        <cfvo type="min"/>
        <cfvo type="max"/>
        <color rgb="FF63C384"/>
      </dataBar>
      <extLst>
        <ext xmlns:x14="http://schemas.microsoft.com/office/spreadsheetml/2009/9/main" uri="{B025F937-C7B1-47D3-B67F-A62EFF666E3E}">
          <x14:id>{7A5D69D1-6A67-41D1-A68E-DC2AA7AAE006}</x14:id>
        </ext>
      </extLst>
    </cfRule>
  </conditionalFormatting>
  <conditionalFormatting sqref="J728">
    <cfRule type="cellIs" dxfId="8138" priority="2896" operator="equal">
      <formula>"ja"</formula>
    </cfRule>
  </conditionalFormatting>
  <conditionalFormatting sqref="C728">
    <cfRule type="containsText" dxfId="8137" priority="2894" operator="containsText" text="Einnahmen">
      <formula>NOT(ISERROR(SEARCH("Einnahmen",C728)))</formula>
    </cfRule>
    <cfRule type="containsText" dxfId="8136" priority="2895" operator="containsText" text="Ausgaben">
      <formula>NOT(ISERROR(SEARCH("Ausgaben",C728)))</formula>
    </cfRule>
  </conditionalFormatting>
  <conditionalFormatting sqref="T728">
    <cfRule type="expression" dxfId="8135" priority="2893">
      <formula>AND(AND($W728&lt;TODAY(),$W728&lt;&gt;""),$X728="")</formula>
    </cfRule>
  </conditionalFormatting>
  <conditionalFormatting sqref="Z728">
    <cfRule type="dataBar" priority="2892">
      <dataBar>
        <cfvo type="min"/>
        <cfvo type="max"/>
        <color rgb="FF63C384"/>
      </dataBar>
      <extLst>
        <ext xmlns:x14="http://schemas.microsoft.com/office/spreadsheetml/2009/9/main" uri="{B025F937-C7B1-47D3-B67F-A62EFF666E3E}">
          <x14:id>{08466C1B-2257-4FF2-8CA0-E1AD16BA1B75}</x14:id>
        </ext>
      </extLst>
    </cfRule>
  </conditionalFormatting>
  <conditionalFormatting sqref="Z728">
    <cfRule type="dataBar" priority="2891">
      <dataBar>
        <cfvo type="min"/>
        <cfvo type="max"/>
        <color rgb="FF63C384"/>
      </dataBar>
      <extLst>
        <ext xmlns:x14="http://schemas.microsoft.com/office/spreadsheetml/2009/9/main" uri="{B025F937-C7B1-47D3-B67F-A62EFF666E3E}">
          <x14:id>{B8A16982-C34B-4F87-9997-E7BE05CC397E}</x14:id>
        </ext>
      </extLst>
    </cfRule>
  </conditionalFormatting>
  <conditionalFormatting sqref="J729">
    <cfRule type="cellIs" dxfId="8134" priority="2890" operator="equal">
      <formula>"ja"</formula>
    </cfRule>
  </conditionalFormatting>
  <conditionalFormatting sqref="C729">
    <cfRule type="containsText" dxfId="8133" priority="2888" operator="containsText" text="Einnahmen">
      <formula>NOT(ISERROR(SEARCH("Einnahmen",C729)))</formula>
    </cfRule>
    <cfRule type="containsText" dxfId="8132" priority="2889" operator="containsText" text="Ausgaben">
      <formula>NOT(ISERROR(SEARCH("Ausgaben",C729)))</formula>
    </cfRule>
  </conditionalFormatting>
  <conditionalFormatting sqref="T729">
    <cfRule type="expression" dxfId="8131" priority="2887">
      <formula>AND(AND($W729&lt;TODAY(),$W729&lt;&gt;""),$X729="")</formula>
    </cfRule>
  </conditionalFormatting>
  <conditionalFormatting sqref="Z729">
    <cfRule type="dataBar" priority="2886">
      <dataBar>
        <cfvo type="min"/>
        <cfvo type="max"/>
        <color rgb="FF63C384"/>
      </dataBar>
      <extLst>
        <ext xmlns:x14="http://schemas.microsoft.com/office/spreadsheetml/2009/9/main" uri="{B025F937-C7B1-47D3-B67F-A62EFF666E3E}">
          <x14:id>{A21E15F0-DB0C-4225-9DCD-576E51101E24}</x14:id>
        </ext>
      </extLst>
    </cfRule>
  </conditionalFormatting>
  <conditionalFormatting sqref="Z729">
    <cfRule type="dataBar" priority="2885">
      <dataBar>
        <cfvo type="min"/>
        <cfvo type="max"/>
        <color rgb="FF63C384"/>
      </dataBar>
      <extLst>
        <ext xmlns:x14="http://schemas.microsoft.com/office/spreadsheetml/2009/9/main" uri="{B025F937-C7B1-47D3-B67F-A62EFF666E3E}">
          <x14:id>{17AC3072-1F1D-43C8-AFE1-F9EB1AD0C1D3}</x14:id>
        </ext>
      </extLst>
    </cfRule>
  </conditionalFormatting>
  <conditionalFormatting sqref="C729">
    <cfRule type="containsText" dxfId="8130" priority="2883" operator="containsText" text="Einnahmen">
      <formula>NOT(ISERROR(SEARCH("Einnahmen",C729)))</formula>
    </cfRule>
    <cfRule type="containsText" dxfId="8129" priority="2884" operator="containsText" text="Ausgaben">
      <formula>NOT(ISERROR(SEARCH("Ausgaben",C729)))</formula>
    </cfRule>
  </conditionalFormatting>
  <conditionalFormatting sqref="T729">
    <cfRule type="expression" dxfId="8128" priority="2882">
      <formula>AND(AND($W729&lt;TODAY(),$W729&lt;&gt;""),$X729="")</formula>
    </cfRule>
  </conditionalFormatting>
  <conditionalFormatting sqref="J729">
    <cfRule type="cellIs" dxfId="8127" priority="2881" operator="equal">
      <formula>"ja"</formula>
    </cfRule>
  </conditionalFormatting>
  <conditionalFormatting sqref="Z729">
    <cfRule type="dataBar" priority="2880">
      <dataBar>
        <cfvo type="min"/>
        <cfvo type="max"/>
        <color rgb="FF63C384"/>
      </dataBar>
      <extLst>
        <ext xmlns:x14="http://schemas.microsoft.com/office/spreadsheetml/2009/9/main" uri="{B025F937-C7B1-47D3-B67F-A62EFF666E3E}">
          <x14:id>{DBBBAB64-C544-49AC-86DB-656FB4EA9CDE}</x14:id>
        </ext>
      </extLst>
    </cfRule>
  </conditionalFormatting>
  <conditionalFormatting sqref="Z729">
    <cfRule type="dataBar" priority="2879">
      <dataBar>
        <cfvo type="min"/>
        <cfvo type="max"/>
        <color rgb="FF63C384"/>
      </dataBar>
      <extLst>
        <ext xmlns:x14="http://schemas.microsoft.com/office/spreadsheetml/2009/9/main" uri="{B025F937-C7B1-47D3-B67F-A62EFF666E3E}">
          <x14:id>{D61DD679-3604-46BE-A6B6-015221201E60}</x14:id>
        </ext>
      </extLst>
    </cfRule>
  </conditionalFormatting>
  <conditionalFormatting sqref="J730">
    <cfRule type="cellIs" dxfId="8126" priority="2878" operator="equal">
      <formula>"ja"</formula>
    </cfRule>
  </conditionalFormatting>
  <conditionalFormatting sqref="C730">
    <cfRule type="containsText" dxfId="8125" priority="2876" operator="containsText" text="Einnahmen">
      <formula>NOT(ISERROR(SEARCH("Einnahmen",C730)))</formula>
    </cfRule>
    <cfRule type="containsText" dxfId="8124" priority="2877" operator="containsText" text="Ausgaben">
      <formula>NOT(ISERROR(SEARCH("Ausgaben",C730)))</formula>
    </cfRule>
  </conditionalFormatting>
  <conditionalFormatting sqref="T730">
    <cfRule type="expression" dxfId="8123" priority="2875">
      <formula>AND(AND($W730&lt;TODAY(),$W730&lt;&gt;""),$X730="")</formula>
    </cfRule>
  </conditionalFormatting>
  <conditionalFormatting sqref="Z730">
    <cfRule type="dataBar" priority="2874">
      <dataBar>
        <cfvo type="min"/>
        <cfvo type="max"/>
        <color rgb="FF63C384"/>
      </dataBar>
      <extLst>
        <ext xmlns:x14="http://schemas.microsoft.com/office/spreadsheetml/2009/9/main" uri="{B025F937-C7B1-47D3-B67F-A62EFF666E3E}">
          <x14:id>{D13F5F15-9BE9-488C-817C-99EC59153B41}</x14:id>
        </ext>
      </extLst>
    </cfRule>
  </conditionalFormatting>
  <conditionalFormatting sqref="Z730">
    <cfRule type="dataBar" priority="2873">
      <dataBar>
        <cfvo type="min"/>
        <cfvo type="max"/>
        <color rgb="FF63C384"/>
      </dataBar>
      <extLst>
        <ext xmlns:x14="http://schemas.microsoft.com/office/spreadsheetml/2009/9/main" uri="{B025F937-C7B1-47D3-B67F-A62EFF666E3E}">
          <x14:id>{4FCF2CE6-F60E-44DC-943F-C70235DE51E7}</x14:id>
        </ext>
      </extLst>
    </cfRule>
  </conditionalFormatting>
  <conditionalFormatting sqref="J730">
    <cfRule type="cellIs" dxfId="8122" priority="2872" operator="equal">
      <formula>"ja"</formula>
    </cfRule>
  </conditionalFormatting>
  <conditionalFormatting sqref="T730">
    <cfRule type="expression" dxfId="8121" priority="2871">
      <formula>AND(AND($W730&lt;TODAY(),$W730&lt;&gt;""),$X730="")</formula>
    </cfRule>
  </conditionalFormatting>
  <conditionalFormatting sqref="Z730">
    <cfRule type="dataBar" priority="2870">
      <dataBar>
        <cfvo type="min"/>
        <cfvo type="max"/>
        <color rgb="FF63C384"/>
      </dataBar>
      <extLst>
        <ext xmlns:x14="http://schemas.microsoft.com/office/spreadsheetml/2009/9/main" uri="{B025F937-C7B1-47D3-B67F-A62EFF666E3E}">
          <x14:id>{F68FE597-12C2-4DB6-9376-30B754365C6F}</x14:id>
        </ext>
      </extLst>
    </cfRule>
  </conditionalFormatting>
  <conditionalFormatting sqref="Z730">
    <cfRule type="dataBar" priority="2869">
      <dataBar>
        <cfvo type="min"/>
        <cfvo type="max"/>
        <color rgb="FF63C384"/>
      </dataBar>
      <extLst>
        <ext xmlns:x14="http://schemas.microsoft.com/office/spreadsheetml/2009/9/main" uri="{B025F937-C7B1-47D3-B67F-A62EFF666E3E}">
          <x14:id>{5A3BFA55-3896-4F10-B1B0-828607AB01E6}</x14:id>
        </ext>
      </extLst>
    </cfRule>
  </conditionalFormatting>
  <conditionalFormatting sqref="J730">
    <cfRule type="cellIs" dxfId="8120" priority="2868" operator="equal">
      <formula>"ja"</formula>
    </cfRule>
  </conditionalFormatting>
  <conditionalFormatting sqref="C730">
    <cfRule type="containsText" dxfId="8119" priority="2866" operator="containsText" text="Einnahmen">
      <formula>NOT(ISERROR(SEARCH("Einnahmen",C730)))</formula>
    </cfRule>
    <cfRule type="containsText" dxfId="8118" priority="2867" operator="containsText" text="Ausgaben">
      <formula>NOT(ISERROR(SEARCH("Ausgaben",C730)))</formula>
    </cfRule>
  </conditionalFormatting>
  <conditionalFormatting sqref="T730">
    <cfRule type="expression" dxfId="8117" priority="2865">
      <formula>AND(AND($W730&lt;TODAY(),$W730&lt;&gt;""),$X730="")</formula>
    </cfRule>
  </conditionalFormatting>
  <conditionalFormatting sqref="Z730">
    <cfRule type="dataBar" priority="2864">
      <dataBar>
        <cfvo type="min"/>
        <cfvo type="max"/>
        <color rgb="FF63C384"/>
      </dataBar>
      <extLst>
        <ext xmlns:x14="http://schemas.microsoft.com/office/spreadsheetml/2009/9/main" uri="{B025F937-C7B1-47D3-B67F-A62EFF666E3E}">
          <x14:id>{F67163B5-CB08-4BB8-BA41-1E6E6A703D0C}</x14:id>
        </ext>
      </extLst>
    </cfRule>
  </conditionalFormatting>
  <conditionalFormatting sqref="Z730">
    <cfRule type="dataBar" priority="2863">
      <dataBar>
        <cfvo type="min"/>
        <cfvo type="max"/>
        <color rgb="FF63C384"/>
      </dataBar>
      <extLst>
        <ext xmlns:x14="http://schemas.microsoft.com/office/spreadsheetml/2009/9/main" uri="{B025F937-C7B1-47D3-B67F-A62EFF666E3E}">
          <x14:id>{212E396E-7F31-4866-8A59-73E21BF9159D}</x14:id>
        </ext>
      </extLst>
    </cfRule>
  </conditionalFormatting>
  <conditionalFormatting sqref="J731">
    <cfRule type="cellIs" dxfId="8116" priority="2862" operator="equal">
      <formula>"ja"</formula>
    </cfRule>
  </conditionalFormatting>
  <conditionalFormatting sqref="C731">
    <cfRule type="containsText" dxfId="8115" priority="2860" operator="containsText" text="Einnahmen">
      <formula>NOT(ISERROR(SEARCH("Einnahmen",C731)))</formula>
    </cfRule>
    <cfRule type="containsText" dxfId="8114" priority="2861" operator="containsText" text="Ausgaben">
      <formula>NOT(ISERROR(SEARCH("Ausgaben",C731)))</formula>
    </cfRule>
  </conditionalFormatting>
  <conditionalFormatting sqref="T731">
    <cfRule type="expression" dxfId="8113" priority="2859">
      <formula>AND(AND($W731&lt;TODAY(),$W731&lt;&gt;""),$X731="")</formula>
    </cfRule>
  </conditionalFormatting>
  <conditionalFormatting sqref="Z731">
    <cfRule type="dataBar" priority="2858">
      <dataBar>
        <cfvo type="min"/>
        <cfvo type="max"/>
        <color rgb="FF63C384"/>
      </dataBar>
      <extLst>
        <ext xmlns:x14="http://schemas.microsoft.com/office/spreadsheetml/2009/9/main" uri="{B025F937-C7B1-47D3-B67F-A62EFF666E3E}">
          <x14:id>{317DEA42-1F99-461C-BC4A-FE0B9DFF68A8}</x14:id>
        </ext>
      </extLst>
    </cfRule>
  </conditionalFormatting>
  <conditionalFormatting sqref="Z731">
    <cfRule type="dataBar" priority="2857">
      <dataBar>
        <cfvo type="min"/>
        <cfvo type="max"/>
        <color rgb="FF63C384"/>
      </dataBar>
      <extLst>
        <ext xmlns:x14="http://schemas.microsoft.com/office/spreadsheetml/2009/9/main" uri="{B025F937-C7B1-47D3-B67F-A62EFF666E3E}">
          <x14:id>{06E4AD41-E752-4EEF-9CB5-CDB8E685B4AC}</x14:id>
        </ext>
      </extLst>
    </cfRule>
  </conditionalFormatting>
  <conditionalFormatting sqref="J731">
    <cfRule type="cellIs" dxfId="8112" priority="2856" operator="equal">
      <formula>"ja"</formula>
    </cfRule>
  </conditionalFormatting>
  <conditionalFormatting sqref="T731">
    <cfRule type="expression" dxfId="8111" priority="2855">
      <formula>AND(AND($W731&lt;TODAY(),$W731&lt;&gt;""),$X731="")</formula>
    </cfRule>
  </conditionalFormatting>
  <conditionalFormatting sqref="Z731">
    <cfRule type="dataBar" priority="2854">
      <dataBar>
        <cfvo type="min"/>
        <cfvo type="max"/>
        <color rgb="FF63C384"/>
      </dataBar>
      <extLst>
        <ext xmlns:x14="http://schemas.microsoft.com/office/spreadsheetml/2009/9/main" uri="{B025F937-C7B1-47D3-B67F-A62EFF666E3E}">
          <x14:id>{BB000913-3843-48B0-94D7-3ABB7EF728D4}</x14:id>
        </ext>
      </extLst>
    </cfRule>
  </conditionalFormatting>
  <conditionalFormatting sqref="Z731">
    <cfRule type="dataBar" priority="2853">
      <dataBar>
        <cfvo type="min"/>
        <cfvo type="max"/>
        <color rgb="FF63C384"/>
      </dataBar>
      <extLst>
        <ext xmlns:x14="http://schemas.microsoft.com/office/spreadsheetml/2009/9/main" uri="{B025F937-C7B1-47D3-B67F-A62EFF666E3E}">
          <x14:id>{31F89302-8FAF-4CD7-A713-7134AA945F11}</x14:id>
        </ext>
      </extLst>
    </cfRule>
  </conditionalFormatting>
  <conditionalFormatting sqref="J732">
    <cfRule type="cellIs" dxfId="8110" priority="2852" operator="equal">
      <formula>"ja"</formula>
    </cfRule>
  </conditionalFormatting>
  <conditionalFormatting sqref="T732">
    <cfRule type="expression" dxfId="8109" priority="2851">
      <formula>AND(AND($W732&lt;TODAY(),$W732&lt;&gt;""),$X732="")</formula>
    </cfRule>
  </conditionalFormatting>
  <conditionalFormatting sqref="Z732">
    <cfRule type="dataBar" priority="2850">
      <dataBar>
        <cfvo type="min"/>
        <cfvo type="max"/>
        <color rgb="FF63C384"/>
      </dataBar>
      <extLst>
        <ext xmlns:x14="http://schemas.microsoft.com/office/spreadsheetml/2009/9/main" uri="{B025F937-C7B1-47D3-B67F-A62EFF666E3E}">
          <x14:id>{3BFA6F9A-6537-44A7-A460-6CB278CA8873}</x14:id>
        </ext>
      </extLst>
    </cfRule>
  </conditionalFormatting>
  <conditionalFormatting sqref="Z732">
    <cfRule type="dataBar" priority="2849">
      <dataBar>
        <cfvo type="min"/>
        <cfvo type="max"/>
        <color rgb="FF63C384"/>
      </dataBar>
      <extLst>
        <ext xmlns:x14="http://schemas.microsoft.com/office/spreadsheetml/2009/9/main" uri="{B025F937-C7B1-47D3-B67F-A62EFF666E3E}">
          <x14:id>{C7753EC5-2CF6-4D2F-9BA4-DA7F673A8E7D}</x14:id>
        </ext>
      </extLst>
    </cfRule>
  </conditionalFormatting>
  <conditionalFormatting sqref="T732">
    <cfRule type="expression" dxfId="8108" priority="2848">
      <formula>AND(AND($W732&lt;TODAY(),$W732&lt;&gt;""),$X732="")</formula>
    </cfRule>
  </conditionalFormatting>
  <conditionalFormatting sqref="Z732">
    <cfRule type="dataBar" priority="2847">
      <dataBar>
        <cfvo type="min"/>
        <cfvo type="max"/>
        <color rgb="FF63C384"/>
      </dataBar>
      <extLst>
        <ext xmlns:x14="http://schemas.microsoft.com/office/spreadsheetml/2009/9/main" uri="{B025F937-C7B1-47D3-B67F-A62EFF666E3E}">
          <x14:id>{A6D95BB9-92A3-49F5-99E2-41EC3E816253}</x14:id>
        </ext>
      </extLst>
    </cfRule>
  </conditionalFormatting>
  <conditionalFormatting sqref="Z732">
    <cfRule type="dataBar" priority="2846">
      <dataBar>
        <cfvo type="min"/>
        <cfvo type="max"/>
        <color rgb="FF63C384"/>
      </dataBar>
      <extLst>
        <ext xmlns:x14="http://schemas.microsoft.com/office/spreadsheetml/2009/9/main" uri="{B025F937-C7B1-47D3-B67F-A62EFF666E3E}">
          <x14:id>{B332CB2E-8E60-44ED-AACA-ACBE9670CD11}</x14:id>
        </ext>
      </extLst>
    </cfRule>
  </conditionalFormatting>
  <conditionalFormatting sqref="J732">
    <cfRule type="cellIs" dxfId="8107" priority="2845" operator="equal">
      <formula>"ja"</formula>
    </cfRule>
  </conditionalFormatting>
  <conditionalFormatting sqref="C732">
    <cfRule type="containsText" dxfId="8106" priority="2843" operator="containsText" text="Einnahmen">
      <formula>NOT(ISERROR(SEARCH("Einnahmen",C732)))</formula>
    </cfRule>
    <cfRule type="containsText" dxfId="8105" priority="2844" operator="containsText" text="Ausgaben">
      <formula>NOT(ISERROR(SEARCH("Ausgaben",C732)))</formula>
    </cfRule>
  </conditionalFormatting>
  <conditionalFormatting sqref="T733">
    <cfRule type="expression" dxfId="8104" priority="2842">
      <formula>AND(AND($W733&lt;TODAY(),$W733&lt;&gt;""),$X733="")</formula>
    </cfRule>
  </conditionalFormatting>
  <conditionalFormatting sqref="Z733">
    <cfRule type="dataBar" priority="2841">
      <dataBar>
        <cfvo type="min"/>
        <cfvo type="max"/>
        <color rgb="FF63C384"/>
      </dataBar>
      <extLst>
        <ext xmlns:x14="http://schemas.microsoft.com/office/spreadsheetml/2009/9/main" uri="{B025F937-C7B1-47D3-B67F-A62EFF666E3E}">
          <x14:id>{872967FD-B504-4B30-9767-AE88A69D780B}</x14:id>
        </ext>
      </extLst>
    </cfRule>
  </conditionalFormatting>
  <conditionalFormatting sqref="Z733">
    <cfRule type="dataBar" priority="2840">
      <dataBar>
        <cfvo type="min"/>
        <cfvo type="max"/>
        <color rgb="FF63C384"/>
      </dataBar>
      <extLst>
        <ext xmlns:x14="http://schemas.microsoft.com/office/spreadsheetml/2009/9/main" uri="{B025F937-C7B1-47D3-B67F-A62EFF666E3E}">
          <x14:id>{380E6D01-C459-47BC-8B51-9E60F80AF92C}</x14:id>
        </ext>
      </extLst>
    </cfRule>
  </conditionalFormatting>
  <conditionalFormatting sqref="C734">
    <cfRule type="containsText" dxfId="8103" priority="2838" operator="containsText" text="Einnahmen">
      <formula>NOT(ISERROR(SEARCH("Einnahmen",C734)))</formula>
    </cfRule>
    <cfRule type="containsText" dxfId="8102" priority="2839" operator="containsText" text="Ausgaben">
      <formula>NOT(ISERROR(SEARCH("Ausgaben",C734)))</formula>
    </cfRule>
  </conditionalFormatting>
  <conditionalFormatting sqref="T734">
    <cfRule type="expression" dxfId="8101" priority="2837">
      <formula>AND(AND($W734&lt;TODAY(),$W734&lt;&gt;""),$X734="")</formula>
    </cfRule>
  </conditionalFormatting>
  <conditionalFormatting sqref="Z734">
    <cfRule type="dataBar" priority="2836">
      <dataBar>
        <cfvo type="min"/>
        <cfvo type="max"/>
        <color rgb="FF63C384"/>
      </dataBar>
      <extLst>
        <ext xmlns:x14="http://schemas.microsoft.com/office/spreadsheetml/2009/9/main" uri="{B025F937-C7B1-47D3-B67F-A62EFF666E3E}">
          <x14:id>{5045DFDB-71C8-4FBD-A6DE-7D26A68CBA12}</x14:id>
        </ext>
      </extLst>
    </cfRule>
  </conditionalFormatting>
  <conditionalFormatting sqref="Z734">
    <cfRule type="dataBar" priority="2835">
      <dataBar>
        <cfvo type="min"/>
        <cfvo type="max"/>
        <color rgb="FF63C384"/>
      </dataBar>
      <extLst>
        <ext xmlns:x14="http://schemas.microsoft.com/office/spreadsheetml/2009/9/main" uri="{B025F937-C7B1-47D3-B67F-A62EFF666E3E}">
          <x14:id>{6C038A50-8BDA-42BF-9292-22B88EFB1A22}</x14:id>
        </ext>
      </extLst>
    </cfRule>
  </conditionalFormatting>
  <conditionalFormatting sqref="J735:J736">
    <cfRule type="cellIs" dxfId="8100" priority="2834" operator="equal">
      <formula>"ja"</formula>
    </cfRule>
  </conditionalFormatting>
  <conditionalFormatting sqref="T735:T736">
    <cfRule type="expression" dxfId="8099" priority="2833">
      <formula>AND(AND($W735&lt;TODAY(),$W735&lt;&gt;""),$X735="")</formula>
    </cfRule>
  </conditionalFormatting>
  <conditionalFormatting sqref="Z735:Z736">
    <cfRule type="dataBar" priority="2832">
      <dataBar>
        <cfvo type="min"/>
        <cfvo type="max"/>
        <color rgb="FF63C384"/>
      </dataBar>
      <extLst>
        <ext xmlns:x14="http://schemas.microsoft.com/office/spreadsheetml/2009/9/main" uri="{B025F937-C7B1-47D3-B67F-A62EFF666E3E}">
          <x14:id>{4530D285-FE66-4BE9-B68A-1A6DB01EB4F6}</x14:id>
        </ext>
      </extLst>
    </cfRule>
  </conditionalFormatting>
  <conditionalFormatting sqref="Z735:Z736">
    <cfRule type="dataBar" priority="2831">
      <dataBar>
        <cfvo type="min"/>
        <cfvo type="max"/>
        <color rgb="FF63C384"/>
      </dataBar>
      <extLst>
        <ext xmlns:x14="http://schemas.microsoft.com/office/spreadsheetml/2009/9/main" uri="{B025F937-C7B1-47D3-B67F-A62EFF666E3E}">
          <x14:id>{A5776515-EDDF-4A0D-B224-83225B2D440D}</x14:id>
        </ext>
      </extLst>
    </cfRule>
  </conditionalFormatting>
  <conditionalFormatting sqref="C735:C736">
    <cfRule type="containsText" dxfId="8098" priority="2829" operator="containsText" text="Einnahmen">
      <formula>NOT(ISERROR(SEARCH("Einnahmen",C735)))</formula>
    </cfRule>
    <cfRule type="containsText" dxfId="8097" priority="2830" operator="containsText" text="Ausgaben">
      <formula>NOT(ISERROR(SEARCH("Ausgaben",C735)))</formula>
    </cfRule>
  </conditionalFormatting>
  <conditionalFormatting sqref="T737">
    <cfRule type="expression" dxfId="8096" priority="2828">
      <formula>AND(AND($W737&lt;TODAY(),$W737&lt;&gt;""),$X737="")</formula>
    </cfRule>
  </conditionalFormatting>
  <conditionalFormatting sqref="Z737">
    <cfRule type="dataBar" priority="2827">
      <dataBar>
        <cfvo type="min"/>
        <cfvo type="max"/>
        <color rgb="FF63C384"/>
      </dataBar>
      <extLst>
        <ext xmlns:x14="http://schemas.microsoft.com/office/spreadsheetml/2009/9/main" uri="{B025F937-C7B1-47D3-B67F-A62EFF666E3E}">
          <x14:id>{C0263667-EBF8-4664-8DD9-997DDBC09D88}</x14:id>
        </ext>
      </extLst>
    </cfRule>
  </conditionalFormatting>
  <conditionalFormatting sqref="Z737">
    <cfRule type="dataBar" priority="2826">
      <dataBar>
        <cfvo type="min"/>
        <cfvo type="max"/>
        <color rgb="FF63C384"/>
      </dataBar>
      <extLst>
        <ext xmlns:x14="http://schemas.microsoft.com/office/spreadsheetml/2009/9/main" uri="{B025F937-C7B1-47D3-B67F-A62EFF666E3E}">
          <x14:id>{857AED3F-5B8F-4D9C-866D-4A25C5BF85D9}</x14:id>
        </ext>
      </extLst>
    </cfRule>
  </conditionalFormatting>
  <conditionalFormatting sqref="J737">
    <cfRule type="cellIs" dxfId="8095" priority="2825" operator="equal">
      <formula>"ja"</formula>
    </cfRule>
  </conditionalFormatting>
  <conditionalFormatting sqref="C737">
    <cfRule type="containsText" dxfId="8094" priority="2823" operator="containsText" text="Einnahmen">
      <formula>NOT(ISERROR(SEARCH("Einnahmen",C737)))</formula>
    </cfRule>
    <cfRule type="containsText" dxfId="8093" priority="2824" operator="containsText" text="Ausgaben">
      <formula>NOT(ISERROR(SEARCH("Ausgaben",C737)))</formula>
    </cfRule>
  </conditionalFormatting>
  <conditionalFormatting sqref="J738">
    <cfRule type="cellIs" dxfId="8092" priority="2822" operator="equal">
      <formula>"ja"</formula>
    </cfRule>
  </conditionalFormatting>
  <conditionalFormatting sqref="C738">
    <cfRule type="containsText" dxfId="8091" priority="2820" operator="containsText" text="Einnahmen">
      <formula>NOT(ISERROR(SEARCH("Einnahmen",C738)))</formula>
    </cfRule>
    <cfRule type="containsText" dxfId="8090" priority="2821" operator="containsText" text="Ausgaben">
      <formula>NOT(ISERROR(SEARCH("Ausgaben",C738)))</formula>
    </cfRule>
  </conditionalFormatting>
  <conditionalFormatting sqref="T738">
    <cfRule type="expression" dxfId="8089" priority="2819">
      <formula>AND(AND($W738&lt;TODAY(),$W738&lt;&gt;""),$X738="")</formula>
    </cfRule>
  </conditionalFormatting>
  <conditionalFormatting sqref="Z738">
    <cfRule type="dataBar" priority="2818">
      <dataBar>
        <cfvo type="min"/>
        <cfvo type="max"/>
        <color rgb="FF63C384"/>
      </dataBar>
      <extLst>
        <ext xmlns:x14="http://schemas.microsoft.com/office/spreadsheetml/2009/9/main" uri="{B025F937-C7B1-47D3-B67F-A62EFF666E3E}">
          <x14:id>{0FD0870C-55D9-4CEA-8DFB-B5C72AEE68A5}</x14:id>
        </ext>
      </extLst>
    </cfRule>
  </conditionalFormatting>
  <conditionalFormatting sqref="Z738">
    <cfRule type="dataBar" priority="2817">
      <dataBar>
        <cfvo type="min"/>
        <cfvo type="max"/>
        <color rgb="FF63C384"/>
      </dataBar>
      <extLst>
        <ext xmlns:x14="http://schemas.microsoft.com/office/spreadsheetml/2009/9/main" uri="{B025F937-C7B1-47D3-B67F-A62EFF666E3E}">
          <x14:id>{491F538A-17BD-450A-9AB7-D99239E557FF}</x14:id>
        </ext>
      </extLst>
    </cfRule>
  </conditionalFormatting>
  <conditionalFormatting sqref="C739">
    <cfRule type="containsText" dxfId="8088" priority="2815" operator="containsText" text="Einnahmen">
      <formula>NOT(ISERROR(SEARCH("Einnahmen",C739)))</formula>
    </cfRule>
    <cfRule type="containsText" dxfId="8087" priority="2816" operator="containsText" text="Ausgaben">
      <formula>NOT(ISERROR(SEARCH("Ausgaben",C739)))</formula>
    </cfRule>
  </conditionalFormatting>
  <conditionalFormatting sqref="J739">
    <cfRule type="cellIs" dxfId="8086" priority="2814" operator="equal">
      <formula>"ja"</formula>
    </cfRule>
  </conditionalFormatting>
  <conditionalFormatting sqref="T739">
    <cfRule type="expression" dxfId="8085" priority="2813">
      <formula>AND(AND($W739&lt;TODAY(),$W739&lt;&gt;""),$X739="")</formula>
    </cfRule>
  </conditionalFormatting>
  <conditionalFormatting sqref="Z739">
    <cfRule type="dataBar" priority="2812">
      <dataBar>
        <cfvo type="min"/>
        <cfvo type="max"/>
        <color rgb="FF63C384"/>
      </dataBar>
      <extLst>
        <ext xmlns:x14="http://schemas.microsoft.com/office/spreadsheetml/2009/9/main" uri="{B025F937-C7B1-47D3-B67F-A62EFF666E3E}">
          <x14:id>{BEECDF64-D42E-4E59-9793-C36B5993D0DB}</x14:id>
        </ext>
      </extLst>
    </cfRule>
  </conditionalFormatting>
  <conditionalFormatting sqref="Z739">
    <cfRule type="dataBar" priority="2811">
      <dataBar>
        <cfvo type="min"/>
        <cfvo type="max"/>
        <color rgb="FF63C384"/>
      </dataBar>
      <extLst>
        <ext xmlns:x14="http://schemas.microsoft.com/office/spreadsheetml/2009/9/main" uri="{B025F937-C7B1-47D3-B67F-A62EFF666E3E}">
          <x14:id>{C688F630-3FA5-4863-B1CA-81BBF46B3631}</x14:id>
        </ext>
      </extLst>
    </cfRule>
  </conditionalFormatting>
  <conditionalFormatting sqref="C740">
    <cfRule type="containsText" dxfId="8084" priority="2809" operator="containsText" text="Einnahmen">
      <formula>NOT(ISERROR(SEARCH("Einnahmen",C740)))</formula>
    </cfRule>
    <cfRule type="containsText" dxfId="8083" priority="2810" operator="containsText" text="Ausgaben">
      <formula>NOT(ISERROR(SEARCH("Ausgaben",C740)))</formula>
    </cfRule>
  </conditionalFormatting>
  <conditionalFormatting sqref="J740">
    <cfRule type="cellIs" dxfId="8082" priority="2808" operator="equal">
      <formula>"ja"</formula>
    </cfRule>
  </conditionalFormatting>
  <conditionalFormatting sqref="T740">
    <cfRule type="expression" dxfId="8081" priority="2807">
      <formula>AND(AND($W740&lt;TODAY(),$W740&lt;&gt;""),$X740="")</formula>
    </cfRule>
  </conditionalFormatting>
  <conditionalFormatting sqref="Z740">
    <cfRule type="dataBar" priority="2806">
      <dataBar>
        <cfvo type="min"/>
        <cfvo type="max"/>
        <color rgb="FF63C384"/>
      </dataBar>
      <extLst>
        <ext xmlns:x14="http://schemas.microsoft.com/office/spreadsheetml/2009/9/main" uri="{B025F937-C7B1-47D3-B67F-A62EFF666E3E}">
          <x14:id>{1B664634-82B5-4892-9E8A-7151866B5184}</x14:id>
        </ext>
      </extLst>
    </cfRule>
  </conditionalFormatting>
  <conditionalFormatting sqref="Z740">
    <cfRule type="dataBar" priority="2805">
      <dataBar>
        <cfvo type="min"/>
        <cfvo type="max"/>
        <color rgb="FF63C384"/>
      </dataBar>
      <extLst>
        <ext xmlns:x14="http://schemas.microsoft.com/office/spreadsheetml/2009/9/main" uri="{B025F937-C7B1-47D3-B67F-A62EFF666E3E}">
          <x14:id>{F84029FD-2BEC-42EB-9B73-EDA9D4230E23}</x14:id>
        </ext>
      </extLst>
    </cfRule>
  </conditionalFormatting>
  <conditionalFormatting sqref="T740">
    <cfRule type="expression" dxfId="8080" priority="2804">
      <formula>AND(AND($W740&lt;TODAY(),$W740&lt;&gt;""),$X740="")</formula>
    </cfRule>
  </conditionalFormatting>
  <conditionalFormatting sqref="J740">
    <cfRule type="cellIs" dxfId="8079" priority="2803" operator="equal">
      <formula>"ja"</formula>
    </cfRule>
  </conditionalFormatting>
  <conditionalFormatting sqref="Z740">
    <cfRule type="dataBar" priority="2802">
      <dataBar>
        <cfvo type="min"/>
        <cfvo type="max"/>
        <color rgb="FF63C384"/>
      </dataBar>
      <extLst>
        <ext xmlns:x14="http://schemas.microsoft.com/office/spreadsheetml/2009/9/main" uri="{B025F937-C7B1-47D3-B67F-A62EFF666E3E}">
          <x14:id>{B89FED65-655C-4007-B9B2-AEA5E1A6C7D3}</x14:id>
        </ext>
      </extLst>
    </cfRule>
  </conditionalFormatting>
  <conditionalFormatting sqref="Z740">
    <cfRule type="dataBar" priority="2801">
      <dataBar>
        <cfvo type="min"/>
        <cfvo type="max"/>
        <color rgb="FF63C384"/>
      </dataBar>
      <extLst>
        <ext xmlns:x14="http://schemas.microsoft.com/office/spreadsheetml/2009/9/main" uri="{B025F937-C7B1-47D3-B67F-A62EFF666E3E}">
          <x14:id>{5347CC2C-E2AC-4BE9-9131-8963013552C2}</x14:id>
        </ext>
      </extLst>
    </cfRule>
  </conditionalFormatting>
  <conditionalFormatting sqref="C741">
    <cfRule type="containsText" dxfId="8078" priority="2799" operator="containsText" text="Einnahmen">
      <formula>NOT(ISERROR(SEARCH("Einnahmen",C741)))</formula>
    </cfRule>
    <cfRule type="containsText" dxfId="8077" priority="2800" operator="containsText" text="Ausgaben">
      <formula>NOT(ISERROR(SEARCH("Ausgaben",C741)))</formula>
    </cfRule>
  </conditionalFormatting>
  <conditionalFormatting sqref="T741">
    <cfRule type="expression" dxfId="8076" priority="2798">
      <formula>AND(AND($W741&lt;TODAY(),$W741&lt;&gt;""),$X741="")</formula>
    </cfRule>
  </conditionalFormatting>
  <conditionalFormatting sqref="J741">
    <cfRule type="cellIs" dxfId="8075" priority="2797" operator="equal">
      <formula>"ja"</formula>
    </cfRule>
  </conditionalFormatting>
  <conditionalFormatting sqref="Z741">
    <cfRule type="dataBar" priority="2796">
      <dataBar>
        <cfvo type="min"/>
        <cfvo type="max"/>
        <color rgb="FF63C384"/>
      </dataBar>
      <extLst>
        <ext xmlns:x14="http://schemas.microsoft.com/office/spreadsheetml/2009/9/main" uri="{B025F937-C7B1-47D3-B67F-A62EFF666E3E}">
          <x14:id>{F5F8C02E-C71A-45F7-83D3-716908089DA3}</x14:id>
        </ext>
      </extLst>
    </cfRule>
  </conditionalFormatting>
  <conditionalFormatting sqref="Z741">
    <cfRule type="dataBar" priority="2795">
      <dataBar>
        <cfvo type="min"/>
        <cfvo type="max"/>
        <color rgb="FF63C384"/>
      </dataBar>
      <extLst>
        <ext xmlns:x14="http://schemas.microsoft.com/office/spreadsheetml/2009/9/main" uri="{B025F937-C7B1-47D3-B67F-A62EFF666E3E}">
          <x14:id>{E36DE2F6-BB54-424D-B183-B09E98612E20}</x14:id>
        </ext>
      </extLst>
    </cfRule>
  </conditionalFormatting>
  <conditionalFormatting sqref="J741">
    <cfRule type="cellIs" dxfId="8074" priority="2794" operator="equal">
      <formula>"ja"</formula>
    </cfRule>
  </conditionalFormatting>
  <conditionalFormatting sqref="T741">
    <cfRule type="expression" dxfId="8073" priority="2793">
      <formula>AND(AND($W741&lt;TODAY(),$W741&lt;&gt;""),$X741="")</formula>
    </cfRule>
  </conditionalFormatting>
  <conditionalFormatting sqref="Z741">
    <cfRule type="dataBar" priority="2792">
      <dataBar>
        <cfvo type="min"/>
        <cfvo type="max"/>
        <color rgb="FF63C384"/>
      </dataBar>
      <extLst>
        <ext xmlns:x14="http://schemas.microsoft.com/office/spreadsheetml/2009/9/main" uri="{B025F937-C7B1-47D3-B67F-A62EFF666E3E}">
          <x14:id>{09ACE16D-8E0A-43D6-ABEB-BD725730B752}</x14:id>
        </ext>
      </extLst>
    </cfRule>
  </conditionalFormatting>
  <conditionalFormatting sqref="Z741">
    <cfRule type="dataBar" priority="2791">
      <dataBar>
        <cfvo type="min"/>
        <cfvo type="max"/>
        <color rgb="FF63C384"/>
      </dataBar>
      <extLst>
        <ext xmlns:x14="http://schemas.microsoft.com/office/spreadsheetml/2009/9/main" uri="{B025F937-C7B1-47D3-B67F-A62EFF666E3E}">
          <x14:id>{63371FFE-9F0A-4C94-BEBC-E1E99AB42408}</x14:id>
        </ext>
      </extLst>
    </cfRule>
  </conditionalFormatting>
  <conditionalFormatting sqref="C742">
    <cfRule type="containsText" dxfId="8072" priority="2789" operator="containsText" text="Einnahmen">
      <formula>NOT(ISERROR(SEARCH("Einnahmen",C742)))</formula>
    </cfRule>
    <cfRule type="containsText" dxfId="8071" priority="2790" operator="containsText" text="Ausgaben">
      <formula>NOT(ISERROR(SEARCH("Ausgaben",C742)))</formula>
    </cfRule>
  </conditionalFormatting>
  <conditionalFormatting sqref="J742">
    <cfRule type="cellIs" dxfId="8070" priority="2788" operator="equal">
      <formula>"ja"</formula>
    </cfRule>
  </conditionalFormatting>
  <conditionalFormatting sqref="J742">
    <cfRule type="cellIs" dxfId="8069" priority="2776" operator="equal">
      <formula>"ja"</formula>
    </cfRule>
  </conditionalFormatting>
  <conditionalFormatting sqref="T742">
    <cfRule type="expression" dxfId="8068" priority="2775">
      <formula>AND(AND($W742&lt;TODAY(),$W742&lt;&gt;""),$X742="")</formula>
    </cfRule>
  </conditionalFormatting>
  <conditionalFormatting sqref="T742">
    <cfRule type="expression" dxfId="8067" priority="2787">
      <formula>AND(AND($W742&lt;TODAY(),$W742&lt;&gt;""),$X742="")</formula>
    </cfRule>
  </conditionalFormatting>
  <conditionalFormatting sqref="Z742">
    <cfRule type="dataBar" priority="2786">
      <dataBar>
        <cfvo type="min"/>
        <cfvo type="max"/>
        <color rgb="FF63C384"/>
      </dataBar>
      <extLst>
        <ext xmlns:x14="http://schemas.microsoft.com/office/spreadsheetml/2009/9/main" uri="{B025F937-C7B1-47D3-B67F-A62EFF666E3E}">
          <x14:id>{D5E40396-B6FE-4503-8F20-01962FBD6998}</x14:id>
        </ext>
      </extLst>
    </cfRule>
  </conditionalFormatting>
  <conditionalFormatting sqref="Z742">
    <cfRule type="dataBar" priority="2785">
      <dataBar>
        <cfvo type="min"/>
        <cfvo type="max"/>
        <color rgb="FF63C384"/>
      </dataBar>
      <extLst>
        <ext xmlns:x14="http://schemas.microsoft.com/office/spreadsheetml/2009/9/main" uri="{B025F937-C7B1-47D3-B67F-A62EFF666E3E}">
          <x14:id>{A4D8135C-2968-413E-B223-ACE6861234BD}</x14:id>
        </ext>
      </extLst>
    </cfRule>
  </conditionalFormatting>
  <conditionalFormatting sqref="J742">
    <cfRule type="cellIs" dxfId="8066" priority="2784" operator="equal">
      <formula>"ja"</formula>
    </cfRule>
  </conditionalFormatting>
  <conditionalFormatting sqref="T742">
    <cfRule type="expression" dxfId="8065" priority="2783">
      <formula>AND(AND($W742&lt;TODAY(),$W742&lt;&gt;""),$X742="")</formula>
    </cfRule>
  </conditionalFormatting>
  <conditionalFormatting sqref="Z742">
    <cfRule type="dataBar" priority="2782">
      <dataBar>
        <cfvo type="min"/>
        <cfvo type="max"/>
        <color rgb="FF63C384"/>
      </dataBar>
      <extLst>
        <ext xmlns:x14="http://schemas.microsoft.com/office/spreadsheetml/2009/9/main" uri="{B025F937-C7B1-47D3-B67F-A62EFF666E3E}">
          <x14:id>{443888C7-2240-43D3-AA28-EF35DCF2E1B1}</x14:id>
        </ext>
      </extLst>
    </cfRule>
  </conditionalFormatting>
  <conditionalFormatting sqref="Z742">
    <cfRule type="dataBar" priority="2781">
      <dataBar>
        <cfvo type="min"/>
        <cfvo type="max"/>
        <color rgb="FF63C384"/>
      </dataBar>
      <extLst>
        <ext xmlns:x14="http://schemas.microsoft.com/office/spreadsheetml/2009/9/main" uri="{B025F937-C7B1-47D3-B67F-A62EFF666E3E}">
          <x14:id>{80F28E7A-58CC-4B59-931B-56E7818E018E}</x14:id>
        </ext>
      </extLst>
    </cfRule>
  </conditionalFormatting>
  <conditionalFormatting sqref="J742">
    <cfRule type="cellIs" dxfId="8064" priority="2780" operator="equal">
      <formula>"ja"</formula>
    </cfRule>
  </conditionalFormatting>
  <conditionalFormatting sqref="T742">
    <cfRule type="expression" dxfId="8063" priority="2779">
      <formula>AND(AND($W742&lt;TODAY(),$W742&lt;&gt;""),$X742="")</formula>
    </cfRule>
  </conditionalFormatting>
  <conditionalFormatting sqref="Z742">
    <cfRule type="dataBar" priority="2778">
      <dataBar>
        <cfvo type="min"/>
        <cfvo type="max"/>
        <color rgb="FF63C384"/>
      </dataBar>
      <extLst>
        <ext xmlns:x14="http://schemas.microsoft.com/office/spreadsheetml/2009/9/main" uri="{B025F937-C7B1-47D3-B67F-A62EFF666E3E}">
          <x14:id>{383FA178-7843-4791-BB47-0C34CFA783AF}</x14:id>
        </ext>
      </extLst>
    </cfRule>
  </conditionalFormatting>
  <conditionalFormatting sqref="Z742">
    <cfRule type="dataBar" priority="2777">
      <dataBar>
        <cfvo type="min"/>
        <cfvo type="max"/>
        <color rgb="FF63C384"/>
      </dataBar>
      <extLst>
        <ext xmlns:x14="http://schemas.microsoft.com/office/spreadsheetml/2009/9/main" uri="{B025F937-C7B1-47D3-B67F-A62EFF666E3E}">
          <x14:id>{BD5E3D34-EF68-4F30-8CEE-BA48707FA9CF}</x14:id>
        </ext>
      </extLst>
    </cfRule>
  </conditionalFormatting>
  <conditionalFormatting sqref="Z742">
    <cfRule type="dataBar" priority="2774">
      <dataBar>
        <cfvo type="min"/>
        <cfvo type="max"/>
        <color rgb="FF63C384"/>
      </dataBar>
      <extLst>
        <ext xmlns:x14="http://schemas.microsoft.com/office/spreadsheetml/2009/9/main" uri="{B025F937-C7B1-47D3-B67F-A62EFF666E3E}">
          <x14:id>{10CDAA85-8A61-44AB-A2DC-711B43582F15}</x14:id>
        </ext>
      </extLst>
    </cfRule>
  </conditionalFormatting>
  <conditionalFormatting sqref="Z742">
    <cfRule type="dataBar" priority="2773">
      <dataBar>
        <cfvo type="min"/>
        <cfvo type="max"/>
        <color rgb="FF63C384"/>
      </dataBar>
      <extLst>
        <ext xmlns:x14="http://schemas.microsoft.com/office/spreadsheetml/2009/9/main" uri="{B025F937-C7B1-47D3-B67F-A62EFF666E3E}">
          <x14:id>{193591D9-0FC5-4EE9-BA11-07FA53AD9276}</x14:id>
        </ext>
      </extLst>
    </cfRule>
  </conditionalFormatting>
  <conditionalFormatting sqref="C743">
    <cfRule type="containsText" dxfId="8062" priority="2771" operator="containsText" text="Einnahmen">
      <formula>NOT(ISERROR(SEARCH("Einnahmen",C743)))</formula>
    </cfRule>
    <cfRule type="containsText" dxfId="8061" priority="2772" operator="containsText" text="Ausgaben">
      <formula>NOT(ISERROR(SEARCH("Ausgaben",C743)))</formula>
    </cfRule>
  </conditionalFormatting>
  <conditionalFormatting sqref="J743">
    <cfRule type="cellIs" dxfId="8060" priority="2770" operator="equal">
      <formula>"ja"</formula>
    </cfRule>
  </conditionalFormatting>
  <conditionalFormatting sqref="T743">
    <cfRule type="expression" dxfId="8059" priority="2769">
      <formula>AND(AND($W743&lt;TODAY(),$W743&lt;&gt;""),$X743="")</formula>
    </cfRule>
  </conditionalFormatting>
  <conditionalFormatting sqref="Z743">
    <cfRule type="dataBar" priority="2768">
      <dataBar>
        <cfvo type="min"/>
        <cfvo type="max"/>
        <color rgb="FF63C384"/>
      </dataBar>
      <extLst>
        <ext xmlns:x14="http://schemas.microsoft.com/office/spreadsheetml/2009/9/main" uri="{B025F937-C7B1-47D3-B67F-A62EFF666E3E}">
          <x14:id>{D37E0D3A-9FBC-4A59-A4F7-ED5C691C6726}</x14:id>
        </ext>
      </extLst>
    </cfRule>
  </conditionalFormatting>
  <conditionalFormatting sqref="Z743">
    <cfRule type="dataBar" priority="2767">
      <dataBar>
        <cfvo type="min"/>
        <cfvo type="max"/>
        <color rgb="FF63C384"/>
      </dataBar>
      <extLst>
        <ext xmlns:x14="http://schemas.microsoft.com/office/spreadsheetml/2009/9/main" uri="{B025F937-C7B1-47D3-B67F-A62EFF666E3E}">
          <x14:id>{D13B13D1-D4D5-49D9-AEFE-042882D615BA}</x14:id>
        </ext>
      </extLst>
    </cfRule>
  </conditionalFormatting>
  <conditionalFormatting sqref="T743">
    <cfRule type="expression" dxfId="8058" priority="2766">
      <formula>AND(AND($W743&lt;TODAY(),$W743&lt;&gt;""),$X743="")</formula>
    </cfRule>
  </conditionalFormatting>
  <conditionalFormatting sqref="Z743">
    <cfRule type="dataBar" priority="2765">
      <dataBar>
        <cfvo type="min"/>
        <cfvo type="max"/>
        <color rgb="FF63C384"/>
      </dataBar>
      <extLst>
        <ext xmlns:x14="http://schemas.microsoft.com/office/spreadsheetml/2009/9/main" uri="{B025F937-C7B1-47D3-B67F-A62EFF666E3E}">
          <x14:id>{1F766F4A-D29E-46EB-ABD8-40252D35698E}</x14:id>
        </ext>
      </extLst>
    </cfRule>
  </conditionalFormatting>
  <conditionalFormatting sqref="Z743">
    <cfRule type="dataBar" priority="2764">
      <dataBar>
        <cfvo type="min"/>
        <cfvo type="max"/>
        <color rgb="FF63C384"/>
      </dataBar>
      <extLst>
        <ext xmlns:x14="http://schemas.microsoft.com/office/spreadsheetml/2009/9/main" uri="{B025F937-C7B1-47D3-B67F-A62EFF666E3E}">
          <x14:id>{5BFFB2FD-5CA6-42EF-963F-0858BD65154F}</x14:id>
        </ext>
      </extLst>
    </cfRule>
  </conditionalFormatting>
  <conditionalFormatting sqref="J743">
    <cfRule type="cellIs" dxfId="8057" priority="2763" operator="equal">
      <formula>"ja"</formula>
    </cfRule>
  </conditionalFormatting>
  <conditionalFormatting sqref="J744">
    <cfRule type="cellIs" dxfId="8056" priority="2762" operator="equal">
      <formula>"ja"</formula>
    </cfRule>
  </conditionalFormatting>
  <conditionalFormatting sqref="C744">
    <cfRule type="containsText" dxfId="8055" priority="2760" operator="containsText" text="Einnahmen">
      <formula>NOT(ISERROR(SEARCH("Einnahmen",C744)))</formula>
    </cfRule>
    <cfRule type="containsText" dxfId="8054" priority="2761" operator="containsText" text="Ausgaben">
      <formula>NOT(ISERROR(SEARCH("Ausgaben",C744)))</formula>
    </cfRule>
  </conditionalFormatting>
  <conditionalFormatting sqref="T744">
    <cfRule type="expression" dxfId="8053" priority="2759">
      <formula>AND(AND($W744&lt;TODAY(),$W744&lt;&gt;""),$X744="")</formula>
    </cfRule>
  </conditionalFormatting>
  <conditionalFormatting sqref="Z744">
    <cfRule type="dataBar" priority="2758">
      <dataBar>
        <cfvo type="min"/>
        <cfvo type="max"/>
        <color rgb="FF63C384"/>
      </dataBar>
      <extLst>
        <ext xmlns:x14="http://schemas.microsoft.com/office/spreadsheetml/2009/9/main" uri="{B025F937-C7B1-47D3-B67F-A62EFF666E3E}">
          <x14:id>{BEC77773-5005-4186-804B-ADED0C37A6C3}</x14:id>
        </ext>
      </extLst>
    </cfRule>
  </conditionalFormatting>
  <conditionalFormatting sqref="Z744">
    <cfRule type="dataBar" priority="2757">
      <dataBar>
        <cfvo type="min"/>
        <cfvo type="max"/>
        <color rgb="FF63C384"/>
      </dataBar>
      <extLst>
        <ext xmlns:x14="http://schemas.microsoft.com/office/spreadsheetml/2009/9/main" uri="{B025F937-C7B1-47D3-B67F-A62EFF666E3E}">
          <x14:id>{F01A1D0D-F568-4F4C-ABF7-ED986B3A7E81}</x14:id>
        </ext>
      </extLst>
    </cfRule>
  </conditionalFormatting>
  <conditionalFormatting sqref="J745">
    <cfRule type="cellIs" dxfId="8052" priority="2756" operator="equal">
      <formula>"ja"</formula>
    </cfRule>
  </conditionalFormatting>
  <conditionalFormatting sqref="C745">
    <cfRule type="containsText" dxfId="8051" priority="2754" operator="containsText" text="Einnahmen">
      <formula>NOT(ISERROR(SEARCH("Einnahmen",C745)))</formula>
    </cfRule>
    <cfRule type="containsText" dxfId="8050" priority="2755" operator="containsText" text="Ausgaben">
      <formula>NOT(ISERROR(SEARCH("Ausgaben",C745)))</formula>
    </cfRule>
  </conditionalFormatting>
  <conditionalFormatting sqref="T745">
    <cfRule type="expression" dxfId="8049" priority="2753">
      <formula>AND(AND($W745&lt;TODAY(),$W745&lt;&gt;""),$X745="")</formula>
    </cfRule>
  </conditionalFormatting>
  <conditionalFormatting sqref="Z745">
    <cfRule type="dataBar" priority="2752">
      <dataBar>
        <cfvo type="min"/>
        <cfvo type="max"/>
        <color rgb="FF63C384"/>
      </dataBar>
      <extLst>
        <ext xmlns:x14="http://schemas.microsoft.com/office/spreadsheetml/2009/9/main" uri="{B025F937-C7B1-47D3-B67F-A62EFF666E3E}">
          <x14:id>{94D95395-9FDE-4B46-BB12-AD30D65FD1C4}</x14:id>
        </ext>
      </extLst>
    </cfRule>
  </conditionalFormatting>
  <conditionalFormatting sqref="Z745">
    <cfRule type="dataBar" priority="2751">
      <dataBar>
        <cfvo type="min"/>
        <cfvo type="max"/>
        <color rgb="FF63C384"/>
      </dataBar>
      <extLst>
        <ext xmlns:x14="http://schemas.microsoft.com/office/spreadsheetml/2009/9/main" uri="{B025F937-C7B1-47D3-B67F-A62EFF666E3E}">
          <x14:id>{045FA197-2F53-4ECD-B195-BCCBB0434DB5}</x14:id>
        </ext>
      </extLst>
    </cfRule>
  </conditionalFormatting>
  <conditionalFormatting sqref="C745">
    <cfRule type="containsText" dxfId="8048" priority="2749" operator="containsText" text="Einnahmen">
      <formula>NOT(ISERROR(SEARCH("Einnahmen",C745)))</formula>
    </cfRule>
    <cfRule type="containsText" dxfId="8047" priority="2750" operator="containsText" text="Ausgaben">
      <formula>NOT(ISERROR(SEARCH("Ausgaben",C745)))</formula>
    </cfRule>
  </conditionalFormatting>
  <conditionalFormatting sqref="T745">
    <cfRule type="expression" dxfId="8046" priority="2748">
      <formula>AND(AND($W745&lt;TODAY(),$W745&lt;&gt;""),$X745="")</formula>
    </cfRule>
  </conditionalFormatting>
  <conditionalFormatting sqref="J745">
    <cfRule type="cellIs" dxfId="8045" priority="2747" operator="equal">
      <formula>"ja"</formula>
    </cfRule>
  </conditionalFormatting>
  <conditionalFormatting sqref="Z745">
    <cfRule type="dataBar" priority="2746">
      <dataBar>
        <cfvo type="min"/>
        <cfvo type="max"/>
        <color rgb="FF63C384"/>
      </dataBar>
      <extLst>
        <ext xmlns:x14="http://schemas.microsoft.com/office/spreadsheetml/2009/9/main" uri="{B025F937-C7B1-47D3-B67F-A62EFF666E3E}">
          <x14:id>{495B0B6C-7D46-4FA1-A4F1-8A9D3D6E6A6A}</x14:id>
        </ext>
      </extLst>
    </cfRule>
  </conditionalFormatting>
  <conditionalFormatting sqref="Z745">
    <cfRule type="dataBar" priority="2745">
      <dataBar>
        <cfvo type="min"/>
        <cfvo type="max"/>
        <color rgb="FF63C384"/>
      </dataBar>
      <extLst>
        <ext xmlns:x14="http://schemas.microsoft.com/office/spreadsheetml/2009/9/main" uri="{B025F937-C7B1-47D3-B67F-A62EFF666E3E}">
          <x14:id>{358A8ECC-7461-4AE0-9154-D0A7C6D4632B}</x14:id>
        </ext>
      </extLst>
    </cfRule>
  </conditionalFormatting>
  <conditionalFormatting sqref="J746">
    <cfRule type="cellIs" dxfId="8044" priority="2744" operator="equal">
      <formula>"ja"</formula>
    </cfRule>
  </conditionalFormatting>
  <conditionalFormatting sqref="C746">
    <cfRule type="containsText" dxfId="8043" priority="2742" operator="containsText" text="Einnahmen">
      <formula>NOT(ISERROR(SEARCH("Einnahmen",C746)))</formula>
    </cfRule>
    <cfRule type="containsText" dxfId="8042" priority="2743" operator="containsText" text="Ausgaben">
      <formula>NOT(ISERROR(SEARCH("Ausgaben",C746)))</formula>
    </cfRule>
  </conditionalFormatting>
  <conditionalFormatting sqref="T746">
    <cfRule type="expression" dxfId="8041" priority="2741">
      <formula>AND(AND($W746&lt;TODAY(),$W746&lt;&gt;""),$X746="")</formula>
    </cfRule>
  </conditionalFormatting>
  <conditionalFormatting sqref="Z746">
    <cfRule type="dataBar" priority="2740">
      <dataBar>
        <cfvo type="min"/>
        <cfvo type="max"/>
        <color rgb="FF63C384"/>
      </dataBar>
      <extLst>
        <ext xmlns:x14="http://schemas.microsoft.com/office/spreadsheetml/2009/9/main" uri="{B025F937-C7B1-47D3-B67F-A62EFF666E3E}">
          <x14:id>{678670AD-4A5A-4011-9E52-559556432302}</x14:id>
        </ext>
      </extLst>
    </cfRule>
  </conditionalFormatting>
  <conditionalFormatting sqref="Z746">
    <cfRule type="dataBar" priority="2739">
      <dataBar>
        <cfvo type="min"/>
        <cfvo type="max"/>
        <color rgb="FF63C384"/>
      </dataBar>
      <extLst>
        <ext xmlns:x14="http://schemas.microsoft.com/office/spreadsheetml/2009/9/main" uri="{B025F937-C7B1-47D3-B67F-A62EFF666E3E}">
          <x14:id>{5745501E-53D7-4568-B391-DA056219F8EA}</x14:id>
        </ext>
      </extLst>
    </cfRule>
  </conditionalFormatting>
  <conditionalFormatting sqref="J746">
    <cfRule type="cellIs" dxfId="8040" priority="2738" operator="equal">
      <formula>"ja"</formula>
    </cfRule>
  </conditionalFormatting>
  <conditionalFormatting sqref="T746">
    <cfRule type="expression" dxfId="8039" priority="2737">
      <formula>AND(AND($W746&lt;TODAY(),$W746&lt;&gt;""),$X746="")</formula>
    </cfRule>
  </conditionalFormatting>
  <conditionalFormatting sqref="Z746">
    <cfRule type="dataBar" priority="2736">
      <dataBar>
        <cfvo type="min"/>
        <cfvo type="max"/>
        <color rgb="FF63C384"/>
      </dataBar>
      <extLst>
        <ext xmlns:x14="http://schemas.microsoft.com/office/spreadsheetml/2009/9/main" uri="{B025F937-C7B1-47D3-B67F-A62EFF666E3E}">
          <x14:id>{04923B7C-9CAB-4D3B-B661-9048E1970DE2}</x14:id>
        </ext>
      </extLst>
    </cfRule>
  </conditionalFormatting>
  <conditionalFormatting sqref="Z746">
    <cfRule type="dataBar" priority="2735">
      <dataBar>
        <cfvo type="min"/>
        <cfvo type="max"/>
        <color rgb="FF63C384"/>
      </dataBar>
      <extLst>
        <ext xmlns:x14="http://schemas.microsoft.com/office/spreadsheetml/2009/9/main" uri="{B025F937-C7B1-47D3-B67F-A62EFF666E3E}">
          <x14:id>{DC64969B-5CC7-4EB3-AD71-1940FACDCE11}</x14:id>
        </ext>
      </extLst>
    </cfRule>
  </conditionalFormatting>
  <conditionalFormatting sqref="J746">
    <cfRule type="cellIs" dxfId="8038" priority="2734" operator="equal">
      <formula>"ja"</formula>
    </cfRule>
  </conditionalFormatting>
  <conditionalFormatting sqref="C746">
    <cfRule type="containsText" dxfId="8037" priority="2732" operator="containsText" text="Einnahmen">
      <formula>NOT(ISERROR(SEARCH("Einnahmen",C746)))</formula>
    </cfRule>
    <cfRule type="containsText" dxfId="8036" priority="2733" operator="containsText" text="Ausgaben">
      <formula>NOT(ISERROR(SEARCH("Ausgaben",C746)))</formula>
    </cfRule>
  </conditionalFormatting>
  <conditionalFormatting sqref="T746">
    <cfRule type="expression" dxfId="8035" priority="2731">
      <formula>AND(AND($W746&lt;TODAY(),$W746&lt;&gt;""),$X746="")</formula>
    </cfRule>
  </conditionalFormatting>
  <conditionalFormatting sqref="Z746">
    <cfRule type="dataBar" priority="2730">
      <dataBar>
        <cfvo type="min"/>
        <cfvo type="max"/>
        <color rgb="FF63C384"/>
      </dataBar>
      <extLst>
        <ext xmlns:x14="http://schemas.microsoft.com/office/spreadsheetml/2009/9/main" uri="{B025F937-C7B1-47D3-B67F-A62EFF666E3E}">
          <x14:id>{7FC3920B-C6B9-4B70-B721-5900AF0732DA}</x14:id>
        </ext>
      </extLst>
    </cfRule>
  </conditionalFormatting>
  <conditionalFormatting sqref="Z746">
    <cfRule type="dataBar" priority="2729">
      <dataBar>
        <cfvo type="min"/>
        <cfvo type="max"/>
        <color rgb="FF63C384"/>
      </dataBar>
      <extLst>
        <ext xmlns:x14="http://schemas.microsoft.com/office/spreadsheetml/2009/9/main" uri="{B025F937-C7B1-47D3-B67F-A62EFF666E3E}">
          <x14:id>{611B57CA-881D-493F-B2FB-5FBC59F64EB8}</x14:id>
        </ext>
      </extLst>
    </cfRule>
  </conditionalFormatting>
  <conditionalFormatting sqref="C747">
    <cfRule type="containsText" dxfId="8034" priority="2727" operator="containsText" text="Einnahmen">
      <formula>NOT(ISERROR(SEARCH("Einnahmen",C747)))</formula>
    </cfRule>
    <cfRule type="containsText" dxfId="8033" priority="2728" operator="containsText" text="Ausgaben">
      <formula>NOT(ISERROR(SEARCH("Ausgaben",C747)))</formula>
    </cfRule>
  </conditionalFormatting>
  <conditionalFormatting sqref="J747">
    <cfRule type="cellIs" dxfId="8032" priority="2726" operator="equal">
      <formula>"ja"</formula>
    </cfRule>
  </conditionalFormatting>
  <conditionalFormatting sqref="T747">
    <cfRule type="expression" dxfId="8031" priority="2725">
      <formula>AND(AND($W747&lt;TODAY(),$W747&lt;&gt;""),$X747="")</formula>
    </cfRule>
  </conditionalFormatting>
  <conditionalFormatting sqref="Z747">
    <cfRule type="dataBar" priority="2724">
      <dataBar>
        <cfvo type="min"/>
        <cfvo type="max"/>
        <color rgb="FF63C384"/>
      </dataBar>
      <extLst>
        <ext xmlns:x14="http://schemas.microsoft.com/office/spreadsheetml/2009/9/main" uri="{B025F937-C7B1-47D3-B67F-A62EFF666E3E}">
          <x14:id>{4E8EBCE4-F236-497D-82F0-495F64484D9C}</x14:id>
        </ext>
      </extLst>
    </cfRule>
  </conditionalFormatting>
  <conditionalFormatting sqref="Z747">
    <cfRule type="dataBar" priority="2723">
      <dataBar>
        <cfvo type="min"/>
        <cfvo type="max"/>
        <color rgb="FF63C384"/>
      </dataBar>
      <extLst>
        <ext xmlns:x14="http://schemas.microsoft.com/office/spreadsheetml/2009/9/main" uri="{B025F937-C7B1-47D3-B67F-A62EFF666E3E}">
          <x14:id>{946460FA-6FFE-4F29-9FC6-311FBE3921AD}</x14:id>
        </ext>
      </extLst>
    </cfRule>
  </conditionalFormatting>
  <conditionalFormatting sqref="J748">
    <cfRule type="cellIs" dxfId="8030" priority="2722" operator="equal">
      <formula>"ja"</formula>
    </cfRule>
  </conditionalFormatting>
  <conditionalFormatting sqref="C748">
    <cfRule type="containsText" dxfId="8029" priority="2720" operator="containsText" text="Einnahmen">
      <formula>NOT(ISERROR(SEARCH("Einnahmen",C748)))</formula>
    </cfRule>
    <cfRule type="containsText" dxfId="8028" priority="2721" operator="containsText" text="Ausgaben">
      <formula>NOT(ISERROR(SEARCH("Ausgaben",C748)))</formula>
    </cfRule>
  </conditionalFormatting>
  <conditionalFormatting sqref="T748">
    <cfRule type="expression" dxfId="8027" priority="2719">
      <formula>AND(AND($W748&lt;TODAY(),$W748&lt;&gt;""),$X748="")</formula>
    </cfRule>
  </conditionalFormatting>
  <conditionalFormatting sqref="Z748">
    <cfRule type="dataBar" priority="2718">
      <dataBar>
        <cfvo type="min"/>
        <cfvo type="max"/>
        <color rgb="FF63C384"/>
      </dataBar>
      <extLst>
        <ext xmlns:x14="http://schemas.microsoft.com/office/spreadsheetml/2009/9/main" uri="{B025F937-C7B1-47D3-B67F-A62EFF666E3E}">
          <x14:id>{288FF286-1E2A-48DB-A65D-A6EF49ECE86C}</x14:id>
        </ext>
      </extLst>
    </cfRule>
  </conditionalFormatting>
  <conditionalFormatting sqref="Z748">
    <cfRule type="dataBar" priority="2717">
      <dataBar>
        <cfvo type="min"/>
        <cfvo type="max"/>
        <color rgb="FF63C384"/>
      </dataBar>
      <extLst>
        <ext xmlns:x14="http://schemas.microsoft.com/office/spreadsheetml/2009/9/main" uri="{B025F937-C7B1-47D3-B67F-A62EFF666E3E}">
          <x14:id>{3DE21F00-30DB-4185-933F-C9B5C06E2C19}</x14:id>
        </ext>
      </extLst>
    </cfRule>
  </conditionalFormatting>
  <conditionalFormatting sqref="J748">
    <cfRule type="cellIs" dxfId="8026" priority="2716" operator="equal">
      <formula>"ja"</formula>
    </cfRule>
  </conditionalFormatting>
  <conditionalFormatting sqref="T748">
    <cfRule type="expression" dxfId="8025" priority="2715">
      <formula>AND(AND($W748&lt;TODAY(),$W748&lt;&gt;""),$X748="")</formula>
    </cfRule>
  </conditionalFormatting>
  <conditionalFormatting sqref="Z748">
    <cfRule type="dataBar" priority="2714">
      <dataBar>
        <cfvo type="min"/>
        <cfvo type="max"/>
        <color rgb="FF63C384"/>
      </dataBar>
      <extLst>
        <ext xmlns:x14="http://schemas.microsoft.com/office/spreadsheetml/2009/9/main" uri="{B025F937-C7B1-47D3-B67F-A62EFF666E3E}">
          <x14:id>{A6EB2AA4-FE59-4C5E-985B-1DF4F7BA39B4}</x14:id>
        </ext>
      </extLst>
    </cfRule>
  </conditionalFormatting>
  <conditionalFormatting sqref="Z748">
    <cfRule type="dataBar" priority="2713">
      <dataBar>
        <cfvo type="min"/>
        <cfvo type="max"/>
        <color rgb="FF63C384"/>
      </dataBar>
      <extLst>
        <ext xmlns:x14="http://schemas.microsoft.com/office/spreadsheetml/2009/9/main" uri="{B025F937-C7B1-47D3-B67F-A62EFF666E3E}">
          <x14:id>{A9DC9725-4C1D-4647-A158-3BD38771B223}</x14:id>
        </ext>
      </extLst>
    </cfRule>
  </conditionalFormatting>
  <conditionalFormatting sqref="J749">
    <cfRule type="cellIs" dxfId="8024" priority="2712" operator="equal">
      <formula>"ja"</formula>
    </cfRule>
  </conditionalFormatting>
  <conditionalFormatting sqref="T749">
    <cfRule type="expression" dxfId="8023" priority="2711">
      <formula>AND(AND($W749&lt;TODAY(),$W749&lt;&gt;""),$X749="")</formula>
    </cfRule>
  </conditionalFormatting>
  <conditionalFormatting sqref="Z749">
    <cfRule type="dataBar" priority="2710">
      <dataBar>
        <cfvo type="min"/>
        <cfvo type="max"/>
        <color rgb="FF63C384"/>
      </dataBar>
      <extLst>
        <ext xmlns:x14="http://schemas.microsoft.com/office/spreadsheetml/2009/9/main" uri="{B025F937-C7B1-47D3-B67F-A62EFF666E3E}">
          <x14:id>{E1F13942-08C9-48EA-B142-F9CDE433B269}</x14:id>
        </ext>
      </extLst>
    </cfRule>
  </conditionalFormatting>
  <conditionalFormatting sqref="Z749">
    <cfRule type="dataBar" priority="2709">
      <dataBar>
        <cfvo type="min"/>
        <cfvo type="max"/>
        <color rgb="FF63C384"/>
      </dataBar>
      <extLst>
        <ext xmlns:x14="http://schemas.microsoft.com/office/spreadsheetml/2009/9/main" uri="{B025F937-C7B1-47D3-B67F-A62EFF666E3E}">
          <x14:id>{FC034843-CD95-4533-A7CF-5AAFFD229F8F}</x14:id>
        </ext>
      </extLst>
    </cfRule>
  </conditionalFormatting>
  <conditionalFormatting sqref="T749">
    <cfRule type="expression" dxfId="8022" priority="2708">
      <formula>AND(AND($W749&lt;TODAY(),$W749&lt;&gt;""),$X749="")</formula>
    </cfRule>
  </conditionalFormatting>
  <conditionalFormatting sqref="Z749">
    <cfRule type="dataBar" priority="2707">
      <dataBar>
        <cfvo type="min"/>
        <cfvo type="max"/>
        <color rgb="FF63C384"/>
      </dataBar>
      <extLst>
        <ext xmlns:x14="http://schemas.microsoft.com/office/spreadsheetml/2009/9/main" uri="{B025F937-C7B1-47D3-B67F-A62EFF666E3E}">
          <x14:id>{C3882AEF-8699-4906-8F2D-1F54C1BA0891}</x14:id>
        </ext>
      </extLst>
    </cfRule>
  </conditionalFormatting>
  <conditionalFormatting sqref="Z749">
    <cfRule type="dataBar" priority="2706">
      <dataBar>
        <cfvo type="min"/>
        <cfvo type="max"/>
        <color rgb="FF63C384"/>
      </dataBar>
      <extLst>
        <ext xmlns:x14="http://schemas.microsoft.com/office/spreadsheetml/2009/9/main" uri="{B025F937-C7B1-47D3-B67F-A62EFF666E3E}">
          <x14:id>{4F784F42-16BF-4DBC-BB2B-11F79D453C9E}</x14:id>
        </ext>
      </extLst>
    </cfRule>
  </conditionalFormatting>
  <conditionalFormatting sqref="J749">
    <cfRule type="cellIs" dxfId="8021" priority="2705" operator="equal">
      <formula>"ja"</formula>
    </cfRule>
  </conditionalFormatting>
  <conditionalFormatting sqref="C749">
    <cfRule type="containsText" dxfId="8020" priority="2703" operator="containsText" text="Einnahmen">
      <formula>NOT(ISERROR(SEARCH("Einnahmen",C749)))</formula>
    </cfRule>
    <cfRule type="containsText" dxfId="8019" priority="2704" operator="containsText" text="Ausgaben">
      <formula>NOT(ISERROR(SEARCH("Ausgaben",C749)))</formula>
    </cfRule>
  </conditionalFormatting>
  <conditionalFormatting sqref="C750">
    <cfRule type="containsText" dxfId="8018" priority="2701" operator="containsText" text="Einnahmen">
      <formula>NOT(ISERROR(SEARCH("Einnahmen",C750)))</formula>
    </cfRule>
    <cfRule type="containsText" dxfId="8017" priority="2702" operator="containsText" text="Ausgaben">
      <formula>NOT(ISERROR(SEARCH("Ausgaben",C750)))</formula>
    </cfRule>
  </conditionalFormatting>
  <conditionalFormatting sqref="T750">
    <cfRule type="expression" dxfId="8016" priority="2700">
      <formula>AND(AND($W750&lt;TODAY(),$W750&lt;&gt;""),$X750="")</formula>
    </cfRule>
  </conditionalFormatting>
  <conditionalFormatting sqref="J750">
    <cfRule type="cellIs" dxfId="8015" priority="2699" operator="equal">
      <formula>"ja"</formula>
    </cfRule>
  </conditionalFormatting>
  <conditionalFormatting sqref="Z750">
    <cfRule type="dataBar" priority="2698">
      <dataBar>
        <cfvo type="min"/>
        <cfvo type="max"/>
        <color rgb="FF63C384"/>
      </dataBar>
      <extLst>
        <ext xmlns:x14="http://schemas.microsoft.com/office/spreadsheetml/2009/9/main" uri="{B025F937-C7B1-47D3-B67F-A62EFF666E3E}">
          <x14:id>{E5CE3015-7021-4A60-9F1D-917A9DFA650B}</x14:id>
        </ext>
      </extLst>
    </cfRule>
  </conditionalFormatting>
  <conditionalFormatting sqref="Z750">
    <cfRule type="dataBar" priority="2697">
      <dataBar>
        <cfvo type="min"/>
        <cfvo type="max"/>
        <color rgb="FF63C384"/>
      </dataBar>
      <extLst>
        <ext xmlns:x14="http://schemas.microsoft.com/office/spreadsheetml/2009/9/main" uri="{B025F937-C7B1-47D3-B67F-A62EFF666E3E}">
          <x14:id>{D99CE1B6-87CA-4637-ADA6-BEA80729380C}</x14:id>
        </ext>
      </extLst>
    </cfRule>
  </conditionalFormatting>
  <conditionalFormatting sqref="T751">
    <cfRule type="expression" dxfId="8014" priority="2696">
      <formula>AND(AND($W751&lt;TODAY(),$W751&lt;&gt;""),$X751="")</formula>
    </cfRule>
  </conditionalFormatting>
  <conditionalFormatting sqref="Z751">
    <cfRule type="dataBar" priority="2695">
      <dataBar>
        <cfvo type="min"/>
        <cfvo type="max"/>
        <color rgb="FF63C384"/>
      </dataBar>
      <extLst>
        <ext xmlns:x14="http://schemas.microsoft.com/office/spreadsheetml/2009/9/main" uri="{B025F937-C7B1-47D3-B67F-A62EFF666E3E}">
          <x14:id>{C9ECD926-5E62-471C-8E2D-EA1BC5D97043}</x14:id>
        </ext>
      </extLst>
    </cfRule>
  </conditionalFormatting>
  <conditionalFormatting sqref="Z751">
    <cfRule type="dataBar" priority="2694">
      <dataBar>
        <cfvo type="min"/>
        <cfvo type="max"/>
        <color rgb="FF63C384"/>
      </dataBar>
      <extLst>
        <ext xmlns:x14="http://schemas.microsoft.com/office/spreadsheetml/2009/9/main" uri="{B025F937-C7B1-47D3-B67F-A62EFF666E3E}">
          <x14:id>{FBE6A1D2-28B2-4F2B-8B3D-66119BD8AFA2}</x14:id>
        </ext>
      </extLst>
    </cfRule>
  </conditionalFormatting>
  <conditionalFormatting sqref="J751">
    <cfRule type="cellIs" dxfId="8013" priority="2693" operator="equal">
      <formula>"ja"</formula>
    </cfRule>
  </conditionalFormatting>
  <conditionalFormatting sqref="C751">
    <cfRule type="containsText" dxfId="8012" priority="2691" operator="containsText" text="Einnahmen">
      <formula>NOT(ISERROR(SEARCH("Einnahmen",C751)))</formula>
    </cfRule>
    <cfRule type="containsText" dxfId="8011" priority="2692" operator="containsText" text="Ausgaben">
      <formula>NOT(ISERROR(SEARCH("Ausgaben",C751)))</formula>
    </cfRule>
  </conditionalFormatting>
  <conditionalFormatting sqref="J752">
    <cfRule type="cellIs" dxfId="8010" priority="2690" operator="equal">
      <formula>"ja"</formula>
    </cfRule>
  </conditionalFormatting>
  <conditionalFormatting sqref="C752">
    <cfRule type="containsText" dxfId="8009" priority="2688" operator="containsText" text="Einnahmen">
      <formula>NOT(ISERROR(SEARCH("Einnahmen",C752)))</formula>
    </cfRule>
    <cfRule type="containsText" dxfId="8008" priority="2689" operator="containsText" text="Ausgaben">
      <formula>NOT(ISERROR(SEARCH("Ausgaben",C752)))</formula>
    </cfRule>
  </conditionalFormatting>
  <conditionalFormatting sqref="T752">
    <cfRule type="expression" dxfId="8007" priority="2687">
      <formula>AND(AND($W752&lt;TODAY(),$W752&lt;&gt;""),$X752="")</formula>
    </cfRule>
  </conditionalFormatting>
  <conditionalFormatting sqref="Z752">
    <cfRule type="dataBar" priority="2686">
      <dataBar>
        <cfvo type="min"/>
        <cfvo type="max"/>
        <color rgb="FF63C384"/>
      </dataBar>
      <extLst>
        <ext xmlns:x14="http://schemas.microsoft.com/office/spreadsheetml/2009/9/main" uri="{B025F937-C7B1-47D3-B67F-A62EFF666E3E}">
          <x14:id>{355B36CB-3B5C-4BEA-8255-CB977D473169}</x14:id>
        </ext>
      </extLst>
    </cfRule>
  </conditionalFormatting>
  <conditionalFormatting sqref="Z752">
    <cfRule type="dataBar" priority="2685">
      <dataBar>
        <cfvo type="min"/>
        <cfvo type="max"/>
        <color rgb="FF63C384"/>
      </dataBar>
      <extLst>
        <ext xmlns:x14="http://schemas.microsoft.com/office/spreadsheetml/2009/9/main" uri="{B025F937-C7B1-47D3-B67F-A62EFF666E3E}">
          <x14:id>{FD7CD2C4-428E-4D02-ACAC-8C8C784B8D5F}</x14:id>
        </ext>
      </extLst>
    </cfRule>
  </conditionalFormatting>
  <conditionalFormatting sqref="C753">
    <cfRule type="containsText" dxfId="8006" priority="2683" operator="containsText" text="Einnahmen">
      <formula>NOT(ISERROR(SEARCH("Einnahmen",C753)))</formula>
    </cfRule>
    <cfRule type="containsText" dxfId="8005" priority="2684" operator="containsText" text="Ausgaben">
      <formula>NOT(ISERROR(SEARCH("Ausgaben",C753)))</formula>
    </cfRule>
  </conditionalFormatting>
  <conditionalFormatting sqref="J753">
    <cfRule type="cellIs" dxfId="8004" priority="2682" operator="equal">
      <formula>"ja"</formula>
    </cfRule>
  </conditionalFormatting>
  <conditionalFormatting sqref="T753">
    <cfRule type="expression" dxfId="8003" priority="2681">
      <formula>AND(AND($W753&lt;TODAY(),$W753&lt;&gt;""),$X753="")</formula>
    </cfRule>
  </conditionalFormatting>
  <conditionalFormatting sqref="Z753">
    <cfRule type="dataBar" priority="2680">
      <dataBar>
        <cfvo type="min"/>
        <cfvo type="max"/>
        <color rgb="FF63C384"/>
      </dataBar>
      <extLst>
        <ext xmlns:x14="http://schemas.microsoft.com/office/spreadsheetml/2009/9/main" uri="{B025F937-C7B1-47D3-B67F-A62EFF666E3E}">
          <x14:id>{4CB11191-02A0-40D6-A51D-C84B1352511D}</x14:id>
        </ext>
      </extLst>
    </cfRule>
  </conditionalFormatting>
  <conditionalFormatting sqref="Z753">
    <cfRule type="dataBar" priority="2679">
      <dataBar>
        <cfvo type="min"/>
        <cfvo type="max"/>
        <color rgb="FF63C384"/>
      </dataBar>
      <extLst>
        <ext xmlns:x14="http://schemas.microsoft.com/office/spreadsheetml/2009/9/main" uri="{B025F937-C7B1-47D3-B67F-A62EFF666E3E}">
          <x14:id>{B8C64B80-64FC-4AE9-827F-30F152F541BC}</x14:id>
        </ext>
      </extLst>
    </cfRule>
  </conditionalFormatting>
  <conditionalFormatting sqref="C754">
    <cfRule type="containsText" dxfId="8002" priority="2677" operator="containsText" text="Einnahmen">
      <formula>NOT(ISERROR(SEARCH("Einnahmen",C754)))</formula>
    </cfRule>
    <cfRule type="containsText" dxfId="8001" priority="2678" operator="containsText" text="Ausgaben">
      <formula>NOT(ISERROR(SEARCH("Ausgaben",C754)))</formula>
    </cfRule>
  </conditionalFormatting>
  <conditionalFormatting sqref="J754">
    <cfRule type="cellIs" dxfId="8000" priority="2676" operator="equal">
      <formula>"ja"</formula>
    </cfRule>
  </conditionalFormatting>
  <conditionalFormatting sqref="J754">
    <cfRule type="cellIs" dxfId="7999" priority="2664" operator="equal">
      <formula>"ja"</formula>
    </cfRule>
  </conditionalFormatting>
  <conditionalFormatting sqref="T754">
    <cfRule type="expression" dxfId="7998" priority="2663">
      <formula>AND(AND($W754&lt;TODAY(),$W754&lt;&gt;""),$X754="")</formula>
    </cfRule>
  </conditionalFormatting>
  <conditionalFormatting sqref="T754">
    <cfRule type="expression" dxfId="7997" priority="2675">
      <formula>AND(AND($W754&lt;TODAY(),$W754&lt;&gt;""),$X754="")</formula>
    </cfRule>
  </conditionalFormatting>
  <conditionalFormatting sqref="Z754">
    <cfRule type="dataBar" priority="2674">
      <dataBar>
        <cfvo type="min"/>
        <cfvo type="max"/>
        <color rgb="FF63C384"/>
      </dataBar>
      <extLst>
        <ext xmlns:x14="http://schemas.microsoft.com/office/spreadsheetml/2009/9/main" uri="{B025F937-C7B1-47D3-B67F-A62EFF666E3E}">
          <x14:id>{B88A08F4-B4EB-4883-84A8-B86CFC228BDC}</x14:id>
        </ext>
      </extLst>
    </cfRule>
  </conditionalFormatting>
  <conditionalFormatting sqref="Z754">
    <cfRule type="dataBar" priority="2673">
      <dataBar>
        <cfvo type="min"/>
        <cfvo type="max"/>
        <color rgb="FF63C384"/>
      </dataBar>
      <extLst>
        <ext xmlns:x14="http://schemas.microsoft.com/office/spreadsheetml/2009/9/main" uri="{B025F937-C7B1-47D3-B67F-A62EFF666E3E}">
          <x14:id>{F1EED012-DA73-44E9-A643-3B11EB20A208}</x14:id>
        </ext>
      </extLst>
    </cfRule>
  </conditionalFormatting>
  <conditionalFormatting sqref="J754">
    <cfRule type="cellIs" dxfId="7996" priority="2672" operator="equal">
      <formula>"ja"</formula>
    </cfRule>
  </conditionalFormatting>
  <conditionalFormatting sqref="T754">
    <cfRule type="expression" dxfId="7995" priority="2671">
      <formula>AND(AND($W754&lt;TODAY(),$W754&lt;&gt;""),$X754="")</formula>
    </cfRule>
  </conditionalFormatting>
  <conditionalFormatting sqref="Z754">
    <cfRule type="dataBar" priority="2670">
      <dataBar>
        <cfvo type="min"/>
        <cfvo type="max"/>
        <color rgb="FF63C384"/>
      </dataBar>
      <extLst>
        <ext xmlns:x14="http://schemas.microsoft.com/office/spreadsheetml/2009/9/main" uri="{B025F937-C7B1-47D3-B67F-A62EFF666E3E}">
          <x14:id>{520199BC-C646-417C-840B-D73520359927}</x14:id>
        </ext>
      </extLst>
    </cfRule>
  </conditionalFormatting>
  <conditionalFormatting sqref="Z754">
    <cfRule type="dataBar" priority="2669">
      <dataBar>
        <cfvo type="min"/>
        <cfvo type="max"/>
        <color rgb="FF63C384"/>
      </dataBar>
      <extLst>
        <ext xmlns:x14="http://schemas.microsoft.com/office/spreadsheetml/2009/9/main" uri="{B025F937-C7B1-47D3-B67F-A62EFF666E3E}">
          <x14:id>{926A7F87-7C8C-4282-BA31-3A0BC0B19668}</x14:id>
        </ext>
      </extLst>
    </cfRule>
  </conditionalFormatting>
  <conditionalFormatting sqref="J754">
    <cfRule type="cellIs" dxfId="7994" priority="2668" operator="equal">
      <formula>"ja"</formula>
    </cfRule>
  </conditionalFormatting>
  <conditionalFormatting sqref="T754">
    <cfRule type="expression" dxfId="7993" priority="2667">
      <formula>AND(AND($W754&lt;TODAY(),$W754&lt;&gt;""),$X754="")</formula>
    </cfRule>
  </conditionalFormatting>
  <conditionalFormatting sqref="Z754">
    <cfRule type="dataBar" priority="2666">
      <dataBar>
        <cfvo type="min"/>
        <cfvo type="max"/>
        <color rgb="FF63C384"/>
      </dataBar>
      <extLst>
        <ext xmlns:x14="http://schemas.microsoft.com/office/spreadsheetml/2009/9/main" uri="{B025F937-C7B1-47D3-B67F-A62EFF666E3E}">
          <x14:id>{171CCDA4-45EC-40CB-BD4E-BFBEB0A991CC}</x14:id>
        </ext>
      </extLst>
    </cfRule>
  </conditionalFormatting>
  <conditionalFormatting sqref="Z754">
    <cfRule type="dataBar" priority="2665">
      <dataBar>
        <cfvo type="min"/>
        <cfvo type="max"/>
        <color rgb="FF63C384"/>
      </dataBar>
      <extLst>
        <ext xmlns:x14="http://schemas.microsoft.com/office/spreadsheetml/2009/9/main" uri="{B025F937-C7B1-47D3-B67F-A62EFF666E3E}">
          <x14:id>{DCC2D02A-6BB3-415D-B6A8-A6E4617F00FB}</x14:id>
        </ext>
      </extLst>
    </cfRule>
  </conditionalFormatting>
  <conditionalFormatting sqref="Z754">
    <cfRule type="dataBar" priority="2662">
      <dataBar>
        <cfvo type="min"/>
        <cfvo type="max"/>
        <color rgb="FF63C384"/>
      </dataBar>
      <extLst>
        <ext xmlns:x14="http://schemas.microsoft.com/office/spreadsheetml/2009/9/main" uri="{B025F937-C7B1-47D3-B67F-A62EFF666E3E}">
          <x14:id>{491518CC-DB32-4D7D-9811-60478C3C170C}</x14:id>
        </ext>
      </extLst>
    </cfRule>
  </conditionalFormatting>
  <conditionalFormatting sqref="Z754">
    <cfRule type="dataBar" priority="2661">
      <dataBar>
        <cfvo type="min"/>
        <cfvo type="max"/>
        <color rgb="FF63C384"/>
      </dataBar>
      <extLst>
        <ext xmlns:x14="http://schemas.microsoft.com/office/spreadsheetml/2009/9/main" uri="{B025F937-C7B1-47D3-B67F-A62EFF666E3E}">
          <x14:id>{09E5D1C6-730E-4227-ACF9-E9A2D5393CC7}</x14:id>
        </ext>
      </extLst>
    </cfRule>
  </conditionalFormatting>
  <conditionalFormatting sqref="C755">
    <cfRule type="containsText" dxfId="7992" priority="2659" operator="containsText" text="Einnahmen">
      <formula>NOT(ISERROR(SEARCH("Einnahmen",C755)))</formula>
    </cfRule>
    <cfRule type="containsText" dxfId="7991" priority="2660" operator="containsText" text="Ausgaben">
      <formula>NOT(ISERROR(SEARCH("Ausgaben",C755)))</formula>
    </cfRule>
  </conditionalFormatting>
  <conditionalFormatting sqref="J755">
    <cfRule type="cellIs" dxfId="7990" priority="2658" operator="equal">
      <formula>"ja"</formula>
    </cfRule>
  </conditionalFormatting>
  <conditionalFormatting sqref="T755">
    <cfRule type="expression" dxfId="7989" priority="2657">
      <formula>AND(AND($W755&lt;TODAY(),$W755&lt;&gt;""),$X755="")</formula>
    </cfRule>
  </conditionalFormatting>
  <conditionalFormatting sqref="Z755">
    <cfRule type="dataBar" priority="2656">
      <dataBar>
        <cfvo type="min"/>
        <cfvo type="max"/>
        <color rgb="FF63C384"/>
      </dataBar>
      <extLst>
        <ext xmlns:x14="http://schemas.microsoft.com/office/spreadsheetml/2009/9/main" uri="{B025F937-C7B1-47D3-B67F-A62EFF666E3E}">
          <x14:id>{C1326701-1962-4711-9FDE-79C1E8F5FC20}</x14:id>
        </ext>
      </extLst>
    </cfRule>
  </conditionalFormatting>
  <conditionalFormatting sqref="Z755">
    <cfRule type="dataBar" priority="2655">
      <dataBar>
        <cfvo type="min"/>
        <cfvo type="max"/>
        <color rgb="FF63C384"/>
      </dataBar>
      <extLst>
        <ext xmlns:x14="http://schemas.microsoft.com/office/spreadsheetml/2009/9/main" uri="{B025F937-C7B1-47D3-B67F-A62EFF666E3E}">
          <x14:id>{F495E703-F129-4902-B478-B17ABC3F3B2E}</x14:id>
        </ext>
      </extLst>
    </cfRule>
  </conditionalFormatting>
  <conditionalFormatting sqref="T755">
    <cfRule type="expression" dxfId="7988" priority="2654">
      <formula>AND(AND($W755&lt;TODAY(),$W755&lt;&gt;""),$X755="")</formula>
    </cfRule>
  </conditionalFormatting>
  <conditionalFormatting sqref="Z755">
    <cfRule type="dataBar" priority="2653">
      <dataBar>
        <cfvo type="min"/>
        <cfvo type="max"/>
        <color rgb="FF63C384"/>
      </dataBar>
      <extLst>
        <ext xmlns:x14="http://schemas.microsoft.com/office/spreadsheetml/2009/9/main" uri="{B025F937-C7B1-47D3-B67F-A62EFF666E3E}">
          <x14:id>{C022BE1D-4135-42A1-B033-94195A98E26A}</x14:id>
        </ext>
      </extLst>
    </cfRule>
  </conditionalFormatting>
  <conditionalFormatting sqref="Z755">
    <cfRule type="dataBar" priority="2652">
      <dataBar>
        <cfvo type="min"/>
        <cfvo type="max"/>
        <color rgb="FF63C384"/>
      </dataBar>
      <extLst>
        <ext xmlns:x14="http://schemas.microsoft.com/office/spreadsheetml/2009/9/main" uri="{B025F937-C7B1-47D3-B67F-A62EFF666E3E}">
          <x14:id>{9112CDF4-02A8-423B-8B1A-F3039FCB33B6}</x14:id>
        </ext>
      </extLst>
    </cfRule>
  </conditionalFormatting>
  <conditionalFormatting sqref="J755">
    <cfRule type="cellIs" dxfId="7987" priority="2651" operator="equal">
      <formula>"ja"</formula>
    </cfRule>
  </conditionalFormatting>
  <conditionalFormatting sqref="C756">
    <cfRule type="containsText" dxfId="7986" priority="2649" operator="containsText" text="Einnahmen">
      <formula>NOT(ISERROR(SEARCH("Einnahmen",C756)))</formula>
    </cfRule>
    <cfRule type="containsText" dxfId="7985" priority="2650" operator="containsText" text="Ausgaben">
      <formula>NOT(ISERROR(SEARCH("Ausgaben",C756)))</formula>
    </cfRule>
  </conditionalFormatting>
  <conditionalFormatting sqref="J756">
    <cfRule type="cellIs" dxfId="7984" priority="2648" operator="equal">
      <formula>"ja"</formula>
    </cfRule>
  </conditionalFormatting>
  <conditionalFormatting sqref="T756">
    <cfRule type="expression" dxfId="7983" priority="2647">
      <formula>AND(AND($W756&lt;TODAY(),$W756&lt;&gt;""),$X756="")</formula>
    </cfRule>
  </conditionalFormatting>
  <conditionalFormatting sqref="Z756">
    <cfRule type="dataBar" priority="2646">
      <dataBar>
        <cfvo type="min"/>
        <cfvo type="max"/>
        <color rgb="FF63C384"/>
      </dataBar>
      <extLst>
        <ext xmlns:x14="http://schemas.microsoft.com/office/spreadsheetml/2009/9/main" uri="{B025F937-C7B1-47D3-B67F-A62EFF666E3E}">
          <x14:id>{AACCDD74-FAC5-4BF1-94F9-2EABB52A35E5}</x14:id>
        </ext>
      </extLst>
    </cfRule>
  </conditionalFormatting>
  <conditionalFormatting sqref="Z756">
    <cfRule type="dataBar" priority="2645">
      <dataBar>
        <cfvo type="min"/>
        <cfvo type="max"/>
        <color rgb="FF63C384"/>
      </dataBar>
      <extLst>
        <ext xmlns:x14="http://schemas.microsoft.com/office/spreadsheetml/2009/9/main" uri="{B025F937-C7B1-47D3-B67F-A62EFF666E3E}">
          <x14:id>{23141205-0C01-49F5-9604-AC667EE12AF5}</x14:id>
        </ext>
      </extLst>
    </cfRule>
  </conditionalFormatting>
  <conditionalFormatting sqref="T756">
    <cfRule type="expression" dxfId="7982" priority="2644">
      <formula>AND(AND($W756&lt;TODAY(),$W756&lt;&gt;""),$X756="")</formula>
    </cfRule>
  </conditionalFormatting>
  <conditionalFormatting sqref="J756">
    <cfRule type="cellIs" dxfId="7981" priority="2643" operator="equal">
      <formula>"ja"</formula>
    </cfRule>
  </conditionalFormatting>
  <conditionalFormatting sqref="Z756">
    <cfRule type="dataBar" priority="2642">
      <dataBar>
        <cfvo type="min"/>
        <cfvo type="max"/>
        <color rgb="FF63C384"/>
      </dataBar>
      <extLst>
        <ext xmlns:x14="http://schemas.microsoft.com/office/spreadsheetml/2009/9/main" uri="{B025F937-C7B1-47D3-B67F-A62EFF666E3E}">
          <x14:id>{5E8A1C53-18AD-4A86-9A09-C61AC935F2F4}</x14:id>
        </ext>
      </extLst>
    </cfRule>
  </conditionalFormatting>
  <conditionalFormatting sqref="Z756">
    <cfRule type="dataBar" priority="2641">
      <dataBar>
        <cfvo type="min"/>
        <cfvo type="max"/>
        <color rgb="FF63C384"/>
      </dataBar>
      <extLst>
        <ext xmlns:x14="http://schemas.microsoft.com/office/spreadsheetml/2009/9/main" uri="{B025F937-C7B1-47D3-B67F-A62EFF666E3E}">
          <x14:id>{F90E809B-D743-4733-AF89-8EAB8CC68808}</x14:id>
        </ext>
      </extLst>
    </cfRule>
  </conditionalFormatting>
  <conditionalFormatting sqref="C757">
    <cfRule type="containsText" dxfId="7980" priority="2639" operator="containsText" text="Einnahmen">
      <formula>NOT(ISERROR(SEARCH("Einnahmen",C757)))</formula>
    </cfRule>
    <cfRule type="containsText" dxfId="7979" priority="2640" operator="containsText" text="Ausgaben">
      <formula>NOT(ISERROR(SEARCH("Ausgaben",C757)))</formula>
    </cfRule>
  </conditionalFormatting>
  <conditionalFormatting sqref="J757">
    <cfRule type="cellIs" dxfId="7978" priority="2638" operator="equal">
      <formula>"ja"</formula>
    </cfRule>
  </conditionalFormatting>
  <conditionalFormatting sqref="T757">
    <cfRule type="expression" dxfId="7977" priority="2637">
      <formula>AND(AND($W757&lt;TODAY(),$W757&lt;&gt;""),$X757="")</formula>
    </cfRule>
  </conditionalFormatting>
  <conditionalFormatting sqref="Z757">
    <cfRule type="dataBar" priority="2636">
      <dataBar>
        <cfvo type="min"/>
        <cfvo type="max"/>
        <color rgb="FF63C384"/>
      </dataBar>
      <extLst>
        <ext xmlns:x14="http://schemas.microsoft.com/office/spreadsheetml/2009/9/main" uri="{B025F937-C7B1-47D3-B67F-A62EFF666E3E}">
          <x14:id>{3826156F-20F5-4AD7-B435-08B4DA476CDD}</x14:id>
        </ext>
      </extLst>
    </cfRule>
  </conditionalFormatting>
  <conditionalFormatting sqref="Z757">
    <cfRule type="dataBar" priority="2635">
      <dataBar>
        <cfvo type="min"/>
        <cfvo type="max"/>
        <color rgb="FF63C384"/>
      </dataBar>
      <extLst>
        <ext xmlns:x14="http://schemas.microsoft.com/office/spreadsheetml/2009/9/main" uri="{B025F937-C7B1-47D3-B67F-A62EFF666E3E}">
          <x14:id>{D32E8936-DB83-46AD-9A2B-EF88A08B6B04}</x14:id>
        </ext>
      </extLst>
    </cfRule>
  </conditionalFormatting>
  <conditionalFormatting sqref="T757">
    <cfRule type="expression" dxfId="7976" priority="2634">
      <formula>AND(AND($W757&lt;TODAY(),$W757&lt;&gt;""),$X757="")</formula>
    </cfRule>
  </conditionalFormatting>
  <conditionalFormatting sqref="Z757">
    <cfRule type="dataBar" priority="2633">
      <dataBar>
        <cfvo type="min"/>
        <cfvo type="max"/>
        <color rgb="FF63C384"/>
      </dataBar>
      <extLst>
        <ext xmlns:x14="http://schemas.microsoft.com/office/spreadsheetml/2009/9/main" uri="{B025F937-C7B1-47D3-B67F-A62EFF666E3E}">
          <x14:id>{8BF14692-A5CE-4508-AFFF-878AACC3E32D}</x14:id>
        </ext>
      </extLst>
    </cfRule>
  </conditionalFormatting>
  <conditionalFormatting sqref="Z757">
    <cfRule type="dataBar" priority="2632">
      <dataBar>
        <cfvo type="min"/>
        <cfvo type="max"/>
        <color rgb="FF63C384"/>
      </dataBar>
      <extLst>
        <ext xmlns:x14="http://schemas.microsoft.com/office/spreadsheetml/2009/9/main" uri="{B025F937-C7B1-47D3-B67F-A62EFF666E3E}">
          <x14:id>{54D2D1DF-14CD-4288-9579-02FDDA258890}</x14:id>
        </ext>
      </extLst>
    </cfRule>
  </conditionalFormatting>
  <conditionalFormatting sqref="J757">
    <cfRule type="cellIs" dxfId="7975" priority="2631" operator="equal">
      <formula>"ja"</formula>
    </cfRule>
  </conditionalFormatting>
  <conditionalFormatting sqref="J758">
    <cfRule type="cellIs" dxfId="7974" priority="2630" operator="equal">
      <formula>"ja"</formula>
    </cfRule>
  </conditionalFormatting>
  <conditionalFormatting sqref="C758">
    <cfRule type="containsText" dxfId="7973" priority="2628" operator="containsText" text="Einnahmen">
      <formula>NOT(ISERROR(SEARCH("Einnahmen",C758)))</formula>
    </cfRule>
    <cfRule type="containsText" dxfId="7972" priority="2629" operator="containsText" text="Ausgaben">
      <formula>NOT(ISERROR(SEARCH("Ausgaben",C758)))</formula>
    </cfRule>
  </conditionalFormatting>
  <conditionalFormatting sqref="T758">
    <cfRule type="expression" dxfId="7971" priority="2627">
      <formula>AND(AND($W758&lt;TODAY(),$W758&lt;&gt;""),$X758="")</formula>
    </cfRule>
  </conditionalFormatting>
  <conditionalFormatting sqref="Z758">
    <cfRule type="dataBar" priority="2626">
      <dataBar>
        <cfvo type="min"/>
        <cfvo type="max"/>
        <color rgb="FF63C384"/>
      </dataBar>
      <extLst>
        <ext xmlns:x14="http://schemas.microsoft.com/office/spreadsheetml/2009/9/main" uri="{B025F937-C7B1-47D3-B67F-A62EFF666E3E}">
          <x14:id>{8E634DC1-6772-4044-AE8C-B8E9EFB8DC13}</x14:id>
        </ext>
      </extLst>
    </cfRule>
  </conditionalFormatting>
  <conditionalFormatting sqref="Z758">
    <cfRule type="dataBar" priority="2625">
      <dataBar>
        <cfvo type="min"/>
        <cfvo type="max"/>
        <color rgb="FF63C384"/>
      </dataBar>
      <extLst>
        <ext xmlns:x14="http://schemas.microsoft.com/office/spreadsheetml/2009/9/main" uri="{B025F937-C7B1-47D3-B67F-A62EFF666E3E}">
          <x14:id>{5634682A-DEDA-4FF7-8D38-6E82F06BD2CB}</x14:id>
        </ext>
      </extLst>
    </cfRule>
  </conditionalFormatting>
  <conditionalFormatting sqref="C759">
    <cfRule type="containsText" dxfId="7970" priority="2623" operator="containsText" text="Einnahmen">
      <formula>NOT(ISERROR(SEARCH("Einnahmen",C759)))</formula>
    </cfRule>
    <cfRule type="containsText" dxfId="7969" priority="2624" operator="containsText" text="Ausgaben">
      <formula>NOT(ISERROR(SEARCH("Ausgaben",C759)))</formula>
    </cfRule>
  </conditionalFormatting>
  <conditionalFormatting sqref="T759">
    <cfRule type="expression" dxfId="7968" priority="2622">
      <formula>AND(AND($W759&lt;TODAY(),$W759&lt;&gt;""),$X759="")</formula>
    </cfRule>
  </conditionalFormatting>
  <conditionalFormatting sqref="Z759">
    <cfRule type="dataBar" priority="2621">
      <dataBar>
        <cfvo type="min"/>
        <cfvo type="max"/>
        <color rgb="FF63C384"/>
      </dataBar>
      <extLst>
        <ext xmlns:x14="http://schemas.microsoft.com/office/spreadsheetml/2009/9/main" uri="{B025F937-C7B1-47D3-B67F-A62EFF666E3E}">
          <x14:id>{E9FD6659-1FDA-479D-BA3A-DC36A7792223}</x14:id>
        </ext>
      </extLst>
    </cfRule>
  </conditionalFormatting>
  <conditionalFormatting sqref="Z759">
    <cfRule type="dataBar" priority="2620">
      <dataBar>
        <cfvo type="min"/>
        <cfvo type="max"/>
        <color rgb="FF63C384"/>
      </dataBar>
      <extLst>
        <ext xmlns:x14="http://schemas.microsoft.com/office/spreadsheetml/2009/9/main" uri="{B025F937-C7B1-47D3-B67F-A62EFF666E3E}">
          <x14:id>{36D7E2BC-45E5-4DDD-A195-4B93A86C2B21}</x14:id>
        </ext>
      </extLst>
    </cfRule>
  </conditionalFormatting>
  <conditionalFormatting sqref="J760">
    <cfRule type="cellIs" dxfId="7967" priority="2619" operator="equal">
      <formula>"ja"</formula>
    </cfRule>
  </conditionalFormatting>
  <conditionalFormatting sqref="C760">
    <cfRule type="containsText" dxfId="7966" priority="2617" operator="containsText" text="Einnahmen">
      <formula>NOT(ISERROR(SEARCH("Einnahmen",C760)))</formula>
    </cfRule>
    <cfRule type="containsText" dxfId="7965" priority="2618" operator="containsText" text="Ausgaben">
      <formula>NOT(ISERROR(SEARCH("Ausgaben",C760)))</formula>
    </cfRule>
  </conditionalFormatting>
  <conditionalFormatting sqref="T760">
    <cfRule type="expression" dxfId="7964" priority="2616">
      <formula>AND(AND($W760&lt;TODAY(),$W760&lt;&gt;""),$X760="")</formula>
    </cfRule>
  </conditionalFormatting>
  <conditionalFormatting sqref="Z760">
    <cfRule type="dataBar" priority="2615">
      <dataBar>
        <cfvo type="min"/>
        <cfvo type="max"/>
        <color rgb="FF63C384"/>
      </dataBar>
      <extLst>
        <ext xmlns:x14="http://schemas.microsoft.com/office/spreadsheetml/2009/9/main" uri="{B025F937-C7B1-47D3-B67F-A62EFF666E3E}">
          <x14:id>{B12CB253-E5E9-4BBC-BCD8-5B5DB7EAEA1F}</x14:id>
        </ext>
      </extLst>
    </cfRule>
  </conditionalFormatting>
  <conditionalFormatting sqref="Z760">
    <cfRule type="dataBar" priority="2614">
      <dataBar>
        <cfvo type="min"/>
        <cfvo type="max"/>
        <color rgb="FF63C384"/>
      </dataBar>
      <extLst>
        <ext xmlns:x14="http://schemas.microsoft.com/office/spreadsheetml/2009/9/main" uri="{B025F937-C7B1-47D3-B67F-A62EFF666E3E}">
          <x14:id>{F132D66F-7438-4F48-9612-F5B8D2D6F9B9}</x14:id>
        </ext>
      </extLst>
    </cfRule>
  </conditionalFormatting>
  <conditionalFormatting sqref="C760">
    <cfRule type="containsText" dxfId="7963" priority="2612" operator="containsText" text="Einnahmen">
      <formula>NOT(ISERROR(SEARCH("Einnahmen",C760)))</formula>
    </cfRule>
    <cfRule type="containsText" dxfId="7962" priority="2613" operator="containsText" text="Ausgaben">
      <formula>NOT(ISERROR(SEARCH("Ausgaben",C760)))</formula>
    </cfRule>
  </conditionalFormatting>
  <conditionalFormatting sqref="T760">
    <cfRule type="expression" dxfId="7961" priority="2611">
      <formula>AND(AND($W760&lt;TODAY(),$W760&lt;&gt;""),$X760="")</formula>
    </cfRule>
  </conditionalFormatting>
  <conditionalFormatting sqref="J760">
    <cfRule type="cellIs" dxfId="7960" priority="2610" operator="equal">
      <formula>"ja"</formula>
    </cfRule>
  </conditionalFormatting>
  <conditionalFormatting sqref="Z760">
    <cfRule type="dataBar" priority="2609">
      <dataBar>
        <cfvo type="min"/>
        <cfvo type="max"/>
        <color rgb="FF63C384"/>
      </dataBar>
      <extLst>
        <ext xmlns:x14="http://schemas.microsoft.com/office/spreadsheetml/2009/9/main" uri="{B025F937-C7B1-47D3-B67F-A62EFF666E3E}">
          <x14:id>{1CE62074-7E5B-4C1F-BD31-63CC35F76D9B}</x14:id>
        </ext>
      </extLst>
    </cfRule>
  </conditionalFormatting>
  <conditionalFormatting sqref="Z760">
    <cfRule type="dataBar" priority="2608">
      <dataBar>
        <cfvo type="min"/>
        <cfvo type="max"/>
        <color rgb="FF63C384"/>
      </dataBar>
      <extLst>
        <ext xmlns:x14="http://schemas.microsoft.com/office/spreadsheetml/2009/9/main" uri="{B025F937-C7B1-47D3-B67F-A62EFF666E3E}">
          <x14:id>{5D84E637-2BA1-4874-A0AA-38A04429BDE9}</x14:id>
        </ext>
      </extLst>
    </cfRule>
  </conditionalFormatting>
  <conditionalFormatting sqref="C761">
    <cfRule type="containsText" dxfId="7959" priority="2606" operator="containsText" text="Einnahmen">
      <formula>NOT(ISERROR(SEARCH("Einnahmen",C761)))</formula>
    </cfRule>
    <cfRule type="containsText" dxfId="7958" priority="2607" operator="containsText" text="Ausgaben">
      <formula>NOT(ISERROR(SEARCH("Ausgaben",C761)))</formula>
    </cfRule>
  </conditionalFormatting>
  <conditionalFormatting sqref="J761">
    <cfRule type="cellIs" dxfId="7957" priority="2605" operator="equal">
      <formula>"ja"</formula>
    </cfRule>
  </conditionalFormatting>
  <conditionalFormatting sqref="T761">
    <cfRule type="expression" dxfId="7956" priority="2604">
      <formula>AND(AND($W761&lt;TODAY(),$W761&lt;&gt;""),$X761="")</formula>
    </cfRule>
  </conditionalFormatting>
  <conditionalFormatting sqref="Z761">
    <cfRule type="dataBar" priority="2603">
      <dataBar>
        <cfvo type="min"/>
        <cfvo type="max"/>
        <color rgb="FF63C384"/>
      </dataBar>
      <extLst>
        <ext xmlns:x14="http://schemas.microsoft.com/office/spreadsheetml/2009/9/main" uri="{B025F937-C7B1-47D3-B67F-A62EFF666E3E}">
          <x14:id>{B27F31E9-A9D7-4D14-928B-13514D7D6A26}</x14:id>
        </ext>
      </extLst>
    </cfRule>
  </conditionalFormatting>
  <conditionalFormatting sqref="Z761">
    <cfRule type="dataBar" priority="2602">
      <dataBar>
        <cfvo type="min"/>
        <cfvo type="max"/>
        <color rgb="FF63C384"/>
      </dataBar>
      <extLst>
        <ext xmlns:x14="http://schemas.microsoft.com/office/spreadsheetml/2009/9/main" uri="{B025F937-C7B1-47D3-B67F-A62EFF666E3E}">
          <x14:id>{834A6639-1041-48CB-AFA0-D32665D82E44}</x14:id>
        </ext>
      </extLst>
    </cfRule>
  </conditionalFormatting>
  <conditionalFormatting sqref="J762">
    <cfRule type="cellIs" dxfId="7955" priority="2601" operator="equal">
      <formula>"ja"</formula>
    </cfRule>
  </conditionalFormatting>
  <conditionalFormatting sqref="C762">
    <cfRule type="containsText" dxfId="7954" priority="2599" operator="containsText" text="Einnahmen">
      <formula>NOT(ISERROR(SEARCH("Einnahmen",C762)))</formula>
    </cfRule>
    <cfRule type="containsText" dxfId="7953" priority="2600" operator="containsText" text="Ausgaben">
      <formula>NOT(ISERROR(SEARCH("Ausgaben",C762)))</formula>
    </cfRule>
  </conditionalFormatting>
  <conditionalFormatting sqref="T762">
    <cfRule type="expression" dxfId="7952" priority="2598">
      <formula>AND(AND($W762&lt;TODAY(),$W762&lt;&gt;""),$X762="")</formula>
    </cfRule>
  </conditionalFormatting>
  <conditionalFormatting sqref="Z762">
    <cfRule type="dataBar" priority="2597">
      <dataBar>
        <cfvo type="min"/>
        <cfvo type="max"/>
        <color rgb="FF63C384"/>
      </dataBar>
      <extLst>
        <ext xmlns:x14="http://schemas.microsoft.com/office/spreadsheetml/2009/9/main" uri="{B025F937-C7B1-47D3-B67F-A62EFF666E3E}">
          <x14:id>{8326A39C-FD47-4672-B81F-BD2DB0D0266E}</x14:id>
        </ext>
      </extLst>
    </cfRule>
  </conditionalFormatting>
  <conditionalFormatting sqref="Z762">
    <cfRule type="dataBar" priority="2596">
      <dataBar>
        <cfvo type="min"/>
        <cfvo type="max"/>
        <color rgb="FF63C384"/>
      </dataBar>
      <extLst>
        <ext xmlns:x14="http://schemas.microsoft.com/office/spreadsheetml/2009/9/main" uri="{B025F937-C7B1-47D3-B67F-A62EFF666E3E}">
          <x14:id>{DBF3D769-77CD-408C-930C-5B60CB63E85B}</x14:id>
        </ext>
      </extLst>
    </cfRule>
  </conditionalFormatting>
  <conditionalFormatting sqref="J762">
    <cfRule type="cellIs" dxfId="7951" priority="2595" operator="equal">
      <formula>"ja"</formula>
    </cfRule>
  </conditionalFormatting>
  <conditionalFormatting sqref="T762">
    <cfRule type="expression" dxfId="7950" priority="2594">
      <formula>AND(AND($W762&lt;TODAY(),$W762&lt;&gt;""),$X762="")</formula>
    </cfRule>
  </conditionalFormatting>
  <conditionalFormatting sqref="Z762">
    <cfRule type="dataBar" priority="2593">
      <dataBar>
        <cfvo type="min"/>
        <cfvo type="max"/>
        <color rgb="FF63C384"/>
      </dataBar>
      <extLst>
        <ext xmlns:x14="http://schemas.microsoft.com/office/spreadsheetml/2009/9/main" uri="{B025F937-C7B1-47D3-B67F-A62EFF666E3E}">
          <x14:id>{37865DB3-5A4E-46A6-8F2C-63AACD3D997D}</x14:id>
        </ext>
      </extLst>
    </cfRule>
  </conditionalFormatting>
  <conditionalFormatting sqref="Z762">
    <cfRule type="dataBar" priority="2592">
      <dataBar>
        <cfvo type="min"/>
        <cfvo type="max"/>
        <color rgb="FF63C384"/>
      </dataBar>
      <extLst>
        <ext xmlns:x14="http://schemas.microsoft.com/office/spreadsheetml/2009/9/main" uri="{B025F937-C7B1-47D3-B67F-A62EFF666E3E}">
          <x14:id>{2C490446-C1AE-4B7C-A270-42244F228341}</x14:id>
        </ext>
      </extLst>
    </cfRule>
  </conditionalFormatting>
  <conditionalFormatting sqref="J762">
    <cfRule type="cellIs" dxfId="7949" priority="2591" operator="equal">
      <formula>"ja"</formula>
    </cfRule>
  </conditionalFormatting>
  <conditionalFormatting sqref="C762">
    <cfRule type="containsText" dxfId="7948" priority="2589" operator="containsText" text="Einnahmen">
      <formula>NOT(ISERROR(SEARCH("Einnahmen",C762)))</formula>
    </cfRule>
    <cfRule type="containsText" dxfId="7947" priority="2590" operator="containsText" text="Ausgaben">
      <formula>NOT(ISERROR(SEARCH("Ausgaben",C762)))</formula>
    </cfRule>
  </conditionalFormatting>
  <conditionalFormatting sqref="T762">
    <cfRule type="expression" dxfId="7946" priority="2588">
      <formula>AND(AND($W762&lt;TODAY(),$W762&lt;&gt;""),$X762="")</formula>
    </cfRule>
  </conditionalFormatting>
  <conditionalFormatting sqref="Z762">
    <cfRule type="dataBar" priority="2587">
      <dataBar>
        <cfvo type="min"/>
        <cfvo type="max"/>
        <color rgb="FF63C384"/>
      </dataBar>
      <extLst>
        <ext xmlns:x14="http://schemas.microsoft.com/office/spreadsheetml/2009/9/main" uri="{B025F937-C7B1-47D3-B67F-A62EFF666E3E}">
          <x14:id>{DFD8E394-BA0A-4A8F-A734-AF0A96924D9D}</x14:id>
        </ext>
      </extLst>
    </cfRule>
  </conditionalFormatting>
  <conditionalFormatting sqref="Z762">
    <cfRule type="dataBar" priority="2586">
      <dataBar>
        <cfvo type="min"/>
        <cfvo type="max"/>
        <color rgb="FF63C384"/>
      </dataBar>
      <extLst>
        <ext xmlns:x14="http://schemas.microsoft.com/office/spreadsheetml/2009/9/main" uri="{B025F937-C7B1-47D3-B67F-A62EFF666E3E}">
          <x14:id>{D42BB712-66DB-419F-AEE3-98BA0746457D}</x14:id>
        </ext>
      </extLst>
    </cfRule>
  </conditionalFormatting>
  <conditionalFormatting sqref="J763:J764">
    <cfRule type="cellIs" dxfId="7945" priority="2585" operator="equal">
      <formula>"ja"</formula>
    </cfRule>
  </conditionalFormatting>
  <conditionalFormatting sqref="C763:C764">
    <cfRule type="containsText" dxfId="7944" priority="2583" operator="containsText" text="Einnahmen">
      <formula>NOT(ISERROR(SEARCH("Einnahmen",C763)))</formula>
    </cfRule>
    <cfRule type="containsText" dxfId="7943" priority="2584" operator="containsText" text="Ausgaben">
      <formula>NOT(ISERROR(SEARCH("Ausgaben",C763)))</formula>
    </cfRule>
  </conditionalFormatting>
  <conditionalFormatting sqref="T763:T764">
    <cfRule type="expression" dxfId="7942" priority="2582">
      <formula>AND(AND($W763&lt;TODAY(),$W763&lt;&gt;""),$X763="")</formula>
    </cfRule>
  </conditionalFormatting>
  <conditionalFormatting sqref="Z763:Z764">
    <cfRule type="dataBar" priority="2581">
      <dataBar>
        <cfvo type="min"/>
        <cfvo type="max"/>
        <color rgb="FF63C384"/>
      </dataBar>
      <extLst>
        <ext xmlns:x14="http://schemas.microsoft.com/office/spreadsheetml/2009/9/main" uri="{B025F937-C7B1-47D3-B67F-A62EFF666E3E}">
          <x14:id>{6128E97E-3D01-4860-8415-B1BE3DDFDA82}</x14:id>
        </ext>
      </extLst>
    </cfRule>
  </conditionalFormatting>
  <conditionalFormatting sqref="Z763:Z764">
    <cfRule type="dataBar" priority="2580">
      <dataBar>
        <cfvo type="min"/>
        <cfvo type="max"/>
        <color rgb="FF63C384"/>
      </dataBar>
      <extLst>
        <ext xmlns:x14="http://schemas.microsoft.com/office/spreadsheetml/2009/9/main" uri="{B025F937-C7B1-47D3-B67F-A62EFF666E3E}">
          <x14:id>{955D2FB3-5E1B-4783-9495-5D1B2E17BAD7}</x14:id>
        </ext>
      </extLst>
    </cfRule>
  </conditionalFormatting>
  <conditionalFormatting sqref="J763:J764">
    <cfRule type="cellIs" dxfId="7941" priority="2579" operator="equal">
      <formula>"ja"</formula>
    </cfRule>
  </conditionalFormatting>
  <conditionalFormatting sqref="T763:T764">
    <cfRule type="expression" dxfId="7940" priority="2578">
      <formula>AND(AND($W763&lt;TODAY(),$W763&lt;&gt;""),$X763="")</formula>
    </cfRule>
  </conditionalFormatting>
  <conditionalFormatting sqref="Z763:Z764">
    <cfRule type="dataBar" priority="2577">
      <dataBar>
        <cfvo type="min"/>
        <cfvo type="max"/>
        <color rgb="FF63C384"/>
      </dataBar>
      <extLst>
        <ext xmlns:x14="http://schemas.microsoft.com/office/spreadsheetml/2009/9/main" uri="{B025F937-C7B1-47D3-B67F-A62EFF666E3E}">
          <x14:id>{232FD82E-D4AA-4A6E-A0E7-9BA3E30438AF}</x14:id>
        </ext>
      </extLst>
    </cfRule>
  </conditionalFormatting>
  <conditionalFormatting sqref="Z763:Z764">
    <cfRule type="dataBar" priority="2576">
      <dataBar>
        <cfvo type="min"/>
        <cfvo type="max"/>
        <color rgb="FF63C384"/>
      </dataBar>
      <extLst>
        <ext xmlns:x14="http://schemas.microsoft.com/office/spreadsheetml/2009/9/main" uri="{B025F937-C7B1-47D3-B67F-A62EFF666E3E}">
          <x14:id>{68FA71DA-FF47-4F10-8DDE-3DEE841245F4}</x14:id>
        </ext>
      </extLst>
    </cfRule>
  </conditionalFormatting>
  <conditionalFormatting sqref="J765">
    <cfRule type="cellIs" dxfId="7939" priority="2565" operator="equal">
      <formula>"ja"</formula>
    </cfRule>
  </conditionalFormatting>
  <conditionalFormatting sqref="T765">
    <cfRule type="expression" dxfId="7938" priority="2564">
      <formula>AND(AND($W765&lt;TODAY(),$W765&lt;&gt;""),$X765="")</formula>
    </cfRule>
  </conditionalFormatting>
  <conditionalFormatting sqref="Z765">
    <cfRule type="dataBar" priority="2563">
      <dataBar>
        <cfvo type="min"/>
        <cfvo type="max"/>
        <color rgb="FF63C384"/>
      </dataBar>
      <extLst>
        <ext xmlns:x14="http://schemas.microsoft.com/office/spreadsheetml/2009/9/main" uri="{B025F937-C7B1-47D3-B67F-A62EFF666E3E}">
          <x14:id>{C69CFB84-5BC3-4327-8A76-C45E9966F9D5}</x14:id>
        </ext>
      </extLst>
    </cfRule>
  </conditionalFormatting>
  <conditionalFormatting sqref="Z765">
    <cfRule type="dataBar" priority="2562">
      <dataBar>
        <cfvo type="min"/>
        <cfvo type="max"/>
        <color rgb="FF63C384"/>
      </dataBar>
      <extLst>
        <ext xmlns:x14="http://schemas.microsoft.com/office/spreadsheetml/2009/9/main" uri="{B025F937-C7B1-47D3-B67F-A62EFF666E3E}">
          <x14:id>{0AD783F1-4CEC-49BF-8FD1-9F215E191AE0}</x14:id>
        </ext>
      </extLst>
    </cfRule>
  </conditionalFormatting>
  <conditionalFormatting sqref="T765">
    <cfRule type="expression" dxfId="7937" priority="2561">
      <formula>AND(AND($W765&lt;TODAY(),$W765&lt;&gt;""),$X765="")</formula>
    </cfRule>
  </conditionalFormatting>
  <conditionalFormatting sqref="Z765">
    <cfRule type="dataBar" priority="2560">
      <dataBar>
        <cfvo type="min"/>
        <cfvo type="max"/>
        <color rgb="FF63C384"/>
      </dataBar>
      <extLst>
        <ext xmlns:x14="http://schemas.microsoft.com/office/spreadsheetml/2009/9/main" uri="{B025F937-C7B1-47D3-B67F-A62EFF666E3E}">
          <x14:id>{56128931-7776-4486-994F-752C213D1667}</x14:id>
        </ext>
      </extLst>
    </cfRule>
  </conditionalFormatting>
  <conditionalFormatting sqref="Z765">
    <cfRule type="dataBar" priority="2559">
      <dataBar>
        <cfvo type="min"/>
        <cfvo type="max"/>
        <color rgb="FF63C384"/>
      </dataBar>
      <extLst>
        <ext xmlns:x14="http://schemas.microsoft.com/office/spreadsheetml/2009/9/main" uri="{B025F937-C7B1-47D3-B67F-A62EFF666E3E}">
          <x14:id>{0043B28B-0F78-4F80-879F-9F3A1DDCBD9C}</x14:id>
        </ext>
      </extLst>
    </cfRule>
  </conditionalFormatting>
  <conditionalFormatting sqref="J765">
    <cfRule type="cellIs" dxfId="7936" priority="2558" operator="equal">
      <formula>"ja"</formula>
    </cfRule>
  </conditionalFormatting>
  <conditionalFormatting sqref="C765">
    <cfRule type="containsText" dxfId="7935" priority="2556" operator="containsText" text="Einnahmen">
      <formula>NOT(ISERROR(SEARCH("Einnahmen",C765)))</formula>
    </cfRule>
    <cfRule type="containsText" dxfId="7934" priority="2557" operator="containsText" text="Ausgaben">
      <formula>NOT(ISERROR(SEARCH("Ausgaben",C765)))</formula>
    </cfRule>
  </conditionalFormatting>
  <conditionalFormatting sqref="T766">
    <cfRule type="expression" dxfId="7933" priority="2555">
      <formula>AND(AND($W766&lt;TODAY(),$W766&lt;&gt;""),$X766="")</formula>
    </cfRule>
  </conditionalFormatting>
  <conditionalFormatting sqref="Z766">
    <cfRule type="dataBar" priority="2554">
      <dataBar>
        <cfvo type="min"/>
        <cfvo type="max"/>
        <color rgb="FF63C384"/>
      </dataBar>
      <extLst>
        <ext xmlns:x14="http://schemas.microsoft.com/office/spreadsheetml/2009/9/main" uri="{B025F937-C7B1-47D3-B67F-A62EFF666E3E}">
          <x14:id>{D1400695-8347-4F8F-A120-3AD07122851D}</x14:id>
        </ext>
      </extLst>
    </cfRule>
  </conditionalFormatting>
  <conditionalFormatting sqref="Z766">
    <cfRule type="dataBar" priority="2553">
      <dataBar>
        <cfvo type="min"/>
        <cfvo type="max"/>
        <color rgb="FF63C384"/>
      </dataBar>
      <extLst>
        <ext xmlns:x14="http://schemas.microsoft.com/office/spreadsheetml/2009/9/main" uri="{B025F937-C7B1-47D3-B67F-A62EFF666E3E}">
          <x14:id>{2EED73C0-49DF-41F1-B6D8-24206622C148}</x14:id>
        </ext>
      </extLst>
    </cfRule>
  </conditionalFormatting>
  <conditionalFormatting sqref="J766">
    <cfRule type="cellIs" dxfId="7932" priority="2552" operator="equal">
      <formula>"ja"</formula>
    </cfRule>
  </conditionalFormatting>
  <conditionalFormatting sqref="C766">
    <cfRule type="containsText" dxfId="7931" priority="2550" operator="containsText" text="Einnahmen">
      <formula>NOT(ISERROR(SEARCH("Einnahmen",C766)))</formula>
    </cfRule>
    <cfRule type="containsText" dxfId="7930" priority="2551" operator="containsText" text="Ausgaben">
      <formula>NOT(ISERROR(SEARCH("Ausgaben",C766)))</formula>
    </cfRule>
  </conditionalFormatting>
  <conditionalFormatting sqref="J767">
    <cfRule type="cellIs" dxfId="7929" priority="2549" operator="equal">
      <formula>"ja"</formula>
    </cfRule>
  </conditionalFormatting>
  <conditionalFormatting sqref="T767">
    <cfRule type="expression" dxfId="7928" priority="2548">
      <formula>AND(AND($W767&lt;TODAY(),$W767&lt;&gt;""),$X767="")</formula>
    </cfRule>
  </conditionalFormatting>
  <conditionalFormatting sqref="Z767">
    <cfRule type="dataBar" priority="2547">
      <dataBar>
        <cfvo type="min"/>
        <cfvo type="max"/>
        <color rgb="FF63C384"/>
      </dataBar>
      <extLst>
        <ext xmlns:x14="http://schemas.microsoft.com/office/spreadsheetml/2009/9/main" uri="{B025F937-C7B1-47D3-B67F-A62EFF666E3E}">
          <x14:id>{EC2303F3-1325-494B-89C3-F268CB6C5A8F}</x14:id>
        </ext>
      </extLst>
    </cfRule>
  </conditionalFormatting>
  <conditionalFormatting sqref="Z767">
    <cfRule type="dataBar" priority="2546">
      <dataBar>
        <cfvo type="min"/>
        <cfvo type="max"/>
        <color rgb="FF63C384"/>
      </dataBar>
      <extLst>
        <ext xmlns:x14="http://schemas.microsoft.com/office/spreadsheetml/2009/9/main" uri="{B025F937-C7B1-47D3-B67F-A62EFF666E3E}">
          <x14:id>{C0C105B4-1103-4CE7-8EF6-26EFD98FA58B}</x14:id>
        </ext>
      </extLst>
    </cfRule>
  </conditionalFormatting>
  <conditionalFormatting sqref="C767">
    <cfRule type="containsText" dxfId="7927" priority="2544" operator="containsText" text="Einnahmen">
      <formula>NOT(ISERROR(SEARCH("Einnahmen",C767)))</formula>
    </cfRule>
    <cfRule type="containsText" dxfId="7926" priority="2545" operator="containsText" text="Ausgaben">
      <formula>NOT(ISERROR(SEARCH("Ausgaben",C767)))</formula>
    </cfRule>
  </conditionalFormatting>
  <conditionalFormatting sqref="J768">
    <cfRule type="cellIs" dxfId="7925" priority="2543" operator="equal">
      <formula>"ja"</formula>
    </cfRule>
  </conditionalFormatting>
  <conditionalFormatting sqref="C768">
    <cfRule type="containsText" dxfId="7924" priority="2541" operator="containsText" text="Einnahmen">
      <formula>NOT(ISERROR(SEARCH("Einnahmen",C768)))</formula>
    </cfRule>
    <cfRule type="containsText" dxfId="7923" priority="2542" operator="containsText" text="Ausgaben">
      <formula>NOT(ISERROR(SEARCH("Ausgaben",C768)))</formula>
    </cfRule>
  </conditionalFormatting>
  <conditionalFormatting sqref="T768">
    <cfRule type="expression" dxfId="7922" priority="2540">
      <formula>AND(AND($W768&lt;TODAY(),$W768&lt;&gt;""),$X768="")</formula>
    </cfRule>
  </conditionalFormatting>
  <conditionalFormatting sqref="Z768">
    <cfRule type="dataBar" priority="2539">
      <dataBar>
        <cfvo type="min"/>
        <cfvo type="max"/>
        <color rgb="FF63C384"/>
      </dataBar>
      <extLst>
        <ext xmlns:x14="http://schemas.microsoft.com/office/spreadsheetml/2009/9/main" uri="{B025F937-C7B1-47D3-B67F-A62EFF666E3E}">
          <x14:id>{94FD635F-82F3-4C23-B3B9-77AC1A671D69}</x14:id>
        </ext>
      </extLst>
    </cfRule>
  </conditionalFormatting>
  <conditionalFormatting sqref="Z768">
    <cfRule type="dataBar" priority="2538">
      <dataBar>
        <cfvo type="min"/>
        <cfvo type="max"/>
        <color rgb="FF63C384"/>
      </dataBar>
      <extLst>
        <ext xmlns:x14="http://schemas.microsoft.com/office/spreadsheetml/2009/9/main" uri="{B025F937-C7B1-47D3-B67F-A62EFF666E3E}">
          <x14:id>{3071E897-925A-4592-AD3A-764379081436}</x14:id>
        </ext>
      </extLst>
    </cfRule>
  </conditionalFormatting>
  <conditionalFormatting sqref="C769">
    <cfRule type="containsText" dxfId="7921" priority="2536" operator="containsText" text="Einnahmen">
      <formula>NOT(ISERROR(SEARCH("Einnahmen",C769)))</formula>
    </cfRule>
    <cfRule type="containsText" dxfId="7920" priority="2537" operator="containsText" text="Ausgaben">
      <formula>NOT(ISERROR(SEARCH("Ausgaben",C769)))</formula>
    </cfRule>
  </conditionalFormatting>
  <conditionalFormatting sqref="J769">
    <cfRule type="cellIs" dxfId="7919" priority="2535" operator="equal">
      <formula>"ja"</formula>
    </cfRule>
  </conditionalFormatting>
  <conditionalFormatting sqref="T769">
    <cfRule type="expression" dxfId="7918" priority="2534">
      <formula>AND(AND($W769&lt;TODAY(),$W769&lt;&gt;""),$X769="")</formula>
    </cfRule>
  </conditionalFormatting>
  <conditionalFormatting sqref="Z769">
    <cfRule type="dataBar" priority="2533">
      <dataBar>
        <cfvo type="min"/>
        <cfvo type="max"/>
        <color rgb="FF63C384"/>
      </dataBar>
      <extLst>
        <ext xmlns:x14="http://schemas.microsoft.com/office/spreadsheetml/2009/9/main" uri="{B025F937-C7B1-47D3-B67F-A62EFF666E3E}">
          <x14:id>{A83CEC40-00C8-41A0-B71A-FDEA5D71D894}</x14:id>
        </ext>
      </extLst>
    </cfRule>
  </conditionalFormatting>
  <conditionalFormatting sqref="Z769">
    <cfRule type="dataBar" priority="2532">
      <dataBar>
        <cfvo type="min"/>
        <cfvo type="max"/>
        <color rgb="FF63C384"/>
      </dataBar>
      <extLst>
        <ext xmlns:x14="http://schemas.microsoft.com/office/spreadsheetml/2009/9/main" uri="{B025F937-C7B1-47D3-B67F-A62EFF666E3E}">
          <x14:id>{D7B9FD5F-EB4B-45E4-9355-18C69952191C}</x14:id>
        </ext>
      </extLst>
    </cfRule>
  </conditionalFormatting>
  <conditionalFormatting sqref="J770">
    <cfRule type="cellIs" dxfId="7917" priority="2531" operator="equal">
      <formula>"ja"</formula>
    </cfRule>
  </conditionalFormatting>
  <conditionalFormatting sqref="T770">
    <cfRule type="expression" dxfId="7916" priority="2530">
      <formula>AND(AND($W770&lt;TODAY(),$W770&lt;&gt;""),$X770="")</formula>
    </cfRule>
  </conditionalFormatting>
  <conditionalFormatting sqref="Z770">
    <cfRule type="dataBar" priority="2529">
      <dataBar>
        <cfvo type="min"/>
        <cfvo type="max"/>
        <color rgb="FF63C384"/>
      </dataBar>
      <extLst>
        <ext xmlns:x14="http://schemas.microsoft.com/office/spreadsheetml/2009/9/main" uri="{B025F937-C7B1-47D3-B67F-A62EFF666E3E}">
          <x14:id>{DECA8D41-7634-42C3-BE9C-233DD7C6B119}</x14:id>
        </ext>
      </extLst>
    </cfRule>
  </conditionalFormatting>
  <conditionalFormatting sqref="Z770">
    <cfRule type="dataBar" priority="2528">
      <dataBar>
        <cfvo type="min"/>
        <cfvo type="max"/>
        <color rgb="FF63C384"/>
      </dataBar>
      <extLst>
        <ext xmlns:x14="http://schemas.microsoft.com/office/spreadsheetml/2009/9/main" uri="{B025F937-C7B1-47D3-B67F-A62EFF666E3E}">
          <x14:id>{CE84E434-43BD-4912-ADE0-89809FC191A8}</x14:id>
        </ext>
      </extLst>
    </cfRule>
  </conditionalFormatting>
  <conditionalFormatting sqref="J770">
    <cfRule type="cellIs" dxfId="7915" priority="2527" operator="equal">
      <formula>"ja"</formula>
    </cfRule>
  </conditionalFormatting>
  <conditionalFormatting sqref="T770">
    <cfRule type="expression" dxfId="7914" priority="2526">
      <formula>AND(AND($W770&lt;TODAY(),$W770&lt;&gt;""),$X770="")</formula>
    </cfRule>
  </conditionalFormatting>
  <conditionalFormatting sqref="Z770">
    <cfRule type="dataBar" priority="2525">
      <dataBar>
        <cfvo type="min"/>
        <cfvo type="max"/>
        <color rgb="FF63C384"/>
      </dataBar>
      <extLst>
        <ext xmlns:x14="http://schemas.microsoft.com/office/spreadsheetml/2009/9/main" uri="{B025F937-C7B1-47D3-B67F-A62EFF666E3E}">
          <x14:id>{9C6FFEDC-FD39-4037-822A-38FC4E605FB1}</x14:id>
        </ext>
      </extLst>
    </cfRule>
  </conditionalFormatting>
  <conditionalFormatting sqref="Z770">
    <cfRule type="dataBar" priority="2524">
      <dataBar>
        <cfvo type="min"/>
        <cfvo type="max"/>
        <color rgb="FF63C384"/>
      </dataBar>
      <extLst>
        <ext xmlns:x14="http://schemas.microsoft.com/office/spreadsheetml/2009/9/main" uri="{B025F937-C7B1-47D3-B67F-A62EFF666E3E}">
          <x14:id>{B86BBCA5-BBAD-4E9C-BA58-3847A2028906}</x14:id>
        </ext>
      </extLst>
    </cfRule>
  </conditionalFormatting>
  <conditionalFormatting sqref="C770">
    <cfRule type="containsText" dxfId="7913" priority="2522" operator="containsText" text="Einnahmen">
      <formula>NOT(ISERROR(SEARCH("Einnahmen",C770)))</formula>
    </cfRule>
    <cfRule type="containsText" dxfId="7912" priority="2523" operator="containsText" text="Ausgaben">
      <formula>NOT(ISERROR(SEARCH("Ausgaben",C770)))</formula>
    </cfRule>
  </conditionalFormatting>
  <conditionalFormatting sqref="J771">
    <cfRule type="cellIs" dxfId="7911" priority="2521" operator="equal">
      <formula>"ja"</formula>
    </cfRule>
  </conditionalFormatting>
  <conditionalFormatting sqref="C771">
    <cfRule type="containsText" dxfId="7910" priority="2519" operator="containsText" text="Einnahmen">
      <formula>NOT(ISERROR(SEARCH("Einnahmen",C771)))</formula>
    </cfRule>
    <cfRule type="containsText" dxfId="7909" priority="2520" operator="containsText" text="Ausgaben">
      <formula>NOT(ISERROR(SEARCH("Ausgaben",C771)))</formula>
    </cfRule>
  </conditionalFormatting>
  <conditionalFormatting sqref="T771">
    <cfRule type="expression" dxfId="7908" priority="2518">
      <formula>AND(AND($W771&lt;TODAY(),$W771&lt;&gt;""),$X771="")</formula>
    </cfRule>
  </conditionalFormatting>
  <conditionalFormatting sqref="Z771">
    <cfRule type="dataBar" priority="2517">
      <dataBar>
        <cfvo type="min"/>
        <cfvo type="max"/>
        <color rgb="FF63C384"/>
      </dataBar>
      <extLst>
        <ext xmlns:x14="http://schemas.microsoft.com/office/spreadsheetml/2009/9/main" uri="{B025F937-C7B1-47D3-B67F-A62EFF666E3E}">
          <x14:id>{1BB19C2C-DB57-4584-AC20-3ACC79BB7AEB}</x14:id>
        </ext>
      </extLst>
    </cfRule>
  </conditionalFormatting>
  <conditionalFormatting sqref="Z771">
    <cfRule type="dataBar" priority="2516">
      <dataBar>
        <cfvo type="min"/>
        <cfvo type="max"/>
        <color rgb="FF63C384"/>
      </dataBar>
      <extLst>
        <ext xmlns:x14="http://schemas.microsoft.com/office/spreadsheetml/2009/9/main" uri="{B025F937-C7B1-47D3-B67F-A62EFF666E3E}">
          <x14:id>{191A95A2-915D-4059-A2E4-BB7D3AA3E3B6}</x14:id>
        </ext>
      </extLst>
    </cfRule>
  </conditionalFormatting>
  <conditionalFormatting sqref="C772">
    <cfRule type="containsText" dxfId="7907" priority="2514" operator="containsText" text="Einnahmen">
      <formula>NOT(ISERROR(SEARCH("Einnahmen",C772)))</formula>
    </cfRule>
    <cfRule type="containsText" dxfId="7906" priority="2515" operator="containsText" text="Ausgaben">
      <formula>NOT(ISERROR(SEARCH("Ausgaben",C772)))</formula>
    </cfRule>
  </conditionalFormatting>
  <conditionalFormatting sqref="J772">
    <cfRule type="cellIs" dxfId="7905" priority="2513" operator="equal">
      <formula>"ja"</formula>
    </cfRule>
  </conditionalFormatting>
  <conditionalFormatting sqref="J772">
    <cfRule type="cellIs" dxfId="7904" priority="2501" operator="equal">
      <formula>"ja"</formula>
    </cfRule>
  </conditionalFormatting>
  <conditionalFormatting sqref="T772">
    <cfRule type="expression" dxfId="7903" priority="2500">
      <formula>AND(AND($W772&lt;TODAY(),$W772&lt;&gt;""),$X772="")</formula>
    </cfRule>
  </conditionalFormatting>
  <conditionalFormatting sqref="T772">
    <cfRule type="expression" dxfId="7902" priority="2512">
      <formula>AND(AND($W772&lt;TODAY(),$W772&lt;&gt;""),$X772="")</formula>
    </cfRule>
  </conditionalFormatting>
  <conditionalFormatting sqref="Z772">
    <cfRule type="dataBar" priority="2511">
      <dataBar>
        <cfvo type="min"/>
        <cfvo type="max"/>
        <color rgb="FF63C384"/>
      </dataBar>
      <extLst>
        <ext xmlns:x14="http://schemas.microsoft.com/office/spreadsheetml/2009/9/main" uri="{B025F937-C7B1-47D3-B67F-A62EFF666E3E}">
          <x14:id>{4D365407-9E28-4A6D-B764-12022173D80B}</x14:id>
        </ext>
      </extLst>
    </cfRule>
  </conditionalFormatting>
  <conditionalFormatting sqref="Z772">
    <cfRule type="dataBar" priority="2510">
      <dataBar>
        <cfvo type="min"/>
        <cfvo type="max"/>
        <color rgb="FF63C384"/>
      </dataBar>
      <extLst>
        <ext xmlns:x14="http://schemas.microsoft.com/office/spreadsheetml/2009/9/main" uri="{B025F937-C7B1-47D3-B67F-A62EFF666E3E}">
          <x14:id>{03CFD7DC-8405-4D52-9555-CD86E85A4E41}</x14:id>
        </ext>
      </extLst>
    </cfRule>
  </conditionalFormatting>
  <conditionalFormatting sqref="J772">
    <cfRule type="cellIs" dxfId="7901" priority="2509" operator="equal">
      <formula>"ja"</formula>
    </cfRule>
  </conditionalFormatting>
  <conditionalFormatting sqref="T772">
    <cfRule type="expression" dxfId="7900" priority="2508">
      <formula>AND(AND($W772&lt;TODAY(),$W772&lt;&gt;""),$X772="")</formula>
    </cfRule>
  </conditionalFormatting>
  <conditionalFormatting sqref="Z772">
    <cfRule type="dataBar" priority="2507">
      <dataBar>
        <cfvo type="min"/>
        <cfvo type="max"/>
        <color rgb="FF63C384"/>
      </dataBar>
      <extLst>
        <ext xmlns:x14="http://schemas.microsoft.com/office/spreadsheetml/2009/9/main" uri="{B025F937-C7B1-47D3-B67F-A62EFF666E3E}">
          <x14:id>{300B5958-5491-404B-B557-2E45360F476E}</x14:id>
        </ext>
      </extLst>
    </cfRule>
  </conditionalFormatting>
  <conditionalFormatting sqref="Z772">
    <cfRule type="dataBar" priority="2506">
      <dataBar>
        <cfvo type="min"/>
        <cfvo type="max"/>
        <color rgb="FF63C384"/>
      </dataBar>
      <extLst>
        <ext xmlns:x14="http://schemas.microsoft.com/office/spreadsheetml/2009/9/main" uri="{B025F937-C7B1-47D3-B67F-A62EFF666E3E}">
          <x14:id>{078C0C77-4BE5-43FB-BFE6-91DDA8904E10}</x14:id>
        </ext>
      </extLst>
    </cfRule>
  </conditionalFormatting>
  <conditionalFormatting sqref="J772">
    <cfRule type="cellIs" dxfId="7899" priority="2505" operator="equal">
      <formula>"ja"</formula>
    </cfRule>
  </conditionalFormatting>
  <conditionalFormatting sqref="T772">
    <cfRule type="expression" dxfId="7898" priority="2504">
      <formula>AND(AND($W772&lt;TODAY(),$W772&lt;&gt;""),$X772="")</formula>
    </cfRule>
  </conditionalFormatting>
  <conditionalFormatting sqref="Z772">
    <cfRule type="dataBar" priority="2503">
      <dataBar>
        <cfvo type="min"/>
        <cfvo type="max"/>
        <color rgb="FF63C384"/>
      </dataBar>
      <extLst>
        <ext xmlns:x14="http://schemas.microsoft.com/office/spreadsheetml/2009/9/main" uri="{B025F937-C7B1-47D3-B67F-A62EFF666E3E}">
          <x14:id>{78B3AA9E-AC1B-4647-A7CF-D87B4234FAAF}</x14:id>
        </ext>
      </extLst>
    </cfRule>
  </conditionalFormatting>
  <conditionalFormatting sqref="Z772">
    <cfRule type="dataBar" priority="2502">
      <dataBar>
        <cfvo type="min"/>
        <cfvo type="max"/>
        <color rgb="FF63C384"/>
      </dataBar>
      <extLst>
        <ext xmlns:x14="http://schemas.microsoft.com/office/spreadsheetml/2009/9/main" uri="{B025F937-C7B1-47D3-B67F-A62EFF666E3E}">
          <x14:id>{E2B36DB2-B98A-4002-A75B-679AC1AF3DF4}</x14:id>
        </ext>
      </extLst>
    </cfRule>
  </conditionalFormatting>
  <conditionalFormatting sqref="Z772">
    <cfRule type="dataBar" priority="2499">
      <dataBar>
        <cfvo type="min"/>
        <cfvo type="max"/>
        <color rgb="FF63C384"/>
      </dataBar>
      <extLst>
        <ext xmlns:x14="http://schemas.microsoft.com/office/spreadsheetml/2009/9/main" uri="{B025F937-C7B1-47D3-B67F-A62EFF666E3E}">
          <x14:id>{0A1D4A18-9945-4FF7-9F38-0E9943F2510B}</x14:id>
        </ext>
      </extLst>
    </cfRule>
  </conditionalFormatting>
  <conditionalFormatting sqref="Z772">
    <cfRule type="dataBar" priority="2498">
      <dataBar>
        <cfvo type="min"/>
        <cfvo type="max"/>
        <color rgb="FF63C384"/>
      </dataBar>
      <extLst>
        <ext xmlns:x14="http://schemas.microsoft.com/office/spreadsheetml/2009/9/main" uri="{B025F937-C7B1-47D3-B67F-A62EFF666E3E}">
          <x14:id>{1654D81B-EE91-4935-9264-4595264B09DE}</x14:id>
        </ext>
      </extLst>
    </cfRule>
  </conditionalFormatting>
  <conditionalFormatting sqref="C773">
    <cfRule type="containsText" dxfId="7897" priority="2486" operator="containsText" text="Einnahmen">
      <formula>NOT(ISERROR(SEARCH("Einnahmen",C773)))</formula>
    </cfRule>
    <cfRule type="containsText" dxfId="7896" priority="2487" operator="containsText" text="Ausgaben">
      <formula>NOT(ISERROR(SEARCH("Ausgaben",C773)))</formula>
    </cfRule>
  </conditionalFormatting>
  <conditionalFormatting sqref="J773">
    <cfRule type="cellIs" dxfId="7895" priority="2485" operator="equal">
      <formula>"ja"</formula>
    </cfRule>
  </conditionalFormatting>
  <conditionalFormatting sqref="T773">
    <cfRule type="expression" dxfId="7894" priority="2484">
      <formula>AND(AND($W773&lt;TODAY(),$W773&lt;&gt;""),$X773="")</formula>
    </cfRule>
  </conditionalFormatting>
  <conditionalFormatting sqref="Z773">
    <cfRule type="dataBar" priority="2483">
      <dataBar>
        <cfvo type="min"/>
        <cfvo type="max"/>
        <color rgb="FF63C384"/>
      </dataBar>
      <extLst>
        <ext xmlns:x14="http://schemas.microsoft.com/office/spreadsheetml/2009/9/main" uri="{B025F937-C7B1-47D3-B67F-A62EFF666E3E}">
          <x14:id>{ABB25D97-16FF-4AF0-BE02-B210FB02EB6B}</x14:id>
        </ext>
      </extLst>
    </cfRule>
  </conditionalFormatting>
  <conditionalFormatting sqref="Z773">
    <cfRule type="dataBar" priority="2482">
      <dataBar>
        <cfvo type="min"/>
        <cfvo type="max"/>
        <color rgb="FF63C384"/>
      </dataBar>
      <extLst>
        <ext xmlns:x14="http://schemas.microsoft.com/office/spreadsheetml/2009/9/main" uri="{B025F937-C7B1-47D3-B67F-A62EFF666E3E}">
          <x14:id>{5DDE3177-32D2-4B45-999E-958FD463AA52}</x14:id>
        </ext>
      </extLst>
    </cfRule>
  </conditionalFormatting>
  <conditionalFormatting sqref="T773">
    <cfRule type="expression" dxfId="7893" priority="2481">
      <formula>AND(AND($W773&lt;TODAY(),$W773&lt;&gt;""),$X773="")</formula>
    </cfRule>
  </conditionalFormatting>
  <conditionalFormatting sqref="J773">
    <cfRule type="cellIs" dxfId="7892" priority="2480" operator="equal">
      <formula>"ja"</formula>
    </cfRule>
  </conditionalFormatting>
  <conditionalFormatting sqref="Z773">
    <cfRule type="dataBar" priority="2479">
      <dataBar>
        <cfvo type="min"/>
        <cfvo type="max"/>
        <color rgb="FF63C384"/>
      </dataBar>
      <extLst>
        <ext xmlns:x14="http://schemas.microsoft.com/office/spreadsheetml/2009/9/main" uri="{B025F937-C7B1-47D3-B67F-A62EFF666E3E}">
          <x14:id>{EFE21946-229F-4C2A-9907-D7811D1A5D5F}</x14:id>
        </ext>
      </extLst>
    </cfRule>
  </conditionalFormatting>
  <conditionalFormatting sqref="Z773">
    <cfRule type="dataBar" priority="2478">
      <dataBar>
        <cfvo type="min"/>
        <cfvo type="max"/>
        <color rgb="FF63C384"/>
      </dataBar>
      <extLst>
        <ext xmlns:x14="http://schemas.microsoft.com/office/spreadsheetml/2009/9/main" uri="{B025F937-C7B1-47D3-B67F-A62EFF666E3E}">
          <x14:id>{2F37C84A-49C4-4EB2-9232-EDEF8C1E61C5}</x14:id>
        </ext>
      </extLst>
    </cfRule>
  </conditionalFormatting>
  <conditionalFormatting sqref="C774">
    <cfRule type="containsText" dxfId="7891" priority="2476" operator="containsText" text="Einnahmen">
      <formula>NOT(ISERROR(SEARCH("Einnahmen",C774)))</formula>
    </cfRule>
    <cfRule type="containsText" dxfId="7890" priority="2477" operator="containsText" text="Ausgaben">
      <formula>NOT(ISERROR(SEARCH("Ausgaben",C774)))</formula>
    </cfRule>
  </conditionalFormatting>
  <conditionalFormatting sqref="J774">
    <cfRule type="cellIs" dxfId="7889" priority="2475" operator="equal">
      <formula>"ja"</formula>
    </cfRule>
  </conditionalFormatting>
  <conditionalFormatting sqref="T774">
    <cfRule type="expression" dxfId="7888" priority="2474">
      <formula>AND(AND($W774&lt;TODAY(),$W774&lt;&gt;""),$X774="")</formula>
    </cfRule>
  </conditionalFormatting>
  <conditionalFormatting sqref="Z774">
    <cfRule type="dataBar" priority="2473">
      <dataBar>
        <cfvo type="min"/>
        <cfvo type="max"/>
        <color rgb="FF63C384"/>
      </dataBar>
      <extLst>
        <ext xmlns:x14="http://schemas.microsoft.com/office/spreadsheetml/2009/9/main" uri="{B025F937-C7B1-47D3-B67F-A62EFF666E3E}">
          <x14:id>{6446231B-06A8-49C7-AB89-4CBBC224CE41}</x14:id>
        </ext>
      </extLst>
    </cfRule>
  </conditionalFormatting>
  <conditionalFormatting sqref="Z774">
    <cfRule type="dataBar" priority="2472">
      <dataBar>
        <cfvo type="min"/>
        <cfvo type="max"/>
        <color rgb="FF63C384"/>
      </dataBar>
      <extLst>
        <ext xmlns:x14="http://schemas.microsoft.com/office/spreadsheetml/2009/9/main" uri="{B025F937-C7B1-47D3-B67F-A62EFF666E3E}">
          <x14:id>{305F7759-FF17-42A9-859D-0812D615C0C3}</x14:id>
        </ext>
      </extLst>
    </cfRule>
  </conditionalFormatting>
  <conditionalFormatting sqref="T774">
    <cfRule type="expression" dxfId="7887" priority="2471">
      <formula>AND(AND($W774&lt;TODAY(),$W774&lt;&gt;""),$X774="")</formula>
    </cfRule>
  </conditionalFormatting>
  <conditionalFormatting sqref="Z774">
    <cfRule type="dataBar" priority="2470">
      <dataBar>
        <cfvo type="min"/>
        <cfvo type="max"/>
        <color rgb="FF63C384"/>
      </dataBar>
      <extLst>
        <ext xmlns:x14="http://schemas.microsoft.com/office/spreadsheetml/2009/9/main" uri="{B025F937-C7B1-47D3-B67F-A62EFF666E3E}">
          <x14:id>{B472969B-7C5B-4188-B3B7-AE379BCAD47F}</x14:id>
        </ext>
      </extLst>
    </cfRule>
  </conditionalFormatting>
  <conditionalFormatting sqref="Z774">
    <cfRule type="dataBar" priority="2469">
      <dataBar>
        <cfvo type="min"/>
        <cfvo type="max"/>
        <color rgb="FF63C384"/>
      </dataBar>
      <extLst>
        <ext xmlns:x14="http://schemas.microsoft.com/office/spreadsheetml/2009/9/main" uri="{B025F937-C7B1-47D3-B67F-A62EFF666E3E}">
          <x14:id>{BA579742-1019-418F-A0E3-79A77456D777}</x14:id>
        </ext>
      </extLst>
    </cfRule>
  </conditionalFormatting>
  <conditionalFormatting sqref="J774">
    <cfRule type="cellIs" dxfId="7886" priority="2468" operator="equal">
      <formula>"ja"</formula>
    </cfRule>
  </conditionalFormatting>
  <conditionalFormatting sqref="J775">
    <cfRule type="cellIs" dxfId="7885" priority="2467" operator="equal">
      <formula>"ja"</formula>
    </cfRule>
  </conditionalFormatting>
  <conditionalFormatting sqref="C775">
    <cfRule type="containsText" dxfId="7884" priority="2465" operator="containsText" text="Einnahmen">
      <formula>NOT(ISERROR(SEARCH("Einnahmen",C775)))</formula>
    </cfRule>
    <cfRule type="containsText" dxfId="7883" priority="2466" operator="containsText" text="Ausgaben">
      <formula>NOT(ISERROR(SEARCH("Ausgaben",C775)))</formula>
    </cfRule>
  </conditionalFormatting>
  <conditionalFormatting sqref="T775">
    <cfRule type="expression" dxfId="7882" priority="2464">
      <formula>AND(AND($W775&lt;TODAY(),$W775&lt;&gt;""),$X775="")</formula>
    </cfRule>
  </conditionalFormatting>
  <conditionalFormatting sqref="Z775">
    <cfRule type="dataBar" priority="2463">
      <dataBar>
        <cfvo type="min"/>
        <cfvo type="max"/>
        <color rgb="FF63C384"/>
      </dataBar>
      <extLst>
        <ext xmlns:x14="http://schemas.microsoft.com/office/spreadsheetml/2009/9/main" uri="{B025F937-C7B1-47D3-B67F-A62EFF666E3E}">
          <x14:id>{C0B0AF54-DDE5-4382-88FA-B7575EB611E9}</x14:id>
        </ext>
      </extLst>
    </cfRule>
  </conditionalFormatting>
  <conditionalFormatting sqref="Z775">
    <cfRule type="dataBar" priority="2462">
      <dataBar>
        <cfvo type="min"/>
        <cfvo type="max"/>
        <color rgb="FF63C384"/>
      </dataBar>
      <extLst>
        <ext xmlns:x14="http://schemas.microsoft.com/office/spreadsheetml/2009/9/main" uri="{B025F937-C7B1-47D3-B67F-A62EFF666E3E}">
          <x14:id>{749B89D2-3FE4-48B5-9FF6-CCAC51C2443C}</x14:id>
        </ext>
      </extLst>
    </cfRule>
  </conditionalFormatting>
  <conditionalFormatting sqref="J776">
    <cfRule type="cellIs" dxfId="7881" priority="2461" operator="equal">
      <formula>"ja"</formula>
    </cfRule>
  </conditionalFormatting>
  <conditionalFormatting sqref="C776">
    <cfRule type="containsText" dxfId="7880" priority="2459" operator="containsText" text="Einnahmen">
      <formula>NOT(ISERROR(SEARCH("Einnahmen",C776)))</formula>
    </cfRule>
    <cfRule type="containsText" dxfId="7879" priority="2460" operator="containsText" text="Ausgaben">
      <formula>NOT(ISERROR(SEARCH("Ausgaben",C776)))</formula>
    </cfRule>
  </conditionalFormatting>
  <conditionalFormatting sqref="T776">
    <cfRule type="expression" dxfId="7878" priority="2458">
      <formula>AND(AND($W776&lt;TODAY(),$W776&lt;&gt;""),$X776="")</formula>
    </cfRule>
  </conditionalFormatting>
  <conditionalFormatting sqref="Z776">
    <cfRule type="dataBar" priority="2457">
      <dataBar>
        <cfvo type="min"/>
        <cfvo type="max"/>
        <color rgb="FF63C384"/>
      </dataBar>
      <extLst>
        <ext xmlns:x14="http://schemas.microsoft.com/office/spreadsheetml/2009/9/main" uri="{B025F937-C7B1-47D3-B67F-A62EFF666E3E}">
          <x14:id>{79DB614A-3B2C-41BD-807C-452292062A77}</x14:id>
        </ext>
      </extLst>
    </cfRule>
  </conditionalFormatting>
  <conditionalFormatting sqref="Z776">
    <cfRule type="dataBar" priority="2456">
      <dataBar>
        <cfvo type="min"/>
        <cfvo type="max"/>
        <color rgb="FF63C384"/>
      </dataBar>
      <extLst>
        <ext xmlns:x14="http://schemas.microsoft.com/office/spreadsheetml/2009/9/main" uri="{B025F937-C7B1-47D3-B67F-A62EFF666E3E}">
          <x14:id>{13DA5422-FEB9-4069-B692-156DE2B3FCD0}</x14:id>
        </ext>
      </extLst>
    </cfRule>
  </conditionalFormatting>
  <conditionalFormatting sqref="C776">
    <cfRule type="containsText" dxfId="7877" priority="2454" operator="containsText" text="Einnahmen">
      <formula>NOT(ISERROR(SEARCH("Einnahmen",C776)))</formula>
    </cfRule>
    <cfRule type="containsText" dxfId="7876" priority="2455" operator="containsText" text="Ausgaben">
      <formula>NOT(ISERROR(SEARCH("Ausgaben",C776)))</formula>
    </cfRule>
  </conditionalFormatting>
  <conditionalFormatting sqref="T776">
    <cfRule type="expression" dxfId="7875" priority="2453">
      <formula>AND(AND($W776&lt;TODAY(),$W776&lt;&gt;""),$X776="")</formula>
    </cfRule>
  </conditionalFormatting>
  <conditionalFormatting sqref="J776">
    <cfRule type="cellIs" dxfId="7874" priority="2452" operator="equal">
      <formula>"ja"</formula>
    </cfRule>
  </conditionalFormatting>
  <conditionalFormatting sqref="Z776">
    <cfRule type="dataBar" priority="2451">
      <dataBar>
        <cfvo type="min"/>
        <cfvo type="max"/>
        <color rgb="FF63C384"/>
      </dataBar>
      <extLst>
        <ext xmlns:x14="http://schemas.microsoft.com/office/spreadsheetml/2009/9/main" uri="{B025F937-C7B1-47D3-B67F-A62EFF666E3E}">
          <x14:id>{3E968A8F-063F-4EEE-B7A6-B54F8416AA28}</x14:id>
        </ext>
      </extLst>
    </cfRule>
  </conditionalFormatting>
  <conditionalFormatting sqref="Z776">
    <cfRule type="dataBar" priority="2450">
      <dataBar>
        <cfvo type="min"/>
        <cfvo type="max"/>
        <color rgb="FF63C384"/>
      </dataBar>
      <extLst>
        <ext xmlns:x14="http://schemas.microsoft.com/office/spreadsheetml/2009/9/main" uri="{B025F937-C7B1-47D3-B67F-A62EFF666E3E}">
          <x14:id>{675B43D5-1579-4DAE-B0E7-F729A98DD2B8}</x14:id>
        </ext>
      </extLst>
    </cfRule>
  </conditionalFormatting>
  <conditionalFormatting sqref="J777">
    <cfRule type="cellIs" dxfId="7873" priority="2449" operator="equal">
      <formula>"ja"</formula>
    </cfRule>
  </conditionalFormatting>
  <conditionalFormatting sqref="C777">
    <cfRule type="containsText" dxfId="7872" priority="2447" operator="containsText" text="Einnahmen">
      <formula>NOT(ISERROR(SEARCH("Einnahmen",C777)))</formula>
    </cfRule>
    <cfRule type="containsText" dxfId="7871" priority="2448" operator="containsText" text="Ausgaben">
      <formula>NOT(ISERROR(SEARCH("Ausgaben",C777)))</formula>
    </cfRule>
  </conditionalFormatting>
  <conditionalFormatting sqref="T777">
    <cfRule type="expression" dxfId="7870" priority="2446">
      <formula>AND(AND($W777&lt;TODAY(),$W777&lt;&gt;""),$X777="")</formula>
    </cfRule>
  </conditionalFormatting>
  <conditionalFormatting sqref="Z777">
    <cfRule type="dataBar" priority="2445">
      <dataBar>
        <cfvo type="min"/>
        <cfvo type="max"/>
        <color rgb="FF63C384"/>
      </dataBar>
      <extLst>
        <ext xmlns:x14="http://schemas.microsoft.com/office/spreadsheetml/2009/9/main" uri="{B025F937-C7B1-47D3-B67F-A62EFF666E3E}">
          <x14:id>{6D72CA91-A0DC-4A1C-A6DB-ACEB8CA7065F}</x14:id>
        </ext>
      </extLst>
    </cfRule>
  </conditionalFormatting>
  <conditionalFormatting sqref="Z777">
    <cfRule type="dataBar" priority="2444">
      <dataBar>
        <cfvo type="min"/>
        <cfvo type="max"/>
        <color rgb="FF63C384"/>
      </dataBar>
      <extLst>
        <ext xmlns:x14="http://schemas.microsoft.com/office/spreadsheetml/2009/9/main" uri="{B025F937-C7B1-47D3-B67F-A62EFF666E3E}">
          <x14:id>{9D50EB39-3681-45B8-9C60-A3302795AD66}</x14:id>
        </ext>
      </extLst>
    </cfRule>
  </conditionalFormatting>
  <conditionalFormatting sqref="J777">
    <cfRule type="cellIs" dxfId="7869" priority="2443" operator="equal">
      <formula>"ja"</formula>
    </cfRule>
  </conditionalFormatting>
  <conditionalFormatting sqref="T777">
    <cfRule type="expression" dxfId="7868" priority="2442">
      <formula>AND(AND($W777&lt;TODAY(),$W777&lt;&gt;""),$X777="")</formula>
    </cfRule>
  </conditionalFormatting>
  <conditionalFormatting sqref="Z777">
    <cfRule type="dataBar" priority="2441">
      <dataBar>
        <cfvo type="min"/>
        <cfvo type="max"/>
        <color rgb="FF63C384"/>
      </dataBar>
      <extLst>
        <ext xmlns:x14="http://schemas.microsoft.com/office/spreadsheetml/2009/9/main" uri="{B025F937-C7B1-47D3-B67F-A62EFF666E3E}">
          <x14:id>{7DB3E4A8-6AC7-44A8-9D64-416B5A9A7639}</x14:id>
        </ext>
      </extLst>
    </cfRule>
  </conditionalFormatting>
  <conditionalFormatting sqref="Z777">
    <cfRule type="dataBar" priority="2440">
      <dataBar>
        <cfvo type="min"/>
        <cfvo type="max"/>
        <color rgb="FF63C384"/>
      </dataBar>
      <extLst>
        <ext xmlns:x14="http://schemas.microsoft.com/office/spreadsheetml/2009/9/main" uri="{B025F937-C7B1-47D3-B67F-A62EFF666E3E}">
          <x14:id>{29A6F6D5-2155-437F-92F2-D14D1C8F7C9C}</x14:id>
        </ext>
      </extLst>
    </cfRule>
  </conditionalFormatting>
  <conditionalFormatting sqref="J777">
    <cfRule type="cellIs" dxfId="7867" priority="2439" operator="equal">
      <formula>"ja"</formula>
    </cfRule>
  </conditionalFormatting>
  <conditionalFormatting sqref="C777">
    <cfRule type="containsText" dxfId="7866" priority="2437" operator="containsText" text="Einnahmen">
      <formula>NOT(ISERROR(SEARCH("Einnahmen",C777)))</formula>
    </cfRule>
    <cfRule type="containsText" dxfId="7865" priority="2438" operator="containsText" text="Ausgaben">
      <formula>NOT(ISERROR(SEARCH("Ausgaben",C777)))</formula>
    </cfRule>
  </conditionalFormatting>
  <conditionalFormatting sqref="T777">
    <cfRule type="expression" dxfId="7864" priority="2436">
      <formula>AND(AND($W777&lt;TODAY(),$W777&lt;&gt;""),$X777="")</formula>
    </cfRule>
  </conditionalFormatting>
  <conditionalFormatting sqref="Z777">
    <cfRule type="dataBar" priority="2435">
      <dataBar>
        <cfvo type="min"/>
        <cfvo type="max"/>
        <color rgb="FF63C384"/>
      </dataBar>
      <extLst>
        <ext xmlns:x14="http://schemas.microsoft.com/office/spreadsheetml/2009/9/main" uri="{B025F937-C7B1-47D3-B67F-A62EFF666E3E}">
          <x14:id>{E01768B6-30E6-4CA5-BAA1-C61C05E6394F}</x14:id>
        </ext>
      </extLst>
    </cfRule>
  </conditionalFormatting>
  <conditionalFormatting sqref="Z777">
    <cfRule type="dataBar" priority="2434">
      <dataBar>
        <cfvo type="min"/>
        <cfvo type="max"/>
        <color rgb="FF63C384"/>
      </dataBar>
      <extLst>
        <ext xmlns:x14="http://schemas.microsoft.com/office/spreadsheetml/2009/9/main" uri="{B025F937-C7B1-47D3-B67F-A62EFF666E3E}">
          <x14:id>{D6382A3B-2E84-4AD1-BE19-31A956D9EB11}</x14:id>
        </ext>
      </extLst>
    </cfRule>
  </conditionalFormatting>
  <conditionalFormatting sqref="C778">
    <cfRule type="containsText" dxfId="7863" priority="2432" operator="containsText" text="Einnahmen">
      <formula>NOT(ISERROR(SEARCH("Einnahmen",C778)))</formula>
    </cfRule>
    <cfRule type="containsText" dxfId="7862" priority="2433" operator="containsText" text="Ausgaben">
      <formula>NOT(ISERROR(SEARCH("Ausgaben",C778)))</formula>
    </cfRule>
  </conditionalFormatting>
  <conditionalFormatting sqref="J778">
    <cfRule type="cellIs" dxfId="7861" priority="2431" operator="equal">
      <formula>"ja"</formula>
    </cfRule>
  </conditionalFormatting>
  <conditionalFormatting sqref="T778">
    <cfRule type="expression" dxfId="7860" priority="2430">
      <formula>AND(AND($W778&lt;TODAY(),$W778&lt;&gt;""),$X778="")</formula>
    </cfRule>
  </conditionalFormatting>
  <conditionalFormatting sqref="Z778">
    <cfRule type="dataBar" priority="2429">
      <dataBar>
        <cfvo type="min"/>
        <cfvo type="max"/>
        <color rgb="FF63C384"/>
      </dataBar>
      <extLst>
        <ext xmlns:x14="http://schemas.microsoft.com/office/spreadsheetml/2009/9/main" uri="{B025F937-C7B1-47D3-B67F-A62EFF666E3E}">
          <x14:id>{22BE8336-B852-444F-B769-23D254C1F4D7}</x14:id>
        </ext>
      </extLst>
    </cfRule>
  </conditionalFormatting>
  <conditionalFormatting sqref="Z778">
    <cfRule type="dataBar" priority="2428">
      <dataBar>
        <cfvo type="min"/>
        <cfvo type="max"/>
        <color rgb="FF63C384"/>
      </dataBar>
      <extLst>
        <ext xmlns:x14="http://schemas.microsoft.com/office/spreadsheetml/2009/9/main" uri="{B025F937-C7B1-47D3-B67F-A62EFF666E3E}">
          <x14:id>{92172E64-654B-4A77-9B9E-068ABFFB30E4}</x14:id>
        </ext>
      </extLst>
    </cfRule>
  </conditionalFormatting>
  <conditionalFormatting sqref="J779">
    <cfRule type="cellIs" dxfId="7859" priority="2427" operator="equal">
      <formula>"ja"</formula>
    </cfRule>
  </conditionalFormatting>
  <conditionalFormatting sqref="T779">
    <cfRule type="expression" dxfId="7858" priority="2426">
      <formula>AND(AND($W779&lt;TODAY(),$W779&lt;&gt;""),$X779="")</formula>
    </cfRule>
  </conditionalFormatting>
  <conditionalFormatting sqref="Z779">
    <cfRule type="dataBar" priority="2425">
      <dataBar>
        <cfvo type="min"/>
        <cfvo type="max"/>
        <color rgb="FF63C384"/>
      </dataBar>
      <extLst>
        <ext xmlns:x14="http://schemas.microsoft.com/office/spreadsheetml/2009/9/main" uri="{B025F937-C7B1-47D3-B67F-A62EFF666E3E}">
          <x14:id>{A79FA08B-FA19-4688-9CB0-CC051BC64B47}</x14:id>
        </ext>
      </extLst>
    </cfRule>
  </conditionalFormatting>
  <conditionalFormatting sqref="Z779">
    <cfRule type="dataBar" priority="2424">
      <dataBar>
        <cfvo type="min"/>
        <cfvo type="max"/>
        <color rgb="FF63C384"/>
      </dataBar>
      <extLst>
        <ext xmlns:x14="http://schemas.microsoft.com/office/spreadsheetml/2009/9/main" uri="{B025F937-C7B1-47D3-B67F-A62EFF666E3E}">
          <x14:id>{12DAE9FE-0C09-458C-9EE0-A4E03E507616}</x14:id>
        </ext>
      </extLst>
    </cfRule>
  </conditionalFormatting>
  <conditionalFormatting sqref="T779">
    <cfRule type="expression" dxfId="7857" priority="2423">
      <formula>AND(AND($W779&lt;TODAY(),$W779&lt;&gt;""),$X779="")</formula>
    </cfRule>
  </conditionalFormatting>
  <conditionalFormatting sqref="Z779">
    <cfRule type="dataBar" priority="2422">
      <dataBar>
        <cfvo type="min"/>
        <cfvo type="max"/>
        <color rgb="FF63C384"/>
      </dataBar>
      <extLst>
        <ext xmlns:x14="http://schemas.microsoft.com/office/spreadsheetml/2009/9/main" uri="{B025F937-C7B1-47D3-B67F-A62EFF666E3E}">
          <x14:id>{3DE7BFC4-7E8F-436C-B936-B634A6ABEDC1}</x14:id>
        </ext>
      </extLst>
    </cfRule>
  </conditionalFormatting>
  <conditionalFormatting sqref="Z779">
    <cfRule type="dataBar" priority="2421">
      <dataBar>
        <cfvo type="min"/>
        <cfvo type="max"/>
        <color rgb="FF63C384"/>
      </dataBar>
      <extLst>
        <ext xmlns:x14="http://schemas.microsoft.com/office/spreadsheetml/2009/9/main" uri="{B025F937-C7B1-47D3-B67F-A62EFF666E3E}">
          <x14:id>{AEB8C7CB-D95E-42EC-81E8-38613ED836C0}</x14:id>
        </ext>
      </extLst>
    </cfRule>
  </conditionalFormatting>
  <conditionalFormatting sqref="J779">
    <cfRule type="cellIs" dxfId="7856" priority="2420" operator="equal">
      <formula>"ja"</formula>
    </cfRule>
  </conditionalFormatting>
  <conditionalFormatting sqref="C779">
    <cfRule type="containsText" dxfId="7855" priority="2418" operator="containsText" text="Einnahmen">
      <formula>NOT(ISERROR(SEARCH("Einnahmen",C779)))</formula>
    </cfRule>
    <cfRule type="containsText" dxfId="7854" priority="2419" operator="containsText" text="Ausgaben">
      <formula>NOT(ISERROR(SEARCH("Ausgaben",C779)))</formula>
    </cfRule>
  </conditionalFormatting>
  <conditionalFormatting sqref="C780">
    <cfRule type="containsText" dxfId="7853" priority="2416" operator="containsText" text="Einnahmen">
      <formula>NOT(ISERROR(SEARCH("Einnahmen",C780)))</formula>
    </cfRule>
    <cfRule type="containsText" dxfId="7852" priority="2417" operator="containsText" text="Ausgaben">
      <formula>NOT(ISERROR(SEARCH("Ausgaben",C780)))</formula>
    </cfRule>
  </conditionalFormatting>
  <conditionalFormatting sqref="J780">
    <cfRule type="cellIs" dxfId="7851" priority="2415" operator="equal">
      <formula>"ja"</formula>
    </cfRule>
  </conditionalFormatting>
  <conditionalFormatting sqref="C780">
    <cfRule type="containsText" dxfId="7850" priority="2413" operator="containsText" text="Einnahmen">
      <formula>NOT(ISERROR(SEARCH("Einnahmen",C780)))</formula>
    </cfRule>
    <cfRule type="containsText" dxfId="7849" priority="2414" operator="containsText" text="Ausgaben">
      <formula>NOT(ISERROR(SEARCH("Ausgaben",C780)))</formula>
    </cfRule>
  </conditionalFormatting>
  <conditionalFormatting sqref="T780">
    <cfRule type="expression" dxfId="7848" priority="2412">
      <formula>AND(AND($W780&lt;TODAY(),$W780&lt;&gt;""),$X780="")</formula>
    </cfRule>
  </conditionalFormatting>
  <conditionalFormatting sqref="Z780">
    <cfRule type="dataBar" priority="2411">
      <dataBar>
        <cfvo type="min"/>
        <cfvo type="max"/>
        <color rgb="FF63C384"/>
      </dataBar>
      <extLst>
        <ext xmlns:x14="http://schemas.microsoft.com/office/spreadsheetml/2009/9/main" uri="{B025F937-C7B1-47D3-B67F-A62EFF666E3E}">
          <x14:id>{436CBB4B-555C-4388-BDFD-A7A60B349701}</x14:id>
        </ext>
      </extLst>
    </cfRule>
  </conditionalFormatting>
  <conditionalFormatting sqref="Z780">
    <cfRule type="dataBar" priority="2410">
      <dataBar>
        <cfvo type="min"/>
        <cfvo type="max"/>
        <color rgb="FF63C384"/>
      </dataBar>
      <extLst>
        <ext xmlns:x14="http://schemas.microsoft.com/office/spreadsheetml/2009/9/main" uri="{B025F937-C7B1-47D3-B67F-A62EFF666E3E}">
          <x14:id>{E149C67D-4C32-4770-AA04-8083073E58CD}</x14:id>
        </ext>
      </extLst>
    </cfRule>
  </conditionalFormatting>
  <conditionalFormatting sqref="J780">
    <cfRule type="cellIs" dxfId="7847" priority="2409" operator="equal">
      <formula>"ja"</formula>
    </cfRule>
  </conditionalFormatting>
  <conditionalFormatting sqref="T780">
    <cfRule type="expression" dxfId="7846" priority="2408">
      <formula>AND(AND($W780&lt;TODAY(),$W780&lt;&gt;""),$X780="")</formula>
    </cfRule>
  </conditionalFormatting>
  <conditionalFormatting sqref="Z780">
    <cfRule type="dataBar" priority="2407">
      <dataBar>
        <cfvo type="min"/>
        <cfvo type="max"/>
        <color rgb="FF63C384"/>
      </dataBar>
      <extLst>
        <ext xmlns:x14="http://schemas.microsoft.com/office/spreadsheetml/2009/9/main" uri="{B025F937-C7B1-47D3-B67F-A62EFF666E3E}">
          <x14:id>{3AC21BF0-3B75-4D20-BD15-6394A099664B}</x14:id>
        </ext>
      </extLst>
    </cfRule>
  </conditionalFormatting>
  <conditionalFormatting sqref="Z780">
    <cfRule type="dataBar" priority="2406">
      <dataBar>
        <cfvo type="min"/>
        <cfvo type="max"/>
        <color rgb="FF63C384"/>
      </dataBar>
      <extLst>
        <ext xmlns:x14="http://schemas.microsoft.com/office/spreadsheetml/2009/9/main" uri="{B025F937-C7B1-47D3-B67F-A62EFF666E3E}">
          <x14:id>{EF91E0A9-BFBC-4A95-AF7F-266D17629CF4}</x14:id>
        </ext>
      </extLst>
    </cfRule>
  </conditionalFormatting>
  <conditionalFormatting sqref="C781">
    <cfRule type="containsText" dxfId="7845" priority="2404" operator="containsText" text="Einnahmen">
      <formula>NOT(ISERROR(SEARCH("Einnahmen",C781)))</formula>
    </cfRule>
    <cfRule type="containsText" dxfId="7844" priority="2405" operator="containsText" text="Ausgaben">
      <formula>NOT(ISERROR(SEARCH("Ausgaben",C781)))</formula>
    </cfRule>
  </conditionalFormatting>
  <conditionalFormatting sqref="J781">
    <cfRule type="cellIs" dxfId="7843" priority="2403" operator="equal">
      <formula>"ja"</formula>
    </cfRule>
  </conditionalFormatting>
  <conditionalFormatting sqref="T781:T782">
    <cfRule type="expression" dxfId="7842" priority="2402">
      <formula>AND(AND($W781&lt;TODAY(),$W781&lt;&gt;""),$X781="")</formula>
    </cfRule>
  </conditionalFormatting>
  <conditionalFormatting sqref="Z781:Z782">
    <cfRule type="dataBar" priority="2401">
      <dataBar>
        <cfvo type="min"/>
        <cfvo type="max"/>
        <color rgb="FF63C384"/>
      </dataBar>
      <extLst>
        <ext xmlns:x14="http://schemas.microsoft.com/office/spreadsheetml/2009/9/main" uri="{B025F937-C7B1-47D3-B67F-A62EFF666E3E}">
          <x14:id>{4123EB37-2114-4B4B-A6B9-D327AE01C040}</x14:id>
        </ext>
      </extLst>
    </cfRule>
  </conditionalFormatting>
  <conditionalFormatting sqref="Z781:Z782">
    <cfRule type="dataBar" priority="2400">
      <dataBar>
        <cfvo type="min"/>
        <cfvo type="max"/>
        <color rgb="FF63C384"/>
      </dataBar>
      <extLst>
        <ext xmlns:x14="http://schemas.microsoft.com/office/spreadsheetml/2009/9/main" uri="{B025F937-C7B1-47D3-B67F-A62EFF666E3E}">
          <x14:id>{B970F6BF-4C5D-4D6D-BF88-8146FFE7E0A2}</x14:id>
        </ext>
      </extLst>
    </cfRule>
  </conditionalFormatting>
  <conditionalFormatting sqref="C782">
    <cfRule type="containsText" dxfId="7841" priority="2396" operator="containsText" text="Einnahmen">
      <formula>NOT(ISERROR(SEARCH("Einnahmen",C782)))</formula>
    </cfRule>
    <cfRule type="containsText" dxfId="7840" priority="2397" operator="containsText" text="Ausgaben">
      <formula>NOT(ISERROR(SEARCH("Ausgaben",C782)))</formula>
    </cfRule>
  </conditionalFormatting>
  <conditionalFormatting sqref="C782">
    <cfRule type="containsText" dxfId="7839" priority="2394" operator="containsText" text="Einnahmen">
      <formula>NOT(ISERROR(SEARCH("Einnahmen",C782)))</formula>
    </cfRule>
    <cfRule type="containsText" dxfId="7838" priority="2395" operator="containsText" text="Ausgaben">
      <formula>NOT(ISERROR(SEARCH("Ausgaben",C782)))</formula>
    </cfRule>
  </conditionalFormatting>
  <conditionalFormatting sqref="C807 C817 C837 C839 C871 C873 C898 C827 C847:C848 C864 C888">
    <cfRule type="containsText" dxfId="7837" priority="2374" operator="containsText" text="Einnahmen">
      <formula>NOT(ISERROR(SEARCH("Einnahmen",C807)))</formula>
    </cfRule>
    <cfRule type="containsText" dxfId="7836" priority="2375" operator="containsText" text="Ausgaben">
      <formula>NOT(ISERROR(SEARCH("Ausgaben",C807)))</formula>
    </cfRule>
  </conditionalFormatting>
  <conditionalFormatting sqref="C806 C836 C838 C840 C870 C872 C826 C844:C845 C858:C860 C866 C884 C886">
    <cfRule type="containsText" dxfId="7835" priority="2372" operator="containsText" text="Einnahmen">
      <formula>NOT(ISERROR(SEARCH("Einnahmen",C806)))</formula>
    </cfRule>
    <cfRule type="containsText" dxfId="7834" priority="2373" operator="containsText" text="Ausgaben">
      <formula>NOT(ISERROR(SEARCH("Ausgaben",C806)))</formula>
    </cfRule>
  </conditionalFormatting>
  <conditionalFormatting sqref="C783">
    <cfRule type="containsText" dxfId="7833" priority="2310" operator="containsText" text="Einnahmen">
      <formula>NOT(ISERROR(SEARCH("Einnahmen",C783)))</formula>
    </cfRule>
    <cfRule type="containsText" dxfId="7832" priority="2311" operator="containsText" text="Ausgaben">
      <formula>NOT(ISERROR(SEARCH("Ausgaben",C783)))</formula>
    </cfRule>
  </conditionalFormatting>
  <conditionalFormatting sqref="T783">
    <cfRule type="expression" dxfId="7831" priority="2309">
      <formula>AND(AND($W783&lt;TODAY(),$W783&lt;&gt;""),$X783="")</formula>
    </cfRule>
  </conditionalFormatting>
  <conditionalFormatting sqref="Z783">
    <cfRule type="dataBar" priority="2308">
      <dataBar>
        <cfvo type="min"/>
        <cfvo type="max"/>
        <color rgb="FF63C384"/>
      </dataBar>
      <extLst>
        <ext xmlns:x14="http://schemas.microsoft.com/office/spreadsheetml/2009/9/main" uri="{B025F937-C7B1-47D3-B67F-A62EFF666E3E}">
          <x14:id>{E32FE5B2-CF4B-46E4-8CA8-C8CDAC2FB317}</x14:id>
        </ext>
      </extLst>
    </cfRule>
  </conditionalFormatting>
  <conditionalFormatting sqref="Z783">
    <cfRule type="dataBar" priority="2307">
      <dataBar>
        <cfvo type="min"/>
        <cfvo type="max"/>
        <color rgb="FF63C384"/>
      </dataBar>
      <extLst>
        <ext xmlns:x14="http://schemas.microsoft.com/office/spreadsheetml/2009/9/main" uri="{B025F937-C7B1-47D3-B67F-A62EFF666E3E}">
          <x14:id>{75C4B5BF-8088-4B15-96A1-5A3ECC8E4E69}</x14:id>
        </ext>
      </extLst>
    </cfRule>
  </conditionalFormatting>
  <conditionalFormatting sqref="J783">
    <cfRule type="cellIs" dxfId="7830" priority="2306" operator="equal">
      <formula>"ja"</formula>
    </cfRule>
  </conditionalFormatting>
  <conditionalFormatting sqref="T784">
    <cfRule type="expression" dxfId="7829" priority="2302">
      <formula>AND(AND($W784&lt;TODAY(),$W784&lt;&gt;""),$X784="")</formula>
    </cfRule>
  </conditionalFormatting>
  <conditionalFormatting sqref="C784">
    <cfRule type="containsText" dxfId="7828" priority="2304" operator="containsText" text="Einnahmen">
      <formula>NOT(ISERROR(SEARCH("Einnahmen",C784)))</formula>
    </cfRule>
    <cfRule type="containsText" dxfId="7827" priority="2305" operator="containsText" text="Ausgaben">
      <formula>NOT(ISERROR(SEARCH("Ausgaben",C784)))</formula>
    </cfRule>
  </conditionalFormatting>
  <conditionalFormatting sqref="J784">
    <cfRule type="cellIs" dxfId="7826" priority="2303" operator="equal">
      <formula>"ja"</formula>
    </cfRule>
  </conditionalFormatting>
  <conditionalFormatting sqref="Z784">
    <cfRule type="dataBar" priority="2301">
      <dataBar>
        <cfvo type="min"/>
        <cfvo type="max"/>
        <color rgb="FF63C384"/>
      </dataBar>
      <extLst>
        <ext xmlns:x14="http://schemas.microsoft.com/office/spreadsheetml/2009/9/main" uri="{B025F937-C7B1-47D3-B67F-A62EFF666E3E}">
          <x14:id>{7C2FCD09-367A-4650-B7A7-1207A69E9D15}</x14:id>
        </ext>
      </extLst>
    </cfRule>
  </conditionalFormatting>
  <conditionalFormatting sqref="Z784">
    <cfRule type="dataBar" priority="2300">
      <dataBar>
        <cfvo type="min"/>
        <cfvo type="max"/>
        <color rgb="FF63C384"/>
      </dataBar>
      <extLst>
        <ext xmlns:x14="http://schemas.microsoft.com/office/spreadsheetml/2009/9/main" uri="{B025F937-C7B1-47D3-B67F-A62EFF666E3E}">
          <x14:id>{BC5CE1C0-73BB-40EC-AF91-902CF8C571AA}</x14:id>
        </ext>
      </extLst>
    </cfRule>
  </conditionalFormatting>
  <conditionalFormatting sqref="T785">
    <cfRule type="expression" dxfId="7825" priority="2299">
      <formula>AND(AND($W785&lt;TODAY(),$W785&lt;&gt;""),$X785="")</formula>
    </cfRule>
  </conditionalFormatting>
  <conditionalFormatting sqref="Z785">
    <cfRule type="dataBar" priority="2298">
      <dataBar>
        <cfvo type="min"/>
        <cfvo type="max"/>
        <color rgb="FF63C384"/>
      </dataBar>
      <extLst>
        <ext xmlns:x14="http://schemas.microsoft.com/office/spreadsheetml/2009/9/main" uri="{B025F937-C7B1-47D3-B67F-A62EFF666E3E}">
          <x14:id>{7B400E2B-0D41-4E86-BA4D-7CC35BACE49C}</x14:id>
        </ext>
      </extLst>
    </cfRule>
  </conditionalFormatting>
  <conditionalFormatting sqref="Z785">
    <cfRule type="dataBar" priority="2297">
      <dataBar>
        <cfvo type="min"/>
        <cfvo type="max"/>
        <color rgb="FF63C384"/>
      </dataBar>
      <extLst>
        <ext xmlns:x14="http://schemas.microsoft.com/office/spreadsheetml/2009/9/main" uri="{B025F937-C7B1-47D3-B67F-A62EFF666E3E}">
          <x14:id>{CB8943E7-26E3-4294-9FF9-C9B941BD501C}</x14:id>
        </ext>
      </extLst>
    </cfRule>
  </conditionalFormatting>
  <conditionalFormatting sqref="J785">
    <cfRule type="cellIs" dxfId="7824" priority="2296" operator="equal">
      <formula>"ja"</formula>
    </cfRule>
  </conditionalFormatting>
  <conditionalFormatting sqref="C785">
    <cfRule type="containsText" dxfId="7823" priority="2294" operator="containsText" text="Einnahmen">
      <formula>NOT(ISERROR(SEARCH("Einnahmen",C785)))</formula>
    </cfRule>
    <cfRule type="containsText" dxfId="7822" priority="2295" operator="containsText" text="Ausgaben">
      <formula>NOT(ISERROR(SEARCH("Ausgaben",C785)))</formula>
    </cfRule>
  </conditionalFormatting>
  <conditionalFormatting sqref="C786">
    <cfRule type="containsText" dxfId="7821" priority="2292" operator="containsText" text="Einnahmen">
      <formula>NOT(ISERROR(SEARCH("Einnahmen",C786)))</formula>
    </cfRule>
    <cfRule type="containsText" dxfId="7820" priority="2293" operator="containsText" text="Ausgaben">
      <formula>NOT(ISERROR(SEARCH("Ausgaben",C786)))</formula>
    </cfRule>
  </conditionalFormatting>
  <conditionalFormatting sqref="J786">
    <cfRule type="cellIs" dxfId="7819" priority="2291" operator="equal">
      <formula>"ja"</formula>
    </cfRule>
  </conditionalFormatting>
  <conditionalFormatting sqref="T786">
    <cfRule type="expression" dxfId="7818" priority="2290">
      <formula>AND(AND($W786&lt;TODAY(),$W786&lt;&gt;""),$X786="")</formula>
    </cfRule>
  </conditionalFormatting>
  <conditionalFormatting sqref="Z786">
    <cfRule type="dataBar" priority="2289">
      <dataBar>
        <cfvo type="min"/>
        <cfvo type="max"/>
        <color rgb="FF63C384"/>
      </dataBar>
      <extLst>
        <ext xmlns:x14="http://schemas.microsoft.com/office/spreadsheetml/2009/9/main" uri="{B025F937-C7B1-47D3-B67F-A62EFF666E3E}">
          <x14:id>{C75E638B-3359-4CCB-847C-D245CB1AB749}</x14:id>
        </ext>
      </extLst>
    </cfRule>
  </conditionalFormatting>
  <conditionalFormatting sqref="Z786">
    <cfRule type="dataBar" priority="2288">
      <dataBar>
        <cfvo type="min"/>
        <cfvo type="max"/>
        <color rgb="FF63C384"/>
      </dataBar>
      <extLst>
        <ext xmlns:x14="http://schemas.microsoft.com/office/spreadsheetml/2009/9/main" uri="{B025F937-C7B1-47D3-B67F-A62EFF666E3E}">
          <x14:id>{F44A92EE-90CB-441D-9973-28024BC9834C}</x14:id>
        </ext>
      </extLst>
    </cfRule>
  </conditionalFormatting>
  <conditionalFormatting sqref="T786">
    <cfRule type="expression" dxfId="7817" priority="2287">
      <formula>AND(AND($W786&lt;TODAY(),$W786&lt;&gt;""),$X786="")</formula>
    </cfRule>
  </conditionalFormatting>
  <conditionalFormatting sqref="J786">
    <cfRule type="cellIs" dxfId="7816" priority="2286" operator="equal">
      <formula>"ja"</formula>
    </cfRule>
  </conditionalFormatting>
  <conditionalFormatting sqref="Z786">
    <cfRule type="dataBar" priority="2285">
      <dataBar>
        <cfvo type="min"/>
        <cfvo type="max"/>
        <color rgb="FF63C384"/>
      </dataBar>
      <extLst>
        <ext xmlns:x14="http://schemas.microsoft.com/office/spreadsheetml/2009/9/main" uri="{B025F937-C7B1-47D3-B67F-A62EFF666E3E}">
          <x14:id>{242E536F-40B3-4E8D-87C7-81142F7BB163}</x14:id>
        </ext>
      </extLst>
    </cfRule>
  </conditionalFormatting>
  <conditionalFormatting sqref="Z786">
    <cfRule type="dataBar" priority="2284">
      <dataBar>
        <cfvo type="min"/>
        <cfvo type="max"/>
        <color rgb="FF63C384"/>
      </dataBar>
      <extLst>
        <ext xmlns:x14="http://schemas.microsoft.com/office/spreadsheetml/2009/9/main" uri="{B025F937-C7B1-47D3-B67F-A62EFF666E3E}">
          <x14:id>{11C3BA9C-EAD4-49D9-BB59-6D62613B5BB5}</x14:id>
        </ext>
      </extLst>
    </cfRule>
  </conditionalFormatting>
  <conditionalFormatting sqref="C787">
    <cfRule type="containsText" dxfId="7815" priority="2282" operator="containsText" text="Einnahmen">
      <formula>NOT(ISERROR(SEARCH("Einnahmen",C787)))</formula>
    </cfRule>
    <cfRule type="containsText" dxfId="7814" priority="2283" operator="containsText" text="Ausgaben">
      <formula>NOT(ISERROR(SEARCH("Ausgaben",C787)))</formula>
    </cfRule>
  </conditionalFormatting>
  <conditionalFormatting sqref="J787">
    <cfRule type="cellIs" dxfId="7813" priority="2281" operator="equal">
      <formula>"ja"</formula>
    </cfRule>
  </conditionalFormatting>
  <conditionalFormatting sqref="T787">
    <cfRule type="expression" dxfId="7812" priority="2280">
      <formula>AND(AND($W787&lt;TODAY(),$W787&lt;&gt;""),$X787="")</formula>
    </cfRule>
  </conditionalFormatting>
  <conditionalFormatting sqref="Z787">
    <cfRule type="dataBar" priority="2279">
      <dataBar>
        <cfvo type="min"/>
        <cfvo type="max"/>
        <color rgb="FF63C384"/>
      </dataBar>
      <extLst>
        <ext xmlns:x14="http://schemas.microsoft.com/office/spreadsheetml/2009/9/main" uri="{B025F937-C7B1-47D3-B67F-A62EFF666E3E}">
          <x14:id>{3AFA56C0-400A-4355-A02A-316A47950CAB}</x14:id>
        </ext>
      </extLst>
    </cfRule>
  </conditionalFormatting>
  <conditionalFormatting sqref="Z787">
    <cfRule type="dataBar" priority="2278">
      <dataBar>
        <cfvo type="min"/>
        <cfvo type="max"/>
        <color rgb="FF63C384"/>
      </dataBar>
      <extLst>
        <ext xmlns:x14="http://schemas.microsoft.com/office/spreadsheetml/2009/9/main" uri="{B025F937-C7B1-47D3-B67F-A62EFF666E3E}">
          <x14:id>{B1DB8A41-CEE0-4EC0-BF20-D9062C6F8937}</x14:id>
        </ext>
      </extLst>
    </cfRule>
  </conditionalFormatting>
  <conditionalFormatting sqref="C788">
    <cfRule type="containsText" dxfId="7811" priority="2276" operator="containsText" text="Einnahmen">
      <formula>NOT(ISERROR(SEARCH("Einnahmen",C788)))</formula>
    </cfRule>
    <cfRule type="containsText" dxfId="7810" priority="2277" operator="containsText" text="Ausgaben">
      <formula>NOT(ISERROR(SEARCH("Ausgaben",C788)))</formula>
    </cfRule>
  </conditionalFormatting>
  <conditionalFormatting sqref="J788">
    <cfRule type="cellIs" dxfId="7809" priority="2275" operator="equal">
      <formula>"ja"</formula>
    </cfRule>
  </conditionalFormatting>
  <conditionalFormatting sqref="J788">
    <cfRule type="cellIs" dxfId="7808" priority="2263" operator="equal">
      <formula>"ja"</formula>
    </cfRule>
  </conditionalFormatting>
  <conditionalFormatting sqref="T788">
    <cfRule type="expression" dxfId="7807" priority="2262">
      <formula>AND(AND($W788&lt;TODAY(),$W788&lt;&gt;""),$X788="")</formula>
    </cfRule>
  </conditionalFormatting>
  <conditionalFormatting sqref="T788">
    <cfRule type="expression" dxfId="7806" priority="2274">
      <formula>AND(AND($W788&lt;TODAY(),$W788&lt;&gt;""),$X788="")</formula>
    </cfRule>
  </conditionalFormatting>
  <conditionalFormatting sqref="Z788">
    <cfRule type="dataBar" priority="2273">
      <dataBar>
        <cfvo type="min"/>
        <cfvo type="max"/>
        <color rgb="FF63C384"/>
      </dataBar>
      <extLst>
        <ext xmlns:x14="http://schemas.microsoft.com/office/spreadsheetml/2009/9/main" uri="{B025F937-C7B1-47D3-B67F-A62EFF666E3E}">
          <x14:id>{562BC93D-D528-4CE8-A694-DB2B94325B78}</x14:id>
        </ext>
      </extLst>
    </cfRule>
  </conditionalFormatting>
  <conditionalFormatting sqref="Z788">
    <cfRule type="dataBar" priority="2272">
      <dataBar>
        <cfvo type="min"/>
        <cfvo type="max"/>
        <color rgb="FF63C384"/>
      </dataBar>
      <extLst>
        <ext xmlns:x14="http://schemas.microsoft.com/office/spreadsheetml/2009/9/main" uri="{B025F937-C7B1-47D3-B67F-A62EFF666E3E}">
          <x14:id>{7A46ABCC-B7E3-441D-B681-59FFBD6197A8}</x14:id>
        </ext>
      </extLst>
    </cfRule>
  </conditionalFormatting>
  <conditionalFormatting sqref="J788">
    <cfRule type="cellIs" dxfId="7805" priority="2271" operator="equal">
      <formula>"ja"</formula>
    </cfRule>
  </conditionalFormatting>
  <conditionalFormatting sqref="T788">
    <cfRule type="expression" dxfId="7804" priority="2270">
      <formula>AND(AND($W788&lt;TODAY(),$W788&lt;&gt;""),$X788="")</formula>
    </cfRule>
  </conditionalFormatting>
  <conditionalFormatting sqref="Z788">
    <cfRule type="dataBar" priority="2269">
      <dataBar>
        <cfvo type="min"/>
        <cfvo type="max"/>
        <color rgb="FF63C384"/>
      </dataBar>
      <extLst>
        <ext xmlns:x14="http://schemas.microsoft.com/office/spreadsheetml/2009/9/main" uri="{B025F937-C7B1-47D3-B67F-A62EFF666E3E}">
          <x14:id>{82AF5173-52F7-46CF-B551-53B6E1AA9C29}</x14:id>
        </ext>
      </extLst>
    </cfRule>
  </conditionalFormatting>
  <conditionalFormatting sqref="Z788">
    <cfRule type="dataBar" priority="2268">
      <dataBar>
        <cfvo type="min"/>
        <cfvo type="max"/>
        <color rgb="FF63C384"/>
      </dataBar>
      <extLst>
        <ext xmlns:x14="http://schemas.microsoft.com/office/spreadsheetml/2009/9/main" uri="{B025F937-C7B1-47D3-B67F-A62EFF666E3E}">
          <x14:id>{02879506-2D12-4619-8050-57BE453AE8A5}</x14:id>
        </ext>
      </extLst>
    </cfRule>
  </conditionalFormatting>
  <conditionalFormatting sqref="J788">
    <cfRule type="cellIs" dxfId="7803" priority="2267" operator="equal">
      <formula>"ja"</formula>
    </cfRule>
  </conditionalFormatting>
  <conditionalFormatting sqref="T788">
    <cfRule type="expression" dxfId="7802" priority="2266">
      <formula>AND(AND($W788&lt;TODAY(),$W788&lt;&gt;""),$X788="")</formula>
    </cfRule>
  </conditionalFormatting>
  <conditionalFormatting sqref="Z788">
    <cfRule type="dataBar" priority="2265">
      <dataBar>
        <cfvo type="min"/>
        <cfvo type="max"/>
        <color rgb="FF63C384"/>
      </dataBar>
      <extLst>
        <ext xmlns:x14="http://schemas.microsoft.com/office/spreadsheetml/2009/9/main" uri="{B025F937-C7B1-47D3-B67F-A62EFF666E3E}">
          <x14:id>{E026C56C-6886-4BB6-B1DD-3AA8BA770F08}</x14:id>
        </ext>
      </extLst>
    </cfRule>
  </conditionalFormatting>
  <conditionalFormatting sqref="Z788">
    <cfRule type="dataBar" priority="2264">
      <dataBar>
        <cfvo type="min"/>
        <cfvo type="max"/>
        <color rgb="FF63C384"/>
      </dataBar>
      <extLst>
        <ext xmlns:x14="http://schemas.microsoft.com/office/spreadsheetml/2009/9/main" uri="{B025F937-C7B1-47D3-B67F-A62EFF666E3E}">
          <x14:id>{389CCBEA-FEF7-44AC-A430-044B5D615DF5}</x14:id>
        </ext>
      </extLst>
    </cfRule>
  </conditionalFormatting>
  <conditionalFormatting sqref="Z788">
    <cfRule type="dataBar" priority="2261">
      <dataBar>
        <cfvo type="min"/>
        <cfvo type="max"/>
        <color rgb="FF63C384"/>
      </dataBar>
      <extLst>
        <ext xmlns:x14="http://schemas.microsoft.com/office/spreadsheetml/2009/9/main" uri="{B025F937-C7B1-47D3-B67F-A62EFF666E3E}">
          <x14:id>{B8529071-4A3F-48E3-8787-DB95B6D7DDAC}</x14:id>
        </ext>
      </extLst>
    </cfRule>
  </conditionalFormatting>
  <conditionalFormatting sqref="Z788">
    <cfRule type="dataBar" priority="2260">
      <dataBar>
        <cfvo type="min"/>
        <cfvo type="max"/>
        <color rgb="FF63C384"/>
      </dataBar>
      <extLst>
        <ext xmlns:x14="http://schemas.microsoft.com/office/spreadsheetml/2009/9/main" uri="{B025F937-C7B1-47D3-B67F-A62EFF666E3E}">
          <x14:id>{E8A0E01F-BE86-480B-BCE6-1C9F1EEA858D}</x14:id>
        </ext>
      </extLst>
    </cfRule>
  </conditionalFormatting>
  <conditionalFormatting sqref="C789">
    <cfRule type="containsText" dxfId="7801" priority="2258" operator="containsText" text="Einnahmen">
      <formula>NOT(ISERROR(SEARCH("Einnahmen",C789)))</formula>
    </cfRule>
    <cfRule type="containsText" dxfId="7800" priority="2259" operator="containsText" text="Ausgaben">
      <formula>NOT(ISERROR(SEARCH("Ausgaben",C789)))</formula>
    </cfRule>
  </conditionalFormatting>
  <conditionalFormatting sqref="J789">
    <cfRule type="cellIs" dxfId="7799" priority="2257" operator="equal">
      <formula>"ja"</formula>
    </cfRule>
  </conditionalFormatting>
  <conditionalFormatting sqref="T789">
    <cfRule type="expression" dxfId="7798" priority="2256">
      <formula>AND(AND($W789&lt;TODAY(),$W789&lt;&gt;""),$X789="")</formula>
    </cfRule>
  </conditionalFormatting>
  <conditionalFormatting sqref="Z789">
    <cfRule type="dataBar" priority="2255">
      <dataBar>
        <cfvo type="min"/>
        <cfvo type="max"/>
        <color rgb="FF63C384"/>
      </dataBar>
      <extLst>
        <ext xmlns:x14="http://schemas.microsoft.com/office/spreadsheetml/2009/9/main" uri="{B025F937-C7B1-47D3-B67F-A62EFF666E3E}">
          <x14:id>{96E16CBB-89E7-4EC8-9A5D-6013131BA7B7}</x14:id>
        </ext>
      </extLst>
    </cfRule>
  </conditionalFormatting>
  <conditionalFormatting sqref="Z789">
    <cfRule type="dataBar" priority="2254">
      <dataBar>
        <cfvo type="min"/>
        <cfvo type="max"/>
        <color rgb="FF63C384"/>
      </dataBar>
      <extLst>
        <ext xmlns:x14="http://schemas.microsoft.com/office/spreadsheetml/2009/9/main" uri="{B025F937-C7B1-47D3-B67F-A62EFF666E3E}">
          <x14:id>{A9B4AB94-A5AE-427E-9A59-CE8D8B5885A1}</x14:id>
        </ext>
      </extLst>
    </cfRule>
  </conditionalFormatting>
  <conditionalFormatting sqref="T789">
    <cfRule type="expression" dxfId="7797" priority="2253">
      <formula>AND(AND($W789&lt;TODAY(),$W789&lt;&gt;""),$X789="")</formula>
    </cfRule>
  </conditionalFormatting>
  <conditionalFormatting sqref="Z789">
    <cfRule type="dataBar" priority="2252">
      <dataBar>
        <cfvo type="min"/>
        <cfvo type="max"/>
        <color rgb="FF63C384"/>
      </dataBar>
      <extLst>
        <ext xmlns:x14="http://schemas.microsoft.com/office/spreadsheetml/2009/9/main" uri="{B025F937-C7B1-47D3-B67F-A62EFF666E3E}">
          <x14:id>{ED8825E6-8980-4F46-9FF4-C424F4A1FC82}</x14:id>
        </ext>
      </extLst>
    </cfRule>
  </conditionalFormatting>
  <conditionalFormatting sqref="Z789">
    <cfRule type="dataBar" priority="2251">
      <dataBar>
        <cfvo type="min"/>
        <cfvo type="max"/>
        <color rgb="FF63C384"/>
      </dataBar>
      <extLst>
        <ext xmlns:x14="http://schemas.microsoft.com/office/spreadsheetml/2009/9/main" uri="{B025F937-C7B1-47D3-B67F-A62EFF666E3E}">
          <x14:id>{8DFA59F3-EA7D-4D50-986A-B9DADDE3BEFB}</x14:id>
        </ext>
      </extLst>
    </cfRule>
  </conditionalFormatting>
  <conditionalFormatting sqref="J789">
    <cfRule type="cellIs" dxfId="7796" priority="2250" operator="equal">
      <formula>"ja"</formula>
    </cfRule>
  </conditionalFormatting>
  <conditionalFormatting sqref="J790">
    <cfRule type="cellIs" dxfId="7795" priority="2249" operator="equal">
      <formula>"ja"</formula>
    </cfRule>
  </conditionalFormatting>
  <conditionalFormatting sqref="C790">
    <cfRule type="containsText" dxfId="7794" priority="2247" operator="containsText" text="Einnahmen">
      <formula>NOT(ISERROR(SEARCH("Einnahmen",C790)))</formula>
    </cfRule>
    <cfRule type="containsText" dxfId="7793" priority="2248" operator="containsText" text="Ausgaben">
      <formula>NOT(ISERROR(SEARCH("Ausgaben",C790)))</formula>
    </cfRule>
  </conditionalFormatting>
  <conditionalFormatting sqref="T790">
    <cfRule type="expression" dxfId="7792" priority="2246">
      <formula>AND(AND($W790&lt;TODAY(),$W790&lt;&gt;""),$X790="")</formula>
    </cfRule>
  </conditionalFormatting>
  <conditionalFormatting sqref="Z790">
    <cfRule type="dataBar" priority="2245">
      <dataBar>
        <cfvo type="min"/>
        <cfvo type="max"/>
        <color rgb="FF63C384"/>
      </dataBar>
      <extLst>
        <ext xmlns:x14="http://schemas.microsoft.com/office/spreadsheetml/2009/9/main" uri="{B025F937-C7B1-47D3-B67F-A62EFF666E3E}">
          <x14:id>{3C9F94C1-4732-48CE-A452-F77C6E8CFD82}</x14:id>
        </ext>
      </extLst>
    </cfRule>
  </conditionalFormatting>
  <conditionalFormatting sqref="Z790">
    <cfRule type="dataBar" priority="2244">
      <dataBar>
        <cfvo type="min"/>
        <cfvo type="max"/>
        <color rgb="FF63C384"/>
      </dataBar>
      <extLst>
        <ext xmlns:x14="http://schemas.microsoft.com/office/spreadsheetml/2009/9/main" uri="{B025F937-C7B1-47D3-B67F-A62EFF666E3E}">
          <x14:id>{B37DED0A-8031-4432-BF34-D6E139F7B0FC}</x14:id>
        </ext>
      </extLst>
    </cfRule>
  </conditionalFormatting>
  <conditionalFormatting sqref="J791">
    <cfRule type="cellIs" dxfId="7791" priority="2243" operator="equal">
      <formula>"ja"</formula>
    </cfRule>
  </conditionalFormatting>
  <conditionalFormatting sqref="C791">
    <cfRule type="containsText" dxfId="7790" priority="2241" operator="containsText" text="Einnahmen">
      <formula>NOT(ISERROR(SEARCH("Einnahmen",C791)))</formula>
    </cfRule>
    <cfRule type="containsText" dxfId="7789" priority="2242" operator="containsText" text="Ausgaben">
      <formula>NOT(ISERROR(SEARCH("Ausgaben",C791)))</formula>
    </cfRule>
  </conditionalFormatting>
  <conditionalFormatting sqref="T791">
    <cfRule type="expression" dxfId="7788" priority="2240">
      <formula>AND(AND($W791&lt;TODAY(),$W791&lt;&gt;""),$X791="")</formula>
    </cfRule>
  </conditionalFormatting>
  <conditionalFormatting sqref="Z791">
    <cfRule type="dataBar" priority="2239">
      <dataBar>
        <cfvo type="min"/>
        <cfvo type="max"/>
        <color rgb="FF63C384"/>
      </dataBar>
      <extLst>
        <ext xmlns:x14="http://schemas.microsoft.com/office/spreadsheetml/2009/9/main" uri="{B025F937-C7B1-47D3-B67F-A62EFF666E3E}">
          <x14:id>{5F8E4360-55F6-4E80-A04A-87D223394A51}</x14:id>
        </ext>
      </extLst>
    </cfRule>
  </conditionalFormatting>
  <conditionalFormatting sqref="Z791">
    <cfRule type="dataBar" priority="2238">
      <dataBar>
        <cfvo type="min"/>
        <cfvo type="max"/>
        <color rgb="FF63C384"/>
      </dataBar>
      <extLst>
        <ext xmlns:x14="http://schemas.microsoft.com/office/spreadsheetml/2009/9/main" uri="{B025F937-C7B1-47D3-B67F-A62EFF666E3E}">
          <x14:id>{6098C3C5-7FEC-4508-B6BF-856BB603F37E}</x14:id>
        </ext>
      </extLst>
    </cfRule>
  </conditionalFormatting>
  <conditionalFormatting sqref="C791">
    <cfRule type="containsText" dxfId="7787" priority="2236" operator="containsText" text="Einnahmen">
      <formula>NOT(ISERROR(SEARCH("Einnahmen",C791)))</formula>
    </cfRule>
    <cfRule type="containsText" dxfId="7786" priority="2237" operator="containsText" text="Ausgaben">
      <formula>NOT(ISERROR(SEARCH("Ausgaben",C791)))</formula>
    </cfRule>
  </conditionalFormatting>
  <conditionalFormatting sqref="T791">
    <cfRule type="expression" dxfId="7785" priority="2235">
      <formula>AND(AND($W791&lt;TODAY(),$W791&lt;&gt;""),$X791="")</formula>
    </cfRule>
  </conditionalFormatting>
  <conditionalFormatting sqref="J791">
    <cfRule type="cellIs" dxfId="7784" priority="2234" operator="equal">
      <formula>"ja"</formula>
    </cfRule>
  </conditionalFormatting>
  <conditionalFormatting sqref="Z791">
    <cfRule type="dataBar" priority="2233">
      <dataBar>
        <cfvo type="min"/>
        <cfvo type="max"/>
        <color rgb="FF63C384"/>
      </dataBar>
      <extLst>
        <ext xmlns:x14="http://schemas.microsoft.com/office/spreadsheetml/2009/9/main" uri="{B025F937-C7B1-47D3-B67F-A62EFF666E3E}">
          <x14:id>{6BE738FF-6408-4105-878B-28DBCBC39E10}</x14:id>
        </ext>
      </extLst>
    </cfRule>
  </conditionalFormatting>
  <conditionalFormatting sqref="Z791">
    <cfRule type="dataBar" priority="2232">
      <dataBar>
        <cfvo type="min"/>
        <cfvo type="max"/>
        <color rgb="FF63C384"/>
      </dataBar>
      <extLst>
        <ext xmlns:x14="http://schemas.microsoft.com/office/spreadsheetml/2009/9/main" uri="{B025F937-C7B1-47D3-B67F-A62EFF666E3E}">
          <x14:id>{704A7E46-8CA5-4E17-9FBA-769CE5DABEDD}</x14:id>
        </ext>
      </extLst>
    </cfRule>
  </conditionalFormatting>
  <conditionalFormatting sqref="J792">
    <cfRule type="cellIs" dxfId="7783" priority="2231" operator="equal">
      <formula>"ja"</formula>
    </cfRule>
  </conditionalFormatting>
  <conditionalFormatting sqref="C792">
    <cfRule type="containsText" dxfId="7782" priority="2229" operator="containsText" text="Einnahmen">
      <formula>NOT(ISERROR(SEARCH("Einnahmen",C792)))</formula>
    </cfRule>
    <cfRule type="containsText" dxfId="7781" priority="2230" operator="containsText" text="Ausgaben">
      <formula>NOT(ISERROR(SEARCH("Ausgaben",C792)))</formula>
    </cfRule>
  </conditionalFormatting>
  <conditionalFormatting sqref="T792">
    <cfRule type="expression" dxfId="7780" priority="2228">
      <formula>AND(AND($W792&lt;TODAY(),$W792&lt;&gt;""),$X792="")</formula>
    </cfRule>
  </conditionalFormatting>
  <conditionalFormatting sqref="Z792">
    <cfRule type="dataBar" priority="2227">
      <dataBar>
        <cfvo type="min"/>
        <cfvo type="max"/>
        <color rgb="FF63C384"/>
      </dataBar>
      <extLst>
        <ext xmlns:x14="http://schemas.microsoft.com/office/spreadsheetml/2009/9/main" uri="{B025F937-C7B1-47D3-B67F-A62EFF666E3E}">
          <x14:id>{E728A7BC-8326-4811-911D-8C2A33DFA753}</x14:id>
        </ext>
      </extLst>
    </cfRule>
  </conditionalFormatting>
  <conditionalFormatting sqref="Z792">
    <cfRule type="dataBar" priority="2226">
      <dataBar>
        <cfvo type="min"/>
        <cfvo type="max"/>
        <color rgb="FF63C384"/>
      </dataBar>
      <extLst>
        <ext xmlns:x14="http://schemas.microsoft.com/office/spreadsheetml/2009/9/main" uri="{B025F937-C7B1-47D3-B67F-A62EFF666E3E}">
          <x14:id>{503FEB1A-D114-419E-95D0-E98768AD05EB}</x14:id>
        </ext>
      </extLst>
    </cfRule>
  </conditionalFormatting>
  <conditionalFormatting sqref="J792">
    <cfRule type="cellIs" dxfId="7779" priority="2225" operator="equal">
      <formula>"ja"</formula>
    </cfRule>
  </conditionalFormatting>
  <conditionalFormatting sqref="T792">
    <cfRule type="expression" dxfId="7778" priority="2224">
      <formula>AND(AND($W792&lt;TODAY(),$W792&lt;&gt;""),$X792="")</formula>
    </cfRule>
  </conditionalFormatting>
  <conditionalFormatting sqref="Z792">
    <cfRule type="dataBar" priority="2223">
      <dataBar>
        <cfvo type="min"/>
        <cfvo type="max"/>
        <color rgb="FF63C384"/>
      </dataBar>
      <extLst>
        <ext xmlns:x14="http://schemas.microsoft.com/office/spreadsheetml/2009/9/main" uri="{B025F937-C7B1-47D3-B67F-A62EFF666E3E}">
          <x14:id>{E20A5A8B-BD40-4799-BB75-325693B2281F}</x14:id>
        </ext>
      </extLst>
    </cfRule>
  </conditionalFormatting>
  <conditionalFormatting sqref="Z792">
    <cfRule type="dataBar" priority="2222">
      <dataBar>
        <cfvo type="min"/>
        <cfvo type="max"/>
        <color rgb="FF63C384"/>
      </dataBar>
      <extLst>
        <ext xmlns:x14="http://schemas.microsoft.com/office/spreadsheetml/2009/9/main" uri="{B025F937-C7B1-47D3-B67F-A62EFF666E3E}">
          <x14:id>{9190DE84-E5DD-4E94-9244-607BFF51E7DB}</x14:id>
        </ext>
      </extLst>
    </cfRule>
  </conditionalFormatting>
  <conditionalFormatting sqref="J792">
    <cfRule type="cellIs" dxfId="7777" priority="2221" operator="equal">
      <formula>"ja"</formula>
    </cfRule>
  </conditionalFormatting>
  <conditionalFormatting sqref="C792">
    <cfRule type="containsText" dxfId="7776" priority="2219" operator="containsText" text="Einnahmen">
      <formula>NOT(ISERROR(SEARCH("Einnahmen",C792)))</formula>
    </cfRule>
    <cfRule type="containsText" dxfId="7775" priority="2220" operator="containsText" text="Ausgaben">
      <formula>NOT(ISERROR(SEARCH("Ausgaben",C792)))</formula>
    </cfRule>
  </conditionalFormatting>
  <conditionalFormatting sqref="T792">
    <cfRule type="expression" dxfId="7774" priority="2218">
      <formula>AND(AND($W792&lt;TODAY(),$W792&lt;&gt;""),$X792="")</formula>
    </cfRule>
  </conditionalFormatting>
  <conditionalFormatting sqref="Z792">
    <cfRule type="dataBar" priority="2217">
      <dataBar>
        <cfvo type="min"/>
        <cfvo type="max"/>
        <color rgb="FF63C384"/>
      </dataBar>
      <extLst>
        <ext xmlns:x14="http://schemas.microsoft.com/office/spreadsheetml/2009/9/main" uri="{B025F937-C7B1-47D3-B67F-A62EFF666E3E}">
          <x14:id>{EF4AA4F1-2CA6-452D-A0C7-B566EB169495}</x14:id>
        </ext>
      </extLst>
    </cfRule>
  </conditionalFormatting>
  <conditionalFormatting sqref="Z792">
    <cfRule type="dataBar" priority="2216">
      <dataBar>
        <cfvo type="min"/>
        <cfvo type="max"/>
        <color rgb="FF63C384"/>
      </dataBar>
      <extLst>
        <ext xmlns:x14="http://schemas.microsoft.com/office/spreadsheetml/2009/9/main" uri="{B025F937-C7B1-47D3-B67F-A62EFF666E3E}">
          <x14:id>{38D6CBC0-899E-4E3D-8A44-7CF1B3AA91FF}</x14:id>
        </ext>
      </extLst>
    </cfRule>
  </conditionalFormatting>
  <conditionalFormatting sqref="T793">
    <cfRule type="expression" dxfId="7773" priority="2215">
      <formula>AND(AND($W793&lt;TODAY(),$W793&lt;&gt;""),$X793="")</formula>
    </cfRule>
  </conditionalFormatting>
  <conditionalFormatting sqref="Z793">
    <cfRule type="dataBar" priority="2214">
      <dataBar>
        <cfvo type="min"/>
        <cfvo type="max"/>
        <color rgb="FF63C384"/>
      </dataBar>
      <extLst>
        <ext xmlns:x14="http://schemas.microsoft.com/office/spreadsheetml/2009/9/main" uri="{B025F937-C7B1-47D3-B67F-A62EFF666E3E}">
          <x14:id>{BB75260F-B277-41D9-AC5F-7C72DE657C8E}</x14:id>
        </ext>
      </extLst>
    </cfRule>
  </conditionalFormatting>
  <conditionalFormatting sqref="Z793">
    <cfRule type="dataBar" priority="2213">
      <dataBar>
        <cfvo type="min"/>
        <cfvo type="max"/>
        <color rgb="FF63C384"/>
      </dataBar>
      <extLst>
        <ext xmlns:x14="http://schemas.microsoft.com/office/spreadsheetml/2009/9/main" uri="{B025F937-C7B1-47D3-B67F-A62EFF666E3E}">
          <x14:id>{533D8090-737E-4239-A367-E91B7465D20D}</x14:id>
        </ext>
      </extLst>
    </cfRule>
  </conditionalFormatting>
  <conditionalFormatting sqref="C793">
    <cfRule type="containsText" dxfId="7772" priority="2211" operator="containsText" text="Einnahmen">
      <formula>NOT(ISERROR(SEARCH("Einnahmen",C793)))</formula>
    </cfRule>
    <cfRule type="containsText" dxfId="7771" priority="2212" operator="containsText" text="Ausgaben">
      <formula>NOT(ISERROR(SEARCH("Ausgaben",C793)))</formula>
    </cfRule>
  </conditionalFormatting>
  <conditionalFormatting sqref="C793">
    <cfRule type="containsText" dxfId="7770" priority="2209" operator="containsText" text="Einnahmen">
      <formula>NOT(ISERROR(SEARCH("Einnahmen",C793)))</formula>
    </cfRule>
    <cfRule type="containsText" dxfId="7769" priority="2210" operator="containsText" text="Ausgaben">
      <formula>NOT(ISERROR(SEARCH("Ausgaben",C793)))</formula>
    </cfRule>
  </conditionalFormatting>
  <conditionalFormatting sqref="C794">
    <cfRule type="containsText" dxfId="7768" priority="2207" operator="containsText" text="Einnahmen">
      <formula>NOT(ISERROR(SEARCH("Einnahmen",C794)))</formula>
    </cfRule>
    <cfRule type="containsText" dxfId="7767" priority="2208" operator="containsText" text="Ausgaben">
      <formula>NOT(ISERROR(SEARCH("Ausgaben",C794)))</formula>
    </cfRule>
  </conditionalFormatting>
  <conditionalFormatting sqref="T794">
    <cfRule type="expression" dxfId="7766" priority="2206">
      <formula>AND(AND($W794&lt;TODAY(),$W794&lt;&gt;""),$X794="")</formula>
    </cfRule>
  </conditionalFormatting>
  <conditionalFormatting sqref="Z794">
    <cfRule type="dataBar" priority="2205">
      <dataBar>
        <cfvo type="min"/>
        <cfvo type="max"/>
        <color rgb="FF63C384"/>
      </dataBar>
      <extLst>
        <ext xmlns:x14="http://schemas.microsoft.com/office/spreadsheetml/2009/9/main" uri="{B025F937-C7B1-47D3-B67F-A62EFF666E3E}">
          <x14:id>{B2621FE3-75EA-4643-AAF8-6215BD33CA14}</x14:id>
        </ext>
      </extLst>
    </cfRule>
  </conditionalFormatting>
  <conditionalFormatting sqref="Z794">
    <cfRule type="dataBar" priority="2204">
      <dataBar>
        <cfvo type="min"/>
        <cfvo type="max"/>
        <color rgb="FF63C384"/>
      </dataBar>
      <extLst>
        <ext xmlns:x14="http://schemas.microsoft.com/office/spreadsheetml/2009/9/main" uri="{B025F937-C7B1-47D3-B67F-A62EFF666E3E}">
          <x14:id>{13DBF46C-D8DB-43B3-9A5E-A1FD3BC96063}</x14:id>
        </ext>
      </extLst>
    </cfRule>
  </conditionalFormatting>
  <conditionalFormatting sqref="J794">
    <cfRule type="cellIs" dxfId="7765" priority="2203" operator="equal">
      <formula>"ja"</formula>
    </cfRule>
  </conditionalFormatting>
  <conditionalFormatting sqref="J795">
    <cfRule type="cellIs" dxfId="7764" priority="2202" operator="equal">
      <formula>"ja"</formula>
    </cfRule>
  </conditionalFormatting>
  <conditionalFormatting sqref="T795">
    <cfRule type="expression" dxfId="7763" priority="2201">
      <formula>AND(AND($W795&lt;TODAY(),$W795&lt;&gt;""),$X795="")</formula>
    </cfRule>
  </conditionalFormatting>
  <conditionalFormatting sqref="Z795">
    <cfRule type="dataBar" priority="2200">
      <dataBar>
        <cfvo type="min"/>
        <cfvo type="max"/>
        <color rgb="FF63C384"/>
      </dataBar>
      <extLst>
        <ext xmlns:x14="http://schemas.microsoft.com/office/spreadsheetml/2009/9/main" uri="{B025F937-C7B1-47D3-B67F-A62EFF666E3E}">
          <x14:id>{50E20033-3275-47C7-A38B-0591B03E674B}</x14:id>
        </ext>
      </extLst>
    </cfRule>
  </conditionalFormatting>
  <conditionalFormatting sqref="Z795">
    <cfRule type="dataBar" priority="2199">
      <dataBar>
        <cfvo type="min"/>
        <cfvo type="max"/>
        <color rgb="FF63C384"/>
      </dataBar>
      <extLst>
        <ext xmlns:x14="http://schemas.microsoft.com/office/spreadsheetml/2009/9/main" uri="{B025F937-C7B1-47D3-B67F-A62EFF666E3E}">
          <x14:id>{3E1E2ACC-284A-487F-A21E-B0E9249D7E53}</x14:id>
        </ext>
      </extLst>
    </cfRule>
  </conditionalFormatting>
  <conditionalFormatting sqref="T795">
    <cfRule type="expression" dxfId="7762" priority="2198">
      <formula>AND(AND($W795&lt;TODAY(),$W795&lt;&gt;""),$X795="")</formula>
    </cfRule>
  </conditionalFormatting>
  <conditionalFormatting sqref="Z795">
    <cfRule type="dataBar" priority="2197">
      <dataBar>
        <cfvo type="min"/>
        <cfvo type="max"/>
        <color rgb="FF63C384"/>
      </dataBar>
      <extLst>
        <ext xmlns:x14="http://schemas.microsoft.com/office/spreadsheetml/2009/9/main" uri="{B025F937-C7B1-47D3-B67F-A62EFF666E3E}">
          <x14:id>{838E4218-2F41-40C1-92BB-7EF664CBBEED}</x14:id>
        </ext>
      </extLst>
    </cfRule>
  </conditionalFormatting>
  <conditionalFormatting sqref="Z795">
    <cfRule type="dataBar" priority="2196">
      <dataBar>
        <cfvo type="min"/>
        <cfvo type="max"/>
        <color rgb="FF63C384"/>
      </dataBar>
      <extLst>
        <ext xmlns:x14="http://schemas.microsoft.com/office/spreadsheetml/2009/9/main" uri="{B025F937-C7B1-47D3-B67F-A62EFF666E3E}">
          <x14:id>{0EAFEA9F-86C1-4717-A4BF-302D54E18C2D}</x14:id>
        </ext>
      </extLst>
    </cfRule>
  </conditionalFormatting>
  <conditionalFormatting sqref="J795">
    <cfRule type="cellIs" dxfId="7761" priority="2195" operator="equal">
      <formula>"ja"</formula>
    </cfRule>
  </conditionalFormatting>
  <conditionalFormatting sqref="C795">
    <cfRule type="containsText" dxfId="7760" priority="2193" operator="containsText" text="Einnahmen">
      <formula>NOT(ISERROR(SEARCH("Einnahmen",C795)))</formula>
    </cfRule>
    <cfRule type="containsText" dxfId="7759" priority="2194" operator="containsText" text="Ausgaben">
      <formula>NOT(ISERROR(SEARCH("Ausgaben",C795)))</formula>
    </cfRule>
  </conditionalFormatting>
  <conditionalFormatting sqref="C796">
    <cfRule type="containsText" dxfId="7758" priority="2191" operator="containsText" text="Einnahmen">
      <formula>NOT(ISERROR(SEARCH("Einnahmen",C796)))</formula>
    </cfRule>
    <cfRule type="containsText" dxfId="7757" priority="2192" operator="containsText" text="Ausgaben">
      <formula>NOT(ISERROR(SEARCH("Ausgaben",C796)))</formula>
    </cfRule>
  </conditionalFormatting>
  <conditionalFormatting sqref="J796">
    <cfRule type="cellIs" dxfId="7756" priority="2190" operator="equal">
      <formula>"ja"</formula>
    </cfRule>
  </conditionalFormatting>
  <conditionalFormatting sqref="C796">
    <cfRule type="containsText" dxfId="7755" priority="2188" operator="containsText" text="Einnahmen">
      <formula>NOT(ISERROR(SEARCH("Einnahmen",C796)))</formula>
    </cfRule>
    <cfRule type="containsText" dxfId="7754" priority="2189" operator="containsText" text="Ausgaben">
      <formula>NOT(ISERROR(SEARCH("Ausgaben",C796)))</formula>
    </cfRule>
  </conditionalFormatting>
  <conditionalFormatting sqref="T796">
    <cfRule type="expression" dxfId="7753" priority="2187">
      <formula>AND(AND($W796&lt;TODAY(),$W796&lt;&gt;""),$X796="")</formula>
    </cfRule>
  </conditionalFormatting>
  <conditionalFormatting sqref="Z796">
    <cfRule type="dataBar" priority="2186">
      <dataBar>
        <cfvo type="min"/>
        <cfvo type="max"/>
        <color rgb="FF63C384"/>
      </dataBar>
      <extLst>
        <ext xmlns:x14="http://schemas.microsoft.com/office/spreadsheetml/2009/9/main" uri="{B025F937-C7B1-47D3-B67F-A62EFF666E3E}">
          <x14:id>{F9349225-14DE-49C5-A781-E550D6E53DD1}</x14:id>
        </ext>
      </extLst>
    </cfRule>
  </conditionalFormatting>
  <conditionalFormatting sqref="Z796">
    <cfRule type="dataBar" priority="2185">
      <dataBar>
        <cfvo type="min"/>
        <cfvo type="max"/>
        <color rgb="FF63C384"/>
      </dataBar>
      <extLst>
        <ext xmlns:x14="http://schemas.microsoft.com/office/spreadsheetml/2009/9/main" uri="{B025F937-C7B1-47D3-B67F-A62EFF666E3E}">
          <x14:id>{C0E0857F-114D-438A-A7B1-9BEC06FFF5D5}</x14:id>
        </ext>
      </extLst>
    </cfRule>
  </conditionalFormatting>
  <conditionalFormatting sqref="J796">
    <cfRule type="cellIs" dxfId="7752" priority="2184" operator="equal">
      <formula>"ja"</formula>
    </cfRule>
  </conditionalFormatting>
  <conditionalFormatting sqref="T796">
    <cfRule type="expression" dxfId="7751" priority="2183">
      <formula>AND(AND($W796&lt;TODAY(),$W796&lt;&gt;""),$X796="")</formula>
    </cfRule>
  </conditionalFormatting>
  <conditionalFormatting sqref="Z796">
    <cfRule type="dataBar" priority="2182">
      <dataBar>
        <cfvo type="min"/>
        <cfvo type="max"/>
        <color rgb="FF63C384"/>
      </dataBar>
      <extLst>
        <ext xmlns:x14="http://schemas.microsoft.com/office/spreadsheetml/2009/9/main" uri="{B025F937-C7B1-47D3-B67F-A62EFF666E3E}">
          <x14:id>{24609CF7-4822-4D38-A75C-2DAB983010BC}</x14:id>
        </ext>
      </extLst>
    </cfRule>
  </conditionalFormatting>
  <conditionalFormatting sqref="Z796">
    <cfRule type="dataBar" priority="2181">
      <dataBar>
        <cfvo type="min"/>
        <cfvo type="max"/>
        <color rgb="FF63C384"/>
      </dataBar>
      <extLst>
        <ext xmlns:x14="http://schemas.microsoft.com/office/spreadsheetml/2009/9/main" uri="{B025F937-C7B1-47D3-B67F-A62EFF666E3E}">
          <x14:id>{7FAFCD00-8558-4CAB-BA4E-46A1766FF25F}</x14:id>
        </ext>
      </extLst>
    </cfRule>
  </conditionalFormatting>
  <conditionalFormatting sqref="T797">
    <cfRule type="expression" dxfId="7750" priority="2180">
      <formula>AND(AND($W797&lt;TODAY(),$W797&lt;&gt;""),$X797="")</formula>
    </cfRule>
  </conditionalFormatting>
  <conditionalFormatting sqref="Z797">
    <cfRule type="dataBar" priority="2179">
      <dataBar>
        <cfvo type="min"/>
        <cfvo type="max"/>
        <color rgb="FF63C384"/>
      </dataBar>
      <extLst>
        <ext xmlns:x14="http://schemas.microsoft.com/office/spreadsheetml/2009/9/main" uri="{B025F937-C7B1-47D3-B67F-A62EFF666E3E}">
          <x14:id>{5B6CE4C5-4335-43A3-A41C-91873ABFF796}</x14:id>
        </ext>
      </extLst>
    </cfRule>
  </conditionalFormatting>
  <conditionalFormatting sqref="Z797">
    <cfRule type="dataBar" priority="2178">
      <dataBar>
        <cfvo type="min"/>
        <cfvo type="max"/>
        <color rgb="FF63C384"/>
      </dataBar>
      <extLst>
        <ext xmlns:x14="http://schemas.microsoft.com/office/spreadsheetml/2009/9/main" uri="{B025F937-C7B1-47D3-B67F-A62EFF666E3E}">
          <x14:id>{09C70B80-C822-424A-887C-9943E8CDCA7E}</x14:id>
        </ext>
      </extLst>
    </cfRule>
  </conditionalFormatting>
  <conditionalFormatting sqref="J797">
    <cfRule type="cellIs" dxfId="7749" priority="2177" operator="equal">
      <formula>"ja"</formula>
    </cfRule>
  </conditionalFormatting>
  <conditionalFormatting sqref="C797">
    <cfRule type="containsText" dxfId="7748" priority="2175" operator="containsText" text="Einnahmen">
      <formula>NOT(ISERROR(SEARCH("Einnahmen",C797)))</formula>
    </cfRule>
    <cfRule type="containsText" dxfId="7747" priority="2176" operator="containsText" text="Ausgaben">
      <formula>NOT(ISERROR(SEARCH("Ausgaben",C797)))</formula>
    </cfRule>
  </conditionalFormatting>
  <conditionalFormatting sqref="C798">
    <cfRule type="containsText" dxfId="7746" priority="2173" operator="containsText" text="Einnahmen">
      <formula>NOT(ISERROR(SEARCH("Einnahmen",C798)))</formula>
    </cfRule>
    <cfRule type="containsText" dxfId="7745" priority="2174" operator="containsText" text="Ausgaben">
      <formula>NOT(ISERROR(SEARCH("Ausgaben",C798)))</formula>
    </cfRule>
  </conditionalFormatting>
  <conditionalFormatting sqref="J798">
    <cfRule type="cellIs" dxfId="7744" priority="2172" operator="equal">
      <formula>"ja"</formula>
    </cfRule>
  </conditionalFormatting>
  <conditionalFormatting sqref="T798">
    <cfRule type="expression" dxfId="7743" priority="2171">
      <formula>AND(AND($W798&lt;TODAY(),$W798&lt;&gt;""),$X798="")</formula>
    </cfRule>
  </conditionalFormatting>
  <conditionalFormatting sqref="Z798">
    <cfRule type="dataBar" priority="2170">
      <dataBar>
        <cfvo type="min"/>
        <cfvo type="max"/>
        <color rgb="FF63C384"/>
      </dataBar>
      <extLst>
        <ext xmlns:x14="http://schemas.microsoft.com/office/spreadsheetml/2009/9/main" uri="{B025F937-C7B1-47D3-B67F-A62EFF666E3E}">
          <x14:id>{CE26E332-D9CD-415C-AF65-9F20670EBC0E}</x14:id>
        </ext>
      </extLst>
    </cfRule>
  </conditionalFormatting>
  <conditionalFormatting sqref="Z798">
    <cfRule type="dataBar" priority="2169">
      <dataBar>
        <cfvo type="min"/>
        <cfvo type="max"/>
        <color rgb="FF63C384"/>
      </dataBar>
      <extLst>
        <ext xmlns:x14="http://schemas.microsoft.com/office/spreadsheetml/2009/9/main" uri="{B025F937-C7B1-47D3-B67F-A62EFF666E3E}">
          <x14:id>{192CFFF7-6AE1-4D05-9CC7-06891EDFF202}</x14:id>
        </ext>
      </extLst>
    </cfRule>
  </conditionalFormatting>
  <conditionalFormatting sqref="T798">
    <cfRule type="expression" dxfId="7742" priority="2168">
      <formula>AND(AND($W798&lt;TODAY(),$W798&lt;&gt;""),$X798="")</formula>
    </cfRule>
  </conditionalFormatting>
  <conditionalFormatting sqref="J798">
    <cfRule type="cellIs" dxfId="7741" priority="2167" operator="equal">
      <formula>"ja"</formula>
    </cfRule>
  </conditionalFormatting>
  <conditionalFormatting sqref="Z798">
    <cfRule type="dataBar" priority="2166">
      <dataBar>
        <cfvo type="min"/>
        <cfvo type="max"/>
        <color rgb="FF63C384"/>
      </dataBar>
      <extLst>
        <ext xmlns:x14="http://schemas.microsoft.com/office/spreadsheetml/2009/9/main" uri="{B025F937-C7B1-47D3-B67F-A62EFF666E3E}">
          <x14:id>{A95B72FD-60E6-4EC0-85A1-F6536EA01A19}</x14:id>
        </ext>
      </extLst>
    </cfRule>
  </conditionalFormatting>
  <conditionalFormatting sqref="Z798">
    <cfRule type="dataBar" priority="2165">
      <dataBar>
        <cfvo type="min"/>
        <cfvo type="max"/>
        <color rgb="FF63C384"/>
      </dataBar>
      <extLst>
        <ext xmlns:x14="http://schemas.microsoft.com/office/spreadsheetml/2009/9/main" uri="{B025F937-C7B1-47D3-B67F-A62EFF666E3E}">
          <x14:id>{B186BE6F-27E3-4C08-BBB8-B89EDC446345}</x14:id>
        </ext>
      </extLst>
    </cfRule>
  </conditionalFormatting>
  <conditionalFormatting sqref="C799">
    <cfRule type="containsText" dxfId="7740" priority="2163" operator="containsText" text="Einnahmen">
      <formula>NOT(ISERROR(SEARCH("Einnahmen",C799)))</formula>
    </cfRule>
    <cfRule type="containsText" dxfId="7739" priority="2164" operator="containsText" text="Ausgaben">
      <formula>NOT(ISERROR(SEARCH("Ausgaben",C799)))</formula>
    </cfRule>
  </conditionalFormatting>
  <conditionalFormatting sqref="T799">
    <cfRule type="expression" dxfId="7738" priority="2162">
      <formula>AND(AND($W799&lt;TODAY(),$W799&lt;&gt;""),$X799="")</formula>
    </cfRule>
  </conditionalFormatting>
  <conditionalFormatting sqref="C800">
    <cfRule type="containsText" dxfId="7737" priority="2160" operator="containsText" text="Einnahmen">
      <formula>NOT(ISERROR(SEARCH("Einnahmen",C800)))</formula>
    </cfRule>
    <cfRule type="containsText" dxfId="7736" priority="2161" operator="containsText" text="Ausgaben">
      <formula>NOT(ISERROR(SEARCH("Ausgaben",C800)))</formula>
    </cfRule>
  </conditionalFormatting>
  <conditionalFormatting sqref="J800">
    <cfRule type="cellIs" dxfId="7735" priority="2159" operator="equal">
      <formula>"ja"</formula>
    </cfRule>
  </conditionalFormatting>
  <conditionalFormatting sqref="T800">
    <cfRule type="expression" dxfId="7734" priority="2158">
      <formula>AND(AND($W800&lt;TODAY(),$W800&lt;&gt;""),$X800="")</formula>
    </cfRule>
  </conditionalFormatting>
  <conditionalFormatting sqref="Z800">
    <cfRule type="dataBar" priority="2157">
      <dataBar>
        <cfvo type="min"/>
        <cfvo type="max"/>
        <color rgb="FF63C384"/>
      </dataBar>
      <extLst>
        <ext xmlns:x14="http://schemas.microsoft.com/office/spreadsheetml/2009/9/main" uri="{B025F937-C7B1-47D3-B67F-A62EFF666E3E}">
          <x14:id>{FE8C27EB-631B-46F7-9C61-6842BDE93D2E}</x14:id>
        </ext>
      </extLst>
    </cfRule>
  </conditionalFormatting>
  <conditionalFormatting sqref="Z800">
    <cfRule type="dataBar" priority="2156">
      <dataBar>
        <cfvo type="min"/>
        <cfvo type="max"/>
        <color rgb="FF63C384"/>
      </dataBar>
      <extLst>
        <ext xmlns:x14="http://schemas.microsoft.com/office/spreadsheetml/2009/9/main" uri="{B025F937-C7B1-47D3-B67F-A62EFF666E3E}">
          <x14:id>{01CA7C2B-F629-453E-825A-E57644CA59CC}</x14:id>
        </ext>
      </extLst>
    </cfRule>
  </conditionalFormatting>
  <conditionalFormatting sqref="C801">
    <cfRule type="containsText" dxfId="7733" priority="2154" operator="containsText" text="Einnahmen">
      <formula>NOT(ISERROR(SEARCH("Einnahmen",C801)))</formula>
    </cfRule>
    <cfRule type="containsText" dxfId="7732" priority="2155" operator="containsText" text="Ausgaben">
      <formula>NOT(ISERROR(SEARCH("Ausgaben",C801)))</formula>
    </cfRule>
  </conditionalFormatting>
  <conditionalFormatting sqref="J801">
    <cfRule type="cellIs" dxfId="7731" priority="2153" operator="equal">
      <formula>"ja"</formula>
    </cfRule>
  </conditionalFormatting>
  <conditionalFormatting sqref="J801">
    <cfRule type="cellIs" dxfId="7730" priority="2141" operator="equal">
      <formula>"ja"</formula>
    </cfRule>
  </conditionalFormatting>
  <conditionalFormatting sqref="T801">
    <cfRule type="expression" dxfId="7729" priority="2140">
      <formula>AND(AND($W801&lt;TODAY(),$W801&lt;&gt;""),$X801="")</formula>
    </cfRule>
  </conditionalFormatting>
  <conditionalFormatting sqref="T801">
    <cfRule type="expression" dxfId="7728" priority="2152">
      <formula>AND(AND($W801&lt;TODAY(),$W801&lt;&gt;""),$X801="")</formula>
    </cfRule>
  </conditionalFormatting>
  <conditionalFormatting sqref="Z801">
    <cfRule type="dataBar" priority="2151">
      <dataBar>
        <cfvo type="min"/>
        <cfvo type="max"/>
        <color rgb="FF63C384"/>
      </dataBar>
      <extLst>
        <ext xmlns:x14="http://schemas.microsoft.com/office/spreadsheetml/2009/9/main" uri="{B025F937-C7B1-47D3-B67F-A62EFF666E3E}">
          <x14:id>{39C46D70-7DA4-4730-86CB-26FDA363A66A}</x14:id>
        </ext>
      </extLst>
    </cfRule>
  </conditionalFormatting>
  <conditionalFormatting sqref="Z801">
    <cfRule type="dataBar" priority="2150">
      <dataBar>
        <cfvo type="min"/>
        <cfvo type="max"/>
        <color rgb="FF63C384"/>
      </dataBar>
      <extLst>
        <ext xmlns:x14="http://schemas.microsoft.com/office/spreadsheetml/2009/9/main" uri="{B025F937-C7B1-47D3-B67F-A62EFF666E3E}">
          <x14:id>{650FC785-4C0A-42A8-A934-156E79050281}</x14:id>
        </ext>
      </extLst>
    </cfRule>
  </conditionalFormatting>
  <conditionalFormatting sqref="J801">
    <cfRule type="cellIs" dxfId="7727" priority="2149" operator="equal">
      <formula>"ja"</formula>
    </cfRule>
  </conditionalFormatting>
  <conditionalFormatting sqref="T801">
    <cfRule type="expression" dxfId="7726" priority="2148">
      <formula>AND(AND($W801&lt;TODAY(),$W801&lt;&gt;""),$X801="")</formula>
    </cfRule>
  </conditionalFormatting>
  <conditionalFormatting sqref="Z801">
    <cfRule type="dataBar" priority="2147">
      <dataBar>
        <cfvo type="min"/>
        <cfvo type="max"/>
        <color rgb="FF63C384"/>
      </dataBar>
      <extLst>
        <ext xmlns:x14="http://schemas.microsoft.com/office/spreadsheetml/2009/9/main" uri="{B025F937-C7B1-47D3-B67F-A62EFF666E3E}">
          <x14:id>{26DD497C-D5CB-44C8-A38B-0D661013B80B}</x14:id>
        </ext>
      </extLst>
    </cfRule>
  </conditionalFormatting>
  <conditionalFormatting sqref="Z801">
    <cfRule type="dataBar" priority="2146">
      <dataBar>
        <cfvo type="min"/>
        <cfvo type="max"/>
        <color rgb="FF63C384"/>
      </dataBar>
      <extLst>
        <ext xmlns:x14="http://schemas.microsoft.com/office/spreadsheetml/2009/9/main" uri="{B025F937-C7B1-47D3-B67F-A62EFF666E3E}">
          <x14:id>{7EE9FCE4-84ED-462E-BCBC-A5F934323C72}</x14:id>
        </ext>
      </extLst>
    </cfRule>
  </conditionalFormatting>
  <conditionalFormatting sqref="J801">
    <cfRule type="cellIs" dxfId="7725" priority="2145" operator="equal">
      <formula>"ja"</formula>
    </cfRule>
  </conditionalFormatting>
  <conditionalFormatting sqref="T801">
    <cfRule type="expression" dxfId="7724" priority="2144">
      <formula>AND(AND($W801&lt;TODAY(),$W801&lt;&gt;""),$X801="")</formula>
    </cfRule>
  </conditionalFormatting>
  <conditionalFormatting sqref="Z801">
    <cfRule type="dataBar" priority="2143">
      <dataBar>
        <cfvo type="min"/>
        <cfvo type="max"/>
        <color rgb="FF63C384"/>
      </dataBar>
      <extLst>
        <ext xmlns:x14="http://schemas.microsoft.com/office/spreadsheetml/2009/9/main" uri="{B025F937-C7B1-47D3-B67F-A62EFF666E3E}">
          <x14:id>{D7755F04-ABFD-49E8-B0E7-67F8B4654590}</x14:id>
        </ext>
      </extLst>
    </cfRule>
  </conditionalFormatting>
  <conditionalFormatting sqref="Z801">
    <cfRule type="dataBar" priority="2142">
      <dataBar>
        <cfvo type="min"/>
        <cfvo type="max"/>
        <color rgb="FF63C384"/>
      </dataBar>
      <extLst>
        <ext xmlns:x14="http://schemas.microsoft.com/office/spreadsheetml/2009/9/main" uri="{B025F937-C7B1-47D3-B67F-A62EFF666E3E}">
          <x14:id>{99DF945A-5046-4DC3-95D3-47CAD96E5193}</x14:id>
        </ext>
      </extLst>
    </cfRule>
  </conditionalFormatting>
  <conditionalFormatting sqref="Z801">
    <cfRule type="dataBar" priority="2139">
      <dataBar>
        <cfvo type="min"/>
        <cfvo type="max"/>
        <color rgb="FF63C384"/>
      </dataBar>
      <extLst>
        <ext xmlns:x14="http://schemas.microsoft.com/office/spreadsheetml/2009/9/main" uri="{B025F937-C7B1-47D3-B67F-A62EFF666E3E}">
          <x14:id>{70DA86DD-5E93-4FC1-9D2F-D146A60E2776}</x14:id>
        </ext>
      </extLst>
    </cfRule>
  </conditionalFormatting>
  <conditionalFormatting sqref="Z801">
    <cfRule type="dataBar" priority="2138">
      <dataBar>
        <cfvo type="min"/>
        <cfvo type="max"/>
        <color rgb="FF63C384"/>
      </dataBar>
      <extLst>
        <ext xmlns:x14="http://schemas.microsoft.com/office/spreadsheetml/2009/9/main" uri="{B025F937-C7B1-47D3-B67F-A62EFF666E3E}">
          <x14:id>{B44F3C7A-FB83-4939-A274-04F320346158}</x14:id>
        </ext>
      </extLst>
    </cfRule>
  </conditionalFormatting>
  <conditionalFormatting sqref="C802">
    <cfRule type="containsText" dxfId="7723" priority="2136" operator="containsText" text="Einnahmen">
      <formula>NOT(ISERROR(SEARCH("Einnahmen",C802)))</formula>
    </cfRule>
    <cfRule type="containsText" dxfId="7722" priority="2137" operator="containsText" text="Ausgaben">
      <formula>NOT(ISERROR(SEARCH("Ausgaben",C802)))</formula>
    </cfRule>
  </conditionalFormatting>
  <conditionalFormatting sqref="J802">
    <cfRule type="cellIs" dxfId="7721" priority="2135" operator="equal">
      <formula>"ja"</formula>
    </cfRule>
  </conditionalFormatting>
  <conditionalFormatting sqref="T802">
    <cfRule type="expression" dxfId="7720" priority="2134">
      <formula>AND(AND($W802&lt;TODAY(),$W802&lt;&gt;""),$X802="")</formula>
    </cfRule>
  </conditionalFormatting>
  <conditionalFormatting sqref="Z802">
    <cfRule type="dataBar" priority="2133">
      <dataBar>
        <cfvo type="min"/>
        <cfvo type="max"/>
        <color rgb="FF63C384"/>
      </dataBar>
      <extLst>
        <ext xmlns:x14="http://schemas.microsoft.com/office/spreadsheetml/2009/9/main" uri="{B025F937-C7B1-47D3-B67F-A62EFF666E3E}">
          <x14:id>{298A09E9-77D5-4593-AEA5-52549AC33270}</x14:id>
        </ext>
      </extLst>
    </cfRule>
  </conditionalFormatting>
  <conditionalFormatting sqref="Z802">
    <cfRule type="dataBar" priority="2132">
      <dataBar>
        <cfvo type="min"/>
        <cfvo type="max"/>
        <color rgb="FF63C384"/>
      </dataBar>
      <extLst>
        <ext xmlns:x14="http://schemas.microsoft.com/office/spreadsheetml/2009/9/main" uri="{B025F937-C7B1-47D3-B67F-A62EFF666E3E}">
          <x14:id>{C5EF401C-FA2A-4A26-879D-3EE88A167449}</x14:id>
        </ext>
      </extLst>
    </cfRule>
  </conditionalFormatting>
  <conditionalFormatting sqref="T802">
    <cfRule type="expression" dxfId="7719" priority="2131">
      <formula>AND(AND($W802&lt;TODAY(),$W802&lt;&gt;""),$X802="")</formula>
    </cfRule>
  </conditionalFormatting>
  <conditionalFormatting sqref="Z802">
    <cfRule type="dataBar" priority="2130">
      <dataBar>
        <cfvo type="min"/>
        <cfvo type="max"/>
        <color rgb="FF63C384"/>
      </dataBar>
      <extLst>
        <ext xmlns:x14="http://schemas.microsoft.com/office/spreadsheetml/2009/9/main" uri="{B025F937-C7B1-47D3-B67F-A62EFF666E3E}">
          <x14:id>{6F087AAB-9BC6-42B8-AE0A-932E36FE9259}</x14:id>
        </ext>
      </extLst>
    </cfRule>
  </conditionalFormatting>
  <conditionalFormatting sqref="Z802">
    <cfRule type="dataBar" priority="2129">
      <dataBar>
        <cfvo type="min"/>
        <cfvo type="max"/>
        <color rgb="FF63C384"/>
      </dataBar>
      <extLst>
        <ext xmlns:x14="http://schemas.microsoft.com/office/spreadsheetml/2009/9/main" uri="{B025F937-C7B1-47D3-B67F-A62EFF666E3E}">
          <x14:id>{A6C93F2E-405F-4E20-A6B9-7030900EF874}</x14:id>
        </ext>
      </extLst>
    </cfRule>
  </conditionalFormatting>
  <conditionalFormatting sqref="J802">
    <cfRule type="cellIs" dxfId="7718" priority="2128" operator="equal">
      <formula>"ja"</formula>
    </cfRule>
  </conditionalFormatting>
  <conditionalFormatting sqref="J803">
    <cfRule type="cellIs" dxfId="7717" priority="2127" operator="equal">
      <formula>"ja"</formula>
    </cfRule>
  </conditionalFormatting>
  <conditionalFormatting sqref="C803">
    <cfRule type="containsText" dxfId="7716" priority="2125" operator="containsText" text="Einnahmen">
      <formula>NOT(ISERROR(SEARCH("Einnahmen",C803)))</formula>
    </cfRule>
    <cfRule type="containsText" dxfId="7715" priority="2126" operator="containsText" text="Ausgaben">
      <formula>NOT(ISERROR(SEARCH("Ausgaben",C803)))</formula>
    </cfRule>
  </conditionalFormatting>
  <conditionalFormatting sqref="T803">
    <cfRule type="expression" dxfId="7714" priority="2124">
      <formula>AND(AND($W803&lt;TODAY(),$W803&lt;&gt;""),$X803="")</formula>
    </cfRule>
  </conditionalFormatting>
  <conditionalFormatting sqref="Z803">
    <cfRule type="dataBar" priority="2123">
      <dataBar>
        <cfvo type="min"/>
        <cfvo type="max"/>
        <color rgb="FF63C384"/>
      </dataBar>
      <extLst>
        <ext xmlns:x14="http://schemas.microsoft.com/office/spreadsheetml/2009/9/main" uri="{B025F937-C7B1-47D3-B67F-A62EFF666E3E}">
          <x14:id>{7D97F521-4527-42B2-AD1A-76E2E3FCF464}</x14:id>
        </ext>
      </extLst>
    </cfRule>
  </conditionalFormatting>
  <conditionalFormatting sqref="Z803">
    <cfRule type="dataBar" priority="2122">
      <dataBar>
        <cfvo type="min"/>
        <cfvo type="max"/>
        <color rgb="FF63C384"/>
      </dataBar>
      <extLst>
        <ext xmlns:x14="http://schemas.microsoft.com/office/spreadsheetml/2009/9/main" uri="{B025F937-C7B1-47D3-B67F-A62EFF666E3E}">
          <x14:id>{D0FAC80D-628C-420F-BB09-F09721140125}</x14:id>
        </ext>
      </extLst>
    </cfRule>
  </conditionalFormatting>
  <conditionalFormatting sqref="J804">
    <cfRule type="cellIs" dxfId="7713" priority="2121" operator="equal">
      <formula>"ja"</formula>
    </cfRule>
  </conditionalFormatting>
  <conditionalFormatting sqref="C804">
    <cfRule type="containsText" dxfId="7712" priority="2119" operator="containsText" text="Einnahmen">
      <formula>NOT(ISERROR(SEARCH("Einnahmen",C804)))</formula>
    </cfRule>
    <cfRule type="containsText" dxfId="7711" priority="2120" operator="containsText" text="Ausgaben">
      <formula>NOT(ISERROR(SEARCH("Ausgaben",C804)))</formula>
    </cfRule>
  </conditionalFormatting>
  <conditionalFormatting sqref="T804">
    <cfRule type="expression" dxfId="7710" priority="2118">
      <formula>AND(AND($W804&lt;TODAY(),$W804&lt;&gt;""),$X804="")</formula>
    </cfRule>
  </conditionalFormatting>
  <conditionalFormatting sqref="Z804">
    <cfRule type="dataBar" priority="2117">
      <dataBar>
        <cfvo type="min"/>
        <cfvo type="max"/>
        <color rgb="FF63C384"/>
      </dataBar>
      <extLst>
        <ext xmlns:x14="http://schemas.microsoft.com/office/spreadsheetml/2009/9/main" uri="{B025F937-C7B1-47D3-B67F-A62EFF666E3E}">
          <x14:id>{CD94A4EA-5EB4-47B6-82EA-37B3EA5C9F51}</x14:id>
        </ext>
      </extLst>
    </cfRule>
  </conditionalFormatting>
  <conditionalFormatting sqref="Z804">
    <cfRule type="dataBar" priority="2116">
      <dataBar>
        <cfvo type="min"/>
        <cfvo type="max"/>
        <color rgb="FF63C384"/>
      </dataBar>
      <extLst>
        <ext xmlns:x14="http://schemas.microsoft.com/office/spreadsheetml/2009/9/main" uri="{B025F937-C7B1-47D3-B67F-A62EFF666E3E}">
          <x14:id>{5539B433-BF42-4BEA-BF28-3671613C0445}</x14:id>
        </ext>
      </extLst>
    </cfRule>
  </conditionalFormatting>
  <conditionalFormatting sqref="C804">
    <cfRule type="containsText" dxfId="7709" priority="2114" operator="containsText" text="Einnahmen">
      <formula>NOT(ISERROR(SEARCH("Einnahmen",C804)))</formula>
    </cfRule>
    <cfRule type="containsText" dxfId="7708" priority="2115" operator="containsText" text="Ausgaben">
      <formula>NOT(ISERROR(SEARCH("Ausgaben",C804)))</formula>
    </cfRule>
  </conditionalFormatting>
  <conditionalFormatting sqref="T804">
    <cfRule type="expression" dxfId="7707" priority="2113">
      <formula>AND(AND($W804&lt;TODAY(),$W804&lt;&gt;""),$X804="")</formula>
    </cfRule>
  </conditionalFormatting>
  <conditionalFormatting sqref="J804">
    <cfRule type="cellIs" dxfId="7706" priority="2112" operator="equal">
      <formula>"ja"</formula>
    </cfRule>
  </conditionalFormatting>
  <conditionalFormatting sqref="Z804">
    <cfRule type="dataBar" priority="2111">
      <dataBar>
        <cfvo type="min"/>
        <cfvo type="max"/>
        <color rgb="FF63C384"/>
      </dataBar>
      <extLst>
        <ext xmlns:x14="http://schemas.microsoft.com/office/spreadsheetml/2009/9/main" uri="{B025F937-C7B1-47D3-B67F-A62EFF666E3E}">
          <x14:id>{A9E4B5A6-A7EE-4910-99BA-F16F61B6E75B}</x14:id>
        </ext>
      </extLst>
    </cfRule>
  </conditionalFormatting>
  <conditionalFormatting sqref="Z804">
    <cfRule type="dataBar" priority="2110">
      <dataBar>
        <cfvo type="min"/>
        <cfvo type="max"/>
        <color rgb="FF63C384"/>
      </dataBar>
      <extLst>
        <ext xmlns:x14="http://schemas.microsoft.com/office/spreadsheetml/2009/9/main" uri="{B025F937-C7B1-47D3-B67F-A62EFF666E3E}">
          <x14:id>{F7373FED-8FD4-443B-81A6-9C43C6C4E659}</x14:id>
        </ext>
      </extLst>
    </cfRule>
  </conditionalFormatting>
  <conditionalFormatting sqref="J805">
    <cfRule type="cellIs" dxfId="7705" priority="2109" operator="equal">
      <formula>"ja"</formula>
    </cfRule>
  </conditionalFormatting>
  <conditionalFormatting sqref="C805">
    <cfRule type="containsText" dxfId="7704" priority="2107" operator="containsText" text="Einnahmen">
      <formula>NOT(ISERROR(SEARCH("Einnahmen",C805)))</formula>
    </cfRule>
    <cfRule type="containsText" dxfId="7703" priority="2108" operator="containsText" text="Ausgaben">
      <formula>NOT(ISERROR(SEARCH("Ausgaben",C805)))</formula>
    </cfRule>
  </conditionalFormatting>
  <conditionalFormatting sqref="T805">
    <cfRule type="expression" dxfId="7702" priority="2106">
      <formula>AND(AND($W805&lt;TODAY(),$W805&lt;&gt;""),$X805="")</formula>
    </cfRule>
  </conditionalFormatting>
  <conditionalFormatting sqref="Z805">
    <cfRule type="dataBar" priority="2105">
      <dataBar>
        <cfvo type="min"/>
        <cfvo type="max"/>
        <color rgb="FF63C384"/>
      </dataBar>
      <extLst>
        <ext xmlns:x14="http://schemas.microsoft.com/office/spreadsheetml/2009/9/main" uri="{B025F937-C7B1-47D3-B67F-A62EFF666E3E}">
          <x14:id>{EC8DADAD-D804-433C-ACFD-A24CFC58F6AA}</x14:id>
        </ext>
      </extLst>
    </cfRule>
  </conditionalFormatting>
  <conditionalFormatting sqref="Z805">
    <cfRule type="dataBar" priority="2104">
      <dataBar>
        <cfvo type="min"/>
        <cfvo type="max"/>
        <color rgb="FF63C384"/>
      </dataBar>
      <extLst>
        <ext xmlns:x14="http://schemas.microsoft.com/office/spreadsheetml/2009/9/main" uri="{B025F937-C7B1-47D3-B67F-A62EFF666E3E}">
          <x14:id>{E737D207-B781-41FA-BC1A-0C12E19C501D}</x14:id>
        </ext>
      </extLst>
    </cfRule>
  </conditionalFormatting>
  <conditionalFormatting sqref="J805">
    <cfRule type="cellIs" dxfId="7701" priority="2103" operator="equal">
      <formula>"ja"</formula>
    </cfRule>
  </conditionalFormatting>
  <conditionalFormatting sqref="T805">
    <cfRule type="expression" dxfId="7700" priority="2102">
      <formula>AND(AND($W805&lt;TODAY(),$W805&lt;&gt;""),$X805="")</formula>
    </cfRule>
  </conditionalFormatting>
  <conditionalFormatting sqref="Z805">
    <cfRule type="dataBar" priority="2101">
      <dataBar>
        <cfvo type="min"/>
        <cfvo type="max"/>
        <color rgb="FF63C384"/>
      </dataBar>
      <extLst>
        <ext xmlns:x14="http://schemas.microsoft.com/office/spreadsheetml/2009/9/main" uri="{B025F937-C7B1-47D3-B67F-A62EFF666E3E}">
          <x14:id>{5C5EC247-58CE-4395-8574-9A35362DC5BB}</x14:id>
        </ext>
      </extLst>
    </cfRule>
  </conditionalFormatting>
  <conditionalFormatting sqref="Z805">
    <cfRule type="dataBar" priority="2100">
      <dataBar>
        <cfvo type="min"/>
        <cfvo type="max"/>
        <color rgb="FF63C384"/>
      </dataBar>
      <extLst>
        <ext xmlns:x14="http://schemas.microsoft.com/office/spreadsheetml/2009/9/main" uri="{B025F937-C7B1-47D3-B67F-A62EFF666E3E}">
          <x14:id>{8255544A-7B36-4F6B-B45F-0938795228DF}</x14:id>
        </ext>
      </extLst>
    </cfRule>
  </conditionalFormatting>
  <conditionalFormatting sqref="J805">
    <cfRule type="cellIs" dxfId="7699" priority="2099" operator="equal">
      <formula>"ja"</formula>
    </cfRule>
  </conditionalFormatting>
  <conditionalFormatting sqref="C805">
    <cfRule type="containsText" dxfId="7698" priority="2097" operator="containsText" text="Einnahmen">
      <formula>NOT(ISERROR(SEARCH("Einnahmen",C805)))</formula>
    </cfRule>
    <cfRule type="containsText" dxfId="7697" priority="2098" operator="containsText" text="Ausgaben">
      <formula>NOT(ISERROR(SEARCH("Ausgaben",C805)))</formula>
    </cfRule>
  </conditionalFormatting>
  <conditionalFormatting sqref="T805">
    <cfRule type="expression" dxfId="7696" priority="2096">
      <formula>AND(AND($W805&lt;TODAY(),$W805&lt;&gt;""),$X805="")</formula>
    </cfRule>
  </conditionalFormatting>
  <conditionalFormatting sqref="Z805">
    <cfRule type="dataBar" priority="2095">
      <dataBar>
        <cfvo type="min"/>
        <cfvo type="max"/>
        <color rgb="FF63C384"/>
      </dataBar>
      <extLst>
        <ext xmlns:x14="http://schemas.microsoft.com/office/spreadsheetml/2009/9/main" uri="{B025F937-C7B1-47D3-B67F-A62EFF666E3E}">
          <x14:id>{3DFE193C-72E0-4B3D-B1AB-C611D970331A}</x14:id>
        </ext>
      </extLst>
    </cfRule>
  </conditionalFormatting>
  <conditionalFormatting sqref="Z805">
    <cfRule type="dataBar" priority="2094">
      <dataBar>
        <cfvo type="min"/>
        <cfvo type="max"/>
        <color rgb="FF63C384"/>
      </dataBar>
      <extLst>
        <ext xmlns:x14="http://schemas.microsoft.com/office/spreadsheetml/2009/9/main" uri="{B025F937-C7B1-47D3-B67F-A62EFF666E3E}">
          <x14:id>{F4473A56-487D-4C15-A03D-FFE34FA53838}</x14:id>
        </ext>
      </extLst>
    </cfRule>
  </conditionalFormatting>
  <conditionalFormatting sqref="T806:T807">
    <cfRule type="expression" dxfId="7695" priority="2093">
      <formula>AND(AND($W806&lt;TODAY(),$W806&lt;&gt;""),$X806="")</formula>
    </cfRule>
  </conditionalFormatting>
  <conditionalFormatting sqref="Z806">
    <cfRule type="dataBar" priority="2092">
      <dataBar>
        <cfvo type="min"/>
        <cfvo type="max"/>
        <color rgb="FF63C384"/>
      </dataBar>
      <extLst>
        <ext xmlns:x14="http://schemas.microsoft.com/office/spreadsheetml/2009/9/main" uri="{B025F937-C7B1-47D3-B67F-A62EFF666E3E}">
          <x14:id>{3AB7E557-076A-454F-B7CE-9504EF53BBAF}</x14:id>
        </ext>
      </extLst>
    </cfRule>
  </conditionalFormatting>
  <conditionalFormatting sqref="Z806">
    <cfRule type="dataBar" priority="2091">
      <dataBar>
        <cfvo type="min"/>
        <cfvo type="max"/>
        <color rgb="FF63C384"/>
      </dataBar>
      <extLst>
        <ext xmlns:x14="http://schemas.microsoft.com/office/spreadsheetml/2009/9/main" uri="{B025F937-C7B1-47D3-B67F-A62EFF666E3E}">
          <x14:id>{DE721446-5110-40C1-B857-814AAF1270AC}</x14:id>
        </ext>
      </extLst>
    </cfRule>
  </conditionalFormatting>
  <conditionalFormatting sqref="T806:T807">
    <cfRule type="expression" dxfId="7694" priority="2090">
      <formula>AND(AND($W806&lt;TODAY(),$W806&lt;&gt;""),$X806="")</formula>
    </cfRule>
  </conditionalFormatting>
  <conditionalFormatting sqref="Z806">
    <cfRule type="dataBar" priority="2089">
      <dataBar>
        <cfvo type="min"/>
        <cfvo type="max"/>
        <color rgb="FF63C384"/>
      </dataBar>
      <extLst>
        <ext xmlns:x14="http://schemas.microsoft.com/office/spreadsheetml/2009/9/main" uri="{B025F937-C7B1-47D3-B67F-A62EFF666E3E}">
          <x14:id>{231E4137-CF52-4DF3-ABE1-B23C44CEDAAC}</x14:id>
        </ext>
      </extLst>
    </cfRule>
  </conditionalFormatting>
  <conditionalFormatting sqref="Z806">
    <cfRule type="dataBar" priority="2088">
      <dataBar>
        <cfvo type="min"/>
        <cfvo type="max"/>
        <color rgb="FF63C384"/>
      </dataBar>
      <extLst>
        <ext xmlns:x14="http://schemas.microsoft.com/office/spreadsheetml/2009/9/main" uri="{B025F937-C7B1-47D3-B67F-A62EFF666E3E}">
          <x14:id>{4ADE7F25-2176-4031-B4B6-FC853B10E647}</x14:id>
        </ext>
      </extLst>
    </cfRule>
  </conditionalFormatting>
  <conditionalFormatting sqref="J807">
    <cfRule type="cellIs" dxfId="7693" priority="2085" operator="equal">
      <formula>"ja"</formula>
    </cfRule>
  </conditionalFormatting>
  <conditionalFormatting sqref="Z807">
    <cfRule type="dataBar" priority="2081">
      <dataBar>
        <cfvo type="min"/>
        <cfvo type="max"/>
        <color rgb="FF63C384"/>
      </dataBar>
      <extLst>
        <ext xmlns:x14="http://schemas.microsoft.com/office/spreadsheetml/2009/9/main" uri="{B025F937-C7B1-47D3-B67F-A62EFF666E3E}">
          <x14:id>{8C5D1289-EA79-4228-A514-01DF900632DF}</x14:id>
        </ext>
      </extLst>
    </cfRule>
  </conditionalFormatting>
  <conditionalFormatting sqref="Z807">
    <cfRule type="dataBar" priority="2080">
      <dataBar>
        <cfvo type="min"/>
        <cfvo type="max"/>
        <color rgb="FF63C384"/>
      </dataBar>
      <extLst>
        <ext xmlns:x14="http://schemas.microsoft.com/office/spreadsheetml/2009/9/main" uri="{B025F937-C7B1-47D3-B67F-A62EFF666E3E}">
          <x14:id>{8D1F79BA-6FC9-465F-AA33-A4F8983BA653}</x14:id>
        </ext>
      </extLst>
    </cfRule>
  </conditionalFormatting>
  <conditionalFormatting sqref="J807">
    <cfRule type="cellIs" dxfId="7692" priority="2079" operator="equal">
      <formula>"ja"</formula>
    </cfRule>
  </conditionalFormatting>
  <conditionalFormatting sqref="Z807">
    <cfRule type="dataBar" priority="2077">
      <dataBar>
        <cfvo type="min"/>
        <cfvo type="max"/>
        <color rgb="FF63C384"/>
      </dataBar>
      <extLst>
        <ext xmlns:x14="http://schemas.microsoft.com/office/spreadsheetml/2009/9/main" uri="{B025F937-C7B1-47D3-B67F-A62EFF666E3E}">
          <x14:id>{36C67DAC-0D59-45E2-AE50-413991976EA8}</x14:id>
        </ext>
      </extLst>
    </cfRule>
  </conditionalFormatting>
  <conditionalFormatting sqref="Z807">
    <cfRule type="dataBar" priority="2076">
      <dataBar>
        <cfvo type="min"/>
        <cfvo type="max"/>
        <color rgb="FF63C384"/>
      </dataBar>
      <extLst>
        <ext xmlns:x14="http://schemas.microsoft.com/office/spreadsheetml/2009/9/main" uri="{B025F937-C7B1-47D3-B67F-A62EFF666E3E}">
          <x14:id>{10DF7DF7-94FE-4F16-A925-816AD51D79EE}</x14:id>
        </ext>
      </extLst>
    </cfRule>
  </conditionalFormatting>
  <conditionalFormatting sqref="J808">
    <cfRule type="cellIs" dxfId="7691" priority="2075" operator="equal">
      <formula>"ja"</formula>
    </cfRule>
  </conditionalFormatting>
  <conditionalFormatting sqref="T808">
    <cfRule type="expression" dxfId="7690" priority="2074">
      <formula>AND(AND($W808&lt;TODAY(),$W808&lt;&gt;""),$X808="")</formula>
    </cfRule>
  </conditionalFormatting>
  <conditionalFormatting sqref="Z808">
    <cfRule type="dataBar" priority="2073">
      <dataBar>
        <cfvo type="min"/>
        <cfvo type="max"/>
        <color rgb="FF63C384"/>
      </dataBar>
      <extLst>
        <ext xmlns:x14="http://schemas.microsoft.com/office/spreadsheetml/2009/9/main" uri="{B025F937-C7B1-47D3-B67F-A62EFF666E3E}">
          <x14:id>{FFB40C58-591C-4D9E-B452-C4A93F6374F1}</x14:id>
        </ext>
      </extLst>
    </cfRule>
  </conditionalFormatting>
  <conditionalFormatting sqref="Z808">
    <cfRule type="dataBar" priority="2072">
      <dataBar>
        <cfvo type="min"/>
        <cfvo type="max"/>
        <color rgb="FF63C384"/>
      </dataBar>
      <extLst>
        <ext xmlns:x14="http://schemas.microsoft.com/office/spreadsheetml/2009/9/main" uri="{B025F937-C7B1-47D3-B67F-A62EFF666E3E}">
          <x14:id>{CFB10579-FBAE-4175-9127-901DC4A6D197}</x14:id>
        </ext>
      </extLst>
    </cfRule>
  </conditionalFormatting>
  <conditionalFormatting sqref="T808">
    <cfRule type="expression" dxfId="7689" priority="2071">
      <formula>AND(AND($W808&lt;TODAY(),$W808&lt;&gt;""),$X808="")</formula>
    </cfRule>
  </conditionalFormatting>
  <conditionalFormatting sqref="Z808">
    <cfRule type="dataBar" priority="2070">
      <dataBar>
        <cfvo type="min"/>
        <cfvo type="max"/>
        <color rgb="FF63C384"/>
      </dataBar>
      <extLst>
        <ext xmlns:x14="http://schemas.microsoft.com/office/spreadsheetml/2009/9/main" uri="{B025F937-C7B1-47D3-B67F-A62EFF666E3E}">
          <x14:id>{B0A87D7A-BC1F-42A1-928D-8495E69B41FB}</x14:id>
        </ext>
      </extLst>
    </cfRule>
  </conditionalFormatting>
  <conditionalFormatting sqref="Z808">
    <cfRule type="dataBar" priority="2069">
      <dataBar>
        <cfvo type="min"/>
        <cfvo type="max"/>
        <color rgb="FF63C384"/>
      </dataBar>
      <extLst>
        <ext xmlns:x14="http://schemas.microsoft.com/office/spreadsheetml/2009/9/main" uri="{B025F937-C7B1-47D3-B67F-A62EFF666E3E}">
          <x14:id>{46970395-DA42-4127-9954-E4E6DDBB5B48}</x14:id>
        </ext>
      </extLst>
    </cfRule>
  </conditionalFormatting>
  <conditionalFormatting sqref="J808">
    <cfRule type="cellIs" dxfId="7688" priority="2068" operator="equal">
      <formula>"ja"</formula>
    </cfRule>
  </conditionalFormatting>
  <conditionalFormatting sqref="C808">
    <cfRule type="containsText" dxfId="7687" priority="2066" operator="containsText" text="Einnahmen">
      <formula>NOT(ISERROR(SEARCH("Einnahmen",C808)))</formula>
    </cfRule>
    <cfRule type="containsText" dxfId="7686" priority="2067" operator="containsText" text="Ausgaben">
      <formula>NOT(ISERROR(SEARCH("Ausgaben",C808)))</formula>
    </cfRule>
  </conditionalFormatting>
  <conditionalFormatting sqref="C809:C811">
    <cfRule type="containsText" dxfId="7685" priority="2064" operator="containsText" text="Einnahmen">
      <formula>NOT(ISERROR(SEARCH("Einnahmen",C809)))</formula>
    </cfRule>
    <cfRule type="containsText" dxfId="7684" priority="2065" operator="containsText" text="Ausgaben">
      <formula>NOT(ISERROR(SEARCH("Ausgaben",C809)))</formula>
    </cfRule>
  </conditionalFormatting>
  <conditionalFormatting sqref="T809:T811">
    <cfRule type="expression" dxfId="7683" priority="2063">
      <formula>AND(AND($W809&lt;TODAY(),$W809&lt;&gt;""),$X809="")</formula>
    </cfRule>
  </conditionalFormatting>
  <conditionalFormatting sqref="J809:J811">
    <cfRule type="cellIs" dxfId="7682" priority="2062" operator="equal">
      <formula>"ja"</formula>
    </cfRule>
  </conditionalFormatting>
  <conditionalFormatting sqref="Z809:Z811">
    <cfRule type="dataBar" priority="2061">
      <dataBar>
        <cfvo type="min"/>
        <cfvo type="max"/>
        <color rgb="FF63C384"/>
      </dataBar>
      <extLst>
        <ext xmlns:x14="http://schemas.microsoft.com/office/spreadsheetml/2009/9/main" uri="{B025F937-C7B1-47D3-B67F-A62EFF666E3E}">
          <x14:id>{F370C47F-19E8-45A8-9139-400E30B7B0B2}</x14:id>
        </ext>
      </extLst>
    </cfRule>
  </conditionalFormatting>
  <conditionalFormatting sqref="Z809:Z811">
    <cfRule type="dataBar" priority="2060">
      <dataBar>
        <cfvo type="min"/>
        <cfvo type="max"/>
        <color rgb="FF63C384"/>
      </dataBar>
      <extLst>
        <ext xmlns:x14="http://schemas.microsoft.com/office/spreadsheetml/2009/9/main" uri="{B025F937-C7B1-47D3-B67F-A62EFF666E3E}">
          <x14:id>{226673B1-F7A7-4E13-87D2-15090BF7B224}</x14:id>
        </ext>
      </extLst>
    </cfRule>
  </conditionalFormatting>
  <conditionalFormatting sqref="J812">
    <cfRule type="cellIs" dxfId="7681" priority="2059" operator="equal">
      <formula>"ja"</formula>
    </cfRule>
  </conditionalFormatting>
  <conditionalFormatting sqref="C812">
    <cfRule type="containsText" dxfId="7680" priority="2057" operator="containsText" text="Einnahmen">
      <formula>NOT(ISERROR(SEARCH("Einnahmen",C812)))</formula>
    </cfRule>
    <cfRule type="containsText" dxfId="7679" priority="2058" operator="containsText" text="Ausgaben">
      <formula>NOT(ISERROR(SEARCH("Ausgaben",C812)))</formula>
    </cfRule>
  </conditionalFormatting>
  <conditionalFormatting sqref="T812">
    <cfRule type="expression" dxfId="7678" priority="2056">
      <formula>AND(AND($W812&lt;TODAY(),$W812&lt;&gt;""),$X812="")</formula>
    </cfRule>
  </conditionalFormatting>
  <conditionalFormatting sqref="Z812">
    <cfRule type="dataBar" priority="2055">
      <dataBar>
        <cfvo type="min"/>
        <cfvo type="max"/>
        <color rgb="FF63C384"/>
      </dataBar>
      <extLst>
        <ext xmlns:x14="http://schemas.microsoft.com/office/spreadsheetml/2009/9/main" uri="{B025F937-C7B1-47D3-B67F-A62EFF666E3E}">
          <x14:id>{64B18863-AE24-49F2-AE13-0AC23E1A8789}</x14:id>
        </ext>
      </extLst>
    </cfRule>
  </conditionalFormatting>
  <conditionalFormatting sqref="Z812">
    <cfRule type="dataBar" priority="2054">
      <dataBar>
        <cfvo type="min"/>
        <cfvo type="max"/>
        <color rgb="FF63C384"/>
      </dataBar>
      <extLst>
        <ext xmlns:x14="http://schemas.microsoft.com/office/spreadsheetml/2009/9/main" uri="{B025F937-C7B1-47D3-B67F-A62EFF666E3E}">
          <x14:id>{0A715637-2FC2-4AC4-813A-425AF6DAA0EB}</x14:id>
        </ext>
      </extLst>
    </cfRule>
  </conditionalFormatting>
  <conditionalFormatting sqref="J813">
    <cfRule type="cellIs" dxfId="7677" priority="2053" operator="equal">
      <formula>"ja"</formula>
    </cfRule>
  </conditionalFormatting>
  <conditionalFormatting sqref="T813">
    <cfRule type="expression" dxfId="7676" priority="2052">
      <formula>AND(AND($W813&lt;TODAY(),$W813&lt;&gt;""),$X813="")</formula>
    </cfRule>
  </conditionalFormatting>
  <conditionalFormatting sqref="Z813">
    <cfRule type="dataBar" priority="2051">
      <dataBar>
        <cfvo type="min"/>
        <cfvo type="max"/>
        <color rgb="FF63C384"/>
      </dataBar>
      <extLst>
        <ext xmlns:x14="http://schemas.microsoft.com/office/spreadsheetml/2009/9/main" uri="{B025F937-C7B1-47D3-B67F-A62EFF666E3E}">
          <x14:id>{F49BF834-C812-4C12-8C86-79279BB70E94}</x14:id>
        </ext>
      </extLst>
    </cfRule>
  </conditionalFormatting>
  <conditionalFormatting sqref="Z813">
    <cfRule type="dataBar" priority="2050">
      <dataBar>
        <cfvo type="min"/>
        <cfvo type="max"/>
        <color rgb="FF63C384"/>
      </dataBar>
      <extLst>
        <ext xmlns:x14="http://schemas.microsoft.com/office/spreadsheetml/2009/9/main" uri="{B025F937-C7B1-47D3-B67F-A62EFF666E3E}">
          <x14:id>{2710011E-8CF5-4EC8-BA2D-2522EB37C3BA}</x14:id>
        </ext>
      </extLst>
    </cfRule>
  </conditionalFormatting>
  <conditionalFormatting sqref="J813">
    <cfRule type="cellIs" dxfId="7675" priority="2049" operator="equal">
      <formula>"ja"</formula>
    </cfRule>
  </conditionalFormatting>
  <conditionalFormatting sqref="T813">
    <cfRule type="expression" dxfId="7674" priority="2048">
      <formula>AND(AND($W813&lt;TODAY(),$W813&lt;&gt;""),$X813="")</formula>
    </cfRule>
  </conditionalFormatting>
  <conditionalFormatting sqref="Z813">
    <cfRule type="dataBar" priority="2047">
      <dataBar>
        <cfvo type="min"/>
        <cfvo type="max"/>
        <color rgb="FF63C384"/>
      </dataBar>
      <extLst>
        <ext xmlns:x14="http://schemas.microsoft.com/office/spreadsheetml/2009/9/main" uri="{B025F937-C7B1-47D3-B67F-A62EFF666E3E}">
          <x14:id>{654D6AE9-5319-4C55-BF5B-AE2DBCAF0ACF}</x14:id>
        </ext>
      </extLst>
    </cfRule>
  </conditionalFormatting>
  <conditionalFormatting sqref="Z813">
    <cfRule type="dataBar" priority="2046">
      <dataBar>
        <cfvo type="min"/>
        <cfvo type="max"/>
        <color rgb="FF63C384"/>
      </dataBar>
      <extLst>
        <ext xmlns:x14="http://schemas.microsoft.com/office/spreadsheetml/2009/9/main" uri="{B025F937-C7B1-47D3-B67F-A62EFF666E3E}">
          <x14:id>{A0A6B3D7-8A29-4744-97C1-9302A684BFED}</x14:id>
        </ext>
      </extLst>
    </cfRule>
  </conditionalFormatting>
  <conditionalFormatting sqref="C813">
    <cfRule type="containsText" dxfId="7673" priority="2044" operator="containsText" text="Einnahmen">
      <formula>NOT(ISERROR(SEARCH("Einnahmen",C813)))</formula>
    </cfRule>
    <cfRule type="containsText" dxfId="7672" priority="2045" operator="containsText" text="Ausgaben">
      <formula>NOT(ISERROR(SEARCH("Ausgaben",C813)))</formula>
    </cfRule>
  </conditionalFormatting>
  <conditionalFormatting sqref="T814">
    <cfRule type="expression" dxfId="7671" priority="2043">
      <formula>AND(AND($W814&lt;TODAY(),$W814&lt;&gt;""),$X814="")</formula>
    </cfRule>
  </conditionalFormatting>
  <conditionalFormatting sqref="Z814">
    <cfRule type="dataBar" priority="2042">
      <dataBar>
        <cfvo type="min"/>
        <cfvo type="max"/>
        <color rgb="FF63C384"/>
      </dataBar>
      <extLst>
        <ext xmlns:x14="http://schemas.microsoft.com/office/spreadsheetml/2009/9/main" uri="{B025F937-C7B1-47D3-B67F-A62EFF666E3E}">
          <x14:id>{DBAA7E3E-26D5-4C03-9CD6-063CB88B41A3}</x14:id>
        </ext>
      </extLst>
    </cfRule>
  </conditionalFormatting>
  <conditionalFormatting sqref="Z814">
    <cfRule type="dataBar" priority="2041">
      <dataBar>
        <cfvo type="min"/>
        <cfvo type="max"/>
        <color rgb="FF63C384"/>
      </dataBar>
      <extLst>
        <ext xmlns:x14="http://schemas.microsoft.com/office/spreadsheetml/2009/9/main" uri="{B025F937-C7B1-47D3-B67F-A62EFF666E3E}">
          <x14:id>{2CE45685-0605-498D-9BF0-E82A032886CD}</x14:id>
        </ext>
      </extLst>
    </cfRule>
  </conditionalFormatting>
  <conditionalFormatting sqref="J814">
    <cfRule type="cellIs" dxfId="7670" priority="2040" operator="equal">
      <formula>"ja"</formula>
    </cfRule>
  </conditionalFormatting>
  <conditionalFormatting sqref="C814">
    <cfRule type="containsText" dxfId="7669" priority="2038" operator="containsText" text="Einnahmen">
      <formula>NOT(ISERROR(SEARCH("Einnahmen",C814)))</formula>
    </cfRule>
    <cfRule type="containsText" dxfId="7668" priority="2039" operator="containsText" text="Ausgaben">
      <formula>NOT(ISERROR(SEARCH("Ausgaben",C814)))</formula>
    </cfRule>
  </conditionalFormatting>
  <conditionalFormatting sqref="J815">
    <cfRule type="cellIs" dxfId="7667" priority="2037" operator="equal">
      <formula>"ja"</formula>
    </cfRule>
  </conditionalFormatting>
  <conditionalFormatting sqref="C815">
    <cfRule type="containsText" dxfId="7666" priority="2035" operator="containsText" text="Einnahmen">
      <formula>NOT(ISERROR(SEARCH("Einnahmen",C815)))</formula>
    </cfRule>
    <cfRule type="containsText" dxfId="7665" priority="2036" operator="containsText" text="Ausgaben">
      <formula>NOT(ISERROR(SEARCH("Ausgaben",C815)))</formula>
    </cfRule>
  </conditionalFormatting>
  <conditionalFormatting sqref="T815">
    <cfRule type="expression" dxfId="7664" priority="2034">
      <formula>AND(AND($W815&lt;TODAY(),$W815&lt;&gt;""),$X815="")</formula>
    </cfRule>
  </conditionalFormatting>
  <conditionalFormatting sqref="Z815">
    <cfRule type="dataBar" priority="2033">
      <dataBar>
        <cfvo type="min"/>
        <cfvo type="max"/>
        <color rgb="FF63C384"/>
      </dataBar>
      <extLst>
        <ext xmlns:x14="http://schemas.microsoft.com/office/spreadsheetml/2009/9/main" uri="{B025F937-C7B1-47D3-B67F-A62EFF666E3E}">
          <x14:id>{272D1C46-B014-4509-946E-51BF66FB0A3C}</x14:id>
        </ext>
      </extLst>
    </cfRule>
  </conditionalFormatting>
  <conditionalFormatting sqref="Z815">
    <cfRule type="dataBar" priority="2032">
      <dataBar>
        <cfvo type="min"/>
        <cfvo type="max"/>
        <color rgb="FF63C384"/>
      </dataBar>
      <extLst>
        <ext xmlns:x14="http://schemas.microsoft.com/office/spreadsheetml/2009/9/main" uri="{B025F937-C7B1-47D3-B67F-A62EFF666E3E}">
          <x14:id>{DD7B457F-202C-47B1-A000-D1813C70BF6C}</x14:id>
        </ext>
      </extLst>
    </cfRule>
  </conditionalFormatting>
  <conditionalFormatting sqref="C816">
    <cfRule type="containsText" dxfId="7663" priority="2030" operator="containsText" text="Einnahmen">
      <formula>NOT(ISERROR(SEARCH("Einnahmen",C816)))</formula>
    </cfRule>
    <cfRule type="containsText" dxfId="7662" priority="2031" operator="containsText" text="Ausgaben">
      <formula>NOT(ISERROR(SEARCH("Ausgaben",C816)))</formula>
    </cfRule>
  </conditionalFormatting>
  <conditionalFormatting sqref="J816">
    <cfRule type="cellIs" dxfId="7661" priority="2029" operator="equal">
      <formula>"ja"</formula>
    </cfRule>
  </conditionalFormatting>
  <conditionalFormatting sqref="T816:T817">
    <cfRule type="expression" dxfId="7660" priority="2028">
      <formula>AND(AND($W816&lt;TODAY(),$W816&lt;&gt;""),$X816="")</formula>
    </cfRule>
  </conditionalFormatting>
  <conditionalFormatting sqref="Z816:Z817">
    <cfRule type="dataBar" priority="2027">
      <dataBar>
        <cfvo type="min"/>
        <cfvo type="max"/>
        <color rgb="FF63C384"/>
      </dataBar>
      <extLst>
        <ext xmlns:x14="http://schemas.microsoft.com/office/spreadsheetml/2009/9/main" uri="{B025F937-C7B1-47D3-B67F-A62EFF666E3E}">
          <x14:id>{D6982FFD-1684-4E23-B1AF-7637FEDD4297}</x14:id>
        </ext>
      </extLst>
    </cfRule>
  </conditionalFormatting>
  <conditionalFormatting sqref="Z816:Z817">
    <cfRule type="dataBar" priority="2026">
      <dataBar>
        <cfvo type="min"/>
        <cfvo type="max"/>
        <color rgb="FF63C384"/>
      </dataBar>
      <extLst>
        <ext xmlns:x14="http://schemas.microsoft.com/office/spreadsheetml/2009/9/main" uri="{B025F937-C7B1-47D3-B67F-A62EFF666E3E}">
          <x14:id>{62200C3E-43EA-4EBC-8C74-B884D2AC6DEE}</x14:id>
        </ext>
      </extLst>
    </cfRule>
  </conditionalFormatting>
  <conditionalFormatting sqref="C818">
    <cfRule type="containsText" dxfId="7659" priority="2024" operator="containsText" text="Einnahmen">
      <formula>NOT(ISERROR(SEARCH("Einnahmen",C818)))</formula>
    </cfRule>
    <cfRule type="containsText" dxfId="7658" priority="2025" operator="containsText" text="Ausgaben">
      <formula>NOT(ISERROR(SEARCH("Ausgaben",C818)))</formula>
    </cfRule>
  </conditionalFormatting>
  <conditionalFormatting sqref="J818">
    <cfRule type="cellIs" dxfId="7657" priority="2023" operator="equal">
      <formula>"ja"</formula>
    </cfRule>
  </conditionalFormatting>
  <conditionalFormatting sqref="T818">
    <cfRule type="expression" dxfId="7656" priority="2022">
      <formula>AND(AND($W818&lt;TODAY(),$W818&lt;&gt;""),$X818="")</formula>
    </cfRule>
  </conditionalFormatting>
  <conditionalFormatting sqref="Z818">
    <cfRule type="dataBar" priority="2021">
      <dataBar>
        <cfvo type="min"/>
        <cfvo type="max"/>
        <color rgb="FF63C384"/>
      </dataBar>
      <extLst>
        <ext xmlns:x14="http://schemas.microsoft.com/office/spreadsheetml/2009/9/main" uri="{B025F937-C7B1-47D3-B67F-A62EFF666E3E}">
          <x14:id>{311896A1-4F06-4BE0-AB75-8F6B1C1D1C69}</x14:id>
        </ext>
      </extLst>
    </cfRule>
  </conditionalFormatting>
  <conditionalFormatting sqref="Z818">
    <cfRule type="dataBar" priority="2020">
      <dataBar>
        <cfvo type="min"/>
        <cfvo type="max"/>
        <color rgb="FF63C384"/>
      </dataBar>
      <extLst>
        <ext xmlns:x14="http://schemas.microsoft.com/office/spreadsheetml/2009/9/main" uri="{B025F937-C7B1-47D3-B67F-A62EFF666E3E}">
          <x14:id>{04BD0B6F-7EC9-4974-A7DC-CB87F2005B28}</x14:id>
        </ext>
      </extLst>
    </cfRule>
  </conditionalFormatting>
  <conditionalFormatting sqref="T818">
    <cfRule type="expression" dxfId="7655" priority="2019">
      <formula>AND(AND($W818&lt;TODAY(),$W818&lt;&gt;""),$X818="")</formula>
    </cfRule>
  </conditionalFormatting>
  <conditionalFormatting sqref="J818">
    <cfRule type="cellIs" dxfId="7654" priority="2018" operator="equal">
      <formula>"ja"</formula>
    </cfRule>
  </conditionalFormatting>
  <conditionalFormatting sqref="Z818">
    <cfRule type="dataBar" priority="2017">
      <dataBar>
        <cfvo type="min"/>
        <cfvo type="max"/>
        <color rgb="FF63C384"/>
      </dataBar>
      <extLst>
        <ext xmlns:x14="http://schemas.microsoft.com/office/spreadsheetml/2009/9/main" uri="{B025F937-C7B1-47D3-B67F-A62EFF666E3E}">
          <x14:id>{66E6357C-C4F1-45F4-82CE-BECC8794BC56}</x14:id>
        </ext>
      </extLst>
    </cfRule>
  </conditionalFormatting>
  <conditionalFormatting sqref="Z818">
    <cfRule type="dataBar" priority="2016">
      <dataBar>
        <cfvo type="min"/>
        <cfvo type="max"/>
        <color rgb="FF63C384"/>
      </dataBar>
      <extLst>
        <ext xmlns:x14="http://schemas.microsoft.com/office/spreadsheetml/2009/9/main" uri="{B025F937-C7B1-47D3-B67F-A62EFF666E3E}">
          <x14:id>{5ED0950E-E629-414F-8A84-1704D5659504}</x14:id>
        </ext>
      </extLst>
    </cfRule>
  </conditionalFormatting>
  <conditionalFormatting sqref="C819">
    <cfRule type="containsText" dxfId="7653" priority="2014" operator="containsText" text="Einnahmen">
      <formula>NOT(ISERROR(SEARCH("Einnahmen",C819)))</formula>
    </cfRule>
    <cfRule type="containsText" dxfId="7652" priority="2015" operator="containsText" text="Ausgaben">
      <formula>NOT(ISERROR(SEARCH("Ausgaben",C819)))</formula>
    </cfRule>
  </conditionalFormatting>
  <conditionalFormatting sqref="J819">
    <cfRule type="cellIs" dxfId="7651" priority="2013" operator="equal">
      <formula>"ja"</formula>
    </cfRule>
  </conditionalFormatting>
  <conditionalFormatting sqref="T819">
    <cfRule type="expression" dxfId="7650" priority="2012">
      <formula>AND(AND($W819&lt;TODAY(),$W819&lt;&gt;""),$X819="")</formula>
    </cfRule>
  </conditionalFormatting>
  <conditionalFormatting sqref="Z819">
    <cfRule type="dataBar" priority="2011">
      <dataBar>
        <cfvo type="min"/>
        <cfvo type="max"/>
        <color rgb="FF63C384"/>
      </dataBar>
      <extLst>
        <ext xmlns:x14="http://schemas.microsoft.com/office/spreadsheetml/2009/9/main" uri="{B025F937-C7B1-47D3-B67F-A62EFF666E3E}">
          <x14:id>{6AB5C624-8DD9-4D4D-89AD-E7B09477347A}</x14:id>
        </ext>
      </extLst>
    </cfRule>
  </conditionalFormatting>
  <conditionalFormatting sqref="Z819">
    <cfRule type="dataBar" priority="2010">
      <dataBar>
        <cfvo type="min"/>
        <cfvo type="max"/>
        <color rgb="FF63C384"/>
      </dataBar>
      <extLst>
        <ext xmlns:x14="http://schemas.microsoft.com/office/spreadsheetml/2009/9/main" uri="{B025F937-C7B1-47D3-B67F-A62EFF666E3E}">
          <x14:id>{C6B215D6-B765-4311-9E30-35F4907EEB5D}</x14:id>
        </ext>
      </extLst>
    </cfRule>
  </conditionalFormatting>
  <conditionalFormatting sqref="T819">
    <cfRule type="expression" dxfId="7649" priority="2009">
      <formula>AND(AND($W819&lt;TODAY(),$W819&lt;&gt;""),$X819="")</formula>
    </cfRule>
  </conditionalFormatting>
  <conditionalFormatting sqref="Z819">
    <cfRule type="dataBar" priority="2008">
      <dataBar>
        <cfvo type="min"/>
        <cfvo type="max"/>
        <color rgb="FF63C384"/>
      </dataBar>
      <extLst>
        <ext xmlns:x14="http://schemas.microsoft.com/office/spreadsheetml/2009/9/main" uri="{B025F937-C7B1-47D3-B67F-A62EFF666E3E}">
          <x14:id>{534E6380-25AF-48A6-AC80-3141F2F4D35E}</x14:id>
        </ext>
      </extLst>
    </cfRule>
  </conditionalFormatting>
  <conditionalFormatting sqref="Z819">
    <cfRule type="dataBar" priority="2007">
      <dataBar>
        <cfvo type="min"/>
        <cfvo type="max"/>
        <color rgb="FF63C384"/>
      </dataBar>
      <extLst>
        <ext xmlns:x14="http://schemas.microsoft.com/office/spreadsheetml/2009/9/main" uri="{B025F937-C7B1-47D3-B67F-A62EFF666E3E}">
          <x14:id>{E3903CAC-8AF2-4796-ABA5-8E34250E0543}</x14:id>
        </ext>
      </extLst>
    </cfRule>
  </conditionalFormatting>
  <conditionalFormatting sqref="J819">
    <cfRule type="cellIs" dxfId="7648" priority="2006" operator="equal">
      <formula>"ja"</formula>
    </cfRule>
  </conditionalFormatting>
  <conditionalFormatting sqref="C820">
    <cfRule type="containsText" dxfId="7647" priority="2004" operator="containsText" text="Einnahmen">
      <formula>NOT(ISERROR(SEARCH("Einnahmen",C820)))</formula>
    </cfRule>
    <cfRule type="containsText" dxfId="7646" priority="2005" operator="containsText" text="Ausgaben">
      <formula>NOT(ISERROR(SEARCH("Ausgaben",C820)))</formula>
    </cfRule>
  </conditionalFormatting>
  <conditionalFormatting sqref="J820">
    <cfRule type="cellIs" dxfId="7645" priority="2003" operator="equal">
      <formula>"ja"</formula>
    </cfRule>
  </conditionalFormatting>
  <conditionalFormatting sqref="J820">
    <cfRule type="cellIs" dxfId="7644" priority="1991" operator="equal">
      <formula>"ja"</formula>
    </cfRule>
  </conditionalFormatting>
  <conditionalFormatting sqref="T820">
    <cfRule type="expression" dxfId="7643" priority="1990">
      <formula>AND(AND($W820&lt;TODAY(),$W820&lt;&gt;""),$X820="")</formula>
    </cfRule>
  </conditionalFormatting>
  <conditionalFormatting sqref="T820">
    <cfRule type="expression" dxfId="7642" priority="2002">
      <formula>AND(AND($W820&lt;TODAY(),$W820&lt;&gt;""),$X820="")</formula>
    </cfRule>
  </conditionalFormatting>
  <conditionalFormatting sqref="Z820">
    <cfRule type="dataBar" priority="2001">
      <dataBar>
        <cfvo type="min"/>
        <cfvo type="max"/>
        <color rgb="FF63C384"/>
      </dataBar>
      <extLst>
        <ext xmlns:x14="http://schemas.microsoft.com/office/spreadsheetml/2009/9/main" uri="{B025F937-C7B1-47D3-B67F-A62EFF666E3E}">
          <x14:id>{CB97F2AF-AFFD-4440-A076-040206118249}</x14:id>
        </ext>
      </extLst>
    </cfRule>
  </conditionalFormatting>
  <conditionalFormatting sqref="Z820">
    <cfRule type="dataBar" priority="2000">
      <dataBar>
        <cfvo type="min"/>
        <cfvo type="max"/>
        <color rgb="FF63C384"/>
      </dataBar>
      <extLst>
        <ext xmlns:x14="http://schemas.microsoft.com/office/spreadsheetml/2009/9/main" uri="{B025F937-C7B1-47D3-B67F-A62EFF666E3E}">
          <x14:id>{3CE26E1A-D17D-4F19-A345-0926A0306711}</x14:id>
        </ext>
      </extLst>
    </cfRule>
  </conditionalFormatting>
  <conditionalFormatting sqref="J820">
    <cfRule type="cellIs" dxfId="7641" priority="1999" operator="equal">
      <formula>"ja"</formula>
    </cfRule>
  </conditionalFormatting>
  <conditionalFormatting sqref="T820">
    <cfRule type="expression" dxfId="7640" priority="1998">
      <formula>AND(AND($W820&lt;TODAY(),$W820&lt;&gt;""),$X820="")</formula>
    </cfRule>
  </conditionalFormatting>
  <conditionalFormatting sqref="Z820">
    <cfRule type="dataBar" priority="1997">
      <dataBar>
        <cfvo type="min"/>
        <cfvo type="max"/>
        <color rgb="FF63C384"/>
      </dataBar>
      <extLst>
        <ext xmlns:x14="http://schemas.microsoft.com/office/spreadsheetml/2009/9/main" uri="{B025F937-C7B1-47D3-B67F-A62EFF666E3E}">
          <x14:id>{9B144AB3-0B9B-42A2-893C-6D79B4384B88}</x14:id>
        </ext>
      </extLst>
    </cfRule>
  </conditionalFormatting>
  <conditionalFormatting sqref="Z820">
    <cfRule type="dataBar" priority="1996">
      <dataBar>
        <cfvo type="min"/>
        <cfvo type="max"/>
        <color rgb="FF63C384"/>
      </dataBar>
      <extLst>
        <ext xmlns:x14="http://schemas.microsoft.com/office/spreadsheetml/2009/9/main" uri="{B025F937-C7B1-47D3-B67F-A62EFF666E3E}">
          <x14:id>{7B56F861-8D72-4794-BC44-B63C88A8336F}</x14:id>
        </ext>
      </extLst>
    </cfRule>
  </conditionalFormatting>
  <conditionalFormatting sqref="J820">
    <cfRule type="cellIs" dxfId="7639" priority="1995" operator="equal">
      <formula>"ja"</formula>
    </cfRule>
  </conditionalFormatting>
  <conditionalFormatting sqref="T820">
    <cfRule type="expression" dxfId="7638" priority="1994">
      <formula>AND(AND($W820&lt;TODAY(),$W820&lt;&gt;""),$X820="")</formula>
    </cfRule>
  </conditionalFormatting>
  <conditionalFormatting sqref="Z820">
    <cfRule type="dataBar" priority="1993">
      <dataBar>
        <cfvo type="min"/>
        <cfvo type="max"/>
        <color rgb="FF63C384"/>
      </dataBar>
      <extLst>
        <ext xmlns:x14="http://schemas.microsoft.com/office/spreadsheetml/2009/9/main" uri="{B025F937-C7B1-47D3-B67F-A62EFF666E3E}">
          <x14:id>{37C21A52-F827-406B-BF9B-A1CA9D04A4CA}</x14:id>
        </ext>
      </extLst>
    </cfRule>
  </conditionalFormatting>
  <conditionalFormatting sqref="Z820">
    <cfRule type="dataBar" priority="1992">
      <dataBar>
        <cfvo type="min"/>
        <cfvo type="max"/>
        <color rgb="FF63C384"/>
      </dataBar>
      <extLst>
        <ext xmlns:x14="http://schemas.microsoft.com/office/spreadsheetml/2009/9/main" uri="{B025F937-C7B1-47D3-B67F-A62EFF666E3E}">
          <x14:id>{C293426B-049E-485A-8840-7FFF8DDBED6D}</x14:id>
        </ext>
      </extLst>
    </cfRule>
  </conditionalFormatting>
  <conditionalFormatting sqref="Z820">
    <cfRule type="dataBar" priority="1989">
      <dataBar>
        <cfvo type="min"/>
        <cfvo type="max"/>
        <color rgb="FF63C384"/>
      </dataBar>
      <extLst>
        <ext xmlns:x14="http://schemas.microsoft.com/office/spreadsheetml/2009/9/main" uri="{B025F937-C7B1-47D3-B67F-A62EFF666E3E}">
          <x14:id>{19F7B12D-7DA8-4DDA-ACD6-025EA64C8FF9}</x14:id>
        </ext>
      </extLst>
    </cfRule>
  </conditionalFormatting>
  <conditionalFormatting sqref="Z820">
    <cfRule type="dataBar" priority="1988">
      <dataBar>
        <cfvo type="min"/>
        <cfvo type="max"/>
        <color rgb="FF63C384"/>
      </dataBar>
      <extLst>
        <ext xmlns:x14="http://schemas.microsoft.com/office/spreadsheetml/2009/9/main" uri="{B025F937-C7B1-47D3-B67F-A62EFF666E3E}">
          <x14:id>{5B0D807A-4733-4A1C-AEC6-7A2F90399C63}</x14:id>
        </ext>
      </extLst>
    </cfRule>
  </conditionalFormatting>
  <conditionalFormatting sqref="T821">
    <cfRule type="expression" dxfId="7637" priority="1985">
      <formula>AND(AND($W821&lt;TODAY(),$W821&lt;&gt;""),$X821="")</formula>
    </cfRule>
  </conditionalFormatting>
  <conditionalFormatting sqref="Z821">
    <cfRule type="dataBar" priority="1984">
      <dataBar>
        <cfvo type="min"/>
        <cfvo type="max"/>
        <color rgb="FF63C384"/>
      </dataBar>
      <extLst>
        <ext xmlns:x14="http://schemas.microsoft.com/office/spreadsheetml/2009/9/main" uri="{B025F937-C7B1-47D3-B67F-A62EFF666E3E}">
          <x14:id>{597A387E-DA21-4077-845E-CE4FFABF805F}</x14:id>
        </ext>
      </extLst>
    </cfRule>
  </conditionalFormatting>
  <conditionalFormatting sqref="Z821">
    <cfRule type="dataBar" priority="1983">
      <dataBar>
        <cfvo type="min"/>
        <cfvo type="max"/>
        <color rgb="FF63C384"/>
      </dataBar>
      <extLst>
        <ext xmlns:x14="http://schemas.microsoft.com/office/spreadsheetml/2009/9/main" uri="{B025F937-C7B1-47D3-B67F-A62EFF666E3E}">
          <x14:id>{9F57A5F0-651B-4F31-9C5F-FBFE8806D6AB}</x14:id>
        </ext>
      </extLst>
    </cfRule>
  </conditionalFormatting>
  <conditionalFormatting sqref="J822">
    <cfRule type="cellIs" dxfId="7636" priority="1982" operator="equal">
      <formula>"ja"</formula>
    </cfRule>
  </conditionalFormatting>
  <conditionalFormatting sqref="C822">
    <cfRule type="containsText" dxfId="7635" priority="1980" operator="containsText" text="Einnahmen">
      <formula>NOT(ISERROR(SEARCH("Einnahmen",C822)))</formula>
    </cfRule>
    <cfRule type="containsText" dxfId="7634" priority="1981" operator="containsText" text="Ausgaben">
      <formula>NOT(ISERROR(SEARCH("Ausgaben",C822)))</formula>
    </cfRule>
  </conditionalFormatting>
  <conditionalFormatting sqref="T822">
    <cfRule type="expression" dxfId="7633" priority="1979">
      <formula>AND(AND($W822&lt;TODAY(),$W822&lt;&gt;""),$X822="")</formula>
    </cfRule>
  </conditionalFormatting>
  <conditionalFormatting sqref="Z822">
    <cfRule type="dataBar" priority="1978">
      <dataBar>
        <cfvo type="min"/>
        <cfvo type="max"/>
        <color rgb="FF63C384"/>
      </dataBar>
      <extLst>
        <ext xmlns:x14="http://schemas.microsoft.com/office/spreadsheetml/2009/9/main" uri="{B025F937-C7B1-47D3-B67F-A62EFF666E3E}">
          <x14:id>{312FF817-B8D1-47A3-83C0-8B6B8C83C06F}</x14:id>
        </ext>
      </extLst>
    </cfRule>
  </conditionalFormatting>
  <conditionalFormatting sqref="Z822">
    <cfRule type="dataBar" priority="1977">
      <dataBar>
        <cfvo type="min"/>
        <cfvo type="max"/>
        <color rgb="FF63C384"/>
      </dataBar>
      <extLst>
        <ext xmlns:x14="http://schemas.microsoft.com/office/spreadsheetml/2009/9/main" uri="{B025F937-C7B1-47D3-B67F-A62EFF666E3E}">
          <x14:id>{2DB97329-8EB3-48B7-A532-C1121D5FF94C}</x14:id>
        </ext>
      </extLst>
    </cfRule>
  </conditionalFormatting>
  <conditionalFormatting sqref="J823">
    <cfRule type="cellIs" dxfId="7632" priority="1976" operator="equal">
      <formula>"ja"</formula>
    </cfRule>
  </conditionalFormatting>
  <conditionalFormatting sqref="C823">
    <cfRule type="containsText" dxfId="7631" priority="1974" operator="containsText" text="Einnahmen">
      <formula>NOT(ISERROR(SEARCH("Einnahmen",C823)))</formula>
    </cfRule>
    <cfRule type="containsText" dxfId="7630" priority="1975" operator="containsText" text="Ausgaben">
      <formula>NOT(ISERROR(SEARCH("Ausgaben",C823)))</formula>
    </cfRule>
  </conditionalFormatting>
  <conditionalFormatting sqref="T823">
    <cfRule type="expression" dxfId="7629" priority="1973">
      <formula>AND(AND($W823&lt;TODAY(),$W823&lt;&gt;""),$X823="")</formula>
    </cfRule>
  </conditionalFormatting>
  <conditionalFormatting sqref="Z823">
    <cfRule type="dataBar" priority="1972">
      <dataBar>
        <cfvo type="min"/>
        <cfvo type="max"/>
        <color rgb="FF63C384"/>
      </dataBar>
      <extLst>
        <ext xmlns:x14="http://schemas.microsoft.com/office/spreadsheetml/2009/9/main" uri="{B025F937-C7B1-47D3-B67F-A62EFF666E3E}">
          <x14:id>{D9C4706D-A24A-4C96-84F7-1C89C3D6F1F1}</x14:id>
        </ext>
      </extLst>
    </cfRule>
  </conditionalFormatting>
  <conditionalFormatting sqref="Z823">
    <cfRule type="dataBar" priority="1971">
      <dataBar>
        <cfvo type="min"/>
        <cfvo type="max"/>
        <color rgb="FF63C384"/>
      </dataBar>
      <extLst>
        <ext xmlns:x14="http://schemas.microsoft.com/office/spreadsheetml/2009/9/main" uri="{B025F937-C7B1-47D3-B67F-A62EFF666E3E}">
          <x14:id>{3D0D3776-24FD-4A7D-96C8-12636503031E}</x14:id>
        </ext>
      </extLst>
    </cfRule>
  </conditionalFormatting>
  <conditionalFormatting sqref="C823">
    <cfRule type="containsText" dxfId="7628" priority="1969" operator="containsText" text="Einnahmen">
      <formula>NOT(ISERROR(SEARCH("Einnahmen",C823)))</formula>
    </cfRule>
    <cfRule type="containsText" dxfId="7627" priority="1970" operator="containsText" text="Ausgaben">
      <formula>NOT(ISERROR(SEARCH("Ausgaben",C823)))</formula>
    </cfRule>
  </conditionalFormatting>
  <conditionalFormatting sqref="T823">
    <cfRule type="expression" dxfId="7626" priority="1968">
      <formula>AND(AND($W823&lt;TODAY(),$W823&lt;&gt;""),$X823="")</formula>
    </cfRule>
  </conditionalFormatting>
  <conditionalFormatting sqref="J823">
    <cfRule type="cellIs" dxfId="7625" priority="1967" operator="equal">
      <formula>"ja"</formula>
    </cfRule>
  </conditionalFormatting>
  <conditionalFormatting sqref="Z823">
    <cfRule type="dataBar" priority="1966">
      <dataBar>
        <cfvo type="min"/>
        <cfvo type="max"/>
        <color rgb="FF63C384"/>
      </dataBar>
      <extLst>
        <ext xmlns:x14="http://schemas.microsoft.com/office/spreadsheetml/2009/9/main" uri="{B025F937-C7B1-47D3-B67F-A62EFF666E3E}">
          <x14:id>{E1A068AE-8C4B-4F16-B7AE-EFE3AF63B698}</x14:id>
        </ext>
      </extLst>
    </cfRule>
  </conditionalFormatting>
  <conditionalFormatting sqref="Z823">
    <cfRule type="dataBar" priority="1965">
      <dataBar>
        <cfvo type="min"/>
        <cfvo type="max"/>
        <color rgb="FF63C384"/>
      </dataBar>
      <extLst>
        <ext xmlns:x14="http://schemas.microsoft.com/office/spreadsheetml/2009/9/main" uri="{B025F937-C7B1-47D3-B67F-A62EFF666E3E}">
          <x14:id>{83042432-75B1-43E3-AC83-2C11C0069CEF}</x14:id>
        </ext>
      </extLst>
    </cfRule>
  </conditionalFormatting>
  <conditionalFormatting sqref="J824">
    <cfRule type="cellIs" dxfId="7624" priority="1964" operator="equal">
      <formula>"ja"</formula>
    </cfRule>
  </conditionalFormatting>
  <conditionalFormatting sqref="C824">
    <cfRule type="containsText" dxfId="7623" priority="1962" operator="containsText" text="Einnahmen">
      <formula>NOT(ISERROR(SEARCH("Einnahmen",C824)))</formula>
    </cfRule>
    <cfRule type="containsText" dxfId="7622" priority="1963" operator="containsText" text="Ausgaben">
      <formula>NOT(ISERROR(SEARCH("Ausgaben",C824)))</formula>
    </cfRule>
  </conditionalFormatting>
  <conditionalFormatting sqref="T824">
    <cfRule type="expression" dxfId="7621" priority="1961">
      <formula>AND(AND($W824&lt;TODAY(),$W824&lt;&gt;""),$X824="")</formula>
    </cfRule>
  </conditionalFormatting>
  <conditionalFormatting sqref="Z824">
    <cfRule type="dataBar" priority="1960">
      <dataBar>
        <cfvo type="min"/>
        <cfvo type="max"/>
        <color rgb="FF63C384"/>
      </dataBar>
      <extLst>
        <ext xmlns:x14="http://schemas.microsoft.com/office/spreadsheetml/2009/9/main" uri="{B025F937-C7B1-47D3-B67F-A62EFF666E3E}">
          <x14:id>{F3741370-3109-46FF-96E4-E4C70D6BF8CE}</x14:id>
        </ext>
      </extLst>
    </cfRule>
  </conditionalFormatting>
  <conditionalFormatting sqref="Z824">
    <cfRule type="dataBar" priority="1959">
      <dataBar>
        <cfvo type="min"/>
        <cfvo type="max"/>
        <color rgb="FF63C384"/>
      </dataBar>
      <extLst>
        <ext xmlns:x14="http://schemas.microsoft.com/office/spreadsheetml/2009/9/main" uri="{B025F937-C7B1-47D3-B67F-A62EFF666E3E}">
          <x14:id>{A20D23C3-08DF-4895-A1A1-823D865BA849}</x14:id>
        </ext>
      </extLst>
    </cfRule>
  </conditionalFormatting>
  <conditionalFormatting sqref="J825">
    <cfRule type="cellIs" dxfId="7620" priority="1958" operator="equal">
      <formula>"ja"</formula>
    </cfRule>
  </conditionalFormatting>
  <conditionalFormatting sqref="C825">
    <cfRule type="containsText" dxfId="7619" priority="1956" operator="containsText" text="Einnahmen">
      <formula>NOT(ISERROR(SEARCH("Einnahmen",C825)))</formula>
    </cfRule>
    <cfRule type="containsText" dxfId="7618" priority="1957" operator="containsText" text="Ausgaben">
      <formula>NOT(ISERROR(SEARCH("Ausgaben",C825)))</formula>
    </cfRule>
  </conditionalFormatting>
  <conditionalFormatting sqref="T825">
    <cfRule type="expression" dxfId="7617" priority="1955">
      <formula>AND(AND($W825&lt;TODAY(),$W825&lt;&gt;""),$X825="")</formula>
    </cfRule>
  </conditionalFormatting>
  <conditionalFormatting sqref="Z825">
    <cfRule type="dataBar" priority="1954">
      <dataBar>
        <cfvo type="min"/>
        <cfvo type="max"/>
        <color rgb="FF63C384"/>
      </dataBar>
      <extLst>
        <ext xmlns:x14="http://schemas.microsoft.com/office/spreadsheetml/2009/9/main" uri="{B025F937-C7B1-47D3-B67F-A62EFF666E3E}">
          <x14:id>{5FD8BA66-99A6-433A-9F71-463D57DEE823}</x14:id>
        </ext>
      </extLst>
    </cfRule>
  </conditionalFormatting>
  <conditionalFormatting sqref="Z825">
    <cfRule type="dataBar" priority="1953">
      <dataBar>
        <cfvo type="min"/>
        <cfvo type="max"/>
        <color rgb="FF63C384"/>
      </dataBar>
      <extLst>
        <ext xmlns:x14="http://schemas.microsoft.com/office/spreadsheetml/2009/9/main" uri="{B025F937-C7B1-47D3-B67F-A62EFF666E3E}">
          <x14:id>{1EE5AFD8-BA97-4B5F-884E-6BAA90BC2180}</x14:id>
        </ext>
      </extLst>
    </cfRule>
  </conditionalFormatting>
  <conditionalFormatting sqref="J825">
    <cfRule type="cellIs" dxfId="7616" priority="1952" operator="equal">
      <formula>"ja"</formula>
    </cfRule>
  </conditionalFormatting>
  <conditionalFormatting sqref="T825">
    <cfRule type="expression" dxfId="7615" priority="1951">
      <formula>AND(AND($W825&lt;TODAY(),$W825&lt;&gt;""),$X825="")</formula>
    </cfRule>
  </conditionalFormatting>
  <conditionalFormatting sqref="Z825">
    <cfRule type="dataBar" priority="1950">
      <dataBar>
        <cfvo type="min"/>
        <cfvo type="max"/>
        <color rgb="FF63C384"/>
      </dataBar>
      <extLst>
        <ext xmlns:x14="http://schemas.microsoft.com/office/spreadsheetml/2009/9/main" uri="{B025F937-C7B1-47D3-B67F-A62EFF666E3E}">
          <x14:id>{5ADB650A-1453-4DC9-BE25-39F52774D8E6}</x14:id>
        </ext>
      </extLst>
    </cfRule>
  </conditionalFormatting>
  <conditionalFormatting sqref="Z825">
    <cfRule type="dataBar" priority="1949">
      <dataBar>
        <cfvo type="min"/>
        <cfvo type="max"/>
        <color rgb="FF63C384"/>
      </dataBar>
      <extLst>
        <ext xmlns:x14="http://schemas.microsoft.com/office/spreadsheetml/2009/9/main" uri="{B025F937-C7B1-47D3-B67F-A62EFF666E3E}">
          <x14:id>{E3DB642F-3799-4DB6-92EE-27BF0C6ED8F3}</x14:id>
        </ext>
      </extLst>
    </cfRule>
  </conditionalFormatting>
  <conditionalFormatting sqref="J825">
    <cfRule type="cellIs" dxfId="7614" priority="1948" operator="equal">
      <formula>"ja"</formula>
    </cfRule>
  </conditionalFormatting>
  <conditionalFormatting sqref="C825">
    <cfRule type="containsText" dxfId="7613" priority="1946" operator="containsText" text="Einnahmen">
      <formula>NOT(ISERROR(SEARCH("Einnahmen",C825)))</formula>
    </cfRule>
    <cfRule type="containsText" dxfId="7612" priority="1947" operator="containsText" text="Ausgaben">
      <formula>NOT(ISERROR(SEARCH("Ausgaben",C825)))</formula>
    </cfRule>
  </conditionalFormatting>
  <conditionalFormatting sqref="T825">
    <cfRule type="expression" dxfId="7611" priority="1945">
      <formula>AND(AND($W825&lt;TODAY(),$W825&lt;&gt;""),$X825="")</formula>
    </cfRule>
  </conditionalFormatting>
  <conditionalFormatting sqref="Z825">
    <cfRule type="dataBar" priority="1944">
      <dataBar>
        <cfvo type="min"/>
        <cfvo type="max"/>
        <color rgb="FF63C384"/>
      </dataBar>
      <extLst>
        <ext xmlns:x14="http://schemas.microsoft.com/office/spreadsheetml/2009/9/main" uri="{B025F937-C7B1-47D3-B67F-A62EFF666E3E}">
          <x14:id>{332B8CBC-E0D1-41C3-AE00-87A8E603CF64}</x14:id>
        </ext>
      </extLst>
    </cfRule>
  </conditionalFormatting>
  <conditionalFormatting sqref="Z825">
    <cfRule type="dataBar" priority="1943">
      <dataBar>
        <cfvo type="min"/>
        <cfvo type="max"/>
        <color rgb="FF63C384"/>
      </dataBar>
      <extLst>
        <ext xmlns:x14="http://schemas.microsoft.com/office/spreadsheetml/2009/9/main" uri="{B025F937-C7B1-47D3-B67F-A62EFF666E3E}">
          <x14:id>{2799A933-CC79-4393-B012-C7B0F95B1895}</x14:id>
        </ext>
      </extLst>
    </cfRule>
  </conditionalFormatting>
  <conditionalFormatting sqref="T826:T827">
    <cfRule type="expression" dxfId="7610" priority="1942">
      <formula>AND(AND($W826&lt;TODAY(),$W826&lt;&gt;""),$X826="")</formula>
    </cfRule>
  </conditionalFormatting>
  <conditionalFormatting sqref="Z826">
    <cfRule type="dataBar" priority="1941">
      <dataBar>
        <cfvo type="min"/>
        <cfvo type="max"/>
        <color rgb="FF63C384"/>
      </dataBar>
      <extLst>
        <ext xmlns:x14="http://schemas.microsoft.com/office/spreadsheetml/2009/9/main" uri="{B025F937-C7B1-47D3-B67F-A62EFF666E3E}">
          <x14:id>{9FFAB7A2-1B5E-41D0-AE90-25DCD4A5BBDD}</x14:id>
        </ext>
      </extLst>
    </cfRule>
  </conditionalFormatting>
  <conditionalFormatting sqref="Z826">
    <cfRule type="dataBar" priority="1940">
      <dataBar>
        <cfvo type="min"/>
        <cfvo type="max"/>
        <color rgb="FF63C384"/>
      </dataBar>
      <extLst>
        <ext xmlns:x14="http://schemas.microsoft.com/office/spreadsheetml/2009/9/main" uri="{B025F937-C7B1-47D3-B67F-A62EFF666E3E}">
          <x14:id>{049F46AC-A262-4774-A97E-1CD031518D34}</x14:id>
        </ext>
      </extLst>
    </cfRule>
  </conditionalFormatting>
  <conditionalFormatting sqref="T826:T827">
    <cfRule type="expression" dxfId="7609" priority="1939">
      <formula>AND(AND($W826&lt;TODAY(),$W826&lt;&gt;""),$X826="")</formula>
    </cfRule>
  </conditionalFormatting>
  <conditionalFormatting sqref="Z826">
    <cfRule type="dataBar" priority="1938">
      <dataBar>
        <cfvo type="min"/>
        <cfvo type="max"/>
        <color rgb="FF63C384"/>
      </dataBar>
      <extLst>
        <ext xmlns:x14="http://schemas.microsoft.com/office/spreadsheetml/2009/9/main" uri="{B025F937-C7B1-47D3-B67F-A62EFF666E3E}">
          <x14:id>{07367015-E1CF-4288-9378-8077DCA8F1AC}</x14:id>
        </ext>
      </extLst>
    </cfRule>
  </conditionalFormatting>
  <conditionalFormatting sqref="Z826">
    <cfRule type="dataBar" priority="1937">
      <dataBar>
        <cfvo type="min"/>
        <cfvo type="max"/>
        <color rgb="FF63C384"/>
      </dataBar>
      <extLst>
        <ext xmlns:x14="http://schemas.microsoft.com/office/spreadsheetml/2009/9/main" uri="{B025F937-C7B1-47D3-B67F-A62EFF666E3E}">
          <x14:id>{16FD8A45-BE71-4307-B408-3A652D742B6D}</x14:id>
        </ext>
      </extLst>
    </cfRule>
  </conditionalFormatting>
  <conditionalFormatting sqref="J827">
    <cfRule type="cellIs" dxfId="7608" priority="1936" operator="equal">
      <formula>"ja"</formula>
    </cfRule>
  </conditionalFormatting>
  <conditionalFormatting sqref="Z827">
    <cfRule type="dataBar" priority="1934">
      <dataBar>
        <cfvo type="min"/>
        <cfvo type="max"/>
        <color rgb="FF63C384"/>
      </dataBar>
      <extLst>
        <ext xmlns:x14="http://schemas.microsoft.com/office/spreadsheetml/2009/9/main" uri="{B025F937-C7B1-47D3-B67F-A62EFF666E3E}">
          <x14:id>{CB362843-3909-4AAB-969C-FF8D4DCBCA41}</x14:id>
        </ext>
      </extLst>
    </cfRule>
  </conditionalFormatting>
  <conditionalFormatting sqref="Z827">
    <cfRule type="dataBar" priority="1933">
      <dataBar>
        <cfvo type="min"/>
        <cfvo type="max"/>
        <color rgb="FF63C384"/>
      </dataBar>
      <extLst>
        <ext xmlns:x14="http://schemas.microsoft.com/office/spreadsheetml/2009/9/main" uri="{B025F937-C7B1-47D3-B67F-A62EFF666E3E}">
          <x14:id>{46682B41-93CE-4C9F-A609-7C08BD752764}</x14:id>
        </ext>
      </extLst>
    </cfRule>
  </conditionalFormatting>
  <conditionalFormatting sqref="J827">
    <cfRule type="cellIs" dxfId="7607" priority="1932" operator="equal">
      <formula>"ja"</formula>
    </cfRule>
  </conditionalFormatting>
  <conditionalFormatting sqref="Z827">
    <cfRule type="dataBar" priority="1930">
      <dataBar>
        <cfvo type="min"/>
        <cfvo type="max"/>
        <color rgb="FF63C384"/>
      </dataBar>
      <extLst>
        <ext xmlns:x14="http://schemas.microsoft.com/office/spreadsheetml/2009/9/main" uri="{B025F937-C7B1-47D3-B67F-A62EFF666E3E}">
          <x14:id>{3CE89600-E4CB-4E83-A369-131CD26DE408}</x14:id>
        </ext>
      </extLst>
    </cfRule>
  </conditionalFormatting>
  <conditionalFormatting sqref="Z827">
    <cfRule type="dataBar" priority="1929">
      <dataBar>
        <cfvo type="min"/>
        <cfvo type="max"/>
        <color rgb="FF63C384"/>
      </dataBar>
      <extLst>
        <ext xmlns:x14="http://schemas.microsoft.com/office/spreadsheetml/2009/9/main" uri="{B025F937-C7B1-47D3-B67F-A62EFF666E3E}">
          <x14:id>{C7984B8C-4650-4135-8F54-E8E6715B85FD}</x14:id>
        </ext>
      </extLst>
    </cfRule>
  </conditionalFormatting>
  <conditionalFormatting sqref="J828">
    <cfRule type="cellIs" dxfId="7606" priority="1928" operator="equal">
      <formula>"ja"</formula>
    </cfRule>
  </conditionalFormatting>
  <conditionalFormatting sqref="T828">
    <cfRule type="expression" dxfId="7605" priority="1927">
      <formula>AND(AND($W828&lt;TODAY(),$W828&lt;&gt;""),$X828="")</formula>
    </cfRule>
  </conditionalFormatting>
  <conditionalFormatting sqref="Z828">
    <cfRule type="dataBar" priority="1926">
      <dataBar>
        <cfvo type="min"/>
        <cfvo type="max"/>
        <color rgb="FF63C384"/>
      </dataBar>
      <extLst>
        <ext xmlns:x14="http://schemas.microsoft.com/office/spreadsheetml/2009/9/main" uri="{B025F937-C7B1-47D3-B67F-A62EFF666E3E}">
          <x14:id>{ECFFCDAA-F310-4A78-B849-273D637E1463}</x14:id>
        </ext>
      </extLst>
    </cfRule>
  </conditionalFormatting>
  <conditionalFormatting sqref="Z828">
    <cfRule type="dataBar" priority="1925">
      <dataBar>
        <cfvo type="min"/>
        <cfvo type="max"/>
        <color rgb="FF63C384"/>
      </dataBar>
      <extLst>
        <ext xmlns:x14="http://schemas.microsoft.com/office/spreadsheetml/2009/9/main" uri="{B025F937-C7B1-47D3-B67F-A62EFF666E3E}">
          <x14:id>{09379948-32A7-439D-A3F5-675BBC942F57}</x14:id>
        </ext>
      </extLst>
    </cfRule>
  </conditionalFormatting>
  <conditionalFormatting sqref="T828">
    <cfRule type="expression" dxfId="7604" priority="1924">
      <formula>AND(AND($W828&lt;TODAY(),$W828&lt;&gt;""),$X828="")</formula>
    </cfRule>
  </conditionalFormatting>
  <conditionalFormatting sqref="Z828">
    <cfRule type="dataBar" priority="1923">
      <dataBar>
        <cfvo type="min"/>
        <cfvo type="max"/>
        <color rgb="FF63C384"/>
      </dataBar>
      <extLst>
        <ext xmlns:x14="http://schemas.microsoft.com/office/spreadsheetml/2009/9/main" uri="{B025F937-C7B1-47D3-B67F-A62EFF666E3E}">
          <x14:id>{E235CB09-45C7-4333-88DA-89CF78EA4F66}</x14:id>
        </ext>
      </extLst>
    </cfRule>
  </conditionalFormatting>
  <conditionalFormatting sqref="Z828">
    <cfRule type="dataBar" priority="1922">
      <dataBar>
        <cfvo type="min"/>
        <cfvo type="max"/>
        <color rgb="FF63C384"/>
      </dataBar>
      <extLst>
        <ext xmlns:x14="http://schemas.microsoft.com/office/spreadsheetml/2009/9/main" uri="{B025F937-C7B1-47D3-B67F-A62EFF666E3E}">
          <x14:id>{05E68C12-9089-439F-B87A-20CCB68D79FE}</x14:id>
        </ext>
      </extLst>
    </cfRule>
  </conditionalFormatting>
  <conditionalFormatting sqref="J828">
    <cfRule type="cellIs" dxfId="7603" priority="1921" operator="equal">
      <formula>"ja"</formula>
    </cfRule>
  </conditionalFormatting>
  <conditionalFormatting sqref="C828">
    <cfRule type="containsText" dxfId="7602" priority="1919" operator="containsText" text="Einnahmen">
      <formula>NOT(ISERROR(SEARCH("Einnahmen",C828)))</formula>
    </cfRule>
    <cfRule type="containsText" dxfId="7601" priority="1920" operator="containsText" text="Ausgaben">
      <formula>NOT(ISERROR(SEARCH("Ausgaben",C828)))</formula>
    </cfRule>
  </conditionalFormatting>
  <conditionalFormatting sqref="T829">
    <cfRule type="expression" dxfId="7600" priority="1918">
      <formula>AND(AND($W829&lt;TODAY(),$W829&lt;&gt;""),$X829="")</formula>
    </cfRule>
  </conditionalFormatting>
  <conditionalFormatting sqref="Z829">
    <cfRule type="dataBar" priority="1917">
      <dataBar>
        <cfvo type="min"/>
        <cfvo type="max"/>
        <color rgb="FF63C384"/>
      </dataBar>
      <extLst>
        <ext xmlns:x14="http://schemas.microsoft.com/office/spreadsheetml/2009/9/main" uri="{B025F937-C7B1-47D3-B67F-A62EFF666E3E}">
          <x14:id>{06D85428-DA14-4012-89E4-842F57202C15}</x14:id>
        </ext>
      </extLst>
    </cfRule>
  </conditionalFormatting>
  <conditionalFormatting sqref="Z829">
    <cfRule type="dataBar" priority="1916">
      <dataBar>
        <cfvo type="min"/>
        <cfvo type="max"/>
        <color rgb="FF63C384"/>
      </dataBar>
      <extLst>
        <ext xmlns:x14="http://schemas.microsoft.com/office/spreadsheetml/2009/9/main" uri="{B025F937-C7B1-47D3-B67F-A62EFF666E3E}">
          <x14:id>{46B03A96-7946-446C-9EE2-A8D06E0A68EB}</x14:id>
        </ext>
      </extLst>
    </cfRule>
  </conditionalFormatting>
  <conditionalFormatting sqref="C829">
    <cfRule type="containsText" dxfId="7599" priority="1914" operator="containsText" text="Einnahmen">
      <formula>NOT(ISERROR(SEARCH("Einnahmen",C829)))</formula>
    </cfRule>
    <cfRule type="containsText" dxfId="7598" priority="1915" operator="containsText" text="Ausgaben">
      <formula>NOT(ISERROR(SEARCH("Ausgaben",C829)))</formula>
    </cfRule>
  </conditionalFormatting>
  <conditionalFormatting sqref="C829">
    <cfRule type="containsText" dxfId="7597" priority="1912" operator="containsText" text="Einnahmen">
      <formula>NOT(ISERROR(SEARCH("Einnahmen",C829)))</formula>
    </cfRule>
    <cfRule type="containsText" dxfId="7596" priority="1913" operator="containsText" text="Ausgaben">
      <formula>NOT(ISERROR(SEARCH("Ausgaben",C829)))</formula>
    </cfRule>
  </conditionalFormatting>
  <conditionalFormatting sqref="T830">
    <cfRule type="expression" dxfId="7595" priority="1911">
      <formula>AND(AND($W830&lt;TODAY(),$W830&lt;&gt;""),$X830="")</formula>
    </cfRule>
  </conditionalFormatting>
  <conditionalFormatting sqref="Z830">
    <cfRule type="dataBar" priority="1910">
      <dataBar>
        <cfvo type="min"/>
        <cfvo type="max"/>
        <color rgb="FF63C384"/>
      </dataBar>
      <extLst>
        <ext xmlns:x14="http://schemas.microsoft.com/office/spreadsheetml/2009/9/main" uri="{B025F937-C7B1-47D3-B67F-A62EFF666E3E}">
          <x14:id>{1CCF34EA-9762-43B8-851B-3964E83C93CE}</x14:id>
        </ext>
      </extLst>
    </cfRule>
  </conditionalFormatting>
  <conditionalFormatting sqref="Z830">
    <cfRule type="dataBar" priority="1909">
      <dataBar>
        <cfvo type="min"/>
        <cfvo type="max"/>
        <color rgb="FF63C384"/>
      </dataBar>
      <extLst>
        <ext xmlns:x14="http://schemas.microsoft.com/office/spreadsheetml/2009/9/main" uri="{B025F937-C7B1-47D3-B67F-A62EFF666E3E}">
          <x14:id>{6F04C125-D6DD-420E-9A14-A294BF1A3C4F}</x14:id>
        </ext>
      </extLst>
    </cfRule>
  </conditionalFormatting>
  <conditionalFormatting sqref="C830">
    <cfRule type="containsText" dxfId="7594" priority="1907" operator="containsText" text="Einnahmen">
      <formula>NOT(ISERROR(SEARCH("Einnahmen",C830)))</formula>
    </cfRule>
    <cfRule type="containsText" dxfId="7593" priority="1908" operator="containsText" text="Ausgaben">
      <formula>NOT(ISERROR(SEARCH("Ausgaben",C830)))</formula>
    </cfRule>
  </conditionalFormatting>
  <conditionalFormatting sqref="C830">
    <cfRule type="containsText" dxfId="7592" priority="1905" operator="containsText" text="Einnahmen">
      <formula>NOT(ISERROR(SEARCH("Einnahmen",C830)))</formula>
    </cfRule>
    <cfRule type="containsText" dxfId="7591" priority="1906" operator="containsText" text="Ausgaben">
      <formula>NOT(ISERROR(SEARCH("Ausgaben",C830)))</formula>
    </cfRule>
  </conditionalFormatting>
  <conditionalFormatting sqref="C831">
    <cfRule type="containsText" dxfId="7590" priority="1903" operator="containsText" text="Einnahmen">
      <formula>NOT(ISERROR(SEARCH("Einnahmen",C831)))</formula>
    </cfRule>
    <cfRule type="containsText" dxfId="7589" priority="1904" operator="containsText" text="Ausgaben">
      <formula>NOT(ISERROR(SEARCH("Ausgaben",C831)))</formula>
    </cfRule>
  </conditionalFormatting>
  <conditionalFormatting sqref="T831">
    <cfRule type="expression" dxfId="7588" priority="1902">
      <formula>AND(AND($W831&lt;TODAY(),$W831&lt;&gt;""),$X831="")</formula>
    </cfRule>
  </conditionalFormatting>
  <conditionalFormatting sqref="Z831">
    <cfRule type="dataBar" priority="1901">
      <dataBar>
        <cfvo type="min"/>
        <cfvo type="max"/>
        <color rgb="FF63C384"/>
      </dataBar>
      <extLst>
        <ext xmlns:x14="http://schemas.microsoft.com/office/spreadsheetml/2009/9/main" uri="{B025F937-C7B1-47D3-B67F-A62EFF666E3E}">
          <x14:id>{08F96E04-289B-4D78-846B-8E179102B573}</x14:id>
        </ext>
      </extLst>
    </cfRule>
  </conditionalFormatting>
  <conditionalFormatting sqref="Z831">
    <cfRule type="dataBar" priority="1900">
      <dataBar>
        <cfvo type="min"/>
        <cfvo type="max"/>
        <color rgb="FF63C384"/>
      </dataBar>
      <extLst>
        <ext xmlns:x14="http://schemas.microsoft.com/office/spreadsheetml/2009/9/main" uri="{B025F937-C7B1-47D3-B67F-A62EFF666E3E}">
          <x14:id>{F6A87175-D51D-4B65-A99A-2BA30D3FE295}</x14:id>
        </ext>
      </extLst>
    </cfRule>
  </conditionalFormatting>
  <conditionalFormatting sqref="C832">
    <cfRule type="containsText" dxfId="7587" priority="1898" operator="containsText" text="Einnahmen">
      <formula>NOT(ISERROR(SEARCH("Einnahmen",C832)))</formula>
    </cfRule>
    <cfRule type="containsText" dxfId="7586" priority="1899" operator="containsText" text="Ausgaben">
      <formula>NOT(ISERROR(SEARCH("Ausgaben",C832)))</formula>
    </cfRule>
  </conditionalFormatting>
  <conditionalFormatting sqref="J832">
    <cfRule type="cellIs" dxfId="7585" priority="1897" operator="equal">
      <formula>"ja"</formula>
    </cfRule>
  </conditionalFormatting>
  <conditionalFormatting sqref="T832">
    <cfRule type="expression" dxfId="7584" priority="1896">
      <formula>AND(AND($W832&lt;TODAY(),$W832&lt;&gt;""),$X832="")</formula>
    </cfRule>
  </conditionalFormatting>
  <conditionalFormatting sqref="Z832">
    <cfRule type="dataBar" priority="1895">
      <dataBar>
        <cfvo type="min"/>
        <cfvo type="max"/>
        <color rgb="FF63C384"/>
      </dataBar>
      <extLst>
        <ext xmlns:x14="http://schemas.microsoft.com/office/spreadsheetml/2009/9/main" uri="{B025F937-C7B1-47D3-B67F-A62EFF666E3E}">
          <x14:id>{76C9DDF0-CFFA-4DC7-840C-3EB7996DF587}</x14:id>
        </ext>
      </extLst>
    </cfRule>
  </conditionalFormatting>
  <conditionalFormatting sqref="Z832">
    <cfRule type="dataBar" priority="1894">
      <dataBar>
        <cfvo type="min"/>
        <cfvo type="max"/>
        <color rgb="FF63C384"/>
      </dataBar>
      <extLst>
        <ext xmlns:x14="http://schemas.microsoft.com/office/spreadsheetml/2009/9/main" uri="{B025F937-C7B1-47D3-B67F-A62EFF666E3E}">
          <x14:id>{0C832F8F-4185-4220-A226-DCA9838C229F}</x14:id>
        </ext>
      </extLst>
    </cfRule>
  </conditionalFormatting>
  <conditionalFormatting sqref="T832">
    <cfRule type="expression" dxfId="7583" priority="1893">
      <formula>AND(AND($W832&lt;TODAY(),$W832&lt;&gt;""),$X832="")</formula>
    </cfRule>
  </conditionalFormatting>
  <conditionalFormatting sqref="J832">
    <cfRule type="cellIs" dxfId="7582" priority="1892" operator="equal">
      <formula>"ja"</formula>
    </cfRule>
  </conditionalFormatting>
  <conditionalFormatting sqref="Z832">
    <cfRule type="dataBar" priority="1891">
      <dataBar>
        <cfvo type="min"/>
        <cfvo type="max"/>
        <color rgb="FF63C384"/>
      </dataBar>
      <extLst>
        <ext xmlns:x14="http://schemas.microsoft.com/office/spreadsheetml/2009/9/main" uri="{B025F937-C7B1-47D3-B67F-A62EFF666E3E}">
          <x14:id>{7DBE4F84-F3D2-4B6A-B8A8-197174D7F1D5}</x14:id>
        </ext>
      </extLst>
    </cfRule>
  </conditionalFormatting>
  <conditionalFormatting sqref="Z832">
    <cfRule type="dataBar" priority="1890">
      <dataBar>
        <cfvo type="min"/>
        <cfvo type="max"/>
        <color rgb="FF63C384"/>
      </dataBar>
      <extLst>
        <ext xmlns:x14="http://schemas.microsoft.com/office/spreadsheetml/2009/9/main" uri="{B025F937-C7B1-47D3-B67F-A62EFF666E3E}">
          <x14:id>{4DEA4757-8D4C-403F-B626-D11E5B5D9CF5}</x14:id>
        </ext>
      </extLst>
    </cfRule>
  </conditionalFormatting>
  <conditionalFormatting sqref="T833">
    <cfRule type="expression" dxfId="7581" priority="1889">
      <formula>AND(AND($W833&lt;TODAY(),$W833&lt;&gt;""),$X833="")</formula>
    </cfRule>
  </conditionalFormatting>
  <conditionalFormatting sqref="Z833">
    <cfRule type="dataBar" priority="1888">
      <dataBar>
        <cfvo type="min"/>
        <cfvo type="max"/>
        <color rgb="FF63C384"/>
      </dataBar>
      <extLst>
        <ext xmlns:x14="http://schemas.microsoft.com/office/spreadsheetml/2009/9/main" uri="{B025F937-C7B1-47D3-B67F-A62EFF666E3E}">
          <x14:id>{4B61598C-8410-431C-B060-DC245ECFC7BB}</x14:id>
        </ext>
      </extLst>
    </cfRule>
  </conditionalFormatting>
  <conditionalFormatting sqref="Z833">
    <cfRule type="dataBar" priority="1887">
      <dataBar>
        <cfvo type="min"/>
        <cfvo type="max"/>
        <color rgb="FF63C384"/>
      </dataBar>
      <extLst>
        <ext xmlns:x14="http://schemas.microsoft.com/office/spreadsheetml/2009/9/main" uri="{B025F937-C7B1-47D3-B67F-A62EFF666E3E}">
          <x14:id>{94AC1964-12FE-4D85-A886-7493E85C4F23}</x14:id>
        </ext>
      </extLst>
    </cfRule>
  </conditionalFormatting>
  <conditionalFormatting sqref="J833">
    <cfRule type="cellIs" dxfId="7580" priority="1886" operator="equal">
      <formula>"ja"</formula>
    </cfRule>
  </conditionalFormatting>
  <conditionalFormatting sqref="C833">
    <cfRule type="containsText" dxfId="7579" priority="1884" operator="containsText" text="Einnahmen">
      <formula>NOT(ISERROR(SEARCH("Einnahmen",C833)))</formula>
    </cfRule>
    <cfRule type="containsText" dxfId="7578" priority="1885" operator="containsText" text="Ausgaben">
      <formula>NOT(ISERROR(SEARCH("Ausgaben",C833)))</formula>
    </cfRule>
  </conditionalFormatting>
  <conditionalFormatting sqref="J834">
    <cfRule type="cellIs" dxfId="7577" priority="1883" operator="equal">
      <formula>"ja"</formula>
    </cfRule>
  </conditionalFormatting>
  <conditionalFormatting sqref="C834">
    <cfRule type="containsText" dxfId="7576" priority="1881" operator="containsText" text="Einnahmen">
      <formula>NOT(ISERROR(SEARCH("Einnahmen",C834)))</formula>
    </cfRule>
    <cfRule type="containsText" dxfId="7575" priority="1882" operator="containsText" text="Ausgaben">
      <formula>NOT(ISERROR(SEARCH("Ausgaben",C834)))</formula>
    </cfRule>
  </conditionalFormatting>
  <conditionalFormatting sqref="T834">
    <cfRule type="expression" dxfId="7574" priority="1880">
      <formula>AND(AND($W834&lt;TODAY(),$W834&lt;&gt;""),$X834="")</formula>
    </cfRule>
  </conditionalFormatting>
  <conditionalFormatting sqref="Z834">
    <cfRule type="dataBar" priority="1879">
      <dataBar>
        <cfvo type="min"/>
        <cfvo type="max"/>
        <color rgb="FF63C384"/>
      </dataBar>
      <extLst>
        <ext xmlns:x14="http://schemas.microsoft.com/office/spreadsheetml/2009/9/main" uri="{B025F937-C7B1-47D3-B67F-A62EFF666E3E}">
          <x14:id>{7917C84F-0085-4F3A-AAAD-B39E896F0F27}</x14:id>
        </ext>
      </extLst>
    </cfRule>
  </conditionalFormatting>
  <conditionalFormatting sqref="Z834">
    <cfRule type="dataBar" priority="1878">
      <dataBar>
        <cfvo type="min"/>
        <cfvo type="max"/>
        <color rgb="FF63C384"/>
      </dataBar>
      <extLst>
        <ext xmlns:x14="http://schemas.microsoft.com/office/spreadsheetml/2009/9/main" uri="{B025F937-C7B1-47D3-B67F-A62EFF666E3E}">
          <x14:id>{B1292CE8-7645-4B8F-97B4-D486F1ED0812}</x14:id>
        </ext>
      </extLst>
    </cfRule>
  </conditionalFormatting>
  <conditionalFormatting sqref="C835">
    <cfRule type="containsText" dxfId="7573" priority="1876" operator="containsText" text="Einnahmen">
      <formula>NOT(ISERROR(SEARCH("Einnahmen",C835)))</formula>
    </cfRule>
    <cfRule type="containsText" dxfId="7572" priority="1877" operator="containsText" text="Ausgaben">
      <formula>NOT(ISERROR(SEARCH("Ausgaben",C835)))</formula>
    </cfRule>
  </conditionalFormatting>
  <conditionalFormatting sqref="J835">
    <cfRule type="cellIs" dxfId="7571" priority="1875" operator="equal">
      <formula>"ja"</formula>
    </cfRule>
  </conditionalFormatting>
  <conditionalFormatting sqref="T835:T840">
    <cfRule type="expression" dxfId="7570" priority="1874">
      <formula>AND(AND($W835&lt;TODAY(),$W835&lt;&gt;""),$X835="")</formula>
    </cfRule>
  </conditionalFormatting>
  <conditionalFormatting sqref="Z835:Z840">
    <cfRule type="dataBar" priority="1873">
      <dataBar>
        <cfvo type="min"/>
        <cfvo type="max"/>
        <color rgb="FF63C384"/>
      </dataBar>
      <extLst>
        <ext xmlns:x14="http://schemas.microsoft.com/office/spreadsheetml/2009/9/main" uri="{B025F937-C7B1-47D3-B67F-A62EFF666E3E}">
          <x14:id>{5452F60F-6EC7-4362-921D-DCE5D373E6EE}</x14:id>
        </ext>
      </extLst>
    </cfRule>
  </conditionalFormatting>
  <conditionalFormatting sqref="Z835:Z840">
    <cfRule type="dataBar" priority="1872">
      <dataBar>
        <cfvo type="min"/>
        <cfvo type="max"/>
        <color rgb="FF63C384"/>
      </dataBar>
      <extLst>
        <ext xmlns:x14="http://schemas.microsoft.com/office/spreadsheetml/2009/9/main" uri="{B025F937-C7B1-47D3-B67F-A62EFF666E3E}">
          <x14:id>{E7FC6718-E088-407A-B3D2-019AE4199A96}</x14:id>
        </ext>
      </extLst>
    </cfRule>
  </conditionalFormatting>
  <conditionalFormatting sqref="C841">
    <cfRule type="containsText" dxfId="7569" priority="1870" operator="containsText" text="Einnahmen">
      <formula>NOT(ISERROR(SEARCH("Einnahmen",C841)))</formula>
    </cfRule>
    <cfRule type="containsText" dxfId="7568" priority="1871" operator="containsText" text="Ausgaben">
      <formula>NOT(ISERROR(SEARCH("Ausgaben",C841)))</formula>
    </cfRule>
  </conditionalFormatting>
  <conditionalFormatting sqref="J841">
    <cfRule type="cellIs" dxfId="7567" priority="1869" operator="equal">
      <formula>"ja"</formula>
    </cfRule>
  </conditionalFormatting>
  <conditionalFormatting sqref="J841">
    <cfRule type="cellIs" dxfId="7566" priority="1857" operator="equal">
      <formula>"ja"</formula>
    </cfRule>
  </conditionalFormatting>
  <conditionalFormatting sqref="T841">
    <cfRule type="expression" dxfId="7565" priority="1856">
      <formula>AND(AND($W841&lt;TODAY(),$W841&lt;&gt;""),$X841="")</formula>
    </cfRule>
  </conditionalFormatting>
  <conditionalFormatting sqref="T841">
    <cfRule type="expression" dxfId="7564" priority="1868">
      <formula>AND(AND($W841&lt;TODAY(),$W841&lt;&gt;""),$X841="")</formula>
    </cfRule>
  </conditionalFormatting>
  <conditionalFormatting sqref="Z841">
    <cfRule type="dataBar" priority="1867">
      <dataBar>
        <cfvo type="min"/>
        <cfvo type="max"/>
        <color rgb="FF63C384"/>
      </dataBar>
      <extLst>
        <ext xmlns:x14="http://schemas.microsoft.com/office/spreadsheetml/2009/9/main" uri="{B025F937-C7B1-47D3-B67F-A62EFF666E3E}">
          <x14:id>{2E192A56-8E56-4392-9D19-19E0087FF83B}</x14:id>
        </ext>
      </extLst>
    </cfRule>
  </conditionalFormatting>
  <conditionalFormatting sqref="Z841">
    <cfRule type="dataBar" priority="1866">
      <dataBar>
        <cfvo type="min"/>
        <cfvo type="max"/>
        <color rgb="FF63C384"/>
      </dataBar>
      <extLst>
        <ext xmlns:x14="http://schemas.microsoft.com/office/spreadsheetml/2009/9/main" uri="{B025F937-C7B1-47D3-B67F-A62EFF666E3E}">
          <x14:id>{E2D18CD0-D96B-4437-8722-696115BAD4BC}</x14:id>
        </ext>
      </extLst>
    </cfRule>
  </conditionalFormatting>
  <conditionalFormatting sqref="J841">
    <cfRule type="cellIs" dxfId="7563" priority="1865" operator="equal">
      <formula>"ja"</formula>
    </cfRule>
  </conditionalFormatting>
  <conditionalFormatting sqref="T841">
    <cfRule type="expression" dxfId="7562" priority="1864">
      <formula>AND(AND($W841&lt;TODAY(),$W841&lt;&gt;""),$X841="")</formula>
    </cfRule>
  </conditionalFormatting>
  <conditionalFormatting sqref="Z841">
    <cfRule type="dataBar" priority="1863">
      <dataBar>
        <cfvo type="min"/>
        <cfvo type="max"/>
        <color rgb="FF63C384"/>
      </dataBar>
      <extLst>
        <ext xmlns:x14="http://schemas.microsoft.com/office/spreadsheetml/2009/9/main" uri="{B025F937-C7B1-47D3-B67F-A62EFF666E3E}">
          <x14:id>{19171A1B-EADE-45F6-9336-02F767CE7935}</x14:id>
        </ext>
      </extLst>
    </cfRule>
  </conditionalFormatting>
  <conditionalFormatting sqref="Z841">
    <cfRule type="dataBar" priority="1862">
      <dataBar>
        <cfvo type="min"/>
        <cfvo type="max"/>
        <color rgb="FF63C384"/>
      </dataBar>
      <extLst>
        <ext xmlns:x14="http://schemas.microsoft.com/office/spreadsheetml/2009/9/main" uri="{B025F937-C7B1-47D3-B67F-A62EFF666E3E}">
          <x14:id>{9C4D7E09-2DE4-48F2-AD02-A9021CE5A2F1}</x14:id>
        </ext>
      </extLst>
    </cfRule>
  </conditionalFormatting>
  <conditionalFormatting sqref="J841">
    <cfRule type="cellIs" dxfId="7561" priority="1861" operator="equal">
      <formula>"ja"</formula>
    </cfRule>
  </conditionalFormatting>
  <conditionalFormatting sqref="T841">
    <cfRule type="expression" dxfId="7560" priority="1860">
      <formula>AND(AND($W841&lt;TODAY(),$W841&lt;&gt;""),$X841="")</formula>
    </cfRule>
  </conditionalFormatting>
  <conditionalFormatting sqref="Z841">
    <cfRule type="dataBar" priority="1859">
      <dataBar>
        <cfvo type="min"/>
        <cfvo type="max"/>
        <color rgb="FF63C384"/>
      </dataBar>
      <extLst>
        <ext xmlns:x14="http://schemas.microsoft.com/office/spreadsheetml/2009/9/main" uri="{B025F937-C7B1-47D3-B67F-A62EFF666E3E}">
          <x14:id>{BD321A4C-15CF-4F47-BE11-C8C9D6C966D5}</x14:id>
        </ext>
      </extLst>
    </cfRule>
  </conditionalFormatting>
  <conditionalFormatting sqref="Z841">
    <cfRule type="dataBar" priority="1858">
      <dataBar>
        <cfvo type="min"/>
        <cfvo type="max"/>
        <color rgb="FF63C384"/>
      </dataBar>
      <extLst>
        <ext xmlns:x14="http://schemas.microsoft.com/office/spreadsheetml/2009/9/main" uri="{B025F937-C7B1-47D3-B67F-A62EFF666E3E}">
          <x14:id>{7D79CB5C-E156-403B-AFF1-E2A800D0EA4F}</x14:id>
        </ext>
      </extLst>
    </cfRule>
  </conditionalFormatting>
  <conditionalFormatting sqref="Z841">
    <cfRule type="dataBar" priority="1855">
      <dataBar>
        <cfvo type="min"/>
        <cfvo type="max"/>
        <color rgb="FF63C384"/>
      </dataBar>
      <extLst>
        <ext xmlns:x14="http://schemas.microsoft.com/office/spreadsheetml/2009/9/main" uri="{B025F937-C7B1-47D3-B67F-A62EFF666E3E}">
          <x14:id>{0DE25322-39D9-4B9F-A400-750813ABC55D}</x14:id>
        </ext>
      </extLst>
    </cfRule>
  </conditionalFormatting>
  <conditionalFormatting sqref="Z841">
    <cfRule type="dataBar" priority="1854">
      <dataBar>
        <cfvo type="min"/>
        <cfvo type="max"/>
        <color rgb="FF63C384"/>
      </dataBar>
      <extLst>
        <ext xmlns:x14="http://schemas.microsoft.com/office/spreadsheetml/2009/9/main" uri="{B025F937-C7B1-47D3-B67F-A62EFF666E3E}">
          <x14:id>{2A0160B9-FE7B-4F02-A6E3-A5C790E9685D}</x14:id>
        </ext>
      </extLst>
    </cfRule>
  </conditionalFormatting>
  <conditionalFormatting sqref="T843">
    <cfRule type="expression" dxfId="7559" priority="1843">
      <formula>AND(AND($W843&lt;TODAY(),$W843&lt;&gt;""),$X843="")</formula>
    </cfRule>
  </conditionalFormatting>
  <conditionalFormatting sqref="Z843">
    <cfRule type="dataBar" priority="1842">
      <dataBar>
        <cfvo type="min"/>
        <cfvo type="max"/>
        <color rgb="FF63C384"/>
      </dataBar>
      <extLst>
        <ext xmlns:x14="http://schemas.microsoft.com/office/spreadsheetml/2009/9/main" uri="{B025F937-C7B1-47D3-B67F-A62EFF666E3E}">
          <x14:id>{A7A94FDA-5B96-4946-BB87-FC580504045F}</x14:id>
        </ext>
      </extLst>
    </cfRule>
  </conditionalFormatting>
  <conditionalFormatting sqref="Z843">
    <cfRule type="dataBar" priority="1841">
      <dataBar>
        <cfvo type="min"/>
        <cfvo type="max"/>
        <color rgb="FF63C384"/>
      </dataBar>
      <extLst>
        <ext xmlns:x14="http://schemas.microsoft.com/office/spreadsheetml/2009/9/main" uri="{B025F937-C7B1-47D3-B67F-A62EFF666E3E}">
          <x14:id>{485CB69E-14E5-424C-92C0-8676AC24C4D4}</x14:id>
        </ext>
      </extLst>
    </cfRule>
  </conditionalFormatting>
  <conditionalFormatting sqref="C842">
    <cfRule type="containsText" dxfId="7558" priority="1839" operator="containsText" text="Einnahmen">
      <formula>NOT(ISERROR(SEARCH("Einnahmen",C842)))</formula>
    </cfRule>
    <cfRule type="containsText" dxfId="7557" priority="1840" operator="containsText" text="Ausgaben">
      <formula>NOT(ISERROR(SEARCH("Ausgaben",C842)))</formula>
    </cfRule>
  </conditionalFormatting>
  <conditionalFormatting sqref="C842">
    <cfRule type="containsText" dxfId="7556" priority="1837" operator="containsText" text="Einnahmen">
      <formula>NOT(ISERROR(SEARCH("Einnahmen",C842)))</formula>
    </cfRule>
    <cfRule type="containsText" dxfId="7555" priority="1838" operator="containsText" text="Ausgaben">
      <formula>NOT(ISERROR(SEARCH("Ausgaben",C842)))</formula>
    </cfRule>
  </conditionalFormatting>
  <conditionalFormatting sqref="J844">
    <cfRule type="cellIs" dxfId="7554" priority="1836" operator="equal">
      <formula>"ja"</formula>
    </cfRule>
  </conditionalFormatting>
  <conditionalFormatting sqref="C843">
    <cfRule type="containsText" dxfId="7553" priority="1834" operator="containsText" text="Einnahmen">
      <formula>NOT(ISERROR(SEARCH("Einnahmen",C843)))</formula>
    </cfRule>
    <cfRule type="containsText" dxfId="7552" priority="1835" operator="containsText" text="Ausgaben">
      <formula>NOT(ISERROR(SEARCH("Ausgaben",C843)))</formula>
    </cfRule>
  </conditionalFormatting>
  <conditionalFormatting sqref="T844">
    <cfRule type="expression" dxfId="7551" priority="1833">
      <formula>AND(AND($W844&lt;TODAY(),$W844&lt;&gt;""),$X844="")</formula>
    </cfRule>
  </conditionalFormatting>
  <conditionalFormatting sqref="Z844">
    <cfRule type="dataBar" priority="1832">
      <dataBar>
        <cfvo type="min"/>
        <cfvo type="max"/>
        <color rgb="FF63C384"/>
      </dataBar>
      <extLst>
        <ext xmlns:x14="http://schemas.microsoft.com/office/spreadsheetml/2009/9/main" uri="{B025F937-C7B1-47D3-B67F-A62EFF666E3E}">
          <x14:id>{0AFE999D-12CF-47D8-9762-2B5AA8FC7781}</x14:id>
        </ext>
      </extLst>
    </cfRule>
  </conditionalFormatting>
  <conditionalFormatting sqref="Z844">
    <cfRule type="dataBar" priority="1831">
      <dataBar>
        <cfvo type="min"/>
        <cfvo type="max"/>
        <color rgb="FF63C384"/>
      </dataBar>
      <extLst>
        <ext xmlns:x14="http://schemas.microsoft.com/office/spreadsheetml/2009/9/main" uri="{B025F937-C7B1-47D3-B67F-A62EFF666E3E}">
          <x14:id>{04F82ECA-7661-4275-8F25-13F62EC5F68D}</x14:id>
        </ext>
      </extLst>
    </cfRule>
  </conditionalFormatting>
  <conditionalFormatting sqref="C843">
    <cfRule type="containsText" dxfId="7550" priority="1829" operator="containsText" text="Einnahmen">
      <formula>NOT(ISERROR(SEARCH("Einnahmen",C843)))</formula>
    </cfRule>
    <cfRule type="containsText" dxfId="7549" priority="1830" operator="containsText" text="Ausgaben">
      <formula>NOT(ISERROR(SEARCH("Ausgaben",C843)))</formula>
    </cfRule>
  </conditionalFormatting>
  <conditionalFormatting sqref="T844">
    <cfRule type="expression" dxfId="7548" priority="1828">
      <formula>AND(AND($W844&lt;TODAY(),$W844&lt;&gt;""),$X844="")</formula>
    </cfRule>
  </conditionalFormatting>
  <conditionalFormatting sqref="J844">
    <cfRule type="cellIs" dxfId="7547" priority="1827" operator="equal">
      <formula>"ja"</formula>
    </cfRule>
  </conditionalFormatting>
  <conditionalFormatting sqref="Z844">
    <cfRule type="dataBar" priority="1826">
      <dataBar>
        <cfvo type="min"/>
        <cfvo type="max"/>
        <color rgb="FF63C384"/>
      </dataBar>
      <extLst>
        <ext xmlns:x14="http://schemas.microsoft.com/office/spreadsheetml/2009/9/main" uri="{B025F937-C7B1-47D3-B67F-A62EFF666E3E}">
          <x14:id>{EFAE3856-D103-43B7-91B3-35891ED76AB6}</x14:id>
        </ext>
      </extLst>
    </cfRule>
  </conditionalFormatting>
  <conditionalFormatting sqref="Z844">
    <cfRule type="dataBar" priority="1825">
      <dataBar>
        <cfvo type="min"/>
        <cfvo type="max"/>
        <color rgb="FF63C384"/>
      </dataBar>
      <extLst>
        <ext xmlns:x14="http://schemas.microsoft.com/office/spreadsheetml/2009/9/main" uri="{B025F937-C7B1-47D3-B67F-A62EFF666E3E}">
          <x14:id>{95465E36-2C84-4AFF-82EB-C12EE13754F6}</x14:id>
        </ext>
      </extLst>
    </cfRule>
  </conditionalFormatting>
  <conditionalFormatting sqref="T845">
    <cfRule type="expression" dxfId="7546" priority="1824">
      <formula>AND(AND($W845&lt;TODAY(),$W845&lt;&gt;""),$X845="")</formula>
    </cfRule>
  </conditionalFormatting>
  <conditionalFormatting sqref="Z845">
    <cfRule type="dataBar" priority="1823">
      <dataBar>
        <cfvo type="min"/>
        <cfvo type="max"/>
        <color rgb="FF63C384"/>
      </dataBar>
      <extLst>
        <ext xmlns:x14="http://schemas.microsoft.com/office/spreadsheetml/2009/9/main" uri="{B025F937-C7B1-47D3-B67F-A62EFF666E3E}">
          <x14:id>{1CDFF151-11FA-4851-809D-FD03166534AA}</x14:id>
        </ext>
      </extLst>
    </cfRule>
  </conditionalFormatting>
  <conditionalFormatting sqref="Z845">
    <cfRule type="dataBar" priority="1822">
      <dataBar>
        <cfvo type="min"/>
        <cfvo type="max"/>
        <color rgb="FF63C384"/>
      </dataBar>
      <extLst>
        <ext xmlns:x14="http://schemas.microsoft.com/office/spreadsheetml/2009/9/main" uri="{B025F937-C7B1-47D3-B67F-A62EFF666E3E}">
          <x14:id>{C5C959C0-E910-4910-A7A6-62AD4B197C1F}</x14:id>
        </ext>
      </extLst>
    </cfRule>
  </conditionalFormatting>
  <conditionalFormatting sqref="T845">
    <cfRule type="expression" dxfId="7545" priority="1821">
      <formula>AND(AND($W845&lt;TODAY(),$W845&lt;&gt;""),$X845="")</formula>
    </cfRule>
  </conditionalFormatting>
  <conditionalFormatting sqref="Z845">
    <cfRule type="dataBar" priority="1820">
      <dataBar>
        <cfvo type="min"/>
        <cfvo type="max"/>
        <color rgb="FF63C384"/>
      </dataBar>
      <extLst>
        <ext xmlns:x14="http://schemas.microsoft.com/office/spreadsheetml/2009/9/main" uri="{B025F937-C7B1-47D3-B67F-A62EFF666E3E}">
          <x14:id>{29FA942C-8359-4BEF-AAA6-2CB0F51FC4D5}</x14:id>
        </ext>
      </extLst>
    </cfRule>
  </conditionalFormatting>
  <conditionalFormatting sqref="Z845">
    <cfRule type="dataBar" priority="1819">
      <dataBar>
        <cfvo type="min"/>
        <cfvo type="max"/>
        <color rgb="FF63C384"/>
      </dataBar>
      <extLst>
        <ext xmlns:x14="http://schemas.microsoft.com/office/spreadsheetml/2009/9/main" uri="{B025F937-C7B1-47D3-B67F-A62EFF666E3E}">
          <x14:id>{69768B18-0A8C-4A96-A977-C111003DF61D}</x14:id>
        </ext>
      </extLst>
    </cfRule>
  </conditionalFormatting>
  <conditionalFormatting sqref="J846">
    <cfRule type="cellIs" dxfId="7544" priority="1818" operator="equal">
      <formula>"ja"</formula>
    </cfRule>
  </conditionalFormatting>
  <conditionalFormatting sqref="C846">
    <cfRule type="containsText" dxfId="7543" priority="1816" operator="containsText" text="Einnahmen">
      <formula>NOT(ISERROR(SEARCH("Einnahmen",C846)))</formula>
    </cfRule>
    <cfRule type="containsText" dxfId="7542" priority="1817" operator="containsText" text="Ausgaben">
      <formula>NOT(ISERROR(SEARCH("Ausgaben",C846)))</formula>
    </cfRule>
  </conditionalFormatting>
  <conditionalFormatting sqref="T846:T848">
    <cfRule type="expression" dxfId="7541" priority="1815">
      <formula>AND(AND($W846&lt;TODAY(),$W846&lt;&gt;""),$X846="")</formula>
    </cfRule>
  </conditionalFormatting>
  <conditionalFormatting sqref="Z846:Z847">
    <cfRule type="dataBar" priority="1814">
      <dataBar>
        <cfvo type="min"/>
        <cfvo type="max"/>
        <color rgb="FF63C384"/>
      </dataBar>
      <extLst>
        <ext xmlns:x14="http://schemas.microsoft.com/office/spreadsheetml/2009/9/main" uri="{B025F937-C7B1-47D3-B67F-A62EFF666E3E}">
          <x14:id>{98E01E16-B3D4-47ED-984B-F05FE560F51D}</x14:id>
        </ext>
      </extLst>
    </cfRule>
  </conditionalFormatting>
  <conditionalFormatting sqref="Z846:Z847">
    <cfRule type="dataBar" priority="1813">
      <dataBar>
        <cfvo type="min"/>
        <cfvo type="max"/>
        <color rgb="FF63C384"/>
      </dataBar>
      <extLst>
        <ext xmlns:x14="http://schemas.microsoft.com/office/spreadsheetml/2009/9/main" uri="{B025F937-C7B1-47D3-B67F-A62EFF666E3E}">
          <x14:id>{69C9D07E-3E2A-4E93-B1D0-91EBEA84230E}</x14:id>
        </ext>
      </extLst>
    </cfRule>
  </conditionalFormatting>
  <conditionalFormatting sqref="J846">
    <cfRule type="cellIs" dxfId="7540" priority="1812" operator="equal">
      <formula>"ja"</formula>
    </cfRule>
  </conditionalFormatting>
  <conditionalFormatting sqref="T846:T848">
    <cfRule type="expression" dxfId="7539" priority="1811">
      <formula>AND(AND($W846&lt;TODAY(),$W846&lt;&gt;""),$X846="")</formula>
    </cfRule>
  </conditionalFormatting>
  <conditionalFormatting sqref="Z846:Z847">
    <cfRule type="dataBar" priority="1810">
      <dataBar>
        <cfvo type="min"/>
        <cfvo type="max"/>
        <color rgb="FF63C384"/>
      </dataBar>
      <extLst>
        <ext xmlns:x14="http://schemas.microsoft.com/office/spreadsheetml/2009/9/main" uri="{B025F937-C7B1-47D3-B67F-A62EFF666E3E}">
          <x14:id>{BCA0D30A-5391-4F5A-93F7-24C6E42252C9}</x14:id>
        </ext>
      </extLst>
    </cfRule>
  </conditionalFormatting>
  <conditionalFormatting sqref="Z846:Z847">
    <cfRule type="dataBar" priority="1809">
      <dataBar>
        <cfvo type="min"/>
        <cfvo type="max"/>
        <color rgb="FF63C384"/>
      </dataBar>
      <extLst>
        <ext xmlns:x14="http://schemas.microsoft.com/office/spreadsheetml/2009/9/main" uri="{B025F937-C7B1-47D3-B67F-A62EFF666E3E}">
          <x14:id>{A9080E39-B282-4B53-9A53-F43A02281166}</x14:id>
        </ext>
      </extLst>
    </cfRule>
  </conditionalFormatting>
  <conditionalFormatting sqref="J846">
    <cfRule type="cellIs" dxfId="7538" priority="1808" operator="equal">
      <formula>"ja"</formula>
    </cfRule>
  </conditionalFormatting>
  <conditionalFormatting sqref="C846">
    <cfRule type="containsText" dxfId="7537" priority="1806" operator="containsText" text="Einnahmen">
      <formula>NOT(ISERROR(SEARCH("Einnahmen",C846)))</formula>
    </cfRule>
    <cfRule type="containsText" dxfId="7536" priority="1807" operator="containsText" text="Ausgaben">
      <formula>NOT(ISERROR(SEARCH("Ausgaben",C846)))</formula>
    </cfRule>
  </conditionalFormatting>
  <conditionalFormatting sqref="T846:T848">
    <cfRule type="expression" dxfId="7535" priority="1805">
      <formula>AND(AND($W846&lt;TODAY(),$W846&lt;&gt;""),$X846="")</formula>
    </cfRule>
  </conditionalFormatting>
  <conditionalFormatting sqref="Z846:Z847">
    <cfRule type="dataBar" priority="1804">
      <dataBar>
        <cfvo type="min"/>
        <cfvo type="max"/>
        <color rgb="FF63C384"/>
      </dataBar>
      <extLst>
        <ext xmlns:x14="http://schemas.microsoft.com/office/spreadsheetml/2009/9/main" uri="{B025F937-C7B1-47D3-B67F-A62EFF666E3E}">
          <x14:id>{4EC77F17-B369-487D-B283-D83E512BEF49}</x14:id>
        </ext>
      </extLst>
    </cfRule>
  </conditionalFormatting>
  <conditionalFormatting sqref="Z846:Z847">
    <cfRule type="dataBar" priority="1803">
      <dataBar>
        <cfvo type="min"/>
        <cfvo type="max"/>
        <color rgb="FF63C384"/>
      </dataBar>
      <extLst>
        <ext xmlns:x14="http://schemas.microsoft.com/office/spreadsheetml/2009/9/main" uri="{B025F937-C7B1-47D3-B67F-A62EFF666E3E}">
          <x14:id>{E5C7BB92-7EF0-4359-9C8A-28B5C70A3F46}</x14:id>
        </ext>
      </extLst>
    </cfRule>
  </conditionalFormatting>
  <conditionalFormatting sqref="J842">
    <cfRule type="cellIs" dxfId="7534" priority="1802" operator="equal">
      <formula>"ja"</formula>
    </cfRule>
  </conditionalFormatting>
  <conditionalFormatting sqref="T842">
    <cfRule type="expression" dxfId="7533" priority="1801">
      <formula>AND(AND($W842&lt;TODAY(),$W842&lt;&gt;""),$X842="")</formula>
    </cfRule>
  </conditionalFormatting>
  <conditionalFormatting sqref="Z842">
    <cfRule type="dataBar" priority="1800">
      <dataBar>
        <cfvo type="min"/>
        <cfvo type="max"/>
        <color rgb="FF63C384"/>
      </dataBar>
      <extLst>
        <ext xmlns:x14="http://schemas.microsoft.com/office/spreadsheetml/2009/9/main" uri="{B025F937-C7B1-47D3-B67F-A62EFF666E3E}">
          <x14:id>{1F7D4060-E441-4441-97DA-2D042C0637B3}</x14:id>
        </ext>
      </extLst>
    </cfRule>
  </conditionalFormatting>
  <conditionalFormatting sqref="Z842">
    <cfRule type="dataBar" priority="1799">
      <dataBar>
        <cfvo type="min"/>
        <cfvo type="max"/>
        <color rgb="FF63C384"/>
      </dataBar>
      <extLst>
        <ext xmlns:x14="http://schemas.microsoft.com/office/spreadsheetml/2009/9/main" uri="{B025F937-C7B1-47D3-B67F-A62EFF666E3E}">
          <x14:id>{7C248D0F-E2E5-4566-86CD-8A5100DBA290}</x14:id>
        </ext>
      </extLst>
    </cfRule>
  </conditionalFormatting>
  <conditionalFormatting sqref="T842">
    <cfRule type="expression" dxfId="7532" priority="1798">
      <formula>AND(AND($W842&lt;TODAY(),$W842&lt;&gt;""),$X842="")</formula>
    </cfRule>
  </conditionalFormatting>
  <conditionalFormatting sqref="Z842">
    <cfRule type="dataBar" priority="1797">
      <dataBar>
        <cfvo type="min"/>
        <cfvo type="max"/>
        <color rgb="FF63C384"/>
      </dataBar>
      <extLst>
        <ext xmlns:x14="http://schemas.microsoft.com/office/spreadsheetml/2009/9/main" uri="{B025F937-C7B1-47D3-B67F-A62EFF666E3E}">
          <x14:id>{FBF2B214-FBAD-4FAE-A258-F0241C65DFF3}</x14:id>
        </ext>
      </extLst>
    </cfRule>
  </conditionalFormatting>
  <conditionalFormatting sqref="Z842">
    <cfRule type="dataBar" priority="1796">
      <dataBar>
        <cfvo type="min"/>
        <cfvo type="max"/>
        <color rgb="FF63C384"/>
      </dataBar>
      <extLst>
        <ext xmlns:x14="http://schemas.microsoft.com/office/spreadsheetml/2009/9/main" uri="{B025F937-C7B1-47D3-B67F-A62EFF666E3E}">
          <x14:id>{17E4B6D0-5372-4EC6-BA9E-DA680E6014CD}</x14:id>
        </ext>
      </extLst>
    </cfRule>
  </conditionalFormatting>
  <conditionalFormatting sqref="J842">
    <cfRule type="cellIs" dxfId="7531" priority="1795" operator="equal">
      <formula>"ja"</formula>
    </cfRule>
  </conditionalFormatting>
  <conditionalFormatting sqref="J848">
    <cfRule type="cellIs" dxfId="7530" priority="1794" operator="equal">
      <formula>"ja"</formula>
    </cfRule>
  </conditionalFormatting>
  <conditionalFormatting sqref="Z848">
    <cfRule type="dataBar" priority="1792">
      <dataBar>
        <cfvo type="min"/>
        <cfvo type="max"/>
        <color rgb="FF63C384"/>
      </dataBar>
      <extLst>
        <ext xmlns:x14="http://schemas.microsoft.com/office/spreadsheetml/2009/9/main" uri="{B025F937-C7B1-47D3-B67F-A62EFF666E3E}">
          <x14:id>{93756DE7-26B7-43C6-B859-A1C4E996EBEA}</x14:id>
        </ext>
      </extLst>
    </cfRule>
  </conditionalFormatting>
  <conditionalFormatting sqref="Z848">
    <cfRule type="dataBar" priority="1791">
      <dataBar>
        <cfvo type="min"/>
        <cfvo type="max"/>
        <color rgb="FF63C384"/>
      </dataBar>
      <extLst>
        <ext xmlns:x14="http://schemas.microsoft.com/office/spreadsheetml/2009/9/main" uri="{B025F937-C7B1-47D3-B67F-A62EFF666E3E}">
          <x14:id>{34952C3E-D2D0-432D-A463-E705713660DC}</x14:id>
        </ext>
      </extLst>
    </cfRule>
  </conditionalFormatting>
  <conditionalFormatting sqref="J848">
    <cfRule type="cellIs" dxfId="7529" priority="1790" operator="equal">
      <formula>"ja"</formula>
    </cfRule>
  </conditionalFormatting>
  <conditionalFormatting sqref="Z848">
    <cfRule type="dataBar" priority="1788">
      <dataBar>
        <cfvo type="min"/>
        <cfvo type="max"/>
        <color rgb="FF63C384"/>
      </dataBar>
      <extLst>
        <ext xmlns:x14="http://schemas.microsoft.com/office/spreadsheetml/2009/9/main" uri="{B025F937-C7B1-47D3-B67F-A62EFF666E3E}">
          <x14:id>{0EF8D363-A683-47DE-A762-6037C4AC1F3D}</x14:id>
        </ext>
      </extLst>
    </cfRule>
  </conditionalFormatting>
  <conditionalFormatting sqref="Z848">
    <cfRule type="dataBar" priority="1787">
      <dataBar>
        <cfvo type="min"/>
        <cfvo type="max"/>
        <color rgb="FF63C384"/>
      </dataBar>
      <extLst>
        <ext xmlns:x14="http://schemas.microsoft.com/office/spreadsheetml/2009/9/main" uri="{B025F937-C7B1-47D3-B67F-A62EFF666E3E}">
          <x14:id>{257058C4-0342-4B84-8721-748102F828CA}</x14:id>
        </ext>
      </extLst>
    </cfRule>
  </conditionalFormatting>
  <conditionalFormatting sqref="J849">
    <cfRule type="cellIs" dxfId="7528" priority="1786" operator="equal">
      <formula>"ja"</formula>
    </cfRule>
  </conditionalFormatting>
  <conditionalFormatting sqref="T849">
    <cfRule type="expression" dxfId="7527" priority="1785">
      <formula>AND(AND($W849&lt;TODAY(),$W849&lt;&gt;""),$X849="")</formula>
    </cfRule>
  </conditionalFormatting>
  <conditionalFormatting sqref="Z849">
    <cfRule type="dataBar" priority="1784">
      <dataBar>
        <cfvo type="min"/>
        <cfvo type="max"/>
        <color rgb="FF63C384"/>
      </dataBar>
      <extLst>
        <ext xmlns:x14="http://schemas.microsoft.com/office/spreadsheetml/2009/9/main" uri="{B025F937-C7B1-47D3-B67F-A62EFF666E3E}">
          <x14:id>{DD1A99E7-380F-452C-B9C3-DEC443DBDAB3}</x14:id>
        </ext>
      </extLst>
    </cfRule>
  </conditionalFormatting>
  <conditionalFormatting sqref="Z849">
    <cfRule type="dataBar" priority="1783">
      <dataBar>
        <cfvo type="min"/>
        <cfvo type="max"/>
        <color rgb="FF63C384"/>
      </dataBar>
      <extLst>
        <ext xmlns:x14="http://schemas.microsoft.com/office/spreadsheetml/2009/9/main" uri="{B025F937-C7B1-47D3-B67F-A62EFF666E3E}">
          <x14:id>{4739C9F9-EA33-4E27-8A7D-F01A03E912CE}</x14:id>
        </ext>
      </extLst>
    </cfRule>
  </conditionalFormatting>
  <conditionalFormatting sqref="T849">
    <cfRule type="expression" dxfId="7526" priority="1782">
      <formula>AND(AND($W849&lt;TODAY(),$W849&lt;&gt;""),$X849="")</formula>
    </cfRule>
  </conditionalFormatting>
  <conditionalFormatting sqref="Z849">
    <cfRule type="dataBar" priority="1781">
      <dataBar>
        <cfvo type="min"/>
        <cfvo type="max"/>
        <color rgb="FF63C384"/>
      </dataBar>
      <extLst>
        <ext xmlns:x14="http://schemas.microsoft.com/office/spreadsheetml/2009/9/main" uri="{B025F937-C7B1-47D3-B67F-A62EFF666E3E}">
          <x14:id>{121DB077-5982-4680-BA5B-BE641102BA8D}</x14:id>
        </ext>
      </extLst>
    </cfRule>
  </conditionalFormatting>
  <conditionalFormatting sqref="Z849">
    <cfRule type="dataBar" priority="1780">
      <dataBar>
        <cfvo type="min"/>
        <cfvo type="max"/>
        <color rgb="FF63C384"/>
      </dataBar>
      <extLst>
        <ext xmlns:x14="http://schemas.microsoft.com/office/spreadsheetml/2009/9/main" uri="{B025F937-C7B1-47D3-B67F-A62EFF666E3E}">
          <x14:id>{8E6E6F11-3E7A-4F2F-8841-16F65BF74E2F}</x14:id>
        </ext>
      </extLst>
    </cfRule>
  </conditionalFormatting>
  <conditionalFormatting sqref="J849">
    <cfRule type="cellIs" dxfId="7525" priority="1779" operator="equal">
      <formula>"ja"</formula>
    </cfRule>
  </conditionalFormatting>
  <conditionalFormatting sqref="C849">
    <cfRule type="containsText" dxfId="7524" priority="1777" operator="containsText" text="Einnahmen">
      <formula>NOT(ISERROR(SEARCH("Einnahmen",C849)))</formula>
    </cfRule>
    <cfRule type="containsText" dxfId="7523" priority="1778" operator="containsText" text="Ausgaben">
      <formula>NOT(ISERROR(SEARCH("Ausgaben",C849)))</formula>
    </cfRule>
  </conditionalFormatting>
  <conditionalFormatting sqref="C850">
    <cfRule type="containsText" dxfId="7522" priority="1775" operator="containsText" text="Einnahmen">
      <formula>NOT(ISERROR(SEARCH("Einnahmen",C850)))</formula>
    </cfRule>
    <cfRule type="containsText" dxfId="7521" priority="1776" operator="containsText" text="Ausgaben">
      <formula>NOT(ISERROR(SEARCH("Ausgaben",C850)))</formula>
    </cfRule>
  </conditionalFormatting>
  <conditionalFormatting sqref="T850">
    <cfRule type="expression" dxfId="7520" priority="1774">
      <formula>AND(AND($W850&lt;TODAY(),$W850&lt;&gt;""),$X850="")</formula>
    </cfRule>
  </conditionalFormatting>
  <conditionalFormatting sqref="Z850">
    <cfRule type="dataBar" priority="1773">
      <dataBar>
        <cfvo type="min"/>
        <cfvo type="max"/>
        <color rgb="FF63C384"/>
      </dataBar>
      <extLst>
        <ext xmlns:x14="http://schemas.microsoft.com/office/spreadsheetml/2009/9/main" uri="{B025F937-C7B1-47D3-B67F-A62EFF666E3E}">
          <x14:id>{7AF20B6E-85D2-418C-BF76-0D4E9D8BF8C0}</x14:id>
        </ext>
      </extLst>
    </cfRule>
  </conditionalFormatting>
  <conditionalFormatting sqref="Z850">
    <cfRule type="dataBar" priority="1772">
      <dataBar>
        <cfvo type="min"/>
        <cfvo type="max"/>
        <color rgb="FF63C384"/>
      </dataBar>
      <extLst>
        <ext xmlns:x14="http://schemas.microsoft.com/office/spreadsheetml/2009/9/main" uri="{B025F937-C7B1-47D3-B67F-A62EFF666E3E}">
          <x14:id>{45023191-6473-4A19-AC4D-63610C6041DF}</x14:id>
        </ext>
      </extLst>
    </cfRule>
  </conditionalFormatting>
  <conditionalFormatting sqref="J850">
    <cfRule type="cellIs" dxfId="7519" priority="1771" operator="equal">
      <formula>"ja"</formula>
    </cfRule>
  </conditionalFormatting>
  <conditionalFormatting sqref="C851">
    <cfRule type="containsText" dxfId="7518" priority="1769" operator="containsText" text="Einnahmen">
      <formula>NOT(ISERROR(SEARCH("Einnahmen",C851)))</formula>
    </cfRule>
    <cfRule type="containsText" dxfId="7517" priority="1770" operator="containsText" text="Ausgaben">
      <formula>NOT(ISERROR(SEARCH("Ausgaben",C851)))</formula>
    </cfRule>
  </conditionalFormatting>
  <conditionalFormatting sqref="T851">
    <cfRule type="expression" dxfId="7516" priority="1768">
      <formula>AND(AND($W851&lt;TODAY(),$W851&lt;&gt;""),$X851="")</formula>
    </cfRule>
  </conditionalFormatting>
  <conditionalFormatting sqref="J851">
    <cfRule type="cellIs" dxfId="7515" priority="1767" operator="equal">
      <formula>"ja"</formula>
    </cfRule>
  </conditionalFormatting>
  <conditionalFormatting sqref="Z851">
    <cfRule type="dataBar" priority="1766">
      <dataBar>
        <cfvo type="min"/>
        <cfvo type="max"/>
        <color rgb="FF63C384"/>
      </dataBar>
      <extLst>
        <ext xmlns:x14="http://schemas.microsoft.com/office/spreadsheetml/2009/9/main" uri="{B025F937-C7B1-47D3-B67F-A62EFF666E3E}">
          <x14:id>{A3D86D87-6592-4217-9636-3CF5C67AF182}</x14:id>
        </ext>
      </extLst>
    </cfRule>
  </conditionalFormatting>
  <conditionalFormatting sqref="Z851">
    <cfRule type="dataBar" priority="1765">
      <dataBar>
        <cfvo type="min"/>
        <cfvo type="max"/>
        <color rgb="FF63C384"/>
      </dataBar>
      <extLst>
        <ext xmlns:x14="http://schemas.microsoft.com/office/spreadsheetml/2009/9/main" uri="{B025F937-C7B1-47D3-B67F-A62EFF666E3E}">
          <x14:id>{EB41E929-1192-4ABD-9EE7-58C34C3D8C6E}</x14:id>
        </ext>
      </extLst>
    </cfRule>
  </conditionalFormatting>
  <conditionalFormatting sqref="T852">
    <cfRule type="expression" dxfId="7514" priority="1764">
      <formula>AND(AND($W852&lt;TODAY(),$W852&lt;&gt;""),$X852="")</formula>
    </cfRule>
  </conditionalFormatting>
  <conditionalFormatting sqref="Z852">
    <cfRule type="dataBar" priority="1763">
      <dataBar>
        <cfvo type="min"/>
        <cfvo type="max"/>
        <color rgb="FF63C384"/>
      </dataBar>
      <extLst>
        <ext xmlns:x14="http://schemas.microsoft.com/office/spreadsheetml/2009/9/main" uri="{B025F937-C7B1-47D3-B67F-A62EFF666E3E}">
          <x14:id>{68E5F617-56B8-4581-A00F-925A133BEB6F}</x14:id>
        </ext>
      </extLst>
    </cfRule>
  </conditionalFormatting>
  <conditionalFormatting sqref="Z852">
    <cfRule type="dataBar" priority="1762">
      <dataBar>
        <cfvo type="min"/>
        <cfvo type="max"/>
        <color rgb="FF63C384"/>
      </dataBar>
      <extLst>
        <ext xmlns:x14="http://schemas.microsoft.com/office/spreadsheetml/2009/9/main" uri="{B025F937-C7B1-47D3-B67F-A62EFF666E3E}">
          <x14:id>{0C64F455-8ED7-4C11-BB71-F0908F59EF08}</x14:id>
        </ext>
      </extLst>
    </cfRule>
  </conditionalFormatting>
  <conditionalFormatting sqref="J852">
    <cfRule type="cellIs" dxfId="7513" priority="1761" operator="equal">
      <formula>"ja"</formula>
    </cfRule>
  </conditionalFormatting>
  <conditionalFormatting sqref="C852">
    <cfRule type="containsText" dxfId="7512" priority="1759" operator="containsText" text="Einnahmen">
      <formula>NOT(ISERROR(SEARCH("Einnahmen",C852)))</formula>
    </cfRule>
    <cfRule type="containsText" dxfId="7511" priority="1760" operator="containsText" text="Ausgaben">
      <formula>NOT(ISERROR(SEARCH("Ausgaben",C852)))</formula>
    </cfRule>
  </conditionalFormatting>
  <conditionalFormatting sqref="J853">
    <cfRule type="cellIs" dxfId="7510" priority="1758" operator="equal">
      <formula>"ja"</formula>
    </cfRule>
  </conditionalFormatting>
  <conditionalFormatting sqref="C853">
    <cfRule type="containsText" dxfId="7509" priority="1756" operator="containsText" text="Einnahmen">
      <formula>NOT(ISERROR(SEARCH("Einnahmen",C853)))</formula>
    </cfRule>
    <cfRule type="containsText" dxfId="7508" priority="1757" operator="containsText" text="Ausgaben">
      <formula>NOT(ISERROR(SEARCH("Ausgaben",C853)))</formula>
    </cfRule>
  </conditionalFormatting>
  <conditionalFormatting sqref="T853">
    <cfRule type="expression" dxfId="7507" priority="1755">
      <formula>AND(AND($W853&lt;TODAY(),$W853&lt;&gt;""),$X853="")</formula>
    </cfRule>
  </conditionalFormatting>
  <conditionalFormatting sqref="Z853">
    <cfRule type="dataBar" priority="1754">
      <dataBar>
        <cfvo type="min"/>
        <cfvo type="max"/>
        <color rgb="FF63C384"/>
      </dataBar>
      <extLst>
        <ext xmlns:x14="http://schemas.microsoft.com/office/spreadsheetml/2009/9/main" uri="{B025F937-C7B1-47D3-B67F-A62EFF666E3E}">
          <x14:id>{E4521439-151A-4F63-B28C-1EA10E6B178B}</x14:id>
        </ext>
      </extLst>
    </cfRule>
  </conditionalFormatting>
  <conditionalFormatting sqref="Z853">
    <cfRule type="dataBar" priority="1753">
      <dataBar>
        <cfvo type="min"/>
        <cfvo type="max"/>
        <color rgb="FF63C384"/>
      </dataBar>
      <extLst>
        <ext xmlns:x14="http://schemas.microsoft.com/office/spreadsheetml/2009/9/main" uri="{B025F937-C7B1-47D3-B67F-A62EFF666E3E}">
          <x14:id>{DFE175CC-33A2-494D-A8FE-698FAEDBDBD9}</x14:id>
        </ext>
      </extLst>
    </cfRule>
  </conditionalFormatting>
  <conditionalFormatting sqref="C854">
    <cfRule type="containsText" dxfId="7506" priority="1751" operator="containsText" text="Einnahmen">
      <formula>NOT(ISERROR(SEARCH("Einnahmen",C854)))</formula>
    </cfRule>
    <cfRule type="containsText" dxfId="7505" priority="1752" operator="containsText" text="Ausgaben">
      <formula>NOT(ISERROR(SEARCH("Ausgaben",C854)))</formula>
    </cfRule>
  </conditionalFormatting>
  <conditionalFormatting sqref="J854">
    <cfRule type="cellIs" dxfId="7504" priority="1750" operator="equal">
      <formula>"ja"</formula>
    </cfRule>
  </conditionalFormatting>
  <conditionalFormatting sqref="T854">
    <cfRule type="expression" dxfId="7503" priority="1749">
      <formula>AND(AND($W854&lt;TODAY(),$W854&lt;&gt;""),$X854="")</formula>
    </cfRule>
  </conditionalFormatting>
  <conditionalFormatting sqref="Z854">
    <cfRule type="dataBar" priority="1748">
      <dataBar>
        <cfvo type="min"/>
        <cfvo type="max"/>
        <color rgb="FF63C384"/>
      </dataBar>
      <extLst>
        <ext xmlns:x14="http://schemas.microsoft.com/office/spreadsheetml/2009/9/main" uri="{B025F937-C7B1-47D3-B67F-A62EFF666E3E}">
          <x14:id>{D5DE4852-DD67-424E-8BC3-989092DEFBC7}</x14:id>
        </ext>
      </extLst>
    </cfRule>
  </conditionalFormatting>
  <conditionalFormatting sqref="Z854">
    <cfRule type="dataBar" priority="1747">
      <dataBar>
        <cfvo type="min"/>
        <cfvo type="max"/>
        <color rgb="FF63C384"/>
      </dataBar>
      <extLst>
        <ext xmlns:x14="http://schemas.microsoft.com/office/spreadsheetml/2009/9/main" uri="{B025F937-C7B1-47D3-B67F-A62EFF666E3E}">
          <x14:id>{4C99B578-B76F-4A5B-A072-1EA1AF58E0F7}</x14:id>
        </ext>
      </extLst>
    </cfRule>
  </conditionalFormatting>
  <conditionalFormatting sqref="T854">
    <cfRule type="expression" dxfId="7502" priority="1746">
      <formula>AND(AND($W854&lt;TODAY(),$W854&lt;&gt;""),$X854="")</formula>
    </cfRule>
  </conditionalFormatting>
  <conditionalFormatting sqref="J854">
    <cfRule type="cellIs" dxfId="7501" priority="1745" operator="equal">
      <formula>"ja"</formula>
    </cfRule>
  </conditionalFormatting>
  <conditionalFormatting sqref="Z854">
    <cfRule type="dataBar" priority="1744">
      <dataBar>
        <cfvo type="min"/>
        <cfvo type="max"/>
        <color rgb="FF63C384"/>
      </dataBar>
      <extLst>
        <ext xmlns:x14="http://schemas.microsoft.com/office/spreadsheetml/2009/9/main" uri="{B025F937-C7B1-47D3-B67F-A62EFF666E3E}">
          <x14:id>{DA23CB67-F2F7-4BFD-8AEA-6B527EFE3612}</x14:id>
        </ext>
      </extLst>
    </cfRule>
  </conditionalFormatting>
  <conditionalFormatting sqref="Z854">
    <cfRule type="dataBar" priority="1743">
      <dataBar>
        <cfvo type="min"/>
        <cfvo type="max"/>
        <color rgb="FF63C384"/>
      </dataBar>
      <extLst>
        <ext xmlns:x14="http://schemas.microsoft.com/office/spreadsheetml/2009/9/main" uri="{B025F937-C7B1-47D3-B67F-A62EFF666E3E}">
          <x14:id>{792E4A19-C9ED-49F8-AC8E-862B5C4B8771}</x14:id>
        </ext>
      </extLst>
    </cfRule>
  </conditionalFormatting>
  <conditionalFormatting sqref="C855">
    <cfRule type="containsText" dxfId="7500" priority="1741" operator="containsText" text="Einnahmen">
      <formula>NOT(ISERROR(SEARCH("Einnahmen",C855)))</formula>
    </cfRule>
    <cfRule type="containsText" dxfId="7499" priority="1742" operator="containsText" text="Ausgaben">
      <formula>NOT(ISERROR(SEARCH("Ausgaben",C855)))</formula>
    </cfRule>
  </conditionalFormatting>
  <conditionalFormatting sqref="J855">
    <cfRule type="cellIs" dxfId="7498" priority="1740" operator="equal">
      <formula>"ja"</formula>
    </cfRule>
  </conditionalFormatting>
  <conditionalFormatting sqref="T855">
    <cfRule type="expression" dxfId="7497" priority="1739">
      <formula>AND(AND($W855&lt;TODAY(),$W855&lt;&gt;""),$X855="")</formula>
    </cfRule>
  </conditionalFormatting>
  <conditionalFormatting sqref="Z855">
    <cfRule type="dataBar" priority="1738">
      <dataBar>
        <cfvo type="min"/>
        <cfvo type="max"/>
        <color rgb="FF63C384"/>
      </dataBar>
      <extLst>
        <ext xmlns:x14="http://schemas.microsoft.com/office/spreadsheetml/2009/9/main" uri="{B025F937-C7B1-47D3-B67F-A62EFF666E3E}">
          <x14:id>{C8F5D773-A45C-4850-9BB9-5DFDD6273DF1}</x14:id>
        </ext>
      </extLst>
    </cfRule>
  </conditionalFormatting>
  <conditionalFormatting sqref="Z855">
    <cfRule type="dataBar" priority="1737">
      <dataBar>
        <cfvo type="min"/>
        <cfvo type="max"/>
        <color rgb="FF63C384"/>
      </dataBar>
      <extLst>
        <ext xmlns:x14="http://schemas.microsoft.com/office/spreadsheetml/2009/9/main" uri="{B025F937-C7B1-47D3-B67F-A62EFF666E3E}">
          <x14:id>{E165BB43-2055-4AB2-B5BA-B3A4C0DCCED7}</x14:id>
        </ext>
      </extLst>
    </cfRule>
  </conditionalFormatting>
  <conditionalFormatting sqref="C856">
    <cfRule type="containsText" dxfId="7496" priority="1735" operator="containsText" text="Einnahmen">
      <formula>NOT(ISERROR(SEARCH("Einnahmen",C856)))</formula>
    </cfRule>
    <cfRule type="containsText" dxfId="7495" priority="1736" operator="containsText" text="Ausgaben">
      <formula>NOT(ISERROR(SEARCH("Ausgaben",C856)))</formula>
    </cfRule>
  </conditionalFormatting>
  <conditionalFormatting sqref="J856">
    <cfRule type="cellIs" dxfId="7494" priority="1734" operator="equal">
      <formula>"ja"</formula>
    </cfRule>
  </conditionalFormatting>
  <conditionalFormatting sqref="J856">
    <cfRule type="cellIs" dxfId="7493" priority="1722" operator="equal">
      <formula>"ja"</formula>
    </cfRule>
  </conditionalFormatting>
  <conditionalFormatting sqref="T856">
    <cfRule type="expression" dxfId="7492" priority="1721">
      <formula>AND(AND($W856&lt;TODAY(),$W856&lt;&gt;""),$X856="")</formula>
    </cfRule>
  </conditionalFormatting>
  <conditionalFormatting sqref="T856">
    <cfRule type="expression" dxfId="7491" priority="1733">
      <formula>AND(AND($W856&lt;TODAY(),$W856&lt;&gt;""),$X856="")</formula>
    </cfRule>
  </conditionalFormatting>
  <conditionalFormatting sqref="Z856">
    <cfRule type="dataBar" priority="1732">
      <dataBar>
        <cfvo type="min"/>
        <cfvo type="max"/>
        <color rgb="FF63C384"/>
      </dataBar>
      <extLst>
        <ext xmlns:x14="http://schemas.microsoft.com/office/spreadsheetml/2009/9/main" uri="{B025F937-C7B1-47D3-B67F-A62EFF666E3E}">
          <x14:id>{239144C7-B92E-4FBC-8BCA-4F7DEDC1C249}</x14:id>
        </ext>
      </extLst>
    </cfRule>
  </conditionalFormatting>
  <conditionalFormatting sqref="Z856">
    <cfRule type="dataBar" priority="1731">
      <dataBar>
        <cfvo type="min"/>
        <cfvo type="max"/>
        <color rgb="FF63C384"/>
      </dataBar>
      <extLst>
        <ext xmlns:x14="http://schemas.microsoft.com/office/spreadsheetml/2009/9/main" uri="{B025F937-C7B1-47D3-B67F-A62EFF666E3E}">
          <x14:id>{C2EA3590-8D23-4C57-847A-DB97ECA64ED7}</x14:id>
        </ext>
      </extLst>
    </cfRule>
  </conditionalFormatting>
  <conditionalFormatting sqref="J856">
    <cfRule type="cellIs" dxfId="7490" priority="1730" operator="equal">
      <formula>"ja"</formula>
    </cfRule>
  </conditionalFormatting>
  <conditionalFormatting sqref="T856">
    <cfRule type="expression" dxfId="7489" priority="1729">
      <formula>AND(AND($W856&lt;TODAY(),$W856&lt;&gt;""),$X856="")</formula>
    </cfRule>
  </conditionalFormatting>
  <conditionalFormatting sqref="Z856">
    <cfRule type="dataBar" priority="1728">
      <dataBar>
        <cfvo type="min"/>
        <cfvo type="max"/>
        <color rgb="FF63C384"/>
      </dataBar>
      <extLst>
        <ext xmlns:x14="http://schemas.microsoft.com/office/spreadsheetml/2009/9/main" uri="{B025F937-C7B1-47D3-B67F-A62EFF666E3E}">
          <x14:id>{E14DC479-74C3-4F18-A056-AFFE89FCA70F}</x14:id>
        </ext>
      </extLst>
    </cfRule>
  </conditionalFormatting>
  <conditionalFormatting sqref="Z856">
    <cfRule type="dataBar" priority="1727">
      <dataBar>
        <cfvo type="min"/>
        <cfvo type="max"/>
        <color rgb="FF63C384"/>
      </dataBar>
      <extLst>
        <ext xmlns:x14="http://schemas.microsoft.com/office/spreadsheetml/2009/9/main" uri="{B025F937-C7B1-47D3-B67F-A62EFF666E3E}">
          <x14:id>{CB5C2867-9BFE-4877-8218-CDFDFAC09EF9}</x14:id>
        </ext>
      </extLst>
    </cfRule>
  </conditionalFormatting>
  <conditionalFormatting sqref="J856">
    <cfRule type="cellIs" dxfId="7488" priority="1726" operator="equal">
      <formula>"ja"</formula>
    </cfRule>
  </conditionalFormatting>
  <conditionalFormatting sqref="T856">
    <cfRule type="expression" dxfId="7487" priority="1725">
      <formula>AND(AND($W856&lt;TODAY(),$W856&lt;&gt;""),$X856="")</formula>
    </cfRule>
  </conditionalFormatting>
  <conditionalFormatting sqref="Z856">
    <cfRule type="dataBar" priority="1724">
      <dataBar>
        <cfvo type="min"/>
        <cfvo type="max"/>
        <color rgb="FF63C384"/>
      </dataBar>
      <extLst>
        <ext xmlns:x14="http://schemas.microsoft.com/office/spreadsheetml/2009/9/main" uri="{B025F937-C7B1-47D3-B67F-A62EFF666E3E}">
          <x14:id>{5722DDB9-C698-4806-A14A-073C506D1E3E}</x14:id>
        </ext>
      </extLst>
    </cfRule>
  </conditionalFormatting>
  <conditionalFormatting sqref="Z856">
    <cfRule type="dataBar" priority="1723">
      <dataBar>
        <cfvo type="min"/>
        <cfvo type="max"/>
        <color rgb="FF63C384"/>
      </dataBar>
      <extLst>
        <ext xmlns:x14="http://schemas.microsoft.com/office/spreadsheetml/2009/9/main" uri="{B025F937-C7B1-47D3-B67F-A62EFF666E3E}">
          <x14:id>{AFF400FB-DD99-4B25-ADF7-58DD6B6794B0}</x14:id>
        </ext>
      </extLst>
    </cfRule>
  </conditionalFormatting>
  <conditionalFormatting sqref="Z856">
    <cfRule type="dataBar" priority="1720">
      <dataBar>
        <cfvo type="min"/>
        <cfvo type="max"/>
        <color rgb="FF63C384"/>
      </dataBar>
      <extLst>
        <ext xmlns:x14="http://schemas.microsoft.com/office/spreadsheetml/2009/9/main" uri="{B025F937-C7B1-47D3-B67F-A62EFF666E3E}">
          <x14:id>{B25AA470-8444-40C9-92D5-2F91101FF741}</x14:id>
        </ext>
      </extLst>
    </cfRule>
  </conditionalFormatting>
  <conditionalFormatting sqref="Z856">
    <cfRule type="dataBar" priority="1719">
      <dataBar>
        <cfvo type="min"/>
        <cfvo type="max"/>
        <color rgb="FF63C384"/>
      </dataBar>
      <extLst>
        <ext xmlns:x14="http://schemas.microsoft.com/office/spreadsheetml/2009/9/main" uri="{B025F937-C7B1-47D3-B67F-A62EFF666E3E}">
          <x14:id>{A1D782DC-E3B0-4E6E-99AB-65881F226268}</x14:id>
        </ext>
      </extLst>
    </cfRule>
  </conditionalFormatting>
  <conditionalFormatting sqref="C857">
    <cfRule type="containsText" dxfId="7486" priority="1717" operator="containsText" text="Einnahmen">
      <formula>NOT(ISERROR(SEARCH("Einnahmen",C857)))</formula>
    </cfRule>
    <cfRule type="containsText" dxfId="7485" priority="1718" operator="containsText" text="Ausgaben">
      <formula>NOT(ISERROR(SEARCH("Ausgaben",C857)))</formula>
    </cfRule>
  </conditionalFormatting>
  <conditionalFormatting sqref="C857">
    <cfRule type="containsText" dxfId="7484" priority="1715" operator="containsText" text="Einnahmen">
      <formula>NOT(ISERROR(SEARCH("Einnahmen",C857)))</formula>
    </cfRule>
    <cfRule type="containsText" dxfId="7483" priority="1716" operator="containsText" text="Ausgaben">
      <formula>NOT(ISERROR(SEARCH("Ausgaben",C857)))</formula>
    </cfRule>
  </conditionalFormatting>
  <conditionalFormatting sqref="J857">
    <cfRule type="cellIs" dxfId="7482" priority="1714" operator="equal">
      <formula>"ja"</formula>
    </cfRule>
  </conditionalFormatting>
  <conditionalFormatting sqref="T857:T858">
    <cfRule type="expression" dxfId="7481" priority="1713">
      <formula>AND(AND($W857&lt;TODAY(),$W857&lt;&gt;""),$X857="")</formula>
    </cfRule>
  </conditionalFormatting>
  <conditionalFormatting sqref="Z857:Z858">
    <cfRule type="dataBar" priority="1712">
      <dataBar>
        <cfvo type="min"/>
        <cfvo type="max"/>
        <color rgb="FF63C384"/>
      </dataBar>
      <extLst>
        <ext xmlns:x14="http://schemas.microsoft.com/office/spreadsheetml/2009/9/main" uri="{B025F937-C7B1-47D3-B67F-A62EFF666E3E}">
          <x14:id>{28D9F9C8-9E22-42CE-A766-CFC1DD215F27}</x14:id>
        </ext>
      </extLst>
    </cfRule>
  </conditionalFormatting>
  <conditionalFormatting sqref="Z857:Z858">
    <cfRule type="dataBar" priority="1711">
      <dataBar>
        <cfvo type="min"/>
        <cfvo type="max"/>
        <color rgb="FF63C384"/>
      </dataBar>
      <extLst>
        <ext xmlns:x14="http://schemas.microsoft.com/office/spreadsheetml/2009/9/main" uri="{B025F937-C7B1-47D3-B67F-A62EFF666E3E}">
          <x14:id>{3ABB1F62-4BC9-4150-99B3-27015CD0ED13}</x14:id>
        </ext>
      </extLst>
    </cfRule>
  </conditionalFormatting>
  <conditionalFormatting sqref="T857:T858">
    <cfRule type="expression" dxfId="7480" priority="1710">
      <formula>AND(AND($W857&lt;TODAY(),$W857&lt;&gt;""),$X857="")</formula>
    </cfRule>
  </conditionalFormatting>
  <conditionalFormatting sqref="Z857:Z858">
    <cfRule type="dataBar" priority="1709">
      <dataBar>
        <cfvo type="min"/>
        <cfvo type="max"/>
        <color rgb="FF63C384"/>
      </dataBar>
      <extLst>
        <ext xmlns:x14="http://schemas.microsoft.com/office/spreadsheetml/2009/9/main" uri="{B025F937-C7B1-47D3-B67F-A62EFF666E3E}">
          <x14:id>{0C58A91C-4F34-4F87-9713-7D8DA4945927}</x14:id>
        </ext>
      </extLst>
    </cfRule>
  </conditionalFormatting>
  <conditionalFormatting sqref="Z857:Z858">
    <cfRule type="dataBar" priority="1708">
      <dataBar>
        <cfvo type="min"/>
        <cfvo type="max"/>
        <color rgb="FF63C384"/>
      </dataBar>
      <extLst>
        <ext xmlns:x14="http://schemas.microsoft.com/office/spreadsheetml/2009/9/main" uri="{B025F937-C7B1-47D3-B67F-A62EFF666E3E}">
          <x14:id>{201182F8-77A5-4874-B4F0-12156B94858E}</x14:id>
        </ext>
      </extLst>
    </cfRule>
  </conditionalFormatting>
  <conditionalFormatting sqref="J857">
    <cfRule type="cellIs" dxfId="7479" priority="1707" operator="equal">
      <formula>"ja"</formula>
    </cfRule>
  </conditionalFormatting>
  <conditionalFormatting sqref="J859">
    <cfRule type="cellIs" dxfId="7478" priority="1706" operator="equal">
      <formula>"ja"</formula>
    </cfRule>
  </conditionalFormatting>
  <conditionalFormatting sqref="T859">
    <cfRule type="expression" dxfId="7477" priority="1705">
      <formula>AND(AND($W859&lt;TODAY(),$W859&lt;&gt;""),$X859="")</formula>
    </cfRule>
  </conditionalFormatting>
  <conditionalFormatting sqref="Z859">
    <cfRule type="dataBar" priority="1704">
      <dataBar>
        <cfvo type="min"/>
        <cfvo type="max"/>
        <color rgb="FF63C384"/>
      </dataBar>
      <extLst>
        <ext xmlns:x14="http://schemas.microsoft.com/office/spreadsheetml/2009/9/main" uri="{B025F937-C7B1-47D3-B67F-A62EFF666E3E}">
          <x14:id>{59732DA7-E141-4275-AA6B-CE3A9F778F5A}</x14:id>
        </ext>
      </extLst>
    </cfRule>
  </conditionalFormatting>
  <conditionalFormatting sqref="Z859">
    <cfRule type="dataBar" priority="1703">
      <dataBar>
        <cfvo type="min"/>
        <cfvo type="max"/>
        <color rgb="FF63C384"/>
      </dataBar>
      <extLst>
        <ext xmlns:x14="http://schemas.microsoft.com/office/spreadsheetml/2009/9/main" uri="{B025F937-C7B1-47D3-B67F-A62EFF666E3E}">
          <x14:id>{4D3A80DE-74FC-4EA2-9F05-8C717CEB14ED}</x14:id>
        </ext>
      </extLst>
    </cfRule>
  </conditionalFormatting>
  <conditionalFormatting sqref="T859">
    <cfRule type="expression" dxfId="7476" priority="1702">
      <formula>AND(AND($W859&lt;TODAY(),$W859&lt;&gt;""),$X859="")</formula>
    </cfRule>
  </conditionalFormatting>
  <conditionalFormatting sqref="J859">
    <cfRule type="cellIs" dxfId="7475" priority="1701" operator="equal">
      <formula>"ja"</formula>
    </cfRule>
  </conditionalFormatting>
  <conditionalFormatting sqref="Z859">
    <cfRule type="dataBar" priority="1700">
      <dataBar>
        <cfvo type="min"/>
        <cfvo type="max"/>
        <color rgb="FF63C384"/>
      </dataBar>
      <extLst>
        <ext xmlns:x14="http://schemas.microsoft.com/office/spreadsheetml/2009/9/main" uri="{B025F937-C7B1-47D3-B67F-A62EFF666E3E}">
          <x14:id>{B1F5FE57-A327-41FE-BFCC-D4836DB8FD47}</x14:id>
        </ext>
      </extLst>
    </cfRule>
  </conditionalFormatting>
  <conditionalFormatting sqref="Z859">
    <cfRule type="dataBar" priority="1699">
      <dataBar>
        <cfvo type="min"/>
        <cfvo type="max"/>
        <color rgb="FF63C384"/>
      </dataBar>
      <extLst>
        <ext xmlns:x14="http://schemas.microsoft.com/office/spreadsheetml/2009/9/main" uri="{B025F937-C7B1-47D3-B67F-A62EFF666E3E}">
          <x14:id>{A8CD8A60-4972-465E-B883-2FB8F23E4915}</x14:id>
        </ext>
      </extLst>
    </cfRule>
  </conditionalFormatting>
  <conditionalFormatting sqref="T860">
    <cfRule type="expression" dxfId="7474" priority="1698">
      <formula>AND(AND($W860&lt;TODAY(),$W860&lt;&gt;""),$X860="")</formula>
    </cfRule>
  </conditionalFormatting>
  <conditionalFormatting sqref="Z860">
    <cfRule type="dataBar" priority="1697">
      <dataBar>
        <cfvo type="min"/>
        <cfvo type="max"/>
        <color rgb="FF63C384"/>
      </dataBar>
      <extLst>
        <ext xmlns:x14="http://schemas.microsoft.com/office/spreadsheetml/2009/9/main" uri="{B025F937-C7B1-47D3-B67F-A62EFF666E3E}">
          <x14:id>{717AD125-3564-47C3-9E32-3A98439DC2DF}</x14:id>
        </ext>
      </extLst>
    </cfRule>
  </conditionalFormatting>
  <conditionalFormatting sqref="Z860">
    <cfRule type="dataBar" priority="1696">
      <dataBar>
        <cfvo type="min"/>
        <cfvo type="max"/>
        <color rgb="FF63C384"/>
      </dataBar>
      <extLst>
        <ext xmlns:x14="http://schemas.microsoft.com/office/spreadsheetml/2009/9/main" uri="{B025F937-C7B1-47D3-B67F-A62EFF666E3E}">
          <x14:id>{7C97F01D-0481-4BC4-9667-6B8F7C00E974}</x14:id>
        </ext>
      </extLst>
    </cfRule>
  </conditionalFormatting>
  <conditionalFormatting sqref="T860">
    <cfRule type="expression" dxfId="7473" priority="1695">
      <formula>AND(AND($W860&lt;TODAY(),$W860&lt;&gt;""),$X860="")</formula>
    </cfRule>
  </conditionalFormatting>
  <conditionalFormatting sqref="Z860">
    <cfRule type="dataBar" priority="1694">
      <dataBar>
        <cfvo type="min"/>
        <cfvo type="max"/>
        <color rgb="FF63C384"/>
      </dataBar>
      <extLst>
        <ext xmlns:x14="http://schemas.microsoft.com/office/spreadsheetml/2009/9/main" uri="{B025F937-C7B1-47D3-B67F-A62EFF666E3E}">
          <x14:id>{C7B5EA4F-85A2-432E-B712-D565764A4064}</x14:id>
        </ext>
      </extLst>
    </cfRule>
  </conditionalFormatting>
  <conditionalFormatting sqref="Z860">
    <cfRule type="dataBar" priority="1693">
      <dataBar>
        <cfvo type="min"/>
        <cfvo type="max"/>
        <color rgb="FF63C384"/>
      </dataBar>
      <extLst>
        <ext xmlns:x14="http://schemas.microsoft.com/office/spreadsheetml/2009/9/main" uri="{B025F937-C7B1-47D3-B67F-A62EFF666E3E}">
          <x14:id>{7A0911AD-EE65-48A1-90C5-6173F03B497B}</x14:id>
        </ext>
      </extLst>
    </cfRule>
  </conditionalFormatting>
  <conditionalFormatting sqref="T861">
    <cfRule type="expression" dxfId="7472" priority="1692">
      <formula>AND(AND($W861&lt;TODAY(),$W861&lt;&gt;""),$X861="")</formula>
    </cfRule>
  </conditionalFormatting>
  <conditionalFormatting sqref="Z861">
    <cfRule type="dataBar" priority="1691">
      <dataBar>
        <cfvo type="min"/>
        <cfvo type="max"/>
        <color rgb="FF63C384"/>
      </dataBar>
      <extLst>
        <ext xmlns:x14="http://schemas.microsoft.com/office/spreadsheetml/2009/9/main" uri="{B025F937-C7B1-47D3-B67F-A62EFF666E3E}">
          <x14:id>{94CF9C29-C1F3-47FD-B7F2-4D5B05E8311B}</x14:id>
        </ext>
      </extLst>
    </cfRule>
  </conditionalFormatting>
  <conditionalFormatting sqref="Z861">
    <cfRule type="dataBar" priority="1690">
      <dataBar>
        <cfvo type="min"/>
        <cfvo type="max"/>
        <color rgb="FF63C384"/>
      </dataBar>
      <extLst>
        <ext xmlns:x14="http://schemas.microsoft.com/office/spreadsheetml/2009/9/main" uri="{B025F937-C7B1-47D3-B67F-A62EFF666E3E}">
          <x14:id>{07DA3207-FB28-4E8A-B8A8-F9952228DEAA}</x14:id>
        </ext>
      </extLst>
    </cfRule>
  </conditionalFormatting>
  <conditionalFormatting sqref="J861">
    <cfRule type="cellIs" dxfId="7471" priority="1689" operator="equal">
      <formula>"ja"</formula>
    </cfRule>
  </conditionalFormatting>
  <conditionalFormatting sqref="C861">
    <cfRule type="containsText" dxfId="7470" priority="1687" operator="containsText" text="Einnahmen">
      <formula>NOT(ISERROR(SEARCH("Einnahmen",C861)))</formula>
    </cfRule>
    <cfRule type="containsText" dxfId="7469" priority="1688" operator="containsText" text="Ausgaben">
      <formula>NOT(ISERROR(SEARCH("Ausgaben",C861)))</formula>
    </cfRule>
  </conditionalFormatting>
  <conditionalFormatting sqref="J862">
    <cfRule type="cellIs" dxfId="7468" priority="1686" operator="equal">
      <formula>"ja"</formula>
    </cfRule>
  </conditionalFormatting>
  <conditionalFormatting sqref="C862">
    <cfRule type="containsText" dxfId="7467" priority="1684" operator="containsText" text="Einnahmen">
      <formula>NOT(ISERROR(SEARCH("Einnahmen",C862)))</formula>
    </cfRule>
    <cfRule type="containsText" dxfId="7466" priority="1685" operator="containsText" text="Ausgaben">
      <formula>NOT(ISERROR(SEARCH("Ausgaben",C862)))</formula>
    </cfRule>
  </conditionalFormatting>
  <conditionalFormatting sqref="T862">
    <cfRule type="expression" dxfId="7465" priority="1683">
      <formula>AND(AND($W862&lt;TODAY(),$W862&lt;&gt;""),$X862="")</formula>
    </cfRule>
  </conditionalFormatting>
  <conditionalFormatting sqref="Z862">
    <cfRule type="dataBar" priority="1682">
      <dataBar>
        <cfvo type="min"/>
        <cfvo type="max"/>
        <color rgb="FF63C384"/>
      </dataBar>
      <extLst>
        <ext xmlns:x14="http://schemas.microsoft.com/office/spreadsheetml/2009/9/main" uri="{B025F937-C7B1-47D3-B67F-A62EFF666E3E}">
          <x14:id>{30D2F34C-EEE7-46A1-A35A-35A9B49B0861}</x14:id>
        </ext>
      </extLst>
    </cfRule>
  </conditionalFormatting>
  <conditionalFormatting sqref="Z862">
    <cfRule type="dataBar" priority="1681">
      <dataBar>
        <cfvo type="min"/>
        <cfvo type="max"/>
        <color rgb="FF63C384"/>
      </dataBar>
      <extLst>
        <ext xmlns:x14="http://schemas.microsoft.com/office/spreadsheetml/2009/9/main" uri="{B025F937-C7B1-47D3-B67F-A62EFF666E3E}">
          <x14:id>{036A3B4D-7057-4935-8D4C-BDAB82789347}</x14:id>
        </ext>
      </extLst>
    </cfRule>
  </conditionalFormatting>
  <conditionalFormatting sqref="J862">
    <cfRule type="cellIs" dxfId="7464" priority="1680" operator="equal">
      <formula>"ja"</formula>
    </cfRule>
  </conditionalFormatting>
  <conditionalFormatting sqref="T862">
    <cfRule type="expression" dxfId="7463" priority="1679">
      <formula>AND(AND($W862&lt;TODAY(),$W862&lt;&gt;""),$X862="")</formula>
    </cfRule>
  </conditionalFormatting>
  <conditionalFormatting sqref="Z862">
    <cfRule type="dataBar" priority="1678">
      <dataBar>
        <cfvo type="min"/>
        <cfvo type="max"/>
        <color rgb="FF63C384"/>
      </dataBar>
      <extLst>
        <ext xmlns:x14="http://schemas.microsoft.com/office/spreadsheetml/2009/9/main" uri="{B025F937-C7B1-47D3-B67F-A62EFF666E3E}">
          <x14:id>{3D8EBCA4-24E8-4251-9785-44E5242A4F55}</x14:id>
        </ext>
      </extLst>
    </cfRule>
  </conditionalFormatting>
  <conditionalFormatting sqref="Z862">
    <cfRule type="dataBar" priority="1677">
      <dataBar>
        <cfvo type="min"/>
        <cfvo type="max"/>
        <color rgb="FF63C384"/>
      </dataBar>
      <extLst>
        <ext xmlns:x14="http://schemas.microsoft.com/office/spreadsheetml/2009/9/main" uri="{B025F937-C7B1-47D3-B67F-A62EFF666E3E}">
          <x14:id>{C0B27122-AF89-47FE-A0DC-07E3BC7F59B6}</x14:id>
        </ext>
      </extLst>
    </cfRule>
  </conditionalFormatting>
  <conditionalFormatting sqref="J862">
    <cfRule type="cellIs" dxfId="7462" priority="1676" operator="equal">
      <formula>"ja"</formula>
    </cfRule>
  </conditionalFormatting>
  <conditionalFormatting sqref="C862">
    <cfRule type="containsText" dxfId="7461" priority="1674" operator="containsText" text="Einnahmen">
      <formula>NOT(ISERROR(SEARCH("Einnahmen",C862)))</formula>
    </cfRule>
    <cfRule type="containsText" dxfId="7460" priority="1675" operator="containsText" text="Ausgaben">
      <formula>NOT(ISERROR(SEARCH("Ausgaben",C862)))</formula>
    </cfRule>
  </conditionalFormatting>
  <conditionalFormatting sqref="T862">
    <cfRule type="expression" dxfId="7459" priority="1673">
      <formula>AND(AND($W862&lt;TODAY(),$W862&lt;&gt;""),$X862="")</formula>
    </cfRule>
  </conditionalFormatting>
  <conditionalFormatting sqref="Z862">
    <cfRule type="dataBar" priority="1672">
      <dataBar>
        <cfvo type="min"/>
        <cfvo type="max"/>
        <color rgb="FF63C384"/>
      </dataBar>
      <extLst>
        <ext xmlns:x14="http://schemas.microsoft.com/office/spreadsheetml/2009/9/main" uri="{B025F937-C7B1-47D3-B67F-A62EFF666E3E}">
          <x14:id>{FD820356-970D-4AC7-8BD2-7D73E3F8CD95}</x14:id>
        </ext>
      </extLst>
    </cfRule>
  </conditionalFormatting>
  <conditionalFormatting sqref="Z862">
    <cfRule type="dataBar" priority="1671">
      <dataBar>
        <cfvo type="min"/>
        <cfvo type="max"/>
        <color rgb="FF63C384"/>
      </dataBar>
      <extLst>
        <ext xmlns:x14="http://schemas.microsoft.com/office/spreadsheetml/2009/9/main" uri="{B025F937-C7B1-47D3-B67F-A62EFF666E3E}">
          <x14:id>{4C923965-7277-43F4-A464-7474C85A97D6}</x14:id>
        </ext>
      </extLst>
    </cfRule>
  </conditionalFormatting>
  <conditionalFormatting sqref="T863:T864">
    <cfRule type="expression" dxfId="7458" priority="1670">
      <formula>AND(AND($W863&lt;TODAY(),$W863&lt;&gt;""),$X863="")</formula>
    </cfRule>
  </conditionalFormatting>
  <conditionalFormatting sqref="Z863">
    <cfRule type="dataBar" priority="1669">
      <dataBar>
        <cfvo type="min"/>
        <cfvo type="max"/>
        <color rgb="FF63C384"/>
      </dataBar>
      <extLst>
        <ext xmlns:x14="http://schemas.microsoft.com/office/spreadsheetml/2009/9/main" uri="{B025F937-C7B1-47D3-B67F-A62EFF666E3E}">
          <x14:id>{113CFAF2-EEF3-4B5E-B690-A2D5EDB1705F}</x14:id>
        </ext>
      </extLst>
    </cfRule>
  </conditionalFormatting>
  <conditionalFormatting sqref="Z863">
    <cfRule type="dataBar" priority="1668">
      <dataBar>
        <cfvo type="min"/>
        <cfvo type="max"/>
        <color rgb="FF63C384"/>
      </dataBar>
      <extLst>
        <ext xmlns:x14="http://schemas.microsoft.com/office/spreadsheetml/2009/9/main" uri="{B025F937-C7B1-47D3-B67F-A62EFF666E3E}">
          <x14:id>{537B2DFD-8A28-4669-82C8-944B3BDEDD75}</x14:id>
        </ext>
      </extLst>
    </cfRule>
  </conditionalFormatting>
  <conditionalFormatting sqref="C863">
    <cfRule type="containsText" dxfId="7457" priority="1666" operator="containsText" text="Einnahmen">
      <formula>NOT(ISERROR(SEARCH("Einnahmen",C863)))</formula>
    </cfRule>
    <cfRule type="containsText" dxfId="7456" priority="1667" operator="containsText" text="Ausgaben">
      <formula>NOT(ISERROR(SEARCH("Ausgaben",C863)))</formula>
    </cfRule>
  </conditionalFormatting>
  <conditionalFormatting sqref="C863">
    <cfRule type="containsText" dxfId="7455" priority="1664" operator="containsText" text="Einnahmen">
      <formula>NOT(ISERROR(SEARCH("Einnahmen",C863)))</formula>
    </cfRule>
    <cfRule type="containsText" dxfId="7454" priority="1665" operator="containsText" text="Ausgaben">
      <formula>NOT(ISERROR(SEARCH("Ausgaben",C863)))</formula>
    </cfRule>
  </conditionalFormatting>
  <conditionalFormatting sqref="J864">
    <cfRule type="cellIs" dxfId="7453" priority="1663" operator="equal">
      <formula>"ja"</formula>
    </cfRule>
  </conditionalFormatting>
  <conditionalFormatting sqref="Z864">
    <cfRule type="dataBar" priority="1661">
      <dataBar>
        <cfvo type="min"/>
        <cfvo type="max"/>
        <color rgb="FF63C384"/>
      </dataBar>
      <extLst>
        <ext xmlns:x14="http://schemas.microsoft.com/office/spreadsheetml/2009/9/main" uri="{B025F937-C7B1-47D3-B67F-A62EFF666E3E}">
          <x14:id>{B4F63778-AC0A-4964-939C-2592B40AB82A}</x14:id>
        </ext>
      </extLst>
    </cfRule>
  </conditionalFormatting>
  <conditionalFormatting sqref="Z864">
    <cfRule type="dataBar" priority="1660">
      <dataBar>
        <cfvo type="min"/>
        <cfvo type="max"/>
        <color rgb="FF63C384"/>
      </dataBar>
      <extLst>
        <ext xmlns:x14="http://schemas.microsoft.com/office/spreadsheetml/2009/9/main" uri="{B025F937-C7B1-47D3-B67F-A62EFF666E3E}">
          <x14:id>{60CAEEE7-9966-4223-A18B-10E7098217CB}</x14:id>
        </ext>
      </extLst>
    </cfRule>
  </conditionalFormatting>
  <conditionalFormatting sqref="J864">
    <cfRule type="cellIs" dxfId="7452" priority="1659" operator="equal">
      <formula>"ja"</formula>
    </cfRule>
  </conditionalFormatting>
  <conditionalFormatting sqref="Z864">
    <cfRule type="dataBar" priority="1657">
      <dataBar>
        <cfvo type="min"/>
        <cfvo type="max"/>
        <color rgb="FF63C384"/>
      </dataBar>
      <extLst>
        <ext xmlns:x14="http://schemas.microsoft.com/office/spreadsheetml/2009/9/main" uri="{B025F937-C7B1-47D3-B67F-A62EFF666E3E}">
          <x14:id>{A6940A9B-3690-4406-95D7-3106EE75B419}</x14:id>
        </ext>
      </extLst>
    </cfRule>
  </conditionalFormatting>
  <conditionalFormatting sqref="Z864">
    <cfRule type="dataBar" priority="1656">
      <dataBar>
        <cfvo type="min"/>
        <cfvo type="max"/>
        <color rgb="FF63C384"/>
      </dataBar>
      <extLst>
        <ext xmlns:x14="http://schemas.microsoft.com/office/spreadsheetml/2009/9/main" uri="{B025F937-C7B1-47D3-B67F-A62EFF666E3E}">
          <x14:id>{CF8E9160-F2DA-4A81-8606-BD622EC0919F}</x14:id>
        </ext>
      </extLst>
    </cfRule>
  </conditionalFormatting>
  <conditionalFormatting sqref="J865">
    <cfRule type="cellIs" dxfId="7451" priority="1655" operator="equal">
      <formula>"ja"</formula>
    </cfRule>
  </conditionalFormatting>
  <conditionalFormatting sqref="T865">
    <cfRule type="expression" dxfId="7450" priority="1654">
      <formula>AND(AND($W865&lt;TODAY(),$W865&lt;&gt;""),$X865="")</formula>
    </cfRule>
  </conditionalFormatting>
  <conditionalFormatting sqref="Z865">
    <cfRule type="dataBar" priority="1653">
      <dataBar>
        <cfvo type="min"/>
        <cfvo type="max"/>
        <color rgb="FF63C384"/>
      </dataBar>
      <extLst>
        <ext xmlns:x14="http://schemas.microsoft.com/office/spreadsheetml/2009/9/main" uri="{B025F937-C7B1-47D3-B67F-A62EFF666E3E}">
          <x14:id>{FDCC65E3-2CE3-4706-8B88-89406A02C452}</x14:id>
        </ext>
      </extLst>
    </cfRule>
  </conditionalFormatting>
  <conditionalFormatting sqref="Z865">
    <cfRule type="dataBar" priority="1652">
      <dataBar>
        <cfvo type="min"/>
        <cfvo type="max"/>
        <color rgb="FF63C384"/>
      </dataBar>
      <extLst>
        <ext xmlns:x14="http://schemas.microsoft.com/office/spreadsheetml/2009/9/main" uri="{B025F937-C7B1-47D3-B67F-A62EFF666E3E}">
          <x14:id>{AADA401A-9CCC-4295-8572-F70090B71324}</x14:id>
        </ext>
      </extLst>
    </cfRule>
  </conditionalFormatting>
  <conditionalFormatting sqref="T865">
    <cfRule type="expression" dxfId="7449" priority="1651">
      <formula>AND(AND($W865&lt;TODAY(),$W865&lt;&gt;""),$X865="")</formula>
    </cfRule>
  </conditionalFormatting>
  <conditionalFormatting sqref="Z865">
    <cfRule type="dataBar" priority="1650">
      <dataBar>
        <cfvo type="min"/>
        <cfvo type="max"/>
        <color rgb="FF63C384"/>
      </dataBar>
      <extLst>
        <ext xmlns:x14="http://schemas.microsoft.com/office/spreadsheetml/2009/9/main" uri="{B025F937-C7B1-47D3-B67F-A62EFF666E3E}">
          <x14:id>{6108E0B8-46A1-4C6C-8BA6-534E037046EB}</x14:id>
        </ext>
      </extLst>
    </cfRule>
  </conditionalFormatting>
  <conditionalFormatting sqref="Z865">
    <cfRule type="dataBar" priority="1649">
      <dataBar>
        <cfvo type="min"/>
        <cfvo type="max"/>
        <color rgb="FF63C384"/>
      </dataBar>
      <extLst>
        <ext xmlns:x14="http://schemas.microsoft.com/office/spreadsheetml/2009/9/main" uri="{B025F937-C7B1-47D3-B67F-A62EFF666E3E}">
          <x14:id>{796C8869-5149-4AF0-864F-C3105AA1329C}</x14:id>
        </ext>
      </extLst>
    </cfRule>
  </conditionalFormatting>
  <conditionalFormatting sqref="J865">
    <cfRule type="cellIs" dxfId="7448" priority="1648" operator="equal">
      <formula>"ja"</formula>
    </cfRule>
  </conditionalFormatting>
  <conditionalFormatting sqref="C865">
    <cfRule type="containsText" dxfId="7447" priority="1646" operator="containsText" text="Einnahmen">
      <formula>NOT(ISERROR(SEARCH("Einnahmen",C865)))</formula>
    </cfRule>
    <cfRule type="containsText" dxfId="7446" priority="1647" operator="containsText" text="Ausgaben">
      <formula>NOT(ISERROR(SEARCH("Ausgaben",C865)))</formula>
    </cfRule>
  </conditionalFormatting>
  <conditionalFormatting sqref="J866">
    <cfRule type="cellIs" dxfId="7445" priority="1645" operator="equal">
      <formula>"ja"</formula>
    </cfRule>
  </conditionalFormatting>
  <conditionalFormatting sqref="T866">
    <cfRule type="expression" dxfId="7444" priority="1644">
      <formula>AND(AND($W866&lt;TODAY(),$W866&lt;&gt;""),$X866="")</formula>
    </cfRule>
  </conditionalFormatting>
  <conditionalFormatting sqref="Z866">
    <cfRule type="dataBar" priority="1643">
      <dataBar>
        <cfvo type="min"/>
        <cfvo type="max"/>
        <color rgb="FF63C384"/>
      </dataBar>
      <extLst>
        <ext xmlns:x14="http://schemas.microsoft.com/office/spreadsheetml/2009/9/main" uri="{B025F937-C7B1-47D3-B67F-A62EFF666E3E}">
          <x14:id>{52FC99B3-8CEC-4553-9130-901E5F7908D6}</x14:id>
        </ext>
      </extLst>
    </cfRule>
  </conditionalFormatting>
  <conditionalFormatting sqref="Z866">
    <cfRule type="dataBar" priority="1642">
      <dataBar>
        <cfvo type="min"/>
        <cfvo type="max"/>
        <color rgb="FF63C384"/>
      </dataBar>
      <extLst>
        <ext xmlns:x14="http://schemas.microsoft.com/office/spreadsheetml/2009/9/main" uri="{B025F937-C7B1-47D3-B67F-A62EFF666E3E}">
          <x14:id>{0EBED00A-203F-430F-BFF2-929218EEC540}</x14:id>
        </ext>
      </extLst>
    </cfRule>
  </conditionalFormatting>
  <conditionalFormatting sqref="T866">
    <cfRule type="expression" dxfId="7443" priority="1641">
      <formula>AND(AND($W866&lt;TODAY(),$W866&lt;&gt;""),$X866="")</formula>
    </cfRule>
  </conditionalFormatting>
  <conditionalFormatting sqref="J866">
    <cfRule type="cellIs" dxfId="7442" priority="1640" operator="equal">
      <formula>"ja"</formula>
    </cfRule>
  </conditionalFormatting>
  <conditionalFormatting sqref="Z866">
    <cfRule type="dataBar" priority="1639">
      <dataBar>
        <cfvo type="min"/>
        <cfvo type="max"/>
        <color rgb="FF63C384"/>
      </dataBar>
      <extLst>
        <ext xmlns:x14="http://schemas.microsoft.com/office/spreadsheetml/2009/9/main" uri="{B025F937-C7B1-47D3-B67F-A62EFF666E3E}">
          <x14:id>{0FFA486D-90D6-4519-B546-7DA46B3DD950}</x14:id>
        </ext>
      </extLst>
    </cfRule>
  </conditionalFormatting>
  <conditionalFormatting sqref="Z866">
    <cfRule type="dataBar" priority="1638">
      <dataBar>
        <cfvo type="min"/>
        <cfvo type="max"/>
        <color rgb="FF63C384"/>
      </dataBar>
      <extLst>
        <ext xmlns:x14="http://schemas.microsoft.com/office/spreadsheetml/2009/9/main" uri="{B025F937-C7B1-47D3-B67F-A62EFF666E3E}">
          <x14:id>{30DADE6B-5143-4870-92C9-8072EEF7D199}</x14:id>
        </ext>
      </extLst>
    </cfRule>
  </conditionalFormatting>
  <conditionalFormatting sqref="J867">
    <cfRule type="cellIs" dxfId="7441" priority="1637" operator="equal">
      <formula>"ja"</formula>
    </cfRule>
  </conditionalFormatting>
  <conditionalFormatting sqref="C867">
    <cfRule type="containsText" dxfId="7440" priority="1635" operator="containsText" text="Einnahmen">
      <formula>NOT(ISERROR(SEARCH("Einnahmen",C867)))</formula>
    </cfRule>
    <cfRule type="containsText" dxfId="7439" priority="1636" operator="containsText" text="Ausgaben">
      <formula>NOT(ISERROR(SEARCH("Ausgaben",C867)))</formula>
    </cfRule>
  </conditionalFormatting>
  <conditionalFormatting sqref="T867">
    <cfRule type="expression" dxfId="7438" priority="1634">
      <formula>AND(AND($W867&lt;TODAY(),$W867&lt;&gt;""),$X867="")</formula>
    </cfRule>
  </conditionalFormatting>
  <conditionalFormatting sqref="Z867">
    <cfRule type="dataBar" priority="1633">
      <dataBar>
        <cfvo type="min"/>
        <cfvo type="max"/>
        <color rgb="FF63C384"/>
      </dataBar>
      <extLst>
        <ext xmlns:x14="http://schemas.microsoft.com/office/spreadsheetml/2009/9/main" uri="{B025F937-C7B1-47D3-B67F-A62EFF666E3E}">
          <x14:id>{012BAA12-0B31-4E86-9C83-2D46B3B2CCF0}</x14:id>
        </ext>
      </extLst>
    </cfRule>
  </conditionalFormatting>
  <conditionalFormatting sqref="Z867">
    <cfRule type="dataBar" priority="1632">
      <dataBar>
        <cfvo type="min"/>
        <cfvo type="max"/>
        <color rgb="FF63C384"/>
      </dataBar>
      <extLst>
        <ext xmlns:x14="http://schemas.microsoft.com/office/spreadsheetml/2009/9/main" uri="{B025F937-C7B1-47D3-B67F-A62EFF666E3E}">
          <x14:id>{4EF90B01-3923-4D46-9D2E-C4CA255CE47E}</x14:id>
        </ext>
      </extLst>
    </cfRule>
  </conditionalFormatting>
  <conditionalFormatting sqref="C868:C869">
    <cfRule type="containsText" dxfId="7437" priority="1630" operator="containsText" text="Einnahmen">
      <formula>NOT(ISERROR(SEARCH("Einnahmen",C868)))</formula>
    </cfRule>
    <cfRule type="containsText" dxfId="7436" priority="1631" operator="containsText" text="Ausgaben">
      <formula>NOT(ISERROR(SEARCH("Ausgaben",C868)))</formula>
    </cfRule>
  </conditionalFormatting>
  <conditionalFormatting sqref="T868">
    <cfRule type="expression" dxfId="7435" priority="1629">
      <formula>AND(AND($W868&lt;TODAY(),$W868&lt;&gt;""),$X868="")</formula>
    </cfRule>
  </conditionalFormatting>
  <conditionalFormatting sqref="J868">
    <cfRule type="cellIs" dxfId="7434" priority="1628" operator="equal">
      <formula>"ja"</formula>
    </cfRule>
  </conditionalFormatting>
  <conditionalFormatting sqref="Z868">
    <cfRule type="dataBar" priority="1627">
      <dataBar>
        <cfvo type="min"/>
        <cfvo type="max"/>
        <color rgb="FF63C384"/>
      </dataBar>
      <extLst>
        <ext xmlns:x14="http://schemas.microsoft.com/office/spreadsheetml/2009/9/main" uri="{B025F937-C7B1-47D3-B67F-A62EFF666E3E}">
          <x14:id>{F25CDCE5-13BD-4B33-889B-2F7D0EA61591}</x14:id>
        </ext>
      </extLst>
    </cfRule>
  </conditionalFormatting>
  <conditionalFormatting sqref="Z868">
    <cfRule type="dataBar" priority="1626">
      <dataBar>
        <cfvo type="min"/>
        <cfvo type="max"/>
        <color rgb="FF63C384"/>
      </dataBar>
      <extLst>
        <ext xmlns:x14="http://schemas.microsoft.com/office/spreadsheetml/2009/9/main" uri="{B025F937-C7B1-47D3-B67F-A62EFF666E3E}">
          <x14:id>{3D89CD9B-2E2D-444A-B6D6-AC754B0BB085}</x14:id>
        </ext>
      </extLst>
    </cfRule>
  </conditionalFormatting>
  <conditionalFormatting sqref="J869">
    <cfRule type="cellIs" dxfId="7433" priority="1625" operator="equal">
      <formula>"ja"</formula>
    </cfRule>
  </conditionalFormatting>
  <conditionalFormatting sqref="J869">
    <cfRule type="cellIs" dxfId="7432" priority="1621" operator="equal">
      <formula>"ja"</formula>
    </cfRule>
  </conditionalFormatting>
  <conditionalFormatting sqref="T869:T930">
    <cfRule type="expression" dxfId="7431" priority="1615">
      <formula>AND(AND($W869&lt;TODAY(),$W869&lt;&gt;""),$X869="")</formula>
    </cfRule>
  </conditionalFormatting>
  <conditionalFormatting sqref="Z869:Z873">
    <cfRule type="dataBar" priority="1614">
      <dataBar>
        <cfvo type="min"/>
        <cfvo type="max"/>
        <color rgb="FF63C384"/>
      </dataBar>
      <extLst>
        <ext xmlns:x14="http://schemas.microsoft.com/office/spreadsheetml/2009/9/main" uri="{B025F937-C7B1-47D3-B67F-A62EFF666E3E}">
          <x14:id>{35B1CBBC-A770-4770-9C92-DCF245963343}</x14:id>
        </ext>
      </extLst>
    </cfRule>
  </conditionalFormatting>
  <conditionalFormatting sqref="Z869:Z873">
    <cfRule type="dataBar" priority="1613">
      <dataBar>
        <cfvo type="min"/>
        <cfvo type="max"/>
        <color rgb="FF63C384"/>
      </dataBar>
      <extLst>
        <ext xmlns:x14="http://schemas.microsoft.com/office/spreadsheetml/2009/9/main" uri="{B025F937-C7B1-47D3-B67F-A62EFF666E3E}">
          <x14:id>{55EAE034-ABF3-47BE-9C79-47DFAE2A7D5B}</x14:id>
        </ext>
      </extLst>
    </cfRule>
  </conditionalFormatting>
  <conditionalFormatting sqref="J875">
    <cfRule type="cellIs" dxfId="7430" priority="1612" operator="equal">
      <formula>"ja"</formula>
    </cfRule>
  </conditionalFormatting>
  <conditionalFormatting sqref="Z875">
    <cfRule type="dataBar" priority="1610">
      <dataBar>
        <cfvo type="min"/>
        <cfvo type="max"/>
        <color rgb="FF63C384"/>
      </dataBar>
      <extLst>
        <ext xmlns:x14="http://schemas.microsoft.com/office/spreadsheetml/2009/9/main" uri="{B025F937-C7B1-47D3-B67F-A62EFF666E3E}">
          <x14:id>{E0DCB229-CC67-47B5-BAE4-71015B00B500}</x14:id>
        </ext>
      </extLst>
    </cfRule>
  </conditionalFormatting>
  <conditionalFormatting sqref="Z875">
    <cfRule type="dataBar" priority="1609">
      <dataBar>
        <cfvo type="min"/>
        <cfvo type="max"/>
        <color rgb="FF63C384"/>
      </dataBar>
      <extLst>
        <ext xmlns:x14="http://schemas.microsoft.com/office/spreadsheetml/2009/9/main" uri="{B025F937-C7B1-47D3-B67F-A62EFF666E3E}">
          <x14:id>{3286EA5F-0FD5-4707-8526-E18DEFFAE56D}</x14:id>
        </ext>
      </extLst>
    </cfRule>
  </conditionalFormatting>
  <conditionalFormatting sqref="J875">
    <cfRule type="cellIs" dxfId="7429" priority="1608" operator="equal">
      <formula>"ja"</formula>
    </cfRule>
  </conditionalFormatting>
  <conditionalFormatting sqref="Z875">
    <cfRule type="dataBar" priority="1606">
      <dataBar>
        <cfvo type="min"/>
        <cfvo type="max"/>
        <color rgb="FF63C384"/>
      </dataBar>
      <extLst>
        <ext xmlns:x14="http://schemas.microsoft.com/office/spreadsheetml/2009/9/main" uri="{B025F937-C7B1-47D3-B67F-A62EFF666E3E}">
          <x14:id>{47A83B23-7BBA-4AD9-B940-FD973D083AA8}</x14:id>
        </ext>
      </extLst>
    </cfRule>
  </conditionalFormatting>
  <conditionalFormatting sqref="Z875">
    <cfRule type="dataBar" priority="1605">
      <dataBar>
        <cfvo type="min"/>
        <cfvo type="max"/>
        <color rgb="FF63C384"/>
      </dataBar>
      <extLst>
        <ext xmlns:x14="http://schemas.microsoft.com/office/spreadsheetml/2009/9/main" uri="{B025F937-C7B1-47D3-B67F-A62EFF666E3E}">
          <x14:id>{D12EE58B-3C1C-41DE-A509-75BACD0EBB35}</x14:id>
        </ext>
      </extLst>
    </cfRule>
  </conditionalFormatting>
  <conditionalFormatting sqref="C875">
    <cfRule type="containsText" dxfId="7428" priority="1603" operator="containsText" text="Einnahmen">
      <formula>NOT(ISERROR(SEARCH("Einnahmen",C875)))</formula>
    </cfRule>
    <cfRule type="containsText" dxfId="7427" priority="1604" operator="containsText" text="Ausgaben">
      <formula>NOT(ISERROR(SEARCH("Ausgaben",C875)))</formula>
    </cfRule>
  </conditionalFormatting>
  <conditionalFormatting sqref="C876">
    <cfRule type="containsText" dxfId="7426" priority="1601" operator="containsText" text="Einnahmen">
      <formula>NOT(ISERROR(SEARCH("Einnahmen",C876)))</formula>
    </cfRule>
    <cfRule type="containsText" dxfId="7425" priority="1602" operator="containsText" text="Ausgaben">
      <formula>NOT(ISERROR(SEARCH("Ausgaben",C876)))</formula>
    </cfRule>
  </conditionalFormatting>
  <conditionalFormatting sqref="J876">
    <cfRule type="cellIs" dxfId="7424" priority="1600" operator="equal">
      <formula>"ja"</formula>
    </cfRule>
  </conditionalFormatting>
  <conditionalFormatting sqref="Z876">
    <cfRule type="dataBar" priority="1598">
      <dataBar>
        <cfvo type="min"/>
        <cfvo type="max"/>
        <color rgb="FF63C384"/>
      </dataBar>
      <extLst>
        <ext xmlns:x14="http://schemas.microsoft.com/office/spreadsheetml/2009/9/main" uri="{B025F937-C7B1-47D3-B67F-A62EFF666E3E}">
          <x14:id>{005622EF-D2A5-4D82-A1D8-429CC2154513}</x14:id>
        </ext>
      </extLst>
    </cfRule>
  </conditionalFormatting>
  <conditionalFormatting sqref="Z876">
    <cfRule type="dataBar" priority="1597">
      <dataBar>
        <cfvo type="min"/>
        <cfvo type="max"/>
        <color rgb="FF63C384"/>
      </dataBar>
      <extLst>
        <ext xmlns:x14="http://schemas.microsoft.com/office/spreadsheetml/2009/9/main" uri="{B025F937-C7B1-47D3-B67F-A62EFF666E3E}">
          <x14:id>{1E37634A-1832-4F64-8A8B-D03951E064B2}</x14:id>
        </ext>
      </extLst>
    </cfRule>
  </conditionalFormatting>
  <conditionalFormatting sqref="J877">
    <cfRule type="cellIs" dxfId="7423" priority="1596" operator="equal">
      <formula>"ja"</formula>
    </cfRule>
  </conditionalFormatting>
  <conditionalFormatting sqref="C877">
    <cfRule type="containsText" dxfId="7422" priority="1594" operator="containsText" text="Einnahmen">
      <formula>NOT(ISERROR(SEARCH("Einnahmen",C877)))</formula>
    </cfRule>
    <cfRule type="containsText" dxfId="7421" priority="1595" operator="containsText" text="Ausgaben">
      <formula>NOT(ISERROR(SEARCH("Ausgaben",C877)))</formula>
    </cfRule>
  </conditionalFormatting>
  <conditionalFormatting sqref="Z877">
    <cfRule type="dataBar" priority="1592">
      <dataBar>
        <cfvo type="min"/>
        <cfvo type="max"/>
        <color rgb="FF63C384"/>
      </dataBar>
      <extLst>
        <ext xmlns:x14="http://schemas.microsoft.com/office/spreadsheetml/2009/9/main" uri="{B025F937-C7B1-47D3-B67F-A62EFF666E3E}">
          <x14:id>{69F75EC6-D861-4705-AF51-B501624B0005}</x14:id>
        </ext>
      </extLst>
    </cfRule>
  </conditionalFormatting>
  <conditionalFormatting sqref="Z877">
    <cfRule type="dataBar" priority="1591">
      <dataBar>
        <cfvo type="min"/>
        <cfvo type="max"/>
        <color rgb="FF63C384"/>
      </dataBar>
      <extLst>
        <ext xmlns:x14="http://schemas.microsoft.com/office/spreadsheetml/2009/9/main" uri="{B025F937-C7B1-47D3-B67F-A62EFF666E3E}">
          <x14:id>{8EC5ED43-0D64-4AD4-8FB7-8A9C23289BCA}</x14:id>
        </ext>
      </extLst>
    </cfRule>
  </conditionalFormatting>
  <conditionalFormatting sqref="Z878">
    <cfRule type="dataBar" priority="1589">
      <dataBar>
        <cfvo type="min"/>
        <cfvo type="max"/>
        <color rgb="FF63C384"/>
      </dataBar>
      <extLst>
        <ext xmlns:x14="http://schemas.microsoft.com/office/spreadsheetml/2009/9/main" uri="{B025F937-C7B1-47D3-B67F-A62EFF666E3E}">
          <x14:id>{0F17CB90-2295-4283-B370-E4AD6C27054D}</x14:id>
        </ext>
      </extLst>
    </cfRule>
  </conditionalFormatting>
  <conditionalFormatting sqref="Z878">
    <cfRule type="dataBar" priority="1588">
      <dataBar>
        <cfvo type="min"/>
        <cfvo type="max"/>
        <color rgb="FF63C384"/>
      </dataBar>
      <extLst>
        <ext xmlns:x14="http://schemas.microsoft.com/office/spreadsheetml/2009/9/main" uri="{B025F937-C7B1-47D3-B67F-A62EFF666E3E}">
          <x14:id>{683E37B3-3696-4F89-BA41-EC54C9DE5E5E}</x14:id>
        </ext>
      </extLst>
    </cfRule>
  </conditionalFormatting>
  <conditionalFormatting sqref="J878">
    <cfRule type="cellIs" dxfId="7420" priority="1587" operator="equal">
      <formula>"ja"</formula>
    </cfRule>
  </conditionalFormatting>
  <conditionalFormatting sqref="C878">
    <cfRule type="containsText" dxfId="7419" priority="1585" operator="containsText" text="Einnahmen">
      <formula>NOT(ISERROR(SEARCH("Einnahmen",C878)))</formula>
    </cfRule>
    <cfRule type="containsText" dxfId="7418" priority="1586" operator="containsText" text="Ausgaben">
      <formula>NOT(ISERROR(SEARCH("Ausgaben",C878)))</formula>
    </cfRule>
  </conditionalFormatting>
  <conditionalFormatting sqref="C879">
    <cfRule type="containsText" dxfId="7417" priority="1583" operator="containsText" text="Einnahmen">
      <formula>NOT(ISERROR(SEARCH("Einnahmen",C879)))</formula>
    </cfRule>
    <cfRule type="containsText" dxfId="7416" priority="1584" operator="containsText" text="Ausgaben">
      <formula>NOT(ISERROR(SEARCH("Ausgaben",C879)))</formula>
    </cfRule>
  </conditionalFormatting>
  <conditionalFormatting sqref="J879">
    <cfRule type="cellIs" dxfId="7415" priority="1582" operator="equal">
      <formula>"ja"</formula>
    </cfRule>
  </conditionalFormatting>
  <conditionalFormatting sqref="Z879">
    <cfRule type="dataBar" priority="1580">
      <dataBar>
        <cfvo type="min"/>
        <cfvo type="max"/>
        <color rgb="FF63C384"/>
      </dataBar>
      <extLst>
        <ext xmlns:x14="http://schemas.microsoft.com/office/spreadsheetml/2009/9/main" uri="{B025F937-C7B1-47D3-B67F-A62EFF666E3E}">
          <x14:id>{E516D7D9-6B57-4AE0-A98C-1972FF40A9FE}</x14:id>
        </ext>
      </extLst>
    </cfRule>
  </conditionalFormatting>
  <conditionalFormatting sqref="Z879">
    <cfRule type="dataBar" priority="1579">
      <dataBar>
        <cfvo type="min"/>
        <cfvo type="max"/>
        <color rgb="FF63C384"/>
      </dataBar>
      <extLst>
        <ext xmlns:x14="http://schemas.microsoft.com/office/spreadsheetml/2009/9/main" uri="{B025F937-C7B1-47D3-B67F-A62EFF666E3E}">
          <x14:id>{E04B4864-FF34-4CE5-834E-295AAD3EBF89}</x14:id>
        </ext>
      </extLst>
    </cfRule>
  </conditionalFormatting>
  <conditionalFormatting sqref="J879">
    <cfRule type="cellIs" dxfId="7414" priority="1577" operator="equal">
      <formula>"ja"</formula>
    </cfRule>
  </conditionalFormatting>
  <conditionalFormatting sqref="Z879">
    <cfRule type="dataBar" priority="1576">
      <dataBar>
        <cfvo type="min"/>
        <cfvo type="max"/>
        <color rgb="FF63C384"/>
      </dataBar>
      <extLst>
        <ext xmlns:x14="http://schemas.microsoft.com/office/spreadsheetml/2009/9/main" uri="{B025F937-C7B1-47D3-B67F-A62EFF666E3E}">
          <x14:id>{279BEFBC-E2F5-4268-BA92-B8A09C3AB1B9}</x14:id>
        </ext>
      </extLst>
    </cfRule>
  </conditionalFormatting>
  <conditionalFormatting sqref="Z879">
    <cfRule type="dataBar" priority="1575">
      <dataBar>
        <cfvo type="min"/>
        <cfvo type="max"/>
        <color rgb="FF63C384"/>
      </dataBar>
      <extLst>
        <ext xmlns:x14="http://schemas.microsoft.com/office/spreadsheetml/2009/9/main" uri="{B025F937-C7B1-47D3-B67F-A62EFF666E3E}">
          <x14:id>{A7163E2D-EBF1-4AA2-A537-10039FBFDF03}</x14:id>
        </ext>
      </extLst>
    </cfRule>
  </conditionalFormatting>
  <conditionalFormatting sqref="C880">
    <cfRule type="containsText" dxfId="7413" priority="1573" operator="containsText" text="Einnahmen">
      <formula>NOT(ISERROR(SEARCH("Einnahmen",C880)))</formula>
    </cfRule>
    <cfRule type="containsText" dxfId="7412" priority="1574" operator="containsText" text="Ausgaben">
      <formula>NOT(ISERROR(SEARCH("Ausgaben",C880)))</formula>
    </cfRule>
  </conditionalFormatting>
  <conditionalFormatting sqref="J880">
    <cfRule type="cellIs" dxfId="7411" priority="1572" operator="equal">
      <formula>"ja"</formula>
    </cfRule>
  </conditionalFormatting>
  <conditionalFormatting sqref="J880">
    <cfRule type="cellIs" dxfId="7410" priority="1560" operator="equal">
      <formula>"ja"</formula>
    </cfRule>
  </conditionalFormatting>
  <conditionalFormatting sqref="Z880">
    <cfRule type="dataBar" priority="1570">
      <dataBar>
        <cfvo type="min"/>
        <cfvo type="max"/>
        <color rgb="FF63C384"/>
      </dataBar>
      <extLst>
        <ext xmlns:x14="http://schemas.microsoft.com/office/spreadsheetml/2009/9/main" uri="{B025F937-C7B1-47D3-B67F-A62EFF666E3E}">
          <x14:id>{741F5E54-28F7-45BA-B5B2-60453191FC7D}</x14:id>
        </ext>
      </extLst>
    </cfRule>
  </conditionalFormatting>
  <conditionalFormatting sqref="Z880">
    <cfRule type="dataBar" priority="1569">
      <dataBar>
        <cfvo type="min"/>
        <cfvo type="max"/>
        <color rgb="FF63C384"/>
      </dataBar>
      <extLst>
        <ext xmlns:x14="http://schemas.microsoft.com/office/spreadsheetml/2009/9/main" uri="{B025F937-C7B1-47D3-B67F-A62EFF666E3E}">
          <x14:id>{79331C6D-56E9-49BF-8828-B145BC3A9BD3}</x14:id>
        </ext>
      </extLst>
    </cfRule>
  </conditionalFormatting>
  <conditionalFormatting sqref="J880">
    <cfRule type="cellIs" dxfId="7409" priority="1568" operator="equal">
      <formula>"ja"</formula>
    </cfRule>
  </conditionalFormatting>
  <conditionalFormatting sqref="Z880">
    <cfRule type="dataBar" priority="1566">
      <dataBar>
        <cfvo type="min"/>
        <cfvo type="max"/>
        <color rgb="FF63C384"/>
      </dataBar>
      <extLst>
        <ext xmlns:x14="http://schemas.microsoft.com/office/spreadsheetml/2009/9/main" uri="{B025F937-C7B1-47D3-B67F-A62EFF666E3E}">
          <x14:id>{1784F201-0A73-4B22-B386-63E03A2908AD}</x14:id>
        </ext>
      </extLst>
    </cfRule>
  </conditionalFormatting>
  <conditionalFormatting sqref="Z880">
    <cfRule type="dataBar" priority="1565">
      <dataBar>
        <cfvo type="min"/>
        <cfvo type="max"/>
        <color rgb="FF63C384"/>
      </dataBar>
      <extLst>
        <ext xmlns:x14="http://schemas.microsoft.com/office/spreadsheetml/2009/9/main" uri="{B025F937-C7B1-47D3-B67F-A62EFF666E3E}">
          <x14:id>{48577363-DB5C-4F4C-AD11-71DDA77CDEC9}</x14:id>
        </ext>
      </extLst>
    </cfRule>
  </conditionalFormatting>
  <conditionalFormatting sqref="J880">
    <cfRule type="cellIs" dxfId="7408" priority="1564" operator="equal">
      <formula>"ja"</formula>
    </cfRule>
  </conditionalFormatting>
  <conditionalFormatting sqref="Z880">
    <cfRule type="dataBar" priority="1562">
      <dataBar>
        <cfvo type="min"/>
        <cfvo type="max"/>
        <color rgb="FF63C384"/>
      </dataBar>
      <extLst>
        <ext xmlns:x14="http://schemas.microsoft.com/office/spreadsheetml/2009/9/main" uri="{B025F937-C7B1-47D3-B67F-A62EFF666E3E}">
          <x14:id>{E8DA14A3-CB9F-46C6-B65F-F752DD4E68EC}</x14:id>
        </ext>
      </extLst>
    </cfRule>
  </conditionalFormatting>
  <conditionalFormatting sqref="Z880">
    <cfRule type="dataBar" priority="1561">
      <dataBar>
        <cfvo type="min"/>
        <cfvo type="max"/>
        <color rgb="FF63C384"/>
      </dataBar>
      <extLst>
        <ext xmlns:x14="http://schemas.microsoft.com/office/spreadsheetml/2009/9/main" uri="{B025F937-C7B1-47D3-B67F-A62EFF666E3E}">
          <x14:id>{029AEA36-32F3-4AAD-9FB2-0860AB3E1660}</x14:id>
        </ext>
      </extLst>
    </cfRule>
  </conditionalFormatting>
  <conditionalFormatting sqref="Z880">
    <cfRule type="dataBar" priority="1558">
      <dataBar>
        <cfvo type="min"/>
        <cfvo type="max"/>
        <color rgb="FF63C384"/>
      </dataBar>
      <extLst>
        <ext xmlns:x14="http://schemas.microsoft.com/office/spreadsheetml/2009/9/main" uri="{B025F937-C7B1-47D3-B67F-A62EFF666E3E}">
          <x14:id>{C9232948-18C5-42DB-99FB-8EC50001FCA8}</x14:id>
        </ext>
      </extLst>
    </cfRule>
  </conditionalFormatting>
  <conditionalFormatting sqref="Z880">
    <cfRule type="dataBar" priority="1557">
      <dataBar>
        <cfvo type="min"/>
        <cfvo type="max"/>
        <color rgb="FF63C384"/>
      </dataBar>
      <extLst>
        <ext xmlns:x14="http://schemas.microsoft.com/office/spreadsheetml/2009/9/main" uri="{B025F937-C7B1-47D3-B67F-A62EFF666E3E}">
          <x14:id>{CA0B5C58-BC16-4145-BB3B-C46451665262}</x14:id>
        </ext>
      </extLst>
    </cfRule>
  </conditionalFormatting>
  <conditionalFormatting sqref="C881">
    <cfRule type="containsText" dxfId="7407" priority="1555" operator="containsText" text="Einnahmen">
      <formula>NOT(ISERROR(SEARCH("Einnahmen",C881)))</formula>
    </cfRule>
    <cfRule type="containsText" dxfId="7406" priority="1556" operator="containsText" text="Ausgaben">
      <formula>NOT(ISERROR(SEARCH("Ausgaben",C881)))</formula>
    </cfRule>
  </conditionalFormatting>
  <conditionalFormatting sqref="C881">
    <cfRule type="containsText" dxfId="7405" priority="1553" operator="containsText" text="Einnahmen">
      <formula>NOT(ISERROR(SEARCH("Einnahmen",C881)))</formula>
    </cfRule>
    <cfRule type="containsText" dxfId="7404" priority="1554" operator="containsText" text="Ausgaben">
      <formula>NOT(ISERROR(SEARCH("Ausgaben",C881)))</formula>
    </cfRule>
  </conditionalFormatting>
  <conditionalFormatting sqref="J881">
    <cfRule type="cellIs" dxfId="7403" priority="1552" operator="equal">
      <formula>"ja"</formula>
    </cfRule>
  </conditionalFormatting>
  <conditionalFormatting sqref="Z881">
    <cfRule type="dataBar" priority="1550">
      <dataBar>
        <cfvo type="min"/>
        <cfvo type="max"/>
        <color rgb="FF63C384"/>
      </dataBar>
      <extLst>
        <ext xmlns:x14="http://schemas.microsoft.com/office/spreadsheetml/2009/9/main" uri="{B025F937-C7B1-47D3-B67F-A62EFF666E3E}">
          <x14:id>{73B6A316-2359-4CC5-A830-93D85EF56D95}</x14:id>
        </ext>
      </extLst>
    </cfRule>
  </conditionalFormatting>
  <conditionalFormatting sqref="Z881">
    <cfRule type="dataBar" priority="1549">
      <dataBar>
        <cfvo type="min"/>
        <cfvo type="max"/>
        <color rgb="FF63C384"/>
      </dataBar>
      <extLst>
        <ext xmlns:x14="http://schemas.microsoft.com/office/spreadsheetml/2009/9/main" uri="{B025F937-C7B1-47D3-B67F-A62EFF666E3E}">
          <x14:id>{B1A4CC68-89AA-4263-AA65-DD1CF976F00C}</x14:id>
        </ext>
      </extLst>
    </cfRule>
  </conditionalFormatting>
  <conditionalFormatting sqref="Z881">
    <cfRule type="dataBar" priority="1547">
      <dataBar>
        <cfvo type="min"/>
        <cfvo type="max"/>
        <color rgb="FF63C384"/>
      </dataBar>
      <extLst>
        <ext xmlns:x14="http://schemas.microsoft.com/office/spreadsheetml/2009/9/main" uri="{B025F937-C7B1-47D3-B67F-A62EFF666E3E}">
          <x14:id>{43468473-0DBC-41B2-8BC3-F64744EF859C}</x14:id>
        </ext>
      </extLst>
    </cfRule>
  </conditionalFormatting>
  <conditionalFormatting sqref="Z881">
    <cfRule type="dataBar" priority="1546">
      <dataBar>
        <cfvo type="min"/>
        <cfvo type="max"/>
        <color rgb="FF63C384"/>
      </dataBar>
      <extLst>
        <ext xmlns:x14="http://schemas.microsoft.com/office/spreadsheetml/2009/9/main" uri="{B025F937-C7B1-47D3-B67F-A62EFF666E3E}">
          <x14:id>{7A199767-66BB-414F-8780-EEE732B12B07}</x14:id>
        </ext>
      </extLst>
    </cfRule>
  </conditionalFormatting>
  <conditionalFormatting sqref="J881">
    <cfRule type="cellIs" dxfId="7402" priority="1545" operator="equal">
      <formula>"ja"</formula>
    </cfRule>
  </conditionalFormatting>
  <conditionalFormatting sqref="C882:C883">
    <cfRule type="containsText" dxfId="7401" priority="1543" operator="containsText" text="Einnahmen">
      <formula>NOT(ISERROR(SEARCH("Einnahmen",C882)))</formula>
    </cfRule>
    <cfRule type="containsText" dxfId="7400" priority="1544" operator="containsText" text="Ausgaben">
      <formula>NOT(ISERROR(SEARCH("Ausgaben",C882)))</formula>
    </cfRule>
  </conditionalFormatting>
  <conditionalFormatting sqref="J882">
    <cfRule type="cellIs" dxfId="7399" priority="1542" operator="equal">
      <formula>"ja"</formula>
    </cfRule>
  </conditionalFormatting>
  <conditionalFormatting sqref="J882">
    <cfRule type="cellIs" dxfId="7398" priority="1530" operator="equal">
      <formula>"ja"</formula>
    </cfRule>
  </conditionalFormatting>
  <conditionalFormatting sqref="Z882">
    <cfRule type="dataBar" priority="1540">
      <dataBar>
        <cfvo type="min"/>
        <cfvo type="max"/>
        <color rgb="FF63C384"/>
      </dataBar>
      <extLst>
        <ext xmlns:x14="http://schemas.microsoft.com/office/spreadsheetml/2009/9/main" uri="{B025F937-C7B1-47D3-B67F-A62EFF666E3E}">
          <x14:id>{6F3EBE67-8533-46B6-AFB1-BF2B4453180C}</x14:id>
        </ext>
      </extLst>
    </cfRule>
  </conditionalFormatting>
  <conditionalFormatting sqref="Z882">
    <cfRule type="dataBar" priority="1539">
      <dataBar>
        <cfvo type="min"/>
        <cfvo type="max"/>
        <color rgb="FF63C384"/>
      </dataBar>
      <extLst>
        <ext xmlns:x14="http://schemas.microsoft.com/office/spreadsheetml/2009/9/main" uri="{B025F937-C7B1-47D3-B67F-A62EFF666E3E}">
          <x14:id>{54864C45-1B15-4BF0-9BFE-57B27BC8A1A4}</x14:id>
        </ext>
      </extLst>
    </cfRule>
  </conditionalFormatting>
  <conditionalFormatting sqref="J882">
    <cfRule type="cellIs" dxfId="7397" priority="1538" operator="equal">
      <formula>"ja"</formula>
    </cfRule>
  </conditionalFormatting>
  <conditionalFormatting sqref="Z882">
    <cfRule type="dataBar" priority="1536">
      <dataBar>
        <cfvo type="min"/>
        <cfvo type="max"/>
        <color rgb="FF63C384"/>
      </dataBar>
      <extLst>
        <ext xmlns:x14="http://schemas.microsoft.com/office/spreadsheetml/2009/9/main" uri="{B025F937-C7B1-47D3-B67F-A62EFF666E3E}">
          <x14:id>{893C03FC-1E8F-4D4F-86A4-A461DEC84A10}</x14:id>
        </ext>
      </extLst>
    </cfRule>
  </conditionalFormatting>
  <conditionalFormatting sqref="Z882">
    <cfRule type="dataBar" priority="1535">
      <dataBar>
        <cfvo type="min"/>
        <cfvo type="max"/>
        <color rgb="FF63C384"/>
      </dataBar>
      <extLst>
        <ext xmlns:x14="http://schemas.microsoft.com/office/spreadsheetml/2009/9/main" uri="{B025F937-C7B1-47D3-B67F-A62EFF666E3E}">
          <x14:id>{33AE021F-4289-48E7-82CB-C7D6F278E810}</x14:id>
        </ext>
      </extLst>
    </cfRule>
  </conditionalFormatting>
  <conditionalFormatting sqref="J882">
    <cfRule type="cellIs" dxfId="7396" priority="1534" operator="equal">
      <formula>"ja"</formula>
    </cfRule>
  </conditionalFormatting>
  <conditionalFormatting sqref="Z882">
    <cfRule type="dataBar" priority="1532">
      <dataBar>
        <cfvo type="min"/>
        <cfvo type="max"/>
        <color rgb="FF63C384"/>
      </dataBar>
      <extLst>
        <ext xmlns:x14="http://schemas.microsoft.com/office/spreadsheetml/2009/9/main" uri="{B025F937-C7B1-47D3-B67F-A62EFF666E3E}">
          <x14:id>{A50DEAB7-577B-42F8-B9B1-6FA45170BC21}</x14:id>
        </ext>
      </extLst>
    </cfRule>
  </conditionalFormatting>
  <conditionalFormatting sqref="Z882">
    <cfRule type="dataBar" priority="1531">
      <dataBar>
        <cfvo type="min"/>
        <cfvo type="max"/>
        <color rgb="FF63C384"/>
      </dataBar>
      <extLst>
        <ext xmlns:x14="http://schemas.microsoft.com/office/spreadsheetml/2009/9/main" uri="{B025F937-C7B1-47D3-B67F-A62EFF666E3E}">
          <x14:id>{C8113ABD-AE53-4DAC-B441-D5BA815DFF3B}</x14:id>
        </ext>
      </extLst>
    </cfRule>
  </conditionalFormatting>
  <conditionalFormatting sqref="Z882">
    <cfRule type="dataBar" priority="1528">
      <dataBar>
        <cfvo type="min"/>
        <cfvo type="max"/>
        <color rgb="FF63C384"/>
      </dataBar>
      <extLst>
        <ext xmlns:x14="http://schemas.microsoft.com/office/spreadsheetml/2009/9/main" uri="{B025F937-C7B1-47D3-B67F-A62EFF666E3E}">
          <x14:id>{515205C0-3291-4CF4-92F8-507A6B882B2D}</x14:id>
        </ext>
      </extLst>
    </cfRule>
  </conditionalFormatting>
  <conditionalFormatting sqref="Z882">
    <cfRule type="dataBar" priority="1527">
      <dataBar>
        <cfvo type="min"/>
        <cfvo type="max"/>
        <color rgb="FF63C384"/>
      </dataBar>
      <extLst>
        <ext xmlns:x14="http://schemas.microsoft.com/office/spreadsheetml/2009/9/main" uri="{B025F937-C7B1-47D3-B67F-A62EFF666E3E}">
          <x14:id>{232060F4-B421-4581-AB07-1A14CBF164AF}</x14:id>
        </ext>
      </extLst>
    </cfRule>
  </conditionalFormatting>
  <conditionalFormatting sqref="Z883">
    <cfRule type="dataBar" priority="1525">
      <dataBar>
        <cfvo type="min"/>
        <cfvo type="max"/>
        <color rgb="FF63C384"/>
      </dataBar>
      <extLst>
        <ext xmlns:x14="http://schemas.microsoft.com/office/spreadsheetml/2009/9/main" uri="{B025F937-C7B1-47D3-B67F-A62EFF666E3E}">
          <x14:id>{29E92030-D0D1-460E-B271-A0362B93F89D}</x14:id>
        </ext>
      </extLst>
    </cfRule>
  </conditionalFormatting>
  <conditionalFormatting sqref="Z883">
    <cfRule type="dataBar" priority="1524">
      <dataBar>
        <cfvo type="min"/>
        <cfvo type="max"/>
        <color rgb="FF63C384"/>
      </dataBar>
      <extLst>
        <ext xmlns:x14="http://schemas.microsoft.com/office/spreadsheetml/2009/9/main" uri="{B025F937-C7B1-47D3-B67F-A62EFF666E3E}">
          <x14:id>{C5C4E21F-422D-4D49-8A08-0484244162EC}</x14:id>
        </ext>
      </extLst>
    </cfRule>
  </conditionalFormatting>
  <conditionalFormatting sqref="J883">
    <cfRule type="cellIs" dxfId="7395" priority="1519" operator="equal">
      <formula>"ja"</formula>
    </cfRule>
  </conditionalFormatting>
  <conditionalFormatting sqref="Z883">
    <cfRule type="dataBar" priority="1517">
      <dataBar>
        <cfvo type="min"/>
        <cfvo type="max"/>
        <color rgb="FF63C384"/>
      </dataBar>
      <extLst>
        <ext xmlns:x14="http://schemas.microsoft.com/office/spreadsheetml/2009/9/main" uri="{B025F937-C7B1-47D3-B67F-A62EFF666E3E}">
          <x14:id>{F26CC439-A592-422E-9CFD-BF3F45412AF4}</x14:id>
        </ext>
      </extLst>
    </cfRule>
  </conditionalFormatting>
  <conditionalFormatting sqref="Z883">
    <cfRule type="dataBar" priority="1516">
      <dataBar>
        <cfvo type="min"/>
        <cfvo type="max"/>
        <color rgb="FF63C384"/>
      </dataBar>
      <extLst>
        <ext xmlns:x14="http://schemas.microsoft.com/office/spreadsheetml/2009/9/main" uri="{B025F937-C7B1-47D3-B67F-A62EFF666E3E}">
          <x14:id>{694F5DDF-B049-4E07-8A82-734A81F554D4}</x14:id>
        </ext>
      </extLst>
    </cfRule>
  </conditionalFormatting>
  <conditionalFormatting sqref="J884">
    <cfRule type="cellIs" dxfId="7394" priority="1515" operator="equal">
      <formula>"ja"</formula>
    </cfRule>
  </conditionalFormatting>
  <conditionalFormatting sqref="Z884">
    <cfRule type="dataBar" priority="1513">
      <dataBar>
        <cfvo type="min"/>
        <cfvo type="max"/>
        <color rgb="FF63C384"/>
      </dataBar>
      <extLst>
        <ext xmlns:x14="http://schemas.microsoft.com/office/spreadsheetml/2009/9/main" uri="{B025F937-C7B1-47D3-B67F-A62EFF666E3E}">
          <x14:id>{88271941-3318-493F-906E-AF2223998A71}</x14:id>
        </ext>
      </extLst>
    </cfRule>
  </conditionalFormatting>
  <conditionalFormatting sqref="Z884">
    <cfRule type="dataBar" priority="1512">
      <dataBar>
        <cfvo type="min"/>
        <cfvo type="max"/>
        <color rgb="FF63C384"/>
      </dataBar>
      <extLst>
        <ext xmlns:x14="http://schemas.microsoft.com/office/spreadsheetml/2009/9/main" uri="{B025F937-C7B1-47D3-B67F-A62EFF666E3E}">
          <x14:id>{D087D43B-4E59-43F3-AB13-1EEF5604D4E3}</x14:id>
        </ext>
      </extLst>
    </cfRule>
  </conditionalFormatting>
  <conditionalFormatting sqref="J884">
    <cfRule type="cellIs" dxfId="7393" priority="1510" operator="equal">
      <formula>"ja"</formula>
    </cfRule>
  </conditionalFormatting>
  <conditionalFormatting sqref="Z884">
    <cfRule type="dataBar" priority="1509">
      <dataBar>
        <cfvo type="min"/>
        <cfvo type="max"/>
        <color rgb="FF63C384"/>
      </dataBar>
      <extLst>
        <ext xmlns:x14="http://schemas.microsoft.com/office/spreadsheetml/2009/9/main" uri="{B025F937-C7B1-47D3-B67F-A62EFF666E3E}">
          <x14:id>{15316FDA-E840-41ED-B9F9-181E3CF2FC6D}</x14:id>
        </ext>
      </extLst>
    </cfRule>
  </conditionalFormatting>
  <conditionalFormatting sqref="Z884">
    <cfRule type="dataBar" priority="1508">
      <dataBar>
        <cfvo type="min"/>
        <cfvo type="max"/>
        <color rgb="FF63C384"/>
      </dataBar>
      <extLst>
        <ext xmlns:x14="http://schemas.microsoft.com/office/spreadsheetml/2009/9/main" uri="{B025F937-C7B1-47D3-B67F-A62EFF666E3E}">
          <x14:id>{929A195E-296B-45C9-B11F-459140F9AE67}</x14:id>
        </ext>
      </extLst>
    </cfRule>
  </conditionalFormatting>
  <conditionalFormatting sqref="J885">
    <cfRule type="cellIs" dxfId="7392" priority="1507" operator="equal">
      <formula>"ja"</formula>
    </cfRule>
  </conditionalFormatting>
  <conditionalFormatting sqref="C885">
    <cfRule type="containsText" dxfId="7391" priority="1505" operator="containsText" text="Einnahmen">
      <formula>NOT(ISERROR(SEARCH("Einnahmen",C885)))</formula>
    </cfRule>
    <cfRule type="containsText" dxfId="7390" priority="1506" operator="containsText" text="Ausgaben">
      <formula>NOT(ISERROR(SEARCH("Ausgaben",C885)))</formula>
    </cfRule>
  </conditionalFormatting>
  <conditionalFormatting sqref="Z885">
    <cfRule type="dataBar" priority="1503">
      <dataBar>
        <cfvo type="min"/>
        <cfvo type="max"/>
        <color rgb="FF63C384"/>
      </dataBar>
      <extLst>
        <ext xmlns:x14="http://schemas.microsoft.com/office/spreadsheetml/2009/9/main" uri="{B025F937-C7B1-47D3-B67F-A62EFF666E3E}">
          <x14:id>{15460FDC-E926-413B-824A-6305D3BA2206}</x14:id>
        </ext>
      </extLst>
    </cfRule>
  </conditionalFormatting>
  <conditionalFormatting sqref="Z885">
    <cfRule type="dataBar" priority="1502">
      <dataBar>
        <cfvo type="min"/>
        <cfvo type="max"/>
        <color rgb="FF63C384"/>
      </dataBar>
      <extLst>
        <ext xmlns:x14="http://schemas.microsoft.com/office/spreadsheetml/2009/9/main" uri="{B025F937-C7B1-47D3-B67F-A62EFF666E3E}">
          <x14:id>{EF777F2F-7678-4D1F-AC60-B2E29D2E0DEA}</x14:id>
        </ext>
      </extLst>
    </cfRule>
  </conditionalFormatting>
  <conditionalFormatting sqref="J885">
    <cfRule type="cellIs" dxfId="7389" priority="1501" operator="equal">
      <formula>"ja"</formula>
    </cfRule>
  </conditionalFormatting>
  <conditionalFormatting sqref="Z885">
    <cfRule type="dataBar" priority="1499">
      <dataBar>
        <cfvo type="min"/>
        <cfvo type="max"/>
        <color rgb="FF63C384"/>
      </dataBar>
      <extLst>
        <ext xmlns:x14="http://schemas.microsoft.com/office/spreadsheetml/2009/9/main" uri="{B025F937-C7B1-47D3-B67F-A62EFF666E3E}">
          <x14:id>{F0A4AEF6-1076-46EC-8205-AD79677D663C}</x14:id>
        </ext>
      </extLst>
    </cfRule>
  </conditionalFormatting>
  <conditionalFormatting sqref="Z885">
    <cfRule type="dataBar" priority="1498">
      <dataBar>
        <cfvo type="min"/>
        <cfvo type="max"/>
        <color rgb="FF63C384"/>
      </dataBar>
      <extLst>
        <ext xmlns:x14="http://schemas.microsoft.com/office/spreadsheetml/2009/9/main" uri="{B025F937-C7B1-47D3-B67F-A62EFF666E3E}">
          <x14:id>{BF99A35C-36FE-45A8-AA1D-7E14730A1E82}</x14:id>
        </ext>
      </extLst>
    </cfRule>
  </conditionalFormatting>
  <conditionalFormatting sqref="J885">
    <cfRule type="cellIs" dxfId="7388" priority="1497" operator="equal">
      <formula>"ja"</formula>
    </cfRule>
  </conditionalFormatting>
  <conditionalFormatting sqref="C885">
    <cfRule type="containsText" dxfId="7387" priority="1495" operator="containsText" text="Einnahmen">
      <formula>NOT(ISERROR(SEARCH("Einnahmen",C885)))</formula>
    </cfRule>
    <cfRule type="containsText" dxfId="7386" priority="1496" operator="containsText" text="Ausgaben">
      <formula>NOT(ISERROR(SEARCH("Ausgaben",C885)))</formula>
    </cfRule>
  </conditionalFormatting>
  <conditionalFormatting sqref="Z885">
    <cfRule type="dataBar" priority="1493">
      <dataBar>
        <cfvo type="min"/>
        <cfvo type="max"/>
        <color rgb="FF63C384"/>
      </dataBar>
      <extLst>
        <ext xmlns:x14="http://schemas.microsoft.com/office/spreadsheetml/2009/9/main" uri="{B025F937-C7B1-47D3-B67F-A62EFF666E3E}">
          <x14:id>{2C932AF2-0015-415D-B755-DDA657321680}</x14:id>
        </ext>
      </extLst>
    </cfRule>
  </conditionalFormatting>
  <conditionalFormatting sqref="Z885">
    <cfRule type="dataBar" priority="1492">
      <dataBar>
        <cfvo type="min"/>
        <cfvo type="max"/>
        <color rgb="FF63C384"/>
      </dataBar>
      <extLst>
        <ext xmlns:x14="http://schemas.microsoft.com/office/spreadsheetml/2009/9/main" uri="{B025F937-C7B1-47D3-B67F-A62EFF666E3E}">
          <x14:id>{7462CEB4-C0F1-4CC2-81A3-89F0B51AB417}</x14:id>
        </ext>
      </extLst>
    </cfRule>
  </conditionalFormatting>
  <conditionalFormatting sqref="Z886">
    <cfRule type="dataBar" priority="1490">
      <dataBar>
        <cfvo type="min"/>
        <cfvo type="max"/>
        <color rgb="FF63C384"/>
      </dataBar>
      <extLst>
        <ext xmlns:x14="http://schemas.microsoft.com/office/spreadsheetml/2009/9/main" uri="{B025F937-C7B1-47D3-B67F-A62EFF666E3E}">
          <x14:id>{696353C0-3548-475D-8D29-820766C682F9}</x14:id>
        </ext>
      </extLst>
    </cfRule>
  </conditionalFormatting>
  <conditionalFormatting sqref="Z886">
    <cfRule type="dataBar" priority="1489">
      <dataBar>
        <cfvo type="min"/>
        <cfvo type="max"/>
        <color rgb="FF63C384"/>
      </dataBar>
      <extLst>
        <ext xmlns:x14="http://schemas.microsoft.com/office/spreadsheetml/2009/9/main" uri="{B025F937-C7B1-47D3-B67F-A62EFF666E3E}">
          <x14:id>{CB86A66E-F8ED-4212-9816-EA0947B243A1}</x14:id>
        </ext>
      </extLst>
    </cfRule>
  </conditionalFormatting>
  <conditionalFormatting sqref="Z886">
    <cfRule type="dataBar" priority="1487">
      <dataBar>
        <cfvo type="min"/>
        <cfvo type="max"/>
        <color rgb="FF63C384"/>
      </dataBar>
      <extLst>
        <ext xmlns:x14="http://schemas.microsoft.com/office/spreadsheetml/2009/9/main" uri="{B025F937-C7B1-47D3-B67F-A62EFF666E3E}">
          <x14:id>{EE61CB2E-957D-4209-BE41-99E1C796A065}</x14:id>
        </ext>
      </extLst>
    </cfRule>
  </conditionalFormatting>
  <conditionalFormatting sqref="Z886">
    <cfRule type="dataBar" priority="1486">
      <dataBar>
        <cfvo type="min"/>
        <cfvo type="max"/>
        <color rgb="FF63C384"/>
      </dataBar>
      <extLst>
        <ext xmlns:x14="http://schemas.microsoft.com/office/spreadsheetml/2009/9/main" uri="{B025F937-C7B1-47D3-B67F-A62EFF666E3E}">
          <x14:id>{C994BDEB-86EE-44DE-8B1F-F1BE3E905AB5}</x14:id>
        </ext>
      </extLst>
    </cfRule>
  </conditionalFormatting>
  <conditionalFormatting sqref="J887">
    <cfRule type="cellIs" dxfId="7385" priority="1485" operator="equal">
      <formula>"ja"</formula>
    </cfRule>
  </conditionalFormatting>
  <conditionalFormatting sqref="C887">
    <cfRule type="containsText" dxfId="7384" priority="1483" operator="containsText" text="Einnahmen">
      <formula>NOT(ISERROR(SEARCH("Einnahmen",C887)))</formula>
    </cfRule>
    <cfRule type="containsText" dxfId="7383" priority="1484" operator="containsText" text="Ausgaben">
      <formula>NOT(ISERROR(SEARCH("Ausgaben",C887)))</formula>
    </cfRule>
  </conditionalFormatting>
  <conditionalFormatting sqref="Z887:Z888">
    <cfRule type="dataBar" priority="1481">
      <dataBar>
        <cfvo type="min"/>
        <cfvo type="max"/>
        <color rgb="FF63C384"/>
      </dataBar>
      <extLst>
        <ext xmlns:x14="http://schemas.microsoft.com/office/spreadsheetml/2009/9/main" uri="{B025F937-C7B1-47D3-B67F-A62EFF666E3E}">
          <x14:id>{85BAB77C-9A26-4DF9-8A05-F279415DB6BB}</x14:id>
        </ext>
      </extLst>
    </cfRule>
  </conditionalFormatting>
  <conditionalFormatting sqref="Z887:Z888">
    <cfRule type="dataBar" priority="1480">
      <dataBar>
        <cfvo type="min"/>
        <cfvo type="max"/>
        <color rgb="FF63C384"/>
      </dataBar>
      <extLst>
        <ext xmlns:x14="http://schemas.microsoft.com/office/spreadsheetml/2009/9/main" uri="{B025F937-C7B1-47D3-B67F-A62EFF666E3E}">
          <x14:id>{69D31AA9-14FF-406D-B2D0-4788E7D762A9}</x14:id>
        </ext>
      </extLst>
    </cfRule>
  </conditionalFormatting>
  <conditionalFormatting sqref="J888">
    <cfRule type="cellIs" dxfId="7382" priority="1479" operator="equal">
      <formula>"ja"</formula>
    </cfRule>
  </conditionalFormatting>
  <conditionalFormatting sqref="J888">
    <cfRule type="cellIs" dxfId="7381" priority="1475" operator="equal">
      <formula>"ja"</formula>
    </cfRule>
  </conditionalFormatting>
  <conditionalFormatting sqref="J889">
    <cfRule type="cellIs" dxfId="7380" priority="1471" operator="equal">
      <formula>"ja"</formula>
    </cfRule>
  </conditionalFormatting>
  <conditionalFormatting sqref="Z889">
    <cfRule type="dataBar" priority="1469">
      <dataBar>
        <cfvo type="min"/>
        <cfvo type="max"/>
        <color rgb="FF63C384"/>
      </dataBar>
      <extLst>
        <ext xmlns:x14="http://schemas.microsoft.com/office/spreadsheetml/2009/9/main" uri="{B025F937-C7B1-47D3-B67F-A62EFF666E3E}">
          <x14:id>{4B66E5E5-9108-44BB-B553-0B9EED0855F5}</x14:id>
        </ext>
      </extLst>
    </cfRule>
  </conditionalFormatting>
  <conditionalFormatting sqref="Z889">
    <cfRule type="dataBar" priority="1468">
      <dataBar>
        <cfvo type="min"/>
        <cfvo type="max"/>
        <color rgb="FF63C384"/>
      </dataBar>
      <extLst>
        <ext xmlns:x14="http://schemas.microsoft.com/office/spreadsheetml/2009/9/main" uri="{B025F937-C7B1-47D3-B67F-A62EFF666E3E}">
          <x14:id>{797610EB-F1F3-4D6F-84F5-B77F9883963E}</x14:id>
        </ext>
      </extLst>
    </cfRule>
  </conditionalFormatting>
  <conditionalFormatting sqref="Z889">
    <cfRule type="dataBar" priority="1466">
      <dataBar>
        <cfvo type="min"/>
        <cfvo type="max"/>
        <color rgb="FF63C384"/>
      </dataBar>
      <extLst>
        <ext xmlns:x14="http://schemas.microsoft.com/office/spreadsheetml/2009/9/main" uri="{B025F937-C7B1-47D3-B67F-A62EFF666E3E}">
          <x14:id>{28036143-E477-4790-B54D-44424D30F540}</x14:id>
        </ext>
      </extLst>
    </cfRule>
  </conditionalFormatting>
  <conditionalFormatting sqref="Z889">
    <cfRule type="dataBar" priority="1465">
      <dataBar>
        <cfvo type="min"/>
        <cfvo type="max"/>
        <color rgb="FF63C384"/>
      </dataBar>
      <extLst>
        <ext xmlns:x14="http://schemas.microsoft.com/office/spreadsheetml/2009/9/main" uri="{B025F937-C7B1-47D3-B67F-A62EFF666E3E}">
          <x14:id>{0901742A-114B-4FF6-80CD-024CED2FB485}</x14:id>
        </ext>
      </extLst>
    </cfRule>
  </conditionalFormatting>
  <conditionalFormatting sqref="J889">
    <cfRule type="cellIs" dxfId="7379" priority="1464" operator="equal">
      <formula>"ja"</formula>
    </cfRule>
  </conditionalFormatting>
  <conditionalFormatting sqref="C889">
    <cfRule type="containsText" dxfId="7378" priority="1462" operator="containsText" text="Einnahmen">
      <formula>NOT(ISERROR(SEARCH("Einnahmen",C889)))</formula>
    </cfRule>
    <cfRule type="containsText" dxfId="7377" priority="1463" operator="containsText" text="Ausgaben">
      <formula>NOT(ISERROR(SEARCH("Ausgaben",C889)))</formula>
    </cfRule>
  </conditionalFormatting>
  <conditionalFormatting sqref="C890">
    <cfRule type="containsText" dxfId="7376" priority="1460" operator="containsText" text="Einnahmen">
      <formula>NOT(ISERROR(SEARCH("Einnahmen",C890)))</formula>
    </cfRule>
    <cfRule type="containsText" dxfId="7375" priority="1461" operator="containsText" text="Ausgaben">
      <formula>NOT(ISERROR(SEARCH("Ausgaben",C890)))</formula>
    </cfRule>
  </conditionalFormatting>
  <conditionalFormatting sqref="C891">
    <cfRule type="containsText" dxfId="7374" priority="1457" operator="containsText" text="Einnahmen">
      <formula>NOT(ISERROR(SEARCH("Einnahmen",C891)))</formula>
    </cfRule>
    <cfRule type="containsText" dxfId="7373" priority="1458" operator="containsText" text="Ausgaben">
      <formula>NOT(ISERROR(SEARCH("Ausgaben",C891)))</formula>
    </cfRule>
  </conditionalFormatting>
  <conditionalFormatting sqref="J891">
    <cfRule type="cellIs" dxfId="7372" priority="1455" operator="equal">
      <formula>"ja"</formula>
    </cfRule>
  </conditionalFormatting>
  <conditionalFormatting sqref="Z891">
    <cfRule type="dataBar" priority="1454">
      <dataBar>
        <cfvo type="min"/>
        <cfvo type="max"/>
        <color rgb="FF63C384"/>
      </dataBar>
      <extLst>
        <ext xmlns:x14="http://schemas.microsoft.com/office/spreadsheetml/2009/9/main" uri="{B025F937-C7B1-47D3-B67F-A62EFF666E3E}">
          <x14:id>{842DBD81-C0AF-4D8F-B281-74AE00660604}</x14:id>
        </ext>
      </extLst>
    </cfRule>
  </conditionalFormatting>
  <conditionalFormatting sqref="Z891">
    <cfRule type="dataBar" priority="1453">
      <dataBar>
        <cfvo type="min"/>
        <cfvo type="max"/>
        <color rgb="FF63C384"/>
      </dataBar>
      <extLst>
        <ext xmlns:x14="http://schemas.microsoft.com/office/spreadsheetml/2009/9/main" uri="{B025F937-C7B1-47D3-B67F-A62EFF666E3E}">
          <x14:id>{A10AA4DC-C2E9-4E91-B964-4A944EA72438}</x14:id>
        </ext>
      </extLst>
    </cfRule>
  </conditionalFormatting>
  <conditionalFormatting sqref="Z892">
    <cfRule type="dataBar" priority="1451">
      <dataBar>
        <cfvo type="min"/>
        <cfvo type="max"/>
        <color rgb="FF63C384"/>
      </dataBar>
      <extLst>
        <ext xmlns:x14="http://schemas.microsoft.com/office/spreadsheetml/2009/9/main" uri="{B025F937-C7B1-47D3-B67F-A62EFF666E3E}">
          <x14:id>{8F97658E-7ADB-458E-B030-6E9092696CEA}</x14:id>
        </ext>
      </extLst>
    </cfRule>
  </conditionalFormatting>
  <conditionalFormatting sqref="Z892">
    <cfRule type="dataBar" priority="1450">
      <dataBar>
        <cfvo type="min"/>
        <cfvo type="max"/>
        <color rgb="FF63C384"/>
      </dataBar>
      <extLst>
        <ext xmlns:x14="http://schemas.microsoft.com/office/spreadsheetml/2009/9/main" uri="{B025F937-C7B1-47D3-B67F-A62EFF666E3E}">
          <x14:id>{07A90AD3-06EB-42D8-A701-1600FA7C187A}</x14:id>
        </ext>
      </extLst>
    </cfRule>
  </conditionalFormatting>
  <conditionalFormatting sqref="C892">
    <cfRule type="containsText" dxfId="7371" priority="1448" operator="containsText" text="Einnahmen">
      <formula>NOT(ISERROR(SEARCH("Einnahmen",C892)))</formula>
    </cfRule>
    <cfRule type="containsText" dxfId="7370" priority="1449" operator="containsText" text="Ausgaben">
      <formula>NOT(ISERROR(SEARCH("Ausgaben",C892)))</formula>
    </cfRule>
  </conditionalFormatting>
  <conditionalFormatting sqref="C892">
    <cfRule type="containsText" dxfId="7369" priority="1446" operator="containsText" text="Einnahmen">
      <formula>NOT(ISERROR(SEARCH("Einnahmen",C892)))</formula>
    </cfRule>
    <cfRule type="containsText" dxfId="7368" priority="1447" operator="containsText" text="Ausgaben">
      <formula>NOT(ISERROR(SEARCH("Ausgaben",C892)))</formula>
    </cfRule>
  </conditionalFormatting>
  <conditionalFormatting sqref="Z893">
    <cfRule type="dataBar" priority="1444">
      <dataBar>
        <cfvo type="min"/>
        <cfvo type="max"/>
        <color rgb="FF63C384"/>
      </dataBar>
      <extLst>
        <ext xmlns:x14="http://schemas.microsoft.com/office/spreadsheetml/2009/9/main" uri="{B025F937-C7B1-47D3-B67F-A62EFF666E3E}">
          <x14:id>{E1C89B15-47E9-4175-BB39-75EE8D48FAEA}</x14:id>
        </ext>
      </extLst>
    </cfRule>
  </conditionalFormatting>
  <conditionalFormatting sqref="Z893">
    <cfRule type="dataBar" priority="1443">
      <dataBar>
        <cfvo type="min"/>
        <cfvo type="max"/>
        <color rgb="FF63C384"/>
      </dataBar>
      <extLst>
        <ext xmlns:x14="http://schemas.microsoft.com/office/spreadsheetml/2009/9/main" uri="{B025F937-C7B1-47D3-B67F-A62EFF666E3E}">
          <x14:id>{DFEFF411-8B83-4736-AC82-3A53F4B088FB}</x14:id>
        </ext>
      </extLst>
    </cfRule>
  </conditionalFormatting>
  <conditionalFormatting sqref="J893">
    <cfRule type="cellIs" dxfId="7367" priority="1442" operator="equal">
      <formula>"ja"</formula>
    </cfRule>
  </conditionalFormatting>
  <conditionalFormatting sqref="C893">
    <cfRule type="containsText" dxfId="7366" priority="1440" operator="containsText" text="Einnahmen">
      <formula>NOT(ISERROR(SEARCH("Einnahmen",C893)))</formula>
    </cfRule>
    <cfRule type="containsText" dxfId="7365" priority="1441" operator="containsText" text="Ausgaben">
      <formula>NOT(ISERROR(SEARCH("Ausgaben",C893)))</formula>
    </cfRule>
  </conditionalFormatting>
  <conditionalFormatting sqref="J894">
    <cfRule type="cellIs" dxfId="7364" priority="1439" operator="equal">
      <formula>"ja"</formula>
    </cfRule>
  </conditionalFormatting>
  <conditionalFormatting sqref="C894">
    <cfRule type="containsText" dxfId="7363" priority="1437" operator="containsText" text="Einnahmen">
      <formula>NOT(ISERROR(SEARCH("Einnahmen",C894)))</formula>
    </cfRule>
    <cfRule type="containsText" dxfId="7362" priority="1438" operator="containsText" text="Ausgaben">
      <formula>NOT(ISERROR(SEARCH("Ausgaben",C894)))</formula>
    </cfRule>
  </conditionalFormatting>
  <conditionalFormatting sqref="Z894">
    <cfRule type="dataBar" priority="1435">
      <dataBar>
        <cfvo type="min"/>
        <cfvo type="max"/>
        <color rgb="FF63C384"/>
      </dataBar>
      <extLst>
        <ext xmlns:x14="http://schemas.microsoft.com/office/spreadsheetml/2009/9/main" uri="{B025F937-C7B1-47D3-B67F-A62EFF666E3E}">
          <x14:id>{AE0A38DC-70BD-4E9E-BEC0-001A60EDB915}</x14:id>
        </ext>
      </extLst>
    </cfRule>
  </conditionalFormatting>
  <conditionalFormatting sqref="Z894">
    <cfRule type="dataBar" priority="1434">
      <dataBar>
        <cfvo type="min"/>
        <cfvo type="max"/>
        <color rgb="FF63C384"/>
      </dataBar>
      <extLst>
        <ext xmlns:x14="http://schemas.microsoft.com/office/spreadsheetml/2009/9/main" uri="{B025F937-C7B1-47D3-B67F-A62EFF666E3E}">
          <x14:id>{DA756571-E7D9-4002-AC4E-C7970AA7EB3B}</x14:id>
        </ext>
      </extLst>
    </cfRule>
  </conditionalFormatting>
  <conditionalFormatting sqref="C895">
    <cfRule type="containsText" dxfId="7361" priority="1432" operator="containsText" text="Einnahmen">
      <formula>NOT(ISERROR(SEARCH("Einnahmen",C895)))</formula>
    </cfRule>
    <cfRule type="containsText" dxfId="7360" priority="1433" operator="containsText" text="Ausgaben">
      <formula>NOT(ISERROR(SEARCH("Ausgaben",C895)))</formula>
    </cfRule>
  </conditionalFormatting>
  <conditionalFormatting sqref="J895">
    <cfRule type="cellIs" dxfId="7359" priority="1431" operator="equal">
      <formula>"ja"</formula>
    </cfRule>
  </conditionalFormatting>
  <conditionalFormatting sqref="Z895">
    <cfRule type="dataBar" priority="1429">
      <dataBar>
        <cfvo type="min"/>
        <cfvo type="max"/>
        <color rgb="FF63C384"/>
      </dataBar>
      <extLst>
        <ext xmlns:x14="http://schemas.microsoft.com/office/spreadsheetml/2009/9/main" uri="{B025F937-C7B1-47D3-B67F-A62EFF666E3E}">
          <x14:id>{A5D6F322-75BC-4466-A1B8-9DBB5930986F}</x14:id>
        </ext>
      </extLst>
    </cfRule>
  </conditionalFormatting>
  <conditionalFormatting sqref="Z895">
    <cfRule type="dataBar" priority="1428">
      <dataBar>
        <cfvo type="min"/>
        <cfvo type="max"/>
        <color rgb="FF63C384"/>
      </dataBar>
      <extLst>
        <ext xmlns:x14="http://schemas.microsoft.com/office/spreadsheetml/2009/9/main" uri="{B025F937-C7B1-47D3-B67F-A62EFF666E3E}">
          <x14:id>{8EE91251-491C-441B-898D-5745B40BB03B}</x14:id>
        </ext>
      </extLst>
    </cfRule>
  </conditionalFormatting>
  <conditionalFormatting sqref="C896">
    <cfRule type="containsText" dxfId="7358" priority="1426" operator="containsText" text="Einnahmen">
      <formula>NOT(ISERROR(SEARCH("Einnahmen",C896)))</formula>
    </cfRule>
    <cfRule type="containsText" dxfId="7357" priority="1427" operator="containsText" text="Ausgaben">
      <formula>NOT(ISERROR(SEARCH("Ausgaben",C896)))</formula>
    </cfRule>
  </conditionalFormatting>
  <conditionalFormatting sqref="J896">
    <cfRule type="cellIs" dxfId="7356" priority="1425" operator="equal">
      <formula>"ja"</formula>
    </cfRule>
  </conditionalFormatting>
  <conditionalFormatting sqref="Z896">
    <cfRule type="dataBar" priority="1423">
      <dataBar>
        <cfvo type="min"/>
        <cfvo type="max"/>
        <color rgb="FF63C384"/>
      </dataBar>
      <extLst>
        <ext xmlns:x14="http://schemas.microsoft.com/office/spreadsheetml/2009/9/main" uri="{B025F937-C7B1-47D3-B67F-A62EFF666E3E}">
          <x14:id>{E9678C1A-A423-4B71-BB59-C4F42D83F117}</x14:id>
        </ext>
      </extLst>
    </cfRule>
  </conditionalFormatting>
  <conditionalFormatting sqref="Z896">
    <cfRule type="dataBar" priority="1422">
      <dataBar>
        <cfvo type="min"/>
        <cfvo type="max"/>
        <color rgb="FF63C384"/>
      </dataBar>
      <extLst>
        <ext xmlns:x14="http://schemas.microsoft.com/office/spreadsheetml/2009/9/main" uri="{B025F937-C7B1-47D3-B67F-A62EFF666E3E}">
          <x14:id>{5D4DD331-2277-4CBD-B738-46F07B7F1BA5}</x14:id>
        </ext>
      </extLst>
    </cfRule>
  </conditionalFormatting>
  <conditionalFormatting sqref="J896">
    <cfRule type="cellIs" dxfId="7355" priority="1420" operator="equal">
      <formula>"ja"</formula>
    </cfRule>
  </conditionalFormatting>
  <conditionalFormatting sqref="Z896">
    <cfRule type="dataBar" priority="1419">
      <dataBar>
        <cfvo type="min"/>
        <cfvo type="max"/>
        <color rgb="FF63C384"/>
      </dataBar>
      <extLst>
        <ext xmlns:x14="http://schemas.microsoft.com/office/spreadsheetml/2009/9/main" uri="{B025F937-C7B1-47D3-B67F-A62EFF666E3E}">
          <x14:id>{1F546695-A22C-465E-8AC3-6ABE2A180681}</x14:id>
        </ext>
      </extLst>
    </cfRule>
  </conditionalFormatting>
  <conditionalFormatting sqref="Z896">
    <cfRule type="dataBar" priority="1418">
      <dataBar>
        <cfvo type="min"/>
        <cfvo type="max"/>
        <color rgb="FF63C384"/>
      </dataBar>
      <extLst>
        <ext xmlns:x14="http://schemas.microsoft.com/office/spreadsheetml/2009/9/main" uri="{B025F937-C7B1-47D3-B67F-A62EFF666E3E}">
          <x14:id>{62CF011D-D3AA-4D88-86FF-BFC7FA63D142}</x14:id>
        </ext>
      </extLst>
    </cfRule>
  </conditionalFormatting>
  <conditionalFormatting sqref="C897">
    <cfRule type="containsText" dxfId="7354" priority="1416" operator="containsText" text="Einnahmen">
      <formula>NOT(ISERROR(SEARCH("Einnahmen",C897)))</formula>
    </cfRule>
    <cfRule type="containsText" dxfId="7353" priority="1417" operator="containsText" text="Ausgaben">
      <formula>NOT(ISERROR(SEARCH("Ausgaben",C897)))</formula>
    </cfRule>
  </conditionalFormatting>
  <conditionalFormatting sqref="J897">
    <cfRule type="cellIs" dxfId="7352" priority="1415" operator="equal">
      <formula>"ja"</formula>
    </cfRule>
  </conditionalFormatting>
  <conditionalFormatting sqref="J897">
    <cfRule type="cellIs" dxfId="7351" priority="1403" operator="equal">
      <formula>"ja"</formula>
    </cfRule>
  </conditionalFormatting>
  <conditionalFormatting sqref="Z897:Z898">
    <cfRule type="dataBar" priority="1413">
      <dataBar>
        <cfvo type="min"/>
        <cfvo type="max"/>
        <color rgb="FF63C384"/>
      </dataBar>
      <extLst>
        <ext xmlns:x14="http://schemas.microsoft.com/office/spreadsheetml/2009/9/main" uri="{B025F937-C7B1-47D3-B67F-A62EFF666E3E}">
          <x14:id>{C2666C76-FBB4-44C5-A6EC-71717BEAD50B}</x14:id>
        </ext>
      </extLst>
    </cfRule>
  </conditionalFormatting>
  <conditionalFormatting sqref="Z897:Z898">
    <cfRule type="dataBar" priority="1412">
      <dataBar>
        <cfvo type="min"/>
        <cfvo type="max"/>
        <color rgb="FF63C384"/>
      </dataBar>
      <extLst>
        <ext xmlns:x14="http://schemas.microsoft.com/office/spreadsheetml/2009/9/main" uri="{B025F937-C7B1-47D3-B67F-A62EFF666E3E}">
          <x14:id>{57C21076-F9D8-4F30-A1EC-B00A16CCAE0B}</x14:id>
        </ext>
      </extLst>
    </cfRule>
  </conditionalFormatting>
  <conditionalFormatting sqref="J897">
    <cfRule type="cellIs" dxfId="7350" priority="1411" operator="equal">
      <formula>"ja"</formula>
    </cfRule>
  </conditionalFormatting>
  <conditionalFormatting sqref="Z897:Z898">
    <cfRule type="dataBar" priority="1409">
      <dataBar>
        <cfvo type="min"/>
        <cfvo type="max"/>
        <color rgb="FF63C384"/>
      </dataBar>
      <extLst>
        <ext xmlns:x14="http://schemas.microsoft.com/office/spreadsheetml/2009/9/main" uri="{B025F937-C7B1-47D3-B67F-A62EFF666E3E}">
          <x14:id>{AE8167A6-7D96-4D7D-991C-FE7977B3D0DB}</x14:id>
        </ext>
      </extLst>
    </cfRule>
  </conditionalFormatting>
  <conditionalFormatting sqref="Z897:Z898">
    <cfRule type="dataBar" priority="1408">
      <dataBar>
        <cfvo type="min"/>
        <cfvo type="max"/>
        <color rgb="FF63C384"/>
      </dataBar>
      <extLst>
        <ext xmlns:x14="http://schemas.microsoft.com/office/spreadsheetml/2009/9/main" uri="{B025F937-C7B1-47D3-B67F-A62EFF666E3E}">
          <x14:id>{5BEAD440-337C-41D9-85A9-B97EBB85AB95}</x14:id>
        </ext>
      </extLst>
    </cfRule>
  </conditionalFormatting>
  <conditionalFormatting sqref="J897">
    <cfRule type="cellIs" dxfId="7349" priority="1407" operator="equal">
      <formula>"ja"</formula>
    </cfRule>
  </conditionalFormatting>
  <conditionalFormatting sqref="Z897:Z898">
    <cfRule type="dataBar" priority="1405">
      <dataBar>
        <cfvo type="min"/>
        <cfvo type="max"/>
        <color rgb="FF63C384"/>
      </dataBar>
      <extLst>
        <ext xmlns:x14="http://schemas.microsoft.com/office/spreadsheetml/2009/9/main" uri="{B025F937-C7B1-47D3-B67F-A62EFF666E3E}">
          <x14:id>{8233D361-6A6E-4009-A94D-75DC7F3E2319}</x14:id>
        </ext>
      </extLst>
    </cfRule>
  </conditionalFormatting>
  <conditionalFormatting sqref="Z897:Z898">
    <cfRule type="dataBar" priority="1404">
      <dataBar>
        <cfvo type="min"/>
        <cfvo type="max"/>
        <color rgb="FF63C384"/>
      </dataBar>
      <extLst>
        <ext xmlns:x14="http://schemas.microsoft.com/office/spreadsheetml/2009/9/main" uri="{B025F937-C7B1-47D3-B67F-A62EFF666E3E}">
          <x14:id>{02E05458-B29D-4AF6-A886-33F24DA58082}</x14:id>
        </ext>
      </extLst>
    </cfRule>
  </conditionalFormatting>
  <conditionalFormatting sqref="Z897:Z898">
    <cfRule type="dataBar" priority="1401">
      <dataBar>
        <cfvo type="min"/>
        <cfvo type="max"/>
        <color rgb="FF63C384"/>
      </dataBar>
      <extLst>
        <ext xmlns:x14="http://schemas.microsoft.com/office/spreadsheetml/2009/9/main" uri="{B025F937-C7B1-47D3-B67F-A62EFF666E3E}">
          <x14:id>{DB6AE996-99CF-4B79-8C3B-BDF24E6332F3}</x14:id>
        </ext>
      </extLst>
    </cfRule>
  </conditionalFormatting>
  <conditionalFormatting sqref="Z897:Z898">
    <cfRule type="dataBar" priority="1400">
      <dataBar>
        <cfvo type="min"/>
        <cfvo type="max"/>
        <color rgb="FF63C384"/>
      </dataBar>
      <extLst>
        <ext xmlns:x14="http://schemas.microsoft.com/office/spreadsheetml/2009/9/main" uri="{B025F937-C7B1-47D3-B67F-A62EFF666E3E}">
          <x14:id>{24B0D9F0-9960-47C1-8E2D-AD5F67D7E224}</x14:id>
        </ext>
      </extLst>
    </cfRule>
  </conditionalFormatting>
  <conditionalFormatting sqref="C899">
    <cfRule type="containsText" dxfId="7348" priority="1398" operator="containsText" text="Einnahmen">
      <formula>NOT(ISERROR(SEARCH("Einnahmen",C899)))</formula>
    </cfRule>
    <cfRule type="containsText" dxfId="7347" priority="1399" operator="containsText" text="Ausgaben">
      <formula>NOT(ISERROR(SEARCH("Ausgaben",C899)))</formula>
    </cfRule>
  </conditionalFormatting>
  <conditionalFormatting sqref="Z899">
    <cfRule type="dataBar" priority="1396">
      <dataBar>
        <cfvo type="min"/>
        <cfvo type="max"/>
        <color rgb="FF63C384"/>
      </dataBar>
      <extLst>
        <ext xmlns:x14="http://schemas.microsoft.com/office/spreadsheetml/2009/9/main" uri="{B025F937-C7B1-47D3-B67F-A62EFF666E3E}">
          <x14:id>{9C5D0575-6A55-4BC1-9EB3-BC1F3FA7D89B}</x14:id>
        </ext>
      </extLst>
    </cfRule>
  </conditionalFormatting>
  <conditionalFormatting sqref="Z899">
    <cfRule type="dataBar" priority="1395">
      <dataBar>
        <cfvo type="min"/>
        <cfvo type="max"/>
        <color rgb="FF63C384"/>
      </dataBar>
      <extLst>
        <ext xmlns:x14="http://schemas.microsoft.com/office/spreadsheetml/2009/9/main" uri="{B025F937-C7B1-47D3-B67F-A62EFF666E3E}">
          <x14:id>{0153220B-7B31-4862-B463-A203BD14B220}</x14:id>
        </ext>
      </extLst>
    </cfRule>
  </conditionalFormatting>
  <conditionalFormatting sqref="Z899">
    <cfRule type="dataBar" priority="1393">
      <dataBar>
        <cfvo type="min"/>
        <cfvo type="max"/>
        <color rgb="FF63C384"/>
      </dataBar>
      <extLst>
        <ext xmlns:x14="http://schemas.microsoft.com/office/spreadsheetml/2009/9/main" uri="{B025F937-C7B1-47D3-B67F-A62EFF666E3E}">
          <x14:id>{8EE70794-EABA-4B21-9C1E-D088A13DB143}</x14:id>
        </ext>
      </extLst>
    </cfRule>
  </conditionalFormatting>
  <conditionalFormatting sqref="Z899">
    <cfRule type="dataBar" priority="1392">
      <dataBar>
        <cfvo type="min"/>
        <cfvo type="max"/>
        <color rgb="FF63C384"/>
      </dataBar>
      <extLst>
        <ext xmlns:x14="http://schemas.microsoft.com/office/spreadsheetml/2009/9/main" uri="{B025F937-C7B1-47D3-B67F-A62EFF666E3E}">
          <x14:id>{2841F898-CCAB-44C6-8E42-8F4B6B5975DC}</x14:id>
        </ext>
      </extLst>
    </cfRule>
  </conditionalFormatting>
  <conditionalFormatting sqref="AC1">
    <cfRule type="cellIs" dxfId="7346" priority="1389" operator="equal">
      <formula>"ja"</formula>
    </cfRule>
  </conditionalFormatting>
  <conditionalFormatting sqref="AM1">
    <cfRule type="expression" dxfId="7345" priority="1388">
      <formula>AND(AND($W1&lt;TODAY(),$W1&lt;&gt;""),$X1="")</formula>
    </cfRule>
  </conditionalFormatting>
  <conditionalFormatting sqref="AS1">
    <cfRule type="dataBar" priority="1387">
      <dataBar>
        <cfvo type="min"/>
        <cfvo type="max"/>
        <color rgb="FF63C384"/>
      </dataBar>
      <extLst>
        <ext xmlns:x14="http://schemas.microsoft.com/office/spreadsheetml/2009/9/main" uri="{B025F937-C7B1-47D3-B67F-A62EFF666E3E}">
          <x14:id>{BB1F5885-7FD3-4386-9044-182F828AB50D}</x14:id>
        </ext>
      </extLst>
    </cfRule>
  </conditionalFormatting>
  <conditionalFormatting sqref="AS1">
    <cfRule type="dataBar" priority="1386">
      <dataBar>
        <cfvo type="min"/>
        <cfvo type="max"/>
        <color rgb="FF63C384"/>
      </dataBar>
      <extLst>
        <ext xmlns:x14="http://schemas.microsoft.com/office/spreadsheetml/2009/9/main" uri="{B025F937-C7B1-47D3-B67F-A62EFF666E3E}">
          <x14:id>{41446B3B-5AE6-4609-B19B-A69BC609CE8E}</x14:id>
        </ext>
      </extLst>
    </cfRule>
  </conditionalFormatting>
  <conditionalFormatting sqref="AM1">
    <cfRule type="expression" dxfId="7344" priority="1385">
      <formula>AND(AND($W1&lt;TODAY(),$W1&lt;&gt;""),$X1="")</formula>
    </cfRule>
  </conditionalFormatting>
  <conditionalFormatting sqref="AS1">
    <cfRule type="dataBar" priority="1384">
      <dataBar>
        <cfvo type="min"/>
        <cfvo type="max"/>
        <color rgb="FF63C384"/>
      </dataBar>
      <extLst>
        <ext xmlns:x14="http://schemas.microsoft.com/office/spreadsheetml/2009/9/main" uri="{B025F937-C7B1-47D3-B67F-A62EFF666E3E}">
          <x14:id>{1EE8C418-1761-4FE3-8E88-FD16062E25C2}</x14:id>
        </ext>
      </extLst>
    </cfRule>
  </conditionalFormatting>
  <conditionalFormatting sqref="AS1">
    <cfRule type="dataBar" priority="1383">
      <dataBar>
        <cfvo type="min"/>
        <cfvo type="max"/>
        <color rgb="FF63C384"/>
      </dataBar>
      <extLst>
        <ext xmlns:x14="http://schemas.microsoft.com/office/spreadsheetml/2009/9/main" uri="{B025F937-C7B1-47D3-B67F-A62EFF666E3E}">
          <x14:id>{A4F9B89A-7FC4-4D07-B973-2F55652F1684}</x14:id>
        </ext>
      </extLst>
    </cfRule>
  </conditionalFormatting>
  <conditionalFormatting sqref="AM1">
    <cfRule type="expression" dxfId="7343" priority="1382">
      <formula>AND(AND($W1&lt;TODAY(),$W1&lt;&gt;""),$X1="")</formula>
    </cfRule>
  </conditionalFormatting>
  <conditionalFormatting sqref="AS1">
    <cfRule type="dataBar" priority="1381">
      <dataBar>
        <cfvo type="min"/>
        <cfvo type="max"/>
        <color rgb="FF63C384"/>
      </dataBar>
      <extLst>
        <ext xmlns:x14="http://schemas.microsoft.com/office/spreadsheetml/2009/9/main" uri="{B025F937-C7B1-47D3-B67F-A62EFF666E3E}">
          <x14:id>{DB9902EF-8C7A-4494-BF20-1C20697266A5}</x14:id>
        </ext>
      </extLst>
    </cfRule>
  </conditionalFormatting>
  <conditionalFormatting sqref="AS1">
    <cfRule type="dataBar" priority="1380">
      <dataBar>
        <cfvo type="min"/>
        <cfvo type="max"/>
        <color rgb="FF63C384"/>
      </dataBar>
      <extLst>
        <ext xmlns:x14="http://schemas.microsoft.com/office/spreadsheetml/2009/9/main" uri="{B025F937-C7B1-47D3-B67F-A62EFF666E3E}">
          <x14:id>{100446FA-21C2-44E1-95D4-10AD1D1A3440}</x14:id>
        </ext>
      </extLst>
    </cfRule>
  </conditionalFormatting>
  <conditionalFormatting sqref="Z900:Z901">
    <cfRule type="dataBar" priority="1378">
      <dataBar>
        <cfvo type="min"/>
        <cfvo type="max"/>
        <color rgb="FF63C384"/>
      </dataBar>
      <extLst>
        <ext xmlns:x14="http://schemas.microsoft.com/office/spreadsheetml/2009/9/main" uri="{B025F937-C7B1-47D3-B67F-A62EFF666E3E}">
          <x14:id>{11BFFB7F-6286-41F3-BFBF-3BC1E20D8E90}</x14:id>
        </ext>
      </extLst>
    </cfRule>
  </conditionalFormatting>
  <conditionalFormatting sqref="Z900:Z901">
    <cfRule type="dataBar" priority="1377">
      <dataBar>
        <cfvo type="min"/>
        <cfvo type="max"/>
        <color rgb="FF63C384"/>
      </dataBar>
      <extLst>
        <ext xmlns:x14="http://schemas.microsoft.com/office/spreadsheetml/2009/9/main" uri="{B025F937-C7B1-47D3-B67F-A62EFF666E3E}">
          <x14:id>{AB9D8137-F64D-40D4-B9A9-6794ECC79181}</x14:id>
        </ext>
      </extLst>
    </cfRule>
  </conditionalFormatting>
  <conditionalFormatting sqref="C900:C901">
    <cfRule type="containsText" dxfId="7342" priority="1375" operator="containsText" text="Einnahmen">
      <formula>NOT(ISERROR(SEARCH("Einnahmen",C900)))</formula>
    </cfRule>
    <cfRule type="containsText" dxfId="7341" priority="1376" operator="containsText" text="Ausgaben">
      <formula>NOT(ISERROR(SEARCH("Ausgaben",C900)))</formula>
    </cfRule>
  </conditionalFormatting>
  <conditionalFormatting sqref="C900:C901">
    <cfRule type="containsText" dxfId="7340" priority="1373" operator="containsText" text="Einnahmen">
      <formula>NOT(ISERROR(SEARCH("Einnahmen",C900)))</formula>
    </cfRule>
    <cfRule type="containsText" dxfId="7339" priority="1374" operator="containsText" text="Ausgaben">
      <formula>NOT(ISERROR(SEARCH("Ausgaben",C900)))</formula>
    </cfRule>
  </conditionalFormatting>
  <conditionalFormatting sqref="C902">
    <cfRule type="containsText" dxfId="7338" priority="1371" operator="containsText" text="Einnahmen">
      <formula>NOT(ISERROR(SEARCH("Einnahmen",C902)))</formula>
    </cfRule>
    <cfRule type="containsText" dxfId="7337" priority="1372" operator="containsText" text="Ausgaben">
      <formula>NOT(ISERROR(SEARCH("Ausgaben",C902)))</formula>
    </cfRule>
  </conditionalFormatting>
  <conditionalFormatting sqref="C902">
    <cfRule type="containsText" dxfId="7336" priority="1369" operator="containsText" text="Einnahmen">
      <formula>NOT(ISERROR(SEARCH("Einnahmen",C902)))</formula>
    </cfRule>
    <cfRule type="containsText" dxfId="7335" priority="1370" operator="containsText" text="Ausgaben">
      <formula>NOT(ISERROR(SEARCH("Ausgaben",C902)))</formula>
    </cfRule>
  </conditionalFormatting>
  <conditionalFormatting sqref="J902">
    <cfRule type="cellIs" dxfId="7334" priority="1368" operator="equal">
      <formula>"ja"</formula>
    </cfRule>
  </conditionalFormatting>
  <conditionalFormatting sqref="Z902">
    <cfRule type="dataBar" priority="1366">
      <dataBar>
        <cfvo type="min"/>
        <cfvo type="max"/>
        <color rgb="FF63C384"/>
      </dataBar>
      <extLst>
        <ext xmlns:x14="http://schemas.microsoft.com/office/spreadsheetml/2009/9/main" uri="{B025F937-C7B1-47D3-B67F-A62EFF666E3E}">
          <x14:id>{EE8E87FB-14FC-4561-BCDF-BABEBC92383F}</x14:id>
        </ext>
      </extLst>
    </cfRule>
  </conditionalFormatting>
  <conditionalFormatting sqref="Z902">
    <cfRule type="dataBar" priority="1365">
      <dataBar>
        <cfvo type="min"/>
        <cfvo type="max"/>
        <color rgb="FF63C384"/>
      </dataBar>
      <extLst>
        <ext xmlns:x14="http://schemas.microsoft.com/office/spreadsheetml/2009/9/main" uri="{B025F937-C7B1-47D3-B67F-A62EFF666E3E}">
          <x14:id>{FF0940AB-2815-4E51-BEC3-86821DA44E40}</x14:id>
        </ext>
      </extLst>
    </cfRule>
  </conditionalFormatting>
  <conditionalFormatting sqref="Z902">
    <cfRule type="dataBar" priority="1363">
      <dataBar>
        <cfvo type="min"/>
        <cfvo type="max"/>
        <color rgb="FF63C384"/>
      </dataBar>
      <extLst>
        <ext xmlns:x14="http://schemas.microsoft.com/office/spreadsheetml/2009/9/main" uri="{B025F937-C7B1-47D3-B67F-A62EFF666E3E}">
          <x14:id>{AADFB624-960E-4A3F-B15B-61DB86664CA7}</x14:id>
        </ext>
      </extLst>
    </cfRule>
  </conditionalFormatting>
  <conditionalFormatting sqref="Z902">
    <cfRule type="dataBar" priority="1362">
      <dataBar>
        <cfvo type="min"/>
        <cfvo type="max"/>
        <color rgb="FF63C384"/>
      </dataBar>
      <extLst>
        <ext xmlns:x14="http://schemas.microsoft.com/office/spreadsheetml/2009/9/main" uri="{B025F937-C7B1-47D3-B67F-A62EFF666E3E}">
          <x14:id>{E48409B7-0EFD-4DDF-A298-CB5F23D20957}</x14:id>
        </ext>
      </extLst>
    </cfRule>
  </conditionalFormatting>
  <conditionalFormatting sqref="J902">
    <cfRule type="cellIs" dxfId="7333" priority="1361" operator="equal">
      <formula>"ja"</formula>
    </cfRule>
  </conditionalFormatting>
  <conditionalFormatting sqref="C903">
    <cfRule type="containsText" dxfId="7332" priority="1359" operator="containsText" text="Einnahmen">
      <formula>NOT(ISERROR(SEARCH("Einnahmen",C903)))</formula>
    </cfRule>
    <cfRule type="containsText" dxfId="7331" priority="1360" operator="containsText" text="Ausgaben">
      <formula>NOT(ISERROR(SEARCH("Ausgaben",C903)))</formula>
    </cfRule>
  </conditionalFormatting>
  <conditionalFormatting sqref="J903">
    <cfRule type="cellIs" dxfId="7330" priority="1358" operator="equal">
      <formula>"ja"</formula>
    </cfRule>
  </conditionalFormatting>
  <conditionalFormatting sqref="Z903">
    <cfRule type="dataBar" priority="1356">
      <dataBar>
        <cfvo type="min"/>
        <cfvo type="max"/>
        <color rgb="FF63C384"/>
      </dataBar>
      <extLst>
        <ext xmlns:x14="http://schemas.microsoft.com/office/spreadsheetml/2009/9/main" uri="{B025F937-C7B1-47D3-B67F-A62EFF666E3E}">
          <x14:id>{BD68AB70-4149-4BC7-9313-1228F9632DC5}</x14:id>
        </ext>
      </extLst>
    </cfRule>
  </conditionalFormatting>
  <conditionalFormatting sqref="Z903">
    <cfRule type="dataBar" priority="1355">
      <dataBar>
        <cfvo type="min"/>
        <cfvo type="max"/>
        <color rgb="FF63C384"/>
      </dataBar>
      <extLst>
        <ext xmlns:x14="http://schemas.microsoft.com/office/spreadsheetml/2009/9/main" uri="{B025F937-C7B1-47D3-B67F-A62EFF666E3E}">
          <x14:id>{87D5641E-F372-474F-BE46-3AC423B808E1}</x14:id>
        </ext>
      </extLst>
    </cfRule>
  </conditionalFormatting>
  <conditionalFormatting sqref="J904:J905">
    <cfRule type="cellIs" dxfId="7329" priority="1354" operator="equal">
      <formula>"ja"</formula>
    </cfRule>
  </conditionalFormatting>
  <conditionalFormatting sqref="C904:C905">
    <cfRule type="containsText" dxfId="7328" priority="1352" operator="containsText" text="Einnahmen">
      <formula>NOT(ISERROR(SEARCH("Einnahmen",C904)))</formula>
    </cfRule>
    <cfRule type="containsText" dxfId="7327" priority="1353" operator="containsText" text="Ausgaben">
      <formula>NOT(ISERROR(SEARCH("Ausgaben",C904)))</formula>
    </cfRule>
  </conditionalFormatting>
  <conditionalFormatting sqref="Z904">
    <cfRule type="dataBar" priority="1350">
      <dataBar>
        <cfvo type="min"/>
        <cfvo type="max"/>
        <color rgb="FF63C384"/>
      </dataBar>
      <extLst>
        <ext xmlns:x14="http://schemas.microsoft.com/office/spreadsheetml/2009/9/main" uri="{B025F937-C7B1-47D3-B67F-A62EFF666E3E}">
          <x14:id>{64E0A8C1-9F32-418B-B8BA-8B527474B3BE}</x14:id>
        </ext>
      </extLst>
    </cfRule>
  </conditionalFormatting>
  <conditionalFormatting sqref="J904:J905">
    <cfRule type="cellIs" dxfId="7326" priority="1348" operator="equal">
      <formula>"ja"</formula>
    </cfRule>
  </conditionalFormatting>
  <conditionalFormatting sqref="J904:J905">
    <cfRule type="cellIs" dxfId="7325" priority="1344" operator="equal">
      <formula>"ja"</formula>
    </cfRule>
  </conditionalFormatting>
  <conditionalFormatting sqref="C904:C905">
    <cfRule type="containsText" dxfId="7324" priority="1342" operator="containsText" text="Einnahmen">
      <formula>NOT(ISERROR(SEARCH("Einnahmen",C904)))</formula>
    </cfRule>
    <cfRule type="containsText" dxfId="7323" priority="1343" operator="containsText" text="Ausgaben">
      <formula>NOT(ISERROR(SEARCH("Ausgaben",C904)))</formula>
    </cfRule>
  </conditionalFormatting>
  <conditionalFormatting sqref="J906">
    <cfRule type="cellIs" dxfId="7322" priority="1338" operator="equal">
      <formula>"ja"</formula>
    </cfRule>
  </conditionalFormatting>
  <conditionalFormatting sqref="C906">
    <cfRule type="containsText" dxfId="7321" priority="1336" operator="containsText" text="Einnahmen">
      <formula>NOT(ISERROR(SEARCH("Einnahmen",C906)))</formula>
    </cfRule>
    <cfRule type="containsText" dxfId="7320" priority="1337" operator="containsText" text="Ausgaben">
      <formula>NOT(ISERROR(SEARCH("Ausgaben",C906)))</formula>
    </cfRule>
  </conditionalFormatting>
  <conditionalFormatting sqref="Z906">
    <cfRule type="dataBar" priority="1334">
      <dataBar>
        <cfvo type="min"/>
        <cfvo type="max"/>
        <color rgb="FF63C384"/>
      </dataBar>
      <extLst>
        <ext xmlns:x14="http://schemas.microsoft.com/office/spreadsheetml/2009/9/main" uri="{B025F937-C7B1-47D3-B67F-A62EFF666E3E}">
          <x14:id>{D6231E82-4529-46C6-A919-164A42530079}</x14:id>
        </ext>
      </extLst>
    </cfRule>
  </conditionalFormatting>
  <conditionalFormatting sqref="Z906">
    <cfRule type="dataBar" priority="1333">
      <dataBar>
        <cfvo type="min"/>
        <cfvo type="max"/>
        <color rgb="FF63C384"/>
      </dataBar>
      <extLst>
        <ext xmlns:x14="http://schemas.microsoft.com/office/spreadsheetml/2009/9/main" uri="{B025F937-C7B1-47D3-B67F-A62EFF666E3E}">
          <x14:id>{2AD4BBC2-3963-44FB-A27F-FFF44672CB11}</x14:id>
        </ext>
      </extLst>
    </cfRule>
  </conditionalFormatting>
  <conditionalFormatting sqref="C905">
    <cfRule type="containsText" dxfId="7319" priority="1331" operator="containsText" text="Einnahmen">
      <formula>NOT(ISERROR(SEARCH("Einnahmen",C905)))</formula>
    </cfRule>
    <cfRule type="containsText" dxfId="7318" priority="1332" operator="containsText" text="Ausgaben">
      <formula>NOT(ISERROR(SEARCH("Ausgaben",C905)))</formula>
    </cfRule>
  </conditionalFormatting>
  <conditionalFormatting sqref="J905">
    <cfRule type="cellIs" dxfId="7317" priority="1330" operator="equal">
      <formula>"ja"</formula>
    </cfRule>
  </conditionalFormatting>
  <conditionalFormatting sqref="Z905">
    <cfRule type="dataBar" priority="1328">
      <dataBar>
        <cfvo type="min"/>
        <cfvo type="max"/>
        <color rgb="FF63C384"/>
      </dataBar>
      <extLst>
        <ext xmlns:x14="http://schemas.microsoft.com/office/spreadsheetml/2009/9/main" uri="{B025F937-C7B1-47D3-B67F-A62EFF666E3E}">
          <x14:id>{E487A119-B75A-4B2D-AFA2-2A7538254792}</x14:id>
        </ext>
      </extLst>
    </cfRule>
  </conditionalFormatting>
  <conditionalFormatting sqref="Z905">
    <cfRule type="dataBar" priority="1327">
      <dataBar>
        <cfvo type="min"/>
        <cfvo type="max"/>
        <color rgb="FF63C384"/>
      </dataBar>
      <extLst>
        <ext xmlns:x14="http://schemas.microsoft.com/office/spreadsheetml/2009/9/main" uri="{B025F937-C7B1-47D3-B67F-A62EFF666E3E}">
          <x14:id>{BABEAABB-AAA9-448A-AE85-77E8ECE80C58}</x14:id>
        </ext>
      </extLst>
    </cfRule>
  </conditionalFormatting>
  <conditionalFormatting sqref="J905">
    <cfRule type="cellIs" dxfId="7316" priority="1325" operator="equal">
      <formula>"ja"</formula>
    </cfRule>
  </conditionalFormatting>
  <conditionalFormatting sqref="Z905">
    <cfRule type="dataBar" priority="1324">
      <dataBar>
        <cfvo type="min"/>
        <cfvo type="max"/>
        <color rgb="FF63C384"/>
      </dataBar>
      <extLst>
        <ext xmlns:x14="http://schemas.microsoft.com/office/spreadsheetml/2009/9/main" uri="{B025F937-C7B1-47D3-B67F-A62EFF666E3E}">
          <x14:id>{0D0B01EF-0BC6-4E83-929B-B5C129C8A3DC}</x14:id>
        </ext>
      </extLst>
    </cfRule>
  </conditionalFormatting>
  <conditionalFormatting sqref="Z905">
    <cfRule type="dataBar" priority="1323">
      <dataBar>
        <cfvo type="min"/>
        <cfvo type="max"/>
        <color rgb="FF63C384"/>
      </dataBar>
      <extLst>
        <ext xmlns:x14="http://schemas.microsoft.com/office/spreadsheetml/2009/9/main" uri="{B025F937-C7B1-47D3-B67F-A62EFF666E3E}">
          <x14:id>{CF82CB7C-B9AC-42A8-84F1-4CF97FC2A563}</x14:id>
        </ext>
      </extLst>
    </cfRule>
  </conditionalFormatting>
  <conditionalFormatting sqref="Z907">
    <cfRule type="dataBar" priority="1321">
      <dataBar>
        <cfvo type="min"/>
        <cfvo type="max"/>
        <color rgb="FF63C384"/>
      </dataBar>
      <extLst>
        <ext xmlns:x14="http://schemas.microsoft.com/office/spreadsheetml/2009/9/main" uri="{B025F937-C7B1-47D3-B67F-A62EFF666E3E}">
          <x14:id>{610BFFC9-E165-4718-97F4-ABF7BF66069F}</x14:id>
        </ext>
      </extLst>
    </cfRule>
  </conditionalFormatting>
  <conditionalFormatting sqref="Z907">
    <cfRule type="dataBar" priority="1320">
      <dataBar>
        <cfvo type="min"/>
        <cfvo type="max"/>
        <color rgb="FF63C384"/>
      </dataBar>
      <extLst>
        <ext xmlns:x14="http://schemas.microsoft.com/office/spreadsheetml/2009/9/main" uri="{B025F937-C7B1-47D3-B67F-A62EFF666E3E}">
          <x14:id>{44531B2A-E196-438F-B637-0047AD2C1FA0}</x14:id>
        </ext>
      </extLst>
    </cfRule>
  </conditionalFormatting>
  <conditionalFormatting sqref="C907">
    <cfRule type="containsText" dxfId="7315" priority="1318" operator="containsText" text="Einnahmen">
      <formula>NOT(ISERROR(SEARCH("Einnahmen",C907)))</formula>
    </cfRule>
    <cfRule type="containsText" dxfId="7314" priority="1319" operator="containsText" text="Ausgaben">
      <formula>NOT(ISERROR(SEARCH("Ausgaben",C907)))</formula>
    </cfRule>
  </conditionalFormatting>
  <conditionalFormatting sqref="C907">
    <cfRule type="containsText" dxfId="7313" priority="1316" operator="containsText" text="Einnahmen">
      <formula>NOT(ISERROR(SEARCH("Einnahmen",C907)))</formula>
    </cfRule>
    <cfRule type="containsText" dxfId="7312" priority="1317" operator="containsText" text="Ausgaben">
      <formula>NOT(ISERROR(SEARCH("Ausgaben",C907)))</formula>
    </cfRule>
  </conditionalFormatting>
  <conditionalFormatting sqref="C908">
    <cfRule type="containsText" dxfId="7311" priority="1314" operator="containsText" text="Einnahmen">
      <formula>NOT(ISERROR(SEARCH("Einnahmen",C908)))</formula>
    </cfRule>
    <cfRule type="containsText" dxfId="7310" priority="1315" operator="containsText" text="Ausgaben">
      <formula>NOT(ISERROR(SEARCH("Ausgaben",C908)))</formula>
    </cfRule>
  </conditionalFormatting>
  <conditionalFormatting sqref="Z908">
    <cfRule type="dataBar" priority="1312">
      <dataBar>
        <cfvo type="min"/>
        <cfvo type="max"/>
        <color rgb="FF63C384"/>
      </dataBar>
      <extLst>
        <ext xmlns:x14="http://schemas.microsoft.com/office/spreadsheetml/2009/9/main" uri="{B025F937-C7B1-47D3-B67F-A62EFF666E3E}">
          <x14:id>{0215210E-7F6E-493F-9176-17EB397C4AEF}</x14:id>
        </ext>
      </extLst>
    </cfRule>
  </conditionalFormatting>
  <conditionalFormatting sqref="Z908">
    <cfRule type="dataBar" priority="1311">
      <dataBar>
        <cfvo type="min"/>
        <cfvo type="max"/>
        <color rgb="FF63C384"/>
      </dataBar>
      <extLst>
        <ext xmlns:x14="http://schemas.microsoft.com/office/spreadsheetml/2009/9/main" uri="{B025F937-C7B1-47D3-B67F-A62EFF666E3E}">
          <x14:id>{BB07C129-B222-47DA-B410-4CDAD6BFDD27}</x14:id>
        </ext>
      </extLst>
    </cfRule>
  </conditionalFormatting>
  <conditionalFormatting sqref="Z908">
    <cfRule type="dataBar" priority="1309">
      <dataBar>
        <cfvo type="min"/>
        <cfvo type="max"/>
        <color rgb="FF63C384"/>
      </dataBar>
      <extLst>
        <ext xmlns:x14="http://schemas.microsoft.com/office/spreadsheetml/2009/9/main" uri="{B025F937-C7B1-47D3-B67F-A62EFF666E3E}">
          <x14:id>{E0C0C5A1-8024-48C4-BEEB-7721D79CA234}</x14:id>
        </ext>
      </extLst>
    </cfRule>
  </conditionalFormatting>
  <conditionalFormatting sqref="Z908">
    <cfRule type="dataBar" priority="1308">
      <dataBar>
        <cfvo type="min"/>
        <cfvo type="max"/>
        <color rgb="FF63C384"/>
      </dataBar>
      <extLst>
        <ext xmlns:x14="http://schemas.microsoft.com/office/spreadsheetml/2009/9/main" uri="{B025F937-C7B1-47D3-B67F-A62EFF666E3E}">
          <x14:id>{18023DE7-71CE-4857-B9CC-DF30E9C56A7E}</x14:id>
        </ext>
      </extLst>
    </cfRule>
  </conditionalFormatting>
  <conditionalFormatting sqref="J909">
    <cfRule type="cellIs" dxfId="7309" priority="1307" operator="equal">
      <formula>"ja"</formula>
    </cfRule>
  </conditionalFormatting>
  <conditionalFormatting sqref="C909">
    <cfRule type="containsText" dxfId="7308" priority="1305" operator="containsText" text="Einnahmen">
      <formula>NOT(ISERROR(SEARCH("Einnahmen",C909)))</formula>
    </cfRule>
    <cfRule type="containsText" dxfId="7307" priority="1306" operator="containsText" text="Ausgaben">
      <formula>NOT(ISERROR(SEARCH("Ausgaben",C909)))</formula>
    </cfRule>
  </conditionalFormatting>
  <conditionalFormatting sqref="Z909">
    <cfRule type="dataBar" priority="1303">
      <dataBar>
        <cfvo type="min"/>
        <cfvo type="max"/>
        <color rgb="FF63C384"/>
      </dataBar>
      <extLst>
        <ext xmlns:x14="http://schemas.microsoft.com/office/spreadsheetml/2009/9/main" uri="{B025F937-C7B1-47D3-B67F-A62EFF666E3E}">
          <x14:id>{09094C09-0C1D-4744-801E-F49059A73A3B}</x14:id>
        </ext>
      </extLst>
    </cfRule>
  </conditionalFormatting>
  <conditionalFormatting sqref="Z909">
    <cfRule type="dataBar" priority="1302">
      <dataBar>
        <cfvo type="min"/>
        <cfvo type="max"/>
        <color rgb="FF63C384"/>
      </dataBar>
      <extLst>
        <ext xmlns:x14="http://schemas.microsoft.com/office/spreadsheetml/2009/9/main" uri="{B025F937-C7B1-47D3-B67F-A62EFF666E3E}">
          <x14:id>{B8430172-F918-4A00-B65C-975E5D2CCB51}</x14:id>
        </ext>
      </extLst>
    </cfRule>
  </conditionalFormatting>
  <conditionalFormatting sqref="C910">
    <cfRule type="containsText" dxfId="7306" priority="1300" operator="containsText" text="Einnahmen">
      <formula>NOT(ISERROR(SEARCH("Einnahmen",C910)))</formula>
    </cfRule>
    <cfRule type="containsText" dxfId="7305" priority="1301" operator="containsText" text="Ausgaben">
      <formula>NOT(ISERROR(SEARCH("Ausgaben",C910)))</formula>
    </cfRule>
  </conditionalFormatting>
  <conditionalFormatting sqref="Z910">
    <cfRule type="dataBar" priority="1298">
      <dataBar>
        <cfvo type="min"/>
        <cfvo type="max"/>
        <color rgb="FF63C384"/>
      </dataBar>
      <extLst>
        <ext xmlns:x14="http://schemas.microsoft.com/office/spreadsheetml/2009/9/main" uri="{B025F937-C7B1-47D3-B67F-A62EFF666E3E}">
          <x14:id>{5DA62AA4-6791-4D88-B736-8B46A0BE9E84}</x14:id>
        </ext>
      </extLst>
    </cfRule>
  </conditionalFormatting>
  <conditionalFormatting sqref="Z910">
    <cfRule type="dataBar" priority="1297">
      <dataBar>
        <cfvo type="min"/>
        <cfvo type="max"/>
        <color rgb="FF63C384"/>
      </dataBar>
      <extLst>
        <ext xmlns:x14="http://schemas.microsoft.com/office/spreadsheetml/2009/9/main" uri="{B025F937-C7B1-47D3-B67F-A62EFF666E3E}">
          <x14:id>{FBF4B846-0E00-4A8F-8842-8CF781307056}</x14:id>
        </ext>
      </extLst>
    </cfRule>
  </conditionalFormatting>
  <conditionalFormatting sqref="J910">
    <cfRule type="cellIs" dxfId="7304" priority="1296" operator="equal">
      <formula>"ja"</formula>
    </cfRule>
  </conditionalFormatting>
  <conditionalFormatting sqref="J910">
    <cfRule type="cellIs" dxfId="7303" priority="1295" operator="equal">
      <formula>"ja"</formula>
    </cfRule>
  </conditionalFormatting>
  <conditionalFormatting sqref="Z911:Z912">
    <cfRule type="dataBar" priority="1293">
      <dataBar>
        <cfvo type="min"/>
        <cfvo type="max"/>
        <color rgb="FF63C384"/>
      </dataBar>
      <extLst>
        <ext xmlns:x14="http://schemas.microsoft.com/office/spreadsheetml/2009/9/main" uri="{B025F937-C7B1-47D3-B67F-A62EFF666E3E}">
          <x14:id>{4BBD7651-10B0-4823-BFFC-BB90ED5E1F68}</x14:id>
        </ext>
      </extLst>
    </cfRule>
  </conditionalFormatting>
  <conditionalFormatting sqref="Z911:Z912">
    <cfRule type="dataBar" priority="1292">
      <dataBar>
        <cfvo type="min"/>
        <cfvo type="max"/>
        <color rgb="FF63C384"/>
      </dataBar>
      <extLst>
        <ext xmlns:x14="http://schemas.microsoft.com/office/spreadsheetml/2009/9/main" uri="{B025F937-C7B1-47D3-B67F-A62EFF666E3E}">
          <x14:id>{313DBBC7-7BDA-4405-B24E-FE63F72AEE63}</x14:id>
        </ext>
      </extLst>
    </cfRule>
  </conditionalFormatting>
  <conditionalFormatting sqref="C911:C912">
    <cfRule type="containsText" dxfId="7302" priority="1290" operator="containsText" text="Einnahmen">
      <formula>NOT(ISERROR(SEARCH("Einnahmen",C911)))</formula>
    </cfRule>
    <cfRule type="containsText" dxfId="7301" priority="1291" operator="containsText" text="Ausgaben">
      <formula>NOT(ISERROR(SEARCH("Ausgaben",C911)))</formula>
    </cfRule>
  </conditionalFormatting>
  <conditionalFormatting sqref="C911:C912">
    <cfRule type="containsText" dxfId="7300" priority="1288" operator="containsText" text="Einnahmen">
      <formula>NOT(ISERROR(SEARCH("Einnahmen",C911)))</formula>
    </cfRule>
    <cfRule type="containsText" dxfId="7299" priority="1289" operator="containsText" text="Ausgaben">
      <formula>NOT(ISERROR(SEARCH("Ausgaben",C911)))</formula>
    </cfRule>
  </conditionalFormatting>
  <conditionalFormatting sqref="J913">
    <cfRule type="cellIs" dxfId="7298" priority="1287" operator="equal">
      <formula>"ja"</formula>
    </cfRule>
  </conditionalFormatting>
  <conditionalFormatting sqref="Z913">
    <cfRule type="dataBar" priority="1285">
      <dataBar>
        <cfvo type="min"/>
        <cfvo type="max"/>
        <color rgb="FF63C384"/>
      </dataBar>
      <extLst>
        <ext xmlns:x14="http://schemas.microsoft.com/office/spreadsheetml/2009/9/main" uri="{B025F937-C7B1-47D3-B67F-A62EFF666E3E}">
          <x14:id>{ABAD4A5F-4825-4256-9E30-8AF3E00F4D7C}</x14:id>
        </ext>
      </extLst>
    </cfRule>
  </conditionalFormatting>
  <conditionalFormatting sqref="Z913">
    <cfRule type="dataBar" priority="1284">
      <dataBar>
        <cfvo type="min"/>
        <cfvo type="max"/>
        <color rgb="FF63C384"/>
      </dataBar>
      <extLst>
        <ext xmlns:x14="http://schemas.microsoft.com/office/spreadsheetml/2009/9/main" uri="{B025F937-C7B1-47D3-B67F-A62EFF666E3E}">
          <x14:id>{26AE5241-C699-4E66-876E-529E4C6514C5}</x14:id>
        </ext>
      </extLst>
    </cfRule>
  </conditionalFormatting>
  <conditionalFormatting sqref="Z913">
    <cfRule type="dataBar" priority="1282">
      <dataBar>
        <cfvo type="min"/>
        <cfvo type="max"/>
        <color rgb="FF63C384"/>
      </dataBar>
      <extLst>
        <ext xmlns:x14="http://schemas.microsoft.com/office/spreadsheetml/2009/9/main" uri="{B025F937-C7B1-47D3-B67F-A62EFF666E3E}">
          <x14:id>{F9E72A07-3328-49A8-A835-EE8B67806905}</x14:id>
        </ext>
      </extLst>
    </cfRule>
  </conditionalFormatting>
  <conditionalFormatting sqref="Z913">
    <cfRule type="dataBar" priority="1281">
      <dataBar>
        <cfvo type="min"/>
        <cfvo type="max"/>
        <color rgb="FF63C384"/>
      </dataBar>
      <extLst>
        <ext xmlns:x14="http://schemas.microsoft.com/office/spreadsheetml/2009/9/main" uri="{B025F937-C7B1-47D3-B67F-A62EFF666E3E}">
          <x14:id>{0523866F-FD18-4477-9923-AFD8C32DB71F}</x14:id>
        </ext>
      </extLst>
    </cfRule>
  </conditionalFormatting>
  <conditionalFormatting sqref="J913">
    <cfRule type="cellIs" dxfId="7297" priority="1280" operator="equal">
      <formula>"ja"</formula>
    </cfRule>
  </conditionalFormatting>
  <conditionalFormatting sqref="C913">
    <cfRule type="containsText" dxfId="7296" priority="1278" operator="containsText" text="Einnahmen">
      <formula>NOT(ISERROR(SEARCH("Einnahmen",C913)))</formula>
    </cfRule>
    <cfRule type="containsText" dxfId="7295" priority="1279" operator="containsText" text="Ausgaben">
      <formula>NOT(ISERROR(SEARCH("Ausgaben",C913)))</formula>
    </cfRule>
  </conditionalFormatting>
  <conditionalFormatting sqref="Z914">
    <cfRule type="dataBar" priority="1276">
      <dataBar>
        <cfvo type="min"/>
        <cfvo type="max"/>
        <color rgb="FF63C384"/>
      </dataBar>
      <extLst>
        <ext xmlns:x14="http://schemas.microsoft.com/office/spreadsheetml/2009/9/main" uri="{B025F937-C7B1-47D3-B67F-A62EFF666E3E}">
          <x14:id>{DC64CEEB-2074-42A9-9677-48DB524D8188}</x14:id>
        </ext>
      </extLst>
    </cfRule>
  </conditionalFormatting>
  <conditionalFormatting sqref="Z914">
    <cfRule type="dataBar" priority="1275">
      <dataBar>
        <cfvo type="min"/>
        <cfvo type="max"/>
        <color rgb="FF63C384"/>
      </dataBar>
      <extLst>
        <ext xmlns:x14="http://schemas.microsoft.com/office/spreadsheetml/2009/9/main" uri="{B025F937-C7B1-47D3-B67F-A62EFF666E3E}">
          <x14:id>{A8B254B2-CFB8-42FB-90AA-93FF79690523}</x14:id>
        </ext>
      </extLst>
    </cfRule>
  </conditionalFormatting>
  <conditionalFormatting sqref="J914">
    <cfRule type="cellIs" dxfId="7294" priority="1274" operator="equal">
      <formula>"ja"</formula>
    </cfRule>
  </conditionalFormatting>
  <conditionalFormatting sqref="C914">
    <cfRule type="containsText" dxfId="7293" priority="1272" operator="containsText" text="Einnahmen">
      <formula>NOT(ISERROR(SEARCH("Einnahmen",C914)))</formula>
    </cfRule>
    <cfRule type="containsText" dxfId="7292" priority="1273" operator="containsText" text="Ausgaben">
      <formula>NOT(ISERROR(SEARCH("Ausgaben",C914)))</formula>
    </cfRule>
  </conditionalFormatting>
  <conditionalFormatting sqref="J915">
    <cfRule type="cellIs" dxfId="7291" priority="1271" operator="equal">
      <formula>"ja"</formula>
    </cfRule>
  </conditionalFormatting>
  <conditionalFormatting sqref="C915">
    <cfRule type="containsText" dxfId="7290" priority="1269" operator="containsText" text="Einnahmen">
      <formula>NOT(ISERROR(SEARCH("Einnahmen",C915)))</formula>
    </cfRule>
    <cfRule type="containsText" dxfId="7289" priority="1270" operator="containsText" text="Ausgaben">
      <formula>NOT(ISERROR(SEARCH("Ausgaben",C915)))</formula>
    </cfRule>
  </conditionalFormatting>
  <conditionalFormatting sqref="Z915">
    <cfRule type="dataBar" priority="1267">
      <dataBar>
        <cfvo type="min"/>
        <cfvo type="max"/>
        <color rgb="FF63C384"/>
      </dataBar>
      <extLst>
        <ext xmlns:x14="http://schemas.microsoft.com/office/spreadsheetml/2009/9/main" uri="{B025F937-C7B1-47D3-B67F-A62EFF666E3E}">
          <x14:id>{A68F7439-C01B-4FCB-889F-A25CCC4404EC}</x14:id>
        </ext>
      </extLst>
    </cfRule>
  </conditionalFormatting>
  <conditionalFormatting sqref="Z915">
    <cfRule type="dataBar" priority="1266">
      <dataBar>
        <cfvo type="min"/>
        <cfvo type="max"/>
        <color rgb="FF63C384"/>
      </dataBar>
      <extLst>
        <ext xmlns:x14="http://schemas.microsoft.com/office/spreadsheetml/2009/9/main" uri="{B025F937-C7B1-47D3-B67F-A62EFF666E3E}">
          <x14:id>{94233570-B744-4B50-A33F-9A6D5C5A754C}</x14:id>
        </ext>
      </extLst>
    </cfRule>
  </conditionalFormatting>
  <conditionalFormatting sqref="C916">
    <cfRule type="containsText" dxfId="7288" priority="1264" operator="containsText" text="Einnahmen">
      <formula>NOT(ISERROR(SEARCH("Einnahmen",C916)))</formula>
    </cfRule>
    <cfRule type="containsText" dxfId="7287" priority="1265" operator="containsText" text="Ausgaben">
      <formula>NOT(ISERROR(SEARCH("Ausgaben",C916)))</formula>
    </cfRule>
  </conditionalFormatting>
  <conditionalFormatting sqref="J916">
    <cfRule type="cellIs" dxfId="7286" priority="1263" operator="equal">
      <formula>"ja"</formula>
    </cfRule>
  </conditionalFormatting>
  <conditionalFormatting sqref="Z916">
    <cfRule type="dataBar" priority="1261">
      <dataBar>
        <cfvo type="min"/>
        <cfvo type="max"/>
        <color rgb="FF63C384"/>
      </dataBar>
      <extLst>
        <ext xmlns:x14="http://schemas.microsoft.com/office/spreadsheetml/2009/9/main" uri="{B025F937-C7B1-47D3-B67F-A62EFF666E3E}">
          <x14:id>{A6E6A119-FA52-4181-BE47-4B3AAF07CC47}</x14:id>
        </ext>
      </extLst>
    </cfRule>
  </conditionalFormatting>
  <conditionalFormatting sqref="Z916">
    <cfRule type="dataBar" priority="1260">
      <dataBar>
        <cfvo type="min"/>
        <cfvo type="max"/>
        <color rgb="FF63C384"/>
      </dataBar>
      <extLst>
        <ext xmlns:x14="http://schemas.microsoft.com/office/spreadsheetml/2009/9/main" uri="{B025F937-C7B1-47D3-B67F-A62EFF666E3E}">
          <x14:id>{CA3E5421-8E5B-46CD-AF9B-FE3906052B93}</x14:id>
        </ext>
      </extLst>
    </cfRule>
  </conditionalFormatting>
  <conditionalFormatting sqref="C918">
    <cfRule type="containsText" dxfId="7285" priority="1258" operator="containsText" text="Einnahmen">
      <formula>NOT(ISERROR(SEARCH("Einnahmen",C918)))</formula>
    </cfRule>
    <cfRule type="containsText" dxfId="7284" priority="1259" operator="containsText" text="Ausgaben">
      <formula>NOT(ISERROR(SEARCH("Ausgaben",C918)))</formula>
    </cfRule>
  </conditionalFormatting>
  <conditionalFormatting sqref="J918">
    <cfRule type="cellIs" dxfId="7283" priority="1257" operator="equal">
      <formula>"ja"</formula>
    </cfRule>
  </conditionalFormatting>
  <conditionalFormatting sqref="J918">
    <cfRule type="cellIs" dxfId="7282" priority="1245" operator="equal">
      <formula>"ja"</formula>
    </cfRule>
  </conditionalFormatting>
  <conditionalFormatting sqref="Z918">
    <cfRule type="dataBar" priority="1255">
      <dataBar>
        <cfvo type="min"/>
        <cfvo type="max"/>
        <color rgb="FF63C384"/>
      </dataBar>
      <extLst>
        <ext xmlns:x14="http://schemas.microsoft.com/office/spreadsheetml/2009/9/main" uri="{B025F937-C7B1-47D3-B67F-A62EFF666E3E}">
          <x14:id>{90A33AFE-29C7-41DC-B962-2A24102B908E}</x14:id>
        </ext>
      </extLst>
    </cfRule>
  </conditionalFormatting>
  <conditionalFormatting sqref="Z918">
    <cfRule type="dataBar" priority="1254">
      <dataBar>
        <cfvo type="min"/>
        <cfvo type="max"/>
        <color rgb="FF63C384"/>
      </dataBar>
      <extLst>
        <ext xmlns:x14="http://schemas.microsoft.com/office/spreadsheetml/2009/9/main" uri="{B025F937-C7B1-47D3-B67F-A62EFF666E3E}">
          <x14:id>{D56CB46F-B3CD-462E-8594-5555ECF1933F}</x14:id>
        </ext>
      </extLst>
    </cfRule>
  </conditionalFormatting>
  <conditionalFormatting sqref="J918">
    <cfRule type="cellIs" dxfId="7281" priority="1253" operator="equal">
      <formula>"ja"</formula>
    </cfRule>
  </conditionalFormatting>
  <conditionalFormatting sqref="Z918">
    <cfRule type="dataBar" priority="1251">
      <dataBar>
        <cfvo type="min"/>
        <cfvo type="max"/>
        <color rgb="FF63C384"/>
      </dataBar>
      <extLst>
        <ext xmlns:x14="http://schemas.microsoft.com/office/spreadsheetml/2009/9/main" uri="{B025F937-C7B1-47D3-B67F-A62EFF666E3E}">
          <x14:id>{FF622F72-914A-475D-9516-BDC4E1B58741}</x14:id>
        </ext>
      </extLst>
    </cfRule>
  </conditionalFormatting>
  <conditionalFormatting sqref="Z918">
    <cfRule type="dataBar" priority="1250">
      <dataBar>
        <cfvo type="min"/>
        <cfvo type="max"/>
        <color rgb="FF63C384"/>
      </dataBar>
      <extLst>
        <ext xmlns:x14="http://schemas.microsoft.com/office/spreadsheetml/2009/9/main" uri="{B025F937-C7B1-47D3-B67F-A62EFF666E3E}">
          <x14:id>{ADFE7C0D-E439-460C-BCAC-57F4A90AB7FF}</x14:id>
        </ext>
      </extLst>
    </cfRule>
  </conditionalFormatting>
  <conditionalFormatting sqref="J918">
    <cfRule type="cellIs" dxfId="7280" priority="1249" operator="equal">
      <formula>"ja"</formula>
    </cfRule>
  </conditionalFormatting>
  <conditionalFormatting sqref="Z918">
    <cfRule type="dataBar" priority="1247">
      <dataBar>
        <cfvo type="min"/>
        <cfvo type="max"/>
        <color rgb="FF63C384"/>
      </dataBar>
      <extLst>
        <ext xmlns:x14="http://schemas.microsoft.com/office/spreadsheetml/2009/9/main" uri="{B025F937-C7B1-47D3-B67F-A62EFF666E3E}">
          <x14:id>{7D08160C-C365-4622-8DBF-2BD91CAE0422}</x14:id>
        </ext>
      </extLst>
    </cfRule>
  </conditionalFormatting>
  <conditionalFormatting sqref="Z918">
    <cfRule type="dataBar" priority="1246">
      <dataBar>
        <cfvo type="min"/>
        <cfvo type="max"/>
        <color rgb="FF63C384"/>
      </dataBar>
      <extLst>
        <ext xmlns:x14="http://schemas.microsoft.com/office/spreadsheetml/2009/9/main" uri="{B025F937-C7B1-47D3-B67F-A62EFF666E3E}">
          <x14:id>{1801957E-D1A3-44F0-B8C0-4D93E4618BEC}</x14:id>
        </ext>
      </extLst>
    </cfRule>
  </conditionalFormatting>
  <conditionalFormatting sqref="Z918">
    <cfRule type="dataBar" priority="1243">
      <dataBar>
        <cfvo type="min"/>
        <cfvo type="max"/>
        <color rgb="FF63C384"/>
      </dataBar>
      <extLst>
        <ext xmlns:x14="http://schemas.microsoft.com/office/spreadsheetml/2009/9/main" uri="{B025F937-C7B1-47D3-B67F-A62EFF666E3E}">
          <x14:id>{4A4A6081-E66E-40B7-885C-39BAC44F0550}</x14:id>
        </ext>
      </extLst>
    </cfRule>
  </conditionalFormatting>
  <conditionalFormatting sqref="Z918">
    <cfRule type="dataBar" priority="1242">
      <dataBar>
        <cfvo type="min"/>
        <cfvo type="max"/>
        <color rgb="FF63C384"/>
      </dataBar>
      <extLst>
        <ext xmlns:x14="http://schemas.microsoft.com/office/spreadsheetml/2009/9/main" uri="{B025F937-C7B1-47D3-B67F-A62EFF666E3E}">
          <x14:id>{6124173F-F934-4ADF-A833-5182E639AB9F}</x14:id>
        </ext>
      </extLst>
    </cfRule>
  </conditionalFormatting>
  <conditionalFormatting sqref="C917:C918">
    <cfRule type="containsText" dxfId="7279" priority="1240" operator="containsText" text="Einnahmen">
      <formula>NOT(ISERROR(SEARCH("Einnahmen",C917)))</formula>
    </cfRule>
    <cfRule type="containsText" dxfId="7278" priority="1241" operator="containsText" text="Ausgaben">
      <formula>NOT(ISERROR(SEARCH("Ausgaben",C917)))</formula>
    </cfRule>
  </conditionalFormatting>
  <conditionalFormatting sqref="C917:C918">
    <cfRule type="containsText" dxfId="7277" priority="1238" operator="containsText" text="Einnahmen">
      <formula>NOT(ISERROR(SEARCH("Einnahmen",C917)))</formula>
    </cfRule>
    <cfRule type="containsText" dxfId="7276" priority="1239" operator="containsText" text="Ausgaben">
      <formula>NOT(ISERROR(SEARCH("Ausgaben",C917)))</formula>
    </cfRule>
  </conditionalFormatting>
  <conditionalFormatting sqref="J917:J918">
    <cfRule type="cellIs" dxfId="7275" priority="1237" operator="equal">
      <formula>"ja"</formula>
    </cfRule>
  </conditionalFormatting>
  <conditionalFormatting sqref="Z917">
    <cfRule type="dataBar" priority="1235">
      <dataBar>
        <cfvo type="min"/>
        <cfvo type="max"/>
        <color rgb="FF63C384"/>
      </dataBar>
      <extLst>
        <ext xmlns:x14="http://schemas.microsoft.com/office/spreadsheetml/2009/9/main" uri="{B025F937-C7B1-47D3-B67F-A62EFF666E3E}">
          <x14:id>{682F914B-EF28-417B-9B18-5A39BB2B45BC}</x14:id>
        </ext>
      </extLst>
    </cfRule>
  </conditionalFormatting>
  <conditionalFormatting sqref="J917:J918">
    <cfRule type="cellIs" dxfId="7274" priority="1230" operator="equal">
      <formula>"ja"</formula>
    </cfRule>
  </conditionalFormatting>
  <conditionalFormatting sqref="C919:C920">
    <cfRule type="containsText" dxfId="7273" priority="1228" operator="containsText" text="Einnahmen">
      <formula>NOT(ISERROR(SEARCH("Einnahmen",C919)))</formula>
    </cfRule>
    <cfRule type="containsText" dxfId="7272" priority="1229" operator="containsText" text="Ausgaben">
      <formula>NOT(ISERROR(SEARCH("Ausgaben",C919)))</formula>
    </cfRule>
  </conditionalFormatting>
  <conditionalFormatting sqref="J919:J920">
    <cfRule type="cellIs" dxfId="7271" priority="1227" operator="equal">
      <formula>"ja"</formula>
    </cfRule>
  </conditionalFormatting>
  <conditionalFormatting sqref="Z919">
    <cfRule type="dataBar" priority="1225">
      <dataBar>
        <cfvo type="min"/>
        <cfvo type="max"/>
        <color rgb="FF63C384"/>
      </dataBar>
      <extLst>
        <ext xmlns:x14="http://schemas.microsoft.com/office/spreadsheetml/2009/9/main" uri="{B025F937-C7B1-47D3-B67F-A62EFF666E3E}">
          <x14:id>{D31AF0EB-14CC-4680-A662-BAECBC4F679B}</x14:id>
        </ext>
      </extLst>
    </cfRule>
  </conditionalFormatting>
  <conditionalFormatting sqref="J919:J920">
    <cfRule type="cellIs" dxfId="7270" priority="1222" operator="equal">
      <formula>"ja"</formula>
    </cfRule>
  </conditionalFormatting>
  <conditionalFormatting sqref="J921">
    <cfRule type="cellIs" dxfId="7269" priority="1219" operator="equal">
      <formula>"ja"</formula>
    </cfRule>
  </conditionalFormatting>
  <conditionalFormatting sqref="C921">
    <cfRule type="containsText" dxfId="7268" priority="1217" operator="containsText" text="Einnahmen">
      <formula>NOT(ISERROR(SEARCH("Einnahmen",C921)))</formula>
    </cfRule>
    <cfRule type="containsText" dxfId="7267" priority="1218" operator="containsText" text="Ausgaben">
      <formula>NOT(ISERROR(SEARCH("Ausgaben",C921)))</formula>
    </cfRule>
  </conditionalFormatting>
  <conditionalFormatting sqref="Z921">
    <cfRule type="dataBar" priority="1215">
      <dataBar>
        <cfvo type="min"/>
        <cfvo type="max"/>
        <color rgb="FF63C384"/>
      </dataBar>
      <extLst>
        <ext xmlns:x14="http://schemas.microsoft.com/office/spreadsheetml/2009/9/main" uri="{B025F937-C7B1-47D3-B67F-A62EFF666E3E}">
          <x14:id>{0ADE2D28-E261-40C0-8DAC-DC4265EBB997}</x14:id>
        </ext>
      </extLst>
    </cfRule>
  </conditionalFormatting>
  <conditionalFormatting sqref="Z921">
    <cfRule type="dataBar" priority="1214">
      <dataBar>
        <cfvo type="min"/>
        <cfvo type="max"/>
        <color rgb="FF63C384"/>
      </dataBar>
      <extLst>
        <ext xmlns:x14="http://schemas.microsoft.com/office/spreadsheetml/2009/9/main" uri="{B025F937-C7B1-47D3-B67F-A62EFF666E3E}">
          <x14:id>{92D1162D-57E0-4EBB-8879-8158946FEDBF}</x14:id>
        </ext>
      </extLst>
    </cfRule>
  </conditionalFormatting>
  <conditionalFormatting sqref="C920">
    <cfRule type="containsText" dxfId="7266" priority="1212" operator="containsText" text="Einnahmen">
      <formula>NOT(ISERROR(SEARCH("Einnahmen",C920)))</formula>
    </cfRule>
    <cfRule type="containsText" dxfId="7265" priority="1213" operator="containsText" text="Ausgaben">
      <formula>NOT(ISERROR(SEARCH("Ausgaben",C920)))</formula>
    </cfRule>
  </conditionalFormatting>
  <conditionalFormatting sqref="J920">
    <cfRule type="cellIs" dxfId="7264" priority="1211" operator="equal">
      <formula>"ja"</formula>
    </cfRule>
  </conditionalFormatting>
  <conditionalFormatting sqref="Z920">
    <cfRule type="dataBar" priority="1209">
      <dataBar>
        <cfvo type="min"/>
        <cfvo type="max"/>
        <color rgb="FF63C384"/>
      </dataBar>
      <extLst>
        <ext xmlns:x14="http://schemas.microsoft.com/office/spreadsheetml/2009/9/main" uri="{B025F937-C7B1-47D3-B67F-A62EFF666E3E}">
          <x14:id>{7FE13C37-B91B-482D-8E7A-E82C6097560F}</x14:id>
        </ext>
      </extLst>
    </cfRule>
  </conditionalFormatting>
  <conditionalFormatting sqref="Z920">
    <cfRule type="dataBar" priority="1208">
      <dataBar>
        <cfvo type="min"/>
        <cfvo type="max"/>
        <color rgb="FF63C384"/>
      </dataBar>
      <extLst>
        <ext xmlns:x14="http://schemas.microsoft.com/office/spreadsheetml/2009/9/main" uri="{B025F937-C7B1-47D3-B67F-A62EFF666E3E}">
          <x14:id>{1C83201B-D0F3-4E9D-8E4A-7FE2CBBDEB44}</x14:id>
        </ext>
      </extLst>
    </cfRule>
  </conditionalFormatting>
  <conditionalFormatting sqref="J920">
    <cfRule type="cellIs" dxfId="7263" priority="1206" operator="equal">
      <formula>"ja"</formula>
    </cfRule>
  </conditionalFormatting>
  <conditionalFormatting sqref="Z920">
    <cfRule type="dataBar" priority="1205">
      <dataBar>
        <cfvo type="min"/>
        <cfvo type="max"/>
        <color rgb="FF63C384"/>
      </dataBar>
      <extLst>
        <ext xmlns:x14="http://schemas.microsoft.com/office/spreadsheetml/2009/9/main" uri="{B025F937-C7B1-47D3-B67F-A62EFF666E3E}">
          <x14:id>{4CB1CC5D-9D6A-414B-92DA-6EB701B2DF8C}</x14:id>
        </ext>
      </extLst>
    </cfRule>
  </conditionalFormatting>
  <conditionalFormatting sqref="Z920">
    <cfRule type="dataBar" priority="1204">
      <dataBar>
        <cfvo type="min"/>
        <cfvo type="max"/>
        <color rgb="FF63C384"/>
      </dataBar>
      <extLst>
        <ext xmlns:x14="http://schemas.microsoft.com/office/spreadsheetml/2009/9/main" uri="{B025F937-C7B1-47D3-B67F-A62EFF666E3E}">
          <x14:id>{6FBA259F-8715-4C78-B852-31F354D99954}</x14:id>
        </ext>
      </extLst>
    </cfRule>
  </conditionalFormatting>
  <conditionalFormatting sqref="C922">
    <cfRule type="containsText" dxfId="7262" priority="1202" operator="containsText" text="Einnahmen">
      <formula>NOT(ISERROR(SEARCH("Einnahmen",C922)))</formula>
    </cfRule>
    <cfRule type="containsText" dxfId="7261" priority="1203" operator="containsText" text="Ausgaben">
      <formula>NOT(ISERROR(SEARCH("Ausgaben",C922)))</formula>
    </cfRule>
  </conditionalFormatting>
  <conditionalFormatting sqref="Z922">
    <cfRule type="dataBar" priority="1200">
      <dataBar>
        <cfvo type="min"/>
        <cfvo type="max"/>
        <color rgb="FF63C384"/>
      </dataBar>
      <extLst>
        <ext xmlns:x14="http://schemas.microsoft.com/office/spreadsheetml/2009/9/main" uri="{B025F937-C7B1-47D3-B67F-A62EFF666E3E}">
          <x14:id>{3D3D694F-192B-47D6-B8C9-490DD554F791}</x14:id>
        </ext>
      </extLst>
    </cfRule>
  </conditionalFormatting>
  <conditionalFormatting sqref="Z922">
    <cfRule type="dataBar" priority="1199">
      <dataBar>
        <cfvo type="min"/>
        <cfvo type="max"/>
        <color rgb="FF63C384"/>
      </dataBar>
      <extLst>
        <ext xmlns:x14="http://schemas.microsoft.com/office/spreadsheetml/2009/9/main" uri="{B025F937-C7B1-47D3-B67F-A62EFF666E3E}">
          <x14:id>{79198CCF-8D83-4CAA-AFA3-A7DA5F714EBB}</x14:id>
        </ext>
      </extLst>
    </cfRule>
  </conditionalFormatting>
  <conditionalFormatting sqref="Z922">
    <cfRule type="dataBar" priority="1197">
      <dataBar>
        <cfvo type="min"/>
        <cfvo type="max"/>
        <color rgb="FF63C384"/>
      </dataBar>
      <extLst>
        <ext xmlns:x14="http://schemas.microsoft.com/office/spreadsheetml/2009/9/main" uri="{B025F937-C7B1-47D3-B67F-A62EFF666E3E}">
          <x14:id>{D602CFE8-5E9A-449B-B880-CFEC9124723D}</x14:id>
        </ext>
      </extLst>
    </cfRule>
  </conditionalFormatting>
  <conditionalFormatting sqref="Z922">
    <cfRule type="dataBar" priority="1196">
      <dataBar>
        <cfvo type="min"/>
        <cfvo type="max"/>
        <color rgb="FF63C384"/>
      </dataBar>
      <extLst>
        <ext xmlns:x14="http://schemas.microsoft.com/office/spreadsheetml/2009/9/main" uri="{B025F937-C7B1-47D3-B67F-A62EFF666E3E}">
          <x14:id>{90C5E8CF-F650-4B79-9F7C-D95E5CB77605}</x14:id>
        </ext>
      </extLst>
    </cfRule>
  </conditionalFormatting>
  <conditionalFormatting sqref="Z925:Z927">
    <cfRule type="dataBar" priority="1194">
      <dataBar>
        <cfvo type="min"/>
        <cfvo type="max"/>
        <color rgb="FF63C384"/>
      </dataBar>
      <extLst>
        <ext xmlns:x14="http://schemas.microsoft.com/office/spreadsheetml/2009/9/main" uri="{B025F937-C7B1-47D3-B67F-A62EFF666E3E}">
          <x14:id>{6A4B3670-E516-4974-B9A2-BBFD69DEDCE5}</x14:id>
        </ext>
      </extLst>
    </cfRule>
  </conditionalFormatting>
  <conditionalFormatting sqref="Z925:Z927">
    <cfRule type="dataBar" priority="1193">
      <dataBar>
        <cfvo type="min"/>
        <cfvo type="max"/>
        <color rgb="FF63C384"/>
      </dataBar>
      <extLst>
        <ext xmlns:x14="http://schemas.microsoft.com/office/spreadsheetml/2009/9/main" uri="{B025F937-C7B1-47D3-B67F-A62EFF666E3E}">
          <x14:id>{0CB2120D-D8BF-4886-A1CC-EC7C717F122C}</x14:id>
        </ext>
      </extLst>
    </cfRule>
  </conditionalFormatting>
  <conditionalFormatting sqref="C925:C927">
    <cfRule type="containsText" dxfId="7260" priority="1191" operator="containsText" text="Einnahmen">
      <formula>NOT(ISERROR(SEARCH("Einnahmen",C925)))</formula>
    </cfRule>
    <cfRule type="containsText" dxfId="7259" priority="1192" operator="containsText" text="Ausgaben">
      <formula>NOT(ISERROR(SEARCH("Ausgaben",C925)))</formula>
    </cfRule>
  </conditionalFormatting>
  <conditionalFormatting sqref="C925:C927">
    <cfRule type="containsText" dxfId="7258" priority="1189" operator="containsText" text="Einnahmen">
      <formula>NOT(ISERROR(SEARCH("Einnahmen",C925)))</formula>
    </cfRule>
    <cfRule type="containsText" dxfId="7257" priority="1190" operator="containsText" text="Ausgaben">
      <formula>NOT(ISERROR(SEARCH("Ausgaben",C925)))</formula>
    </cfRule>
  </conditionalFormatting>
  <conditionalFormatting sqref="J923:J924">
    <cfRule type="cellIs" dxfId="7256" priority="1186" operator="equal">
      <formula>"ja"</formula>
    </cfRule>
  </conditionalFormatting>
  <conditionalFormatting sqref="Z923:Z924">
    <cfRule type="dataBar" priority="1185">
      <dataBar>
        <cfvo type="min"/>
        <cfvo type="max"/>
        <color rgb="FF63C384"/>
      </dataBar>
      <extLst>
        <ext xmlns:x14="http://schemas.microsoft.com/office/spreadsheetml/2009/9/main" uri="{B025F937-C7B1-47D3-B67F-A62EFF666E3E}">
          <x14:id>{EF39A168-10F1-437E-B4AC-DBCF9D83AB17}</x14:id>
        </ext>
      </extLst>
    </cfRule>
  </conditionalFormatting>
  <conditionalFormatting sqref="J923:J924">
    <cfRule type="cellIs" dxfId="7255" priority="1184" operator="equal">
      <formula>"ja"</formula>
    </cfRule>
  </conditionalFormatting>
  <conditionalFormatting sqref="J923:J924">
    <cfRule type="cellIs" dxfId="7254" priority="1183" operator="equal">
      <formula>"ja"</formula>
    </cfRule>
  </conditionalFormatting>
  <conditionalFormatting sqref="C923:C924">
    <cfRule type="containsText" dxfId="7253" priority="1181" operator="containsText" text="Einnahmen">
      <formula>NOT(ISERROR(SEARCH("Einnahmen",C923)))</formula>
    </cfRule>
    <cfRule type="containsText" dxfId="7252" priority="1182" operator="containsText" text="Ausgaben">
      <formula>NOT(ISERROR(SEARCH("Ausgaben",C923)))</formula>
    </cfRule>
  </conditionalFormatting>
  <conditionalFormatting sqref="C923:C924">
    <cfRule type="containsText" dxfId="7251" priority="1179" operator="containsText" text="Einnahmen">
      <formula>NOT(ISERROR(SEARCH("Einnahmen",C923)))</formula>
    </cfRule>
    <cfRule type="containsText" dxfId="7250" priority="1180" operator="containsText" text="Ausgaben">
      <formula>NOT(ISERROR(SEARCH("Ausgaben",C923)))</formula>
    </cfRule>
  </conditionalFormatting>
  <conditionalFormatting sqref="C929">
    <cfRule type="containsText" dxfId="7249" priority="1177" operator="containsText" text="Einnahmen">
      <formula>NOT(ISERROR(SEARCH("Einnahmen",C929)))</formula>
    </cfRule>
    <cfRule type="containsText" dxfId="7248" priority="1178" operator="containsText" text="Ausgaben">
      <formula>NOT(ISERROR(SEARCH("Ausgaben",C929)))</formula>
    </cfRule>
  </conditionalFormatting>
  <conditionalFormatting sqref="Z929">
    <cfRule type="dataBar" priority="1176">
      <dataBar>
        <cfvo type="min"/>
        <cfvo type="max"/>
        <color rgb="FF63C384"/>
      </dataBar>
      <extLst>
        <ext xmlns:x14="http://schemas.microsoft.com/office/spreadsheetml/2009/9/main" uri="{B025F937-C7B1-47D3-B67F-A62EFF666E3E}">
          <x14:id>{D0C2F6E3-08B8-40C2-8BB5-0376E9367C00}</x14:id>
        </ext>
      </extLst>
    </cfRule>
  </conditionalFormatting>
  <conditionalFormatting sqref="Z929">
    <cfRule type="dataBar" priority="1175">
      <dataBar>
        <cfvo type="min"/>
        <cfvo type="max"/>
        <color rgb="FF63C384"/>
      </dataBar>
      <extLst>
        <ext xmlns:x14="http://schemas.microsoft.com/office/spreadsheetml/2009/9/main" uri="{B025F937-C7B1-47D3-B67F-A62EFF666E3E}">
          <x14:id>{0C9DFCCE-9AAA-4F5F-AFC2-1CD0862CB52D}</x14:id>
        </ext>
      </extLst>
    </cfRule>
  </conditionalFormatting>
  <conditionalFormatting sqref="J929">
    <cfRule type="cellIs" dxfId="7247" priority="1174" operator="equal">
      <formula>"ja"</formula>
    </cfRule>
  </conditionalFormatting>
  <conditionalFormatting sqref="J929">
    <cfRule type="cellIs" dxfId="7246" priority="1173" operator="equal">
      <formula>"ja"</formula>
    </cfRule>
  </conditionalFormatting>
  <conditionalFormatting sqref="J930">
    <cfRule type="cellIs" dxfId="7245" priority="1172" operator="equal">
      <formula>"ja"</formula>
    </cfRule>
  </conditionalFormatting>
  <conditionalFormatting sqref="Z930">
    <cfRule type="dataBar" priority="1171">
      <dataBar>
        <cfvo type="min"/>
        <cfvo type="max"/>
        <color rgb="FF63C384"/>
      </dataBar>
      <extLst>
        <ext xmlns:x14="http://schemas.microsoft.com/office/spreadsheetml/2009/9/main" uri="{B025F937-C7B1-47D3-B67F-A62EFF666E3E}">
          <x14:id>{CBCF2558-E596-4BBC-B150-86FCAF2EA026}</x14:id>
        </ext>
      </extLst>
    </cfRule>
  </conditionalFormatting>
  <conditionalFormatting sqref="Z930">
    <cfRule type="dataBar" priority="1170">
      <dataBar>
        <cfvo type="min"/>
        <cfvo type="max"/>
        <color rgb="FF63C384"/>
      </dataBar>
      <extLst>
        <ext xmlns:x14="http://schemas.microsoft.com/office/spreadsheetml/2009/9/main" uri="{B025F937-C7B1-47D3-B67F-A62EFF666E3E}">
          <x14:id>{15F3A1AB-2FAC-478F-83B2-11BA07D8D9D8}</x14:id>
        </ext>
      </extLst>
    </cfRule>
  </conditionalFormatting>
  <conditionalFormatting sqref="Z930">
    <cfRule type="dataBar" priority="1169">
      <dataBar>
        <cfvo type="min"/>
        <cfvo type="max"/>
        <color rgb="FF63C384"/>
      </dataBar>
      <extLst>
        <ext xmlns:x14="http://schemas.microsoft.com/office/spreadsheetml/2009/9/main" uri="{B025F937-C7B1-47D3-B67F-A62EFF666E3E}">
          <x14:id>{7A7D4D4E-AE88-4928-A2CF-69E06A2E85EB}</x14:id>
        </ext>
      </extLst>
    </cfRule>
  </conditionalFormatting>
  <conditionalFormatting sqref="Z930">
    <cfRule type="dataBar" priority="1168">
      <dataBar>
        <cfvo type="min"/>
        <cfvo type="max"/>
        <color rgb="FF63C384"/>
      </dataBar>
      <extLst>
        <ext xmlns:x14="http://schemas.microsoft.com/office/spreadsheetml/2009/9/main" uri="{B025F937-C7B1-47D3-B67F-A62EFF666E3E}">
          <x14:id>{E52E05F6-B8C6-49A9-9761-488343774E70}</x14:id>
        </ext>
      </extLst>
    </cfRule>
  </conditionalFormatting>
  <conditionalFormatting sqref="J930">
    <cfRule type="cellIs" dxfId="7244" priority="1167" operator="equal">
      <formula>"ja"</formula>
    </cfRule>
  </conditionalFormatting>
  <conditionalFormatting sqref="C930">
    <cfRule type="containsText" dxfId="7243" priority="1165" operator="containsText" text="Einnahmen">
      <formula>NOT(ISERROR(SEARCH("Einnahmen",C930)))</formula>
    </cfRule>
    <cfRule type="containsText" dxfId="7242" priority="1166" operator="containsText" text="Ausgaben">
      <formula>NOT(ISERROR(SEARCH("Ausgaben",C930)))</formula>
    </cfRule>
  </conditionalFormatting>
  <conditionalFormatting sqref="C931 C939 C958">
    <cfRule type="containsText" dxfId="7241" priority="1163" operator="containsText" text="Einnahmen">
      <formula>NOT(ISERROR(SEARCH("Einnahmen",C931)))</formula>
    </cfRule>
    <cfRule type="containsText" dxfId="7240" priority="1164" operator="containsText" text="Ausgaben">
      <formula>NOT(ISERROR(SEARCH("Ausgaben",C931)))</formula>
    </cfRule>
  </conditionalFormatting>
  <conditionalFormatting sqref="T931">
    <cfRule type="expression" dxfId="7239" priority="1162">
      <formula>AND(AND($W931&lt;TODAY(),$W931&lt;&gt;""),$X931="")</formula>
    </cfRule>
  </conditionalFormatting>
  <conditionalFormatting sqref="J931">
    <cfRule type="cellIs" dxfId="7238" priority="1161" operator="equal">
      <formula>"ja"</formula>
    </cfRule>
  </conditionalFormatting>
  <conditionalFormatting sqref="Z931">
    <cfRule type="dataBar" priority="1160">
      <dataBar>
        <cfvo type="min"/>
        <cfvo type="max"/>
        <color rgb="FF63C384"/>
      </dataBar>
      <extLst>
        <ext xmlns:x14="http://schemas.microsoft.com/office/spreadsheetml/2009/9/main" uri="{B025F937-C7B1-47D3-B67F-A62EFF666E3E}">
          <x14:id>{DA2232E1-7D88-4225-BBBC-04A869525B38}</x14:id>
        </ext>
      </extLst>
    </cfRule>
  </conditionalFormatting>
  <conditionalFormatting sqref="Z931">
    <cfRule type="dataBar" priority="1159">
      <dataBar>
        <cfvo type="min"/>
        <cfvo type="max"/>
        <color rgb="FF63C384"/>
      </dataBar>
      <extLst>
        <ext xmlns:x14="http://schemas.microsoft.com/office/spreadsheetml/2009/9/main" uri="{B025F937-C7B1-47D3-B67F-A62EFF666E3E}">
          <x14:id>{10A7243B-AE19-46EC-9722-8345F230950F}</x14:id>
        </ext>
      </extLst>
    </cfRule>
  </conditionalFormatting>
  <conditionalFormatting sqref="C932">
    <cfRule type="containsText" dxfId="7237" priority="1157" operator="containsText" text="Einnahmen">
      <formula>NOT(ISERROR(SEARCH("Einnahmen",C932)))</formula>
    </cfRule>
    <cfRule type="containsText" dxfId="7236" priority="1158" operator="containsText" text="Ausgaben">
      <formula>NOT(ISERROR(SEARCH("Ausgaben",C932)))</formula>
    </cfRule>
  </conditionalFormatting>
  <conditionalFormatting sqref="J932">
    <cfRule type="cellIs" dxfId="7235" priority="1156" operator="equal">
      <formula>"ja"</formula>
    </cfRule>
  </conditionalFormatting>
  <conditionalFormatting sqref="T932">
    <cfRule type="expression" dxfId="7234" priority="1155">
      <formula>AND(AND($W932&lt;TODAY(),$W932&lt;&gt;""),$X932="")</formula>
    </cfRule>
  </conditionalFormatting>
  <conditionalFormatting sqref="Z932">
    <cfRule type="dataBar" priority="1154">
      <dataBar>
        <cfvo type="min"/>
        <cfvo type="max"/>
        <color rgb="FF63C384"/>
      </dataBar>
      <extLst>
        <ext xmlns:x14="http://schemas.microsoft.com/office/spreadsheetml/2009/9/main" uri="{B025F937-C7B1-47D3-B67F-A62EFF666E3E}">
          <x14:id>{295DE637-11A7-4851-824B-0CFE1F11A28C}</x14:id>
        </ext>
      </extLst>
    </cfRule>
  </conditionalFormatting>
  <conditionalFormatting sqref="Z932">
    <cfRule type="dataBar" priority="1153">
      <dataBar>
        <cfvo type="min"/>
        <cfvo type="max"/>
        <color rgb="FF63C384"/>
      </dataBar>
      <extLst>
        <ext xmlns:x14="http://schemas.microsoft.com/office/spreadsheetml/2009/9/main" uri="{B025F937-C7B1-47D3-B67F-A62EFF666E3E}">
          <x14:id>{3DAF785E-0C0C-47B6-9DA0-0DE5EE0B0247}</x14:id>
        </ext>
      </extLst>
    </cfRule>
  </conditionalFormatting>
  <conditionalFormatting sqref="T933">
    <cfRule type="expression" dxfId="7233" priority="1152">
      <formula>AND(AND($W933&lt;TODAY(),$W933&lt;&gt;""),$X933="")</formula>
    </cfRule>
  </conditionalFormatting>
  <conditionalFormatting sqref="C933">
    <cfRule type="containsText" dxfId="7232" priority="1150" operator="containsText" text="Einnahmen">
      <formula>NOT(ISERROR(SEARCH("Einnahmen",C933)))</formula>
    </cfRule>
    <cfRule type="containsText" dxfId="7231" priority="1151" operator="containsText" text="Ausgaben">
      <formula>NOT(ISERROR(SEARCH("Ausgaben",C933)))</formula>
    </cfRule>
  </conditionalFormatting>
  <conditionalFormatting sqref="J933">
    <cfRule type="cellIs" dxfId="7230" priority="1149" operator="equal">
      <formula>"ja"</formula>
    </cfRule>
  </conditionalFormatting>
  <conditionalFormatting sqref="Z933">
    <cfRule type="dataBar" priority="1148">
      <dataBar>
        <cfvo type="min"/>
        <cfvo type="max"/>
        <color rgb="FF63C384"/>
      </dataBar>
      <extLst>
        <ext xmlns:x14="http://schemas.microsoft.com/office/spreadsheetml/2009/9/main" uri="{B025F937-C7B1-47D3-B67F-A62EFF666E3E}">
          <x14:id>{8476355D-51B1-4CB6-BC2A-437D8FD094F5}</x14:id>
        </ext>
      </extLst>
    </cfRule>
  </conditionalFormatting>
  <conditionalFormatting sqref="Z933">
    <cfRule type="dataBar" priority="1147">
      <dataBar>
        <cfvo type="min"/>
        <cfvo type="max"/>
        <color rgb="FF63C384"/>
      </dataBar>
      <extLst>
        <ext xmlns:x14="http://schemas.microsoft.com/office/spreadsheetml/2009/9/main" uri="{B025F937-C7B1-47D3-B67F-A62EFF666E3E}">
          <x14:id>{2D91F49E-FFF7-4EEF-8AA6-3FEB5B1DCA38}</x14:id>
        </ext>
      </extLst>
    </cfRule>
  </conditionalFormatting>
  <conditionalFormatting sqref="T934">
    <cfRule type="expression" dxfId="7229" priority="1146">
      <formula>AND(AND($W934&lt;TODAY(),$W934&lt;&gt;""),$X934="")</formula>
    </cfRule>
  </conditionalFormatting>
  <conditionalFormatting sqref="Z934">
    <cfRule type="dataBar" priority="1143">
      <dataBar>
        <cfvo type="min"/>
        <cfvo type="max"/>
        <color rgb="FF63C384"/>
      </dataBar>
      <extLst>
        <ext xmlns:x14="http://schemas.microsoft.com/office/spreadsheetml/2009/9/main" uri="{B025F937-C7B1-47D3-B67F-A62EFF666E3E}">
          <x14:id>{C44C03D0-6CA7-4147-8BA5-96D02C5FAFDE}</x14:id>
        </ext>
      </extLst>
    </cfRule>
  </conditionalFormatting>
  <conditionalFormatting sqref="Z934">
    <cfRule type="dataBar" priority="1142">
      <dataBar>
        <cfvo type="min"/>
        <cfvo type="max"/>
        <color rgb="FF63C384"/>
      </dataBar>
      <extLst>
        <ext xmlns:x14="http://schemas.microsoft.com/office/spreadsheetml/2009/9/main" uri="{B025F937-C7B1-47D3-B67F-A62EFF666E3E}">
          <x14:id>{F871E443-F1D6-44F4-9E37-F5F5A1B89407}</x14:id>
        </ext>
      </extLst>
    </cfRule>
  </conditionalFormatting>
  <conditionalFormatting sqref="J934">
    <cfRule type="cellIs" dxfId="7228" priority="1141" operator="equal">
      <formula>"ja"</formula>
    </cfRule>
  </conditionalFormatting>
  <conditionalFormatting sqref="Z934">
    <cfRule type="dataBar" priority="1140">
      <dataBar>
        <cfvo type="min"/>
        <cfvo type="max"/>
        <color rgb="FF63C384"/>
      </dataBar>
      <extLst>
        <ext xmlns:x14="http://schemas.microsoft.com/office/spreadsheetml/2009/9/main" uri="{B025F937-C7B1-47D3-B67F-A62EFF666E3E}">
          <x14:id>{15241DE5-C815-4FEA-9781-B54ED183AC75}</x14:id>
        </ext>
      </extLst>
    </cfRule>
  </conditionalFormatting>
  <conditionalFormatting sqref="Z934">
    <cfRule type="dataBar" priority="1139">
      <dataBar>
        <cfvo type="min"/>
        <cfvo type="max"/>
        <color rgb="FF63C384"/>
      </dataBar>
      <extLst>
        <ext xmlns:x14="http://schemas.microsoft.com/office/spreadsheetml/2009/9/main" uri="{B025F937-C7B1-47D3-B67F-A62EFF666E3E}">
          <x14:id>{42436547-AA7C-4902-AE0B-38027BF34EF9}</x14:id>
        </ext>
      </extLst>
    </cfRule>
  </conditionalFormatting>
  <conditionalFormatting sqref="C934">
    <cfRule type="containsText" dxfId="7227" priority="1137" operator="containsText" text="Einnahmen">
      <formula>NOT(ISERROR(SEARCH("Einnahmen",C934)))</formula>
    </cfRule>
    <cfRule type="containsText" dxfId="7226" priority="1138" operator="containsText" text="Ausgaben">
      <formula>NOT(ISERROR(SEARCH("Ausgaben",C934)))</formula>
    </cfRule>
  </conditionalFormatting>
  <conditionalFormatting sqref="C934">
    <cfRule type="containsText" dxfId="7225" priority="1135" operator="containsText" text="Einnahmen">
      <formula>NOT(ISERROR(SEARCH("Einnahmen",C934)))</formula>
    </cfRule>
    <cfRule type="containsText" dxfId="7224" priority="1136" operator="containsText" text="Ausgaben">
      <formula>NOT(ISERROR(SEARCH("Ausgaben",C934)))</formula>
    </cfRule>
  </conditionalFormatting>
  <conditionalFormatting sqref="J935">
    <cfRule type="cellIs" dxfId="7223" priority="1134" operator="equal">
      <formula>"ja"</formula>
    </cfRule>
  </conditionalFormatting>
  <conditionalFormatting sqref="T935">
    <cfRule type="expression" dxfId="7222" priority="1133">
      <formula>AND(AND($W935&lt;TODAY(),$W935&lt;&gt;""),$X935="")</formula>
    </cfRule>
  </conditionalFormatting>
  <conditionalFormatting sqref="Z935">
    <cfRule type="dataBar" priority="1132">
      <dataBar>
        <cfvo type="min"/>
        <cfvo type="max"/>
        <color rgb="FF63C384"/>
      </dataBar>
      <extLst>
        <ext xmlns:x14="http://schemas.microsoft.com/office/spreadsheetml/2009/9/main" uri="{B025F937-C7B1-47D3-B67F-A62EFF666E3E}">
          <x14:id>{4FB0C58C-78E5-48C9-B2AF-ADE9A5CFD92D}</x14:id>
        </ext>
      </extLst>
    </cfRule>
  </conditionalFormatting>
  <conditionalFormatting sqref="Z935">
    <cfRule type="dataBar" priority="1131">
      <dataBar>
        <cfvo type="min"/>
        <cfvo type="max"/>
        <color rgb="FF63C384"/>
      </dataBar>
      <extLst>
        <ext xmlns:x14="http://schemas.microsoft.com/office/spreadsheetml/2009/9/main" uri="{B025F937-C7B1-47D3-B67F-A62EFF666E3E}">
          <x14:id>{2DA011A8-E72E-4628-A437-8D6243CF0662}</x14:id>
        </ext>
      </extLst>
    </cfRule>
  </conditionalFormatting>
  <conditionalFormatting sqref="J935">
    <cfRule type="cellIs" dxfId="7221" priority="1130" operator="equal">
      <formula>"ja"</formula>
    </cfRule>
  </conditionalFormatting>
  <conditionalFormatting sqref="T935">
    <cfRule type="expression" dxfId="7220" priority="1129">
      <formula>AND(AND($W935&lt;TODAY(),$W935&lt;&gt;""),$X935="")</formula>
    </cfRule>
  </conditionalFormatting>
  <conditionalFormatting sqref="Z935">
    <cfRule type="dataBar" priority="1128">
      <dataBar>
        <cfvo type="min"/>
        <cfvo type="max"/>
        <color rgb="FF63C384"/>
      </dataBar>
      <extLst>
        <ext xmlns:x14="http://schemas.microsoft.com/office/spreadsheetml/2009/9/main" uri="{B025F937-C7B1-47D3-B67F-A62EFF666E3E}">
          <x14:id>{377728A2-8516-4C8B-B923-0F96F9474955}</x14:id>
        </ext>
      </extLst>
    </cfRule>
  </conditionalFormatting>
  <conditionalFormatting sqref="Z935">
    <cfRule type="dataBar" priority="1127">
      <dataBar>
        <cfvo type="min"/>
        <cfvo type="max"/>
        <color rgb="FF63C384"/>
      </dataBar>
      <extLst>
        <ext xmlns:x14="http://schemas.microsoft.com/office/spreadsheetml/2009/9/main" uri="{B025F937-C7B1-47D3-B67F-A62EFF666E3E}">
          <x14:id>{DDB6CF5E-D9F4-494F-8BB0-0013CA945082}</x14:id>
        </ext>
      </extLst>
    </cfRule>
  </conditionalFormatting>
  <conditionalFormatting sqref="C935">
    <cfRule type="containsText" dxfId="7219" priority="1125" operator="containsText" text="Einnahmen">
      <formula>NOT(ISERROR(SEARCH("Einnahmen",C935)))</formula>
    </cfRule>
    <cfRule type="containsText" dxfId="7218" priority="1126" operator="containsText" text="Ausgaben">
      <formula>NOT(ISERROR(SEARCH("Ausgaben",C935)))</formula>
    </cfRule>
  </conditionalFormatting>
  <conditionalFormatting sqref="J936">
    <cfRule type="cellIs" dxfId="7217" priority="1124" operator="equal">
      <formula>"ja"</formula>
    </cfRule>
  </conditionalFormatting>
  <conditionalFormatting sqref="C936">
    <cfRule type="containsText" dxfId="7216" priority="1122" operator="containsText" text="Einnahmen">
      <formula>NOT(ISERROR(SEARCH("Einnahmen",C936)))</formula>
    </cfRule>
    <cfRule type="containsText" dxfId="7215" priority="1123" operator="containsText" text="Ausgaben">
      <formula>NOT(ISERROR(SEARCH("Ausgaben",C936)))</formula>
    </cfRule>
  </conditionalFormatting>
  <conditionalFormatting sqref="T936">
    <cfRule type="expression" dxfId="7214" priority="1121">
      <formula>AND(AND($W936&lt;TODAY(),$W936&lt;&gt;""),$X936="")</formula>
    </cfRule>
  </conditionalFormatting>
  <conditionalFormatting sqref="Z936">
    <cfRule type="dataBar" priority="1120">
      <dataBar>
        <cfvo type="min"/>
        <cfvo type="max"/>
        <color rgb="FF63C384"/>
      </dataBar>
      <extLst>
        <ext xmlns:x14="http://schemas.microsoft.com/office/spreadsheetml/2009/9/main" uri="{B025F937-C7B1-47D3-B67F-A62EFF666E3E}">
          <x14:id>{D24EEBD2-3391-4076-9F33-5449FC6F0D33}</x14:id>
        </ext>
      </extLst>
    </cfRule>
  </conditionalFormatting>
  <conditionalFormatting sqref="Z936">
    <cfRule type="dataBar" priority="1119">
      <dataBar>
        <cfvo type="min"/>
        <cfvo type="max"/>
        <color rgb="FF63C384"/>
      </dataBar>
      <extLst>
        <ext xmlns:x14="http://schemas.microsoft.com/office/spreadsheetml/2009/9/main" uri="{B025F937-C7B1-47D3-B67F-A62EFF666E3E}">
          <x14:id>{16E2DB1B-6CC1-4B25-8757-13FFA101A669}</x14:id>
        </ext>
      </extLst>
    </cfRule>
  </conditionalFormatting>
  <conditionalFormatting sqref="T937">
    <cfRule type="expression" dxfId="7213" priority="1118">
      <formula>AND(AND($W937&lt;TODAY(),$W937&lt;&gt;""),$X937="")</formula>
    </cfRule>
  </conditionalFormatting>
  <conditionalFormatting sqref="Z937">
    <cfRule type="dataBar" priority="1117">
      <dataBar>
        <cfvo type="min"/>
        <cfvo type="max"/>
        <color rgb="FF63C384"/>
      </dataBar>
      <extLst>
        <ext xmlns:x14="http://schemas.microsoft.com/office/spreadsheetml/2009/9/main" uri="{B025F937-C7B1-47D3-B67F-A62EFF666E3E}">
          <x14:id>{B8BD50AB-DAAA-4D36-9F2F-0EFC22223521}</x14:id>
        </ext>
      </extLst>
    </cfRule>
  </conditionalFormatting>
  <conditionalFormatting sqref="Z937">
    <cfRule type="dataBar" priority="1116">
      <dataBar>
        <cfvo type="min"/>
        <cfvo type="max"/>
        <color rgb="FF63C384"/>
      </dataBar>
      <extLst>
        <ext xmlns:x14="http://schemas.microsoft.com/office/spreadsheetml/2009/9/main" uri="{B025F937-C7B1-47D3-B67F-A62EFF666E3E}">
          <x14:id>{5412CE27-6B66-4C50-B767-3F7A320EEDD9}</x14:id>
        </ext>
      </extLst>
    </cfRule>
  </conditionalFormatting>
  <conditionalFormatting sqref="J937">
    <cfRule type="cellIs" dxfId="7212" priority="1115" operator="equal">
      <formula>"ja"</formula>
    </cfRule>
  </conditionalFormatting>
  <conditionalFormatting sqref="C937">
    <cfRule type="containsText" dxfId="7211" priority="1113" operator="containsText" text="Einnahmen">
      <formula>NOT(ISERROR(SEARCH("Einnahmen",C937)))</formula>
    </cfRule>
    <cfRule type="containsText" dxfId="7210" priority="1114" operator="containsText" text="Ausgaben">
      <formula>NOT(ISERROR(SEARCH("Ausgaben",C937)))</formula>
    </cfRule>
  </conditionalFormatting>
  <conditionalFormatting sqref="T938:T939">
    <cfRule type="expression" dxfId="7209" priority="1112">
      <formula>AND(AND($W938&lt;TODAY(),$W938&lt;&gt;""),$X938="")</formula>
    </cfRule>
  </conditionalFormatting>
  <conditionalFormatting sqref="J938">
    <cfRule type="cellIs" dxfId="7208" priority="1111" operator="equal">
      <formula>"ja"</formula>
    </cfRule>
  </conditionalFormatting>
  <conditionalFormatting sqref="C938">
    <cfRule type="containsText" dxfId="7207" priority="1109" operator="containsText" text="Einnahmen">
      <formula>NOT(ISERROR(SEARCH("Einnahmen",C938)))</formula>
    </cfRule>
    <cfRule type="containsText" dxfId="7206" priority="1110" operator="containsText" text="Ausgaben">
      <formula>NOT(ISERROR(SEARCH("Ausgaben",C938)))</formula>
    </cfRule>
  </conditionalFormatting>
  <conditionalFormatting sqref="Z938:Z939">
    <cfRule type="dataBar" priority="1108">
      <dataBar>
        <cfvo type="min"/>
        <cfvo type="max"/>
        <color rgb="FF63C384"/>
      </dataBar>
      <extLst>
        <ext xmlns:x14="http://schemas.microsoft.com/office/spreadsheetml/2009/9/main" uri="{B025F937-C7B1-47D3-B67F-A62EFF666E3E}">
          <x14:id>{AA5735EE-9ECD-4DAE-A680-3E25B3B1BFDA}</x14:id>
        </ext>
      </extLst>
    </cfRule>
  </conditionalFormatting>
  <conditionalFormatting sqref="Z938:Z939">
    <cfRule type="dataBar" priority="1107">
      <dataBar>
        <cfvo type="min"/>
        <cfvo type="max"/>
        <color rgb="FF63C384"/>
      </dataBar>
      <extLst>
        <ext xmlns:x14="http://schemas.microsoft.com/office/spreadsheetml/2009/9/main" uri="{B025F937-C7B1-47D3-B67F-A62EFF666E3E}">
          <x14:id>{ADAFFE3B-62A7-4475-B5FD-4049C64A5213}</x14:id>
        </ext>
      </extLst>
    </cfRule>
  </conditionalFormatting>
  <conditionalFormatting sqref="T940">
    <cfRule type="expression" dxfId="7205" priority="1106">
      <formula>AND(AND($W940&lt;TODAY(),$W940&lt;&gt;""),$X940="")</formula>
    </cfRule>
  </conditionalFormatting>
  <conditionalFormatting sqref="C940">
    <cfRule type="containsText" dxfId="7204" priority="1104" operator="containsText" text="Einnahmen">
      <formula>NOT(ISERROR(SEARCH("Einnahmen",C940)))</formula>
    </cfRule>
    <cfRule type="containsText" dxfId="7203" priority="1105" operator="containsText" text="Ausgaben">
      <formula>NOT(ISERROR(SEARCH("Ausgaben",C940)))</formula>
    </cfRule>
  </conditionalFormatting>
  <conditionalFormatting sqref="J940">
    <cfRule type="cellIs" dxfId="7202" priority="1103" operator="equal">
      <formula>"ja"</formula>
    </cfRule>
  </conditionalFormatting>
  <conditionalFormatting sqref="J940">
    <cfRule type="cellIs" dxfId="7201" priority="1094" operator="equal">
      <formula>"ja"</formula>
    </cfRule>
  </conditionalFormatting>
  <conditionalFormatting sqref="Z940">
    <cfRule type="dataBar" priority="1102">
      <dataBar>
        <cfvo type="min"/>
        <cfvo type="max"/>
        <color rgb="FF63C384"/>
      </dataBar>
      <extLst>
        <ext xmlns:x14="http://schemas.microsoft.com/office/spreadsheetml/2009/9/main" uri="{B025F937-C7B1-47D3-B67F-A62EFF666E3E}">
          <x14:id>{6049BD50-7E31-4252-B4D0-D851E499F59E}</x14:id>
        </ext>
      </extLst>
    </cfRule>
  </conditionalFormatting>
  <conditionalFormatting sqref="Z940">
    <cfRule type="dataBar" priority="1101">
      <dataBar>
        <cfvo type="min"/>
        <cfvo type="max"/>
        <color rgb="FF63C384"/>
      </dataBar>
      <extLst>
        <ext xmlns:x14="http://schemas.microsoft.com/office/spreadsheetml/2009/9/main" uri="{B025F937-C7B1-47D3-B67F-A62EFF666E3E}">
          <x14:id>{23D1B5CE-F814-4255-BB60-FE1B189E6BE0}</x14:id>
        </ext>
      </extLst>
    </cfRule>
  </conditionalFormatting>
  <conditionalFormatting sqref="J940">
    <cfRule type="cellIs" dxfId="7200" priority="1100" operator="equal">
      <formula>"ja"</formula>
    </cfRule>
  </conditionalFormatting>
  <conditionalFormatting sqref="Z940">
    <cfRule type="dataBar" priority="1099">
      <dataBar>
        <cfvo type="min"/>
        <cfvo type="max"/>
        <color rgb="FF63C384"/>
      </dataBar>
      <extLst>
        <ext xmlns:x14="http://schemas.microsoft.com/office/spreadsheetml/2009/9/main" uri="{B025F937-C7B1-47D3-B67F-A62EFF666E3E}">
          <x14:id>{3D5EC18F-22ED-4546-B475-65DF8CB9D710}</x14:id>
        </ext>
      </extLst>
    </cfRule>
  </conditionalFormatting>
  <conditionalFormatting sqref="Z940">
    <cfRule type="dataBar" priority="1098">
      <dataBar>
        <cfvo type="min"/>
        <cfvo type="max"/>
        <color rgb="FF63C384"/>
      </dataBar>
      <extLst>
        <ext xmlns:x14="http://schemas.microsoft.com/office/spreadsheetml/2009/9/main" uri="{B025F937-C7B1-47D3-B67F-A62EFF666E3E}">
          <x14:id>{F87F6325-FEC6-4A3B-9FAE-157AB1AC0B85}</x14:id>
        </ext>
      </extLst>
    </cfRule>
  </conditionalFormatting>
  <conditionalFormatting sqref="J940">
    <cfRule type="cellIs" dxfId="7199" priority="1097" operator="equal">
      <formula>"ja"</formula>
    </cfRule>
  </conditionalFormatting>
  <conditionalFormatting sqref="Z940">
    <cfRule type="dataBar" priority="1096">
      <dataBar>
        <cfvo type="min"/>
        <cfvo type="max"/>
        <color rgb="FF63C384"/>
      </dataBar>
      <extLst>
        <ext xmlns:x14="http://schemas.microsoft.com/office/spreadsheetml/2009/9/main" uri="{B025F937-C7B1-47D3-B67F-A62EFF666E3E}">
          <x14:id>{5C674C03-BD36-479C-B2EA-AEC6417D985C}</x14:id>
        </ext>
      </extLst>
    </cfRule>
  </conditionalFormatting>
  <conditionalFormatting sqref="Z940">
    <cfRule type="dataBar" priority="1095">
      <dataBar>
        <cfvo type="min"/>
        <cfvo type="max"/>
        <color rgb="FF63C384"/>
      </dataBar>
      <extLst>
        <ext xmlns:x14="http://schemas.microsoft.com/office/spreadsheetml/2009/9/main" uri="{B025F937-C7B1-47D3-B67F-A62EFF666E3E}">
          <x14:id>{76013795-6FE5-4C4D-A989-F92969262AD7}</x14:id>
        </ext>
      </extLst>
    </cfRule>
  </conditionalFormatting>
  <conditionalFormatting sqref="Z940">
    <cfRule type="dataBar" priority="1093">
      <dataBar>
        <cfvo type="min"/>
        <cfvo type="max"/>
        <color rgb="FF63C384"/>
      </dataBar>
      <extLst>
        <ext xmlns:x14="http://schemas.microsoft.com/office/spreadsheetml/2009/9/main" uri="{B025F937-C7B1-47D3-B67F-A62EFF666E3E}">
          <x14:id>{C7C37562-57F7-4C7A-8A0B-CDE2F51CBC9E}</x14:id>
        </ext>
      </extLst>
    </cfRule>
  </conditionalFormatting>
  <conditionalFormatting sqref="Z940">
    <cfRule type="dataBar" priority="1092">
      <dataBar>
        <cfvo type="min"/>
        <cfvo type="max"/>
        <color rgb="FF63C384"/>
      </dataBar>
      <extLst>
        <ext xmlns:x14="http://schemas.microsoft.com/office/spreadsheetml/2009/9/main" uri="{B025F937-C7B1-47D3-B67F-A62EFF666E3E}">
          <x14:id>{9EC75F81-ACCC-47D3-B5BB-1ED0F894F46C}</x14:id>
        </ext>
      </extLst>
    </cfRule>
  </conditionalFormatting>
  <conditionalFormatting sqref="C940">
    <cfRule type="containsText" dxfId="7198" priority="1090" operator="containsText" text="Einnahmen">
      <formula>NOT(ISERROR(SEARCH("Einnahmen",C940)))</formula>
    </cfRule>
    <cfRule type="containsText" dxfId="7197" priority="1091" operator="containsText" text="Ausgaben">
      <formula>NOT(ISERROR(SEARCH("Ausgaben",C940)))</formula>
    </cfRule>
  </conditionalFormatting>
  <conditionalFormatting sqref="C940">
    <cfRule type="containsText" dxfId="7196" priority="1088" operator="containsText" text="Einnahmen">
      <formula>NOT(ISERROR(SEARCH("Einnahmen",C940)))</formula>
    </cfRule>
    <cfRule type="containsText" dxfId="7195" priority="1089" operator="containsText" text="Ausgaben">
      <formula>NOT(ISERROR(SEARCH("Ausgaben",C940)))</formula>
    </cfRule>
  </conditionalFormatting>
  <conditionalFormatting sqref="J940">
    <cfRule type="cellIs" dxfId="7194" priority="1087" operator="equal">
      <formula>"ja"</formula>
    </cfRule>
  </conditionalFormatting>
  <conditionalFormatting sqref="J940">
    <cfRule type="cellIs" dxfId="7193" priority="1086" operator="equal">
      <formula>"ja"</formula>
    </cfRule>
  </conditionalFormatting>
  <conditionalFormatting sqref="T941">
    <cfRule type="expression" dxfId="7192" priority="1085">
      <formula>AND(AND($W941&lt;TODAY(),$W941&lt;&gt;""),$X941="")</formula>
    </cfRule>
  </conditionalFormatting>
  <conditionalFormatting sqref="C941">
    <cfRule type="containsText" dxfId="7191" priority="1083" operator="containsText" text="Einnahmen">
      <formula>NOT(ISERROR(SEARCH("Einnahmen",C941)))</formula>
    </cfRule>
    <cfRule type="containsText" dxfId="7190" priority="1084" operator="containsText" text="Ausgaben">
      <formula>NOT(ISERROR(SEARCH("Ausgaben",C941)))</formula>
    </cfRule>
  </conditionalFormatting>
  <conditionalFormatting sqref="J941">
    <cfRule type="cellIs" dxfId="7189" priority="1082" operator="equal">
      <formula>"ja"</formula>
    </cfRule>
  </conditionalFormatting>
  <conditionalFormatting sqref="Z941">
    <cfRule type="dataBar" priority="1081">
      <dataBar>
        <cfvo type="min"/>
        <cfvo type="max"/>
        <color rgb="FF63C384"/>
      </dataBar>
      <extLst>
        <ext xmlns:x14="http://schemas.microsoft.com/office/spreadsheetml/2009/9/main" uri="{B025F937-C7B1-47D3-B67F-A62EFF666E3E}">
          <x14:id>{2B1475F2-6DED-4BB0-A445-F1212D82189A}</x14:id>
        </ext>
      </extLst>
    </cfRule>
  </conditionalFormatting>
  <conditionalFormatting sqref="Z941">
    <cfRule type="dataBar" priority="1080">
      <dataBar>
        <cfvo type="min"/>
        <cfvo type="max"/>
        <color rgb="FF63C384"/>
      </dataBar>
      <extLst>
        <ext xmlns:x14="http://schemas.microsoft.com/office/spreadsheetml/2009/9/main" uri="{B025F937-C7B1-47D3-B67F-A62EFF666E3E}">
          <x14:id>{9BF976B2-FF49-433A-AC21-0ADD370CFF11}</x14:id>
        </ext>
      </extLst>
    </cfRule>
  </conditionalFormatting>
  <conditionalFormatting sqref="T942">
    <cfRule type="expression" dxfId="7188" priority="1079">
      <formula>AND(AND($W942&lt;TODAY(),$W942&lt;&gt;""),$X942="")</formula>
    </cfRule>
  </conditionalFormatting>
  <conditionalFormatting sqref="C942">
    <cfRule type="containsText" dxfId="7187" priority="1077" operator="containsText" text="Einnahmen">
      <formula>NOT(ISERROR(SEARCH("Einnahmen",C942)))</formula>
    </cfRule>
    <cfRule type="containsText" dxfId="7186" priority="1078" operator="containsText" text="Ausgaben">
      <formula>NOT(ISERROR(SEARCH("Ausgaben",C942)))</formula>
    </cfRule>
  </conditionalFormatting>
  <conditionalFormatting sqref="J942">
    <cfRule type="cellIs" dxfId="7185" priority="1076" operator="equal">
      <formula>"ja"</formula>
    </cfRule>
  </conditionalFormatting>
  <conditionalFormatting sqref="Z942">
    <cfRule type="dataBar" priority="1075">
      <dataBar>
        <cfvo type="min"/>
        <cfvo type="max"/>
        <color rgb="FF63C384"/>
      </dataBar>
      <extLst>
        <ext xmlns:x14="http://schemas.microsoft.com/office/spreadsheetml/2009/9/main" uri="{B025F937-C7B1-47D3-B67F-A62EFF666E3E}">
          <x14:id>{A689EE52-8E72-44C0-99EF-3E455A555121}</x14:id>
        </ext>
      </extLst>
    </cfRule>
  </conditionalFormatting>
  <conditionalFormatting sqref="J942">
    <cfRule type="cellIs" dxfId="7184" priority="1074" operator="equal">
      <formula>"ja"</formula>
    </cfRule>
  </conditionalFormatting>
  <conditionalFormatting sqref="T943">
    <cfRule type="expression" dxfId="7183" priority="1046">
      <formula>AND(AND($W943&lt;TODAY(),$W943&lt;&gt;""),$X943="")</formula>
    </cfRule>
  </conditionalFormatting>
  <conditionalFormatting sqref="C943">
    <cfRule type="containsText" dxfId="7182" priority="1044" operator="containsText" text="Einnahmen">
      <formula>NOT(ISERROR(SEARCH("Einnahmen",C943)))</formula>
    </cfRule>
    <cfRule type="containsText" dxfId="7181" priority="1045" operator="containsText" text="Ausgaben">
      <formula>NOT(ISERROR(SEARCH("Ausgaben",C943)))</formula>
    </cfRule>
  </conditionalFormatting>
  <conditionalFormatting sqref="C943">
    <cfRule type="containsText" dxfId="7180" priority="1042" operator="containsText" text="Einnahmen">
      <formula>NOT(ISERROR(SEARCH("Einnahmen",C943)))</formula>
    </cfRule>
    <cfRule type="containsText" dxfId="7179" priority="1043" operator="containsText" text="Ausgaben">
      <formula>NOT(ISERROR(SEARCH("Ausgaben",C943)))</formula>
    </cfRule>
  </conditionalFormatting>
  <conditionalFormatting sqref="J943">
    <cfRule type="cellIs" dxfId="7178" priority="1041" operator="equal">
      <formula>"ja"</formula>
    </cfRule>
  </conditionalFormatting>
  <conditionalFormatting sqref="Z943">
    <cfRule type="dataBar" priority="1040">
      <dataBar>
        <cfvo type="min"/>
        <cfvo type="max"/>
        <color rgb="FF63C384"/>
      </dataBar>
      <extLst>
        <ext xmlns:x14="http://schemas.microsoft.com/office/spreadsheetml/2009/9/main" uri="{B025F937-C7B1-47D3-B67F-A62EFF666E3E}">
          <x14:id>{298B1813-85C1-447F-AAC4-52B2E05B7ADD}</x14:id>
        </ext>
      </extLst>
    </cfRule>
  </conditionalFormatting>
  <conditionalFormatting sqref="J943">
    <cfRule type="cellIs" dxfId="7177" priority="1039" operator="equal">
      <formula>"ja"</formula>
    </cfRule>
  </conditionalFormatting>
  <conditionalFormatting sqref="T944">
    <cfRule type="expression" dxfId="7176" priority="1038">
      <formula>AND(AND($W944&lt;TODAY(),$W944&lt;&gt;""),$X944="")</formula>
    </cfRule>
  </conditionalFormatting>
  <conditionalFormatting sqref="J944">
    <cfRule type="cellIs" dxfId="7175" priority="1037" operator="equal">
      <formula>"ja"</formula>
    </cfRule>
  </conditionalFormatting>
  <conditionalFormatting sqref="C944">
    <cfRule type="containsText" dxfId="7174" priority="1035" operator="containsText" text="Einnahmen">
      <formula>NOT(ISERROR(SEARCH("Einnahmen",C944)))</formula>
    </cfRule>
    <cfRule type="containsText" dxfId="7173" priority="1036" operator="containsText" text="Ausgaben">
      <formula>NOT(ISERROR(SEARCH("Ausgaben",C944)))</formula>
    </cfRule>
  </conditionalFormatting>
  <conditionalFormatting sqref="Z944">
    <cfRule type="dataBar" priority="1034">
      <dataBar>
        <cfvo type="min"/>
        <cfvo type="max"/>
        <color rgb="FF63C384"/>
      </dataBar>
      <extLst>
        <ext xmlns:x14="http://schemas.microsoft.com/office/spreadsheetml/2009/9/main" uri="{B025F937-C7B1-47D3-B67F-A62EFF666E3E}">
          <x14:id>{67112DFE-57D8-480B-9857-E336548F0204}</x14:id>
        </ext>
      </extLst>
    </cfRule>
  </conditionalFormatting>
  <conditionalFormatting sqref="Z944">
    <cfRule type="dataBar" priority="1033">
      <dataBar>
        <cfvo type="min"/>
        <cfvo type="max"/>
        <color rgb="FF63C384"/>
      </dataBar>
      <extLst>
        <ext xmlns:x14="http://schemas.microsoft.com/office/spreadsheetml/2009/9/main" uri="{B025F937-C7B1-47D3-B67F-A62EFF666E3E}">
          <x14:id>{31FBC0CE-89BB-431A-A72B-E61C00C0E75E}</x14:id>
        </ext>
      </extLst>
    </cfRule>
  </conditionalFormatting>
  <conditionalFormatting sqref="T945">
    <cfRule type="expression" dxfId="7172" priority="1032">
      <formula>AND(AND($W945&lt;TODAY(),$W945&lt;&gt;""),$X945="")</formula>
    </cfRule>
  </conditionalFormatting>
  <conditionalFormatting sqref="J945">
    <cfRule type="cellIs" dxfId="7171" priority="1031" operator="equal">
      <formula>"ja"</formula>
    </cfRule>
  </conditionalFormatting>
  <conditionalFormatting sqref="Z945">
    <cfRule type="dataBar" priority="1030">
      <dataBar>
        <cfvo type="min"/>
        <cfvo type="max"/>
        <color rgb="FF63C384"/>
      </dataBar>
      <extLst>
        <ext xmlns:x14="http://schemas.microsoft.com/office/spreadsheetml/2009/9/main" uri="{B025F937-C7B1-47D3-B67F-A62EFF666E3E}">
          <x14:id>{1474733A-F821-4CBA-B1EB-7F031079DBA6}</x14:id>
        </ext>
      </extLst>
    </cfRule>
  </conditionalFormatting>
  <conditionalFormatting sqref="J945">
    <cfRule type="cellIs" dxfId="7170" priority="1029" operator="equal">
      <formula>"ja"</formula>
    </cfRule>
  </conditionalFormatting>
  <conditionalFormatting sqref="J945">
    <cfRule type="cellIs" dxfId="7169" priority="1028" operator="equal">
      <formula>"ja"</formula>
    </cfRule>
  </conditionalFormatting>
  <conditionalFormatting sqref="C945">
    <cfRule type="containsText" dxfId="7168" priority="1026" operator="containsText" text="Einnahmen">
      <formula>NOT(ISERROR(SEARCH("Einnahmen",C945)))</formula>
    </cfRule>
    <cfRule type="containsText" dxfId="7167" priority="1027" operator="containsText" text="Ausgaben">
      <formula>NOT(ISERROR(SEARCH("Ausgaben",C945)))</formula>
    </cfRule>
  </conditionalFormatting>
  <conditionalFormatting sqref="C945">
    <cfRule type="containsText" dxfId="7166" priority="1024" operator="containsText" text="Einnahmen">
      <formula>NOT(ISERROR(SEARCH("Einnahmen",C945)))</formula>
    </cfRule>
    <cfRule type="containsText" dxfId="7165" priority="1025" operator="containsText" text="Ausgaben">
      <formula>NOT(ISERROR(SEARCH("Ausgaben",C945)))</formula>
    </cfRule>
  </conditionalFormatting>
  <conditionalFormatting sqref="C946">
    <cfRule type="containsText" dxfId="7164" priority="1022" operator="containsText" text="Einnahmen">
      <formula>NOT(ISERROR(SEARCH("Einnahmen",C946)))</formula>
    </cfRule>
    <cfRule type="containsText" dxfId="7163" priority="1023" operator="containsText" text="Ausgaben">
      <formula>NOT(ISERROR(SEARCH("Ausgaben",C946)))</formula>
    </cfRule>
  </conditionalFormatting>
  <conditionalFormatting sqref="T946">
    <cfRule type="expression" dxfId="7162" priority="1021">
      <formula>AND(AND($W946&lt;TODAY(),$W946&lt;&gt;""),$X946="")</formula>
    </cfRule>
  </conditionalFormatting>
  <conditionalFormatting sqref="Z946">
    <cfRule type="dataBar" priority="1020">
      <dataBar>
        <cfvo type="min"/>
        <cfvo type="max"/>
        <color rgb="FF63C384"/>
      </dataBar>
      <extLst>
        <ext xmlns:x14="http://schemas.microsoft.com/office/spreadsheetml/2009/9/main" uri="{B025F937-C7B1-47D3-B67F-A62EFF666E3E}">
          <x14:id>{61838F22-E683-4652-8F07-7D1102A86617}</x14:id>
        </ext>
      </extLst>
    </cfRule>
  </conditionalFormatting>
  <conditionalFormatting sqref="Z946">
    <cfRule type="dataBar" priority="1019">
      <dataBar>
        <cfvo type="min"/>
        <cfvo type="max"/>
        <color rgb="FF63C384"/>
      </dataBar>
      <extLst>
        <ext xmlns:x14="http://schemas.microsoft.com/office/spreadsheetml/2009/9/main" uri="{B025F937-C7B1-47D3-B67F-A62EFF666E3E}">
          <x14:id>{5261B87E-8CC1-4F8F-AB10-F54EB147544C}</x14:id>
        </ext>
      </extLst>
    </cfRule>
  </conditionalFormatting>
  <conditionalFormatting sqref="T947">
    <cfRule type="expression" dxfId="7161" priority="1018">
      <formula>AND(AND($W947&lt;TODAY(),$W947&lt;&gt;""),$X947="")</formula>
    </cfRule>
  </conditionalFormatting>
  <conditionalFormatting sqref="C947">
    <cfRule type="containsText" dxfId="7160" priority="1016" operator="containsText" text="Einnahmen">
      <formula>NOT(ISERROR(SEARCH("Einnahmen",C947)))</formula>
    </cfRule>
    <cfRule type="containsText" dxfId="7159" priority="1017" operator="containsText" text="Ausgaben">
      <formula>NOT(ISERROR(SEARCH("Ausgaben",C947)))</formula>
    </cfRule>
  </conditionalFormatting>
  <conditionalFormatting sqref="J947">
    <cfRule type="cellIs" dxfId="7158" priority="1015" operator="equal">
      <formula>"ja"</formula>
    </cfRule>
  </conditionalFormatting>
  <conditionalFormatting sqref="J947">
    <cfRule type="cellIs" dxfId="7157" priority="1014" operator="equal">
      <formula>"ja"</formula>
    </cfRule>
  </conditionalFormatting>
  <conditionalFormatting sqref="C947">
    <cfRule type="containsText" dxfId="7156" priority="1012" operator="containsText" text="Einnahmen">
      <formula>NOT(ISERROR(SEARCH("Einnahmen",C947)))</formula>
    </cfRule>
    <cfRule type="containsText" dxfId="7155" priority="1013" operator="containsText" text="Ausgaben">
      <formula>NOT(ISERROR(SEARCH("Ausgaben",C947)))</formula>
    </cfRule>
  </conditionalFormatting>
  <conditionalFormatting sqref="J947">
    <cfRule type="cellIs" dxfId="7154" priority="1011" operator="equal">
      <formula>"ja"</formula>
    </cfRule>
  </conditionalFormatting>
  <conditionalFormatting sqref="Z947">
    <cfRule type="dataBar" priority="1010">
      <dataBar>
        <cfvo type="min"/>
        <cfvo type="max"/>
        <color rgb="FF63C384"/>
      </dataBar>
      <extLst>
        <ext xmlns:x14="http://schemas.microsoft.com/office/spreadsheetml/2009/9/main" uri="{B025F937-C7B1-47D3-B67F-A62EFF666E3E}">
          <x14:id>{611C2065-8A5F-498E-A63F-8077EF56CFC3}</x14:id>
        </ext>
      </extLst>
    </cfRule>
  </conditionalFormatting>
  <conditionalFormatting sqref="Z947">
    <cfRule type="dataBar" priority="1009">
      <dataBar>
        <cfvo type="min"/>
        <cfvo type="max"/>
        <color rgb="FF63C384"/>
      </dataBar>
      <extLst>
        <ext xmlns:x14="http://schemas.microsoft.com/office/spreadsheetml/2009/9/main" uri="{B025F937-C7B1-47D3-B67F-A62EFF666E3E}">
          <x14:id>{E3A80E6D-346C-475C-AE3D-53490A44B410}</x14:id>
        </ext>
      </extLst>
    </cfRule>
  </conditionalFormatting>
  <conditionalFormatting sqref="J947">
    <cfRule type="cellIs" dxfId="7153" priority="1008" operator="equal">
      <formula>"ja"</formula>
    </cfRule>
  </conditionalFormatting>
  <conditionalFormatting sqref="Z947">
    <cfRule type="dataBar" priority="1007">
      <dataBar>
        <cfvo type="min"/>
        <cfvo type="max"/>
        <color rgb="FF63C384"/>
      </dataBar>
      <extLst>
        <ext xmlns:x14="http://schemas.microsoft.com/office/spreadsheetml/2009/9/main" uri="{B025F937-C7B1-47D3-B67F-A62EFF666E3E}">
          <x14:id>{CC10E37F-C107-4732-B3E6-21153D65C8E5}</x14:id>
        </ext>
      </extLst>
    </cfRule>
  </conditionalFormatting>
  <conditionalFormatting sqref="Z947">
    <cfRule type="dataBar" priority="1006">
      <dataBar>
        <cfvo type="min"/>
        <cfvo type="max"/>
        <color rgb="FF63C384"/>
      </dataBar>
      <extLst>
        <ext xmlns:x14="http://schemas.microsoft.com/office/spreadsheetml/2009/9/main" uri="{B025F937-C7B1-47D3-B67F-A62EFF666E3E}">
          <x14:id>{F6438B11-F7C2-4572-9504-F57D873A73D3}</x14:id>
        </ext>
      </extLst>
    </cfRule>
  </conditionalFormatting>
  <conditionalFormatting sqref="T948">
    <cfRule type="expression" dxfId="7152" priority="1005">
      <formula>AND(AND($W948&lt;TODAY(),$W948&lt;&gt;""),$X948="")</formula>
    </cfRule>
  </conditionalFormatting>
  <conditionalFormatting sqref="C948">
    <cfRule type="containsText" dxfId="7151" priority="1003" operator="containsText" text="Einnahmen">
      <formula>NOT(ISERROR(SEARCH("Einnahmen",C948)))</formula>
    </cfRule>
    <cfRule type="containsText" dxfId="7150" priority="1004" operator="containsText" text="Ausgaben">
      <formula>NOT(ISERROR(SEARCH("Ausgaben",C948)))</formula>
    </cfRule>
  </conditionalFormatting>
  <conditionalFormatting sqref="Z948">
    <cfRule type="dataBar" priority="1002">
      <dataBar>
        <cfvo type="min"/>
        <cfvo type="max"/>
        <color rgb="FF63C384"/>
      </dataBar>
      <extLst>
        <ext xmlns:x14="http://schemas.microsoft.com/office/spreadsheetml/2009/9/main" uri="{B025F937-C7B1-47D3-B67F-A62EFF666E3E}">
          <x14:id>{044D410C-CABC-4D39-B177-43734493F92A}</x14:id>
        </ext>
      </extLst>
    </cfRule>
  </conditionalFormatting>
  <conditionalFormatting sqref="Z948">
    <cfRule type="dataBar" priority="1001">
      <dataBar>
        <cfvo type="min"/>
        <cfvo type="max"/>
        <color rgb="FF63C384"/>
      </dataBar>
      <extLst>
        <ext xmlns:x14="http://schemas.microsoft.com/office/spreadsheetml/2009/9/main" uri="{B025F937-C7B1-47D3-B67F-A62EFF666E3E}">
          <x14:id>{96C46560-ECC0-4BB4-907B-B9737E0B6554}</x14:id>
        </ext>
      </extLst>
    </cfRule>
  </conditionalFormatting>
  <conditionalFormatting sqref="Z948">
    <cfRule type="dataBar" priority="1000">
      <dataBar>
        <cfvo type="min"/>
        <cfvo type="max"/>
        <color rgb="FF63C384"/>
      </dataBar>
      <extLst>
        <ext xmlns:x14="http://schemas.microsoft.com/office/spreadsheetml/2009/9/main" uri="{B025F937-C7B1-47D3-B67F-A62EFF666E3E}">
          <x14:id>{73303575-0A9C-4BF4-BAA9-969086A573FA}</x14:id>
        </ext>
      </extLst>
    </cfRule>
  </conditionalFormatting>
  <conditionalFormatting sqref="Z948">
    <cfRule type="dataBar" priority="999">
      <dataBar>
        <cfvo type="min"/>
        <cfvo type="max"/>
        <color rgb="FF63C384"/>
      </dataBar>
      <extLst>
        <ext xmlns:x14="http://schemas.microsoft.com/office/spreadsheetml/2009/9/main" uri="{B025F937-C7B1-47D3-B67F-A62EFF666E3E}">
          <x14:id>{0371E180-8562-4489-BAD3-28E0EF48E291}</x14:id>
        </ext>
      </extLst>
    </cfRule>
  </conditionalFormatting>
  <conditionalFormatting sqref="T949">
    <cfRule type="expression" dxfId="7149" priority="998">
      <formula>AND(AND($W949&lt;TODAY(),$W949&lt;&gt;""),$X949="")</formula>
    </cfRule>
  </conditionalFormatting>
  <conditionalFormatting sqref="C949">
    <cfRule type="containsText" dxfId="7148" priority="996" operator="containsText" text="Einnahmen">
      <formula>NOT(ISERROR(SEARCH("Einnahmen",C949)))</formula>
    </cfRule>
    <cfRule type="containsText" dxfId="7147" priority="997" operator="containsText" text="Ausgaben">
      <formula>NOT(ISERROR(SEARCH("Ausgaben",C949)))</formula>
    </cfRule>
  </conditionalFormatting>
  <conditionalFormatting sqref="Z949">
    <cfRule type="dataBar" priority="995">
      <dataBar>
        <cfvo type="min"/>
        <cfvo type="max"/>
        <color rgb="FF63C384"/>
      </dataBar>
      <extLst>
        <ext xmlns:x14="http://schemas.microsoft.com/office/spreadsheetml/2009/9/main" uri="{B025F937-C7B1-47D3-B67F-A62EFF666E3E}">
          <x14:id>{455962B6-2B15-41E6-9436-55F9EF0DDFEE}</x14:id>
        </ext>
      </extLst>
    </cfRule>
  </conditionalFormatting>
  <conditionalFormatting sqref="Z949">
    <cfRule type="dataBar" priority="994">
      <dataBar>
        <cfvo type="min"/>
        <cfvo type="max"/>
        <color rgb="FF63C384"/>
      </dataBar>
      <extLst>
        <ext xmlns:x14="http://schemas.microsoft.com/office/spreadsheetml/2009/9/main" uri="{B025F937-C7B1-47D3-B67F-A62EFF666E3E}">
          <x14:id>{39F67DEB-6F94-4EA3-90BE-9764C52BA930}</x14:id>
        </ext>
      </extLst>
    </cfRule>
  </conditionalFormatting>
  <conditionalFormatting sqref="J949">
    <cfRule type="cellIs" dxfId="7146" priority="993" operator="equal">
      <formula>"ja"</formula>
    </cfRule>
  </conditionalFormatting>
  <conditionalFormatting sqref="J949">
    <cfRule type="cellIs" dxfId="7145" priority="992" operator="equal">
      <formula>"ja"</formula>
    </cfRule>
  </conditionalFormatting>
  <conditionalFormatting sqref="T950">
    <cfRule type="expression" dxfId="7144" priority="991">
      <formula>AND(AND($W950&lt;TODAY(),$W950&lt;&gt;""),$X950="")</formula>
    </cfRule>
  </conditionalFormatting>
  <conditionalFormatting sqref="J950">
    <cfRule type="cellIs" dxfId="7143" priority="990" operator="equal">
      <formula>"ja"</formula>
    </cfRule>
  </conditionalFormatting>
  <conditionalFormatting sqref="Z950">
    <cfRule type="dataBar" priority="989">
      <dataBar>
        <cfvo type="min"/>
        <cfvo type="max"/>
        <color rgb="FF63C384"/>
      </dataBar>
      <extLst>
        <ext xmlns:x14="http://schemas.microsoft.com/office/spreadsheetml/2009/9/main" uri="{B025F937-C7B1-47D3-B67F-A62EFF666E3E}">
          <x14:id>{4FBA1E67-3980-4D5B-B4E1-F5E5EFE6227E}</x14:id>
        </ext>
      </extLst>
    </cfRule>
  </conditionalFormatting>
  <conditionalFormatting sqref="Z950">
    <cfRule type="dataBar" priority="988">
      <dataBar>
        <cfvo type="min"/>
        <cfvo type="max"/>
        <color rgb="FF63C384"/>
      </dataBar>
      <extLst>
        <ext xmlns:x14="http://schemas.microsoft.com/office/spreadsheetml/2009/9/main" uri="{B025F937-C7B1-47D3-B67F-A62EFF666E3E}">
          <x14:id>{BED1A403-2883-4F9C-942A-09A11817871C}</x14:id>
        </ext>
      </extLst>
    </cfRule>
  </conditionalFormatting>
  <conditionalFormatting sqref="Z950">
    <cfRule type="dataBar" priority="987">
      <dataBar>
        <cfvo type="min"/>
        <cfvo type="max"/>
        <color rgb="FF63C384"/>
      </dataBar>
      <extLst>
        <ext xmlns:x14="http://schemas.microsoft.com/office/spreadsheetml/2009/9/main" uri="{B025F937-C7B1-47D3-B67F-A62EFF666E3E}">
          <x14:id>{3C1C037D-03C0-4B5E-88EB-AC4A44430B62}</x14:id>
        </ext>
      </extLst>
    </cfRule>
  </conditionalFormatting>
  <conditionalFormatting sqref="Z950">
    <cfRule type="dataBar" priority="986">
      <dataBar>
        <cfvo type="min"/>
        <cfvo type="max"/>
        <color rgb="FF63C384"/>
      </dataBar>
      <extLst>
        <ext xmlns:x14="http://schemas.microsoft.com/office/spreadsheetml/2009/9/main" uri="{B025F937-C7B1-47D3-B67F-A62EFF666E3E}">
          <x14:id>{350833B9-5D3D-44CF-8017-54DE33324A4C}</x14:id>
        </ext>
      </extLst>
    </cfRule>
  </conditionalFormatting>
  <conditionalFormatting sqref="J950">
    <cfRule type="cellIs" dxfId="7142" priority="985" operator="equal">
      <formula>"ja"</formula>
    </cfRule>
  </conditionalFormatting>
  <conditionalFormatting sqref="C950">
    <cfRule type="containsText" dxfId="7141" priority="983" operator="containsText" text="Einnahmen">
      <formula>NOT(ISERROR(SEARCH("Einnahmen",C950)))</formula>
    </cfRule>
    <cfRule type="containsText" dxfId="7140" priority="984" operator="containsText" text="Ausgaben">
      <formula>NOT(ISERROR(SEARCH("Ausgaben",C950)))</formula>
    </cfRule>
  </conditionalFormatting>
  <conditionalFormatting sqref="T951">
    <cfRule type="expression" dxfId="7139" priority="982">
      <formula>AND(AND($W951&lt;TODAY(),$W951&lt;&gt;""),$X951="")</formula>
    </cfRule>
  </conditionalFormatting>
  <conditionalFormatting sqref="C951">
    <cfRule type="containsText" dxfId="7138" priority="980" operator="containsText" text="Einnahmen">
      <formula>NOT(ISERROR(SEARCH("Einnahmen",C951)))</formula>
    </cfRule>
    <cfRule type="containsText" dxfId="7137" priority="981" operator="containsText" text="Ausgaben">
      <formula>NOT(ISERROR(SEARCH("Ausgaben",C951)))</formula>
    </cfRule>
  </conditionalFormatting>
  <conditionalFormatting sqref="J951">
    <cfRule type="cellIs" dxfId="7136" priority="979" operator="equal">
      <formula>"ja"</formula>
    </cfRule>
  </conditionalFormatting>
  <conditionalFormatting sqref="Z951">
    <cfRule type="dataBar" priority="978">
      <dataBar>
        <cfvo type="min"/>
        <cfvo type="max"/>
        <color rgb="FF63C384"/>
      </dataBar>
      <extLst>
        <ext xmlns:x14="http://schemas.microsoft.com/office/spreadsheetml/2009/9/main" uri="{B025F937-C7B1-47D3-B67F-A62EFF666E3E}">
          <x14:id>{609207C7-5D73-4C66-AE76-F437C1EAEF7F}</x14:id>
        </ext>
      </extLst>
    </cfRule>
  </conditionalFormatting>
  <conditionalFormatting sqref="Z951">
    <cfRule type="dataBar" priority="977">
      <dataBar>
        <cfvo type="min"/>
        <cfvo type="max"/>
        <color rgb="FF63C384"/>
      </dataBar>
      <extLst>
        <ext xmlns:x14="http://schemas.microsoft.com/office/spreadsheetml/2009/9/main" uri="{B025F937-C7B1-47D3-B67F-A62EFF666E3E}">
          <x14:id>{AF7118B8-0973-4DF1-8A28-62A7BFF5820A}</x14:id>
        </ext>
      </extLst>
    </cfRule>
  </conditionalFormatting>
  <conditionalFormatting sqref="T952">
    <cfRule type="expression" dxfId="7135" priority="976">
      <formula>AND(AND($W952&lt;TODAY(),$W952&lt;&gt;""),$X952="")</formula>
    </cfRule>
  </conditionalFormatting>
  <conditionalFormatting sqref="J952">
    <cfRule type="cellIs" dxfId="7134" priority="975" operator="equal">
      <formula>"ja"</formula>
    </cfRule>
  </conditionalFormatting>
  <conditionalFormatting sqref="C952">
    <cfRule type="containsText" dxfId="7133" priority="973" operator="containsText" text="Einnahmen">
      <formula>NOT(ISERROR(SEARCH("Einnahmen",C952)))</formula>
    </cfRule>
    <cfRule type="containsText" dxfId="7132" priority="974" operator="containsText" text="Ausgaben">
      <formula>NOT(ISERROR(SEARCH("Ausgaben",C952)))</formula>
    </cfRule>
  </conditionalFormatting>
  <conditionalFormatting sqref="Z952">
    <cfRule type="dataBar" priority="972">
      <dataBar>
        <cfvo type="min"/>
        <cfvo type="max"/>
        <color rgb="FF63C384"/>
      </dataBar>
      <extLst>
        <ext xmlns:x14="http://schemas.microsoft.com/office/spreadsheetml/2009/9/main" uri="{B025F937-C7B1-47D3-B67F-A62EFF666E3E}">
          <x14:id>{92B3265D-7473-428C-B7BD-5FB8D8AC0721}</x14:id>
        </ext>
      </extLst>
    </cfRule>
  </conditionalFormatting>
  <conditionalFormatting sqref="Z952">
    <cfRule type="dataBar" priority="971">
      <dataBar>
        <cfvo type="min"/>
        <cfvo type="max"/>
        <color rgb="FF63C384"/>
      </dataBar>
      <extLst>
        <ext xmlns:x14="http://schemas.microsoft.com/office/spreadsheetml/2009/9/main" uri="{B025F937-C7B1-47D3-B67F-A62EFF666E3E}">
          <x14:id>{B663A821-B782-4DDA-BFE2-23F141DF94FD}</x14:id>
        </ext>
      </extLst>
    </cfRule>
  </conditionalFormatting>
  <conditionalFormatting sqref="T953">
    <cfRule type="expression" dxfId="7131" priority="970">
      <formula>AND(AND($W953&lt;TODAY(),$W953&lt;&gt;""),$X953="")</formula>
    </cfRule>
  </conditionalFormatting>
  <conditionalFormatting sqref="Z953">
    <cfRule type="dataBar" priority="969">
      <dataBar>
        <cfvo type="min"/>
        <cfvo type="max"/>
        <color rgb="FF63C384"/>
      </dataBar>
      <extLst>
        <ext xmlns:x14="http://schemas.microsoft.com/office/spreadsheetml/2009/9/main" uri="{B025F937-C7B1-47D3-B67F-A62EFF666E3E}">
          <x14:id>{013280F2-A52D-4345-91C1-7561519F12D7}</x14:id>
        </ext>
      </extLst>
    </cfRule>
  </conditionalFormatting>
  <conditionalFormatting sqref="Z953">
    <cfRule type="dataBar" priority="968">
      <dataBar>
        <cfvo type="min"/>
        <cfvo type="max"/>
        <color rgb="FF63C384"/>
      </dataBar>
      <extLst>
        <ext xmlns:x14="http://schemas.microsoft.com/office/spreadsheetml/2009/9/main" uri="{B025F937-C7B1-47D3-B67F-A62EFF666E3E}">
          <x14:id>{7E393E93-4608-42A4-BD90-E48D68A99B89}</x14:id>
        </ext>
      </extLst>
    </cfRule>
  </conditionalFormatting>
  <conditionalFormatting sqref="J953">
    <cfRule type="cellIs" dxfId="7130" priority="967" operator="equal">
      <formula>"ja"</formula>
    </cfRule>
  </conditionalFormatting>
  <conditionalFormatting sqref="C953">
    <cfRule type="containsText" dxfId="7129" priority="965" operator="containsText" text="Einnahmen">
      <formula>NOT(ISERROR(SEARCH("Einnahmen",C953)))</formula>
    </cfRule>
    <cfRule type="containsText" dxfId="7128" priority="966" operator="containsText" text="Ausgaben">
      <formula>NOT(ISERROR(SEARCH("Ausgaben",C953)))</formula>
    </cfRule>
  </conditionalFormatting>
  <conditionalFormatting sqref="T954">
    <cfRule type="expression" dxfId="7127" priority="964">
      <formula>AND(AND($W954&lt;TODAY(),$W954&lt;&gt;""),$X954="")</formula>
    </cfRule>
  </conditionalFormatting>
  <conditionalFormatting sqref="Z954">
    <cfRule type="dataBar" priority="963">
      <dataBar>
        <cfvo type="min"/>
        <cfvo type="max"/>
        <color rgb="FF63C384"/>
      </dataBar>
      <extLst>
        <ext xmlns:x14="http://schemas.microsoft.com/office/spreadsheetml/2009/9/main" uri="{B025F937-C7B1-47D3-B67F-A62EFF666E3E}">
          <x14:id>{6361AF8D-FBCB-49AC-AC69-0CDECD2B3766}</x14:id>
        </ext>
      </extLst>
    </cfRule>
  </conditionalFormatting>
  <conditionalFormatting sqref="Z954">
    <cfRule type="dataBar" priority="962">
      <dataBar>
        <cfvo type="min"/>
        <cfvo type="max"/>
        <color rgb="FF63C384"/>
      </dataBar>
      <extLst>
        <ext xmlns:x14="http://schemas.microsoft.com/office/spreadsheetml/2009/9/main" uri="{B025F937-C7B1-47D3-B67F-A62EFF666E3E}">
          <x14:id>{F15A8375-E342-47D2-A83B-A92577745308}</x14:id>
        </ext>
      </extLst>
    </cfRule>
  </conditionalFormatting>
  <conditionalFormatting sqref="C954">
    <cfRule type="containsText" dxfId="7126" priority="960" operator="containsText" text="Einnahmen">
      <formula>NOT(ISERROR(SEARCH("Einnahmen",C954)))</formula>
    </cfRule>
    <cfRule type="containsText" dxfId="7125" priority="961" operator="containsText" text="Ausgaben">
      <formula>NOT(ISERROR(SEARCH("Ausgaben",C954)))</formula>
    </cfRule>
  </conditionalFormatting>
  <conditionalFormatting sqref="C954">
    <cfRule type="containsText" dxfId="7124" priority="958" operator="containsText" text="Einnahmen">
      <formula>NOT(ISERROR(SEARCH("Einnahmen",C954)))</formula>
    </cfRule>
    <cfRule type="containsText" dxfId="7123" priority="959" operator="containsText" text="Ausgaben">
      <formula>NOT(ISERROR(SEARCH("Ausgaben",C954)))</formula>
    </cfRule>
  </conditionalFormatting>
  <conditionalFormatting sqref="T955">
    <cfRule type="expression" dxfId="7122" priority="957">
      <formula>AND(AND($W955&lt;TODAY(),$W955&lt;&gt;""),$X955="")</formula>
    </cfRule>
  </conditionalFormatting>
  <conditionalFormatting sqref="C955">
    <cfRule type="containsText" dxfId="7121" priority="955" operator="containsText" text="Einnahmen">
      <formula>NOT(ISERROR(SEARCH("Einnahmen",C955)))</formula>
    </cfRule>
    <cfRule type="containsText" dxfId="7120" priority="956" operator="containsText" text="Ausgaben">
      <formula>NOT(ISERROR(SEARCH("Ausgaben",C955)))</formula>
    </cfRule>
  </conditionalFormatting>
  <conditionalFormatting sqref="J955">
    <cfRule type="cellIs" dxfId="7119" priority="954" operator="equal">
      <formula>"ja"</formula>
    </cfRule>
  </conditionalFormatting>
  <conditionalFormatting sqref="Z955">
    <cfRule type="dataBar" priority="953">
      <dataBar>
        <cfvo type="min"/>
        <cfvo type="max"/>
        <color rgb="FF63C384"/>
      </dataBar>
      <extLst>
        <ext xmlns:x14="http://schemas.microsoft.com/office/spreadsheetml/2009/9/main" uri="{B025F937-C7B1-47D3-B67F-A62EFF666E3E}">
          <x14:id>{9802D122-52B9-4481-89AB-23B3B5D2828D}</x14:id>
        </ext>
      </extLst>
    </cfRule>
  </conditionalFormatting>
  <conditionalFormatting sqref="Z955">
    <cfRule type="dataBar" priority="952">
      <dataBar>
        <cfvo type="min"/>
        <cfvo type="max"/>
        <color rgb="FF63C384"/>
      </dataBar>
      <extLst>
        <ext xmlns:x14="http://schemas.microsoft.com/office/spreadsheetml/2009/9/main" uri="{B025F937-C7B1-47D3-B67F-A62EFF666E3E}">
          <x14:id>{E462F576-93C1-4AB9-AC38-085D0CE82C52}</x14:id>
        </ext>
      </extLst>
    </cfRule>
  </conditionalFormatting>
  <conditionalFormatting sqref="T956">
    <cfRule type="expression" dxfId="7118" priority="951">
      <formula>AND(AND($W956&lt;TODAY(),$W956&lt;&gt;""),$X956="")</formula>
    </cfRule>
  </conditionalFormatting>
  <conditionalFormatting sqref="C956">
    <cfRule type="containsText" dxfId="7117" priority="949" operator="containsText" text="Einnahmen">
      <formula>NOT(ISERROR(SEARCH("Einnahmen",C956)))</formula>
    </cfRule>
    <cfRule type="containsText" dxfId="7116" priority="950" operator="containsText" text="Ausgaben">
      <formula>NOT(ISERROR(SEARCH("Ausgaben",C956)))</formula>
    </cfRule>
  </conditionalFormatting>
  <conditionalFormatting sqref="J956">
    <cfRule type="cellIs" dxfId="7115" priority="948" operator="equal">
      <formula>"ja"</formula>
    </cfRule>
  </conditionalFormatting>
  <conditionalFormatting sqref="J956">
    <cfRule type="cellIs" dxfId="7114" priority="939" operator="equal">
      <formula>"ja"</formula>
    </cfRule>
  </conditionalFormatting>
  <conditionalFormatting sqref="Z956">
    <cfRule type="dataBar" priority="947">
      <dataBar>
        <cfvo type="min"/>
        <cfvo type="max"/>
        <color rgb="FF63C384"/>
      </dataBar>
      <extLst>
        <ext xmlns:x14="http://schemas.microsoft.com/office/spreadsheetml/2009/9/main" uri="{B025F937-C7B1-47D3-B67F-A62EFF666E3E}">
          <x14:id>{115CEC62-D5BB-4939-9575-6A65FC07EF13}</x14:id>
        </ext>
      </extLst>
    </cfRule>
  </conditionalFormatting>
  <conditionalFormatting sqref="Z956">
    <cfRule type="dataBar" priority="946">
      <dataBar>
        <cfvo type="min"/>
        <cfvo type="max"/>
        <color rgb="FF63C384"/>
      </dataBar>
      <extLst>
        <ext xmlns:x14="http://schemas.microsoft.com/office/spreadsheetml/2009/9/main" uri="{B025F937-C7B1-47D3-B67F-A62EFF666E3E}">
          <x14:id>{0FBF9B9E-20DE-4E9B-A198-805F1675F9F5}</x14:id>
        </ext>
      </extLst>
    </cfRule>
  </conditionalFormatting>
  <conditionalFormatting sqref="J956">
    <cfRule type="cellIs" dxfId="7113" priority="945" operator="equal">
      <formula>"ja"</formula>
    </cfRule>
  </conditionalFormatting>
  <conditionalFormatting sqref="Z956">
    <cfRule type="dataBar" priority="944">
      <dataBar>
        <cfvo type="min"/>
        <cfvo type="max"/>
        <color rgb="FF63C384"/>
      </dataBar>
      <extLst>
        <ext xmlns:x14="http://schemas.microsoft.com/office/spreadsheetml/2009/9/main" uri="{B025F937-C7B1-47D3-B67F-A62EFF666E3E}">
          <x14:id>{1C2ED4B5-BEF6-422A-8CE5-71D4EA3D8BD4}</x14:id>
        </ext>
      </extLst>
    </cfRule>
  </conditionalFormatting>
  <conditionalFormatting sqref="Z956">
    <cfRule type="dataBar" priority="943">
      <dataBar>
        <cfvo type="min"/>
        <cfvo type="max"/>
        <color rgb="FF63C384"/>
      </dataBar>
      <extLst>
        <ext xmlns:x14="http://schemas.microsoft.com/office/spreadsheetml/2009/9/main" uri="{B025F937-C7B1-47D3-B67F-A62EFF666E3E}">
          <x14:id>{287E518F-D4E0-40D9-8383-2C3F118FE711}</x14:id>
        </ext>
      </extLst>
    </cfRule>
  </conditionalFormatting>
  <conditionalFormatting sqref="J956">
    <cfRule type="cellIs" dxfId="7112" priority="942" operator="equal">
      <formula>"ja"</formula>
    </cfRule>
  </conditionalFormatting>
  <conditionalFormatting sqref="Z956">
    <cfRule type="dataBar" priority="941">
      <dataBar>
        <cfvo type="min"/>
        <cfvo type="max"/>
        <color rgb="FF63C384"/>
      </dataBar>
      <extLst>
        <ext xmlns:x14="http://schemas.microsoft.com/office/spreadsheetml/2009/9/main" uri="{B025F937-C7B1-47D3-B67F-A62EFF666E3E}">
          <x14:id>{C3E709E4-08C6-402C-BD58-29A23A54C916}</x14:id>
        </ext>
      </extLst>
    </cfRule>
  </conditionalFormatting>
  <conditionalFormatting sqref="Z956">
    <cfRule type="dataBar" priority="940">
      <dataBar>
        <cfvo type="min"/>
        <cfvo type="max"/>
        <color rgb="FF63C384"/>
      </dataBar>
      <extLst>
        <ext xmlns:x14="http://schemas.microsoft.com/office/spreadsheetml/2009/9/main" uri="{B025F937-C7B1-47D3-B67F-A62EFF666E3E}">
          <x14:id>{DB247F7C-618A-4C98-9DB8-45233FF51885}</x14:id>
        </ext>
      </extLst>
    </cfRule>
  </conditionalFormatting>
  <conditionalFormatting sqref="Z956">
    <cfRule type="dataBar" priority="938">
      <dataBar>
        <cfvo type="min"/>
        <cfvo type="max"/>
        <color rgb="FF63C384"/>
      </dataBar>
      <extLst>
        <ext xmlns:x14="http://schemas.microsoft.com/office/spreadsheetml/2009/9/main" uri="{B025F937-C7B1-47D3-B67F-A62EFF666E3E}">
          <x14:id>{4FA26A8E-D7CF-4A66-8A5B-A8A85714D91F}</x14:id>
        </ext>
      </extLst>
    </cfRule>
  </conditionalFormatting>
  <conditionalFormatting sqref="Z956">
    <cfRule type="dataBar" priority="937">
      <dataBar>
        <cfvo type="min"/>
        <cfvo type="max"/>
        <color rgb="FF63C384"/>
      </dataBar>
      <extLst>
        <ext xmlns:x14="http://schemas.microsoft.com/office/spreadsheetml/2009/9/main" uri="{B025F937-C7B1-47D3-B67F-A62EFF666E3E}">
          <x14:id>{77107957-80AD-420B-BFE4-B8A2203EE0ED}</x14:id>
        </ext>
      </extLst>
    </cfRule>
  </conditionalFormatting>
  <conditionalFormatting sqref="C956">
    <cfRule type="containsText" dxfId="7111" priority="935" operator="containsText" text="Einnahmen">
      <formula>NOT(ISERROR(SEARCH("Einnahmen",C956)))</formula>
    </cfRule>
    <cfRule type="containsText" dxfId="7110" priority="936" operator="containsText" text="Ausgaben">
      <formula>NOT(ISERROR(SEARCH("Ausgaben",C956)))</formula>
    </cfRule>
  </conditionalFormatting>
  <conditionalFormatting sqref="C956">
    <cfRule type="containsText" dxfId="7109" priority="933" operator="containsText" text="Einnahmen">
      <formula>NOT(ISERROR(SEARCH("Einnahmen",C956)))</formula>
    </cfRule>
    <cfRule type="containsText" dxfId="7108" priority="934" operator="containsText" text="Ausgaben">
      <formula>NOT(ISERROR(SEARCH("Ausgaben",C956)))</formula>
    </cfRule>
  </conditionalFormatting>
  <conditionalFormatting sqref="J956">
    <cfRule type="cellIs" dxfId="7107" priority="932" operator="equal">
      <formula>"ja"</formula>
    </cfRule>
  </conditionalFormatting>
  <conditionalFormatting sqref="J956">
    <cfRule type="cellIs" dxfId="7106" priority="931" operator="equal">
      <formula>"ja"</formula>
    </cfRule>
  </conditionalFormatting>
  <conditionalFormatting sqref="T957:T958">
    <cfRule type="expression" dxfId="7105" priority="930">
      <formula>AND(AND($W957&lt;TODAY(),$W957&lt;&gt;""),$X957="")</formula>
    </cfRule>
  </conditionalFormatting>
  <conditionalFormatting sqref="C957 C969 C988">
    <cfRule type="containsText" dxfId="7104" priority="928" operator="containsText" text="Einnahmen">
      <formula>NOT(ISERROR(SEARCH("Einnahmen",C957)))</formula>
    </cfRule>
    <cfRule type="containsText" dxfId="7103" priority="929" operator="containsText" text="Ausgaben">
      <formula>NOT(ISERROR(SEARCH("Ausgaben",C957)))</formula>
    </cfRule>
  </conditionalFormatting>
  <conditionalFormatting sqref="J957">
    <cfRule type="cellIs" dxfId="7102" priority="927" operator="equal">
      <formula>"ja"</formula>
    </cfRule>
  </conditionalFormatting>
  <conditionalFormatting sqref="Z957:Z958">
    <cfRule type="dataBar" priority="926">
      <dataBar>
        <cfvo type="min"/>
        <cfvo type="max"/>
        <color rgb="FF63C384"/>
      </dataBar>
      <extLst>
        <ext xmlns:x14="http://schemas.microsoft.com/office/spreadsheetml/2009/9/main" uri="{B025F937-C7B1-47D3-B67F-A62EFF666E3E}">
          <x14:id>{17E699E2-DBE8-4D87-8B2A-398B47B25E56}</x14:id>
        </ext>
      </extLst>
    </cfRule>
  </conditionalFormatting>
  <conditionalFormatting sqref="J957">
    <cfRule type="cellIs" dxfId="7101" priority="925" operator="equal">
      <formula>"ja"</formula>
    </cfRule>
  </conditionalFormatting>
  <conditionalFormatting sqref="T959">
    <cfRule type="expression" dxfId="7100" priority="924">
      <formula>AND(AND($W959&lt;TODAY(),$W959&lt;&gt;""),$X959="")</formula>
    </cfRule>
  </conditionalFormatting>
  <conditionalFormatting sqref="J959">
    <cfRule type="cellIs" dxfId="7099" priority="923" operator="equal">
      <formula>"ja"</formula>
    </cfRule>
  </conditionalFormatting>
  <conditionalFormatting sqref="C959">
    <cfRule type="containsText" dxfId="7098" priority="921" operator="containsText" text="Einnahmen">
      <formula>NOT(ISERROR(SEARCH("Einnahmen",C959)))</formula>
    </cfRule>
    <cfRule type="containsText" dxfId="7097" priority="922" operator="containsText" text="Ausgaben">
      <formula>NOT(ISERROR(SEARCH("Ausgaben",C959)))</formula>
    </cfRule>
  </conditionalFormatting>
  <conditionalFormatting sqref="Z959">
    <cfRule type="dataBar" priority="920">
      <dataBar>
        <cfvo type="min"/>
        <cfvo type="max"/>
        <color rgb="FF63C384"/>
      </dataBar>
      <extLst>
        <ext xmlns:x14="http://schemas.microsoft.com/office/spreadsheetml/2009/9/main" uri="{B025F937-C7B1-47D3-B67F-A62EFF666E3E}">
          <x14:id>{9416905E-5BAA-4526-8A71-537CAB556839}</x14:id>
        </ext>
      </extLst>
    </cfRule>
  </conditionalFormatting>
  <conditionalFormatting sqref="Z959">
    <cfRule type="dataBar" priority="919">
      <dataBar>
        <cfvo type="min"/>
        <cfvo type="max"/>
        <color rgb="FF63C384"/>
      </dataBar>
      <extLst>
        <ext xmlns:x14="http://schemas.microsoft.com/office/spreadsheetml/2009/9/main" uri="{B025F937-C7B1-47D3-B67F-A62EFF666E3E}">
          <x14:id>{AB68F362-6135-4BE8-A101-E92EF49777AB}</x14:id>
        </ext>
      </extLst>
    </cfRule>
  </conditionalFormatting>
  <conditionalFormatting sqref="T960">
    <cfRule type="expression" dxfId="7096" priority="918">
      <formula>AND(AND($W960&lt;TODAY(),$W960&lt;&gt;""),$X960="")</formula>
    </cfRule>
  </conditionalFormatting>
  <conditionalFormatting sqref="C960">
    <cfRule type="containsText" dxfId="7095" priority="916" operator="containsText" text="Einnahmen">
      <formula>NOT(ISERROR(SEARCH("Einnahmen",C960)))</formula>
    </cfRule>
    <cfRule type="containsText" dxfId="7094" priority="917" operator="containsText" text="Ausgaben">
      <formula>NOT(ISERROR(SEARCH("Ausgaben",C960)))</formula>
    </cfRule>
  </conditionalFormatting>
  <conditionalFormatting sqref="J960">
    <cfRule type="cellIs" dxfId="7093" priority="915" operator="equal">
      <formula>"ja"</formula>
    </cfRule>
  </conditionalFormatting>
  <conditionalFormatting sqref="J960">
    <cfRule type="cellIs" dxfId="7092" priority="914" operator="equal">
      <formula>"ja"</formula>
    </cfRule>
  </conditionalFormatting>
  <conditionalFormatting sqref="C960">
    <cfRule type="containsText" dxfId="7091" priority="912" operator="containsText" text="Einnahmen">
      <formula>NOT(ISERROR(SEARCH("Einnahmen",C960)))</formula>
    </cfRule>
    <cfRule type="containsText" dxfId="7090" priority="913" operator="containsText" text="Ausgaben">
      <formula>NOT(ISERROR(SEARCH("Ausgaben",C960)))</formula>
    </cfRule>
  </conditionalFormatting>
  <conditionalFormatting sqref="J960">
    <cfRule type="cellIs" dxfId="7089" priority="911" operator="equal">
      <formula>"ja"</formula>
    </cfRule>
  </conditionalFormatting>
  <conditionalFormatting sqref="Z960">
    <cfRule type="dataBar" priority="910">
      <dataBar>
        <cfvo type="min"/>
        <cfvo type="max"/>
        <color rgb="FF63C384"/>
      </dataBar>
      <extLst>
        <ext xmlns:x14="http://schemas.microsoft.com/office/spreadsheetml/2009/9/main" uri="{B025F937-C7B1-47D3-B67F-A62EFF666E3E}">
          <x14:id>{EBB71BDD-154F-46DF-A186-E4479E05E416}</x14:id>
        </ext>
      </extLst>
    </cfRule>
  </conditionalFormatting>
  <conditionalFormatting sqref="Z960">
    <cfRule type="dataBar" priority="909">
      <dataBar>
        <cfvo type="min"/>
        <cfvo type="max"/>
        <color rgb="FF63C384"/>
      </dataBar>
      <extLst>
        <ext xmlns:x14="http://schemas.microsoft.com/office/spreadsheetml/2009/9/main" uri="{B025F937-C7B1-47D3-B67F-A62EFF666E3E}">
          <x14:id>{6CD0D376-2CFA-4D60-9A94-6AE7FE9EEFE4}</x14:id>
        </ext>
      </extLst>
    </cfRule>
  </conditionalFormatting>
  <conditionalFormatting sqref="J960">
    <cfRule type="cellIs" dxfId="7088" priority="908" operator="equal">
      <formula>"ja"</formula>
    </cfRule>
  </conditionalFormatting>
  <conditionalFormatting sqref="Z960">
    <cfRule type="dataBar" priority="907">
      <dataBar>
        <cfvo type="min"/>
        <cfvo type="max"/>
        <color rgb="FF63C384"/>
      </dataBar>
      <extLst>
        <ext xmlns:x14="http://schemas.microsoft.com/office/spreadsheetml/2009/9/main" uri="{B025F937-C7B1-47D3-B67F-A62EFF666E3E}">
          <x14:id>{5B856694-6354-4A29-B0C3-CD16E04CB875}</x14:id>
        </ext>
      </extLst>
    </cfRule>
  </conditionalFormatting>
  <conditionalFormatting sqref="Z960">
    <cfRule type="dataBar" priority="906">
      <dataBar>
        <cfvo type="min"/>
        <cfvo type="max"/>
        <color rgb="FF63C384"/>
      </dataBar>
      <extLst>
        <ext xmlns:x14="http://schemas.microsoft.com/office/spreadsheetml/2009/9/main" uri="{B025F937-C7B1-47D3-B67F-A62EFF666E3E}">
          <x14:id>{871D8F47-D240-4124-A2C9-282144B2671C}</x14:id>
        </ext>
      </extLst>
    </cfRule>
  </conditionalFormatting>
  <conditionalFormatting sqref="T961">
    <cfRule type="expression" dxfId="7087" priority="905">
      <formula>AND(AND($W961&lt;TODAY(),$W961&lt;&gt;""),$X961="")</formula>
    </cfRule>
  </conditionalFormatting>
  <conditionalFormatting sqref="C961">
    <cfRule type="containsText" dxfId="7086" priority="903" operator="containsText" text="Einnahmen">
      <formula>NOT(ISERROR(SEARCH("Einnahmen",C961)))</formula>
    </cfRule>
    <cfRule type="containsText" dxfId="7085" priority="904" operator="containsText" text="Ausgaben">
      <formula>NOT(ISERROR(SEARCH("Ausgaben",C961)))</formula>
    </cfRule>
  </conditionalFormatting>
  <conditionalFormatting sqref="Z961">
    <cfRule type="dataBar" priority="902">
      <dataBar>
        <cfvo type="min"/>
        <cfvo type="max"/>
        <color rgb="FF63C384"/>
      </dataBar>
      <extLst>
        <ext xmlns:x14="http://schemas.microsoft.com/office/spreadsheetml/2009/9/main" uri="{B025F937-C7B1-47D3-B67F-A62EFF666E3E}">
          <x14:id>{EB3CC101-FB58-4BB8-A1BB-B25CD7DBB342}</x14:id>
        </ext>
      </extLst>
    </cfRule>
  </conditionalFormatting>
  <conditionalFormatting sqref="Z961">
    <cfRule type="dataBar" priority="901">
      <dataBar>
        <cfvo type="min"/>
        <cfvo type="max"/>
        <color rgb="FF63C384"/>
      </dataBar>
      <extLst>
        <ext xmlns:x14="http://schemas.microsoft.com/office/spreadsheetml/2009/9/main" uri="{B025F937-C7B1-47D3-B67F-A62EFF666E3E}">
          <x14:id>{39C7CBBA-9C4E-4895-8CFA-6B2E499388CA}</x14:id>
        </ext>
      </extLst>
    </cfRule>
  </conditionalFormatting>
  <conditionalFormatting sqref="Z961">
    <cfRule type="dataBar" priority="900">
      <dataBar>
        <cfvo type="min"/>
        <cfvo type="max"/>
        <color rgb="FF63C384"/>
      </dataBar>
      <extLst>
        <ext xmlns:x14="http://schemas.microsoft.com/office/spreadsheetml/2009/9/main" uri="{B025F937-C7B1-47D3-B67F-A62EFF666E3E}">
          <x14:id>{DCB26B35-C360-4683-9B20-0FB7191462D7}</x14:id>
        </ext>
      </extLst>
    </cfRule>
  </conditionalFormatting>
  <conditionalFormatting sqref="Z961">
    <cfRule type="dataBar" priority="899">
      <dataBar>
        <cfvo type="min"/>
        <cfvo type="max"/>
        <color rgb="FF63C384"/>
      </dataBar>
      <extLst>
        <ext xmlns:x14="http://schemas.microsoft.com/office/spreadsheetml/2009/9/main" uri="{B025F937-C7B1-47D3-B67F-A62EFF666E3E}">
          <x14:id>{753ADBC6-C94C-40BE-95DD-38AD806CAE24}</x14:id>
        </ext>
      </extLst>
    </cfRule>
  </conditionalFormatting>
  <conditionalFormatting sqref="T962">
    <cfRule type="expression" dxfId="7084" priority="898">
      <formula>AND(AND($W962&lt;TODAY(),$W962&lt;&gt;""),$X962="")</formula>
    </cfRule>
  </conditionalFormatting>
  <conditionalFormatting sqref="C962">
    <cfRule type="containsText" dxfId="7083" priority="896" operator="containsText" text="Einnahmen">
      <formula>NOT(ISERROR(SEARCH("Einnahmen",C962)))</formula>
    </cfRule>
    <cfRule type="containsText" dxfId="7082" priority="897" operator="containsText" text="Ausgaben">
      <formula>NOT(ISERROR(SEARCH("Ausgaben",C962)))</formula>
    </cfRule>
  </conditionalFormatting>
  <conditionalFormatting sqref="C962">
    <cfRule type="containsText" dxfId="7081" priority="894" operator="containsText" text="Einnahmen">
      <formula>NOT(ISERROR(SEARCH("Einnahmen",C962)))</formula>
    </cfRule>
    <cfRule type="containsText" dxfId="7080" priority="895" operator="containsText" text="Ausgaben">
      <formula>NOT(ISERROR(SEARCH("Ausgaben",C962)))</formula>
    </cfRule>
  </conditionalFormatting>
  <conditionalFormatting sqref="J962">
    <cfRule type="cellIs" dxfId="7079" priority="893" operator="equal">
      <formula>"ja"</formula>
    </cfRule>
  </conditionalFormatting>
  <conditionalFormatting sqref="Z962">
    <cfRule type="dataBar" priority="892">
      <dataBar>
        <cfvo type="min"/>
        <cfvo type="max"/>
        <color rgb="FF63C384"/>
      </dataBar>
      <extLst>
        <ext xmlns:x14="http://schemas.microsoft.com/office/spreadsheetml/2009/9/main" uri="{B025F937-C7B1-47D3-B67F-A62EFF666E3E}">
          <x14:id>{40282682-C2C9-46C3-BF14-5098B35991BC}</x14:id>
        </ext>
      </extLst>
    </cfRule>
  </conditionalFormatting>
  <conditionalFormatting sqref="J962">
    <cfRule type="cellIs" dxfId="7078" priority="891" operator="equal">
      <formula>"ja"</formula>
    </cfRule>
  </conditionalFormatting>
  <conditionalFormatting sqref="T963">
    <cfRule type="expression" dxfId="7077" priority="890">
      <formula>AND(AND($W963&lt;TODAY(),$W963&lt;&gt;""),$X963="")</formula>
    </cfRule>
  </conditionalFormatting>
  <conditionalFormatting sqref="J963">
    <cfRule type="cellIs" dxfId="7076" priority="889" operator="equal">
      <formula>"ja"</formula>
    </cfRule>
  </conditionalFormatting>
  <conditionalFormatting sqref="Z963">
    <cfRule type="dataBar" priority="888">
      <dataBar>
        <cfvo type="min"/>
        <cfvo type="max"/>
        <color rgb="FF63C384"/>
      </dataBar>
      <extLst>
        <ext xmlns:x14="http://schemas.microsoft.com/office/spreadsheetml/2009/9/main" uri="{B025F937-C7B1-47D3-B67F-A62EFF666E3E}">
          <x14:id>{5BC3E014-FB9E-40F1-9465-50E153F3A234}</x14:id>
        </ext>
      </extLst>
    </cfRule>
  </conditionalFormatting>
  <conditionalFormatting sqref="J963">
    <cfRule type="cellIs" dxfId="7075" priority="887" operator="equal">
      <formula>"ja"</formula>
    </cfRule>
  </conditionalFormatting>
  <conditionalFormatting sqref="J963">
    <cfRule type="cellIs" dxfId="7074" priority="886" operator="equal">
      <formula>"ja"</formula>
    </cfRule>
  </conditionalFormatting>
  <conditionalFormatting sqref="C963">
    <cfRule type="containsText" dxfId="7073" priority="884" operator="containsText" text="Einnahmen">
      <formula>NOT(ISERROR(SEARCH("Einnahmen",C963)))</formula>
    </cfRule>
    <cfRule type="containsText" dxfId="7072" priority="885" operator="containsText" text="Ausgaben">
      <formula>NOT(ISERROR(SEARCH("Ausgaben",C963)))</formula>
    </cfRule>
  </conditionalFormatting>
  <conditionalFormatting sqref="C963">
    <cfRule type="containsText" dxfId="7071" priority="882" operator="containsText" text="Einnahmen">
      <formula>NOT(ISERROR(SEARCH("Einnahmen",C963)))</formula>
    </cfRule>
    <cfRule type="containsText" dxfId="7070" priority="883" operator="containsText" text="Ausgaben">
      <formula>NOT(ISERROR(SEARCH("Ausgaben",C963)))</formula>
    </cfRule>
  </conditionalFormatting>
  <conditionalFormatting sqref="T964">
    <cfRule type="expression" dxfId="7069" priority="881">
      <formula>AND(AND($W964&lt;TODAY(),$W964&lt;&gt;""),$X964="")</formula>
    </cfRule>
  </conditionalFormatting>
  <conditionalFormatting sqref="J964">
    <cfRule type="cellIs" dxfId="7068" priority="880" operator="equal">
      <formula>"ja"</formula>
    </cfRule>
  </conditionalFormatting>
  <conditionalFormatting sqref="Z964">
    <cfRule type="dataBar" priority="879">
      <dataBar>
        <cfvo type="min"/>
        <cfvo type="max"/>
        <color rgb="FF63C384"/>
      </dataBar>
      <extLst>
        <ext xmlns:x14="http://schemas.microsoft.com/office/spreadsheetml/2009/9/main" uri="{B025F937-C7B1-47D3-B67F-A62EFF666E3E}">
          <x14:id>{4D43D7B2-1E59-4565-B9D4-371697A41055}</x14:id>
        </ext>
      </extLst>
    </cfRule>
  </conditionalFormatting>
  <conditionalFormatting sqref="Z964">
    <cfRule type="dataBar" priority="878">
      <dataBar>
        <cfvo type="min"/>
        <cfvo type="max"/>
        <color rgb="FF63C384"/>
      </dataBar>
      <extLst>
        <ext xmlns:x14="http://schemas.microsoft.com/office/spreadsheetml/2009/9/main" uri="{B025F937-C7B1-47D3-B67F-A62EFF666E3E}">
          <x14:id>{4B95EEB0-8E4A-46CE-8E7F-3D2FDDCFDA85}</x14:id>
        </ext>
      </extLst>
    </cfRule>
  </conditionalFormatting>
  <conditionalFormatting sqref="Z964">
    <cfRule type="dataBar" priority="877">
      <dataBar>
        <cfvo type="min"/>
        <cfvo type="max"/>
        <color rgb="FF63C384"/>
      </dataBar>
      <extLst>
        <ext xmlns:x14="http://schemas.microsoft.com/office/spreadsheetml/2009/9/main" uri="{B025F937-C7B1-47D3-B67F-A62EFF666E3E}">
          <x14:id>{A487B81E-6145-42DC-90D9-0D9297645D49}</x14:id>
        </ext>
      </extLst>
    </cfRule>
  </conditionalFormatting>
  <conditionalFormatting sqref="Z964">
    <cfRule type="dataBar" priority="876">
      <dataBar>
        <cfvo type="min"/>
        <cfvo type="max"/>
        <color rgb="FF63C384"/>
      </dataBar>
      <extLst>
        <ext xmlns:x14="http://schemas.microsoft.com/office/spreadsheetml/2009/9/main" uri="{B025F937-C7B1-47D3-B67F-A62EFF666E3E}">
          <x14:id>{95E26076-EC86-443B-8F68-EBD5E74DD69A}</x14:id>
        </ext>
      </extLst>
    </cfRule>
  </conditionalFormatting>
  <conditionalFormatting sqref="J964">
    <cfRule type="cellIs" dxfId="7067" priority="875" operator="equal">
      <formula>"ja"</formula>
    </cfRule>
  </conditionalFormatting>
  <conditionalFormatting sqref="C964">
    <cfRule type="containsText" dxfId="7066" priority="873" operator="containsText" text="Einnahmen">
      <formula>NOT(ISERROR(SEARCH("Einnahmen",C964)))</formula>
    </cfRule>
    <cfRule type="containsText" dxfId="7065" priority="874" operator="containsText" text="Ausgaben">
      <formula>NOT(ISERROR(SEARCH("Ausgaben",C964)))</formula>
    </cfRule>
  </conditionalFormatting>
  <conditionalFormatting sqref="T965">
    <cfRule type="expression" dxfId="7064" priority="872">
      <formula>AND(AND($W965&lt;TODAY(),$W965&lt;&gt;""),$X965="")</formula>
    </cfRule>
  </conditionalFormatting>
  <conditionalFormatting sqref="C965">
    <cfRule type="containsText" dxfId="7063" priority="870" operator="containsText" text="Einnahmen">
      <formula>NOT(ISERROR(SEARCH("Einnahmen",C965)))</formula>
    </cfRule>
    <cfRule type="containsText" dxfId="7062" priority="871" operator="containsText" text="Ausgaben">
      <formula>NOT(ISERROR(SEARCH("Ausgaben",C965)))</formula>
    </cfRule>
  </conditionalFormatting>
  <conditionalFormatting sqref="Z965">
    <cfRule type="dataBar" priority="869">
      <dataBar>
        <cfvo type="min"/>
        <cfvo type="max"/>
        <color rgb="FF63C384"/>
      </dataBar>
      <extLst>
        <ext xmlns:x14="http://schemas.microsoft.com/office/spreadsheetml/2009/9/main" uri="{B025F937-C7B1-47D3-B67F-A62EFF666E3E}">
          <x14:id>{96D2EC01-51E0-4D5A-A069-781E58D032E5}</x14:id>
        </ext>
      </extLst>
    </cfRule>
  </conditionalFormatting>
  <conditionalFormatting sqref="Z965">
    <cfRule type="dataBar" priority="868">
      <dataBar>
        <cfvo type="min"/>
        <cfvo type="max"/>
        <color rgb="FF63C384"/>
      </dataBar>
      <extLst>
        <ext xmlns:x14="http://schemas.microsoft.com/office/spreadsheetml/2009/9/main" uri="{B025F937-C7B1-47D3-B67F-A62EFF666E3E}">
          <x14:id>{420150F6-3095-4E0F-9143-E824643C1EEB}</x14:id>
        </ext>
      </extLst>
    </cfRule>
  </conditionalFormatting>
  <conditionalFormatting sqref="J965">
    <cfRule type="cellIs" dxfId="7061" priority="867" operator="equal">
      <formula>"ja"</formula>
    </cfRule>
  </conditionalFormatting>
  <conditionalFormatting sqref="J965">
    <cfRule type="cellIs" dxfId="7060" priority="866" operator="equal">
      <formula>"ja"</formula>
    </cfRule>
  </conditionalFormatting>
  <conditionalFormatting sqref="T966">
    <cfRule type="expression" dxfId="7059" priority="865">
      <formula>AND(AND($W966&lt;TODAY(),$W966&lt;&gt;""),$X966="")</formula>
    </cfRule>
  </conditionalFormatting>
  <conditionalFormatting sqref="J966">
    <cfRule type="cellIs" dxfId="7058" priority="864" operator="equal">
      <formula>"ja"</formula>
    </cfRule>
  </conditionalFormatting>
  <conditionalFormatting sqref="C966">
    <cfRule type="containsText" dxfId="7057" priority="862" operator="containsText" text="Einnahmen">
      <formula>NOT(ISERROR(SEARCH("Einnahmen",C966)))</formula>
    </cfRule>
    <cfRule type="containsText" dxfId="7056" priority="863" operator="containsText" text="Ausgaben">
      <formula>NOT(ISERROR(SEARCH("Ausgaben",C966)))</formula>
    </cfRule>
  </conditionalFormatting>
  <conditionalFormatting sqref="Z966">
    <cfRule type="dataBar" priority="861">
      <dataBar>
        <cfvo type="min"/>
        <cfvo type="max"/>
        <color rgb="FF63C384"/>
      </dataBar>
      <extLst>
        <ext xmlns:x14="http://schemas.microsoft.com/office/spreadsheetml/2009/9/main" uri="{B025F937-C7B1-47D3-B67F-A62EFF666E3E}">
          <x14:id>{19D08223-B891-4588-A5F0-DDD1B2D9B30D}</x14:id>
        </ext>
      </extLst>
    </cfRule>
  </conditionalFormatting>
  <conditionalFormatting sqref="Z966">
    <cfRule type="dataBar" priority="860">
      <dataBar>
        <cfvo type="min"/>
        <cfvo type="max"/>
        <color rgb="FF63C384"/>
      </dataBar>
      <extLst>
        <ext xmlns:x14="http://schemas.microsoft.com/office/spreadsheetml/2009/9/main" uri="{B025F937-C7B1-47D3-B67F-A62EFF666E3E}">
          <x14:id>{062BCB77-B59E-4A4E-96E5-D0566E7243D0}</x14:id>
        </ext>
      </extLst>
    </cfRule>
  </conditionalFormatting>
  <conditionalFormatting sqref="T967">
    <cfRule type="expression" dxfId="7055" priority="859">
      <formula>AND(AND($W967&lt;TODAY(),$W967&lt;&gt;""),$X967="")</formula>
    </cfRule>
  </conditionalFormatting>
  <conditionalFormatting sqref="Z967">
    <cfRule type="dataBar" priority="858">
      <dataBar>
        <cfvo type="min"/>
        <cfvo type="max"/>
        <color rgb="FF63C384"/>
      </dataBar>
      <extLst>
        <ext xmlns:x14="http://schemas.microsoft.com/office/spreadsheetml/2009/9/main" uri="{B025F937-C7B1-47D3-B67F-A62EFF666E3E}">
          <x14:id>{B0C9D882-7CB5-406A-85BC-D911EA56F83C}</x14:id>
        </ext>
      </extLst>
    </cfRule>
  </conditionalFormatting>
  <conditionalFormatting sqref="Z967">
    <cfRule type="dataBar" priority="857">
      <dataBar>
        <cfvo type="min"/>
        <cfvo type="max"/>
        <color rgb="FF63C384"/>
      </dataBar>
      <extLst>
        <ext xmlns:x14="http://schemas.microsoft.com/office/spreadsheetml/2009/9/main" uri="{B025F937-C7B1-47D3-B67F-A62EFF666E3E}">
          <x14:id>{EC49831D-8574-4FD6-AFB5-F6DBB8B6C4AF}</x14:id>
        </ext>
      </extLst>
    </cfRule>
  </conditionalFormatting>
  <conditionalFormatting sqref="J967">
    <cfRule type="cellIs" dxfId="7054" priority="856" operator="equal">
      <formula>"ja"</formula>
    </cfRule>
  </conditionalFormatting>
  <conditionalFormatting sqref="C967">
    <cfRule type="containsText" dxfId="7053" priority="854" operator="containsText" text="Einnahmen">
      <formula>NOT(ISERROR(SEARCH("Einnahmen",C967)))</formula>
    </cfRule>
    <cfRule type="containsText" dxfId="7052" priority="855" operator="containsText" text="Ausgaben">
      <formula>NOT(ISERROR(SEARCH("Ausgaben",C967)))</formula>
    </cfRule>
  </conditionalFormatting>
  <conditionalFormatting sqref="T968">
    <cfRule type="expression" dxfId="7051" priority="853">
      <formula>AND(AND($W968&lt;TODAY(),$W968&lt;&gt;""),$X968="")</formula>
    </cfRule>
  </conditionalFormatting>
  <conditionalFormatting sqref="C968">
    <cfRule type="containsText" dxfId="7050" priority="851" operator="containsText" text="Einnahmen">
      <formula>NOT(ISERROR(SEARCH("Einnahmen",C968)))</formula>
    </cfRule>
    <cfRule type="containsText" dxfId="7049" priority="852" operator="containsText" text="Ausgaben">
      <formula>NOT(ISERROR(SEARCH("Ausgaben",C968)))</formula>
    </cfRule>
  </conditionalFormatting>
  <conditionalFormatting sqref="J968">
    <cfRule type="cellIs" dxfId="7048" priority="850" operator="equal">
      <formula>"ja"</formula>
    </cfRule>
  </conditionalFormatting>
  <conditionalFormatting sqref="Z968">
    <cfRule type="dataBar" priority="849">
      <dataBar>
        <cfvo type="min"/>
        <cfvo type="max"/>
        <color rgb="FF63C384"/>
      </dataBar>
      <extLst>
        <ext xmlns:x14="http://schemas.microsoft.com/office/spreadsheetml/2009/9/main" uri="{B025F937-C7B1-47D3-B67F-A62EFF666E3E}">
          <x14:id>{EE61FFEF-8A93-4368-A752-A379E70041B3}</x14:id>
        </ext>
      </extLst>
    </cfRule>
  </conditionalFormatting>
  <conditionalFormatting sqref="Z968">
    <cfRule type="dataBar" priority="848">
      <dataBar>
        <cfvo type="min"/>
        <cfvo type="max"/>
        <color rgb="FF63C384"/>
      </dataBar>
      <extLst>
        <ext xmlns:x14="http://schemas.microsoft.com/office/spreadsheetml/2009/9/main" uri="{B025F937-C7B1-47D3-B67F-A62EFF666E3E}">
          <x14:id>{69EEA20E-2DCF-4245-B72C-EB44E4134B42}</x14:id>
        </ext>
      </extLst>
    </cfRule>
  </conditionalFormatting>
  <conditionalFormatting sqref="T969">
    <cfRule type="expression" dxfId="7047" priority="847">
      <formula>AND(AND($W969&lt;TODAY(),$W969&lt;&gt;""),$X969="")</formula>
    </cfRule>
  </conditionalFormatting>
  <conditionalFormatting sqref="J969">
    <cfRule type="cellIs" dxfId="7046" priority="846" operator="equal">
      <formula>"ja"</formula>
    </cfRule>
  </conditionalFormatting>
  <conditionalFormatting sqref="Z969">
    <cfRule type="dataBar" priority="845">
      <dataBar>
        <cfvo type="min"/>
        <cfvo type="max"/>
        <color rgb="FF63C384"/>
      </dataBar>
      <extLst>
        <ext xmlns:x14="http://schemas.microsoft.com/office/spreadsheetml/2009/9/main" uri="{B025F937-C7B1-47D3-B67F-A62EFF666E3E}">
          <x14:id>{DDF5B26B-3C3A-4386-AF19-E0D8EAB22977}</x14:id>
        </ext>
      </extLst>
    </cfRule>
  </conditionalFormatting>
  <conditionalFormatting sqref="J969">
    <cfRule type="cellIs" dxfId="7045" priority="844" operator="equal">
      <formula>"ja"</formula>
    </cfRule>
  </conditionalFormatting>
  <conditionalFormatting sqref="T970">
    <cfRule type="expression" dxfId="7044" priority="843">
      <formula>AND(AND($W970&lt;TODAY(),$W970&lt;&gt;""),$X970="")</formula>
    </cfRule>
  </conditionalFormatting>
  <conditionalFormatting sqref="C970">
    <cfRule type="containsText" dxfId="7043" priority="841" operator="containsText" text="Einnahmen">
      <formula>NOT(ISERROR(SEARCH("Einnahmen",C970)))</formula>
    </cfRule>
    <cfRule type="containsText" dxfId="7042" priority="842" operator="containsText" text="Ausgaben">
      <formula>NOT(ISERROR(SEARCH("Ausgaben",C970)))</formula>
    </cfRule>
  </conditionalFormatting>
  <conditionalFormatting sqref="J970">
    <cfRule type="cellIs" dxfId="7041" priority="840" operator="equal">
      <formula>"ja"</formula>
    </cfRule>
  </conditionalFormatting>
  <conditionalFormatting sqref="J970">
    <cfRule type="cellIs" dxfId="7040" priority="831" operator="equal">
      <formula>"ja"</formula>
    </cfRule>
  </conditionalFormatting>
  <conditionalFormatting sqref="Z970">
    <cfRule type="dataBar" priority="839">
      <dataBar>
        <cfvo type="min"/>
        <cfvo type="max"/>
        <color rgb="FF63C384"/>
      </dataBar>
      <extLst>
        <ext xmlns:x14="http://schemas.microsoft.com/office/spreadsheetml/2009/9/main" uri="{B025F937-C7B1-47D3-B67F-A62EFF666E3E}">
          <x14:id>{9C2BAE00-60F5-4FE7-9975-6FE53222629F}</x14:id>
        </ext>
      </extLst>
    </cfRule>
  </conditionalFormatting>
  <conditionalFormatting sqref="Z970">
    <cfRule type="dataBar" priority="838">
      <dataBar>
        <cfvo type="min"/>
        <cfvo type="max"/>
        <color rgb="FF63C384"/>
      </dataBar>
      <extLst>
        <ext xmlns:x14="http://schemas.microsoft.com/office/spreadsheetml/2009/9/main" uri="{B025F937-C7B1-47D3-B67F-A62EFF666E3E}">
          <x14:id>{55184AFD-55A2-453E-8B5C-4A467BFA583E}</x14:id>
        </ext>
      </extLst>
    </cfRule>
  </conditionalFormatting>
  <conditionalFormatting sqref="J970">
    <cfRule type="cellIs" dxfId="7039" priority="837" operator="equal">
      <formula>"ja"</formula>
    </cfRule>
  </conditionalFormatting>
  <conditionalFormatting sqref="Z970">
    <cfRule type="dataBar" priority="836">
      <dataBar>
        <cfvo type="min"/>
        <cfvo type="max"/>
        <color rgb="FF63C384"/>
      </dataBar>
      <extLst>
        <ext xmlns:x14="http://schemas.microsoft.com/office/spreadsheetml/2009/9/main" uri="{B025F937-C7B1-47D3-B67F-A62EFF666E3E}">
          <x14:id>{78753292-CA5C-4CDB-ACA4-3BE19336A138}</x14:id>
        </ext>
      </extLst>
    </cfRule>
  </conditionalFormatting>
  <conditionalFormatting sqref="Z970">
    <cfRule type="dataBar" priority="835">
      <dataBar>
        <cfvo type="min"/>
        <cfvo type="max"/>
        <color rgb="FF63C384"/>
      </dataBar>
      <extLst>
        <ext xmlns:x14="http://schemas.microsoft.com/office/spreadsheetml/2009/9/main" uri="{B025F937-C7B1-47D3-B67F-A62EFF666E3E}">
          <x14:id>{123115FB-FC83-4947-AAA2-D3161DF06191}</x14:id>
        </ext>
      </extLst>
    </cfRule>
  </conditionalFormatting>
  <conditionalFormatting sqref="J970">
    <cfRule type="cellIs" dxfId="7038" priority="834" operator="equal">
      <formula>"ja"</formula>
    </cfRule>
  </conditionalFormatting>
  <conditionalFormatting sqref="Z970">
    <cfRule type="dataBar" priority="833">
      <dataBar>
        <cfvo type="min"/>
        <cfvo type="max"/>
        <color rgb="FF63C384"/>
      </dataBar>
      <extLst>
        <ext xmlns:x14="http://schemas.microsoft.com/office/spreadsheetml/2009/9/main" uri="{B025F937-C7B1-47D3-B67F-A62EFF666E3E}">
          <x14:id>{F649EC16-C671-4E75-A92A-DB9B6385850B}</x14:id>
        </ext>
      </extLst>
    </cfRule>
  </conditionalFormatting>
  <conditionalFormatting sqref="Z970">
    <cfRule type="dataBar" priority="832">
      <dataBar>
        <cfvo type="min"/>
        <cfvo type="max"/>
        <color rgb="FF63C384"/>
      </dataBar>
      <extLst>
        <ext xmlns:x14="http://schemas.microsoft.com/office/spreadsheetml/2009/9/main" uri="{B025F937-C7B1-47D3-B67F-A62EFF666E3E}">
          <x14:id>{2E7D82B2-8627-4D3D-B422-8B6F09B3FAB8}</x14:id>
        </ext>
      </extLst>
    </cfRule>
  </conditionalFormatting>
  <conditionalFormatting sqref="Z970">
    <cfRule type="dataBar" priority="830">
      <dataBar>
        <cfvo type="min"/>
        <cfvo type="max"/>
        <color rgb="FF63C384"/>
      </dataBar>
      <extLst>
        <ext xmlns:x14="http://schemas.microsoft.com/office/spreadsheetml/2009/9/main" uri="{B025F937-C7B1-47D3-B67F-A62EFF666E3E}">
          <x14:id>{9D19DEC2-1E4E-4509-A6F4-EF91DB4B01FC}</x14:id>
        </ext>
      </extLst>
    </cfRule>
  </conditionalFormatting>
  <conditionalFormatting sqref="Z970">
    <cfRule type="dataBar" priority="829">
      <dataBar>
        <cfvo type="min"/>
        <cfvo type="max"/>
        <color rgb="FF63C384"/>
      </dataBar>
      <extLst>
        <ext xmlns:x14="http://schemas.microsoft.com/office/spreadsheetml/2009/9/main" uri="{B025F937-C7B1-47D3-B67F-A62EFF666E3E}">
          <x14:id>{B701F18A-1357-4FC4-8781-100DDB0B9C92}</x14:id>
        </ext>
      </extLst>
    </cfRule>
  </conditionalFormatting>
  <conditionalFormatting sqref="C970">
    <cfRule type="containsText" dxfId="7037" priority="827" operator="containsText" text="Einnahmen">
      <formula>NOT(ISERROR(SEARCH("Einnahmen",C970)))</formula>
    </cfRule>
    <cfRule type="containsText" dxfId="7036" priority="828" operator="containsText" text="Ausgaben">
      <formula>NOT(ISERROR(SEARCH("Ausgaben",C970)))</formula>
    </cfRule>
  </conditionalFormatting>
  <conditionalFormatting sqref="C970">
    <cfRule type="containsText" dxfId="7035" priority="825" operator="containsText" text="Einnahmen">
      <formula>NOT(ISERROR(SEARCH("Einnahmen",C970)))</formula>
    </cfRule>
    <cfRule type="containsText" dxfId="7034" priority="826" operator="containsText" text="Ausgaben">
      <formula>NOT(ISERROR(SEARCH("Ausgaben",C970)))</formula>
    </cfRule>
  </conditionalFormatting>
  <conditionalFormatting sqref="J970">
    <cfRule type="cellIs" dxfId="7033" priority="824" operator="equal">
      <formula>"ja"</formula>
    </cfRule>
  </conditionalFormatting>
  <conditionalFormatting sqref="J970">
    <cfRule type="cellIs" dxfId="7032" priority="823" operator="equal">
      <formula>"ja"</formula>
    </cfRule>
  </conditionalFormatting>
  <conditionalFormatting sqref="T971">
    <cfRule type="expression" dxfId="7031" priority="822">
      <formula>AND(AND($W971&lt;TODAY(),$W971&lt;&gt;""),$X971="")</formula>
    </cfRule>
  </conditionalFormatting>
  <conditionalFormatting sqref="Z971">
    <cfRule type="dataBar" priority="821">
      <dataBar>
        <cfvo type="min"/>
        <cfvo type="max"/>
        <color rgb="FF63C384"/>
      </dataBar>
      <extLst>
        <ext xmlns:x14="http://schemas.microsoft.com/office/spreadsheetml/2009/9/main" uri="{B025F937-C7B1-47D3-B67F-A62EFF666E3E}">
          <x14:id>{8E85BCAE-33F5-4FB8-83C2-0CD80FB5ECFC}</x14:id>
        </ext>
      </extLst>
    </cfRule>
  </conditionalFormatting>
  <conditionalFormatting sqref="Z971">
    <cfRule type="dataBar" priority="820">
      <dataBar>
        <cfvo type="min"/>
        <cfvo type="max"/>
        <color rgb="FF63C384"/>
      </dataBar>
      <extLst>
        <ext xmlns:x14="http://schemas.microsoft.com/office/spreadsheetml/2009/9/main" uri="{B025F937-C7B1-47D3-B67F-A62EFF666E3E}">
          <x14:id>{8AC57708-A632-4285-9EF0-0206C03BF53C}</x14:id>
        </ext>
      </extLst>
    </cfRule>
  </conditionalFormatting>
  <conditionalFormatting sqref="C971">
    <cfRule type="containsText" dxfId="7030" priority="818" operator="containsText" text="Einnahmen">
      <formula>NOT(ISERROR(SEARCH("Einnahmen",C971)))</formula>
    </cfRule>
    <cfRule type="containsText" dxfId="7029" priority="819" operator="containsText" text="Ausgaben">
      <formula>NOT(ISERROR(SEARCH("Ausgaben",C971)))</formula>
    </cfRule>
  </conditionalFormatting>
  <conditionalFormatting sqref="C971">
    <cfRule type="containsText" dxfId="7028" priority="816" operator="containsText" text="Einnahmen">
      <formula>NOT(ISERROR(SEARCH("Einnahmen",C971)))</formula>
    </cfRule>
    <cfRule type="containsText" dxfId="7027" priority="817" operator="containsText" text="Ausgaben">
      <formula>NOT(ISERROR(SEARCH("Ausgaben",C971)))</formula>
    </cfRule>
  </conditionalFormatting>
  <conditionalFormatting sqref="T972">
    <cfRule type="expression" dxfId="7026" priority="815">
      <formula>AND(AND($W972&lt;TODAY(),$W972&lt;&gt;""),$X972="")</formula>
    </cfRule>
  </conditionalFormatting>
  <conditionalFormatting sqref="C972">
    <cfRule type="containsText" dxfId="7025" priority="813" operator="containsText" text="Einnahmen">
      <formula>NOT(ISERROR(SEARCH("Einnahmen",C972)))</formula>
    </cfRule>
    <cfRule type="containsText" dxfId="7024" priority="814" operator="containsText" text="Ausgaben">
      <formula>NOT(ISERROR(SEARCH("Ausgaben",C972)))</formula>
    </cfRule>
  </conditionalFormatting>
  <conditionalFormatting sqref="C972">
    <cfRule type="containsText" dxfId="7023" priority="811" operator="containsText" text="Einnahmen">
      <formula>NOT(ISERROR(SEARCH("Einnahmen",C972)))</formula>
    </cfRule>
    <cfRule type="containsText" dxfId="7022" priority="812" operator="containsText" text="Ausgaben">
      <formula>NOT(ISERROR(SEARCH("Ausgaben",C972)))</formula>
    </cfRule>
  </conditionalFormatting>
  <conditionalFormatting sqref="J972">
    <cfRule type="cellIs" dxfId="7021" priority="810" operator="equal">
      <formula>"ja"</formula>
    </cfRule>
  </conditionalFormatting>
  <conditionalFormatting sqref="Z972">
    <cfRule type="dataBar" priority="809">
      <dataBar>
        <cfvo type="min"/>
        <cfvo type="max"/>
        <color rgb="FF63C384"/>
      </dataBar>
      <extLst>
        <ext xmlns:x14="http://schemas.microsoft.com/office/spreadsheetml/2009/9/main" uri="{B025F937-C7B1-47D3-B67F-A62EFF666E3E}">
          <x14:id>{22CD3B70-B202-46B5-8B6D-57E6BAA16080}</x14:id>
        </ext>
      </extLst>
    </cfRule>
  </conditionalFormatting>
  <conditionalFormatting sqref="J972">
    <cfRule type="cellIs" dxfId="7020" priority="808" operator="equal">
      <formula>"ja"</formula>
    </cfRule>
  </conditionalFormatting>
  <conditionalFormatting sqref="T973">
    <cfRule type="expression" dxfId="7019" priority="807">
      <formula>AND(AND($W973&lt;TODAY(),$W973&lt;&gt;""),$X973="")</formula>
    </cfRule>
  </conditionalFormatting>
  <conditionalFormatting sqref="Z973">
    <cfRule type="dataBar" priority="806">
      <dataBar>
        <cfvo type="min"/>
        <cfvo type="max"/>
        <color rgb="FF63C384"/>
      </dataBar>
      <extLst>
        <ext xmlns:x14="http://schemas.microsoft.com/office/spreadsheetml/2009/9/main" uri="{B025F937-C7B1-47D3-B67F-A62EFF666E3E}">
          <x14:id>{64CD59EB-5FF0-4DB1-8345-5FEE636DDDF9}</x14:id>
        </ext>
      </extLst>
    </cfRule>
  </conditionalFormatting>
  <conditionalFormatting sqref="Z973">
    <cfRule type="dataBar" priority="805">
      <dataBar>
        <cfvo type="min"/>
        <cfvo type="max"/>
        <color rgb="FF63C384"/>
      </dataBar>
      <extLst>
        <ext xmlns:x14="http://schemas.microsoft.com/office/spreadsheetml/2009/9/main" uri="{B025F937-C7B1-47D3-B67F-A62EFF666E3E}">
          <x14:id>{68631C47-A143-4175-BF52-EA57929DE0E7}</x14:id>
        </ext>
      </extLst>
    </cfRule>
  </conditionalFormatting>
  <conditionalFormatting sqref="C973">
    <cfRule type="containsText" dxfId="7018" priority="803" operator="containsText" text="Einnahmen">
      <formula>NOT(ISERROR(SEARCH("Einnahmen",C973)))</formula>
    </cfRule>
    <cfRule type="containsText" dxfId="7017" priority="804" operator="containsText" text="Ausgaben">
      <formula>NOT(ISERROR(SEARCH("Ausgaben",C973)))</formula>
    </cfRule>
  </conditionalFormatting>
  <conditionalFormatting sqref="C973">
    <cfRule type="containsText" dxfId="7016" priority="801" operator="containsText" text="Einnahmen">
      <formula>NOT(ISERROR(SEARCH("Einnahmen",C973)))</formula>
    </cfRule>
    <cfRule type="containsText" dxfId="7015" priority="802" operator="containsText" text="Ausgaben">
      <formula>NOT(ISERROR(SEARCH("Ausgaben",C973)))</formula>
    </cfRule>
  </conditionalFormatting>
  <conditionalFormatting sqref="C974">
    <cfRule type="containsText" dxfId="7014" priority="799" operator="containsText" text="Einnahmen">
      <formula>NOT(ISERROR(SEARCH("Einnahmen",C974)))</formula>
    </cfRule>
    <cfRule type="containsText" dxfId="7013" priority="800" operator="containsText" text="Ausgaben">
      <formula>NOT(ISERROR(SEARCH("Ausgaben",C974)))</formula>
    </cfRule>
  </conditionalFormatting>
  <conditionalFormatting sqref="T974">
    <cfRule type="expression" dxfId="7012" priority="798">
      <formula>AND(AND($W974&lt;TODAY(),$W974&lt;&gt;""),$X974="")</formula>
    </cfRule>
  </conditionalFormatting>
  <conditionalFormatting sqref="Z974">
    <cfRule type="dataBar" priority="797">
      <dataBar>
        <cfvo type="min"/>
        <cfvo type="max"/>
        <color rgb="FF63C384"/>
      </dataBar>
      <extLst>
        <ext xmlns:x14="http://schemas.microsoft.com/office/spreadsheetml/2009/9/main" uri="{B025F937-C7B1-47D3-B67F-A62EFF666E3E}">
          <x14:id>{D226C365-9121-4045-97E9-DF791DF57C43}</x14:id>
        </ext>
      </extLst>
    </cfRule>
  </conditionalFormatting>
  <conditionalFormatting sqref="Z974">
    <cfRule type="dataBar" priority="796">
      <dataBar>
        <cfvo type="min"/>
        <cfvo type="max"/>
        <color rgb="FF63C384"/>
      </dataBar>
      <extLst>
        <ext xmlns:x14="http://schemas.microsoft.com/office/spreadsheetml/2009/9/main" uri="{B025F937-C7B1-47D3-B67F-A62EFF666E3E}">
          <x14:id>{1D58BC60-4189-470B-B564-AF7E51691F98}</x14:id>
        </ext>
      </extLst>
    </cfRule>
  </conditionalFormatting>
  <conditionalFormatting sqref="T975">
    <cfRule type="expression" dxfId="7011" priority="795">
      <formula>AND(AND($W975&lt;TODAY(),$W975&lt;&gt;""),$X975="")</formula>
    </cfRule>
  </conditionalFormatting>
  <conditionalFormatting sqref="J975">
    <cfRule type="cellIs" dxfId="7010" priority="794" operator="equal">
      <formula>"ja"</formula>
    </cfRule>
  </conditionalFormatting>
  <conditionalFormatting sqref="C975">
    <cfRule type="containsText" dxfId="7009" priority="792" operator="containsText" text="Einnahmen">
      <formula>NOT(ISERROR(SEARCH("Einnahmen",C975)))</formula>
    </cfRule>
    <cfRule type="containsText" dxfId="7008" priority="793" operator="containsText" text="Ausgaben">
      <formula>NOT(ISERROR(SEARCH("Ausgaben",C975)))</formula>
    </cfRule>
  </conditionalFormatting>
  <conditionalFormatting sqref="Z975">
    <cfRule type="dataBar" priority="791">
      <dataBar>
        <cfvo type="min"/>
        <cfvo type="max"/>
        <color rgb="FF63C384"/>
      </dataBar>
      <extLst>
        <ext xmlns:x14="http://schemas.microsoft.com/office/spreadsheetml/2009/9/main" uri="{B025F937-C7B1-47D3-B67F-A62EFF666E3E}">
          <x14:id>{C873ADA4-FE9B-40B0-8F5B-99125CA25F99}</x14:id>
        </ext>
      </extLst>
    </cfRule>
  </conditionalFormatting>
  <conditionalFormatting sqref="Z975">
    <cfRule type="dataBar" priority="790">
      <dataBar>
        <cfvo type="min"/>
        <cfvo type="max"/>
        <color rgb="FF63C384"/>
      </dataBar>
      <extLst>
        <ext xmlns:x14="http://schemas.microsoft.com/office/spreadsheetml/2009/9/main" uri="{B025F937-C7B1-47D3-B67F-A62EFF666E3E}">
          <x14:id>{80E073A1-F132-4D6B-952B-B075635D9494}</x14:id>
        </ext>
      </extLst>
    </cfRule>
  </conditionalFormatting>
  <conditionalFormatting sqref="T976">
    <cfRule type="expression" dxfId="7007" priority="789">
      <formula>AND(AND($W976&lt;TODAY(),$W976&lt;&gt;""),$X976="")</formula>
    </cfRule>
  </conditionalFormatting>
  <conditionalFormatting sqref="C976">
    <cfRule type="containsText" dxfId="7006" priority="787" operator="containsText" text="Einnahmen">
      <formula>NOT(ISERROR(SEARCH("Einnahmen",C976)))</formula>
    </cfRule>
    <cfRule type="containsText" dxfId="7005" priority="788" operator="containsText" text="Ausgaben">
      <formula>NOT(ISERROR(SEARCH("Ausgaben",C976)))</formula>
    </cfRule>
  </conditionalFormatting>
  <conditionalFormatting sqref="J976">
    <cfRule type="cellIs" dxfId="7004" priority="786" operator="equal">
      <formula>"ja"</formula>
    </cfRule>
  </conditionalFormatting>
  <conditionalFormatting sqref="J976">
    <cfRule type="cellIs" dxfId="7003" priority="785" operator="equal">
      <formula>"ja"</formula>
    </cfRule>
  </conditionalFormatting>
  <conditionalFormatting sqref="C976">
    <cfRule type="containsText" dxfId="7002" priority="783" operator="containsText" text="Einnahmen">
      <formula>NOT(ISERROR(SEARCH("Einnahmen",C976)))</formula>
    </cfRule>
    <cfRule type="containsText" dxfId="7001" priority="784" operator="containsText" text="Ausgaben">
      <formula>NOT(ISERROR(SEARCH("Ausgaben",C976)))</formula>
    </cfRule>
  </conditionalFormatting>
  <conditionalFormatting sqref="J976">
    <cfRule type="cellIs" dxfId="7000" priority="782" operator="equal">
      <formula>"ja"</formula>
    </cfRule>
  </conditionalFormatting>
  <conditionalFormatting sqref="Z976">
    <cfRule type="dataBar" priority="781">
      <dataBar>
        <cfvo type="min"/>
        <cfvo type="max"/>
        <color rgb="FF63C384"/>
      </dataBar>
      <extLst>
        <ext xmlns:x14="http://schemas.microsoft.com/office/spreadsheetml/2009/9/main" uri="{B025F937-C7B1-47D3-B67F-A62EFF666E3E}">
          <x14:id>{56127B1D-7AE4-4559-8956-08CFE269CA63}</x14:id>
        </ext>
      </extLst>
    </cfRule>
  </conditionalFormatting>
  <conditionalFormatting sqref="Z976">
    <cfRule type="dataBar" priority="780">
      <dataBar>
        <cfvo type="min"/>
        <cfvo type="max"/>
        <color rgb="FF63C384"/>
      </dataBar>
      <extLst>
        <ext xmlns:x14="http://schemas.microsoft.com/office/spreadsheetml/2009/9/main" uri="{B025F937-C7B1-47D3-B67F-A62EFF666E3E}">
          <x14:id>{0D1C1A7D-66D0-4EE1-B0FA-733D3B125E67}</x14:id>
        </ext>
      </extLst>
    </cfRule>
  </conditionalFormatting>
  <conditionalFormatting sqref="J976">
    <cfRule type="cellIs" dxfId="6999" priority="779" operator="equal">
      <formula>"ja"</formula>
    </cfRule>
  </conditionalFormatting>
  <conditionalFormatting sqref="Z976">
    <cfRule type="dataBar" priority="778">
      <dataBar>
        <cfvo type="min"/>
        <cfvo type="max"/>
        <color rgb="FF63C384"/>
      </dataBar>
      <extLst>
        <ext xmlns:x14="http://schemas.microsoft.com/office/spreadsheetml/2009/9/main" uri="{B025F937-C7B1-47D3-B67F-A62EFF666E3E}">
          <x14:id>{F957898E-D695-42F7-99CF-41A2BC4BCC2E}</x14:id>
        </ext>
      </extLst>
    </cfRule>
  </conditionalFormatting>
  <conditionalFormatting sqref="Z976">
    <cfRule type="dataBar" priority="777">
      <dataBar>
        <cfvo type="min"/>
        <cfvo type="max"/>
        <color rgb="FF63C384"/>
      </dataBar>
      <extLst>
        <ext xmlns:x14="http://schemas.microsoft.com/office/spreadsheetml/2009/9/main" uri="{B025F937-C7B1-47D3-B67F-A62EFF666E3E}">
          <x14:id>{8277794A-F958-45A6-B2FA-1F0E405D7A44}</x14:id>
        </ext>
      </extLst>
    </cfRule>
  </conditionalFormatting>
  <conditionalFormatting sqref="T977">
    <cfRule type="expression" dxfId="6998" priority="776">
      <formula>AND(AND($W977&lt;TODAY(),$W977&lt;&gt;""),$X977="")</formula>
    </cfRule>
  </conditionalFormatting>
  <conditionalFormatting sqref="C977">
    <cfRule type="containsText" dxfId="6997" priority="774" operator="containsText" text="Einnahmen">
      <formula>NOT(ISERROR(SEARCH("Einnahmen",C977)))</formula>
    </cfRule>
    <cfRule type="containsText" dxfId="6996" priority="775" operator="containsText" text="Ausgaben">
      <formula>NOT(ISERROR(SEARCH("Ausgaben",C977)))</formula>
    </cfRule>
  </conditionalFormatting>
  <conditionalFormatting sqref="J977">
    <cfRule type="cellIs" dxfId="6995" priority="773" operator="equal">
      <formula>"ja"</formula>
    </cfRule>
  </conditionalFormatting>
  <conditionalFormatting sqref="Z977">
    <cfRule type="dataBar" priority="772">
      <dataBar>
        <cfvo type="min"/>
        <cfvo type="max"/>
        <color rgb="FF63C384"/>
      </dataBar>
      <extLst>
        <ext xmlns:x14="http://schemas.microsoft.com/office/spreadsheetml/2009/9/main" uri="{B025F937-C7B1-47D3-B67F-A62EFF666E3E}">
          <x14:id>{5E10C3CC-270C-439E-A19B-B3E924FFE1BC}</x14:id>
        </ext>
      </extLst>
    </cfRule>
  </conditionalFormatting>
  <conditionalFormatting sqref="Z977">
    <cfRule type="dataBar" priority="771">
      <dataBar>
        <cfvo type="min"/>
        <cfvo type="max"/>
        <color rgb="FF63C384"/>
      </dataBar>
      <extLst>
        <ext xmlns:x14="http://schemas.microsoft.com/office/spreadsheetml/2009/9/main" uri="{B025F937-C7B1-47D3-B67F-A62EFF666E3E}">
          <x14:id>{D64F2B71-F23D-4220-BE06-49A820379A18}</x14:id>
        </ext>
      </extLst>
    </cfRule>
  </conditionalFormatting>
  <conditionalFormatting sqref="T978">
    <cfRule type="expression" dxfId="6994" priority="770">
      <formula>AND(AND($W978&lt;TODAY(),$W978&lt;&gt;""),$X978="")</formula>
    </cfRule>
  </conditionalFormatting>
  <conditionalFormatting sqref="C978">
    <cfRule type="containsText" dxfId="6993" priority="768" operator="containsText" text="Einnahmen">
      <formula>NOT(ISERROR(SEARCH("Einnahmen",C978)))</formula>
    </cfRule>
    <cfRule type="containsText" dxfId="6992" priority="769" operator="containsText" text="Ausgaben">
      <formula>NOT(ISERROR(SEARCH("Ausgaben",C978)))</formula>
    </cfRule>
  </conditionalFormatting>
  <conditionalFormatting sqref="Z978">
    <cfRule type="dataBar" priority="767">
      <dataBar>
        <cfvo type="min"/>
        <cfvo type="max"/>
        <color rgb="FF63C384"/>
      </dataBar>
      <extLst>
        <ext xmlns:x14="http://schemas.microsoft.com/office/spreadsheetml/2009/9/main" uri="{B025F937-C7B1-47D3-B67F-A62EFF666E3E}">
          <x14:id>{5B0C97AF-21D1-4225-B161-D3AF33C82441}</x14:id>
        </ext>
      </extLst>
    </cfRule>
  </conditionalFormatting>
  <conditionalFormatting sqref="Z978">
    <cfRule type="dataBar" priority="766">
      <dataBar>
        <cfvo type="min"/>
        <cfvo type="max"/>
        <color rgb="FF63C384"/>
      </dataBar>
      <extLst>
        <ext xmlns:x14="http://schemas.microsoft.com/office/spreadsheetml/2009/9/main" uri="{B025F937-C7B1-47D3-B67F-A62EFF666E3E}">
          <x14:id>{4DA9BBBC-6905-431D-9D61-73CAF3F2218C}</x14:id>
        </ext>
      </extLst>
    </cfRule>
  </conditionalFormatting>
  <conditionalFormatting sqref="J978">
    <cfRule type="cellIs" dxfId="6991" priority="765" operator="equal">
      <formula>"ja"</formula>
    </cfRule>
  </conditionalFormatting>
  <conditionalFormatting sqref="J978">
    <cfRule type="cellIs" dxfId="6990" priority="764" operator="equal">
      <formula>"ja"</formula>
    </cfRule>
  </conditionalFormatting>
  <conditionalFormatting sqref="T979">
    <cfRule type="expression" dxfId="6989" priority="763">
      <formula>AND(AND($W979&lt;TODAY(),$W979&lt;&gt;""),$X979="")</formula>
    </cfRule>
  </conditionalFormatting>
  <conditionalFormatting sqref="C979">
    <cfRule type="containsText" dxfId="6988" priority="761" operator="containsText" text="Einnahmen">
      <formula>NOT(ISERROR(SEARCH("Einnahmen",C979)))</formula>
    </cfRule>
    <cfRule type="containsText" dxfId="6987" priority="762" operator="containsText" text="Ausgaben">
      <formula>NOT(ISERROR(SEARCH("Ausgaben",C979)))</formula>
    </cfRule>
  </conditionalFormatting>
  <conditionalFormatting sqref="Z979">
    <cfRule type="dataBar" priority="760">
      <dataBar>
        <cfvo type="min"/>
        <cfvo type="max"/>
        <color rgb="FF63C384"/>
      </dataBar>
      <extLst>
        <ext xmlns:x14="http://schemas.microsoft.com/office/spreadsheetml/2009/9/main" uri="{B025F937-C7B1-47D3-B67F-A62EFF666E3E}">
          <x14:id>{49A25882-472C-4C95-8993-C6E59D2A28C7}</x14:id>
        </ext>
      </extLst>
    </cfRule>
  </conditionalFormatting>
  <conditionalFormatting sqref="Z979">
    <cfRule type="dataBar" priority="759">
      <dataBar>
        <cfvo type="min"/>
        <cfvo type="max"/>
        <color rgb="FF63C384"/>
      </dataBar>
      <extLst>
        <ext xmlns:x14="http://schemas.microsoft.com/office/spreadsheetml/2009/9/main" uri="{B025F937-C7B1-47D3-B67F-A62EFF666E3E}">
          <x14:id>{ADFE8625-9CDA-41E1-9266-4C36E1BD27D0}</x14:id>
        </ext>
      </extLst>
    </cfRule>
  </conditionalFormatting>
  <conditionalFormatting sqref="Z979">
    <cfRule type="dataBar" priority="758">
      <dataBar>
        <cfvo type="min"/>
        <cfvo type="max"/>
        <color rgb="FF63C384"/>
      </dataBar>
      <extLst>
        <ext xmlns:x14="http://schemas.microsoft.com/office/spreadsheetml/2009/9/main" uri="{B025F937-C7B1-47D3-B67F-A62EFF666E3E}">
          <x14:id>{4DAB0B4C-C521-4919-8774-F82CA4489648}</x14:id>
        </ext>
      </extLst>
    </cfRule>
  </conditionalFormatting>
  <conditionalFormatting sqref="Z979">
    <cfRule type="dataBar" priority="757">
      <dataBar>
        <cfvo type="min"/>
        <cfvo type="max"/>
        <color rgb="FF63C384"/>
      </dataBar>
      <extLst>
        <ext xmlns:x14="http://schemas.microsoft.com/office/spreadsheetml/2009/9/main" uri="{B025F937-C7B1-47D3-B67F-A62EFF666E3E}">
          <x14:id>{040CFA2F-F36D-41D2-AED7-E3F1C400C8F9}</x14:id>
        </ext>
      </extLst>
    </cfRule>
  </conditionalFormatting>
  <conditionalFormatting sqref="T980">
    <cfRule type="expression" dxfId="6986" priority="756">
      <formula>AND(AND($W980&lt;TODAY(),$W980&lt;&gt;""),$X980="")</formula>
    </cfRule>
  </conditionalFormatting>
  <conditionalFormatting sqref="J980">
    <cfRule type="cellIs" dxfId="6985" priority="755" operator="equal">
      <formula>"ja"</formula>
    </cfRule>
  </conditionalFormatting>
  <conditionalFormatting sqref="Z980">
    <cfRule type="dataBar" priority="754">
      <dataBar>
        <cfvo type="min"/>
        <cfvo type="max"/>
        <color rgb="FF63C384"/>
      </dataBar>
      <extLst>
        <ext xmlns:x14="http://schemas.microsoft.com/office/spreadsheetml/2009/9/main" uri="{B025F937-C7B1-47D3-B67F-A62EFF666E3E}">
          <x14:id>{235C29E6-AB01-413A-B08B-EE62C02DC437}</x14:id>
        </ext>
      </extLst>
    </cfRule>
  </conditionalFormatting>
  <conditionalFormatting sqref="J980">
    <cfRule type="cellIs" dxfId="6984" priority="753" operator="equal">
      <formula>"ja"</formula>
    </cfRule>
  </conditionalFormatting>
  <conditionalFormatting sqref="J980">
    <cfRule type="cellIs" dxfId="6983" priority="752" operator="equal">
      <formula>"ja"</formula>
    </cfRule>
  </conditionalFormatting>
  <conditionalFormatting sqref="C980">
    <cfRule type="containsText" dxfId="6982" priority="750" operator="containsText" text="Einnahmen">
      <formula>NOT(ISERROR(SEARCH("Einnahmen",C980)))</formula>
    </cfRule>
    <cfRule type="containsText" dxfId="6981" priority="751" operator="containsText" text="Ausgaben">
      <formula>NOT(ISERROR(SEARCH("Ausgaben",C980)))</formula>
    </cfRule>
  </conditionalFormatting>
  <conditionalFormatting sqref="C980">
    <cfRule type="containsText" dxfId="6980" priority="748" operator="containsText" text="Einnahmen">
      <formula>NOT(ISERROR(SEARCH("Einnahmen",C980)))</formula>
    </cfRule>
    <cfRule type="containsText" dxfId="6979" priority="749" operator="containsText" text="Ausgaben">
      <formula>NOT(ISERROR(SEARCH("Ausgaben",C980)))</formula>
    </cfRule>
  </conditionalFormatting>
  <conditionalFormatting sqref="T981">
    <cfRule type="expression" dxfId="6978" priority="747">
      <formula>AND(AND($W981&lt;TODAY(),$W981&lt;&gt;""),$X981="")</formula>
    </cfRule>
  </conditionalFormatting>
  <conditionalFormatting sqref="J981">
    <cfRule type="cellIs" dxfId="6977" priority="746" operator="equal">
      <formula>"ja"</formula>
    </cfRule>
  </conditionalFormatting>
  <conditionalFormatting sqref="Z981">
    <cfRule type="dataBar" priority="745">
      <dataBar>
        <cfvo type="min"/>
        <cfvo type="max"/>
        <color rgb="FF63C384"/>
      </dataBar>
      <extLst>
        <ext xmlns:x14="http://schemas.microsoft.com/office/spreadsheetml/2009/9/main" uri="{B025F937-C7B1-47D3-B67F-A62EFF666E3E}">
          <x14:id>{C1238E6C-D879-4BBA-B92C-D88C2C8DFD77}</x14:id>
        </ext>
      </extLst>
    </cfRule>
  </conditionalFormatting>
  <conditionalFormatting sqref="Z981">
    <cfRule type="dataBar" priority="744">
      <dataBar>
        <cfvo type="min"/>
        <cfvo type="max"/>
        <color rgb="FF63C384"/>
      </dataBar>
      <extLst>
        <ext xmlns:x14="http://schemas.microsoft.com/office/spreadsheetml/2009/9/main" uri="{B025F937-C7B1-47D3-B67F-A62EFF666E3E}">
          <x14:id>{EA4BDBC1-9762-4746-B2D0-435E2933665E}</x14:id>
        </ext>
      </extLst>
    </cfRule>
  </conditionalFormatting>
  <conditionalFormatting sqref="Z981">
    <cfRule type="dataBar" priority="743">
      <dataBar>
        <cfvo type="min"/>
        <cfvo type="max"/>
        <color rgb="FF63C384"/>
      </dataBar>
      <extLst>
        <ext xmlns:x14="http://schemas.microsoft.com/office/spreadsheetml/2009/9/main" uri="{B025F937-C7B1-47D3-B67F-A62EFF666E3E}">
          <x14:id>{B48BCA1A-A719-4519-ADA4-8AE596D9FD97}</x14:id>
        </ext>
      </extLst>
    </cfRule>
  </conditionalFormatting>
  <conditionalFormatting sqref="Z981">
    <cfRule type="dataBar" priority="742">
      <dataBar>
        <cfvo type="min"/>
        <cfvo type="max"/>
        <color rgb="FF63C384"/>
      </dataBar>
      <extLst>
        <ext xmlns:x14="http://schemas.microsoft.com/office/spreadsheetml/2009/9/main" uri="{B025F937-C7B1-47D3-B67F-A62EFF666E3E}">
          <x14:id>{7F5F8DA8-B74A-402C-BCFD-A978C5D880B8}</x14:id>
        </ext>
      </extLst>
    </cfRule>
  </conditionalFormatting>
  <conditionalFormatting sqref="J981">
    <cfRule type="cellIs" dxfId="6976" priority="741" operator="equal">
      <formula>"ja"</formula>
    </cfRule>
  </conditionalFormatting>
  <conditionalFormatting sqref="C981">
    <cfRule type="containsText" dxfId="6975" priority="739" operator="containsText" text="Einnahmen">
      <formula>NOT(ISERROR(SEARCH("Einnahmen",C981)))</formula>
    </cfRule>
    <cfRule type="containsText" dxfId="6974" priority="740" operator="containsText" text="Ausgaben">
      <formula>NOT(ISERROR(SEARCH("Ausgaben",C981)))</formula>
    </cfRule>
  </conditionalFormatting>
  <conditionalFormatting sqref="C982:C983">
    <cfRule type="containsText" dxfId="6973" priority="734" operator="containsText" text="Einnahmen">
      <formula>NOT(ISERROR(SEARCH("Einnahmen",C982)))</formula>
    </cfRule>
    <cfRule type="containsText" dxfId="6972" priority="735" operator="containsText" text="Ausgaben">
      <formula>NOT(ISERROR(SEARCH("Ausgaben",C982)))</formula>
    </cfRule>
  </conditionalFormatting>
  <conditionalFormatting sqref="C982:C983">
    <cfRule type="containsText" dxfId="6971" priority="732" operator="containsText" text="Einnahmen">
      <formula>NOT(ISERROR(SEARCH("Einnahmen",C982)))</formula>
    </cfRule>
    <cfRule type="containsText" dxfId="6970" priority="733" operator="containsText" text="Ausgaben">
      <formula>NOT(ISERROR(SEARCH("Ausgaben",C982)))</formula>
    </cfRule>
  </conditionalFormatting>
  <conditionalFormatting sqref="T984">
    <cfRule type="expression" dxfId="6969" priority="731">
      <formula>AND(AND($W984&lt;TODAY(),$W984&lt;&gt;""),$X984="")</formula>
    </cfRule>
  </conditionalFormatting>
  <conditionalFormatting sqref="J984">
    <cfRule type="cellIs" dxfId="6968" priority="730" operator="equal">
      <formula>"ja"</formula>
    </cfRule>
  </conditionalFormatting>
  <conditionalFormatting sqref="C984">
    <cfRule type="containsText" dxfId="6967" priority="728" operator="containsText" text="Einnahmen">
      <formula>NOT(ISERROR(SEARCH("Einnahmen",C984)))</formula>
    </cfRule>
    <cfRule type="containsText" dxfId="6966" priority="729" operator="containsText" text="Ausgaben">
      <formula>NOT(ISERROR(SEARCH("Ausgaben",C984)))</formula>
    </cfRule>
  </conditionalFormatting>
  <conditionalFormatting sqref="Z984">
    <cfRule type="dataBar" priority="727">
      <dataBar>
        <cfvo type="min"/>
        <cfvo type="max"/>
        <color rgb="FF63C384"/>
      </dataBar>
      <extLst>
        <ext xmlns:x14="http://schemas.microsoft.com/office/spreadsheetml/2009/9/main" uri="{B025F937-C7B1-47D3-B67F-A62EFF666E3E}">
          <x14:id>{BFDC121E-4DFC-4A25-9339-403F9C21B50D}</x14:id>
        </ext>
      </extLst>
    </cfRule>
  </conditionalFormatting>
  <conditionalFormatting sqref="Z984">
    <cfRule type="dataBar" priority="726">
      <dataBar>
        <cfvo type="min"/>
        <cfvo type="max"/>
        <color rgb="FF63C384"/>
      </dataBar>
      <extLst>
        <ext xmlns:x14="http://schemas.microsoft.com/office/spreadsheetml/2009/9/main" uri="{B025F937-C7B1-47D3-B67F-A62EFF666E3E}">
          <x14:id>{ECD03B8D-CD28-48DF-B0EA-15B006DA77D3}</x14:id>
        </ext>
      </extLst>
    </cfRule>
  </conditionalFormatting>
  <conditionalFormatting sqref="T985">
    <cfRule type="expression" dxfId="6965" priority="719">
      <formula>AND(AND($W985&lt;TODAY(),$W985&lt;&gt;""),$X985="")</formula>
    </cfRule>
  </conditionalFormatting>
  <conditionalFormatting sqref="C985">
    <cfRule type="containsText" dxfId="6964" priority="717" operator="containsText" text="Einnahmen">
      <formula>NOT(ISERROR(SEARCH("Einnahmen",C985)))</formula>
    </cfRule>
    <cfRule type="containsText" dxfId="6963" priority="718" operator="containsText" text="Ausgaben">
      <formula>NOT(ISERROR(SEARCH("Ausgaben",C985)))</formula>
    </cfRule>
  </conditionalFormatting>
  <conditionalFormatting sqref="J985">
    <cfRule type="cellIs" dxfId="6962" priority="716" operator="equal">
      <formula>"ja"</formula>
    </cfRule>
  </conditionalFormatting>
  <conditionalFormatting sqref="Z985">
    <cfRule type="dataBar" priority="715">
      <dataBar>
        <cfvo type="min"/>
        <cfvo type="max"/>
        <color rgb="FF63C384"/>
      </dataBar>
      <extLst>
        <ext xmlns:x14="http://schemas.microsoft.com/office/spreadsheetml/2009/9/main" uri="{B025F937-C7B1-47D3-B67F-A62EFF666E3E}">
          <x14:id>{B840E009-55FF-4AB7-98BE-7C721F3583FF}</x14:id>
        </ext>
      </extLst>
    </cfRule>
  </conditionalFormatting>
  <conditionalFormatting sqref="Z985">
    <cfRule type="dataBar" priority="714">
      <dataBar>
        <cfvo type="min"/>
        <cfvo type="max"/>
        <color rgb="FF63C384"/>
      </dataBar>
      <extLst>
        <ext xmlns:x14="http://schemas.microsoft.com/office/spreadsheetml/2009/9/main" uri="{B025F937-C7B1-47D3-B67F-A62EFF666E3E}">
          <x14:id>{5C2F0CB8-E80E-4ECD-88F1-86C8ACDED908}</x14:id>
        </ext>
      </extLst>
    </cfRule>
  </conditionalFormatting>
  <conditionalFormatting sqref="J986">
    <cfRule type="cellIs" dxfId="6961" priority="713" operator="equal">
      <formula>"ja"</formula>
    </cfRule>
  </conditionalFormatting>
  <conditionalFormatting sqref="T986">
    <cfRule type="expression" dxfId="6960" priority="712">
      <formula>AND(AND($W986&lt;TODAY(),$W986&lt;&gt;""),$X986="")</formula>
    </cfRule>
  </conditionalFormatting>
  <conditionalFormatting sqref="Z986">
    <cfRule type="dataBar" priority="711">
      <dataBar>
        <cfvo type="min"/>
        <cfvo type="max"/>
        <color rgb="FF63C384"/>
      </dataBar>
      <extLst>
        <ext xmlns:x14="http://schemas.microsoft.com/office/spreadsheetml/2009/9/main" uri="{B025F937-C7B1-47D3-B67F-A62EFF666E3E}">
          <x14:id>{D17193EF-6F8B-4F94-AAD4-B26A75F12E7A}</x14:id>
        </ext>
      </extLst>
    </cfRule>
  </conditionalFormatting>
  <conditionalFormatting sqref="Z986">
    <cfRule type="dataBar" priority="710">
      <dataBar>
        <cfvo type="min"/>
        <cfvo type="max"/>
        <color rgb="FF63C384"/>
      </dataBar>
      <extLst>
        <ext xmlns:x14="http://schemas.microsoft.com/office/spreadsheetml/2009/9/main" uri="{B025F937-C7B1-47D3-B67F-A62EFF666E3E}">
          <x14:id>{A15DAD57-D8CF-4D93-9793-FA2E1D69B117}</x14:id>
        </ext>
      </extLst>
    </cfRule>
  </conditionalFormatting>
  <conditionalFormatting sqref="J986">
    <cfRule type="cellIs" dxfId="6959" priority="709" operator="equal">
      <formula>"ja"</formula>
    </cfRule>
  </conditionalFormatting>
  <conditionalFormatting sqref="T986">
    <cfRule type="expression" dxfId="6958" priority="708">
      <formula>AND(AND($W986&lt;TODAY(),$W986&lt;&gt;""),$X986="")</formula>
    </cfRule>
  </conditionalFormatting>
  <conditionalFormatting sqref="Z986">
    <cfRule type="dataBar" priority="707">
      <dataBar>
        <cfvo type="min"/>
        <cfvo type="max"/>
        <color rgb="FF63C384"/>
      </dataBar>
      <extLst>
        <ext xmlns:x14="http://schemas.microsoft.com/office/spreadsheetml/2009/9/main" uri="{B025F937-C7B1-47D3-B67F-A62EFF666E3E}">
          <x14:id>{FE30B574-A4E4-4843-A92B-0A8243C9A070}</x14:id>
        </ext>
      </extLst>
    </cfRule>
  </conditionalFormatting>
  <conditionalFormatting sqref="Z986">
    <cfRule type="dataBar" priority="706">
      <dataBar>
        <cfvo type="min"/>
        <cfvo type="max"/>
        <color rgb="FF63C384"/>
      </dataBar>
      <extLst>
        <ext xmlns:x14="http://schemas.microsoft.com/office/spreadsheetml/2009/9/main" uri="{B025F937-C7B1-47D3-B67F-A62EFF666E3E}">
          <x14:id>{64BBF2AA-AEAF-408A-9AE4-11BC005FE3CF}</x14:id>
        </ext>
      </extLst>
    </cfRule>
  </conditionalFormatting>
  <conditionalFormatting sqref="C986">
    <cfRule type="containsText" dxfId="6957" priority="704" operator="containsText" text="Einnahmen">
      <formula>NOT(ISERROR(SEARCH("Einnahmen",C986)))</formula>
    </cfRule>
    <cfRule type="containsText" dxfId="6956" priority="705" operator="containsText" text="Ausgaben">
      <formula>NOT(ISERROR(SEARCH("Ausgaben",C986)))</formula>
    </cfRule>
  </conditionalFormatting>
  <conditionalFormatting sqref="T987">
    <cfRule type="expression" dxfId="6955" priority="703">
      <formula>AND(AND($W987&lt;TODAY(),$W987&lt;&gt;""),$X987="")</formula>
    </cfRule>
  </conditionalFormatting>
  <conditionalFormatting sqref="Z987">
    <cfRule type="dataBar" priority="702">
      <dataBar>
        <cfvo type="min"/>
        <cfvo type="max"/>
        <color rgb="FF63C384"/>
      </dataBar>
      <extLst>
        <ext xmlns:x14="http://schemas.microsoft.com/office/spreadsheetml/2009/9/main" uri="{B025F937-C7B1-47D3-B67F-A62EFF666E3E}">
          <x14:id>{889D4326-3083-4ED3-A56F-FA8378DBF004}</x14:id>
        </ext>
      </extLst>
    </cfRule>
  </conditionalFormatting>
  <conditionalFormatting sqref="Z987">
    <cfRule type="dataBar" priority="701">
      <dataBar>
        <cfvo type="min"/>
        <cfvo type="max"/>
        <color rgb="FF63C384"/>
      </dataBar>
      <extLst>
        <ext xmlns:x14="http://schemas.microsoft.com/office/spreadsheetml/2009/9/main" uri="{B025F937-C7B1-47D3-B67F-A62EFF666E3E}">
          <x14:id>{D0CC9154-6A98-4A3D-9F0B-8113DA34E0CA}</x14:id>
        </ext>
      </extLst>
    </cfRule>
  </conditionalFormatting>
  <conditionalFormatting sqref="J987">
    <cfRule type="cellIs" dxfId="6954" priority="700" operator="equal">
      <formula>"ja"</formula>
    </cfRule>
  </conditionalFormatting>
  <conditionalFormatting sqref="C987">
    <cfRule type="containsText" dxfId="6953" priority="698" operator="containsText" text="Einnahmen">
      <formula>NOT(ISERROR(SEARCH("Einnahmen",C987)))</formula>
    </cfRule>
    <cfRule type="containsText" dxfId="6952" priority="699" operator="containsText" text="Ausgaben">
      <formula>NOT(ISERROR(SEARCH("Ausgaben",C987)))</formula>
    </cfRule>
  </conditionalFormatting>
  <conditionalFormatting sqref="T988">
    <cfRule type="expression" dxfId="6951" priority="697">
      <formula>AND(AND($W988&lt;TODAY(),$W988&lt;&gt;""),$X988="")</formula>
    </cfRule>
  </conditionalFormatting>
  <conditionalFormatting sqref="J988">
    <cfRule type="cellIs" dxfId="6950" priority="696" operator="equal">
      <formula>"ja"</formula>
    </cfRule>
  </conditionalFormatting>
  <conditionalFormatting sqref="Z988">
    <cfRule type="dataBar" priority="695">
      <dataBar>
        <cfvo type="min"/>
        <cfvo type="max"/>
        <color rgb="FF63C384"/>
      </dataBar>
      <extLst>
        <ext xmlns:x14="http://schemas.microsoft.com/office/spreadsheetml/2009/9/main" uri="{B025F937-C7B1-47D3-B67F-A62EFF666E3E}">
          <x14:id>{6CAE92C1-62D7-4627-9087-A844857E1EEF}</x14:id>
        </ext>
      </extLst>
    </cfRule>
  </conditionalFormatting>
  <conditionalFormatting sqref="J988">
    <cfRule type="cellIs" dxfId="6949" priority="694" operator="equal">
      <formula>"ja"</formula>
    </cfRule>
  </conditionalFormatting>
  <conditionalFormatting sqref="T989">
    <cfRule type="expression" dxfId="6948" priority="693">
      <formula>AND(AND($W989&lt;TODAY(),$W989&lt;&gt;""),$X989="")</formula>
    </cfRule>
  </conditionalFormatting>
  <conditionalFormatting sqref="C989">
    <cfRule type="containsText" dxfId="6947" priority="691" operator="containsText" text="Einnahmen">
      <formula>NOT(ISERROR(SEARCH("Einnahmen",C989)))</formula>
    </cfRule>
    <cfRule type="containsText" dxfId="6946" priority="692" operator="containsText" text="Ausgaben">
      <formula>NOT(ISERROR(SEARCH("Ausgaben",C989)))</formula>
    </cfRule>
  </conditionalFormatting>
  <conditionalFormatting sqref="J989">
    <cfRule type="cellIs" dxfId="6945" priority="690" operator="equal">
      <formula>"ja"</formula>
    </cfRule>
  </conditionalFormatting>
  <conditionalFormatting sqref="J989">
    <cfRule type="cellIs" dxfId="6944" priority="681" operator="equal">
      <formula>"ja"</formula>
    </cfRule>
  </conditionalFormatting>
  <conditionalFormatting sqref="Z989">
    <cfRule type="dataBar" priority="689">
      <dataBar>
        <cfvo type="min"/>
        <cfvo type="max"/>
        <color rgb="FF63C384"/>
      </dataBar>
      <extLst>
        <ext xmlns:x14="http://schemas.microsoft.com/office/spreadsheetml/2009/9/main" uri="{B025F937-C7B1-47D3-B67F-A62EFF666E3E}">
          <x14:id>{3C990AFD-5903-4730-A672-766760091F71}</x14:id>
        </ext>
      </extLst>
    </cfRule>
  </conditionalFormatting>
  <conditionalFormatting sqref="Z989">
    <cfRule type="dataBar" priority="688">
      <dataBar>
        <cfvo type="min"/>
        <cfvo type="max"/>
        <color rgb="FF63C384"/>
      </dataBar>
      <extLst>
        <ext xmlns:x14="http://schemas.microsoft.com/office/spreadsheetml/2009/9/main" uri="{B025F937-C7B1-47D3-B67F-A62EFF666E3E}">
          <x14:id>{6AD6E24B-5019-4113-AFE8-D1BD0B7AB6DC}</x14:id>
        </ext>
      </extLst>
    </cfRule>
  </conditionalFormatting>
  <conditionalFormatting sqref="J989">
    <cfRule type="cellIs" dxfId="6943" priority="687" operator="equal">
      <formula>"ja"</formula>
    </cfRule>
  </conditionalFormatting>
  <conditionalFormatting sqref="Z989">
    <cfRule type="dataBar" priority="686">
      <dataBar>
        <cfvo type="min"/>
        <cfvo type="max"/>
        <color rgb="FF63C384"/>
      </dataBar>
      <extLst>
        <ext xmlns:x14="http://schemas.microsoft.com/office/spreadsheetml/2009/9/main" uri="{B025F937-C7B1-47D3-B67F-A62EFF666E3E}">
          <x14:id>{9EC6CF83-BB23-4BF9-879D-D4C8F151B731}</x14:id>
        </ext>
      </extLst>
    </cfRule>
  </conditionalFormatting>
  <conditionalFormatting sqref="Z989">
    <cfRule type="dataBar" priority="685">
      <dataBar>
        <cfvo type="min"/>
        <cfvo type="max"/>
        <color rgb="FF63C384"/>
      </dataBar>
      <extLst>
        <ext xmlns:x14="http://schemas.microsoft.com/office/spreadsheetml/2009/9/main" uri="{B025F937-C7B1-47D3-B67F-A62EFF666E3E}">
          <x14:id>{176BB28F-EC8C-4D3B-BCD4-519E07C254F7}</x14:id>
        </ext>
      </extLst>
    </cfRule>
  </conditionalFormatting>
  <conditionalFormatting sqref="J989">
    <cfRule type="cellIs" dxfId="6942" priority="684" operator="equal">
      <formula>"ja"</formula>
    </cfRule>
  </conditionalFormatting>
  <conditionalFormatting sqref="Z989">
    <cfRule type="dataBar" priority="683">
      <dataBar>
        <cfvo type="min"/>
        <cfvo type="max"/>
        <color rgb="FF63C384"/>
      </dataBar>
      <extLst>
        <ext xmlns:x14="http://schemas.microsoft.com/office/spreadsheetml/2009/9/main" uri="{B025F937-C7B1-47D3-B67F-A62EFF666E3E}">
          <x14:id>{628D1A17-D701-4025-A0F7-6D813F4C3E99}</x14:id>
        </ext>
      </extLst>
    </cfRule>
  </conditionalFormatting>
  <conditionalFormatting sqref="Z989">
    <cfRule type="dataBar" priority="682">
      <dataBar>
        <cfvo type="min"/>
        <cfvo type="max"/>
        <color rgb="FF63C384"/>
      </dataBar>
      <extLst>
        <ext xmlns:x14="http://schemas.microsoft.com/office/spreadsheetml/2009/9/main" uri="{B025F937-C7B1-47D3-B67F-A62EFF666E3E}">
          <x14:id>{23CEB2E1-EC57-4D11-AA02-D4FF97907EA3}</x14:id>
        </ext>
      </extLst>
    </cfRule>
  </conditionalFormatting>
  <conditionalFormatting sqref="Z989">
    <cfRule type="dataBar" priority="680">
      <dataBar>
        <cfvo type="min"/>
        <cfvo type="max"/>
        <color rgb="FF63C384"/>
      </dataBar>
      <extLst>
        <ext xmlns:x14="http://schemas.microsoft.com/office/spreadsheetml/2009/9/main" uri="{B025F937-C7B1-47D3-B67F-A62EFF666E3E}">
          <x14:id>{59BE923E-46E6-479C-94DF-DEE3617E8E54}</x14:id>
        </ext>
      </extLst>
    </cfRule>
  </conditionalFormatting>
  <conditionalFormatting sqref="Z989">
    <cfRule type="dataBar" priority="679">
      <dataBar>
        <cfvo type="min"/>
        <cfvo type="max"/>
        <color rgb="FF63C384"/>
      </dataBar>
      <extLst>
        <ext xmlns:x14="http://schemas.microsoft.com/office/spreadsheetml/2009/9/main" uri="{B025F937-C7B1-47D3-B67F-A62EFF666E3E}">
          <x14:id>{119BA7F5-0B52-4510-B4CC-0FB1B6356529}</x14:id>
        </ext>
      </extLst>
    </cfRule>
  </conditionalFormatting>
  <conditionalFormatting sqref="C989">
    <cfRule type="containsText" dxfId="6941" priority="677" operator="containsText" text="Einnahmen">
      <formula>NOT(ISERROR(SEARCH("Einnahmen",C989)))</formula>
    </cfRule>
    <cfRule type="containsText" dxfId="6940" priority="678" operator="containsText" text="Ausgaben">
      <formula>NOT(ISERROR(SEARCH("Ausgaben",C989)))</formula>
    </cfRule>
  </conditionalFormatting>
  <conditionalFormatting sqref="C989">
    <cfRule type="containsText" dxfId="6939" priority="675" operator="containsText" text="Einnahmen">
      <formula>NOT(ISERROR(SEARCH("Einnahmen",C989)))</formula>
    </cfRule>
    <cfRule type="containsText" dxfId="6938" priority="676" operator="containsText" text="Ausgaben">
      <formula>NOT(ISERROR(SEARCH("Ausgaben",C989)))</formula>
    </cfRule>
  </conditionalFormatting>
  <conditionalFormatting sqref="J989">
    <cfRule type="cellIs" dxfId="6937" priority="674" operator="equal">
      <formula>"ja"</formula>
    </cfRule>
  </conditionalFormatting>
  <conditionalFormatting sqref="J989">
    <cfRule type="cellIs" dxfId="6936" priority="673" operator="equal">
      <formula>"ja"</formula>
    </cfRule>
  </conditionalFormatting>
  <conditionalFormatting sqref="J990">
    <cfRule type="cellIs" dxfId="6935" priority="672" operator="equal">
      <formula>"ja"</formula>
    </cfRule>
  </conditionalFormatting>
  <conditionalFormatting sqref="C990">
    <cfRule type="containsText" dxfId="6934" priority="670" operator="containsText" text="Einnahmen">
      <formula>NOT(ISERROR(SEARCH("Einnahmen",C990)))</formula>
    </cfRule>
    <cfRule type="containsText" dxfId="6933" priority="671" operator="containsText" text="Ausgaben">
      <formula>NOT(ISERROR(SEARCH("Ausgaben",C990)))</formula>
    </cfRule>
  </conditionalFormatting>
  <conditionalFormatting sqref="T990">
    <cfRule type="expression" dxfId="6932" priority="669">
      <formula>AND(AND($W990&lt;TODAY(),$W990&lt;&gt;""),$X990="")</formula>
    </cfRule>
  </conditionalFormatting>
  <conditionalFormatting sqref="Z990">
    <cfRule type="dataBar" priority="668">
      <dataBar>
        <cfvo type="min"/>
        <cfvo type="max"/>
        <color rgb="FF63C384"/>
      </dataBar>
      <extLst>
        <ext xmlns:x14="http://schemas.microsoft.com/office/spreadsheetml/2009/9/main" uri="{B025F937-C7B1-47D3-B67F-A62EFF666E3E}">
          <x14:id>{92C03233-3640-42EA-9F4D-0DCECB513FFE}</x14:id>
        </ext>
      </extLst>
    </cfRule>
  </conditionalFormatting>
  <conditionalFormatting sqref="Z990">
    <cfRule type="dataBar" priority="667">
      <dataBar>
        <cfvo type="min"/>
        <cfvo type="max"/>
        <color rgb="FF63C384"/>
      </dataBar>
      <extLst>
        <ext xmlns:x14="http://schemas.microsoft.com/office/spreadsheetml/2009/9/main" uri="{B025F937-C7B1-47D3-B67F-A62EFF666E3E}">
          <x14:id>{0A66BDDA-6695-4C55-BC80-A570BE4C13D4}</x14:id>
        </ext>
      </extLst>
    </cfRule>
  </conditionalFormatting>
  <conditionalFormatting sqref="T991">
    <cfRule type="expression" dxfId="6931" priority="666">
      <formula>AND(AND($W991&lt;TODAY(),$W991&lt;&gt;""),$X991="")</formula>
    </cfRule>
  </conditionalFormatting>
  <conditionalFormatting sqref="C991">
    <cfRule type="containsText" dxfId="6930" priority="664" operator="containsText" text="Einnahmen">
      <formula>NOT(ISERROR(SEARCH("Einnahmen",C991)))</formula>
    </cfRule>
    <cfRule type="containsText" dxfId="6929" priority="665" operator="containsText" text="Ausgaben">
      <formula>NOT(ISERROR(SEARCH("Ausgaben",C991)))</formula>
    </cfRule>
  </conditionalFormatting>
  <conditionalFormatting sqref="C991">
    <cfRule type="containsText" dxfId="6928" priority="662" operator="containsText" text="Einnahmen">
      <formula>NOT(ISERROR(SEARCH("Einnahmen",C991)))</formula>
    </cfRule>
    <cfRule type="containsText" dxfId="6927" priority="663" operator="containsText" text="Ausgaben">
      <formula>NOT(ISERROR(SEARCH("Ausgaben",C991)))</formula>
    </cfRule>
  </conditionalFormatting>
  <conditionalFormatting sqref="J991">
    <cfRule type="cellIs" dxfId="6926" priority="661" operator="equal">
      <formula>"ja"</formula>
    </cfRule>
  </conditionalFormatting>
  <conditionalFormatting sqref="Z991">
    <cfRule type="dataBar" priority="660">
      <dataBar>
        <cfvo type="min"/>
        <cfvo type="max"/>
        <color rgb="FF63C384"/>
      </dataBar>
      <extLst>
        <ext xmlns:x14="http://schemas.microsoft.com/office/spreadsheetml/2009/9/main" uri="{B025F937-C7B1-47D3-B67F-A62EFF666E3E}">
          <x14:id>{9F5756E7-95FD-4C1A-BC72-175DED3899E9}</x14:id>
        </ext>
      </extLst>
    </cfRule>
  </conditionalFormatting>
  <conditionalFormatting sqref="J991">
    <cfRule type="cellIs" dxfId="6925" priority="659" operator="equal">
      <formula>"ja"</formula>
    </cfRule>
  </conditionalFormatting>
  <conditionalFormatting sqref="T992">
    <cfRule type="expression" dxfId="6924" priority="658">
      <formula>AND(AND($W992&lt;TODAY(),$W992&lt;&gt;""),$X992="")</formula>
    </cfRule>
  </conditionalFormatting>
  <conditionalFormatting sqref="J992">
    <cfRule type="cellIs" dxfId="6923" priority="657" operator="equal">
      <formula>"ja"</formula>
    </cfRule>
  </conditionalFormatting>
  <conditionalFormatting sqref="C992">
    <cfRule type="containsText" dxfId="6922" priority="655" operator="containsText" text="Einnahmen">
      <formula>NOT(ISERROR(SEARCH("Einnahmen",C992)))</formula>
    </cfRule>
    <cfRule type="containsText" dxfId="6921" priority="656" operator="containsText" text="Ausgaben">
      <formula>NOT(ISERROR(SEARCH("Ausgaben",C992)))</formula>
    </cfRule>
  </conditionalFormatting>
  <conditionalFormatting sqref="Z992">
    <cfRule type="dataBar" priority="654">
      <dataBar>
        <cfvo type="min"/>
        <cfvo type="max"/>
        <color rgb="FF63C384"/>
      </dataBar>
      <extLst>
        <ext xmlns:x14="http://schemas.microsoft.com/office/spreadsheetml/2009/9/main" uri="{B025F937-C7B1-47D3-B67F-A62EFF666E3E}">
          <x14:id>{A34FCBDE-C1D9-4BA7-8FC3-6343D469277A}</x14:id>
        </ext>
      </extLst>
    </cfRule>
  </conditionalFormatting>
  <conditionalFormatting sqref="Z992">
    <cfRule type="dataBar" priority="653">
      <dataBar>
        <cfvo type="min"/>
        <cfvo type="max"/>
        <color rgb="FF63C384"/>
      </dataBar>
      <extLst>
        <ext xmlns:x14="http://schemas.microsoft.com/office/spreadsheetml/2009/9/main" uri="{B025F937-C7B1-47D3-B67F-A62EFF666E3E}">
          <x14:id>{6F7239D5-326C-4662-A164-21E6F5AB7CB8}</x14:id>
        </ext>
      </extLst>
    </cfRule>
  </conditionalFormatting>
  <conditionalFormatting sqref="T993">
    <cfRule type="expression" dxfId="6920" priority="652">
      <formula>AND(AND($W993&lt;TODAY(),$W993&lt;&gt;""),$X993="")</formula>
    </cfRule>
  </conditionalFormatting>
  <conditionalFormatting sqref="C993">
    <cfRule type="containsText" dxfId="6919" priority="650" operator="containsText" text="Einnahmen">
      <formula>NOT(ISERROR(SEARCH("Einnahmen",C993)))</formula>
    </cfRule>
    <cfRule type="containsText" dxfId="6918" priority="651" operator="containsText" text="Ausgaben">
      <formula>NOT(ISERROR(SEARCH("Ausgaben",C993)))</formula>
    </cfRule>
  </conditionalFormatting>
  <conditionalFormatting sqref="J993">
    <cfRule type="cellIs" dxfId="6917" priority="649" operator="equal">
      <formula>"ja"</formula>
    </cfRule>
  </conditionalFormatting>
  <conditionalFormatting sqref="Z993">
    <cfRule type="dataBar" priority="648">
      <dataBar>
        <cfvo type="min"/>
        <cfvo type="max"/>
        <color rgb="FF63C384"/>
      </dataBar>
      <extLst>
        <ext xmlns:x14="http://schemas.microsoft.com/office/spreadsheetml/2009/9/main" uri="{B025F937-C7B1-47D3-B67F-A62EFF666E3E}">
          <x14:id>{7F0C9E0E-00DB-44EC-A3EF-20A40C40E17A}</x14:id>
        </ext>
      </extLst>
    </cfRule>
  </conditionalFormatting>
  <conditionalFormatting sqref="Z993">
    <cfRule type="dataBar" priority="647">
      <dataBar>
        <cfvo type="min"/>
        <cfvo type="max"/>
        <color rgb="FF63C384"/>
      </dataBar>
      <extLst>
        <ext xmlns:x14="http://schemas.microsoft.com/office/spreadsheetml/2009/9/main" uri="{B025F937-C7B1-47D3-B67F-A62EFF666E3E}">
          <x14:id>{55A48DA8-3213-4A5C-8A81-2E67E093D00C}</x14:id>
        </ext>
      </extLst>
    </cfRule>
  </conditionalFormatting>
  <conditionalFormatting sqref="T994">
    <cfRule type="expression" dxfId="6916" priority="646">
      <formula>AND(AND($W994&lt;TODAY(),$W994&lt;&gt;""),$X994="")</formula>
    </cfRule>
  </conditionalFormatting>
  <conditionalFormatting sqref="C994">
    <cfRule type="containsText" dxfId="6915" priority="644" operator="containsText" text="Einnahmen">
      <formula>NOT(ISERROR(SEARCH("Einnahmen",C994)))</formula>
    </cfRule>
    <cfRule type="containsText" dxfId="6914" priority="645" operator="containsText" text="Ausgaben">
      <formula>NOT(ISERROR(SEARCH("Ausgaben",C994)))</formula>
    </cfRule>
  </conditionalFormatting>
  <conditionalFormatting sqref="J994">
    <cfRule type="cellIs" dxfId="6913" priority="643" operator="equal">
      <formula>"ja"</formula>
    </cfRule>
  </conditionalFormatting>
  <conditionalFormatting sqref="J994">
    <cfRule type="cellIs" dxfId="6912" priority="642" operator="equal">
      <formula>"ja"</formula>
    </cfRule>
  </conditionalFormatting>
  <conditionalFormatting sqref="C994">
    <cfRule type="containsText" dxfId="6911" priority="640" operator="containsText" text="Einnahmen">
      <formula>NOT(ISERROR(SEARCH("Einnahmen",C994)))</formula>
    </cfRule>
    <cfRule type="containsText" dxfId="6910" priority="641" operator="containsText" text="Ausgaben">
      <formula>NOT(ISERROR(SEARCH("Ausgaben",C994)))</formula>
    </cfRule>
  </conditionalFormatting>
  <conditionalFormatting sqref="J994">
    <cfRule type="cellIs" dxfId="6909" priority="639" operator="equal">
      <formula>"ja"</formula>
    </cfRule>
  </conditionalFormatting>
  <conditionalFormatting sqref="Z994">
    <cfRule type="dataBar" priority="638">
      <dataBar>
        <cfvo type="min"/>
        <cfvo type="max"/>
        <color rgb="FF63C384"/>
      </dataBar>
      <extLst>
        <ext xmlns:x14="http://schemas.microsoft.com/office/spreadsheetml/2009/9/main" uri="{B025F937-C7B1-47D3-B67F-A62EFF666E3E}">
          <x14:id>{3C557BEA-2CF2-4522-BB79-F94A3AC0FF80}</x14:id>
        </ext>
      </extLst>
    </cfRule>
  </conditionalFormatting>
  <conditionalFormatting sqref="Z994">
    <cfRule type="dataBar" priority="637">
      <dataBar>
        <cfvo type="min"/>
        <cfvo type="max"/>
        <color rgb="FF63C384"/>
      </dataBar>
      <extLst>
        <ext xmlns:x14="http://schemas.microsoft.com/office/spreadsheetml/2009/9/main" uri="{B025F937-C7B1-47D3-B67F-A62EFF666E3E}">
          <x14:id>{AAA10E83-CFC3-4C83-A937-3BA45CB72CDC}</x14:id>
        </ext>
      </extLst>
    </cfRule>
  </conditionalFormatting>
  <conditionalFormatting sqref="J994">
    <cfRule type="cellIs" dxfId="6908" priority="636" operator="equal">
      <formula>"ja"</formula>
    </cfRule>
  </conditionalFormatting>
  <conditionalFormatting sqref="Z994">
    <cfRule type="dataBar" priority="635">
      <dataBar>
        <cfvo type="min"/>
        <cfvo type="max"/>
        <color rgb="FF63C384"/>
      </dataBar>
      <extLst>
        <ext xmlns:x14="http://schemas.microsoft.com/office/spreadsheetml/2009/9/main" uri="{B025F937-C7B1-47D3-B67F-A62EFF666E3E}">
          <x14:id>{DAE51035-1A13-4F0D-A1BE-29DFE92B8BEB}</x14:id>
        </ext>
      </extLst>
    </cfRule>
  </conditionalFormatting>
  <conditionalFormatting sqref="Z994">
    <cfRule type="dataBar" priority="634">
      <dataBar>
        <cfvo type="min"/>
        <cfvo type="max"/>
        <color rgb="FF63C384"/>
      </dataBar>
      <extLst>
        <ext xmlns:x14="http://schemas.microsoft.com/office/spreadsheetml/2009/9/main" uri="{B025F937-C7B1-47D3-B67F-A62EFF666E3E}">
          <x14:id>{BF269D8C-28E4-42CC-A6DB-DFC4926E866E}</x14:id>
        </ext>
      </extLst>
    </cfRule>
  </conditionalFormatting>
  <conditionalFormatting sqref="T995">
    <cfRule type="expression" dxfId="6907" priority="633">
      <formula>AND(AND($W995&lt;TODAY(),$W995&lt;&gt;""),$X995="")</formula>
    </cfRule>
  </conditionalFormatting>
  <conditionalFormatting sqref="J995">
    <cfRule type="cellIs" dxfId="6906" priority="632" operator="equal">
      <formula>"ja"</formula>
    </cfRule>
  </conditionalFormatting>
  <conditionalFormatting sqref="Z995">
    <cfRule type="dataBar" priority="631">
      <dataBar>
        <cfvo type="min"/>
        <cfvo type="max"/>
        <color rgb="FF63C384"/>
      </dataBar>
      <extLst>
        <ext xmlns:x14="http://schemas.microsoft.com/office/spreadsheetml/2009/9/main" uri="{B025F937-C7B1-47D3-B67F-A62EFF666E3E}">
          <x14:id>{BF51FFED-2C29-4667-B8AD-E05E15757ECA}</x14:id>
        </ext>
      </extLst>
    </cfRule>
  </conditionalFormatting>
  <conditionalFormatting sqref="J995">
    <cfRule type="cellIs" dxfId="6905" priority="630" operator="equal">
      <formula>"ja"</formula>
    </cfRule>
  </conditionalFormatting>
  <conditionalFormatting sqref="J995">
    <cfRule type="cellIs" dxfId="6904" priority="629" operator="equal">
      <formula>"ja"</formula>
    </cfRule>
  </conditionalFormatting>
  <conditionalFormatting sqref="C995">
    <cfRule type="containsText" dxfId="6903" priority="627" operator="containsText" text="Einnahmen">
      <formula>NOT(ISERROR(SEARCH("Einnahmen",C995)))</formula>
    </cfRule>
    <cfRule type="containsText" dxfId="6902" priority="628" operator="containsText" text="Ausgaben">
      <formula>NOT(ISERROR(SEARCH("Ausgaben",C995)))</formula>
    </cfRule>
  </conditionalFormatting>
  <conditionalFormatting sqref="C995">
    <cfRule type="containsText" dxfId="6901" priority="625" operator="containsText" text="Einnahmen">
      <formula>NOT(ISERROR(SEARCH("Einnahmen",C995)))</formula>
    </cfRule>
    <cfRule type="containsText" dxfId="6900" priority="626" operator="containsText" text="Ausgaben">
      <formula>NOT(ISERROR(SEARCH("Ausgaben",C995)))</formula>
    </cfRule>
  </conditionalFormatting>
  <conditionalFormatting sqref="T996">
    <cfRule type="expression" dxfId="6899" priority="624">
      <formula>AND(AND($W996&lt;TODAY(),$W996&lt;&gt;""),$X996="")</formula>
    </cfRule>
  </conditionalFormatting>
  <conditionalFormatting sqref="C996">
    <cfRule type="containsText" dxfId="6898" priority="622" operator="containsText" text="Einnahmen">
      <formula>NOT(ISERROR(SEARCH("Einnahmen",C996)))</formula>
    </cfRule>
    <cfRule type="containsText" dxfId="6897" priority="623" operator="containsText" text="Ausgaben">
      <formula>NOT(ISERROR(SEARCH("Ausgaben",C996)))</formula>
    </cfRule>
  </conditionalFormatting>
  <conditionalFormatting sqref="Z996">
    <cfRule type="dataBar" priority="621">
      <dataBar>
        <cfvo type="min"/>
        <cfvo type="max"/>
        <color rgb="FF63C384"/>
      </dataBar>
      <extLst>
        <ext xmlns:x14="http://schemas.microsoft.com/office/spreadsheetml/2009/9/main" uri="{B025F937-C7B1-47D3-B67F-A62EFF666E3E}">
          <x14:id>{3FDD55E5-958A-42FC-B9BF-4389B0CE4281}</x14:id>
        </ext>
      </extLst>
    </cfRule>
  </conditionalFormatting>
  <conditionalFormatting sqref="Z996">
    <cfRule type="dataBar" priority="620">
      <dataBar>
        <cfvo type="min"/>
        <cfvo type="max"/>
        <color rgb="FF63C384"/>
      </dataBar>
      <extLst>
        <ext xmlns:x14="http://schemas.microsoft.com/office/spreadsheetml/2009/9/main" uri="{B025F937-C7B1-47D3-B67F-A62EFF666E3E}">
          <x14:id>{39BBAB7D-ABA9-4BB4-8B00-CA58D89582F6}</x14:id>
        </ext>
      </extLst>
    </cfRule>
  </conditionalFormatting>
  <conditionalFormatting sqref="Z996">
    <cfRule type="dataBar" priority="619">
      <dataBar>
        <cfvo type="min"/>
        <cfvo type="max"/>
        <color rgb="FF63C384"/>
      </dataBar>
      <extLst>
        <ext xmlns:x14="http://schemas.microsoft.com/office/spreadsheetml/2009/9/main" uri="{B025F937-C7B1-47D3-B67F-A62EFF666E3E}">
          <x14:id>{BA1570A9-CA27-4236-A637-67F40EAE40A5}</x14:id>
        </ext>
      </extLst>
    </cfRule>
  </conditionalFormatting>
  <conditionalFormatting sqref="Z996">
    <cfRule type="dataBar" priority="618">
      <dataBar>
        <cfvo type="min"/>
        <cfvo type="max"/>
        <color rgb="FF63C384"/>
      </dataBar>
      <extLst>
        <ext xmlns:x14="http://schemas.microsoft.com/office/spreadsheetml/2009/9/main" uri="{B025F937-C7B1-47D3-B67F-A62EFF666E3E}">
          <x14:id>{60B6B629-1646-412D-B3A0-D52B79B92B6A}</x14:id>
        </ext>
      </extLst>
    </cfRule>
  </conditionalFormatting>
  <conditionalFormatting sqref="T997">
    <cfRule type="expression" dxfId="6896" priority="617">
      <formula>AND(AND($W997&lt;TODAY(),$W997&lt;&gt;""),$X997="")</formula>
    </cfRule>
  </conditionalFormatting>
  <conditionalFormatting sqref="C997">
    <cfRule type="containsText" dxfId="6895" priority="615" operator="containsText" text="Einnahmen">
      <formula>NOT(ISERROR(SEARCH("Einnahmen",C997)))</formula>
    </cfRule>
    <cfRule type="containsText" dxfId="6894" priority="616" operator="containsText" text="Ausgaben">
      <formula>NOT(ISERROR(SEARCH("Ausgaben",C997)))</formula>
    </cfRule>
  </conditionalFormatting>
  <conditionalFormatting sqref="Z997">
    <cfRule type="dataBar" priority="614">
      <dataBar>
        <cfvo type="min"/>
        <cfvo type="max"/>
        <color rgb="FF63C384"/>
      </dataBar>
      <extLst>
        <ext xmlns:x14="http://schemas.microsoft.com/office/spreadsheetml/2009/9/main" uri="{B025F937-C7B1-47D3-B67F-A62EFF666E3E}">
          <x14:id>{E9ECF37B-62B0-4571-9F02-61C8924F5E61}</x14:id>
        </ext>
      </extLst>
    </cfRule>
  </conditionalFormatting>
  <conditionalFormatting sqref="Z997">
    <cfRule type="dataBar" priority="613">
      <dataBar>
        <cfvo type="min"/>
        <cfvo type="max"/>
        <color rgb="FF63C384"/>
      </dataBar>
      <extLst>
        <ext xmlns:x14="http://schemas.microsoft.com/office/spreadsheetml/2009/9/main" uri="{B025F937-C7B1-47D3-B67F-A62EFF666E3E}">
          <x14:id>{9F7606B2-DB78-42FC-A3C5-28E137B2D183}</x14:id>
        </ext>
      </extLst>
    </cfRule>
  </conditionalFormatting>
  <conditionalFormatting sqref="J997">
    <cfRule type="cellIs" dxfId="6893" priority="612" operator="equal">
      <formula>"ja"</formula>
    </cfRule>
  </conditionalFormatting>
  <conditionalFormatting sqref="J997">
    <cfRule type="cellIs" dxfId="6892" priority="611" operator="equal">
      <formula>"ja"</formula>
    </cfRule>
  </conditionalFormatting>
  <conditionalFormatting sqref="T998">
    <cfRule type="expression" dxfId="6891" priority="610">
      <formula>AND(AND($W998&lt;TODAY(),$W998&lt;&gt;""),$X998="")</formula>
    </cfRule>
  </conditionalFormatting>
  <conditionalFormatting sqref="J998">
    <cfRule type="cellIs" dxfId="6890" priority="609" operator="equal">
      <formula>"ja"</formula>
    </cfRule>
  </conditionalFormatting>
  <conditionalFormatting sqref="Z998">
    <cfRule type="dataBar" priority="608">
      <dataBar>
        <cfvo type="min"/>
        <cfvo type="max"/>
        <color rgb="FF63C384"/>
      </dataBar>
      <extLst>
        <ext xmlns:x14="http://schemas.microsoft.com/office/spreadsheetml/2009/9/main" uri="{B025F937-C7B1-47D3-B67F-A62EFF666E3E}">
          <x14:id>{A8E68292-716F-442D-BBC0-F7E1A4270B79}</x14:id>
        </ext>
      </extLst>
    </cfRule>
  </conditionalFormatting>
  <conditionalFormatting sqref="Z998">
    <cfRule type="dataBar" priority="607">
      <dataBar>
        <cfvo type="min"/>
        <cfvo type="max"/>
        <color rgb="FF63C384"/>
      </dataBar>
      <extLst>
        <ext xmlns:x14="http://schemas.microsoft.com/office/spreadsheetml/2009/9/main" uri="{B025F937-C7B1-47D3-B67F-A62EFF666E3E}">
          <x14:id>{14A641ED-186C-4314-B571-AF7EAC4ECC28}</x14:id>
        </ext>
      </extLst>
    </cfRule>
  </conditionalFormatting>
  <conditionalFormatting sqref="Z998">
    <cfRule type="dataBar" priority="606">
      <dataBar>
        <cfvo type="min"/>
        <cfvo type="max"/>
        <color rgb="FF63C384"/>
      </dataBar>
      <extLst>
        <ext xmlns:x14="http://schemas.microsoft.com/office/spreadsheetml/2009/9/main" uri="{B025F937-C7B1-47D3-B67F-A62EFF666E3E}">
          <x14:id>{F3FF7408-08C7-40BF-BB81-4B636712FF88}</x14:id>
        </ext>
      </extLst>
    </cfRule>
  </conditionalFormatting>
  <conditionalFormatting sqref="Z998">
    <cfRule type="dataBar" priority="605">
      <dataBar>
        <cfvo type="min"/>
        <cfvo type="max"/>
        <color rgb="FF63C384"/>
      </dataBar>
      <extLst>
        <ext xmlns:x14="http://schemas.microsoft.com/office/spreadsheetml/2009/9/main" uri="{B025F937-C7B1-47D3-B67F-A62EFF666E3E}">
          <x14:id>{B04ADA43-62DA-44AA-8046-2246037BF30A}</x14:id>
        </ext>
      </extLst>
    </cfRule>
  </conditionalFormatting>
  <conditionalFormatting sqref="J998">
    <cfRule type="cellIs" dxfId="6889" priority="604" operator="equal">
      <formula>"ja"</formula>
    </cfRule>
  </conditionalFormatting>
  <conditionalFormatting sqref="C998">
    <cfRule type="containsText" dxfId="6888" priority="602" operator="containsText" text="Einnahmen">
      <formula>NOT(ISERROR(SEARCH("Einnahmen",C998)))</formula>
    </cfRule>
    <cfRule type="containsText" dxfId="6887" priority="603" operator="containsText" text="Ausgaben">
      <formula>NOT(ISERROR(SEARCH("Ausgaben",C998)))</formula>
    </cfRule>
  </conditionalFormatting>
  <conditionalFormatting sqref="T999">
    <cfRule type="expression" dxfId="6886" priority="599">
      <formula>AND(AND($W999&lt;TODAY(),$W999&lt;&gt;""),$X999="")</formula>
    </cfRule>
  </conditionalFormatting>
  <conditionalFormatting sqref="C999">
    <cfRule type="containsText" dxfId="6885" priority="600" operator="containsText" text="Einnahmen">
      <formula>NOT(ISERROR(SEARCH("Einnahmen",C999)))</formula>
    </cfRule>
    <cfRule type="containsText" dxfId="6884" priority="601" operator="containsText" text="Ausgaben">
      <formula>NOT(ISERROR(SEARCH("Ausgaben",C999)))</formula>
    </cfRule>
  </conditionalFormatting>
  <conditionalFormatting sqref="T1000">
    <cfRule type="expression" dxfId="6883" priority="598">
      <formula>AND(AND($W1000&lt;TODAY(),$W1000&lt;&gt;""),$X1000="")</formula>
    </cfRule>
  </conditionalFormatting>
  <conditionalFormatting sqref="Z1000">
    <cfRule type="dataBar" priority="597">
      <dataBar>
        <cfvo type="min"/>
        <cfvo type="max"/>
        <color rgb="FF63C384"/>
      </dataBar>
      <extLst>
        <ext xmlns:x14="http://schemas.microsoft.com/office/spreadsheetml/2009/9/main" uri="{B025F937-C7B1-47D3-B67F-A62EFF666E3E}">
          <x14:id>{DC1D936E-63A9-49D5-96FA-3727C590CD69}</x14:id>
        </ext>
      </extLst>
    </cfRule>
  </conditionalFormatting>
  <conditionalFormatting sqref="Z1000">
    <cfRule type="dataBar" priority="596">
      <dataBar>
        <cfvo type="min"/>
        <cfvo type="max"/>
        <color rgb="FF63C384"/>
      </dataBar>
      <extLst>
        <ext xmlns:x14="http://schemas.microsoft.com/office/spreadsheetml/2009/9/main" uri="{B025F937-C7B1-47D3-B67F-A62EFF666E3E}">
          <x14:id>{7AA26B00-807D-46A5-8EFE-52A9342499F1}</x14:id>
        </ext>
      </extLst>
    </cfRule>
  </conditionalFormatting>
  <conditionalFormatting sqref="J1000">
    <cfRule type="cellIs" dxfId="6882" priority="595" operator="equal">
      <formula>"ja"</formula>
    </cfRule>
  </conditionalFormatting>
  <conditionalFormatting sqref="C1000">
    <cfRule type="containsText" dxfId="6881" priority="593" operator="containsText" text="Einnahmen">
      <formula>NOT(ISERROR(SEARCH("Einnahmen",C1000)))</formula>
    </cfRule>
    <cfRule type="containsText" dxfId="6880" priority="594" operator="containsText" text="Ausgaben">
      <formula>NOT(ISERROR(SEARCH("Ausgaben",C1000)))</formula>
    </cfRule>
  </conditionalFormatting>
  <conditionalFormatting sqref="T1001">
    <cfRule type="expression" dxfId="6879" priority="592">
      <formula>AND(AND($W1001&lt;TODAY(),$W1001&lt;&gt;""),$X1001="")</formula>
    </cfRule>
  </conditionalFormatting>
  <conditionalFormatting sqref="C1001">
    <cfRule type="containsText" dxfId="6878" priority="590" operator="containsText" text="Einnahmen">
      <formula>NOT(ISERROR(SEARCH("Einnahmen",C1001)))</formula>
    </cfRule>
    <cfRule type="containsText" dxfId="6877" priority="591" operator="containsText" text="Ausgaben">
      <formula>NOT(ISERROR(SEARCH("Ausgaben",C1001)))</formula>
    </cfRule>
  </conditionalFormatting>
  <conditionalFormatting sqref="J1001">
    <cfRule type="cellIs" dxfId="6876" priority="589" operator="equal">
      <formula>"ja"</formula>
    </cfRule>
  </conditionalFormatting>
  <conditionalFormatting sqref="Z1001">
    <cfRule type="dataBar" priority="588">
      <dataBar>
        <cfvo type="min"/>
        <cfvo type="max"/>
        <color rgb="FF63C384"/>
      </dataBar>
      <extLst>
        <ext xmlns:x14="http://schemas.microsoft.com/office/spreadsheetml/2009/9/main" uri="{B025F937-C7B1-47D3-B67F-A62EFF666E3E}">
          <x14:id>{465EB7F2-0285-4AC6-BBF1-A677F6C3F1FF}</x14:id>
        </ext>
      </extLst>
    </cfRule>
  </conditionalFormatting>
  <conditionalFormatting sqref="Z1001">
    <cfRule type="dataBar" priority="587">
      <dataBar>
        <cfvo type="min"/>
        <cfvo type="max"/>
        <color rgb="FF63C384"/>
      </dataBar>
      <extLst>
        <ext xmlns:x14="http://schemas.microsoft.com/office/spreadsheetml/2009/9/main" uri="{B025F937-C7B1-47D3-B67F-A62EFF666E3E}">
          <x14:id>{889F43E5-16F4-4852-B36C-9535D8BE127A}</x14:id>
        </ext>
      </extLst>
    </cfRule>
  </conditionalFormatting>
  <conditionalFormatting sqref="T1002">
    <cfRule type="expression" dxfId="6875" priority="586">
      <formula>AND(AND($W1002&lt;TODAY(),$W1002&lt;&gt;""),$X1002="")</formula>
    </cfRule>
  </conditionalFormatting>
  <conditionalFormatting sqref="C1002">
    <cfRule type="containsText" dxfId="6874" priority="584" operator="containsText" text="Einnahmen">
      <formula>NOT(ISERROR(SEARCH("Einnahmen",C1002)))</formula>
    </cfRule>
    <cfRule type="containsText" dxfId="6873" priority="585" operator="containsText" text="Ausgaben">
      <formula>NOT(ISERROR(SEARCH("Ausgaben",C1002)))</formula>
    </cfRule>
  </conditionalFormatting>
  <conditionalFormatting sqref="J1002">
    <cfRule type="cellIs" dxfId="6872" priority="583" operator="equal">
      <formula>"ja"</formula>
    </cfRule>
  </conditionalFormatting>
  <conditionalFormatting sqref="J1002">
    <cfRule type="cellIs" dxfId="6871" priority="574" operator="equal">
      <formula>"ja"</formula>
    </cfRule>
  </conditionalFormatting>
  <conditionalFormatting sqref="Z1002">
    <cfRule type="dataBar" priority="582">
      <dataBar>
        <cfvo type="min"/>
        <cfvo type="max"/>
        <color rgb="FF63C384"/>
      </dataBar>
      <extLst>
        <ext xmlns:x14="http://schemas.microsoft.com/office/spreadsheetml/2009/9/main" uri="{B025F937-C7B1-47D3-B67F-A62EFF666E3E}">
          <x14:id>{279CC319-4AB7-4222-99F3-5BEB77DE624A}</x14:id>
        </ext>
      </extLst>
    </cfRule>
  </conditionalFormatting>
  <conditionalFormatting sqref="Z1002">
    <cfRule type="dataBar" priority="581">
      <dataBar>
        <cfvo type="min"/>
        <cfvo type="max"/>
        <color rgb="FF63C384"/>
      </dataBar>
      <extLst>
        <ext xmlns:x14="http://schemas.microsoft.com/office/spreadsheetml/2009/9/main" uri="{B025F937-C7B1-47D3-B67F-A62EFF666E3E}">
          <x14:id>{BE098E41-B035-4135-BCD9-770700BEC42D}</x14:id>
        </ext>
      </extLst>
    </cfRule>
  </conditionalFormatting>
  <conditionalFormatting sqref="J1002">
    <cfRule type="cellIs" dxfId="6870" priority="580" operator="equal">
      <formula>"ja"</formula>
    </cfRule>
  </conditionalFormatting>
  <conditionalFormatting sqref="Z1002">
    <cfRule type="dataBar" priority="579">
      <dataBar>
        <cfvo type="min"/>
        <cfvo type="max"/>
        <color rgb="FF63C384"/>
      </dataBar>
      <extLst>
        <ext xmlns:x14="http://schemas.microsoft.com/office/spreadsheetml/2009/9/main" uri="{B025F937-C7B1-47D3-B67F-A62EFF666E3E}">
          <x14:id>{75377296-D3C9-4CBB-8AB1-D817E10CC378}</x14:id>
        </ext>
      </extLst>
    </cfRule>
  </conditionalFormatting>
  <conditionalFormatting sqref="Z1002">
    <cfRule type="dataBar" priority="578">
      <dataBar>
        <cfvo type="min"/>
        <cfvo type="max"/>
        <color rgb="FF63C384"/>
      </dataBar>
      <extLst>
        <ext xmlns:x14="http://schemas.microsoft.com/office/spreadsheetml/2009/9/main" uri="{B025F937-C7B1-47D3-B67F-A62EFF666E3E}">
          <x14:id>{731A4C2C-3520-4E34-AC79-F02A68BFB7E8}</x14:id>
        </ext>
      </extLst>
    </cfRule>
  </conditionalFormatting>
  <conditionalFormatting sqref="J1002">
    <cfRule type="cellIs" dxfId="6869" priority="577" operator="equal">
      <formula>"ja"</formula>
    </cfRule>
  </conditionalFormatting>
  <conditionalFormatting sqref="Z1002">
    <cfRule type="dataBar" priority="576">
      <dataBar>
        <cfvo type="min"/>
        <cfvo type="max"/>
        <color rgb="FF63C384"/>
      </dataBar>
      <extLst>
        <ext xmlns:x14="http://schemas.microsoft.com/office/spreadsheetml/2009/9/main" uri="{B025F937-C7B1-47D3-B67F-A62EFF666E3E}">
          <x14:id>{CEBDD40D-83C8-4397-B545-609BB8DA7A84}</x14:id>
        </ext>
      </extLst>
    </cfRule>
  </conditionalFormatting>
  <conditionalFormatting sqref="Z1002">
    <cfRule type="dataBar" priority="575">
      <dataBar>
        <cfvo type="min"/>
        <cfvo type="max"/>
        <color rgb="FF63C384"/>
      </dataBar>
      <extLst>
        <ext xmlns:x14="http://schemas.microsoft.com/office/spreadsheetml/2009/9/main" uri="{B025F937-C7B1-47D3-B67F-A62EFF666E3E}">
          <x14:id>{117C9362-A8D2-4F1F-A683-3016B72C7F00}</x14:id>
        </ext>
      </extLst>
    </cfRule>
  </conditionalFormatting>
  <conditionalFormatting sqref="Z1002">
    <cfRule type="dataBar" priority="573">
      <dataBar>
        <cfvo type="min"/>
        <cfvo type="max"/>
        <color rgb="FF63C384"/>
      </dataBar>
      <extLst>
        <ext xmlns:x14="http://schemas.microsoft.com/office/spreadsheetml/2009/9/main" uri="{B025F937-C7B1-47D3-B67F-A62EFF666E3E}">
          <x14:id>{0E3854D1-28E3-4EDB-A0BA-216AEAFD2578}</x14:id>
        </ext>
      </extLst>
    </cfRule>
  </conditionalFormatting>
  <conditionalFormatting sqref="Z1002">
    <cfRule type="dataBar" priority="572">
      <dataBar>
        <cfvo type="min"/>
        <cfvo type="max"/>
        <color rgb="FF63C384"/>
      </dataBar>
      <extLst>
        <ext xmlns:x14="http://schemas.microsoft.com/office/spreadsheetml/2009/9/main" uri="{B025F937-C7B1-47D3-B67F-A62EFF666E3E}">
          <x14:id>{BEA6B810-B0C5-4B5E-95EE-7155749CB6A9}</x14:id>
        </ext>
      </extLst>
    </cfRule>
  </conditionalFormatting>
  <conditionalFormatting sqref="C1002">
    <cfRule type="containsText" dxfId="6868" priority="570" operator="containsText" text="Einnahmen">
      <formula>NOT(ISERROR(SEARCH("Einnahmen",C1002)))</formula>
    </cfRule>
    <cfRule type="containsText" dxfId="6867" priority="571" operator="containsText" text="Ausgaben">
      <formula>NOT(ISERROR(SEARCH("Ausgaben",C1002)))</formula>
    </cfRule>
  </conditionalFormatting>
  <conditionalFormatting sqref="C1002">
    <cfRule type="containsText" dxfId="6866" priority="568" operator="containsText" text="Einnahmen">
      <formula>NOT(ISERROR(SEARCH("Einnahmen",C1002)))</formula>
    </cfRule>
    <cfRule type="containsText" dxfId="6865" priority="569" operator="containsText" text="Ausgaben">
      <formula>NOT(ISERROR(SEARCH("Ausgaben",C1002)))</formula>
    </cfRule>
  </conditionalFormatting>
  <conditionalFormatting sqref="J1002">
    <cfRule type="cellIs" dxfId="6864" priority="567" operator="equal">
      <formula>"ja"</formula>
    </cfRule>
  </conditionalFormatting>
  <conditionalFormatting sqref="J1002">
    <cfRule type="cellIs" dxfId="6863" priority="566" operator="equal">
      <formula>"ja"</formula>
    </cfRule>
  </conditionalFormatting>
  <conditionalFormatting sqref="C1003">
    <cfRule type="containsText" dxfId="6862" priority="564" operator="containsText" text="Einnahmen">
      <formula>NOT(ISERROR(SEARCH("Einnahmen",C1003)))</formula>
    </cfRule>
    <cfRule type="containsText" dxfId="6861" priority="565" operator="containsText" text="Ausgaben">
      <formula>NOT(ISERROR(SEARCH("Ausgaben",C1003)))</formula>
    </cfRule>
  </conditionalFormatting>
  <conditionalFormatting sqref="T1003">
    <cfRule type="expression" dxfId="6860" priority="563">
      <formula>AND(AND($W1003&lt;TODAY(),$W1003&lt;&gt;""),$X1003="")</formula>
    </cfRule>
  </conditionalFormatting>
  <conditionalFormatting sqref="J1003">
    <cfRule type="cellIs" dxfId="6859" priority="562" operator="equal">
      <formula>"ja"</formula>
    </cfRule>
  </conditionalFormatting>
  <conditionalFormatting sqref="Z1003">
    <cfRule type="dataBar" priority="561">
      <dataBar>
        <cfvo type="min"/>
        <cfvo type="max"/>
        <color rgb="FF63C384"/>
      </dataBar>
      <extLst>
        <ext xmlns:x14="http://schemas.microsoft.com/office/spreadsheetml/2009/9/main" uri="{B025F937-C7B1-47D3-B67F-A62EFF666E3E}">
          <x14:id>{5228541B-D6B8-4E62-89A9-C68937043B24}</x14:id>
        </ext>
      </extLst>
    </cfRule>
  </conditionalFormatting>
  <conditionalFormatting sqref="J1003">
    <cfRule type="cellIs" dxfId="6858" priority="560" operator="equal">
      <formula>"ja"</formula>
    </cfRule>
  </conditionalFormatting>
  <conditionalFormatting sqref="T1004">
    <cfRule type="expression" dxfId="6857" priority="559">
      <formula>AND(AND($W1004&lt;TODAY(),$W1004&lt;&gt;""),$X1004="")</formula>
    </cfRule>
  </conditionalFormatting>
  <conditionalFormatting sqref="C1004">
    <cfRule type="containsText" dxfId="6856" priority="557" operator="containsText" text="Einnahmen">
      <formula>NOT(ISERROR(SEARCH("Einnahmen",C1004)))</formula>
    </cfRule>
    <cfRule type="containsText" dxfId="6855" priority="558" operator="containsText" text="Ausgaben">
      <formula>NOT(ISERROR(SEARCH("Ausgaben",C1004)))</formula>
    </cfRule>
  </conditionalFormatting>
  <conditionalFormatting sqref="C1004">
    <cfRule type="containsText" dxfId="6854" priority="555" operator="containsText" text="Einnahmen">
      <formula>NOT(ISERROR(SEARCH("Einnahmen",C1004)))</formula>
    </cfRule>
    <cfRule type="containsText" dxfId="6853" priority="556" operator="containsText" text="Ausgaben">
      <formula>NOT(ISERROR(SEARCH("Ausgaben",C1004)))</formula>
    </cfRule>
  </conditionalFormatting>
  <conditionalFormatting sqref="J1004">
    <cfRule type="cellIs" dxfId="6852" priority="554" operator="equal">
      <formula>"ja"</formula>
    </cfRule>
  </conditionalFormatting>
  <conditionalFormatting sqref="Z1004">
    <cfRule type="dataBar" priority="553">
      <dataBar>
        <cfvo type="min"/>
        <cfvo type="max"/>
        <color rgb="FF63C384"/>
      </dataBar>
      <extLst>
        <ext xmlns:x14="http://schemas.microsoft.com/office/spreadsheetml/2009/9/main" uri="{B025F937-C7B1-47D3-B67F-A62EFF666E3E}">
          <x14:id>{3B45A033-3FAE-4166-B78F-68F570FDAAB3}</x14:id>
        </ext>
      </extLst>
    </cfRule>
  </conditionalFormatting>
  <conditionalFormatting sqref="J1004">
    <cfRule type="cellIs" dxfId="6851" priority="552" operator="equal">
      <formula>"ja"</formula>
    </cfRule>
  </conditionalFormatting>
  <conditionalFormatting sqref="T1005">
    <cfRule type="expression" dxfId="6850" priority="551">
      <formula>AND(AND($W1005&lt;TODAY(),$W1005&lt;&gt;""),$X1005="")</formula>
    </cfRule>
  </conditionalFormatting>
  <conditionalFormatting sqref="J1005">
    <cfRule type="cellIs" dxfId="6849" priority="550" operator="equal">
      <formula>"ja"</formula>
    </cfRule>
  </conditionalFormatting>
  <conditionalFormatting sqref="C1005">
    <cfRule type="containsText" dxfId="6848" priority="548" operator="containsText" text="Einnahmen">
      <formula>NOT(ISERROR(SEARCH("Einnahmen",C1005)))</formula>
    </cfRule>
    <cfRule type="containsText" dxfId="6847" priority="549" operator="containsText" text="Ausgaben">
      <formula>NOT(ISERROR(SEARCH("Ausgaben",C1005)))</formula>
    </cfRule>
  </conditionalFormatting>
  <conditionalFormatting sqref="Z1005">
    <cfRule type="dataBar" priority="547">
      <dataBar>
        <cfvo type="min"/>
        <cfvo type="max"/>
        <color rgb="FF63C384"/>
      </dataBar>
      <extLst>
        <ext xmlns:x14="http://schemas.microsoft.com/office/spreadsheetml/2009/9/main" uri="{B025F937-C7B1-47D3-B67F-A62EFF666E3E}">
          <x14:id>{1110F637-EA22-4261-8741-2CDADFED81E6}</x14:id>
        </ext>
      </extLst>
    </cfRule>
  </conditionalFormatting>
  <conditionalFormatting sqref="Z1005">
    <cfRule type="dataBar" priority="546">
      <dataBar>
        <cfvo type="min"/>
        <cfvo type="max"/>
        <color rgb="FF63C384"/>
      </dataBar>
      <extLst>
        <ext xmlns:x14="http://schemas.microsoft.com/office/spreadsheetml/2009/9/main" uri="{B025F937-C7B1-47D3-B67F-A62EFF666E3E}">
          <x14:id>{DA6E4CF9-8BC0-4E0A-9D3B-BFD4DAF979CE}</x14:id>
        </ext>
      </extLst>
    </cfRule>
  </conditionalFormatting>
  <conditionalFormatting sqref="T1006">
    <cfRule type="expression" dxfId="6846" priority="544">
      <formula>AND(AND($W1006&lt;TODAY(),$W1006&lt;&gt;""),$X1006="")</formula>
    </cfRule>
  </conditionalFormatting>
  <conditionalFormatting sqref="C1006">
    <cfRule type="containsText" dxfId="6845" priority="542" operator="containsText" text="Einnahmen">
      <formula>NOT(ISERROR(SEARCH("Einnahmen",C1006)))</formula>
    </cfRule>
    <cfRule type="containsText" dxfId="6844" priority="543" operator="containsText" text="Ausgaben">
      <formula>NOT(ISERROR(SEARCH("Ausgaben",C1006)))</formula>
    </cfRule>
  </conditionalFormatting>
  <conditionalFormatting sqref="J1006">
    <cfRule type="cellIs" dxfId="6843" priority="541" operator="equal">
      <formula>"ja"</formula>
    </cfRule>
  </conditionalFormatting>
  <conditionalFormatting sqref="J1006">
    <cfRule type="cellIs" dxfId="6842" priority="540" operator="equal">
      <formula>"ja"</formula>
    </cfRule>
  </conditionalFormatting>
  <conditionalFormatting sqref="C1006">
    <cfRule type="containsText" dxfId="6841" priority="538" operator="containsText" text="Einnahmen">
      <formula>NOT(ISERROR(SEARCH("Einnahmen",C1006)))</formula>
    </cfRule>
    <cfRule type="containsText" dxfId="6840" priority="539" operator="containsText" text="Ausgaben">
      <formula>NOT(ISERROR(SEARCH("Ausgaben",C1006)))</formula>
    </cfRule>
  </conditionalFormatting>
  <conditionalFormatting sqref="J1006">
    <cfRule type="cellIs" dxfId="6839" priority="537" operator="equal">
      <formula>"ja"</formula>
    </cfRule>
  </conditionalFormatting>
  <conditionalFormatting sqref="Z1006">
    <cfRule type="dataBar" priority="536">
      <dataBar>
        <cfvo type="min"/>
        <cfvo type="max"/>
        <color rgb="FF63C384"/>
      </dataBar>
      <extLst>
        <ext xmlns:x14="http://schemas.microsoft.com/office/spreadsheetml/2009/9/main" uri="{B025F937-C7B1-47D3-B67F-A62EFF666E3E}">
          <x14:id>{C2FD7451-59CA-4C7E-BD1F-675796948F45}</x14:id>
        </ext>
      </extLst>
    </cfRule>
  </conditionalFormatting>
  <conditionalFormatting sqref="Z1006">
    <cfRule type="dataBar" priority="535">
      <dataBar>
        <cfvo type="min"/>
        <cfvo type="max"/>
        <color rgb="FF63C384"/>
      </dataBar>
      <extLst>
        <ext xmlns:x14="http://schemas.microsoft.com/office/spreadsheetml/2009/9/main" uri="{B025F937-C7B1-47D3-B67F-A62EFF666E3E}">
          <x14:id>{AA630450-0F65-4231-9AD0-8C7B49842590}</x14:id>
        </ext>
      </extLst>
    </cfRule>
  </conditionalFormatting>
  <conditionalFormatting sqref="J1006">
    <cfRule type="cellIs" dxfId="6838" priority="534" operator="equal">
      <formula>"ja"</formula>
    </cfRule>
  </conditionalFormatting>
  <conditionalFormatting sqref="Z1006">
    <cfRule type="dataBar" priority="533">
      <dataBar>
        <cfvo type="min"/>
        <cfvo type="max"/>
        <color rgb="FF63C384"/>
      </dataBar>
      <extLst>
        <ext xmlns:x14="http://schemas.microsoft.com/office/spreadsheetml/2009/9/main" uri="{B025F937-C7B1-47D3-B67F-A62EFF666E3E}">
          <x14:id>{3E2ED3FD-C5C4-4F16-93D5-9B814514660C}</x14:id>
        </ext>
      </extLst>
    </cfRule>
  </conditionalFormatting>
  <conditionalFormatting sqref="Z1006">
    <cfRule type="dataBar" priority="532">
      <dataBar>
        <cfvo type="min"/>
        <cfvo type="max"/>
        <color rgb="FF63C384"/>
      </dataBar>
      <extLst>
        <ext xmlns:x14="http://schemas.microsoft.com/office/spreadsheetml/2009/9/main" uri="{B025F937-C7B1-47D3-B67F-A62EFF666E3E}">
          <x14:id>{E655F43A-C967-4242-B863-6F741B85848B}</x14:id>
        </ext>
      </extLst>
    </cfRule>
  </conditionalFormatting>
  <conditionalFormatting sqref="T1007">
    <cfRule type="expression" dxfId="6837" priority="530">
      <formula>AND(AND($W1007&lt;TODAY(),$W1007&lt;&gt;""),$X1007="")</formula>
    </cfRule>
  </conditionalFormatting>
  <conditionalFormatting sqref="J1007">
    <cfRule type="cellIs" dxfId="6836" priority="529" operator="equal">
      <formula>"ja"</formula>
    </cfRule>
  </conditionalFormatting>
  <conditionalFormatting sqref="Z1007">
    <cfRule type="dataBar" priority="528">
      <dataBar>
        <cfvo type="min"/>
        <cfvo type="max"/>
        <color rgb="FF63C384"/>
      </dataBar>
      <extLst>
        <ext xmlns:x14="http://schemas.microsoft.com/office/spreadsheetml/2009/9/main" uri="{B025F937-C7B1-47D3-B67F-A62EFF666E3E}">
          <x14:id>{ECBE8BE1-1885-4CFB-82DA-6970F657C47D}</x14:id>
        </ext>
      </extLst>
    </cfRule>
  </conditionalFormatting>
  <conditionalFormatting sqref="J1007">
    <cfRule type="cellIs" dxfId="6835" priority="527" operator="equal">
      <formula>"ja"</formula>
    </cfRule>
  </conditionalFormatting>
  <conditionalFormatting sqref="J1007">
    <cfRule type="cellIs" dxfId="6834" priority="526" operator="equal">
      <formula>"ja"</formula>
    </cfRule>
  </conditionalFormatting>
  <conditionalFormatting sqref="C1007">
    <cfRule type="containsText" dxfId="6833" priority="524" operator="containsText" text="Einnahmen">
      <formula>NOT(ISERROR(SEARCH("Einnahmen",C1007)))</formula>
    </cfRule>
    <cfRule type="containsText" dxfId="6832" priority="525" operator="containsText" text="Ausgaben">
      <formula>NOT(ISERROR(SEARCH("Ausgaben",C1007)))</formula>
    </cfRule>
  </conditionalFormatting>
  <conditionalFormatting sqref="C1007">
    <cfRule type="containsText" dxfId="6831" priority="522" operator="containsText" text="Einnahmen">
      <formula>NOT(ISERROR(SEARCH("Einnahmen",C1007)))</formula>
    </cfRule>
    <cfRule type="containsText" dxfId="6830" priority="523" operator="containsText" text="Ausgaben">
      <formula>NOT(ISERROR(SEARCH("Ausgaben",C1007)))</formula>
    </cfRule>
  </conditionalFormatting>
  <conditionalFormatting sqref="T1008">
    <cfRule type="expression" dxfId="6829" priority="521">
      <formula>AND(AND($W1008&lt;TODAY(),$W1008&lt;&gt;""),$X1008="")</formula>
    </cfRule>
  </conditionalFormatting>
  <conditionalFormatting sqref="C1008">
    <cfRule type="containsText" dxfId="6828" priority="519" operator="containsText" text="Einnahmen">
      <formula>NOT(ISERROR(SEARCH("Einnahmen",C1008)))</formula>
    </cfRule>
    <cfRule type="containsText" dxfId="6827" priority="520" operator="containsText" text="Ausgaben">
      <formula>NOT(ISERROR(SEARCH("Ausgaben",C1008)))</formula>
    </cfRule>
  </conditionalFormatting>
  <conditionalFormatting sqref="Z1008">
    <cfRule type="dataBar" priority="518">
      <dataBar>
        <cfvo type="min"/>
        <cfvo type="max"/>
        <color rgb="FF63C384"/>
      </dataBar>
      <extLst>
        <ext xmlns:x14="http://schemas.microsoft.com/office/spreadsheetml/2009/9/main" uri="{B025F937-C7B1-47D3-B67F-A62EFF666E3E}">
          <x14:id>{1447A1E5-5721-45FD-B17A-119B539FA5BB}</x14:id>
        </ext>
      </extLst>
    </cfRule>
  </conditionalFormatting>
  <conditionalFormatting sqref="Z1008">
    <cfRule type="dataBar" priority="517">
      <dataBar>
        <cfvo type="min"/>
        <cfvo type="max"/>
        <color rgb="FF63C384"/>
      </dataBar>
      <extLst>
        <ext xmlns:x14="http://schemas.microsoft.com/office/spreadsheetml/2009/9/main" uri="{B025F937-C7B1-47D3-B67F-A62EFF666E3E}">
          <x14:id>{D49826B4-CDDC-43CC-AF2C-E6ACD8808E5B}</x14:id>
        </ext>
      </extLst>
    </cfRule>
  </conditionalFormatting>
  <conditionalFormatting sqref="Z1008">
    <cfRule type="dataBar" priority="516">
      <dataBar>
        <cfvo type="min"/>
        <cfvo type="max"/>
        <color rgb="FF63C384"/>
      </dataBar>
      <extLst>
        <ext xmlns:x14="http://schemas.microsoft.com/office/spreadsheetml/2009/9/main" uri="{B025F937-C7B1-47D3-B67F-A62EFF666E3E}">
          <x14:id>{F72DD3AA-8385-41CA-9218-587052352EF1}</x14:id>
        </ext>
      </extLst>
    </cfRule>
  </conditionalFormatting>
  <conditionalFormatting sqref="Z1008">
    <cfRule type="dataBar" priority="515">
      <dataBar>
        <cfvo type="min"/>
        <cfvo type="max"/>
        <color rgb="FF63C384"/>
      </dataBar>
      <extLst>
        <ext xmlns:x14="http://schemas.microsoft.com/office/spreadsheetml/2009/9/main" uri="{B025F937-C7B1-47D3-B67F-A62EFF666E3E}">
          <x14:id>{BBE99D7F-0718-461B-964E-4D2E31337887}</x14:id>
        </ext>
      </extLst>
    </cfRule>
  </conditionalFormatting>
  <conditionalFormatting sqref="T1009">
    <cfRule type="expression" dxfId="6826" priority="503">
      <formula>AND(AND($W1009&lt;TODAY(),$W1009&lt;&gt;""),$X1009="")</formula>
    </cfRule>
  </conditionalFormatting>
  <conditionalFormatting sqref="J1009">
    <cfRule type="cellIs" dxfId="6825" priority="502" operator="equal">
      <formula>"ja"</formula>
    </cfRule>
  </conditionalFormatting>
  <conditionalFormatting sqref="Z1009">
    <cfRule type="dataBar" priority="501">
      <dataBar>
        <cfvo type="min"/>
        <cfvo type="max"/>
        <color rgb="FF63C384"/>
      </dataBar>
      <extLst>
        <ext xmlns:x14="http://schemas.microsoft.com/office/spreadsheetml/2009/9/main" uri="{B025F937-C7B1-47D3-B67F-A62EFF666E3E}">
          <x14:id>{79E19602-13DE-4B85-8241-7EF1EF13FC55}</x14:id>
        </ext>
      </extLst>
    </cfRule>
  </conditionalFormatting>
  <conditionalFormatting sqref="Z1009">
    <cfRule type="dataBar" priority="500">
      <dataBar>
        <cfvo type="min"/>
        <cfvo type="max"/>
        <color rgb="FF63C384"/>
      </dataBar>
      <extLst>
        <ext xmlns:x14="http://schemas.microsoft.com/office/spreadsheetml/2009/9/main" uri="{B025F937-C7B1-47D3-B67F-A62EFF666E3E}">
          <x14:id>{C33A6106-C723-4FD9-9284-8BA48712B422}</x14:id>
        </ext>
      </extLst>
    </cfRule>
  </conditionalFormatting>
  <conditionalFormatting sqref="Z1009">
    <cfRule type="dataBar" priority="499">
      <dataBar>
        <cfvo type="min"/>
        <cfvo type="max"/>
        <color rgb="FF63C384"/>
      </dataBar>
      <extLst>
        <ext xmlns:x14="http://schemas.microsoft.com/office/spreadsheetml/2009/9/main" uri="{B025F937-C7B1-47D3-B67F-A62EFF666E3E}">
          <x14:id>{A4491C9D-105E-4B82-B991-C9F82B852E19}</x14:id>
        </ext>
      </extLst>
    </cfRule>
  </conditionalFormatting>
  <conditionalFormatting sqref="Z1009">
    <cfRule type="dataBar" priority="498">
      <dataBar>
        <cfvo type="min"/>
        <cfvo type="max"/>
        <color rgb="FF63C384"/>
      </dataBar>
      <extLst>
        <ext xmlns:x14="http://schemas.microsoft.com/office/spreadsheetml/2009/9/main" uri="{B025F937-C7B1-47D3-B67F-A62EFF666E3E}">
          <x14:id>{8C7E17CF-694C-4CDC-8248-EBCF81193607}</x14:id>
        </ext>
      </extLst>
    </cfRule>
  </conditionalFormatting>
  <conditionalFormatting sqref="J1009">
    <cfRule type="cellIs" dxfId="6824" priority="497" operator="equal">
      <formula>"ja"</formula>
    </cfRule>
  </conditionalFormatting>
  <conditionalFormatting sqref="C1009">
    <cfRule type="containsText" dxfId="6823" priority="495" operator="containsText" text="Einnahmen">
      <formula>NOT(ISERROR(SEARCH("Einnahmen",C1009)))</formula>
    </cfRule>
    <cfRule type="containsText" dxfId="6822" priority="496" operator="containsText" text="Ausgaben">
      <formula>NOT(ISERROR(SEARCH("Ausgaben",C1009)))</formula>
    </cfRule>
  </conditionalFormatting>
  <conditionalFormatting sqref="T1010">
    <cfRule type="expression" dxfId="6821" priority="494">
      <formula>AND(AND($W1010&lt;TODAY(),$W1010&lt;&gt;""),$X1010="")</formula>
    </cfRule>
  </conditionalFormatting>
  <conditionalFormatting sqref="C1010">
    <cfRule type="containsText" dxfId="6820" priority="492" operator="containsText" text="Einnahmen">
      <formula>NOT(ISERROR(SEARCH("Einnahmen",C1010)))</formula>
    </cfRule>
    <cfRule type="containsText" dxfId="6819" priority="493" operator="containsText" text="Ausgaben">
      <formula>NOT(ISERROR(SEARCH("Ausgaben",C1010)))</formula>
    </cfRule>
  </conditionalFormatting>
  <conditionalFormatting sqref="Z1010">
    <cfRule type="dataBar" priority="491">
      <dataBar>
        <cfvo type="min"/>
        <cfvo type="max"/>
        <color rgb="FF63C384"/>
      </dataBar>
      <extLst>
        <ext xmlns:x14="http://schemas.microsoft.com/office/spreadsheetml/2009/9/main" uri="{B025F937-C7B1-47D3-B67F-A62EFF666E3E}">
          <x14:id>{AAC747A5-A835-4813-AF86-2CCCB70576D6}</x14:id>
        </ext>
      </extLst>
    </cfRule>
  </conditionalFormatting>
  <conditionalFormatting sqref="Z1010">
    <cfRule type="dataBar" priority="490">
      <dataBar>
        <cfvo type="min"/>
        <cfvo type="max"/>
        <color rgb="FF63C384"/>
      </dataBar>
      <extLst>
        <ext xmlns:x14="http://schemas.microsoft.com/office/spreadsheetml/2009/9/main" uri="{B025F937-C7B1-47D3-B67F-A62EFF666E3E}">
          <x14:id>{5A0B16FC-3CB9-4CE2-B4EC-FC0238087CAB}</x14:id>
        </ext>
      </extLst>
    </cfRule>
  </conditionalFormatting>
  <conditionalFormatting sqref="J1010">
    <cfRule type="cellIs" dxfId="6818" priority="489" operator="equal">
      <formula>"ja"</formula>
    </cfRule>
  </conditionalFormatting>
  <conditionalFormatting sqref="J1010">
    <cfRule type="cellIs" dxfId="6817" priority="488" operator="equal">
      <formula>"ja"</formula>
    </cfRule>
  </conditionalFormatting>
  <conditionalFormatting sqref="T1011">
    <cfRule type="expression" dxfId="6816" priority="487">
      <formula>AND(AND($W1011&lt;TODAY(),$W1011&lt;&gt;""),$X1011="")</formula>
    </cfRule>
  </conditionalFormatting>
  <conditionalFormatting sqref="T1012">
    <cfRule type="expression" dxfId="6815" priority="486">
      <formula>AND(AND($W1012&lt;TODAY(),$W1012&lt;&gt;""),$X1012="")</formula>
    </cfRule>
  </conditionalFormatting>
  <conditionalFormatting sqref="C1012">
    <cfRule type="containsText" dxfId="6814" priority="484" operator="containsText" text="Einnahmen">
      <formula>NOT(ISERROR(SEARCH("Einnahmen",C1012)))</formula>
    </cfRule>
    <cfRule type="containsText" dxfId="6813" priority="485" operator="containsText" text="Ausgaben">
      <formula>NOT(ISERROR(SEARCH("Ausgaben",C1012)))</formula>
    </cfRule>
  </conditionalFormatting>
  <conditionalFormatting sqref="C1012">
    <cfRule type="containsText" dxfId="6812" priority="482" operator="containsText" text="Einnahmen">
      <formula>NOT(ISERROR(SEARCH("Einnahmen",C1012)))</formula>
    </cfRule>
    <cfRule type="containsText" dxfId="6811" priority="483" operator="containsText" text="Ausgaben">
      <formula>NOT(ISERROR(SEARCH("Ausgaben",C1012)))</formula>
    </cfRule>
  </conditionalFormatting>
  <conditionalFormatting sqref="J1012">
    <cfRule type="cellIs" dxfId="6810" priority="481" operator="equal">
      <formula>"ja"</formula>
    </cfRule>
  </conditionalFormatting>
  <conditionalFormatting sqref="Z1012">
    <cfRule type="dataBar" priority="480">
      <dataBar>
        <cfvo type="min"/>
        <cfvo type="max"/>
        <color rgb="FF63C384"/>
      </dataBar>
      <extLst>
        <ext xmlns:x14="http://schemas.microsoft.com/office/spreadsheetml/2009/9/main" uri="{B025F937-C7B1-47D3-B67F-A62EFF666E3E}">
          <x14:id>{FA41C9B6-F6B9-44BB-9CED-90BEE48F1B18}</x14:id>
        </ext>
      </extLst>
    </cfRule>
  </conditionalFormatting>
  <conditionalFormatting sqref="J1012">
    <cfRule type="cellIs" dxfId="6809" priority="479" operator="equal">
      <formula>"ja"</formula>
    </cfRule>
  </conditionalFormatting>
  <conditionalFormatting sqref="Z982:Z983">
    <cfRule type="dataBar" priority="12691">
      <dataBar>
        <cfvo type="min"/>
        <cfvo type="max"/>
        <color rgb="FF63C384"/>
      </dataBar>
      <extLst>
        <ext xmlns:x14="http://schemas.microsoft.com/office/spreadsheetml/2009/9/main" uri="{B025F937-C7B1-47D3-B67F-A62EFF666E3E}">
          <x14:id>{303FA2C5-7651-40B3-976E-5BCCFDF0F21B}</x14:id>
        </ext>
      </extLst>
    </cfRule>
  </conditionalFormatting>
  <conditionalFormatting sqref="C1013">
    <cfRule type="containsText" dxfId="6808" priority="477" operator="containsText" text="Einnahmen">
      <formula>NOT(ISERROR(SEARCH("Einnahmen",C1013)))</formula>
    </cfRule>
    <cfRule type="containsText" dxfId="6807" priority="478" operator="containsText" text="Ausgaben">
      <formula>NOT(ISERROR(SEARCH("Ausgaben",C1013)))</formula>
    </cfRule>
  </conditionalFormatting>
  <conditionalFormatting sqref="T1013">
    <cfRule type="expression" dxfId="6806" priority="476">
      <formula>AND(AND($W1013&lt;TODAY(),$W1013&lt;&gt;""),$X1013="")</formula>
    </cfRule>
  </conditionalFormatting>
  <conditionalFormatting sqref="Z1013">
    <cfRule type="dataBar" priority="475">
      <dataBar>
        <cfvo type="min"/>
        <cfvo type="max"/>
        <color rgb="FF63C384"/>
      </dataBar>
      <extLst>
        <ext xmlns:x14="http://schemas.microsoft.com/office/spreadsheetml/2009/9/main" uri="{B025F937-C7B1-47D3-B67F-A62EFF666E3E}">
          <x14:id>{5E0B29E9-2B4D-4C00-A140-D1D0C7C3CB59}</x14:id>
        </ext>
      </extLst>
    </cfRule>
  </conditionalFormatting>
  <conditionalFormatting sqref="Z1013">
    <cfRule type="dataBar" priority="474">
      <dataBar>
        <cfvo type="min"/>
        <cfvo type="max"/>
        <color rgb="FF63C384"/>
      </dataBar>
      <extLst>
        <ext xmlns:x14="http://schemas.microsoft.com/office/spreadsheetml/2009/9/main" uri="{B025F937-C7B1-47D3-B67F-A62EFF666E3E}">
          <x14:id>{003B05A5-5387-4117-B967-BE98DF9E3CF8}</x14:id>
        </ext>
      </extLst>
    </cfRule>
  </conditionalFormatting>
  <conditionalFormatting sqref="Z1013">
    <cfRule type="dataBar" priority="473">
      <dataBar>
        <cfvo type="min"/>
        <cfvo type="max"/>
        <color rgb="FF63C384"/>
      </dataBar>
      <extLst>
        <ext xmlns:x14="http://schemas.microsoft.com/office/spreadsheetml/2009/9/main" uri="{B025F937-C7B1-47D3-B67F-A62EFF666E3E}">
          <x14:id>{91B024A6-F279-487F-B294-3C8E221DA9CA}</x14:id>
        </ext>
      </extLst>
    </cfRule>
  </conditionalFormatting>
  <conditionalFormatting sqref="Z1013">
    <cfRule type="dataBar" priority="472">
      <dataBar>
        <cfvo type="min"/>
        <cfvo type="max"/>
        <color rgb="FF63C384"/>
      </dataBar>
      <extLst>
        <ext xmlns:x14="http://schemas.microsoft.com/office/spreadsheetml/2009/9/main" uri="{B025F937-C7B1-47D3-B67F-A62EFF666E3E}">
          <x14:id>{1E409A2A-D6C6-4586-B0D9-5B4833CAFED8}</x14:id>
        </ext>
      </extLst>
    </cfRule>
  </conditionalFormatting>
  <conditionalFormatting sqref="C874">
    <cfRule type="containsText" dxfId="6805" priority="470" operator="containsText" text="Einnahmen">
      <formula>NOT(ISERROR(SEARCH("Einnahmen",C874)))</formula>
    </cfRule>
    <cfRule type="containsText" dxfId="6804" priority="471" operator="containsText" text="Ausgaben">
      <formula>NOT(ISERROR(SEARCH("Ausgaben",C874)))</formula>
    </cfRule>
  </conditionalFormatting>
  <conditionalFormatting sqref="Z874">
    <cfRule type="dataBar" priority="469">
      <dataBar>
        <cfvo type="min"/>
        <cfvo type="max"/>
        <color rgb="FF63C384"/>
      </dataBar>
      <extLst>
        <ext xmlns:x14="http://schemas.microsoft.com/office/spreadsheetml/2009/9/main" uri="{B025F937-C7B1-47D3-B67F-A62EFF666E3E}">
          <x14:id>{F86D2C9E-F964-4016-BA13-0E4D59672427}</x14:id>
        </ext>
      </extLst>
    </cfRule>
  </conditionalFormatting>
  <conditionalFormatting sqref="Z874">
    <cfRule type="dataBar" priority="468">
      <dataBar>
        <cfvo type="min"/>
        <cfvo type="max"/>
        <color rgb="FF63C384"/>
      </dataBar>
      <extLst>
        <ext xmlns:x14="http://schemas.microsoft.com/office/spreadsheetml/2009/9/main" uri="{B025F937-C7B1-47D3-B67F-A62EFF666E3E}">
          <x14:id>{EF9BE71E-4DFC-42DB-BE33-92D4A99248E1}</x14:id>
        </ext>
      </extLst>
    </cfRule>
  </conditionalFormatting>
  <conditionalFormatting sqref="Z874">
    <cfRule type="dataBar" priority="467">
      <dataBar>
        <cfvo type="min"/>
        <cfvo type="max"/>
        <color rgb="FF63C384"/>
      </dataBar>
      <extLst>
        <ext xmlns:x14="http://schemas.microsoft.com/office/spreadsheetml/2009/9/main" uri="{B025F937-C7B1-47D3-B67F-A62EFF666E3E}">
          <x14:id>{927BEA13-B078-4108-9E1A-0C1682163EA6}</x14:id>
        </ext>
      </extLst>
    </cfRule>
  </conditionalFormatting>
  <conditionalFormatting sqref="Z874">
    <cfRule type="dataBar" priority="466">
      <dataBar>
        <cfvo type="min"/>
        <cfvo type="max"/>
        <color rgb="FF63C384"/>
      </dataBar>
      <extLst>
        <ext xmlns:x14="http://schemas.microsoft.com/office/spreadsheetml/2009/9/main" uri="{B025F937-C7B1-47D3-B67F-A62EFF666E3E}">
          <x14:id>{FE721C03-AEA6-423C-86DA-29BBD2C432FC}</x14:id>
        </ext>
      </extLst>
    </cfRule>
  </conditionalFormatting>
  <conditionalFormatting sqref="C821">
    <cfRule type="containsText" dxfId="6803" priority="464" operator="containsText" text="Einnahmen">
      <formula>NOT(ISERROR(SEARCH("Einnahmen",C821)))</formula>
    </cfRule>
    <cfRule type="containsText" dxfId="6802" priority="465" operator="containsText" text="Ausgaben">
      <formula>NOT(ISERROR(SEARCH("Ausgaben",C821)))</formula>
    </cfRule>
  </conditionalFormatting>
  <conditionalFormatting sqref="T1014">
    <cfRule type="expression" dxfId="6801" priority="463">
      <formula>AND(AND($W1014&lt;TODAY(),$W1014&lt;&gt;""),$X1014="")</formula>
    </cfRule>
  </conditionalFormatting>
  <conditionalFormatting sqref="T1015">
    <cfRule type="expression" dxfId="6800" priority="462">
      <formula>AND(AND($W1015&lt;TODAY(),$W1015&lt;&gt;""),$X1015="")</formula>
    </cfRule>
  </conditionalFormatting>
  <conditionalFormatting sqref="Z1015">
    <cfRule type="dataBar" priority="461">
      <dataBar>
        <cfvo type="min"/>
        <cfvo type="max"/>
        <color rgb="FF63C384"/>
      </dataBar>
      <extLst>
        <ext xmlns:x14="http://schemas.microsoft.com/office/spreadsheetml/2009/9/main" uri="{B025F937-C7B1-47D3-B67F-A62EFF666E3E}">
          <x14:id>{FE0C72D8-A0E7-460E-BE20-C560973048E3}</x14:id>
        </ext>
      </extLst>
    </cfRule>
  </conditionalFormatting>
  <conditionalFormatting sqref="Z1015">
    <cfRule type="dataBar" priority="460">
      <dataBar>
        <cfvo type="min"/>
        <cfvo type="max"/>
        <color rgb="FF63C384"/>
      </dataBar>
      <extLst>
        <ext xmlns:x14="http://schemas.microsoft.com/office/spreadsheetml/2009/9/main" uri="{B025F937-C7B1-47D3-B67F-A62EFF666E3E}">
          <x14:id>{8B13B12C-FFA8-41A6-943A-65996C0A67D4}</x14:id>
        </ext>
      </extLst>
    </cfRule>
  </conditionalFormatting>
  <conditionalFormatting sqref="J1015">
    <cfRule type="cellIs" dxfId="6799" priority="459" operator="equal">
      <formula>"ja"</formula>
    </cfRule>
  </conditionalFormatting>
  <conditionalFormatting sqref="C1015">
    <cfRule type="containsText" dxfId="6798" priority="457" operator="containsText" text="Einnahmen">
      <formula>NOT(ISERROR(SEARCH("Einnahmen",C1015)))</formula>
    </cfRule>
    <cfRule type="containsText" dxfId="6797" priority="458" operator="containsText" text="Ausgaben">
      <formula>NOT(ISERROR(SEARCH("Ausgaben",C1015)))</formula>
    </cfRule>
  </conditionalFormatting>
  <conditionalFormatting sqref="C1016">
    <cfRule type="containsText" dxfId="6796" priority="455" operator="containsText" text="Einnahmen">
      <formula>NOT(ISERROR(SEARCH("Einnahmen",C1016)))</formula>
    </cfRule>
    <cfRule type="containsText" dxfId="6795" priority="456" operator="containsText" text="Ausgaben">
      <formula>NOT(ISERROR(SEARCH("Ausgaben",C1016)))</formula>
    </cfRule>
  </conditionalFormatting>
  <conditionalFormatting sqref="T1016">
    <cfRule type="expression" dxfId="6794" priority="454">
      <formula>AND(AND($W1016&lt;TODAY(),$W1016&lt;&gt;""),$X1016="")</formula>
    </cfRule>
  </conditionalFormatting>
  <conditionalFormatting sqref="J1016">
    <cfRule type="cellIs" dxfId="6793" priority="453" operator="equal">
      <formula>"ja"</formula>
    </cfRule>
  </conditionalFormatting>
  <conditionalFormatting sqref="Z1016">
    <cfRule type="dataBar" priority="452">
      <dataBar>
        <cfvo type="min"/>
        <cfvo type="max"/>
        <color rgb="FF63C384"/>
      </dataBar>
      <extLst>
        <ext xmlns:x14="http://schemas.microsoft.com/office/spreadsheetml/2009/9/main" uri="{B025F937-C7B1-47D3-B67F-A62EFF666E3E}">
          <x14:id>{790CB64F-61E7-4554-906E-D1BDFACD52DC}</x14:id>
        </ext>
      </extLst>
    </cfRule>
  </conditionalFormatting>
  <conditionalFormatting sqref="J1016">
    <cfRule type="cellIs" dxfId="6792" priority="451" operator="equal">
      <formula>"ja"</formula>
    </cfRule>
  </conditionalFormatting>
  <conditionalFormatting sqref="T1017">
    <cfRule type="expression" dxfId="6791" priority="450">
      <formula>AND(AND($W1017&lt;TODAY(),$W1017&lt;&gt;""),$X1017="")</formula>
    </cfRule>
  </conditionalFormatting>
  <conditionalFormatting sqref="C1017">
    <cfRule type="containsText" dxfId="6790" priority="448" operator="containsText" text="Einnahmen">
      <formula>NOT(ISERROR(SEARCH("Einnahmen",C1017)))</formula>
    </cfRule>
    <cfRule type="containsText" dxfId="6789" priority="449" operator="containsText" text="Ausgaben">
      <formula>NOT(ISERROR(SEARCH("Ausgaben",C1017)))</formula>
    </cfRule>
  </conditionalFormatting>
  <conditionalFormatting sqref="J1017">
    <cfRule type="cellIs" dxfId="6788" priority="447" operator="equal">
      <formula>"ja"</formula>
    </cfRule>
  </conditionalFormatting>
  <conditionalFormatting sqref="Z1017">
    <cfRule type="dataBar" priority="446">
      <dataBar>
        <cfvo type="min"/>
        <cfvo type="max"/>
        <color rgb="FF63C384"/>
      </dataBar>
      <extLst>
        <ext xmlns:x14="http://schemas.microsoft.com/office/spreadsheetml/2009/9/main" uri="{B025F937-C7B1-47D3-B67F-A62EFF666E3E}">
          <x14:id>{243D915F-FDF8-4D2C-AA04-E3BB3557FB71}</x14:id>
        </ext>
      </extLst>
    </cfRule>
  </conditionalFormatting>
  <conditionalFormatting sqref="Z1017">
    <cfRule type="dataBar" priority="445">
      <dataBar>
        <cfvo type="min"/>
        <cfvo type="max"/>
        <color rgb="FF63C384"/>
      </dataBar>
      <extLst>
        <ext xmlns:x14="http://schemas.microsoft.com/office/spreadsheetml/2009/9/main" uri="{B025F937-C7B1-47D3-B67F-A62EFF666E3E}">
          <x14:id>{967DBE5E-2470-4053-9AD0-43A7D33DC4D8}</x14:id>
        </ext>
      </extLst>
    </cfRule>
  </conditionalFormatting>
  <conditionalFormatting sqref="T1018">
    <cfRule type="expression" dxfId="6787" priority="444">
      <formula>AND(AND($W1018&lt;TODAY(),$W1018&lt;&gt;""),$X1018="")</formula>
    </cfRule>
  </conditionalFormatting>
  <conditionalFormatting sqref="C1018">
    <cfRule type="containsText" dxfId="6786" priority="442" operator="containsText" text="Einnahmen">
      <formula>NOT(ISERROR(SEARCH("Einnahmen",C1018)))</formula>
    </cfRule>
    <cfRule type="containsText" dxfId="6785" priority="443" operator="containsText" text="Ausgaben">
      <formula>NOT(ISERROR(SEARCH("Ausgaben",C1018)))</formula>
    </cfRule>
  </conditionalFormatting>
  <conditionalFormatting sqref="J1018">
    <cfRule type="cellIs" dxfId="6784" priority="441" operator="equal">
      <formula>"ja"</formula>
    </cfRule>
  </conditionalFormatting>
  <conditionalFormatting sqref="J1018">
    <cfRule type="cellIs" dxfId="6783" priority="432" operator="equal">
      <formula>"ja"</formula>
    </cfRule>
  </conditionalFormatting>
  <conditionalFormatting sqref="Z1018">
    <cfRule type="dataBar" priority="440">
      <dataBar>
        <cfvo type="min"/>
        <cfvo type="max"/>
        <color rgb="FF63C384"/>
      </dataBar>
      <extLst>
        <ext xmlns:x14="http://schemas.microsoft.com/office/spreadsheetml/2009/9/main" uri="{B025F937-C7B1-47D3-B67F-A62EFF666E3E}">
          <x14:id>{5F7302BF-346F-41E7-B1EF-13CA5D4D371C}</x14:id>
        </ext>
      </extLst>
    </cfRule>
  </conditionalFormatting>
  <conditionalFormatting sqref="Z1018">
    <cfRule type="dataBar" priority="439">
      <dataBar>
        <cfvo type="min"/>
        <cfvo type="max"/>
        <color rgb="FF63C384"/>
      </dataBar>
      <extLst>
        <ext xmlns:x14="http://schemas.microsoft.com/office/spreadsheetml/2009/9/main" uri="{B025F937-C7B1-47D3-B67F-A62EFF666E3E}">
          <x14:id>{64B4921B-027C-4DC8-8607-6AFEE8686F3B}</x14:id>
        </ext>
      </extLst>
    </cfRule>
  </conditionalFormatting>
  <conditionalFormatting sqref="J1018">
    <cfRule type="cellIs" dxfId="6782" priority="438" operator="equal">
      <formula>"ja"</formula>
    </cfRule>
  </conditionalFormatting>
  <conditionalFormatting sqref="Z1018">
    <cfRule type="dataBar" priority="437">
      <dataBar>
        <cfvo type="min"/>
        <cfvo type="max"/>
        <color rgb="FF63C384"/>
      </dataBar>
      <extLst>
        <ext xmlns:x14="http://schemas.microsoft.com/office/spreadsheetml/2009/9/main" uri="{B025F937-C7B1-47D3-B67F-A62EFF666E3E}">
          <x14:id>{C499C873-FB39-4DE5-B117-5014F7044872}</x14:id>
        </ext>
      </extLst>
    </cfRule>
  </conditionalFormatting>
  <conditionalFormatting sqref="Z1018">
    <cfRule type="dataBar" priority="436">
      <dataBar>
        <cfvo type="min"/>
        <cfvo type="max"/>
        <color rgb="FF63C384"/>
      </dataBar>
      <extLst>
        <ext xmlns:x14="http://schemas.microsoft.com/office/spreadsheetml/2009/9/main" uri="{B025F937-C7B1-47D3-B67F-A62EFF666E3E}">
          <x14:id>{89444C6D-ED98-4B46-AE74-403F1E35F17B}</x14:id>
        </ext>
      </extLst>
    </cfRule>
  </conditionalFormatting>
  <conditionalFormatting sqref="J1018">
    <cfRule type="cellIs" dxfId="6781" priority="435" operator="equal">
      <formula>"ja"</formula>
    </cfRule>
  </conditionalFormatting>
  <conditionalFormatting sqref="Z1018">
    <cfRule type="dataBar" priority="434">
      <dataBar>
        <cfvo type="min"/>
        <cfvo type="max"/>
        <color rgb="FF63C384"/>
      </dataBar>
      <extLst>
        <ext xmlns:x14="http://schemas.microsoft.com/office/spreadsheetml/2009/9/main" uri="{B025F937-C7B1-47D3-B67F-A62EFF666E3E}">
          <x14:id>{41587D79-2CFF-4ECA-B27F-939FC9BACBB3}</x14:id>
        </ext>
      </extLst>
    </cfRule>
  </conditionalFormatting>
  <conditionalFormatting sqref="Z1018">
    <cfRule type="dataBar" priority="433">
      <dataBar>
        <cfvo type="min"/>
        <cfvo type="max"/>
        <color rgb="FF63C384"/>
      </dataBar>
      <extLst>
        <ext xmlns:x14="http://schemas.microsoft.com/office/spreadsheetml/2009/9/main" uri="{B025F937-C7B1-47D3-B67F-A62EFF666E3E}">
          <x14:id>{98068C86-CCBB-469D-B0C6-A7AF9107EE56}</x14:id>
        </ext>
      </extLst>
    </cfRule>
  </conditionalFormatting>
  <conditionalFormatting sqref="Z1018">
    <cfRule type="dataBar" priority="431">
      <dataBar>
        <cfvo type="min"/>
        <cfvo type="max"/>
        <color rgb="FF63C384"/>
      </dataBar>
      <extLst>
        <ext xmlns:x14="http://schemas.microsoft.com/office/spreadsheetml/2009/9/main" uri="{B025F937-C7B1-47D3-B67F-A62EFF666E3E}">
          <x14:id>{66B3F1BD-BB49-4B47-9A80-1F0DBF6A3C0B}</x14:id>
        </ext>
      </extLst>
    </cfRule>
  </conditionalFormatting>
  <conditionalFormatting sqref="Z1018">
    <cfRule type="dataBar" priority="430">
      <dataBar>
        <cfvo type="min"/>
        <cfvo type="max"/>
        <color rgb="FF63C384"/>
      </dataBar>
      <extLst>
        <ext xmlns:x14="http://schemas.microsoft.com/office/spreadsheetml/2009/9/main" uri="{B025F937-C7B1-47D3-B67F-A62EFF666E3E}">
          <x14:id>{439E273D-5DB1-41E5-907B-FFA8031C48F5}</x14:id>
        </ext>
      </extLst>
    </cfRule>
  </conditionalFormatting>
  <conditionalFormatting sqref="C1018">
    <cfRule type="containsText" dxfId="6780" priority="428" operator="containsText" text="Einnahmen">
      <formula>NOT(ISERROR(SEARCH("Einnahmen",C1018)))</formula>
    </cfRule>
    <cfRule type="containsText" dxfId="6779" priority="429" operator="containsText" text="Ausgaben">
      <formula>NOT(ISERROR(SEARCH("Ausgaben",C1018)))</formula>
    </cfRule>
  </conditionalFormatting>
  <conditionalFormatting sqref="C1018">
    <cfRule type="containsText" dxfId="6778" priority="426" operator="containsText" text="Einnahmen">
      <formula>NOT(ISERROR(SEARCH("Einnahmen",C1018)))</formula>
    </cfRule>
    <cfRule type="containsText" dxfId="6777" priority="427" operator="containsText" text="Ausgaben">
      <formula>NOT(ISERROR(SEARCH("Ausgaben",C1018)))</formula>
    </cfRule>
  </conditionalFormatting>
  <conditionalFormatting sqref="J1018">
    <cfRule type="cellIs" dxfId="6776" priority="425" operator="equal">
      <formula>"ja"</formula>
    </cfRule>
  </conditionalFormatting>
  <conditionalFormatting sqref="J1018">
    <cfRule type="cellIs" dxfId="6775" priority="424" operator="equal">
      <formula>"ja"</formula>
    </cfRule>
  </conditionalFormatting>
  <conditionalFormatting sqref="T1019">
    <cfRule type="expression" dxfId="6774" priority="423">
      <formula>AND(AND($W1019&lt;TODAY(),$W1019&lt;&gt;""),$X1019="")</formula>
    </cfRule>
  </conditionalFormatting>
  <conditionalFormatting sqref="C1019">
    <cfRule type="containsText" dxfId="6773" priority="421" operator="containsText" text="Einnahmen">
      <formula>NOT(ISERROR(SEARCH("Einnahmen",C1019)))</formula>
    </cfRule>
    <cfRule type="containsText" dxfId="6772" priority="422" operator="containsText" text="Ausgaben">
      <formula>NOT(ISERROR(SEARCH("Ausgaben",C1019)))</formula>
    </cfRule>
  </conditionalFormatting>
  <conditionalFormatting sqref="C1019">
    <cfRule type="containsText" dxfId="6771" priority="419" operator="containsText" text="Einnahmen">
      <formula>NOT(ISERROR(SEARCH("Einnahmen",C1019)))</formula>
    </cfRule>
    <cfRule type="containsText" dxfId="6770" priority="420" operator="containsText" text="Ausgaben">
      <formula>NOT(ISERROR(SEARCH("Ausgaben",C1019)))</formula>
    </cfRule>
  </conditionalFormatting>
  <conditionalFormatting sqref="J1019">
    <cfRule type="cellIs" dxfId="6769" priority="418" operator="equal">
      <formula>"ja"</formula>
    </cfRule>
  </conditionalFormatting>
  <conditionalFormatting sqref="Z1019">
    <cfRule type="dataBar" priority="417">
      <dataBar>
        <cfvo type="min"/>
        <cfvo type="max"/>
        <color rgb="FF63C384"/>
      </dataBar>
      <extLst>
        <ext xmlns:x14="http://schemas.microsoft.com/office/spreadsheetml/2009/9/main" uri="{B025F937-C7B1-47D3-B67F-A62EFF666E3E}">
          <x14:id>{FB53FED2-DF0C-4E5C-8931-F470AE2D3CF2}</x14:id>
        </ext>
      </extLst>
    </cfRule>
  </conditionalFormatting>
  <conditionalFormatting sqref="J1019">
    <cfRule type="cellIs" dxfId="6768" priority="416" operator="equal">
      <formula>"ja"</formula>
    </cfRule>
  </conditionalFormatting>
  <conditionalFormatting sqref="T1020">
    <cfRule type="expression" dxfId="6767" priority="396">
      <formula>AND(AND($W1020&lt;TODAY(),$W1020&lt;&gt;""),$X1020="")</formula>
    </cfRule>
  </conditionalFormatting>
  <conditionalFormatting sqref="J1020">
    <cfRule type="cellIs" dxfId="6766" priority="395" operator="equal">
      <formula>"ja"</formula>
    </cfRule>
  </conditionalFormatting>
  <conditionalFormatting sqref="C1020">
    <cfRule type="containsText" dxfId="6765" priority="393" operator="containsText" text="Einnahmen">
      <formula>NOT(ISERROR(SEARCH("Einnahmen",C1020)))</formula>
    </cfRule>
    <cfRule type="containsText" dxfId="6764" priority="394" operator="containsText" text="Ausgaben">
      <formula>NOT(ISERROR(SEARCH("Ausgaben",C1020)))</formula>
    </cfRule>
  </conditionalFormatting>
  <conditionalFormatting sqref="Z1020">
    <cfRule type="dataBar" priority="392">
      <dataBar>
        <cfvo type="min"/>
        <cfvo type="max"/>
        <color rgb="FF63C384"/>
      </dataBar>
      <extLst>
        <ext xmlns:x14="http://schemas.microsoft.com/office/spreadsheetml/2009/9/main" uri="{B025F937-C7B1-47D3-B67F-A62EFF666E3E}">
          <x14:id>{662EEAEE-7FB5-45F3-9A12-1D99449F3788}</x14:id>
        </ext>
      </extLst>
    </cfRule>
  </conditionalFormatting>
  <conditionalFormatting sqref="Z1020">
    <cfRule type="dataBar" priority="391">
      <dataBar>
        <cfvo type="min"/>
        <cfvo type="max"/>
        <color rgb="FF63C384"/>
      </dataBar>
      <extLst>
        <ext xmlns:x14="http://schemas.microsoft.com/office/spreadsheetml/2009/9/main" uri="{B025F937-C7B1-47D3-B67F-A62EFF666E3E}">
          <x14:id>{09B845A2-0AC4-4278-B250-7A7A6AA073D2}</x14:id>
        </ext>
      </extLst>
    </cfRule>
  </conditionalFormatting>
  <conditionalFormatting sqref="T1021">
    <cfRule type="expression" dxfId="6763" priority="390">
      <formula>AND(AND($W1021&lt;TODAY(),$W1021&lt;&gt;""),$X1021="")</formula>
    </cfRule>
  </conditionalFormatting>
  <conditionalFormatting sqref="J1021">
    <cfRule type="cellIs" dxfId="6762" priority="389" operator="equal">
      <formula>"ja"</formula>
    </cfRule>
  </conditionalFormatting>
  <conditionalFormatting sqref="Z1021">
    <cfRule type="dataBar" priority="388">
      <dataBar>
        <cfvo type="min"/>
        <cfvo type="max"/>
        <color rgb="FF63C384"/>
      </dataBar>
      <extLst>
        <ext xmlns:x14="http://schemas.microsoft.com/office/spreadsheetml/2009/9/main" uri="{B025F937-C7B1-47D3-B67F-A62EFF666E3E}">
          <x14:id>{C269CA04-F80E-43D1-B4CD-23713516155F}</x14:id>
        </ext>
      </extLst>
    </cfRule>
  </conditionalFormatting>
  <conditionalFormatting sqref="J1021">
    <cfRule type="cellIs" dxfId="6761" priority="387" operator="equal">
      <formula>"ja"</formula>
    </cfRule>
  </conditionalFormatting>
  <conditionalFormatting sqref="J1021">
    <cfRule type="cellIs" dxfId="6760" priority="386" operator="equal">
      <formula>"ja"</formula>
    </cfRule>
  </conditionalFormatting>
  <conditionalFormatting sqref="C1021">
    <cfRule type="containsText" dxfId="6759" priority="384" operator="containsText" text="Einnahmen">
      <formula>NOT(ISERROR(SEARCH("Einnahmen",C1021)))</formula>
    </cfRule>
    <cfRule type="containsText" dxfId="6758" priority="385" operator="containsText" text="Ausgaben">
      <formula>NOT(ISERROR(SEARCH("Ausgaben",C1021)))</formula>
    </cfRule>
  </conditionalFormatting>
  <conditionalFormatting sqref="C1021">
    <cfRule type="containsText" dxfId="6757" priority="382" operator="containsText" text="Einnahmen">
      <formula>NOT(ISERROR(SEARCH("Einnahmen",C1021)))</formula>
    </cfRule>
    <cfRule type="containsText" dxfId="6756" priority="383" operator="containsText" text="Ausgaben">
      <formula>NOT(ISERROR(SEARCH("Ausgaben",C1021)))</formula>
    </cfRule>
  </conditionalFormatting>
  <conditionalFormatting sqref="T1022">
    <cfRule type="expression" dxfId="6755" priority="381">
      <formula>AND(AND($W1022&lt;TODAY(),$W1022&lt;&gt;""),$X1022="")</formula>
    </cfRule>
  </conditionalFormatting>
  <conditionalFormatting sqref="C1022">
    <cfRule type="containsText" dxfId="6754" priority="379" operator="containsText" text="Einnahmen">
      <formula>NOT(ISERROR(SEARCH("Einnahmen",C1022)))</formula>
    </cfRule>
    <cfRule type="containsText" dxfId="6753" priority="380" operator="containsText" text="Ausgaben">
      <formula>NOT(ISERROR(SEARCH("Ausgaben",C1022)))</formula>
    </cfRule>
  </conditionalFormatting>
  <conditionalFormatting sqref="J1022">
    <cfRule type="cellIs" dxfId="6752" priority="378" operator="equal">
      <formula>"ja"</formula>
    </cfRule>
  </conditionalFormatting>
  <conditionalFormatting sqref="J1022">
    <cfRule type="cellIs" dxfId="6751" priority="377" operator="equal">
      <formula>"ja"</formula>
    </cfRule>
  </conditionalFormatting>
  <conditionalFormatting sqref="C1022">
    <cfRule type="containsText" dxfId="6750" priority="375" operator="containsText" text="Einnahmen">
      <formula>NOT(ISERROR(SEARCH("Einnahmen",C1022)))</formula>
    </cfRule>
    <cfRule type="containsText" dxfId="6749" priority="376" operator="containsText" text="Ausgaben">
      <formula>NOT(ISERROR(SEARCH("Ausgaben",C1022)))</formula>
    </cfRule>
  </conditionalFormatting>
  <conditionalFormatting sqref="J1022">
    <cfRule type="cellIs" dxfId="6748" priority="374" operator="equal">
      <formula>"ja"</formula>
    </cfRule>
  </conditionalFormatting>
  <conditionalFormatting sqref="Z1022">
    <cfRule type="dataBar" priority="373">
      <dataBar>
        <cfvo type="min"/>
        <cfvo type="max"/>
        <color rgb="FF63C384"/>
      </dataBar>
      <extLst>
        <ext xmlns:x14="http://schemas.microsoft.com/office/spreadsheetml/2009/9/main" uri="{B025F937-C7B1-47D3-B67F-A62EFF666E3E}">
          <x14:id>{FA2A7D96-9B58-4759-988E-0B062D8EE843}</x14:id>
        </ext>
      </extLst>
    </cfRule>
  </conditionalFormatting>
  <conditionalFormatting sqref="Z1022">
    <cfRule type="dataBar" priority="372">
      <dataBar>
        <cfvo type="min"/>
        <cfvo type="max"/>
        <color rgb="FF63C384"/>
      </dataBar>
      <extLst>
        <ext xmlns:x14="http://schemas.microsoft.com/office/spreadsheetml/2009/9/main" uri="{B025F937-C7B1-47D3-B67F-A62EFF666E3E}">
          <x14:id>{6CB43B94-F9F2-4398-954F-868098BA909B}</x14:id>
        </ext>
      </extLst>
    </cfRule>
  </conditionalFormatting>
  <conditionalFormatting sqref="J1022">
    <cfRule type="cellIs" dxfId="6747" priority="371" operator="equal">
      <formula>"ja"</formula>
    </cfRule>
  </conditionalFormatting>
  <conditionalFormatting sqref="Z1022">
    <cfRule type="dataBar" priority="370">
      <dataBar>
        <cfvo type="min"/>
        <cfvo type="max"/>
        <color rgb="FF63C384"/>
      </dataBar>
      <extLst>
        <ext xmlns:x14="http://schemas.microsoft.com/office/spreadsheetml/2009/9/main" uri="{B025F937-C7B1-47D3-B67F-A62EFF666E3E}">
          <x14:id>{D65C1CDD-D1E5-4562-865A-436EE42A4B53}</x14:id>
        </ext>
      </extLst>
    </cfRule>
  </conditionalFormatting>
  <conditionalFormatting sqref="Z1022">
    <cfRule type="dataBar" priority="369">
      <dataBar>
        <cfvo type="min"/>
        <cfvo type="max"/>
        <color rgb="FF63C384"/>
      </dataBar>
      <extLst>
        <ext xmlns:x14="http://schemas.microsoft.com/office/spreadsheetml/2009/9/main" uri="{B025F937-C7B1-47D3-B67F-A62EFF666E3E}">
          <x14:id>{27B2898A-CE48-444B-93DF-12F5EA659351}</x14:id>
        </ext>
      </extLst>
    </cfRule>
  </conditionalFormatting>
  <conditionalFormatting sqref="T1023">
    <cfRule type="expression" dxfId="6746" priority="368">
      <formula>AND(AND($W1023&lt;TODAY(),$W1023&lt;&gt;""),$X1023="")</formula>
    </cfRule>
  </conditionalFormatting>
  <conditionalFormatting sqref="C1023">
    <cfRule type="containsText" dxfId="6745" priority="366" operator="containsText" text="Einnahmen">
      <formula>NOT(ISERROR(SEARCH("Einnahmen",C1023)))</formula>
    </cfRule>
    <cfRule type="containsText" dxfId="6744" priority="367" operator="containsText" text="Ausgaben">
      <formula>NOT(ISERROR(SEARCH("Ausgaben",C1023)))</formula>
    </cfRule>
  </conditionalFormatting>
  <conditionalFormatting sqref="Z1023">
    <cfRule type="dataBar" priority="365">
      <dataBar>
        <cfvo type="min"/>
        <cfvo type="max"/>
        <color rgb="FF63C384"/>
      </dataBar>
      <extLst>
        <ext xmlns:x14="http://schemas.microsoft.com/office/spreadsheetml/2009/9/main" uri="{B025F937-C7B1-47D3-B67F-A62EFF666E3E}">
          <x14:id>{5BD34321-D7AC-43F7-8C41-03471FEF301C}</x14:id>
        </ext>
      </extLst>
    </cfRule>
  </conditionalFormatting>
  <conditionalFormatting sqref="Z1023">
    <cfRule type="dataBar" priority="364">
      <dataBar>
        <cfvo type="min"/>
        <cfvo type="max"/>
        <color rgb="FF63C384"/>
      </dataBar>
      <extLst>
        <ext xmlns:x14="http://schemas.microsoft.com/office/spreadsheetml/2009/9/main" uri="{B025F937-C7B1-47D3-B67F-A62EFF666E3E}">
          <x14:id>{CA3E90FC-F865-4073-AC7B-5B3B09EAED6B}</x14:id>
        </ext>
      </extLst>
    </cfRule>
  </conditionalFormatting>
  <conditionalFormatting sqref="Z1023">
    <cfRule type="dataBar" priority="363">
      <dataBar>
        <cfvo type="min"/>
        <cfvo type="max"/>
        <color rgb="FF63C384"/>
      </dataBar>
      <extLst>
        <ext xmlns:x14="http://schemas.microsoft.com/office/spreadsheetml/2009/9/main" uri="{B025F937-C7B1-47D3-B67F-A62EFF666E3E}">
          <x14:id>{7F3D48E4-88AE-4E38-9041-F8A1C7FFFC08}</x14:id>
        </ext>
      </extLst>
    </cfRule>
  </conditionalFormatting>
  <conditionalFormatting sqref="Z1023">
    <cfRule type="dataBar" priority="362">
      <dataBar>
        <cfvo type="min"/>
        <cfvo type="max"/>
        <color rgb="FF63C384"/>
      </dataBar>
      <extLst>
        <ext xmlns:x14="http://schemas.microsoft.com/office/spreadsheetml/2009/9/main" uri="{B025F937-C7B1-47D3-B67F-A62EFF666E3E}">
          <x14:id>{04E90CBE-7072-46FB-822C-D6E9358C086C}</x14:id>
        </ext>
      </extLst>
    </cfRule>
  </conditionalFormatting>
  <conditionalFormatting sqref="T1024">
    <cfRule type="expression" dxfId="6743" priority="361">
      <formula>AND(AND($W1024&lt;TODAY(),$W1024&lt;&gt;""),$X1024="")</formula>
    </cfRule>
  </conditionalFormatting>
  <conditionalFormatting sqref="C1024">
    <cfRule type="containsText" dxfId="6742" priority="359" operator="containsText" text="Einnahmen">
      <formula>NOT(ISERROR(SEARCH("Einnahmen",C1024)))</formula>
    </cfRule>
    <cfRule type="containsText" dxfId="6741" priority="360" operator="containsText" text="Ausgaben">
      <formula>NOT(ISERROR(SEARCH("Ausgaben",C1024)))</formula>
    </cfRule>
  </conditionalFormatting>
  <conditionalFormatting sqref="Z1024">
    <cfRule type="dataBar" priority="358">
      <dataBar>
        <cfvo type="min"/>
        <cfvo type="max"/>
        <color rgb="FF63C384"/>
      </dataBar>
      <extLst>
        <ext xmlns:x14="http://schemas.microsoft.com/office/spreadsheetml/2009/9/main" uri="{B025F937-C7B1-47D3-B67F-A62EFF666E3E}">
          <x14:id>{611CFDD8-EE84-46E6-A710-3884492A869F}</x14:id>
        </ext>
      </extLst>
    </cfRule>
  </conditionalFormatting>
  <conditionalFormatting sqref="Z1024">
    <cfRule type="dataBar" priority="357">
      <dataBar>
        <cfvo type="min"/>
        <cfvo type="max"/>
        <color rgb="FF63C384"/>
      </dataBar>
      <extLst>
        <ext xmlns:x14="http://schemas.microsoft.com/office/spreadsheetml/2009/9/main" uri="{B025F937-C7B1-47D3-B67F-A62EFF666E3E}">
          <x14:id>{5E50A6CD-0F90-4CE1-B622-2D2BB37346E2}</x14:id>
        </ext>
      </extLst>
    </cfRule>
  </conditionalFormatting>
  <conditionalFormatting sqref="J1024">
    <cfRule type="cellIs" dxfId="6740" priority="356" operator="equal">
      <formula>"ja"</formula>
    </cfRule>
  </conditionalFormatting>
  <conditionalFormatting sqref="J1024">
    <cfRule type="cellIs" dxfId="6739" priority="355" operator="equal">
      <formula>"ja"</formula>
    </cfRule>
  </conditionalFormatting>
  <conditionalFormatting sqref="T1025">
    <cfRule type="expression" dxfId="6738" priority="354">
      <formula>AND(AND($W1025&lt;TODAY(),$W1025&lt;&gt;""),$X1025="")</formula>
    </cfRule>
  </conditionalFormatting>
  <conditionalFormatting sqref="J1025">
    <cfRule type="cellIs" dxfId="6737" priority="353" operator="equal">
      <formula>"ja"</formula>
    </cfRule>
  </conditionalFormatting>
  <conditionalFormatting sqref="Z1025">
    <cfRule type="dataBar" priority="352">
      <dataBar>
        <cfvo type="min"/>
        <cfvo type="max"/>
        <color rgb="FF63C384"/>
      </dataBar>
      <extLst>
        <ext xmlns:x14="http://schemas.microsoft.com/office/spreadsheetml/2009/9/main" uri="{B025F937-C7B1-47D3-B67F-A62EFF666E3E}">
          <x14:id>{1287EC04-682D-48B8-8C2C-8B9CA594A867}</x14:id>
        </ext>
      </extLst>
    </cfRule>
  </conditionalFormatting>
  <conditionalFormatting sqref="Z1025">
    <cfRule type="dataBar" priority="351">
      <dataBar>
        <cfvo type="min"/>
        <cfvo type="max"/>
        <color rgb="FF63C384"/>
      </dataBar>
      <extLst>
        <ext xmlns:x14="http://schemas.microsoft.com/office/spreadsheetml/2009/9/main" uri="{B025F937-C7B1-47D3-B67F-A62EFF666E3E}">
          <x14:id>{75FD7218-A247-4D5C-BFD6-4F8397DC00A3}</x14:id>
        </ext>
      </extLst>
    </cfRule>
  </conditionalFormatting>
  <conditionalFormatting sqref="Z1025">
    <cfRule type="dataBar" priority="350">
      <dataBar>
        <cfvo type="min"/>
        <cfvo type="max"/>
        <color rgb="FF63C384"/>
      </dataBar>
      <extLst>
        <ext xmlns:x14="http://schemas.microsoft.com/office/spreadsheetml/2009/9/main" uri="{B025F937-C7B1-47D3-B67F-A62EFF666E3E}">
          <x14:id>{9073598B-DD45-4233-AF45-38CAD6287CEC}</x14:id>
        </ext>
      </extLst>
    </cfRule>
  </conditionalFormatting>
  <conditionalFormatting sqref="Z1025">
    <cfRule type="dataBar" priority="349">
      <dataBar>
        <cfvo type="min"/>
        <cfvo type="max"/>
        <color rgb="FF63C384"/>
      </dataBar>
      <extLst>
        <ext xmlns:x14="http://schemas.microsoft.com/office/spreadsheetml/2009/9/main" uri="{B025F937-C7B1-47D3-B67F-A62EFF666E3E}">
          <x14:id>{23081F88-25A4-4177-A59F-6747D4B5FE84}</x14:id>
        </ext>
      </extLst>
    </cfRule>
  </conditionalFormatting>
  <conditionalFormatting sqref="J1025">
    <cfRule type="cellIs" dxfId="6736" priority="348" operator="equal">
      <formula>"ja"</formula>
    </cfRule>
  </conditionalFormatting>
  <conditionalFormatting sqref="C1025">
    <cfRule type="containsText" dxfId="6735" priority="346" operator="containsText" text="Einnahmen">
      <formula>NOT(ISERROR(SEARCH("Einnahmen",C1025)))</formula>
    </cfRule>
    <cfRule type="containsText" dxfId="6734" priority="347" operator="containsText" text="Ausgaben">
      <formula>NOT(ISERROR(SEARCH("Ausgaben",C1025)))</formula>
    </cfRule>
  </conditionalFormatting>
  <conditionalFormatting sqref="T1026">
    <cfRule type="expression" dxfId="6733" priority="345">
      <formula>AND(AND($W1026&lt;TODAY(),$W1026&lt;&gt;""),$X1026="")</formula>
    </cfRule>
  </conditionalFormatting>
  <conditionalFormatting sqref="C1026">
    <cfRule type="containsText" dxfId="6732" priority="343" operator="containsText" text="Einnahmen">
      <formula>NOT(ISERROR(SEARCH("Einnahmen",C1026)))</formula>
    </cfRule>
    <cfRule type="containsText" dxfId="6731" priority="344" operator="containsText" text="Ausgaben">
      <formula>NOT(ISERROR(SEARCH("Ausgaben",C1026)))</formula>
    </cfRule>
  </conditionalFormatting>
  <conditionalFormatting sqref="J1026">
    <cfRule type="cellIs" dxfId="6730" priority="342" operator="equal">
      <formula>"ja"</formula>
    </cfRule>
  </conditionalFormatting>
  <conditionalFormatting sqref="Z1026">
    <cfRule type="dataBar" priority="341">
      <dataBar>
        <cfvo type="min"/>
        <cfvo type="max"/>
        <color rgb="FF63C384"/>
      </dataBar>
      <extLst>
        <ext xmlns:x14="http://schemas.microsoft.com/office/spreadsheetml/2009/9/main" uri="{B025F937-C7B1-47D3-B67F-A62EFF666E3E}">
          <x14:id>{111300BC-86D5-4C98-B88A-FA2A3C6445D4}</x14:id>
        </ext>
      </extLst>
    </cfRule>
  </conditionalFormatting>
  <conditionalFormatting sqref="Z1026">
    <cfRule type="dataBar" priority="340">
      <dataBar>
        <cfvo type="min"/>
        <cfvo type="max"/>
        <color rgb="FF63C384"/>
      </dataBar>
      <extLst>
        <ext xmlns:x14="http://schemas.microsoft.com/office/spreadsheetml/2009/9/main" uri="{B025F937-C7B1-47D3-B67F-A62EFF666E3E}">
          <x14:id>{BEAF4341-A6FE-47F7-80BC-22BAF143BF76}</x14:id>
        </ext>
      </extLst>
    </cfRule>
  </conditionalFormatting>
  <conditionalFormatting sqref="T1027">
    <cfRule type="expression" dxfId="6729" priority="339">
      <formula>AND(AND($W1027&lt;TODAY(),$W1027&lt;&gt;""),$X1027="")</formula>
    </cfRule>
  </conditionalFormatting>
  <conditionalFormatting sqref="J1027">
    <cfRule type="cellIs" dxfId="6728" priority="338" operator="equal">
      <formula>"ja"</formula>
    </cfRule>
  </conditionalFormatting>
  <conditionalFormatting sqref="C1027">
    <cfRule type="containsText" dxfId="6727" priority="336" operator="containsText" text="Einnahmen">
      <formula>NOT(ISERROR(SEARCH("Einnahmen",C1027)))</formula>
    </cfRule>
    <cfRule type="containsText" dxfId="6726" priority="337" operator="containsText" text="Ausgaben">
      <formula>NOT(ISERROR(SEARCH("Ausgaben",C1027)))</formula>
    </cfRule>
  </conditionalFormatting>
  <conditionalFormatting sqref="Z1027">
    <cfRule type="dataBar" priority="335">
      <dataBar>
        <cfvo type="min"/>
        <cfvo type="max"/>
        <color rgb="FF63C384"/>
      </dataBar>
      <extLst>
        <ext xmlns:x14="http://schemas.microsoft.com/office/spreadsheetml/2009/9/main" uri="{B025F937-C7B1-47D3-B67F-A62EFF666E3E}">
          <x14:id>{C113E4A0-7690-4016-8FB7-861E4C198B94}</x14:id>
        </ext>
      </extLst>
    </cfRule>
  </conditionalFormatting>
  <conditionalFormatting sqref="Z1027">
    <cfRule type="dataBar" priority="334">
      <dataBar>
        <cfvo type="min"/>
        <cfvo type="max"/>
        <color rgb="FF63C384"/>
      </dataBar>
      <extLst>
        <ext xmlns:x14="http://schemas.microsoft.com/office/spreadsheetml/2009/9/main" uri="{B025F937-C7B1-47D3-B67F-A62EFF666E3E}">
          <x14:id>{535402D4-4D90-4920-8B2B-6AC117B78BE0}</x14:id>
        </ext>
      </extLst>
    </cfRule>
  </conditionalFormatting>
  <conditionalFormatting sqref="T1028">
    <cfRule type="expression" dxfId="6725" priority="333">
      <formula>AND(AND($W1028&lt;TODAY(),$W1028&lt;&gt;""),$X1028="")</formula>
    </cfRule>
  </conditionalFormatting>
  <conditionalFormatting sqref="Z1028">
    <cfRule type="dataBar" priority="332">
      <dataBar>
        <cfvo type="min"/>
        <cfvo type="max"/>
        <color rgb="FF63C384"/>
      </dataBar>
      <extLst>
        <ext xmlns:x14="http://schemas.microsoft.com/office/spreadsheetml/2009/9/main" uri="{B025F937-C7B1-47D3-B67F-A62EFF666E3E}">
          <x14:id>{E8F4D55B-B338-4FFD-B409-5FAE1A42C587}</x14:id>
        </ext>
      </extLst>
    </cfRule>
  </conditionalFormatting>
  <conditionalFormatting sqref="Z1028">
    <cfRule type="dataBar" priority="331">
      <dataBar>
        <cfvo type="min"/>
        <cfvo type="max"/>
        <color rgb="FF63C384"/>
      </dataBar>
      <extLst>
        <ext xmlns:x14="http://schemas.microsoft.com/office/spreadsheetml/2009/9/main" uri="{B025F937-C7B1-47D3-B67F-A62EFF666E3E}">
          <x14:id>{7F1C55D0-D4C6-48E6-BDE4-9CF30702FC3E}</x14:id>
        </ext>
      </extLst>
    </cfRule>
  </conditionalFormatting>
  <conditionalFormatting sqref="J1028">
    <cfRule type="cellIs" dxfId="6724" priority="330" operator="equal">
      <formula>"ja"</formula>
    </cfRule>
  </conditionalFormatting>
  <conditionalFormatting sqref="C1028">
    <cfRule type="containsText" dxfId="6723" priority="328" operator="containsText" text="Einnahmen">
      <formula>NOT(ISERROR(SEARCH("Einnahmen",C1028)))</formula>
    </cfRule>
    <cfRule type="containsText" dxfId="6722" priority="329" operator="containsText" text="Ausgaben">
      <formula>NOT(ISERROR(SEARCH("Ausgaben",C1028)))</formula>
    </cfRule>
  </conditionalFormatting>
  <conditionalFormatting sqref="T1029">
    <cfRule type="expression" dxfId="6721" priority="327">
      <formula>AND(AND($W1029&lt;TODAY(),$W1029&lt;&gt;""),$X1029="")</formula>
    </cfRule>
  </conditionalFormatting>
  <conditionalFormatting sqref="C1029">
    <cfRule type="containsText" dxfId="6720" priority="325" operator="containsText" text="Einnahmen">
      <formula>NOT(ISERROR(SEARCH("Einnahmen",C1029)))</formula>
    </cfRule>
    <cfRule type="containsText" dxfId="6719" priority="326" operator="containsText" text="Ausgaben">
      <formula>NOT(ISERROR(SEARCH("Ausgaben",C1029)))</formula>
    </cfRule>
  </conditionalFormatting>
  <conditionalFormatting sqref="C1029">
    <cfRule type="containsText" dxfId="6718" priority="323" operator="containsText" text="Einnahmen">
      <formula>NOT(ISERROR(SEARCH("Einnahmen",C1029)))</formula>
    </cfRule>
    <cfRule type="containsText" dxfId="6717" priority="324" operator="containsText" text="Ausgaben">
      <formula>NOT(ISERROR(SEARCH("Ausgaben",C1029)))</formula>
    </cfRule>
  </conditionalFormatting>
  <conditionalFormatting sqref="J1029">
    <cfRule type="cellIs" dxfId="6716" priority="322" operator="equal">
      <formula>"ja"</formula>
    </cfRule>
  </conditionalFormatting>
  <conditionalFormatting sqref="Z1029">
    <cfRule type="dataBar" priority="321">
      <dataBar>
        <cfvo type="min"/>
        <cfvo type="max"/>
        <color rgb="FF63C384"/>
      </dataBar>
      <extLst>
        <ext xmlns:x14="http://schemas.microsoft.com/office/spreadsheetml/2009/9/main" uri="{B025F937-C7B1-47D3-B67F-A62EFF666E3E}">
          <x14:id>{4B0F45F0-9CF3-47CD-9645-3A137A68E64B}</x14:id>
        </ext>
      </extLst>
    </cfRule>
  </conditionalFormatting>
  <conditionalFormatting sqref="J1029">
    <cfRule type="cellIs" dxfId="6715" priority="320" operator="equal">
      <formula>"ja"</formula>
    </cfRule>
  </conditionalFormatting>
  <conditionalFormatting sqref="C1030">
    <cfRule type="containsText" dxfId="6714" priority="318" operator="containsText" text="Einnahmen">
      <formula>NOT(ISERROR(SEARCH("Einnahmen",C1030)))</formula>
    </cfRule>
    <cfRule type="containsText" dxfId="6713" priority="319" operator="containsText" text="Ausgaben">
      <formula>NOT(ISERROR(SEARCH("Ausgaben",C1030)))</formula>
    </cfRule>
  </conditionalFormatting>
  <conditionalFormatting sqref="T1030">
    <cfRule type="expression" dxfId="6712" priority="317">
      <formula>AND(AND($W1030&lt;TODAY(),$W1030&lt;&gt;""),$X1030="")</formula>
    </cfRule>
  </conditionalFormatting>
  <conditionalFormatting sqref="J1030">
    <cfRule type="cellIs" dxfId="6711" priority="316" operator="equal">
      <formula>"ja"</formula>
    </cfRule>
  </conditionalFormatting>
  <conditionalFormatting sqref="Z1030">
    <cfRule type="dataBar" priority="315">
      <dataBar>
        <cfvo type="min"/>
        <cfvo type="max"/>
        <color rgb="FF63C384"/>
      </dataBar>
      <extLst>
        <ext xmlns:x14="http://schemas.microsoft.com/office/spreadsheetml/2009/9/main" uri="{B025F937-C7B1-47D3-B67F-A62EFF666E3E}">
          <x14:id>{FC134339-DDDD-4CBF-8FA7-FBB49FC8B474}</x14:id>
        </ext>
      </extLst>
    </cfRule>
  </conditionalFormatting>
  <conditionalFormatting sqref="J1030">
    <cfRule type="cellIs" dxfId="6710" priority="314" operator="equal">
      <formula>"ja"</formula>
    </cfRule>
  </conditionalFormatting>
  <conditionalFormatting sqref="T1031">
    <cfRule type="expression" dxfId="6709" priority="313">
      <formula>AND(AND($W1031&lt;TODAY(),$W1031&lt;&gt;""),$X1031="")</formula>
    </cfRule>
  </conditionalFormatting>
  <conditionalFormatting sqref="C1031">
    <cfRule type="containsText" dxfId="6708" priority="311" operator="containsText" text="Einnahmen">
      <formula>NOT(ISERROR(SEARCH("Einnahmen",C1031)))</formula>
    </cfRule>
    <cfRule type="containsText" dxfId="6707" priority="312" operator="containsText" text="Ausgaben">
      <formula>NOT(ISERROR(SEARCH("Ausgaben",C1031)))</formula>
    </cfRule>
  </conditionalFormatting>
  <conditionalFormatting sqref="J1031">
    <cfRule type="cellIs" dxfId="6706" priority="310" operator="equal">
      <formula>"ja"</formula>
    </cfRule>
  </conditionalFormatting>
  <conditionalFormatting sqref="J1031">
    <cfRule type="cellIs" dxfId="6705" priority="301" operator="equal">
      <formula>"ja"</formula>
    </cfRule>
  </conditionalFormatting>
  <conditionalFormatting sqref="Z1031">
    <cfRule type="dataBar" priority="309">
      <dataBar>
        <cfvo type="min"/>
        <cfvo type="max"/>
        <color rgb="FF63C384"/>
      </dataBar>
      <extLst>
        <ext xmlns:x14="http://schemas.microsoft.com/office/spreadsheetml/2009/9/main" uri="{B025F937-C7B1-47D3-B67F-A62EFF666E3E}">
          <x14:id>{124E1C93-2B50-43BC-BD42-57A0A4C03A14}</x14:id>
        </ext>
      </extLst>
    </cfRule>
  </conditionalFormatting>
  <conditionalFormatting sqref="Z1031">
    <cfRule type="dataBar" priority="308">
      <dataBar>
        <cfvo type="min"/>
        <cfvo type="max"/>
        <color rgb="FF63C384"/>
      </dataBar>
      <extLst>
        <ext xmlns:x14="http://schemas.microsoft.com/office/spreadsheetml/2009/9/main" uri="{B025F937-C7B1-47D3-B67F-A62EFF666E3E}">
          <x14:id>{D3E2D2F3-5F5D-4835-88F0-B6503CBCABC4}</x14:id>
        </ext>
      </extLst>
    </cfRule>
  </conditionalFormatting>
  <conditionalFormatting sqref="J1031">
    <cfRule type="cellIs" dxfId="6704" priority="307" operator="equal">
      <formula>"ja"</formula>
    </cfRule>
  </conditionalFormatting>
  <conditionalFormatting sqref="Z1031">
    <cfRule type="dataBar" priority="306">
      <dataBar>
        <cfvo type="min"/>
        <cfvo type="max"/>
        <color rgb="FF63C384"/>
      </dataBar>
      <extLst>
        <ext xmlns:x14="http://schemas.microsoft.com/office/spreadsheetml/2009/9/main" uri="{B025F937-C7B1-47D3-B67F-A62EFF666E3E}">
          <x14:id>{DED32147-FEA9-4E77-8E59-6A93BC8CCCE2}</x14:id>
        </ext>
      </extLst>
    </cfRule>
  </conditionalFormatting>
  <conditionalFormatting sqref="Z1031">
    <cfRule type="dataBar" priority="305">
      <dataBar>
        <cfvo type="min"/>
        <cfvo type="max"/>
        <color rgb="FF63C384"/>
      </dataBar>
      <extLst>
        <ext xmlns:x14="http://schemas.microsoft.com/office/spreadsheetml/2009/9/main" uri="{B025F937-C7B1-47D3-B67F-A62EFF666E3E}">
          <x14:id>{D77B9222-565E-4EDB-A276-0F8289482C0F}</x14:id>
        </ext>
      </extLst>
    </cfRule>
  </conditionalFormatting>
  <conditionalFormatting sqref="J1031">
    <cfRule type="cellIs" dxfId="6703" priority="304" operator="equal">
      <formula>"ja"</formula>
    </cfRule>
  </conditionalFormatting>
  <conditionalFormatting sqref="Z1031">
    <cfRule type="dataBar" priority="303">
      <dataBar>
        <cfvo type="min"/>
        <cfvo type="max"/>
        <color rgb="FF63C384"/>
      </dataBar>
      <extLst>
        <ext xmlns:x14="http://schemas.microsoft.com/office/spreadsheetml/2009/9/main" uri="{B025F937-C7B1-47D3-B67F-A62EFF666E3E}">
          <x14:id>{E5BE67B8-07B8-4BAE-B811-A7857E74E201}</x14:id>
        </ext>
      </extLst>
    </cfRule>
  </conditionalFormatting>
  <conditionalFormatting sqref="Z1031">
    <cfRule type="dataBar" priority="302">
      <dataBar>
        <cfvo type="min"/>
        <cfvo type="max"/>
        <color rgb="FF63C384"/>
      </dataBar>
      <extLst>
        <ext xmlns:x14="http://schemas.microsoft.com/office/spreadsheetml/2009/9/main" uri="{B025F937-C7B1-47D3-B67F-A62EFF666E3E}">
          <x14:id>{4947AF90-2A77-48D1-B9C7-880D5EA6CF76}</x14:id>
        </ext>
      </extLst>
    </cfRule>
  </conditionalFormatting>
  <conditionalFormatting sqref="Z1031">
    <cfRule type="dataBar" priority="300">
      <dataBar>
        <cfvo type="min"/>
        <cfvo type="max"/>
        <color rgb="FF63C384"/>
      </dataBar>
      <extLst>
        <ext xmlns:x14="http://schemas.microsoft.com/office/spreadsheetml/2009/9/main" uri="{B025F937-C7B1-47D3-B67F-A62EFF666E3E}">
          <x14:id>{D5B248F3-46E6-41F7-A02D-A64935132D4A}</x14:id>
        </ext>
      </extLst>
    </cfRule>
  </conditionalFormatting>
  <conditionalFormatting sqref="Z1031">
    <cfRule type="dataBar" priority="299">
      <dataBar>
        <cfvo type="min"/>
        <cfvo type="max"/>
        <color rgb="FF63C384"/>
      </dataBar>
      <extLst>
        <ext xmlns:x14="http://schemas.microsoft.com/office/spreadsheetml/2009/9/main" uri="{B025F937-C7B1-47D3-B67F-A62EFF666E3E}">
          <x14:id>{D7EC880A-FF48-4432-8063-AC470B4C19B1}</x14:id>
        </ext>
      </extLst>
    </cfRule>
  </conditionalFormatting>
  <conditionalFormatting sqref="C1031">
    <cfRule type="containsText" dxfId="6702" priority="297" operator="containsText" text="Einnahmen">
      <formula>NOT(ISERROR(SEARCH("Einnahmen",C1031)))</formula>
    </cfRule>
    <cfRule type="containsText" dxfId="6701" priority="298" operator="containsText" text="Ausgaben">
      <formula>NOT(ISERROR(SEARCH("Ausgaben",C1031)))</formula>
    </cfRule>
  </conditionalFormatting>
  <conditionalFormatting sqref="C1031">
    <cfRule type="containsText" dxfId="6700" priority="295" operator="containsText" text="Einnahmen">
      <formula>NOT(ISERROR(SEARCH("Einnahmen",C1031)))</formula>
    </cfRule>
    <cfRule type="containsText" dxfId="6699" priority="296" operator="containsText" text="Ausgaben">
      <formula>NOT(ISERROR(SEARCH("Ausgaben",C1031)))</formula>
    </cfRule>
  </conditionalFormatting>
  <conditionalFormatting sqref="J1031">
    <cfRule type="cellIs" dxfId="6698" priority="294" operator="equal">
      <formula>"ja"</formula>
    </cfRule>
  </conditionalFormatting>
  <conditionalFormatting sqref="J1031">
    <cfRule type="cellIs" dxfId="6697" priority="293" operator="equal">
      <formula>"ja"</formula>
    </cfRule>
  </conditionalFormatting>
  <conditionalFormatting sqref="T1032">
    <cfRule type="expression" dxfId="6696" priority="292">
      <formula>AND(AND($W1032&lt;TODAY(),$W1032&lt;&gt;""),$X1032="")</formula>
    </cfRule>
  </conditionalFormatting>
  <conditionalFormatting sqref="J1032">
    <cfRule type="cellIs" dxfId="6695" priority="291" operator="equal">
      <formula>"ja"</formula>
    </cfRule>
  </conditionalFormatting>
  <conditionalFormatting sqref="C1032">
    <cfRule type="containsText" dxfId="6694" priority="289" operator="containsText" text="Einnahmen">
      <formula>NOT(ISERROR(SEARCH("Einnahmen",C1032)))</formula>
    </cfRule>
    <cfRule type="containsText" dxfId="6693" priority="290" operator="containsText" text="Ausgaben">
      <formula>NOT(ISERROR(SEARCH("Ausgaben",C1032)))</formula>
    </cfRule>
  </conditionalFormatting>
  <conditionalFormatting sqref="Z1032">
    <cfRule type="dataBar" priority="288">
      <dataBar>
        <cfvo type="min"/>
        <cfvo type="max"/>
        <color rgb="FF63C384"/>
      </dataBar>
      <extLst>
        <ext xmlns:x14="http://schemas.microsoft.com/office/spreadsheetml/2009/9/main" uri="{B025F937-C7B1-47D3-B67F-A62EFF666E3E}">
          <x14:id>{A6D5586F-E3C9-4034-B37B-25873F769867}</x14:id>
        </ext>
      </extLst>
    </cfRule>
  </conditionalFormatting>
  <conditionalFormatting sqref="Z1032">
    <cfRule type="dataBar" priority="287">
      <dataBar>
        <cfvo type="min"/>
        <cfvo type="max"/>
        <color rgb="FF63C384"/>
      </dataBar>
      <extLst>
        <ext xmlns:x14="http://schemas.microsoft.com/office/spreadsheetml/2009/9/main" uri="{B025F937-C7B1-47D3-B67F-A62EFF666E3E}">
          <x14:id>{910AE8DF-8B3B-45FF-92FB-E4CA0A832883}</x14:id>
        </ext>
      </extLst>
    </cfRule>
  </conditionalFormatting>
  <conditionalFormatting sqref="T1033">
    <cfRule type="expression" dxfId="6692" priority="286">
      <formula>AND(AND($W1033&lt;TODAY(),$W1033&lt;&gt;""),$X1033="")</formula>
    </cfRule>
  </conditionalFormatting>
  <conditionalFormatting sqref="C1033">
    <cfRule type="containsText" dxfId="6691" priority="284" operator="containsText" text="Einnahmen">
      <formula>NOT(ISERROR(SEARCH("Einnahmen",C1033)))</formula>
    </cfRule>
    <cfRule type="containsText" dxfId="6690" priority="285" operator="containsText" text="Ausgaben">
      <formula>NOT(ISERROR(SEARCH("Ausgaben",C1033)))</formula>
    </cfRule>
  </conditionalFormatting>
  <conditionalFormatting sqref="J1033">
    <cfRule type="cellIs" dxfId="6689" priority="283" operator="equal">
      <formula>"ja"</formula>
    </cfRule>
  </conditionalFormatting>
  <conditionalFormatting sqref="J1033">
    <cfRule type="cellIs" dxfId="6688" priority="282" operator="equal">
      <formula>"ja"</formula>
    </cfRule>
  </conditionalFormatting>
  <conditionalFormatting sqref="C1033">
    <cfRule type="containsText" dxfId="6687" priority="280" operator="containsText" text="Einnahmen">
      <formula>NOT(ISERROR(SEARCH("Einnahmen",C1033)))</formula>
    </cfRule>
    <cfRule type="containsText" dxfId="6686" priority="281" operator="containsText" text="Ausgaben">
      <formula>NOT(ISERROR(SEARCH("Ausgaben",C1033)))</formula>
    </cfRule>
  </conditionalFormatting>
  <conditionalFormatting sqref="J1033">
    <cfRule type="cellIs" dxfId="6685" priority="279" operator="equal">
      <formula>"ja"</formula>
    </cfRule>
  </conditionalFormatting>
  <conditionalFormatting sqref="Z1033">
    <cfRule type="dataBar" priority="278">
      <dataBar>
        <cfvo type="min"/>
        <cfvo type="max"/>
        <color rgb="FF63C384"/>
      </dataBar>
      <extLst>
        <ext xmlns:x14="http://schemas.microsoft.com/office/spreadsheetml/2009/9/main" uri="{B025F937-C7B1-47D3-B67F-A62EFF666E3E}">
          <x14:id>{D8B0FB40-F77E-4B4D-9F8C-E1F9FD08F40C}</x14:id>
        </ext>
      </extLst>
    </cfRule>
  </conditionalFormatting>
  <conditionalFormatting sqref="Z1033">
    <cfRule type="dataBar" priority="277">
      <dataBar>
        <cfvo type="min"/>
        <cfvo type="max"/>
        <color rgb="FF63C384"/>
      </dataBar>
      <extLst>
        <ext xmlns:x14="http://schemas.microsoft.com/office/spreadsheetml/2009/9/main" uri="{B025F937-C7B1-47D3-B67F-A62EFF666E3E}">
          <x14:id>{0A8C1EC5-8E0D-4941-A0A4-0C54A00634F5}</x14:id>
        </ext>
      </extLst>
    </cfRule>
  </conditionalFormatting>
  <conditionalFormatting sqref="J1033">
    <cfRule type="cellIs" dxfId="6684" priority="276" operator="equal">
      <formula>"ja"</formula>
    </cfRule>
  </conditionalFormatting>
  <conditionalFormatting sqref="Z1033">
    <cfRule type="dataBar" priority="275">
      <dataBar>
        <cfvo type="min"/>
        <cfvo type="max"/>
        <color rgb="FF63C384"/>
      </dataBar>
      <extLst>
        <ext xmlns:x14="http://schemas.microsoft.com/office/spreadsheetml/2009/9/main" uri="{B025F937-C7B1-47D3-B67F-A62EFF666E3E}">
          <x14:id>{F5F0D795-A6C6-419F-BC15-C960E48E0369}</x14:id>
        </ext>
      </extLst>
    </cfRule>
  </conditionalFormatting>
  <conditionalFormatting sqref="Z1033">
    <cfRule type="dataBar" priority="274">
      <dataBar>
        <cfvo type="min"/>
        <cfvo type="max"/>
        <color rgb="FF63C384"/>
      </dataBar>
      <extLst>
        <ext xmlns:x14="http://schemas.microsoft.com/office/spreadsheetml/2009/9/main" uri="{B025F937-C7B1-47D3-B67F-A62EFF666E3E}">
          <x14:id>{6DD6B46A-E12B-409D-96A7-B3CFE4790D76}</x14:id>
        </ext>
      </extLst>
    </cfRule>
  </conditionalFormatting>
  <conditionalFormatting sqref="T1034">
    <cfRule type="expression" dxfId="6683" priority="273">
      <formula>AND(AND($W1034&lt;TODAY(),$W1034&lt;&gt;""),$X1034="")</formula>
    </cfRule>
  </conditionalFormatting>
  <conditionalFormatting sqref="C1034">
    <cfRule type="containsText" dxfId="6682" priority="271" operator="containsText" text="Einnahmen">
      <formula>NOT(ISERROR(SEARCH("Einnahmen",C1034)))</formula>
    </cfRule>
    <cfRule type="containsText" dxfId="6681" priority="272" operator="containsText" text="Ausgaben">
      <formula>NOT(ISERROR(SEARCH("Ausgaben",C1034)))</formula>
    </cfRule>
  </conditionalFormatting>
  <conditionalFormatting sqref="Z1034">
    <cfRule type="dataBar" priority="270">
      <dataBar>
        <cfvo type="min"/>
        <cfvo type="max"/>
        <color rgb="FF63C384"/>
      </dataBar>
      <extLst>
        <ext xmlns:x14="http://schemas.microsoft.com/office/spreadsheetml/2009/9/main" uri="{B025F937-C7B1-47D3-B67F-A62EFF666E3E}">
          <x14:id>{5A64CF9B-FBF3-41C1-AA50-8A7C7BF1634C}</x14:id>
        </ext>
      </extLst>
    </cfRule>
  </conditionalFormatting>
  <conditionalFormatting sqref="Z1034">
    <cfRule type="dataBar" priority="269">
      <dataBar>
        <cfvo type="min"/>
        <cfvo type="max"/>
        <color rgb="FF63C384"/>
      </dataBar>
      <extLst>
        <ext xmlns:x14="http://schemas.microsoft.com/office/spreadsheetml/2009/9/main" uri="{B025F937-C7B1-47D3-B67F-A62EFF666E3E}">
          <x14:id>{1C27C96A-CA2F-43AE-80C3-5B4E5C37D388}</x14:id>
        </ext>
      </extLst>
    </cfRule>
  </conditionalFormatting>
  <conditionalFormatting sqref="Z1034">
    <cfRule type="dataBar" priority="268">
      <dataBar>
        <cfvo type="min"/>
        <cfvo type="max"/>
        <color rgb="FF63C384"/>
      </dataBar>
      <extLst>
        <ext xmlns:x14="http://schemas.microsoft.com/office/spreadsheetml/2009/9/main" uri="{B025F937-C7B1-47D3-B67F-A62EFF666E3E}">
          <x14:id>{CFC37176-6356-4371-8E57-E41CF4856C9B}</x14:id>
        </ext>
      </extLst>
    </cfRule>
  </conditionalFormatting>
  <conditionalFormatting sqref="Z1034">
    <cfRule type="dataBar" priority="267">
      <dataBar>
        <cfvo type="min"/>
        <cfvo type="max"/>
        <color rgb="FF63C384"/>
      </dataBar>
      <extLst>
        <ext xmlns:x14="http://schemas.microsoft.com/office/spreadsheetml/2009/9/main" uri="{B025F937-C7B1-47D3-B67F-A62EFF666E3E}">
          <x14:id>{9BCD0A6B-2DFB-4AA4-B244-829D3C6A321E}</x14:id>
        </ext>
      </extLst>
    </cfRule>
  </conditionalFormatting>
  <conditionalFormatting sqref="T1035">
    <cfRule type="expression" dxfId="6680" priority="266">
      <formula>AND(AND($W1035&lt;TODAY(),$W1035&lt;&gt;""),$X1035="")</formula>
    </cfRule>
  </conditionalFormatting>
  <conditionalFormatting sqref="C1035">
    <cfRule type="containsText" dxfId="6679" priority="264" operator="containsText" text="Einnahmen">
      <formula>NOT(ISERROR(SEARCH("Einnahmen",C1035)))</formula>
    </cfRule>
    <cfRule type="containsText" dxfId="6678" priority="265" operator="containsText" text="Ausgaben">
      <formula>NOT(ISERROR(SEARCH("Ausgaben",C1035)))</formula>
    </cfRule>
  </conditionalFormatting>
  <conditionalFormatting sqref="Z1035">
    <cfRule type="dataBar" priority="263">
      <dataBar>
        <cfvo type="min"/>
        <cfvo type="max"/>
        <color rgb="FF63C384"/>
      </dataBar>
      <extLst>
        <ext xmlns:x14="http://schemas.microsoft.com/office/spreadsheetml/2009/9/main" uri="{B025F937-C7B1-47D3-B67F-A62EFF666E3E}">
          <x14:id>{FD24D6CB-3E6A-4CD9-B01E-EF1B6412EF30}</x14:id>
        </ext>
      </extLst>
    </cfRule>
  </conditionalFormatting>
  <conditionalFormatting sqref="Z1035">
    <cfRule type="dataBar" priority="262">
      <dataBar>
        <cfvo type="min"/>
        <cfvo type="max"/>
        <color rgb="FF63C384"/>
      </dataBar>
      <extLst>
        <ext xmlns:x14="http://schemas.microsoft.com/office/spreadsheetml/2009/9/main" uri="{B025F937-C7B1-47D3-B67F-A62EFF666E3E}">
          <x14:id>{D84E4633-96F1-4D7C-A39B-42B56CEFF71E}</x14:id>
        </ext>
      </extLst>
    </cfRule>
  </conditionalFormatting>
  <conditionalFormatting sqref="J1035">
    <cfRule type="cellIs" dxfId="6677" priority="261" operator="equal">
      <formula>"ja"</formula>
    </cfRule>
  </conditionalFormatting>
  <conditionalFormatting sqref="J1035">
    <cfRule type="cellIs" dxfId="6676" priority="260" operator="equal">
      <formula>"ja"</formula>
    </cfRule>
  </conditionalFormatting>
  <conditionalFormatting sqref="T1036">
    <cfRule type="expression" dxfId="6675" priority="259">
      <formula>AND(AND($W1036&lt;TODAY(),$W1036&lt;&gt;""),$X1036="")</formula>
    </cfRule>
  </conditionalFormatting>
  <conditionalFormatting sqref="J1036">
    <cfRule type="cellIs" dxfId="6674" priority="258" operator="equal">
      <formula>"ja"</formula>
    </cfRule>
  </conditionalFormatting>
  <conditionalFormatting sqref="Z1036">
    <cfRule type="dataBar" priority="257">
      <dataBar>
        <cfvo type="min"/>
        <cfvo type="max"/>
        <color rgb="FF63C384"/>
      </dataBar>
      <extLst>
        <ext xmlns:x14="http://schemas.microsoft.com/office/spreadsheetml/2009/9/main" uri="{B025F937-C7B1-47D3-B67F-A62EFF666E3E}">
          <x14:id>{C3E08F85-5ECA-4E65-B43E-2CA2A9A04B05}</x14:id>
        </ext>
      </extLst>
    </cfRule>
  </conditionalFormatting>
  <conditionalFormatting sqref="Z1036">
    <cfRule type="dataBar" priority="256">
      <dataBar>
        <cfvo type="min"/>
        <cfvo type="max"/>
        <color rgb="FF63C384"/>
      </dataBar>
      <extLst>
        <ext xmlns:x14="http://schemas.microsoft.com/office/spreadsheetml/2009/9/main" uri="{B025F937-C7B1-47D3-B67F-A62EFF666E3E}">
          <x14:id>{7968B726-E83C-45D1-AFCD-7FBFA562BB65}</x14:id>
        </ext>
      </extLst>
    </cfRule>
  </conditionalFormatting>
  <conditionalFormatting sqref="Z1036">
    <cfRule type="dataBar" priority="255">
      <dataBar>
        <cfvo type="min"/>
        <cfvo type="max"/>
        <color rgb="FF63C384"/>
      </dataBar>
      <extLst>
        <ext xmlns:x14="http://schemas.microsoft.com/office/spreadsheetml/2009/9/main" uri="{B025F937-C7B1-47D3-B67F-A62EFF666E3E}">
          <x14:id>{716E07D6-BBDB-45C5-97CD-7EA7601D420E}</x14:id>
        </ext>
      </extLst>
    </cfRule>
  </conditionalFormatting>
  <conditionalFormatting sqref="Z1036">
    <cfRule type="dataBar" priority="254">
      <dataBar>
        <cfvo type="min"/>
        <cfvo type="max"/>
        <color rgb="FF63C384"/>
      </dataBar>
      <extLst>
        <ext xmlns:x14="http://schemas.microsoft.com/office/spreadsheetml/2009/9/main" uri="{B025F937-C7B1-47D3-B67F-A62EFF666E3E}">
          <x14:id>{835A3BAB-F77C-4804-9AD2-79E041D57094}</x14:id>
        </ext>
      </extLst>
    </cfRule>
  </conditionalFormatting>
  <conditionalFormatting sqref="J1036">
    <cfRule type="cellIs" dxfId="6673" priority="253" operator="equal">
      <formula>"ja"</formula>
    </cfRule>
  </conditionalFormatting>
  <conditionalFormatting sqref="C1036">
    <cfRule type="containsText" dxfId="6672" priority="251" operator="containsText" text="Einnahmen">
      <formula>NOT(ISERROR(SEARCH("Einnahmen",C1036)))</formula>
    </cfRule>
    <cfRule type="containsText" dxfId="6671" priority="252" operator="containsText" text="Ausgaben">
      <formula>NOT(ISERROR(SEARCH("Ausgaben",C1036)))</formula>
    </cfRule>
  </conditionalFormatting>
  <conditionalFormatting sqref="T1037">
    <cfRule type="expression" dxfId="6670" priority="250">
      <formula>AND(AND($W1037&lt;TODAY(),$W1037&lt;&gt;""),$X1037="")</formula>
    </cfRule>
  </conditionalFormatting>
  <conditionalFormatting sqref="J1037">
    <cfRule type="cellIs" dxfId="6669" priority="249" operator="equal">
      <formula>"ja"</formula>
    </cfRule>
  </conditionalFormatting>
  <conditionalFormatting sqref="Z1037">
    <cfRule type="dataBar" priority="248">
      <dataBar>
        <cfvo type="min"/>
        <cfvo type="max"/>
        <color rgb="FF63C384"/>
      </dataBar>
      <extLst>
        <ext xmlns:x14="http://schemas.microsoft.com/office/spreadsheetml/2009/9/main" uri="{B025F937-C7B1-47D3-B67F-A62EFF666E3E}">
          <x14:id>{DE393614-CE81-4F55-B7A2-70A129B7178E}</x14:id>
        </ext>
      </extLst>
    </cfRule>
  </conditionalFormatting>
  <conditionalFormatting sqref="J1037">
    <cfRule type="cellIs" dxfId="6668" priority="247" operator="equal">
      <formula>"ja"</formula>
    </cfRule>
  </conditionalFormatting>
  <conditionalFormatting sqref="J1037">
    <cfRule type="cellIs" dxfId="6667" priority="246" operator="equal">
      <formula>"ja"</formula>
    </cfRule>
  </conditionalFormatting>
  <conditionalFormatting sqref="C1037">
    <cfRule type="containsText" dxfId="6666" priority="244" operator="containsText" text="Einnahmen">
      <formula>NOT(ISERROR(SEARCH("Einnahmen",C1037)))</formula>
    </cfRule>
    <cfRule type="containsText" dxfId="6665" priority="245" operator="containsText" text="Ausgaben">
      <formula>NOT(ISERROR(SEARCH("Ausgaben",C1037)))</formula>
    </cfRule>
  </conditionalFormatting>
  <conditionalFormatting sqref="C1037">
    <cfRule type="containsText" dxfId="6664" priority="242" operator="containsText" text="Einnahmen">
      <formula>NOT(ISERROR(SEARCH("Einnahmen",C1037)))</formula>
    </cfRule>
    <cfRule type="containsText" dxfId="6663" priority="243" operator="containsText" text="Ausgaben">
      <formula>NOT(ISERROR(SEARCH("Ausgaben",C1037)))</formula>
    </cfRule>
  </conditionalFormatting>
  <conditionalFormatting sqref="C1038">
    <cfRule type="containsText" dxfId="6662" priority="240" operator="containsText" text="Einnahmen">
      <formula>NOT(ISERROR(SEARCH("Einnahmen",C1038)))</formula>
    </cfRule>
    <cfRule type="containsText" dxfId="6661" priority="241" operator="containsText" text="Ausgaben">
      <formula>NOT(ISERROR(SEARCH("Ausgaben",C1038)))</formula>
    </cfRule>
  </conditionalFormatting>
  <conditionalFormatting sqref="T1038:T1039">
    <cfRule type="expression" dxfId="6660" priority="239">
      <formula>AND(AND($W1038&lt;TODAY(),$W1038&lt;&gt;""),$X1038="")</formula>
    </cfRule>
  </conditionalFormatting>
  <conditionalFormatting sqref="Z1038:Z1039">
    <cfRule type="dataBar" priority="238">
      <dataBar>
        <cfvo type="min"/>
        <cfvo type="max"/>
        <color rgb="FF63C384"/>
      </dataBar>
      <extLst>
        <ext xmlns:x14="http://schemas.microsoft.com/office/spreadsheetml/2009/9/main" uri="{B025F937-C7B1-47D3-B67F-A62EFF666E3E}">
          <x14:id>{091C1475-FBFB-4381-AB6D-C821376EE052}</x14:id>
        </ext>
      </extLst>
    </cfRule>
  </conditionalFormatting>
  <conditionalFormatting sqref="Z1038:Z1039">
    <cfRule type="dataBar" priority="237">
      <dataBar>
        <cfvo type="min"/>
        <cfvo type="max"/>
        <color rgb="FF63C384"/>
      </dataBar>
      <extLst>
        <ext xmlns:x14="http://schemas.microsoft.com/office/spreadsheetml/2009/9/main" uri="{B025F937-C7B1-47D3-B67F-A62EFF666E3E}">
          <x14:id>{FB24BE6D-0D32-4C00-BEFB-2969D16DCADB}</x14:id>
        </ext>
      </extLst>
    </cfRule>
  </conditionalFormatting>
  <conditionalFormatting sqref="C1039">
    <cfRule type="containsText" dxfId="6659" priority="235" operator="containsText" text="Einnahmen">
      <formula>NOT(ISERROR(SEARCH("Einnahmen",C1039)))</formula>
    </cfRule>
    <cfRule type="containsText" dxfId="6658" priority="236" operator="containsText" text="Ausgaben">
      <formula>NOT(ISERROR(SEARCH("Ausgaben",C1039)))</formula>
    </cfRule>
  </conditionalFormatting>
  <conditionalFormatting sqref="T1040">
    <cfRule type="expression" dxfId="6657" priority="234">
      <formula>AND(AND($W1040&lt;TODAY(),$W1040&lt;&gt;""),$X1040="")</formula>
    </cfRule>
  </conditionalFormatting>
  <conditionalFormatting sqref="J1040">
    <cfRule type="cellIs" dxfId="6656" priority="233" operator="equal">
      <formula>"ja"</formula>
    </cfRule>
  </conditionalFormatting>
  <conditionalFormatting sqref="C1040">
    <cfRule type="containsText" dxfId="6655" priority="231" operator="containsText" text="Einnahmen">
      <formula>NOT(ISERROR(SEARCH("Einnahmen",C1040)))</formula>
    </cfRule>
    <cfRule type="containsText" dxfId="6654" priority="232" operator="containsText" text="Ausgaben">
      <formula>NOT(ISERROR(SEARCH("Ausgaben",C1040)))</formula>
    </cfRule>
  </conditionalFormatting>
  <conditionalFormatting sqref="Z1040">
    <cfRule type="dataBar" priority="230">
      <dataBar>
        <cfvo type="min"/>
        <cfvo type="max"/>
        <color rgb="FF63C384"/>
      </dataBar>
      <extLst>
        <ext xmlns:x14="http://schemas.microsoft.com/office/spreadsheetml/2009/9/main" uri="{B025F937-C7B1-47D3-B67F-A62EFF666E3E}">
          <x14:id>{362EE66A-600C-44A9-AA28-8B4B1B578EFD}</x14:id>
        </ext>
      </extLst>
    </cfRule>
  </conditionalFormatting>
  <conditionalFormatting sqref="Z1040">
    <cfRule type="dataBar" priority="229">
      <dataBar>
        <cfvo type="min"/>
        <cfvo type="max"/>
        <color rgb="FF63C384"/>
      </dataBar>
      <extLst>
        <ext xmlns:x14="http://schemas.microsoft.com/office/spreadsheetml/2009/9/main" uri="{B025F937-C7B1-47D3-B67F-A62EFF666E3E}">
          <x14:id>{E9215F58-8BE0-46F1-823C-8A1598A9847F}</x14:id>
        </ext>
      </extLst>
    </cfRule>
  </conditionalFormatting>
  <conditionalFormatting sqref="T1042">
    <cfRule type="expression" dxfId="6653" priority="222">
      <formula>AND(AND($W1042&lt;TODAY(),$W1042&lt;&gt;""),$X1042="")</formula>
    </cfRule>
  </conditionalFormatting>
  <conditionalFormatting sqref="C1041:C1042">
    <cfRule type="containsText" dxfId="6652" priority="220" operator="containsText" text="Einnahmen">
      <formula>NOT(ISERROR(SEARCH("Einnahmen",C1041)))</formula>
    </cfRule>
    <cfRule type="containsText" dxfId="6651" priority="221" operator="containsText" text="Ausgaben">
      <formula>NOT(ISERROR(SEARCH("Ausgaben",C1041)))</formula>
    </cfRule>
  </conditionalFormatting>
  <conditionalFormatting sqref="J1042">
    <cfRule type="cellIs" dxfId="6650" priority="219" operator="equal">
      <formula>"ja"</formula>
    </cfRule>
  </conditionalFormatting>
  <conditionalFormatting sqref="Z1042">
    <cfRule type="dataBar" priority="218">
      <dataBar>
        <cfvo type="min"/>
        <cfvo type="max"/>
        <color rgb="FF63C384"/>
      </dataBar>
      <extLst>
        <ext xmlns:x14="http://schemas.microsoft.com/office/spreadsheetml/2009/9/main" uri="{B025F937-C7B1-47D3-B67F-A62EFF666E3E}">
          <x14:id>{4BA1878A-55FF-40F6-8F81-3D47D4A1F17A}</x14:id>
        </ext>
      </extLst>
    </cfRule>
  </conditionalFormatting>
  <conditionalFormatting sqref="Z1042">
    <cfRule type="dataBar" priority="217">
      <dataBar>
        <cfvo type="min"/>
        <cfvo type="max"/>
        <color rgb="FF63C384"/>
      </dataBar>
      <extLst>
        <ext xmlns:x14="http://schemas.microsoft.com/office/spreadsheetml/2009/9/main" uri="{B025F937-C7B1-47D3-B67F-A62EFF666E3E}">
          <x14:id>{89635F67-3F80-4D9C-AB85-0F2E49FA1A21}</x14:id>
        </ext>
      </extLst>
    </cfRule>
  </conditionalFormatting>
  <conditionalFormatting sqref="C1042:C1043">
    <cfRule type="containsText" dxfId="6649" priority="215" operator="containsText" text="Einnahmen">
      <formula>NOT(ISERROR(SEARCH("Einnahmen",C1042)))</formula>
    </cfRule>
    <cfRule type="containsText" dxfId="6648" priority="216" operator="containsText" text="Ausgaben">
      <formula>NOT(ISERROR(SEARCH("Ausgaben",C1042)))</formula>
    </cfRule>
  </conditionalFormatting>
  <conditionalFormatting sqref="T1042:T1043">
    <cfRule type="expression" dxfId="6647" priority="214">
      <formula>AND(AND($W1042&lt;TODAY(),$W1042&lt;&gt;""),$X1042="")</formula>
    </cfRule>
  </conditionalFormatting>
  <conditionalFormatting sqref="J1042:J1043">
    <cfRule type="cellIs" dxfId="6646" priority="213" operator="equal">
      <formula>"ja"</formula>
    </cfRule>
  </conditionalFormatting>
  <conditionalFormatting sqref="Z1042:Z1043">
    <cfRule type="dataBar" priority="212">
      <dataBar>
        <cfvo type="min"/>
        <cfvo type="max"/>
        <color rgb="FF63C384"/>
      </dataBar>
      <extLst>
        <ext xmlns:x14="http://schemas.microsoft.com/office/spreadsheetml/2009/9/main" uri="{B025F937-C7B1-47D3-B67F-A62EFF666E3E}">
          <x14:id>{AB27E462-3B0B-4D0A-9FC3-9FD098EF6B24}</x14:id>
        </ext>
      </extLst>
    </cfRule>
  </conditionalFormatting>
  <conditionalFormatting sqref="J1042:J1043">
    <cfRule type="cellIs" dxfId="6645" priority="211" operator="equal">
      <formula>"ja"</formula>
    </cfRule>
  </conditionalFormatting>
  <conditionalFormatting sqref="T1043:T1044">
    <cfRule type="expression" dxfId="6644" priority="210">
      <formula>AND(AND($W1043&lt;TODAY(),$W1043&lt;&gt;""),$X1043="")</formula>
    </cfRule>
  </conditionalFormatting>
  <conditionalFormatting sqref="C1043:C1044">
    <cfRule type="containsText" dxfId="6643" priority="208" operator="containsText" text="Einnahmen">
      <formula>NOT(ISERROR(SEARCH("Einnahmen",C1043)))</formula>
    </cfRule>
    <cfRule type="containsText" dxfId="6642" priority="209" operator="containsText" text="Ausgaben">
      <formula>NOT(ISERROR(SEARCH("Ausgaben",C1043)))</formula>
    </cfRule>
  </conditionalFormatting>
  <conditionalFormatting sqref="C1043:C1044">
    <cfRule type="containsText" dxfId="6641" priority="206" operator="containsText" text="Einnahmen">
      <formula>NOT(ISERROR(SEARCH("Einnahmen",C1043)))</formula>
    </cfRule>
    <cfRule type="containsText" dxfId="6640" priority="207" operator="containsText" text="Ausgaben">
      <formula>NOT(ISERROR(SEARCH("Ausgaben",C1043)))</formula>
    </cfRule>
  </conditionalFormatting>
  <conditionalFormatting sqref="J1043:J1044">
    <cfRule type="cellIs" dxfId="6639" priority="205" operator="equal">
      <formula>"ja"</formula>
    </cfRule>
  </conditionalFormatting>
  <conditionalFormatting sqref="Z1043:Z1044">
    <cfRule type="dataBar" priority="204">
      <dataBar>
        <cfvo type="min"/>
        <cfvo type="max"/>
        <color rgb="FF63C384"/>
      </dataBar>
      <extLst>
        <ext xmlns:x14="http://schemas.microsoft.com/office/spreadsheetml/2009/9/main" uri="{B025F937-C7B1-47D3-B67F-A62EFF666E3E}">
          <x14:id>{D7339F18-0FD4-40DE-BA3C-371D11E6C143}</x14:id>
        </ext>
      </extLst>
    </cfRule>
  </conditionalFormatting>
  <conditionalFormatting sqref="J1043:J1044">
    <cfRule type="cellIs" dxfId="6638" priority="203" operator="equal">
      <formula>"ja"</formula>
    </cfRule>
  </conditionalFormatting>
  <conditionalFormatting sqref="T1041">
    <cfRule type="expression" dxfId="6637" priority="202">
      <formula>AND(AND($W1041&lt;TODAY(),$W1041&lt;&gt;""),$X1041="")</formula>
    </cfRule>
  </conditionalFormatting>
  <conditionalFormatting sqref="Z1041">
    <cfRule type="dataBar" priority="201">
      <dataBar>
        <cfvo type="min"/>
        <cfvo type="max"/>
        <color rgb="FF63C384"/>
      </dataBar>
      <extLst>
        <ext xmlns:x14="http://schemas.microsoft.com/office/spreadsheetml/2009/9/main" uri="{B025F937-C7B1-47D3-B67F-A62EFF666E3E}">
          <x14:id>{ABD7FD32-C1B9-428B-806B-F36BE6C0618D}</x14:id>
        </ext>
      </extLst>
    </cfRule>
  </conditionalFormatting>
  <conditionalFormatting sqref="Z1041">
    <cfRule type="dataBar" priority="200">
      <dataBar>
        <cfvo type="min"/>
        <cfvo type="max"/>
        <color rgb="FF63C384"/>
      </dataBar>
      <extLst>
        <ext xmlns:x14="http://schemas.microsoft.com/office/spreadsheetml/2009/9/main" uri="{B025F937-C7B1-47D3-B67F-A62EFF666E3E}">
          <x14:id>{AFC4207A-0E71-4C94-BE44-8DC5DFEC003D}</x14:id>
        </ext>
      </extLst>
    </cfRule>
  </conditionalFormatting>
  <conditionalFormatting sqref="J1041">
    <cfRule type="cellIs" dxfId="6636" priority="199" operator="equal">
      <formula>"ja"</formula>
    </cfRule>
  </conditionalFormatting>
  <conditionalFormatting sqref="T1045">
    <cfRule type="expression" dxfId="6635" priority="198">
      <formula>AND(AND($W1045&lt;TODAY(),$W1045&lt;&gt;""),$X1045="")</formula>
    </cfRule>
  </conditionalFormatting>
  <conditionalFormatting sqref="C1045">
    <cfRule type="containsText" dxfId="6634" priority="196" operator="containsText" text="Einnahmen">
      <formula>NOT(ISERROR(SEARCH("Einnahmen",C1045)))</formula>
    </cfRule>
    <cfRule type="containsText" dxfId="6633" priority="197" operator="containsText" text="Ausgaben">
      <formula>NOT(ISERROR(SEARCH("Ausgaben",C1045)))</formula>
    </cfRule>
  </conditionalFormatting>
  <conditionalFormatting sqref="J1045">
    <cfRule type="cellIs" dxfId="6632" priority="195" operator="equal">
      <formula>"ja"</formula>
    </cfRule>
  </conditionalFormatting>
  <conditionalFormatting sqref="J1045">
    <cfRule type="cellIs" dxfId="6631" priority="186" operator="equal">
      <formula>"ja"</formula>
    </cfRule>
  </conditionalFormatting>
  <conditionalFormatting sqref="Z1045">
    <cfRule type="dataBar" priority="194">
      <dataBar>
        <cfvo type="min"/>
        <cfvo type="max"/>
        <color rgb="FF63C384"/>
      </dataBar>
      <extLst>
        <ext xmlns:x14="http://schemas.microsoft.com/office/spreadsheetml/2009/9/main" uri="{B025F937-C7B1-47D3-B67F-A62EFF666E3E}">
          <x14:id>{A249BF67-2F36-4946-9352-02C0C31007A2}</x14:id>
        </ext>
      </extLst>
    </cfRule>
  </conditionalFormatting>
  <conditionalFormatting sqref="Z1045">
    <cfRule type="dataBar" priority="193">
      <dataBar>
        <cfvo type="min"/>
        <cfvo type="max"/>
        <color rgb="FF63C384"/>
      </dataBar>
      <extLst>
        <ext xmlns:x14="http://schemas.microsoft.com/office/spreadsheetml/2009/9/main" uri="{B025F937-C7B1-47D3-B67F-A62EFF666E3E}">
          <x14:id>{2F80492D-82E3-42A6-BEDD-8CA1A5AE74B4}</x14:id>
        </ext>
      </extLst>
    </cfRule>
  </conditionalFormatting>
  <conditionalFormatting sqref="J1045">
    <cfRule type="cellIs" dxfId="6630" priority="192" operator="equal">
      <formula>"ja"</formula>
    </cfRule>
  </conditionalFormatting>
  <conditionalFormatting sqref="Z1045">
    <cfRule type="dataBar" priority="191">
      <dataBar>
        <cfvo type="min"/>
        <cfvo type="max"/>
        <color rgb="FF63C384"/>
      </dataBar>
      <extLst>
        <ext xmlns:x14="http://schemas.microsoft.com/office/spreadsheetml/2009/9/main" uri="{B025F937-C7B1-47D3-B67F-A62EFF666E3E}">
          <x14:id>{F5B3F001-BA27-4450-B991-7022FC4226CE}</x14:id>
        </ext>
      </extLst>
    </cfRule>
  </conditionalFormatting>
  <conditionalFormatting sqref="Z1045">
    <cfRule type="dataBar" priority="190">
      <dataBar>
        <cfvo type="min"/>
        <cfvo type="max"/>
        <color rgb="FF63C384"/>
      </dataBar>
      <extLst>
        <ext xmlns:x14="http://schemas.microsoft.com/office/spreadsheetml/2009/9/main" uri="{B025F937-C7B1-47D3-B67F-A62EFF666E3E}">
          <x14:id>{36C45433-73FD-45BD-A45B-730852443C2C}</x14:id>
        </ext>
      </extLst>
    </cfRule>
  </conditionalFormatting>
  <conditionalFormatting sqref="J1045">
    <cfRule type="cellIs" dxfId="6629" priority="189" operator="equal">
      <formula>"ja"</formula>
    </cfRule>
  </conditionalFormatting>
  <conditionalFormatting sqref="Z1045">
    <cfRule type="dataBar" priority="188">
      <dataBar>
        <cfvo type="min"/>
        <cfvo type="max"/>
        <color rgb="FF63C384"/>
      </dataBar>
      <extLst>
        <ext xmlns:x14="http://schemas.microsoft.com/office/spreadsheetml/2009/9/main" uri="{B025F937-C7B1-47D3-B67F-A62EFF666E3E}">
          <x14:id>{54755D04-AB51-4B11-BBBE-C76C12E8161F}</x14:id>
        </ext>
      </extLst>
    </cfRule>
  </conditionalFormatting>
  <conditionalFormatting sqref="Z1045">
    <cfRule type="dataBar" priority="187">
      <dataBar>
        <cfvo type="min"/>
        <cfvo type="max"/>
        <color rgb="FF63C384"/>
      </dataBar>
      <extLst>
        <ext xmlns:x14="http://schemas.microsoft.com/office/spreadsheetml/2009/9/main" uri="{B025F937-C7B1-47D3-B67F-A62EFF666E3E}">
          <x14:id>{CA1CFDB3-DA82-4B86-B5B7-27063D6C1FEE}</x14:id>
        </ext>
      </extLst>
    </cfRule>
  </conditionalFormatting>
  <conditionalFormatting sqref="Z1045">
    <cfRule type="dataBar" priority="185">
      <dataBar>
        <cfvo type="min"/>
        <cfvo type="max"/>
        <color rgb="FF63C384"/>
      </dataBar>
      <extLst>
        <ext xmlns:x14="http://schemas.microsoft.com/office/spreadsheetml/2009/9/main" uri="{B025F937-C7B1-47D3-B67F-A62EFF666E3E}">
          <x14:id>{9B53A49D-258D-4CCA-BD88-BE41622F9C28}</x14:id>
        </ext>
      </extLst>
    </cfRule>
  </conditionalFormatting>
  <conditionalFormatting sqref="Z1045">
    <cfRule type="dataBar" priority="184">
      <dataBar>
        <cfvo type="min"/>
        <cfvo type="max"/>
        <color rgb="FF63C384"/>
      </dataBar>
      <extLst>
        <ext xmlns:x14="http://schemas.microsoft.com/office/spreadsheetml/2009/9/main" uri="{B025F937-C7B1-47D3-B67F-A62EFF666E3E}">
          <x14:id>{F219A55C-D499-4066-9A3B-7296E6D2B797}</x14:id>
        </ext>
      </extLst>
    </cfRule>
  </conditionalFormatting>
  <conditionalFormatting sqref="C1045">
    <cfRule type="containsText" dxfId="6628" priority="182" operator="containsText" text="Einnahmen">
      <formula>NOT(ISERROR(SEARCH("Einnahmen",C1045)))</formula>
    </cfRule>
    <cfRule type="containsText" dxfId="6627" priority="183" operator="containsText" text="Ausgaben">
      <formula>NOT(ISERROR(SEARCH("Ausgaben",C1045)))</formula>
    </cfRule>
  </conditionalFormatting>
  <conditionalFormatting sqref="C1045">
    <cfRule type="containsText" dxfId="6626" priority="180" operator="containsText" text="Einnahmen">
      <formula>NOT(ISERROR(SEARCH("Einnahmen",C1045)))</formula>
    </cfRule>
    <cfRule type="containsText" dxfId="6625" priority="181" operator="containsText" text="Ausgaben">
      <formula>NOT(ISERROR(SEARCH("Ausgaben",C1045)))</formula>
    </cfRule>
  </conditionalFormatting>
  <conditionalFormatting sqref="J1045">
    <cfRule type="cellIs" dxfId="6624" priority="179" operator="equal">
      <formula>"ja"</formula>
    </cfRule>
  </conditionalFormatting>
  <conditionalFormatting sqref="J1045">
    <cfRule type="cellIs" dxfId="6623" priority="178" operator="equal">
      <formula>"ja"</formula>
    </cfRule>
  </conditionalFormatting>
  <conditionalFormatting sqref="T1046:T1048">
    <cfRule type="expression" dxfId="6622" priority="176">
      <formula>AND(AND($W1046&lt;TODAY(),$W1046&lt;&gt;""),$X1046="")</formula>
    </cfRule>
  </conditionalFormatting>
  <conditionalFormatting sqref="C1046:C1048">
    <cfRule type="containsText" dxfId="6621" priority="174" operator="containsText" text="Einnahmen">
      <formula>NOT(ISERROR(SEARCH("Einnahmen",C1046)))</formula>
    </cfRule>
    <cfRule type="containsText" dxfId="6620" priority="175" operator="containsText" text="Ausgaben">
      <formula>NOT(ISERROR(SEARCH("Ausgaben",C1046)))</formula>
    </cfRule>
  </conditionalFormatting>
  <conditionalFormatting sqref="C1046:C1048">
    <cfRule type="containsText" dxfId="6619" priority="172" operator="containsText" text="Einnahmen">
      <formula>NOT(ISERROR(SEARCH("Einnahmen",C1046)))</formula>
    </cfRule>
    <cfRule type="containsText" dxfId="6618" priority="173" operator="containsText" text="Ausgaben">
      <formula>NOT(ISERROR(SEARCH("Ausgaben",C1046)))</formula>
    </cfRule>
  </conditionalFormatting>
  <conditionalFormatting sqref="Z1046:Z1048">
    <cfRule type="dataBar" priority="177">
      <dataBar>
        <cfvo type="min"/>
        <cfvo type="max"/>
        <color rgb="FF63C384"/>
      </dataBar>
      <extLst>
        <ext xmlns:x14="http://schemas.microsoft.com/office/spreadsheetml/2009/9/main" uri="{B025F937-C7B1-47D3-B67F-A62EFF666E3E}">
          <x14:id>{5D4C805B-9A84-4A87-8F68-CAE95851330B}</x14:id>
        </ext>
      </extLst>
    </cfRule>
  </conditionalFormatting>
  <conditionalFormatting sqref="T1049">
    <cfRule type="expression" dxfId="6617" priority="171">
      <formula>AND(AND($W1049&lt;TODAY(),$W1049&lt;&gt;""),$X1049="")</formula>
    </cfRule>
  </conditionalFormatting>
  <conditionalFormatting sqref="C1049">
    <cfRule type="containsText" dxfId="6616" priority="169" operator="containsText" text="Einnahmen">
      <formula>NOT(ISERROR(SEARCH("Einnahmen",C1049)))</formula>
    </cfRule>
    <cfRule type="containsText" dxfId="6615" priority="170" operator="containsText" text="Ausgaben">
      <formula>NOT(ISERROR(SEARCH("Ausgaben",C1049)))</formula>
    </cfRule>
  </conditionalFormatting>
  <conditionalFormatting sqref="J1049">
    <cfRule type="cellIs" dxfId="6614" priority="168" operator="equal">
      <formula>"ja"</formula>
    </cfRule>
  </conditionalFormatting>
  <conditionalFormatting sqref="J1049">
    <cfRule type="cellIs" dxfId="6613" priority="167" operator="equal">
      <formula>"ja"</formula>
    </cfRule>
  </conditionalFormatting>
  <conditionalFormatting sqref="C1049">
    <cfRule type="containsText" dxfId="6612" priority="165" operator="containsText" text="Einnahmen">
      <formula>NOT(ISERROR(SEARCH("Einnahmen",C1049)))</formula>
    </cfRule>
    <cfRule type="containsText" dxfId="6611" priority="166" operator="containsText" text="Ausgaben">
      <formula>NOT(ISERROR(SEARCH("Ausgaben",C1049)))</formula>
    </cfRule>
  </conditionalFormatting>
  <conditionalFormatting sqref="J1049">
    <cfRule type="cellIs" dxfId="6610" priority="164" operator="equal">
      <formula>"ja"</formula>
    </cfRule>
  </conditionalFormatting>
  <conditionalFormatting sqref="Z1049">
    <cfRule type="dataBar" priority="163">
      <dataBar>
        <cfvo type="min"/>
        <cfvo type="max"/>
        <color rgb="FF63C384"/>
      </dataBar>
      <extLst>
        <ext xmlns:x14="http://schemas.microsoft.com/office/spreadsheetml/2009/9/main" uri="{B025F937-C7B1-47D3-B67F-A62EFF666E3E}">
          <x14:id>{816F0A91-054D-43F7-9529-5789318FDC59}</x14:id>
        </ext>
      </extLst>
    </cfRule>
  </conditionalFormatting>
  <conditionalFormatting sqref="Z1049">
    <cfRule type="dataBar" priority="162">
      <dataBar>
        <cfvo type="min"/>
        <cfvo type="max"/>
        <color rgb="FF63C384"/>
      </dataBar>
      <extLst>
        <ext xmlns:x14="http://schemas.microsoft.com/office/spreadsheetml/2009/9/main" uri="{B025F937-C7B1-47D3-B67F-A62EFF666E3E}">
          <x14:id>{2722B87A-7CC6-4B56-A815-1505F7A96807}</x14:id>
        </ext>
      </extLst>
    </cfRule>
  </conditionalFormatting>
  <conditionalFormatting sqref="J1049">
    <cfRule type="cellIs" dxfId="6609" priority="161" operator="equal">
      <formula>"ja"</formula>
    </cfRule>
  </conditionalFormatting>
  <conditionalFormatting sqref="Z1049">
    <cfRule type="dataBar" priority="160">
      <dataBar>
        <cfvo type="min"/>
        <cfvo type="max"/>
        <color rgb="FF63C384"/>
      </dataBar>
      <extLst>
        <ext xmlns:x14="http://schemas.microsoft.com/office/spreadsheetml/2009/9/main" uri="{B025F937-C7B1-47D3-B67F-A62EFF666E3E}">
          <x14:id>{7F6769A5-2169-4147-A849-4C0AAABFC5F9}</x14:id>
        </ext>
      </extLst>
    </cfRule>
  </conditionalFormatting>
  <conditionalFormatting sqref="Z1049">
    <cfRule type="dataBar" priority="159">
      <dataBar>
        <cfvo type="min"/>
        <cfvo type="max"/>
        <color rgb="FF63C384"/>
      </dataBar>
      <extLst>
        <ext xmlns:x14="http://schemas.microsoft.com/office/spreadsheetml/2009/9/main" uri="{B025F937-C7B1-47D3-B67F-A62EFF666E3E}">
          <x14:id>{4191C7CF-7A53-4A24-A22B-AC4B06BD4BE2}</x14:id>
        </ext>
      </extLst>
    </cfRule>
  </conditionalFormatting>
  <conditionalFormatting sqref="T1050">
    <cfRule type="expression" dxfId="6608" priority="158">
      <formula>AND(AND($W1050&lt;TODAY(),$W1050&lt;&gt;""),$X1050="")</formula>
    </cfRule>
  </conditionalFormatting>
  <conditionalFormatting sqref="J1050">
    <cfRule type="cellIs" dxfId="6607" priority="157" operator="equal">
      <formula>"ja"</formula>
    </cfRule>
  </conditionalFormatting>
  <conditionalFormatting sqref="Z1050">
    <cfRule type="dataBar" priority="156">
      <dataBar>
        <cfvo type="min"/>
        <cfvo type="max"/>
        <color rgb="FF63C384"/>
      </dataBar>
      <extLst>
        <ext xmlns:x14="http://schemas.microsoft.com/office/spreadsheetml/2009/9/main" uri="{B025F937-C7B1-47D3-B67F-A62EFF666E3E}">
          <x14:id>{DF6BA7DD-66B9-4D27-9F7A-A267A4C159F1}</x14:id>
        </ext>
      </extLst>
    </cfRule>
  </conditionalFormatting>
  <conditionalFormatting sqref="J1050">
    <cfRule type="cellIs" dxfId="6606" priority="155" operator="equal">
      <formula>"ja"</formula>
    </cfRule>
  </conditionalFormatting>
  <conditionalFormatting sqref="J1050">
    <cfRule type="cellIs" dxfId="6605" priority="154" operator="equal">
      <formula>"ja"</formula>
    </cfRule>
  </conditionalFormatting>
  <conditionalFormatting sqref="C1050">
    <cfRule type="containsText" dxfId="6604" priority="152" operator="containsText" text="Einnahmen">
      <formula>NOT(ISERROR(SEARCH("Einnahmen",C1050)))</formula>
    </cfRule>
    <cfRule type="containsText" dxfId="6603" priority="153" operator="containsText" text="Ausgaben">
      <formula>NOT(ISERROR(SEARCH("Ausgaben",C1050)))</formula>
    </cfRule>
  </conditionalFormatting>
  <conditionalFormatting sqref="C1050">
    <cfRule type="containsText" dxfId="6602" priority="150" operator="containsText" text="Einnahmen">
      <formula>NOT(ISERROR(SEARCH("Einnahmen",C1050)))</formula>
    </cfRule>
    <cfRule type="containsText" dxfId="6601" priority="151" operator="containsText" text="Ausgaben">
      <formula>NOT(ISERROR(SEARCH("Ausgaben",C1050)))</formula>
    </cfRule>
  </conditionalFormatting>
  <conditionalFormatting sqref="T1051">
    <cfRule type="expression" dxfId="6600" priority="149">
      <formula>AND(AND($W1051&lt;TODAY(),$W1051&lt;&gt;""),$X1051="")</formula>
    </cfRule>
  </conditionalFormatting>
  <conditionalFormatting sqref="C1051">
    <cfRule type="containsText" dxfId="6599" priority="147" operator="containsText" text="Einnahmen">
      <formula>NOT(ISERROR(SEARCH("Einnahmen",C1051)))</formula>
    </cfRule>
    <cfRule type="containsText" dxfId="6598" priority="148" operator="containsText" text="Ausgaben">
      <formula>NOT(ISERROR(SEARCH("Ausgaben",C1051)))</formula>
    </cfRule>
  </conditionalFormatting>
  <conditionalFormatting sqref="Z1051">
    <cfRule type="dataBar" priority="146">
      <dataBar>
        <cfvo type="min"/>
        <cfvo type="max"/>
        <color rgb="FF63C384"/>
      </dataBar>
      <extLst>
        <ext xmlns:x14="http://schemas.microsoft.com/office/spreadsheetml/2009/9/main" uri="{B025F937-C7B1-47D3-B67F-A62EFF666E3E}">
          <x14:id>{11A159E3-A710-4F5C-A4C9-A05DD6BE71B0}</x14:id>
        </ext>
      </extLst>
    </cfRule>
  </conditionalFormatting>
  <conditionalFormatting sqref="Z1051">
    <cfRule type="dataBar" priority="145">
      <dataBar>
        <cfvo type="min"/>
        <cfvo type="max"/>
        <color rgb="FF63C384"/>
      </dataBar>
      <extLst>
        <ext xmlns:x14="http://schemas.microsoft.com/office/spreadsheetml/2009/9/main" uri="{B025F937-C7B1-47D3-B67F-A62EFF666E3E}">
          <x14:id>{C4E8CB36-DD58-4FEB-A01C-A878401A6CB7}</x14:id>
        </ext>
      </extLst>
    </cfRule>
  </conditionalFormatting>
  <conditionalFormatting sqref="Z1051">
    <cfRule type="dataBar" priority="144">
      <dataBar>
        <cfvo type="min"/>
        <cfvo type="max"/>
        <color rgb="FF63C384"/>
      </dataBar>
      <extLst>
        <ext xmlns:x14="http://schemas.microsoft.com/office/spreadsheetml/2009/9/main" uri="{B025F937-C7B1-47D3-B67F-A62EFF666E3E}">
          <x14:id>{805FDA9E-B438-4B03-A98C-A23C5259BF2D}</x14:id>
        </ext>
      </extLst>
    </cfRule>
  </conditionalFormatting>
  <conditionalFormatting sqref="Z1051">
    <cfRule type="dataBar" priority="143">
      <dataBar>
        <cfvo type="min"/>
        <cfvo type="max"/>
        <color rgb="FF63C384"/>
      </dataBar>
      <extLst>
        <ext xmlns:x14="http://schemas.microsoft.com/office/spreadsheetml/2009/9/main" uri="{B025F937-C7B1-47D3-B67F-A62EFF666E3E}">
          <x14:id>{5B27C7F5-8454-46CC-955C-E72AB74881B0}</x14:id>
        </ext>
      </extLst>
    </cfRule>
  </conditionalFormatting>
  <conditionalFormatting sqref="T1052">
    <cfRule type="expression" dxfId="6597" priority="142">
      <formula>AND(AND($W1052&lt;TODAY(),$W1052&lt;&gt;""),$X1052="")</formula>
    </cfRule>
  </conditionalFormatting>
  <conditionalFormatting sqref="C1052">
    <cfRule type="containsText" dxfId="6596" priority="140" operator="containsText" text="Einnahmen">
      <formula>NOT(ISERROR(SEARCH("Einnahmen",C1052)))</formula>
    </cfRule>
    <cfRule type="containsText" dxfId="6595" priority="141" operator="containsText" text="Ausgaben">
      <formula>NOT(ISERROR(SEARCH("Ausgaben",C1052)))</formula>
    </cfRule>
  </conditionalFormatting>
  <conditionalFormatting sqref="Z1052">
    <cfRule type="dataBar" priority="139">
      <dataBar>
        <cfvo type="min"/>
        <cfvo type="max"/>
        <color rgb="FF63C384"/>
      </dataBar>
      <extLst>
        <ext xmlns:x14="http://schemas.microsoft.com/office/spreadsheetml/2009/9/main" uri="{B025F937-C7B1-47D3-B67F-A62EFF666E3E}">
          <x14:id>{5929203B-EABB-45DB-A03B-3C44C4995342}</x14:id>
        </ext>
      </extLst>
    </cfRule>
  </conditionalFormatting>
  <conditionalFormatting sqref="Z1052">
    <cfRule type="dataBar" priority="138">
      <dataBar>
        <cfvo type="min"/>
        <cfvo type="max"/>
        <color rgb="FF63C384"/>
      </dataBar>
      <extLst>
        <ext xmlns:x14="http://schemas.microsoft.com/office/spreadsheetml/2009/9/main" uri="{B025F937-C7B1-47D3-B67F-A62EFF666E3E}">
          <x14:id>{95D9094A-D32E-4A5F-B05C-BD5870D80F92}</x14:id>
        </ext>
      </extLst>
    </cfRule>
  </conditionalFormatting>
  <conditionalFormatting sqref="J1052">
    <cfRule type="cellIs" dxfId="6594" priority="137" operator="equal">
      <formula>"ja"</formula>
    </cfRule>
  </conditionalFormatting>
  <conditionalFormatting sqref="J1052">
    <cfRule type="cellIs" dxfId="6593" priority="136" operator="equal">
      <formula>"ja"</formula>
    </cfRule>
  </conditionalFormatting>
  <conditionalFormatting sqref="T1053:T1054">
    <cfRule type="expression" dxfId="6592" priority="134">
      <formula>AND(AND($W1053&lt;TODAY(),$W1053&lt;&gt;""),$X1053="")</formula>
    </cfRule>
  </conditionalFormatting>
  <conditionalFormatting sqref="C1053:C1054">
    <cfRule type="containsText" dxfId="6591" priority="132" operator="containsText" text="Einnahmen">
      <formula>NOT(ISERROR(SEARCH("Einnahmen",C1053)))</formula>
    </cfRule>
    <cfRule type="containsText" dxfId="6590" priority="133" operator="containsText" text="Ausgaben">
      <formula>NOT(ISERROR(SEARCH("Ausgaben",C1053)))</formula>
    </cfRule>
  </conditionalFormatting>
  <conditionalFormatting sqref="C1053:C1054">
    <cfRule type="containsText" dxfId="6589" priority="130" operator="containsText" text="Einnahmen">
      <formula>NOT(ISERROR(SEARCH("Einnahmen",C1053)))</formula>
    </cfRule>
    <cfRule type="containsText" dxfId="6588" priority="131" operator="containsText" text="Ausgaben">
      <formula>NOT(ISERROR(SEARCH("Ausgaben",C1053)))</formula>
    </cfRule>
  </conditionalFormatting>
  <conditionalFormatting sqref="Z1053:Z1054">
    <cfRule type="dataBar" priority="135">
      <dataBar>
        <cfvo type="min"/>
        <cfvo type="max"/>
        <color rgb="FF63C384"/>
      </dataBar>
      <extLst>
        <ext xmlns:x14="http://schemas.microsoft.com/office/spreadsheetml/2009/9/main" uri="{B025F937-C7B1-47D3-B67F-A62EFF666E3E}">
          <x14:id>{6D09CFBF-E73E-421B-85D8-3269EAC6A797}</x14:id>
        </ext>
      </extLst>
    </cfRule>
  </conditionalFormatting>
  <conditionalFormatting sqref="T1055">
    <cfRule type="expression" dxfId="6587" priority="129">
      <formula>AND(AND($W1055&lt;TODAY(),$W1055&lt;&gt;""),$X1055="")</formula>
    </cfRule>
  </conditionalFormatting>
  <conditionalFormatting sqref="T1056:T1057">
    <cfRule type="expression" dxfId="6586" priority="128">
      <formula>AND(AND($W1056&lt;TODAY(),$W1056&lt;&gt;""),$X1056="")</formula>
    </cfRule>
  </conditionalFormatting>
  <conditionalFormatting sqref="Z1056:Z1057">
    <cfRule type="dataBar" priority="127">
      <dataBar>
        <cfvo type="min"/>
        <cfvo type="max"/>
        <color rgb="FF63C384"/>
      </dataBar>
      <extLst>
        <ext xmlns:x14="http://schemas.microsoft.com/office/spreadsheetml/2009/9/main" uri="{B025F937-C7B1-47D3-B67F-A62EFF666E3E}">
          <x14:id>{6D720312-5D72-4F40-BC9E-16DB8E246337}</x14:id>
        </ext>
      </extLst>
    </cfRule>
  </conditionalFormatting>
  <conditionalFormatting sqref="Z1056:Z1057">
    <cfRule type="dataBar" priority="126">
      <dataBar>
        <cfvo type="min"/>
        <cfvo type="max"/>
        <color rgb="FF63C384"/>
      </dataBar>
      <extLst>
        <ext xmlns:x14="http://schemas.microsoft.com/office/spreadsheetml/2009/9/main" uri="{B025F937-C7B1-47D3-B67F-A62EFF666E3E}">
          <x14:id>{C50FAA9D-D22E-4F61-804E-595F667876E8}</x14:id>
        </ext>
      </extLst>
    </cfRule>
  </conditionalFormatting>
  <conditionalFormatting sqref="C1056:C1057">
    <cfRule type="containsText" dxfId="6585" priority="124" operator="containsText" text="Einnahmen">
      <formula>NOT(ISERROR(SEARCH("Einnahmen",C1056)))</formula>
    </cfRule>
    <cfRule type="containsText" dxfId="6584" priority="125" operator="containsText" text="Ausgaben">
      <formula>NOT(ISERROR(SEARCH("Ausgaben",C1056)))</formula>
    </cfRule>
  </conditionalFormatting>
  <conditionalFormatting sqref="C1058">
    <cfRule type="containsText" dxfId="6583" priority="121" operator="containsText" text="Einnahmen">
      <formula>NOT(ISERROR(SEARCH("Einnahmen",C1058)))</formula>
    </cfRule>
    <cfRule type="containsText" dxfId="6582" priority="122" operator="containsText" text="Ausgaben">
      <formula>NOT(ISERROR(SEARCH("Ausgaben",C1058)))</formula>
    </cfRule>
  </conditionalFormatting>
  <conditionalFormatting sqref="T1058">
    <cfRule type="expression" dxfId="6581" priority="120">
      <formula>AND(AND($W1058&lt;TODAY(),$W1058&lt;&gt;""),$X1058="")</formula>
    </cfRule>
  </conditionalFormatting>
  <conditionalFormatting sqref="Z1058">
    <cfRule type="dataBar" priority="119">
      <dataBar>
        <cfvo type="min"/>
        <cfvo type="max"/>
        <color rgb="FF63C384"/>
      </dataBar>
      <extLst>
        <ext xmlns:x14="http://schemas.microsoft.com/office/spreadsheetml/2009/9/main" uri="{B025F937-C7B1-47D3-B67F-A62EFF666E3E}">
          <x14:id>{9B4B9FE7-92D3-4949-A772-B42CA65932B0}</x14:id>
        </ext>
      </extLst>
    </cfRule>
  </conditionalFormatting>
  <conditionalFormatting sqref="Z1058">
    <cfRule type="dataBar" priority="118">
      <dataBar>
        <cfvo type="min"/>
        <cfvo type="max"/>
        <color rgb="FF63C384"/>
      </dataBar>
      <extLst>
        <ext xmlns:x14="http://schemas.microsoft.com/office/spreadsheetml/2009/9/main" uri="{B025F937-C7B1-47D3-B67F-A62EFF666E3E}">
          <x14:id>{1EE989CD-A6F9-41FD-8ACE-8E688CFB6ED4}</x14:id>
        </ext>
      </extLst>
    </cfRule>
  </conditionalFormatting>
  <conditionalFormatting sqref="J1058">
    <cfRule type="cellIs" dxfId="6580" priority="117" operator="equal">
      <formula>"ja"</formula>
    </cfRule>
  </conditionalFormatting>
  <conditionalFormatting sqref="T1059">
    <cfRule type="expression" dxfId="6579" priority="116">
      <formula>AND(AND($W1059&lt;TODAY(),$W1059&lt;&gt;""),$X1059="")</formula>
    </cfRule>
  </conditionalFormatting>
  <conditionalFormatting sqref="Z1059">
    <cfRule type="dataBar" priority="115">
      <dataBar>
        <cfvo type="min"/>
        <cfvo type="max"/>
        <color rgb="FF63C384"/>
      </dataBar>
      <extLst>
        <ext xmlns:x14="http://schemas.microsoft.com/office/spreadsheetml/2009/9/main" uri="{B025F937-C7B1-47D3-B67F-A62EFF666E3E}">
          <x14:id>{8D79D965-2130-4CAC-B25A-1674D221D636}</x14:id>
        </ext>
      </extLst>
    </cfRule>
  </conditionalFormatting>
  <conditionalFormatting sqref="Z1059">
    <cfRule type="dataBar" priority="114">
      <dataBar>
        <cfvo type="min"/>
        <cfvo type="max"/>
        <color rgb="FF63C384"/>
      </dataBar>
      <extLst>
        <ext xmlns:x14="http://schemas.microsoft.com/office/spreadsheetml/2009/9/main" uri="{B025F937-C7B1-47D3-B67F-A62EFF666E3E}">
          <x14:id>{A931C47E-94F6-4B8C-9ED6-FDDAFA689F9C}</x14:id>
        </ext>
      </extLst>
    </cfRule>
  </conditionalFormatting>
  <conditionalFormatting sqref="J1059">
    <cfRule type="cellIs" dxfId="6578" priority="113" operator="equal">
      <formula>"ja"</formula>
    </cfRule>
  </conditionalFormatting>
  <conditionalFormatting sqref="C1059">
    <cfRule type="containsText" dxfId="6577" priority="111" operator="containsText" text="Einnahmen">
      <formula>NOT(ISERROR(SEARCH("Einnahmen",C1059)))</formula>
    </cfRule>
    <cfRule type="containsText" dxfId="6576" priority="112" operator="containsText" text="Ausgaben">
      <formula>NOT(ISERROR(SEARCH("Ausgaben",C1059)))</formula>
    </cfRule>
  </conditionalFormatting>
  <conditionalFormatting sqref="T1060:T1061">
    <cfRule type="expression" dxfId="6575" priority="110">
      <formula>AND(AND($W1060&lt;TODAY(),$W1060&lt;&gt;""),$X1060="")</formula>
    </cfRule>
  </conditionalFormatting>
  <conditionalFormatting sqref="C1060:C1061">
    <cfRule type="containsText" dxfId="6574" priority="108" operator="containsText" text="Einnahmen">
      <formula>NOT(ISERROR(SEARCH("Einnahmen",C1060)))</formula>
    </cfRule>
    <cfRule type="containsText" dxfId="6573" priority="109" operator="containsText" text="Ausgaben">
      <formula>NOT(ISERROR(SEARCH("Ausgaben",C1060)))</formula>
    </cfRule>
  </conditionalFormatting>
  <conditionalFormatting sqref="J1060">
    <cfRule type="cellIs" dxfId="6572" priority="107" operator="equal">
      <formula>"ja"</formula>
    </cfRule>
  </conditionalFormatting>
  <conditionalFormatting sqref="Z1060:Z1061">
    <cfRule type="dataBar" priority="106">
      <dataBar>
        <cfvo type="min"/>
        <cfvo type="max"/>
        <color rgb="FF63C384"/>
      </dataBar>
      <extLst>
        <ext xmlns:x14="http://schemas.microsoft.com/office/spreadsheetml/2009/9/main" uri="{B025F937-C7B1-47D3-B67F-A62EFF666E3E}">
          <x14:id>{606B559A-A823-441E-9A36-8C9EE30CB2C6}</x14:id>
        </ext>
      </extLst>
    </cfRule>
  </conditionalFormatting>
  <conditionalFormatting sqref="Z1060:Z1061">
    <cfRule type="dataBar" priority="105">
      <dataBar>
        <cfvo type="min"/>
        <cfvo type="max"/>
        <color rgb="FF63C384"/>
      </dataBar>
      <extLst>
        <ext xmlns:x14="http://schemas.microsoft.com/office/spreadsheetml/2009/9/main" uri="{B025F937-C7B1-47D3-B67F-A62EFF666E3E}">
          <x14:id>{06E48853-4E36-499C-A219-632B40652B4B}</x14:id>
        </ext>
      </extLst>
    </cfRule>
  </conditionalFormatting>
  <conditionalFormatting sqref="C1060:C1061">
    <cfRule type="containsText" dxfId="6571" priority="103" operator="containsText" text="Einnahmen">
      <formula>NOT(ISERROR(SEARCH("Einnahmen",C1060)))</formula>
    </cfRule>
    <cfRule type="containsText" dxfId="6570" priority="104" operator="containsText" text="Ausgaben">
      <formula>NOT(ISERROR(SEARCH("Ausgaben",C1060)))</formula>
    </cfRule>
  </conditionalFormatting>
  <conditionalFormatting sqref="T1060:T1061">
    <cfRule type="expression" dxfId="6569" priority="102">
      <formula>AND(AND($W1060&lt;TODAY(),$W1060&lt;&gt;""),$X1060="")</formula>
    </cfRule>
  </conditionalFormatting>
  <conditionalFormatting sqref="J1060">
    <cfRule type="cellIs" dxfId="6568" priority="101" operator="equal">
      <formula>"ja"</formula>
    </cfRule>
  </conditionalFormatting>
  <conditionalFormatting sqref="Z1060:Z1061">
    <cfRule type="dataBar" priority="100">
      <dataBar>
        <cfvo type="min"/>
        <cfvo type="max"/>
        <color rgb="FF63C384"/>
      </dataBar>
      <extLst>
        <ext xmlns:x14="http://schemas.microsoft.com/office/spreadsheetml/2009/9/main" uri="{B025F937-C7B1-47D3-B67F-A62EFF666E3E}">
          <x14:id>{88AA66CC-9C28-4B6B-8DFB-75BDB0C1467F}</x14:id>
        </ext>
      </extLst>
    </cfRule>
  </conditionalFormatting>
  <conditionalFormatting sqref="J1060">
    <cfRule type="cellIs" dxfId="6567" priority="99" operator="equal">
      <formula>"ja"</formula>
    </cfRule>
  </conditionalFormatting>
  <conditionalFormatting sqref="T1062">
    <cfRule type="expression" dxfId="6566" priority="97">
      <formula>AND(AND($W1062&lt;TODAY(),$W1062&lt;&gt;""),$X1062="")</formula>
    </cfRule>
  </conditionalFormatting>
  <conditionalFormatting sqref="C1062">
    <cfRule type="containsText" dxfId="6565" priority="95" operator="containsText" text="Einnahmen">
      <formula>NOT(ISERROR(SEARCH("Einnahmen",C1062)))</formula>
    </cfRule>
    <cfRule type="containsText" dxfId="6564" priority="96" operator="containsText" text="Ausgaben">
      <formula>NOT(ISERROR(SEARCH("Ausgaben",C1062)))</formula>
    </cfRule>
  </conditionalFormatting>
  <conditionalFormatting sqref="C1062">
    <cfRule type="containsText" dxfId="6563" priority="93" operator="containsText" text="Einnahmen">
      <formula>NOT(ISERROR(SEARCH("Einnahmen",C1062)))</formula>
    </cfRule>
    <cfRule type="containsText" dxfId="6562" priority="94" operator="containsText" text="Ausgaben">
      <formula>NOT(ISERROR(SEARCH("Ausgaben",C1062)))</formula>
    </cfRule>
  </conditionalFormatting>
  <conditionalFormatting sqref="Z1062">
    <cfRule type="dataBar" priority="98">
      <dataBar>
        <cfvo type="min"/>
        <cfvo type="max"/>
        <color rgb="FF63C384"/>
      </dataBar>
      <extLst>
        <ext xmlns:x14="http://schemas.microsoft.com/office/spreadsheetml/2009/9/main" uri="{B025F937-C7B1-47D3-B67F-A62EFF666E3E}">
          <x14:id>{C9CF28D0-1373-4A0B-A983-E73F270C5112}</x14:id>
        </ext>
      </extLst>
    </cfRule>
  </conditionalFormatting>
  <conditionalFormatting sqref="T1063">
    <cfRule type="expression" dxfId="6561" priority="90">
      <formula>AND(AND($W1063&lt;TODAY(),$W1063&lt;&gt;""),$X1063="")</formula>
    </cfRule>
  </conditionalFormatting>
  <conditionalFormatting sqref="C1063">
    <cfRule type="containsText" dxfId="6560" priority="91" operator="containsText" text="Einnahmen">
      <formula>NOT(ISERROR(SEARCH("Einnahmen",C1063)))</formula>
    </cfRule>
    <cfRule type="containsText" dxfId="6559" priority="92" operator="containsText" text="Ausgaben">
      <formula>NOT(ISERROR(SEARCH("Ausgaben",C1063)))</formula>
    </cfRule>
  </conditionalFormatting>
  <conditionalFormatting sqref="T1064">
    <cfRule type="expression" dxfId="6558" priority="89">
      <formula>AND(AND($W1064&lt;TODAY(),$W1064&lt;&gt;""),$X1064="")</formula>
    </cfRule>
  </conditionalFormatting>
  <conditionalFormatting sqref="C1064">
    <cfRule type="containsText" dxfId="6557" priority="87" operator="containsText" text="Einnahmen">
      <formula>NOT(ISERROR(SEARCH("Einnahmen",C1064)))</formula>
    </cfRule>
    <cfRule type="containsText" dxfId="6556" priority="88" operator="containsText" text="Ausgaben">
      <formula>NOT(ISERROR(SEARCH("Ausgaben",C1064)))</formula>
    </cfRule>
  </conditionalFormatting>
  <conditionalFormatting sqref="C1064">
    <cfRule type="containsText" dxfId="6555" priority="85" operator="containsText" text="Einnahmen">
      <formula>NOT(ISERROR(SEARCH("Einnahmen",C1064)))</formula>
    </cfRule>
    <cfRule type="containsText" dxfId="6554" priority="86" operator="containsText" text="Ausgaben">
      <formula>NOT(ISERROR(SEARCH("Ausgaben",C1064)))</formula>
    </cfRule>
  </conditionalFormatting>
  <conditionalFormatting sqref="J1064">
    <cfRule type="cellIs" dxfId="6553" priority="84" operator="equal">
      <formula>"ja"</formula>
    </cfRule>
  </conditionalFormatting>
  <conditionalFormatting sqref="Z1064">
    <cfRule type="dataBar" priority="83">
      <dataBar>
        <cfvo type="min"/>
        <cfvo type="max"/>
        <color rgb="FF63C384"/>
      </dataBar>
      <extLst>
        <ext xmlns:x14="http://schemas.microsoft.com/office/spreadsheetml/2009/9/main" uri="{B025F937-C7B1-47D3-B67F-A62EFF666E3E}">
          <x14:id>{5C145C35-B3DA-4FCE-BA8E-15534A640278}</x14:id>
        </ext>
      </extLst>
    </cfRule>
  </conditionalFormatting>
  <conditionalFormatting sqref="J1064">
    <cfRule type="cellIs" dxfId="6552" priority="82" operator="equal">
      <formula>"ja"</formula>
    </cfRule>
  </conditionalFormatting>
  <conditionalFormatting sqref="C1065">
    <cfRule type="containsText" dxfId="6551" priority="80" operator="containsText" text="Einnahmen">
      <formula>NOT(ISERROR(SEARCH("Einnahmen",C1065)))</formula>
    </cfRule>
    <cfRule type="containsText" dxfId="6550" priority="81" operator="containsText" text="Ausgaben">
      <formula>NOT(ISERROR(SEARCH("Ausgaben",C1065)))</formula>
    </cfRule>
  </conditionalFormatting>
  <conditionalFormatting sqref="T1065">
    <cfRule type="expression" dxfId="6549" priority="79">
      <formula>AND(AND($W1065&lt;TODAY(),$W1065&lt;&gt;""),$X1065="")</formula>
    </cfRule>
  </conditionalFormatting>
  <conditionalFormatting sqref="J1065">
    <cfRule type="cellIs" dxfId="6548" priority="78" operator="equal">
      <formula>"ja"</formula>
    </cfRule>
  </conditionalFormatting>
  <conditionalFormatting sqref="Z1065">
    <cfRule type="dataBar" priority="77">
      <dataBar>
        <cfvo type="min"/>
        <cfvo type="max"/>
        <color rgb="FF63C384"/>
      </dataBar>
      <extLst>
        <ext xmlns:x14="http://schemas.microsoft.com/office/spreadsheetml/2009/9/main" uri="{B025F937-C7B1-47D3-B67F-A62EFF666E3E}">
          <x14:id>{14ADEB4F-032D-454B-87D0-570BDD7930BB}</x14:id>
        </ext>
      </extLst>
    </cfRule>
  </conditionalFormatting>
  <conditionalFormatting sqref="J1065">
    <cfRule type="cellIs" dxfId="6547" priority="76" operator="equal">
      <formula>"ja"</formula>
    </cfRule>
  </conditionalFormatting>
  <conditionalFormatting sqref="T1065">
    <cfRule type="expression" dxfId="6546" priority="75">
      <formula>AND(AND($W1065&lt;TODAY(),$W1065&lt;&gt;""),$X1065="")</formula>
    </cfRule>
  </conditionalFormatting>
  <conditionalFormatting sqref="C1065">
    <cfRule type="containsText" dxfId="6545" priority="73" operator="containsText" text="Einnahmen">
      <formula>NOT(ISERROR(SEARCH("Einnahmen",C1065)))</formula>
    </cfRule>
    <cfRule type="containsText" dxfId="6544" priority="74" operator="containsText" text="Ausgaben">
      <formula>NOT(ISERROR(SEARCH("Ausgaben",C1065)))</formula>
    </cfRule>
  </conditionalFormatting>
  <conditionalFormatting sqref="C1065">
    <cfRule type="containsText" dxfId="6543" priority="71" operator="containsText" text="Einnahmen">
      <formula>NOT(ISERROR(SEARCH("Einnahmen",C1065)))</formula>
    </cfRule>
    <cfRule type="containsText" dxfId="6542" priority="72" operator="containsText" text="Ausgaben">
      <formula>NOT(ISERROR(SEARCH("Ausgaben",C1065)))</formula>
    </cfRule>
  </conditionalFormatting>
  <conditionalFormatting sqref="J1065">
    <cfRule type="cellIs" dxfId="6541" priority="70" operator="equal">
      <formula>"ja"</formula>
    </cfRule>
  </conditionalFormatting>
  <conditionalFormatting sqref="Z1065">
    <cfRule type="dataBar" priority="69">
      <dataBar>
        <cfvo type="min"/>
        <cfvo type="max"/>
        <color rgb="FF63C384"/>
      </dataBar>
      <extLst>
        <ext xmlns:x14="http://schemas.microsoft.com/office/spreadsheetml/2009/9/main" uri="{B025F937-C7B1-47D3-B67F-A62EFF666E3E}">
          <x14:id>{305116CA-BE7D-410A-A6F0-4A7D7C0B5772}</x14:id>
        </ext>
      </extLst>
    </cfRule>
  </conditionalFormatting>
  <conditionalFormatting sqref="J1065">
    <cfRule type="cellIs" dxfId="6540" priority="68" operator="equal">
      <formula>"ja"</formula>
    </cfRule>
  </conditionalFormatting>
  <conditionalFormatting sqref="T1066">
    <cfRule type="expression" dxfId="6539" priority="66">
      <formula>AND(AND($W1066&lt;TODAY(),$W1066&lt;&gt;""),$X1066="")</formula>
    </cfRule>
  </conditionalFormatting>
  <conditionalFormatting sqref="C1066">
    <cfRule type="containsText" dxfId="6538" priority="64" operator="containsText" text="Einnahmen">
      <formula>NOT(ISERROR(SEARCH("Einnahmen",C1066)))</formula>
    </cfRule>
    <cfRule type="containsText" dxfId="6537" priority="65" operator="containsText" text="Ausgaben">
      <formula>NOT(ISERROR(SEARCH("Ausgaben",C1066)))</formula>
    </cfRule>
  </conditionalFormatting>
  <conditionalFormatting sqref="C1066">
    <cfRule type="containsText" dxfId="6536" priority="62" operator="containsText" text="Einnahmen">
      <formula>NOT(ISERROR(SEARCH("Einnahmen",C1066)))</formula>
    </cfRule>
    <cfRule type="containsText" dxfId="6535" priority="63" operator="containsText" text="Ausgaben">
      <formula>NOT(ISERROR(SEARCH("Ausgaben",C1066)))</formula>
    </cfRule>
  </conditionalFormatting>
  <conditionalFormatting sqref="Z1066">
    <cfRule type="dataBar" priority="67">
      <dataBar>
        <cfvo type="min"/>
        <cfvo type="max"/>
        <color rgb="FF63C384"/>
      </dataBar>
      <extLst>
        <ext xmlns:x14="http://schemas.microsoft.com/office/spreadsheetml/2009/9/main" uri="{B025F937-C7B1-47D3-B67F-A62EFF666E3E}">
          <x14:id>{634E043F-9AEC-4CDF-A54C-65F6084BD744}</x14:id>
        </ext>
      </extLst>
    </cfRule>
  </conditionalFormatting>
  <conditionalFormatting sqref="T1067">
    <cfRule type="expression" dxfId="6534" priority="61">
      <formula>AND(AND($W1067&lt;TODAY(),$W1067&lt;&gt;""),$X1067="")</formula>
    </cfRule>
  </conditionalFormatting>
  <conditionalFormatting sqref="C1067">
    <cfRule type="containsText" dxfId="6533" priority="59" operator="containsText" text="Einnahmen">
      <formula>NOT(ISERROR(SEARCH("Einnahmen",C1067)))</formula>
    </cfRule>
    <cfRule type="containsText" dxfId="6532" priority="60" operator="containsText" text="Ausgaben">
      <formula>NOT(ISERROR(SEARCH("Ausgaben",C1067)))</formula>
    </cfRule>
  </conditionalFormatting>
  <conditionalFormatting sqref="J1067">
    <cfRule type="cellIs" dxfId="6531" priority="58" operator="equal">
      <formula>"ja"</formula>
    </cfRule>
  </conditionalFormatting>
  <conditionalFormatting sqref="J1067">
    <cfRule type="cellIs" dxfId="6530" priority="57" operator="equal">
      <formula>"ja"</formula>
    </cfRule>
  </conditionalFormatting>
  <conditionalFormatting sqref="C1067">
    <cfRule type="containsText" dxfId="6529" priority="55" operator="containsText" text="Einnahmen">
      <formula>NOT(ISERROR(SEARCH("Einnahmen",C1067)))</formula>
    </cfRule>
    <cfRule type="containsText" dxfId="6528" priority="56" operator="containsText" text="Ausgaben">
      <formula>NOT(ISERROR(SEARCH("Ausgaben",C1067)))</formula>
    </cfRule>
  </conditionalFormatting>
  <conditionalFormatting sqref="J1067">
    <cfRule type="cellIs" dxfId="6527" priority="54" operator="equal">
      <formula>"ja"</formula>
    </cfRule>
  </conditionalFormatting>
  <conditionalFormatting sqref="Z1067">
    <cfRule type="dataBar" priority="53">
      <dataBar>
        <cfvo type="min"/>
        <cfvo type="max"/>
        <color rgb="FF63C384"/>
      </dataBar>
      <extLst>
        <ext xmlns:x14="http://schemas.microsoft.com/office/spreadsheetml/2009/9/main" uri="{B025F937-C7B1-47D3-B67F-A62EFF666E3E}">
          <x14:id>{D7DA3CCE-3A51-4F64-B7ED-11D3BBC8E3CC}</x14:id>
        </ext>
      </extLst>
    </cfRule>
  </conditionalFormatting>
  <conditionalFormatting sqref="Z1067">
    <cfRule type="dataBar" priority="52">
      <dataBar>
        <cfvo type="min"/>
        <cfvo type="max"/>
        <color rgb="FF63C384"/>
      </dataBar>
      <extLst>
        <ext xmlns:x14="http://schemas.microsoft.com/office/spreadsheetml/2009/9/main" uri="{B025F937-C7B1-47D3-B67F-A62EFF666E3E}">
          <x14:id>{B4331C83-3678-40E2-B35E-ADDE8EFF61F4}</x14:id>
        </ext>
      </extLst>
    </cfRule>
  </conditionalFormatting>
  <conditionalFormatting sqref="J1067">
    <cfRule type="cellIs" dxfId="6526" priority="51" operator="equal">
      <formula>"ja"</formula>
    </cfRule>
  </conditionalFormatting>
  <conditionalFormatting sqref="Z1067">
    <cfRule type="dataBar" priority="50">
      <dataBar>
        <cfvo type="min"/>
        <cfvo type="max"/>
        <color rgb="FF63C384"/>
      </dataBar>
      <extLst>
        <ext xmlns:x14="http://schemas.microsoft.com/office/spreadsheetml/2009/9/main" uri="{B025F937-C7B1-47D3-B67F-A62EFF666E3E}">
          <x14:id>{B1CBDC1D-F6EC-4827-9FA7-00F22F723028}</x14:id>
        </ext>
      </extLst>
    </cfRule>
  </conditionalFormatting>
  <conditionalFormatting sqref="Z1067">
    <cfRule type="dataBar" priority="49">
      <dataBar>
        <cfvo type="min"/>
        <cfvo type="max"/>
        <color rgb="FF63C384"/>
      </dataBar>
      <extLst>
        <ext xmlns:x14="http://schemas.microsoft.com/office/spreadsheetml/2009/9/main" uri="{B025F937-C7B1-47D3-B67F-A62EFF666E3E}">
          <x14:id>{72634B80-0C66-4E13-96D1-0FFBA51856B3}</x14:id>
        </ext>
      </extLst>
    </cfRule>
  </conditionalFormatting>
  <conditionalFormatting sqref="T1068">
    <cfRule type="expression" dxfId="6525" priority="48">
      <formula>AND(AND($W1068&lt;TODAY(),$W1068&lt;&gt;""),$X1068="")</formula>
    </cfRule>
  </conditionalFormatting>
  <conditionalFormatting sqref="C1068">
    <cfRule type="containsText" dxfId="6524" priority="46" operator="containsText" text="Einnahmen">
      <formula>NOT(ISERROR(SEARCH("Einnahmen",C1068)))</formula>
    </cfRule>
    <cfRule type="containsText" dxfId="6523" priority="47" operator="containsText" text="Ausgaben">
      <formula>NOT(ISERROR(SEARCH("Ausgaben",C1068)))</formula>
    </cfRule>
  </conditionalFormatting>
  <conditionalFormatting sqref="Z1068">
    <cfRule type="dataBar" priority="45">
      <dataBar>
        <cfvo type="min"/>
        <cfvo type="max"/>
        <color rgb="FF63C384"/>
      </dataBar>
      <extLst>
        <ext xmlns:x14="http://schemas.microsoft.com/office/spreadsheetml/2009/9/main" uri="{B025F937-C7B1-47D3-B67F-A62EFF666E3E}">
          <x14:id>{17A624AC-56CA-4C4E-A3DF-CA6DDF6943C3}</x14:id>
        </ext>
      </extLst>
    </cfRule>
  </conditionalFormatting>
  <conditionalFormatting sqref="Z1068">
    <cfRule type="dataBar" priority="44">
      <dataBar>
        <cfvo type="min"/>
        <cfvo type="max"/>
        <color rgb="FF63C384"/>
      </dataBar>
      <extLst>
        <ext xmlns:x14="http://schemas.microsoft.com/office/spreadsheetml/2009/9/main" uri="{B025F937-C7B1-47D3-B67F-A62EFF666E3E}">
          <x14:id>{1F4DA4AB-7EBB-4716-8CE4-FA64DAB9B332}</x14:id>
        </ext>
      </extLst>
    </cfRule>
  </conditionalFormatting>
  <conditionalFormatting sqref="Z1068">
    <cfRule type="dataBar" priority="43">
      <dataBar>
        <cfvo type="min"/>
        <cfvo type="max"/>
        <color rgb="FF63C384"/>
      </dataBar>
      <extLst>
        <ext xmlns:x14="http://schemas.microsoft.com/office/spreadsheetml/2009/9/main" uri="{B025F937-C7B1-47D3-B67F-A62EFF666E3E}">
          <x14:id>{75F0E69E-7287-42A9-8F83-4C8F212E4880}</x14:id>
        </ext>
      </extLst>
    </cfRule>
  </conditionalFormatting>
  <conditionalFormatting sqref="Z1068">
    <cfRule type="dataBar" priority="42">
      <dataBar>
        <cfvo type="min"/>
        <cfvo type="max"/>
        <color rgb="FF63C384"/>
      </dataBar>
      <extLst>
        <ext xmlns:x14="http://schemas.microsoft.com/office/spreadsheetml/2009/9/main" uri="{B025F937-C7B1-47D3-B67F-A62EFF666E3E}">
          <x14:id>{9C76635D-3D88-43F0-ADD9-7D688EC568EB}</x14:id>
        </ext>
      </extLst>
    </cfRule>
  </conditionalFormatting>
  <conditionalFormatting sqref="T1069">
    <cfRule type="expression" dxfId="6522" priority="41">
      <formula>AND(AND($W1069&lt;TODAY(),$W1069&lt;&gt;""),$X1069="")</formula>
    </cfRule>
  </conditionalFormatting>
  <conditionalFormatting sqref="C1069">
    <cfRule type="containsText" dxfId="6521" priority="39" operator="containsText" text="Einnahmen">
      <formula>NOT(ISERROR(SEARCH("Einnahmen",C1069)))</formula>
    </cfRule>
    <cfRule type="containsText" dxfId="6520" priority="40" operator="containsText" text="Ausgaben">
      <formula>NOT(ISERROR(SEARCH("Ausgaben",C1069)))</formula>
    </cfRule>
  </conditionalFormatting>
  <conditionalFormatting sqref="Z1069">
    <cfRule type="dataBar" priority="38">
      <dataBar>
        <cfvo type="min"/>
        <cfvo type="max"/>
        <color rgb="FF63C384"/>
      </dataBar>
      <extLst>
        <ext xmlns:x14="http://schemas.microsoft.com/office/spreadsheetml/2009/9/main" uri="{B025F937-C7B1-47D3-B67F-A62EFF666E3E}">
          <x14:id>{32D14C5E-AFE7-48DC-A48C-94D18CAB57A6}</x14:id>
        </ext>
      </extLst>
    </cfRule>
  </conditionalFormatting>
  <conditionalFormatting sqref="Z1069">
    <cfRule type="dataBar" priority="37">
      <dataBar>
        <cfvo type="min"/>
        <cfvo type="max"/>
        <color rgb="FF63C384"/>
      </dataBar>
      <extLst>
        <ext xmlns:x14="http://schemas.microsoft.com/office/spreadsheetml/2009/9/main" uri="{B025F937-C7B1-47D3-B67F-A62EFF666E3E}">
          <x14:id>{D72FE20A-405C-4029-8A79-B84FD77A0F52}</x14:id>
        </ext>
      </extLst>
    </cfRule>
  </conditionalFormatting>
  <conditionalFormatting sqref="J1069">
    <cfRule type="cellIs" dxfId="6519" priority="36" operator="equal">
      <formula>"ja"</formula>
    </cfRule>
  </conditionalFormatting>
  <conditionalFormatting sqref="J1069">
    <cfRule type="cellIs" dxfId="6518" priority="35" operator="equal">
      <formula>"ja"</formula>
    </cfRule>
  </conditionalFormatting>
  <conditionalFormatting sqref="T1070">
    <cfRule type="expression" dxfId="6517" priority="33">
      <formula>AND(AND($W1070&lt;TODAY(),$W1070&lt;&gt;""),$X1070="")</formula>
    </cfRule>
  </conditionalFormatting>
  <conditionalFormatting sqref="C1070">
    <cfRule type="containsText" dxfId="6516" priority="31" operator="containsText" text="Einnahmen">
      <formula>NOT(ISERROR(SEARCH("Einnahmen",C1070)))</formula>
    </cfRule>
    <cfRule type="containsText" dxfId="6515" priority="32" operator="containsText" text="Ausgaben">
      <formula>NOT(ISERROR(SEARCH("Ausgaben",C1070)))</formula>
    </cfRule>
  </conditionalFormatting>
  <conditionalFormatting sqref="C1070">
    <cfRule type="containsText" dxfId="6514" priority="29" operator="containsText" text="Einnahmen">
      <formula>NOT(ISERROR(SEARCH("Einnahmen",C1070)))</formula>
    </cfRule>
    <cfRule type="containsText" dxfId="6513" priority="30" operator="containsText" text="Ausgaben">
      <formula>NOT(ISERROR(SEARCH("Ausgaben",C1070)))</formula>
    </cfRule>
  </conditionalFormatting>
  <conditionalFormatting sqref="Z1070">
    <cfRule type="dataBar" priority="34">
      <dataBar>
        <cfvo type="min"/>
        <cfvo type="max"/>
        <color rgb="FF63C384"/>
      </dataBar>
      <extLst>
        <ext xmlns:x14="http://schemas.microsoft.com/office/spreadsheetml/2009/9/main" uri="{B025F937-C7B1-47D3-B67F-A62EFF666E3E}">
          <x14:id>{E9D7105A-CC71-406F-B35B-318CAA980409}</x14:id>
        </ext>
      </extLst>
    </cfRule>
  </conditionalFormatting>
  <conditionalFormatting sqref="T1071">
    <cfRule type="expression" dxfId="6512" priority="28">
      <formula>AND(AND($W1071&lt;TODAY(),$W1071&lt;&gt;""),$X1071="")</formula>
    </cfRule>
  </conditionalFormatting>
  <conditionalFormatting sqref="J1071">
    <cfRule type="cellIs" dxfId="6511" priority="27" operator="equal">
      <formula>"ja"</formula>
    </cfRule>
  </conditionalFormatting>
  <conditionalFormatting sqref="Z1071">
    <cfRule type="dataBar" priority="26">
      <dataBar>
        <cfvo type="min"/>
        <cfvo type="max"/>
        <color rgb="FF63C384"/>
      </dataBar>
      <extLst>
        <ext xmlns:x14="http://schemas.microsoft.com/office/spreadsheetml/2009/9/main" uri="{B025F937-C7B1-47D3-B67F-A62EFF666E3E}">
          <x14:id>{9BB1B121-1236-49AC-B386-3D5DAFE4A34F}</x14:id>
        </ext>
      </extLst>
    </cfRule>
  </conditionalFormatting>
  <conditionalFormatting sqref="J1071">
    <cfRule type="cellIs" dxfId="6510" priority="25" operator="equal">
      <formula>"ja"</formula>
    </cfRule>
  </conditionalFormatting>
  <conditionalFormatting sqref="J1071">
    <cfRule type="cellIs" dxfId="6509" priority="24" operator="equal">
      <formula>"ja"</formula>
    </cfRule>
  </conditionalFormatting>
  <conditionalFormatting sqref="C1071">
    <cfRule type="containsText" dxfId="6508" priority="22" operator="containsText" text="Einnahmen">
      <formula>NOT(ISERROR(SEARCH("Einnahmen",C1071)))</formula>
    </cfRule>
    <cfRule type="containsText" dxfId="6507" priority="23" operator="containsText" text="Ausgaben">
      <formula>NOT(ISERROR(SEARCH("Ausgaben",C1071)))</formula>
    </cfRule>
  </conditionalFormatting>
  <conditionalFormatting sqref="C1071">
    <cfRule type="containsText" dxfId="6506" priority="20" operator="containsText" text="Einnahmen">
      <formula>NOT(ISERROR(SEARCH("Einnahmen",C1071)))</formula>
    </cfRule>
    <cfRule type="containsText" dxfId="6505" priority="21" operator="containsText" text="Ausgaben">
      <formula>NOT(ISERROR(SEARCH("Ausgaben",C1071)))</formula>
    </cfRule>
  </conditionalFormatting>
  <conditionalFormatting sqref="T1072">
    <cfRule type="expression" dxfId="6504" priority="19">
      <formula>AND(AND($W1072&lt;TODAY(),$W1072&lt;&gt;""),$X1072="")</formula>
    </cfRule>
  </conditionalFormatting>
  <conditionalFormatting sqref="C1072">
    <cfRule type="containsText" dxfId="6503" priority="17" operator="containsText" text="Einnahmen">
      <formula>NOT(ISERROR(SEARCH("Einnahmen",C1072)))</formula>
    </cfRule>
    <cfRule type="containsText" dxfId="6502" priority="18" operator="containsText" text="Ausgaben">
      <formula>NOT(ISERROR(SEARCH("Ausgaben",C1072)))</formula>
    </cfRule>
  </conditionalFormatting>
  <conditionalFormatting sqref="J1072">
    <cfRule type="cellIs" dxfId="6501" priority="16" operator="equal">
      <formula>"ja"</formula>
    </cfRule>
  </conditionalFormatting>
  <conditionalFormatting sqref="J1072">
    <cfRule type="cellIs" dxfId="6500" priority="15" operator="equal">
      <formula>"ja"</formula>
    </cfRule>
  </conditionalFormatting>
  <conditionalFormatting sqref="C1072">
    <cfRule type="containsText" dxfId="6499" priority="13" operator="containsText" text="Einnahmen">
      <formula>NOT(ISERROR(SEARCH("Einnahmen",C1072)))</formula>
    </cfRule>
    <cfRule type="containsText" dxfId="6498" priority="14" operator="containsText" text="Ausgaben">
      <formula>NOT(ISERROR(SEARCH("Ausgaben",C1072)))</formula>
    </cfRule>
  </conditionalFormatting>
  <conditionalFormatting sqref="J1072">
    <cfRule type="cellIs" dxfId="6497" priority="12" operator="equal">
      <formula>"ja"</formula>
    </cfRule>
  </conditionalFormatting>
  <conditionalFormatting sqref="Z1072">
    <cfRule type="dataBar" priority="11">
      <dataBar>
        <cfvo type="min"/>
        <cfvo type="max"/>
        <color rgb="FF63C384"/>
      </dataBar>
      <extLst>
        <ext xmlns:x14="http://schemas.microsoft.com/office/spreadsheetml/2009/9/main" uri="{B025F937-C7B1-47D3-B67F-A62EFF666E3E}">
          <x14:id>{C33BFB61-467A-48B3-99FB-AD1E76DE1A91}</x14:id>
        </ext>
      </extLst>
    </cfRule>
  </conditionalFormatting>
  <conditionalFormatting sqref="Z1072">
    <cfRule type="dataBar" priority="10">
      <dataBar>
        <cfvo type="min"/>
        <cfvo type="max"/>
        <color rgb="FF63C384"/>
      </dataBar>
      <extLst>
        <ext xmlns:x14="http://schemas.microsoft.com/office/spreadsheetml/2009/9/main" uri="{B025F937-C7B1-47D3-B67F-A62EFF666E3E}">
          <x14:id>{7D95A8A7-2406-4E6E-9298-16BC70CF62E9}</x14:id>
        </ext>
      </extLst>
    </cfRule>
  </conditionalFormatting>
  <conditionalFormatting sqref="J1072">
    <cfRule type="cellIs" dxfId="6496" priority="9" operator="equal">
      <formula>"ja"</formula>
    </cfRule>
  </conditionalFormatting>
  <conditionalFormatting sqref="Z1072">
    <cfRule type="dataBar" priority="8">
      <dataBar>
        <cfvo type="min"/>
        <cfvo type="max"/>
        <color rgb="FF63C384"/>
      </dataBar>
      <extLst>
        <ext xmlns:x14="http://schemas.microsoft.com/office/spreadsheetml/2009/9/main" uri="{B025F937-C7B1-47D3-B67F-A62EFF666E3E}">
          <x14:id>{C45DEDBE-ED69-4152-975A-FEE524BB7FC1}</x14:id>
        </ext>
      </extLst>
    </cfRule>
  </conditionalFormatting>
  <conditionalFormatting sqref="Z1072">
    <cfRule type="dataBar" priority="7">
      <dataBar>
        <cfvo type="min"/>
        <cfvo type="max"/>
        <color rgb="FF63C384"/>
      </dataBar>
      <extLst>
        <ext xmlns:x14="http://schemas.microsoft.com/office/spreadsheetml/2009/9/main" uri="{B025F937-C7B1-47D3-B67F-A62EFF666E3E}">
          <x14:id>{93E6B03D-D8F2-46CB-87D0-29A8AC1E36F5}</x14:id>
        </ext>
      </extLst>
    </cfRule>
  </conditionalFormatting>
  <conditionalFormatting sqref="T1073">
    <cfRule type="expression" dxfId="6495" priority="5">
      <formula>AND(AND($W1073&lt;TODAY(),$W1073&lt;&gt;""),$X1073="")</formula>
    </cfRule>
  </conditionalFormatting>
  <conditionalFormatting sqref="C1073">
    <cfRule type="containsText" dxfId="6494" priority="3" operator="containsText" text="Einnahmen">
      <formula>NOT(ISERROR(SEARCH("Einnahmen",C1073)))</formula>
    </cfRule>
    <cfRule type="containsText" dxfId="6493" priority="4" operator="containsText" text="Ausgaben">
      <formula>NOT(ISERROR(SEARCH("Ausgaben",C1073)))</formula>
    </cfRule>
  </conditionalFormatting>
  <conditionalFormatting sqref="C1073">
    <cfRule type="containsText" dxfId="6492" priority="1" operator="containsText" text="Einnahmen">
      <formula>NOT(ISERROR(SEARCH("Einnahmen",C1073)))</formula>
    </cfRule>
    <cfRule type="containsText" dxfId="6491" priority="2" operator="containsText" text="Ausgaben">
      <formula>NOT(ISERROR(SEARCH("Ausgaben",C1073)))</formula>
    </cfRule>
  </conditionalFormatting>
  <conditionalFormatting sqref="Z1073">
    <cfRule type="dataBar" priority="6">
      <dataBar>
        <cfvo type="min"/>
        <cfvo type="max"/>
        <color rgb="FF63C384"/>
      </dataBar>
      <extLst>
        <ext xmlns:x14="http://schemas.microsoft.com/office/spreadsheetml/2009/9/main" uri="{B025F937-C7B1-47D3-B67F-A62EFF666E3E}">
          <x14:id>{EE04F6CF-E8CB-40E1-A9D0-727EE1132A33}</x14:id>
        </ext>
      </extLst>
    </cfRule>
  </conditionalFormatting>
  <dataValidations count="3">
    <dataValidation type="list" allowBlank="1" showInputMessage="1" showErrorMessage="1" sqref="J2:J4 J217 J241 J278 J316 J342 J355 J366 J380 J406 J395 J410 J425 J441 J459 J483:J484 J498 J515 J528 J543 J553 J568 J572 J587 J603 J605 J613 J631 J651 J667 J671 J687 J708 J719 J740 J756 J773 J786 J798 J818 J832 J854 J879 J896 J919:J920 J941:J942 J947 J957 J960 J969 J976 J988 J994 J999 J1003 J1006 J1016 J1022 J1030 J1033 J1043 J1049 J1063 J1065 J1067 J1072" xr:uid="{A16C220D-F8F9-444B-B387-79580EC4E383}">
      <formula1>"Weiterverkauf,"</formula1>
    </dataValidation>
    <dataValidation type="list" allowBlank="1" showInputMessage="1" showErrorMessage="1" sqref="C131 C125 C127 C129 C174 C165 C171:C172 C194 C181 C347 C388 C386 C422 C400:C401 C437 C513 C477 C483 C488 C493 C500 C535 C572 C593 C762 C642 C671 C675 C678 C684 C691 C699 C706 C711 C714:C716 C725 C727 C730 C743 C746 C750 C755 C757 C774 C777:C778 C836 C789 C872 C792 C838 C890:C891 C840 C799 C802 C805:C806 C884:C886 C809:C811 C866 C851 C844:C846 C819 C862 C858:C860 C825:C826 C868:C870 C904:C905 C908 C922:C924 C920 C928 C931 C934 C939 C941 C945 C947:C948 C994:C996 C999 C958 C960:C961 C963 C976 C979:C980 C1011 C1006:C1008 C1014 C1021:C1023 C1033:C1034 C1037 C1049:C1051 C1055 C1063 C1067:C1068 C1071:C1072 C1074:C1048576 C2:C123" xr:uid="{518A2732-1065-4B7B-8692-9E23B607CBF4}">
      <formula1>"Einnahmen,Ausgaben"</formula1>
    </dataValidation>
    <dataValidation type="list" allowBlank="1" showInputMessage="1" showErrorMessage="1" sqref="X1 C2:D2 D3:D1048576" xr:uid="{F493CB59-A16F-4C96-BD80-2E7AA03EC31F}">
      <formula1>Spesenart</formula1>
    </dataValidation>
  </dataValidations>
  <pageMargins left="0.7" right="0.7" top="0.78740157499999996" bottom="0.78740157499999996"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C99CF989-3EEF-4F15-9D92-29435ED34919}">
            <x14:dataBar minLength="0" maxLength="100" border="1" negativeBarBorderColorSameAsPositive="0">
              <x14:cfvo type="autoMin"/>
              <x14:cfvo type="autoMax"/>
              <x14:borderColor rgb="FF63C384"/>
              <x14:negativeFillColor rgb="FFFF0000"/>
              <x14:negativeBorderColor rgb="FFFF0000"/>
              <x14:axisColor rgb="FF000000"/>
            </x14:dataBar>
          </x14:cfRule>
          <xm:sqref>Z2:Z105 Z1011 Z999 Z928 Z664 Z109 Z707 Z712 Z731 Z748 Z763:Z764 Z780 Z796 Z799 Z807 Z827 Z848 Z864 Z890 Z932 Z1014 Z1044 Z1055 Z1063:Z1064 Z1074:Z1048576</xm:sqref>
        </x14:conditionalFormatting>
        <x14:conditionalFormatting xmlns:xm="http://schemas.microsoft.com/office/excel/2006/main">
          <x14:cfRule type="dataBar" id="{636197D7-0A75-4D4A-95EC-83CE1FF85EF2}">
            <x14:dataBar minLength="0" maxLength="100" border="1" negativeBarBorderColorSameAsPositive="0">
              <x14:cfvo type="autoMin"/>
              <x14:cfvo type="autoMax"/>
              <x14:borderColor rgb="FF63C384"/>
              <x14:negativeFillColor rgb="FFFF0000"/>
              <x14:negativeBorderColor rgb="FFFF0000"/>
              <x14:axisColor rgb="FF000000"/>
            </x14:dataBar>
          </x14:cfRule>
          <xm:sqref>Z106</xm:sqref>
        </x14:conditionalFormatting>
        <x14:conditionalFormatting xmlns:xm="http://schemas.microsoft.com/office/excel/2006/main">
          <x14:cfRule type="dataBar" id="{DE32EFEC-3FC7-48B5-AAA2-AF38A0CBE205}">
            <x14:dataBar minLength="0" maxLength="100" border="1" negativeBarBorderColorSameAsPositive="0">
              <x14:cfvo type="autoMin"/>
              <x14:cfvo type="autoMax"/>
              <x14:borderColor rgb="FF63C384"/>
              <x14:negativeFillColor rgb="FFFF0000"/>
              <x14:negativeBorderColor rgb="FFFF0000"/>
              <x14:axisColor rgb="FF000000"/>
            </x14:dataBar>
          </x14:cfRule>
          <xm:sqref>Z107:Z108</xm:sqref>
        </x14:conditionalFormatting>
        <x14:conditionalFormatting xmlns:xm="http://schemas.microsoft.com/office/excel/2006/main">
          <x14:cfRule type="dataBar" id="{B200F866-AA2E-45CC-8449-66907F3A093D}">
            <x14:dataBar minLength="0" maxLength="100" border="1" negativeBarBorderColorSameAsPositive="0">
              <x14:cfvo type="autoMin"/>
              <x14:cfvo type="autoMax"/>
              <x14:borderColor rgb="FF63C384"/>
              <x14:negativeFillColor rgb="FFFF0000"/>
              <x14:negativeBorderColor rgb="FFFF0000"/>
              <x14:axisColor rgb="FF000000"/>
            </x14:dataBar>
          </x14:cfRule>
          <xm:sqref>Z110</xm:sqref>
        </x14:conditionalFormatting>
        <x14:conditionalFormatting xmlns:xm="http://schemas.microsoft.com/office/excel/2006/main">
          <x14:cfRule type="dataBar" id="{9BA4226E-1422-4E9F-9C86-2908C2FC8F85}">
            <x14:dataBar minLength="0" maxLength="100" border="1" negativeBarBorderColorSameAsPositive="0">
              <x14:cfvo type="autoMin"/>
              <x14:cfvo type="autoMax"/>
              <x14:borderColor rgb="FF63C384"/>
              <x14:negativeFillColor rgb="FFFF0000"/>
              <x14:negativeBorderColor rgb="FFFF0000"/>
              <x14:axisColor rgb="FF000000"/>
            </x14:dataBar>
          </x14:cfRule>
          <xm:sqref>Z111</xm:sqref>
        </x14:conditionalFormatting>
        <x14:conditionalFormatting xmlns:xm="http://schemas.microsoft.com/office/excel/2006/main">
          <x14:cfRule type="dataBar" id="{055BB276-9D52-4818-821A-4B1EF77A35D9}">
            <x14:dataBar minLength="0" maxLength="100" border="1" negativeBarBorderColorSameAsPositive="0">
              <x14:cfvo type="autoMin"/>
              <x14:cfvo type="autoMax"/>
              <x14:borderColor rgb="FF63C384"/>
              <x14:negativeFillColor rgb="FFFF0000"/>
              <x14:negativeBorderColor rgb="FFFF0000"/>
              <x14:axisColor rgb="FF000000"/>
            </x14:dataBar>
          </x14:cfRule>
          <xm:sqref>Z112</xm:sqref>
        </x14:conditionalFormatting>
        <x14:conditionalFormatting xmlns:xm="http://schemas.microsoft.com/office/excel/2006/main">
          <x14:cfRule type="dataBar" id="{EEDBBCE7-7ABC-402E-B566-6C36D42442B2}">
            <x14:dataBar minLength="0" maxLength="100" border="1" negativeBarBorderColorSameAsPositive="0">
              <x14:cfvo type="autoMin"/>
              <x14:cfvo type="autoMax"/>
              <x14:borderColor rgb="FF63C384"/>
              <x14:negativeFillColor rgb="FFFF0000"/>
              <x14:negativeBorderColor rgb="FFFF0000"/>
              <x14:axisColor rgb="FF000000"/>
            </x14:dataBar>
          </x14:cfRule>
          <xm:sqref>Z113</xm:sqref>
        </x14:conditionalFormatting>
        <x14:conditionalFormatting xmlns:xm="http://schemas.microsoft.com/office/excel/2006/main">
          <x14:cfRule type="dataBar" id="{56BF0771-169E-400C-93FA-B449C1631DC4}">
            <x14:dataBar minLength="0" maxLength="100" border="1" negativeBarBorderColorSameAsPositive="0">
              <x14:cfvo type="autoMin"/>
              <x14:cfvo type="autoMax"/>
              <x14:borderColor rgb="FF63C384"/>
              <x14:negativeFillColor rgb="FFFF0000"/>
              <x14:negativeBorderColor rgb="FFFF0000"/>
              <x14:axisColor rgb="FF000000"/>
            </x14:dataBar>
          </x14:cfRule>
          <xm:sqref>Z116</xm:sqref>
        </x14:conditionalFormatting>
        <x14:conditionalFormatting xmlns:xm="http://schemas.microsoft.com/office/excel/2006/main">
          <x14:cfRule type="dataBar" id="{0096612E-63A5-4BF4-8F07-FACE782DE42B}">
            <x14:dataBar minLength="0" maxLength="100" border="1" negativeBarBorderColorSameAsPositive="0">
              <x14:cfvo type="autoMin"/>
              <x14:cfvo type="autoMax"/>
              <x14:borderColor rgb="FF63C384"/>
              <x14:negativeFillColor rgb="FFFF0000"/>
              <x14:negativeBorderColor rgb="FFFF0000"/>
              <x14:axisColor rgb="FF000000"/>
            </x14:dataBar>
          </x14:cfRule>
          <xm:sqref>Z115</xm:sqref>
        </x14:conditionalFormatting>
        <x14:conditionalFormatting xmlns:xm="http://schemas.microsoft.com/office/excel/2006/main">
          <x14:cfRule type="dataBar" id="{2C039310-C027-42F1-9E70-91C2925C8752}">
            <x14:dataBar minLength="0" maxLength="100" border="1" negativeBarBorderColorSameAsPositive="0">
              <x14:cfvo type="autoMin"/>
              <x14:cfvo type="autoMax"/>
              <x14:borderColor rgb="FF63C384"/>
              <x14:negativeFillColor rgb="FFFF0000"/>
              <x14:negativeBorderColor rgb="FFFF0000"/>
              <x14:axisColor rgb="FF000000"/>
            </x14:dataBar>
          </x14:cfRule>
          <xm:sqref>Z114</xm:sqref>
        </x14:conditionalFormatting>
        <x14:conditionalFormatting xmlns:xm="http://schemas.microsoft.com/office/excel/2006/main">
          <x14:cfRule type="dataBar" id="{F45A9FC8-541F-40BD-9607-97915FE66402}">
            <x14:dataBar minLength="0" maxLength="100" border="1" negativeBarBorderColorSameAsPositive="0">
              <x14:cfvo type="autoMin"/>
              <x14:cfvo type="autoMax"/>
              <x14:borderColor rgb="FF63C384"/>
              <x14:negativeFillColor rgb="FFFF0000"/>
              <x14:negativeBorderColor rgb="FFFF0000"/>
              <x14:axisColor rgb="FF000000"/>
            </x14:dataBar>
          </x14:cfRule>
          <xm:sqref>Z117:Z120</xm:sqref>
        </x14:conditionalFormatting>
        <x14:conditionalFormatting xmlns:xm="http://schemas.microsoft.com/office/excel/2006/main">
          <x14:cfRule type="dataBar" id="{6404B1DC-7721-404F-AC48-4A07970C5580}">
            <x14:dataBar minLength="0" maxLength="100" border="1" negativeBarBorderColorSameAsPositive="0">
              <x14:cfvo type="autoMin"/>
              <x14:cfvo type="autoMax"/>
              <x14:borderColor rgb="FF63C384"/>
              <x14:negativeFillColor rgb="FFFF0000"/>
              <x14:negativeBorderColor rgb="FFFF0000"/>
              <x14:axisColor rgb="FF000000"/>
            </x14:dataBar>
          </x14:cfRule>
          <xm:sqref>Z121</xm:sqref>
        </x14:conditionalFormatting>
        <x14:conditionalFormatting xmlns:xm="http://schemas.microsoft.com/office/excel/2006/main">
          <x14:cfRule type="dataBar" id="{ABA7A139-3313-42E0-80E7-5C65E7771894}">
            <x14:dataBar minLength="0" maxLength="100" border="1" negativeBarBorderColorSameAsPositive="0">
              <x14:cfvo type="autoMin"/>
              <x14:cfvo type="autoMax"/>
              <x14:borderColor rgb="FF63C384"/>
              <x14:negativeFillColor rgb="FFFF0000"/>
              <x14:negativeBorderColor rgb="FFFF0000"/>
              <x14:axisColor rgb="FF000000"/>
            </x14:dataBar>
          </x14:cfRule>
          <xm:sqref>Z122</xm:sqref>
        </x14:conditionalFormatting>
        <x14:conditionalFormatting xmlns:xm="http://schemas.microsoft.com/office/excel/2006/main">
          <x14:cfRule type="dataBar" id="{52105031-8A64-4EBD-90D5-114328EA173A}">
            <x14:dataBar minLength="0" maxLength="100" border="1" negativeBarBorderColorSameAsPositive="0">
              <x14:cfvo type="autoMin"/>
              <x14:cfvo type="autoMax"/>
              <x14:borderColor rgb="FF63C384"/>
              <x14:negativeFillColor rgb="FFFF0000"/>
              <x14:negativeBorderColor rgb="FFFF0000"/>
              <x14:axisColor rgb="FF000000"/>
            </x14:dataBar>
          </x14:cfRule>
          <xm:sqref>Z123</xm:sqref>
        </x14:conditionalFormatting>
        <x14:conditionalFormatting xmlns:xm="http://schemas.microsoft.com/office/excel/2006/main">
          <x14:cfRule type="dataBar" id="{55CF76E0-D2EE-42FA-B1AD-7F75615A10EF}">
            <x14:dataBar minLength="0" maxLength="100" border="1" negativeBarBorderColorSameAsPositive="0">
              <x14:cfvo type="autoMin"/>
              <x14:cfvo type="autoMax"/>
              <x14:borderColor rgb="FF63C384"/>
              <x14:negativeFillColor rgb="FFFF0000"/>
              <x14:negativeBorderColor rgb="FFFF0000"/>
              <x14:axisColor rgb="FF000000"/>
            </x14:dataBar>
          </x14:cfRule>
          <xm:sqref>Z124</xm:sqref>
        </x14:conditionalFormatting>
        <x14:conditionalFormatting xmlns:xm="http://schemas.microsoft.com/office/excel/2006/main">
          <x14:cfRule type="dataBar" id="{57970CA6-6AFF-4112-BE20-3EDE8F4BEB5E}">
            <x14:dataBar minLength="0" maxLength="100" border="1" negativeBarBorderColorSameAsPositive="0">
              <x14:cfvo type="autoMin"/>
              <x14:cfvo type="autoMax"/>
              <x14:borderColor rgb="FF63C384"/>
              <x14:negativeFillColor rgb="FFFF0000"/>
              <x14:negativeBorderColor rgb="FFFF0000"/>
              <x14:axisColor rgb="FF000000"/>
            </x14:dataBar>
          </x14:cfRule>
          <xm:sqref>Z125</xm:sqref>
        </x14:conditionalFormatting>
        <x14:conditionalFormatting xmlns:xm="http://schemas.microsoft.com/office/excel/2006/main">
          <x14:cfRule type="dataBar" id="{A0AB9B23-0CB2-4FA5-B8BA-AA5309BE6B60}">
            <x14:dataBar minLength="0" maxLength="100" border="1" negativeBarBorderColorSameAsPositive="0">
              <x14:cfvo type="autoMin"/>
              <x14:cfvo type="autoMax"/>
              <x14:borderColor rgb="FF63C384"/>
              <x14:negativeFillColor rgb="FFFF0000"/>
              <x14:negativeBorderColor rgb="FFFF0000"/>
              <x14:axisColor rgb="FF000000"/>
            </x14:dataBar>
          </x14:cfRule>
          <xm:sqref>Z126</xm:sqref>
        </x14:conditionalFormatting>
        <x14:conditionalFormatting xmlns:xm="http://schemas.microsoft.com/office/excel/2006/main">
          <x14:cfRule type="dataBar" id="{51D22935-82E9-4E04-A5B3-7FB37D373792}">
            <x14:dataBar minLength="0" maxLength="100" border="1" negativeBarBorderColorSameAsPositive="0">
              <x14:cfvo type="autoMin"/>
              <x14:cfvo type="autoMax"/>
              <x14:borderColor rgb="FF63C384"/>
              <x14:negativeFillColor rgb="FFFF0000"/>
              <x14:negativeBorderColor rgb="FFFF0000"/>
              <x14:axisColor rgb="FF000000"/>
            </x14:dataBar>
          </x14:cfRule>
          <xm:sqref>Z127</xm:sqref>
        </x14:conditionalFormatting>
        <x14:conditionalFormatting xmlns:xm="http://schemas.microsoft.com/office/excel/2006/main">
          <x14:cfRule type="dataBar" id="{0BE14CCA-6C01-43C9-8838-0333D49C6D7B}">
            <x14:dataBar minLength="0" maxLength="100" border="1" negativeBarBorderColorSameAsPositive="0">
              <x14:cfvo type="autoMin"/>
              <x14:cfvo type="autoMax"/>
              <x14:borderColor rgb="FF63C384"/>
              <x14:negativeFillColor rgb="FFFF0000"/>
              <x14:negativeBorderColor rgb="FFFF0000"/>
              <x14:axisColor rgb="FF000000"/>
            </x14:dataBar>
          </x14:cfRule>
          <xm:sqref>Z128</xm:sqref>
        </x14:conditionalFormatting>
        <x14:conditionalFormatting xmlns:xm="http://schemas.microsoft.com/office/excel/2006/main">
          <x14:cfRule type="dataBar" id="{2C23B5A8-ED1A-414B-814B-2F946112E903}">
            <x14:dataBar minLength="0" maxLength="100" border="1" negativeBarBorderColorSameAsPositive="0">
              <x14:cfvo type="autoMin"/>
              <x14:cfvo type="autoMax"/>
              <x14:borderColor rgb="FF63C384"/>
              <x14:negativeFillColor rgb="FFFF0000"/>
              <x14:negativeBorderColor rgb="FFFF0000"/>
              <x14:axisColor rgb="FF000000"/>
            </x14:dataBar>
          </x14:cfRule>
          <xm:sqref>Z129</xm:sqref>
        </x14:conditionalFormatting>
        <x14:conditionalFormatting xmlns:xm="http://schemas.microsoft.com/office/excel/2006/main">
          <x14:cfRule type="dataBar" id="{4F93B37F-574C-4812-827B-4D273CAA0844}">
            <x14:dataBar minLength="0" maxLength="100" border="1" negativeBarBorderColorSameAsPositive="0">
              <x14:cfvo type="autoMin"/>
              <x14:cfvo type="autoMax"/>
              <x14:borderColor rgb="FF63C384"/>
              <x14:negativeFillColor rgb="FFFF0000"/>
              <x14:negativeBorderColor rgb="FFFF0000"/>
              <x14:axisColor rgb="FF000000"/>
            </x14:dataBar>
          </x14:cfRule>
          <xm:sqref>Z130</xm:sqref>
        </x14:conditionalFormatting>
        <x14:conditionalFormatting xmlns:xm="http://schemas.microsoft.com/office/excel/2006/main">
          <x14:cfRule type="dataBar" id="{3D0A71C0-1261-48D6-896B-C270834F8014}">
            <x14:dataBar minLength="0" maxLength="100" border="1" negativeBarBorderColorSameAsPositive="0">
              <x14:cfvo type="autoMin"/>
              <x14:cfvo type="autoMax"/>
              <x14:borderColor rgb="FF63C384"/>
              <x14:negativeFillColor rgb="FFFF0000"/>
              <x14:negativeBorderColor rgb="FFFF0000"/>
              <x14:axisColor rgb="FF000000"/>
            </x14:dataBar>
          </x14:cfRule>
          <xm:sqref>Z131</xm:sqref>
        </x14:conditionalFormatting>
        <x14:conditionalFormatting xmlns:xm="http://schemas.microsoft.com/office/excel/2006/main">
          <x14:cfRule type="dataBar" id="{87D8EBAA-5D27-4775-BB01-4B48A7515E6A}">
            <x14:dataBar minLength="0" maxLength="100" border="1" negativeBarBorderColorSameAsPositive="0">
              <x14:cfvo type="autoMin"/>
              <x14:cfvo type="autoMax"/>
              <x14:borderColor rgb="FF63C384"/>
              <x14:negativeFillColor rgb="FFFF0000"/>
              <x14:negativeBorderColor rgb="FFFF0000"/>
              <x14:axisColor rgb="FF000000"/>
            </x14:dataBar>
          </x14:cfRule>
          <xm:sqref>Z132</xm:sqref>
        </x14:conditionalFormatting>
        <x14:conditionalFormatting xmlns:xm="http://schemas.microsoft.com/office/excel/2006/main">
          <x14:cfRule type="dataBar" id="{94EB90C1-8ADB-475F-94B2-697961E8D56C}">
            <x14:dataBar minLength="0" maxLength="100" border="1" negativeBarBorderColorSameAsPositive="0">
              <x14:cfvo type="autoMin"/>
              <x14:cfvo type="autoMax"/>
              <x14:borderColor rgb="FF63C384"/>
              <x14:negativeFillColor rgb="FFFF0000"/>
              <x14:negativeBorderColor rgb="FFFF0000"/>
              <x14:axisColor rgb="FF000000"/>
            </x14:dataBar>
          </x14:cfRule>
          <xm:sqref>Z133:Z134 Z138 Z140 Z142:Z144 Z146:Z148 Z150 Z152</xm:sqref>
        </x14:conditionalFormatting>
        <x14:conditionalFormatting xmlns:xm="http://schemas.microsoft.com/office/excel/2006/main">
          <x14:cfRule type="dataBar" id="{39B0EC34-9093-430C-B283-C5DC9EB46FF2}">
            <x14:dataBar minLength="0" maxLength="100" border="1" negativeBarBorderColorSameAsPositive="0">
              <x14:cfvo type="autoMin"/>
              <x14:cfvo type="autoMax"/>
              <x14:borderColor rgb="FF63C384"/>
              <x14:negativeFillColor rgb="FFFF0000"/>
              <x14:negativeBorderColor rgb="FFFF0000"/>
              <x14:axisColor rgb="FF000000"/>
            </x14:dataBar>
          </x14:cfRule>
          <xm:sqref>Z135</xm:sqref>
        </x14:conditionalFormatting>
        <x14:conditionalFormatting xmlns:xm="http://schemas.microsoft.com/office/excel/2006/main">
          <x14:cfRule type="dataBar" id="{14CDC995-E27C-45B5-BC95-B312B4347CE4}">
            <x14:dataBar minLength="0" maxLength="100" border="1" negativeBarBorderColorSameAsPositive="0">
              <x14:cfvo type="autoMin"/>
              <x14:cfvo type="autoMax"/>
              <x14:borderColor rgb="FF63C384"/>
              <x14:negativeFillColor rgb="FFFF0000"/>
              <x14:negativeBorderColor rgb="FFFF0000"/>
              <x14:axisColor rgb="FF000000"/>
            </x14:dataBar>
          </x14:cfRule>
          <xm:sqref>Z136</xm:sqref>
        </x14:conditionalFormatting>
        <x14:conditionalFormatting xmlns:xm="http://schemas.microsoft.com/office/excel/2006/main">
          <x14:cfRule type="dataBar" id="{807976B7-54DA-47D8-849F-31A9A1E0AB33}">
            <x14:dataBar minLength="0" maxLength="100" border="1" negativeBarBorderColorSameAsPositive="0">
              <x14:cfvo type="autoMin"/>
              <x14:cfvo type="autoMax"/>
              <x14:borderColor rgb="FF63C384"/>
              <x14:negativeFillColor rgb="FFFF0000"/>
              <x14:negativeBorderColor rgb="FFFF0000"/>
              <x14:axisColor rgb="FF000000"/>
            </x14:dataBar>
          </x14:cfRule>
          <xm:sqref>Z137</xm:sqref>
        </x14:conditionalFormatting>
        <x14:conditionalFormatting xmlns:xm="http://schemas.microsoft.com/office/excel/2006/main">
          <x14:cfRule type="dataBar" id="{618039E7-82F3-4234-9032-6E34C34C2AD0}">
            <x14:dataBar minLength="0" maxLength="100" border="1" negativeBarBorderColorSameAsPositive="0">
              <x14:cfvo type="autoMin"/>
              <x14:cfvo type="autoMax"/>
              <x14:borderColor rgb="FF63C384"/>
              <x14:negativeFillColor rgb="FFFF0000"/>
              <x14:negativeBorderColor rgb="FFFF0000"/>
              <x14:axisColor rgb="FF000000"/>
            </x14:dataBar>
          </x14:cfRule>
          <xm:sqref>Z139</xm:sqref>
        </x14:conditionalFormatting>
        <x14:conditionalFormatting xmlns:xm="http://schemas.microsoft.com/office/excel/2006/main">
          <x14:cfRule type="dataBar" id="{B5AB059C-9A9B-4197-8584-269ACDAB1E9A}">
            <x14:dataBar minLength="0" maxLength="100" border="1" negativeBarBorderColorSameAsPositive="0">
              <x14:cfvo type="autoMin"/>
              <x14:cfvo type="autoMax"/>
              <x14:borderColor rgb="FF63C384"/>
              <x14:negativeFillColor rgb="FFFF0000"/>
              <x14:negativeBorderColor rgb="FFFF0000"/>
              <x14:axisColor rgb="FF000000"/>
            </x14:dataBar>
          </x14:cfRule>
          <xm:sqref>Z141</xm:sqref>
        </x14:conditionalFormatting>
        <x14:conditionalFormatting xmlns:xm="http://schemas.microsoft.com/office/excel/2006/main">
          <x14:cfRule type="dataBar" id="{0FF7670A-C80E-430E-B623-FAB052C7C011}">
            <x14:dataBar minLength="0" maxLength="100" border="1" negativeBarBorderColorSameAsPositive="0">
              <x14:cfvo type="autoMin"/>
              <x14:cfvo type="autoMax"/>
              <x14:borderColor rgb="FF63C384"/>
              <x14:negativeFillColor rgb="FFFF0000"/>
              <x14:negativeBorderColor rgb="FFFF0000"/>
              <x14:axisColor rgb="FF000000"/>
            </x14:dataBar>
          </x14:cfRule>
          <xm:sqref>Z145</xm:sqref>
        </x14:conditionalFormatting>
        <x14:conditionalFormatting xmlns:xm="http://schemas.microsoft.com/office/excel/2006/main">
          <x14:cfRule type="dataBar" id="{99C8D1C5-EC65-416A-B414-37A29E55C911}">
            <x14:dataBar minLength="0" maxLength="100" border="1" negativeBarBorderColorSameAsPositive="0">
              <x14:cfvo type="autoMin"/>
              <x14:cfvo type="autoMax"/>
              <x14:borderColor rgb="FF63C384"/>
              <x14:negativeFillColor rgb="FFFF0000"/>
              <x14:negativeBorderColor rgb="FFFF0000"/>
              <x14:axisColor rgb="FF000000"/>
            </x14:dataBar>
          </x14:cfRule>
          <xm:sqref>Z149</xm:sqref>
        </x14:conditionalFormatting>
        <x14:conditionalFormatting xmlns:xm="http://schemas.microsoft.com/office/excel/2006/main">
          <x14:cfRule type="dataBar" id="{C244D265-9E21-4BCE-887E-E11D7CC30369}">
            <x14:dataBar minLength="0" maxLength="100" border="1" negativeBarBorderColorSameAsPositive="0">
              <x14:cfvo type="autoMin"/>
              <x14:cfvo type="autoMax"/>
              <x14:borderColor rgb="FF63C384"/>
              <x14:negativeFillColor rgb="FFFF0000"/>
              <x14:negativeBorderColor rgb="FFFF0000"/>
              <x14:axisColor rgb="FF000000"/>
            </x14:dataBar>
          </x14:cfRule>
          <xm:sqref>Z151</xm:sqref>
        </x14:conditionalFormatting>
        <x14:conditionalFormatting xmlns:xm="http://schemas.microsoft.com/office/excel/2006/main">
          <x14:cfRule type="dataBar" id="{D019BA53-9DDA-464B-B2B8-2C6AB038E72E}">
            <x14:dataBar minLength="0" maxLength="100" border="1" negativeBarBorderColorSameAsPositive="0">
              <x14:cfvo type="autoMin"/>
              <x14:cfvo type="autoMax"/>
              <x14:borderColor rgb="FF63C384"/>
              <x14:negativeFillColor rgb="FFFF0000"/>
              <x14:negativeBorderColor rgb="FFFF0000"/>
              <x14:axisColor rgb="FF000000"/>
            </x14:dataBar>
          </x14:cfRule>
          <xm:sqref>Z153</xm:sqref>
        </x14:conditionalFormatting>
        <x14:conditionalFormatting xmlns:xm="http://schemas.microsoft.com/office/excel/2006/main">
          <x14:cfRule type="dataBar" id="{E83CCEC4-F3C5-4E92-8793-9E134CD829FA}">
            <x14:dataBar minLength="0" maxLength="100" border="1" negativeBarBorderColorSameAsPositive="0">
              <x14:cfvo type="autoMin"/>
              <x14:cfvo type="autoMax"/>
              <x14:borderColor rgb="FF63C384"/>
              <x14:negativeFillColor rgb="FFFF0000"/>
              <x14:negativeBorderColor rgb="FFFF0000"/>
              <x14:axisColor rgb="FF000000"/>
            </x14:dataBar>
          </x14:cfRule>
          <xm:sqref>Z154</xm:sqref>
        </x14:conditionalFormatting>
        <x14:conditionalFormatting xmlns:xm="http://schemas.microsoft.com/office/excel/2006/main">
          <x14:cfRule type="dataBar" id="{C9821F73-604B-4DE3-9C70-AC16E9F0972C}">
            <x14:dataBar minLength="0" maxLength="100" border="1" negativeBarBorderColorSameAsPositive="0">
              <x14:cfvo type="autoMin"/>
              <x14:cfvo type="autoMax"/>
              <x14:borderColor rgb="FF63C384"/>
              <x14:negativeFillColor rgb="FFFF0000"/>
              <x14:negativeBorderColor rgb="FFFF0000"/>
              <x14:axisColor rgb="FF000000"/>
            </x14:dataBar>
          </x14:cfRule>
          <xm:sqref>Z155</xm:sqref>
        </x14:conditionalFormatting>
        <x14:conditionalFormatting xmlns:xm="http://schemas.microsoft.com/office/excel/2006/main">
          <x14:cfRule type="dataBar" id="{5FFAF22C-590D-4992-949B-4BD5E7CBDF20}">
            <x14:dataBar minLength="0" maxLength="100" border="1" negativeBarBorderColorSameAsPositive="0">
              <x14:cfvo type="autoMin"/>
              <x14:cfvo type="autoMax"/>
              <x14:borderColor rgb="FF63C384"/>
              <x14:negativeFillColor rgb="FFFF0000"/>
              <x14:negativeBorderColor rgb="FFFF0000"/>
              <x14:axisColor rgb="FF000000"/>
            </x14:dataBar>
          </x14:cfRule>
          <xm:sqref>Z156</xm:sqref>
        </x14:conditionalFormatting>
        <x14:conditionalFormatting xmlns:xm="http://schemas.microsoft.com/office/excel/2006/main">
          <x14:cfRule type="dataBar" id="{61C6D958-CD3D-4CBF-ADD5-25DC41411545}">
            <x14:dataBar minLength="0" maxLength="100" border="1" negativeBarBorderColorSameAsPositive="0">
              <x14:cfvo type="autoMin"/>
              <x14:cfvo type="autoMax"/>
              <x14:borderColor rgb="FF63C384"/>
              <x14:negativeFillColor rgb="FFFF0000"/>
              <x14:negativeBorderColor rgb="FFFF0000"/>
              <x14:axisColor rgb="FF000000"/>
            </x14:dataBar>
          </x14:cfRule>
          <xm:sqref>Z157</xm:sqref>
        </x14:conditionalFormatting>
        <x14:conditionalFormatting xmlns:xm="http://schemas.microsoft.com/office/excel/2006/main">
          <x14:cfRule type="dataBar" id="{4178F02F-F382-4967-A4B3-5B27F7E18B01}">
            <x14:dataBar minLength="0" maxLength="100" border="1" negativeBarBorderColorSameAsPositive="0">
              <x14:cfvo type="autoMin"/>
              <x14:cfvo type="autoMax"/>
              <x14:borderColor rgb="FF63C384"/>
              <x14:negativeFillColor rgb="FFFF0000"/>
              <x14:negativeBorderColor rgb="FFFF0000"/>
              <x14:axisColor rgb="FF000000"/>
            </x14:dataBar>
          </x14:cfRule>
          <xm:sqref>Z158</xm:sqref>
        </x14:conditionalFormatting>
        <x14:conditionalFormatting xmlns:xm="http://schemas.microsoft.com/office/excel/2006/main">
          <x14:cfRule type="dataBar" id="{8EABE800-A040-4B84-93AC-2DFEFDA14BF4}">
            <x14:dataBar minLength="0" maxLength="100" border="1" negativeBarBorderColorSameAsPositive="0">
              <x14:cfvo type="autoMin"/>
              <x14:cfvo type="autoMax"/>
              <x14:borderColor rgb="FF63C384"/>
              <x14:negativeFillColor rgb="FFFF0000"/>
              <x14:negativeBorderColor rgb="FFFF0000"/>
              <x14:axisColor rgb="FF000000"/>
            </x14:dataBar>
          </x14:cfRule>
          <xm:sqref>Z159</xm:sqref>
        </x14:conditionalFormatting>
        <x14:conditionalFormatting xmlns:xm="http://schemas.microsoft.com/office/excel/2006/main">
          <x14:cfRule type="dataBar" id="{3602EBCF-3D3F-467F-976E-E46C01626A8D}">
            <x14:dataBar minLength="0" maxLength="100" border="1" negativeBarBorderColorSameAsPositive="0">
              <x14:cfvo type="autoMin"/>
              <x14:cfvo type="autoMax"/>
              <x14:borderColor rgb="FF63C384"/>
              <x14:negativeFillColor rgb="FFFF0000"/>
              <x14:negativeBorderColor rgb="FFFF0000"/>
              <x14:axisColor rgb="FF000000"/>
            </x14:dataBar>
          </x14:cfRule>
          <xm:sqref>Z160</xm:sqref>
        </x14:conditionalFormatting>
        <x14:conditionalFormatting xmlns:xm="http://schemas.microsoft.com/office/excel/2006/main">
          <x14:cfRule type="dataBar" id="{8EA095A8-6FF4-480F-939C-55E7ECF67529}">
            <x14:dataBar minLength="0" maxLength="100" border="1" negativeBarBorderColorSameAsPositive="0">
              <x14:cfvo type="autoMin"/>
              <x14:cfvo type="autoMax"/>
              <x14:borderColor rgb="FF63C384"/>
              <x14:negativeFillColor rgb="FFFF0000"/>
              <x14:negativeBorderColor rgb="FFFF0000"/>
              <x14:axisColor rgb="FF000000"/>
            </x14:dataBar>
          </x14:cfRule>
          <xm:sqref>Z161</xm:sqref>
        </x14:conditionalFormatting>
        <x14:conditionalFormatting xmlns:xm="http://schemas.microsoft.com/office/excel/2006/main">
          <x14:cfRule type="dataBar" id="{1DE0AF71-40B0-4BBA-8C70-22391543112D}">
            <x14:dataBar minLength="0" maxLength="100" border="1" negativeBarBorderColorSameAsPositive="0">
              <x14:cfvo type="autoMin"/>
              <x14:cfvo type="autoMax"/>
              <x14:borderColor rgb="FF63C384"/>
              <x14:negativeFillColor rgb="FFFF0000"/>
              <x14:negativeBorderColor rgb="FFFF0000"/>
              <x14:axisColor rgb="FF000000"/>
            </x14:dataBar>
          </x14:cfRule>
          <xm:sqref>Z162</xm:sqref>
        </x14:conditionalFormatting>
        <x14:conditionalFormatting xmlns:xm="http://schemas.microsoft.com/office/excel/2006/main">
          <x14:cfRule type="dataBar" id="{9D5F7467-35D8-4381-B0DE-521CF28DB230}">
            <x14:dataBar minLength="0" maxLength="100" border="1" negativeBarBorderColorSameAsPositive="0">
              <x14:cfvo type="autoMin"/>
              <x14:cfvo type="autoMax"/>
              <x14:borderColor rgb="FF63C384"/>
              <x14:negativeFillColor rgb="FFFF0000"/>
              <x14:negativeBorderColor rgb="FFFF0000"/>
              <x14:axisColor rgb="FF000000"/>
            </x14:dataBar>
          </x14:cfRule>
          <xm:sqref>Z163</xm:sqref>
        </x14:conditionalFormatting>
        <x14:conditionalFormatting xmlns:xm="http://schemas.microsoft.com/office/excel/2006/main">
          <x14:cfRule type="dataBar" id="{F4FDFE70-4574-4B87-AE40-D0449E801DB2}">
            <x14:dataBar minLength="0" maxLength="100" border="1" negativeBarBorderColorSameAsPositive="0">
              <x14:cfvo type="autoMin"/>
              <x14:cfvo type="autoMax"/>
              <x14:borderColor rgb="FF63C384"/>
              <x14:negativeFillColor rgb="FFFF0000"/>
              <x14:negativeBorderColor rgb="FFFF0000"/>
              <x14:axisColor rgb="FF000000"/>
            </x14:dataBar>
          </x14:cfRule>
          <xm:sqref>Z164</xm:sqref>
        </x14:conditionalFormatting>
        <x14:conditionalFormatting xmlns:xm="http://schemas.microsoft.com/office/excel/2006/main">
          <x14:cfRule type="dataBar" id="{9AAF4B70-6122-4861-A399-F64CD6B9913E}">
            <x14:dataBar minLength="0" maxLength="100" border="1" negativeBarBorderColorSameAsPositive="0">
              <x14:cfvo type="autoMin"/>
              <x14:cfvo type="autoMax"/>
              <x14:borderColor rgb="FF63C384"/>
              <x14:negativeFillColor rgb="FFFF0000"/>
              <x14:negativeBorderColor rgb="FFFF0000"/>
              <x14:axisColor rgb="FF000000"/>
            </x14:dataBar>
          </x14:cfRule>
          <xm:sqref>Z165</xm:sqref>
        </x14:conditionalFormatting>
        <x14:conditionalFormatting xmlns:xm="http://schemas.microsoft.com/office/excel/2006/main">
          <x14:cfRule type="dataBar" id="{3F6DE95D-B9FC-440E-928D-3B40C517F238}">
            <x14:dataBar minLength="0" maxLength="100" border="1" negativeBarBorderColorSameAsPositive="0">
              <x14:cfvo type="autoMin"/>
              <x14:cfvo type="autoMax"/>
              <x14:borderColor rgb="FF63C384"/>
              <x14:negativeFillColor rgb="FFFF0000"/>
              <x14:negativeBorderColor rgb="FFFF0000"/>
              <x14:axisColor rgb="FF000000"/>
            </x14:dataBar>
          </x14:cfRule>
          <xm:sqref>Z166</xm:sqref>
        </x14:conditionalFormatting>
        <x14:conditionalFormatting xmlns:xm="http://schemas.microsoft.com/office/excel/2006/main">
          <x14:cfRule type="dataBar" id="{5CF6EC42-615E-412A-BE9C-B304383F6CB4}">
            <x14:dataBar minLength="0" maxLength="100" border="1" negativeBarBorderColorSameAsPositive="0">
              <x14:cfvo type="autoMin"/>
              <x14:cfvo type="autoMax"/>
              <x14:borderColor rgb="FF63C384"/>
              <x14:negativeFillColor rgb="FFFF0000"/>
              <x14:negativeBorderColor rgb="FFFF0000"/>
              <x14:axisColor rgb="FF000000"/>
            </x14:dataBar>
          </x14:cfRule>
          <xm:sqref>Z167</xm:sqref>
        </x14:conditionalFormatting>
        <x14:conditionalFormatting xmlns:xm="http://schemas.microsoft.com/office/excel/2006/main">
          <x14:cfRule type="dataBar" id="{C66A02E9-1157-4171-A462-B1BF600CC0C8}">
            <x14:dataBar minLength="0" maxLength="100" border="1" negativeBarBorderColorSameAsPositive="0">
              <x14:cfvo type="autoMin"/>
              <x14:cfvo type="autoMax"/>
              <x14:borderColor rgb="FF63C384"/>
              <x14:negativeFillColor rgb="FFFF0000"/>
              <x14:negativeBorderColor rgb="FFFF0000"/>
              <x14:axisColor rgb="FF000000"/>
            </x14:dataBar>
          </x14:cfRule>
          <xm:sqref>Z168</xm:sqref>
        </x14:conditionalFormatting>
        <x14:conditionalFormatting xmlns:xm="http://schemas.microsoft.com/office/excel/2006/main">
          <x14:cfRule type="dataBar" id="{2CEBB7F5-50B7-4ACA-91E9-744CE9E8E21B}">
            <x14:dataBar minLength="0" maxLength="100" border="1" negativeBarBorderColorSameAsPositive="0">
              <x14:cfvo type="autoMin"/>
              <x14:cfvo type="autoMax"/>
              <x14:borderColor rgb="FF63C384"/>
              <x14:negativeFillColor rgb="FFFF0000"/>
              <x14:negativeBorderColor rgb="FFFF0000"/>
              <x14:axisColor rgb="FF000000"/>
            </x14:dataBar>
          </x14:cfRule>
          <xm:sqref>Z169</xm:sqref>
        </x14:conditionalFormatting>
        <x14:conditionalFormatting xmlns:xm="http://schemas.microsoft.com/office/excel/2006/main">
          <x14:cfRule type="dataBar" id="{77047B83-7E40-404C-B1F6-E7CDB69F4402}">
            <x14:dataBar minLength="0" maxLength="100" border="1" negativeBarBorderColorSameAsPositive="0">
              <x14:cfvo type="autoMin"/>
              <x14:cfvo type="autoMax"/>
              <x14:borderColor rgb="FF63C384"/>
              <x14:negativeFillColor rgb="FFFF0000"/>
              <x14:negativeBorderColor rgb="FFFF0000"/>
              <x14:axisColor rgb="FF000000"/>
            </x14:dataBar>
          </x14:cfRule>
          <xm:sqref>Z170</xm:sqref>
        </x14:conditionalFormatting>
        <x14:conditionalFormatting xmlns:xm="http://schemas.microsoft.com/office/excel/2006/main">
          <x14:cfRule type="dataBar" id="{793EC045-9527-4834-A195-CA72F7E31452}">
            <x14:dataBar minLength="0" maxLength="100" border="1" negativeBarBorderColorSameAsPositive="0">
              <x14:cfvo type="autoMin"/>
              <x14:cfvo type="autoMax"/>
              <x14:borderColor rgb="FF63C384"/>
              <x14:negativeFillColor rgb="FFFF0000"/>
              <x14:negativeBorderColor rgb="FFFF0000"/>
              <x14:axisColor rgb="FF000000"/>
            </x14:dataBar>
          </x14:cfRule>
          <xm:sqref>Z171</xm:sqref>
        </x14:conditionalFormatting>
        <x14:conditionalFormatting xmlns:xm="http://schemas.microsoft.com/office/excel/2006/main">
          <x14:cfRule type="dataBar" id="{7F9060F1-B781-49D4-90B7-50F652C6F626}">
            <x14:dataBar minLength="0" maxLength="100" border="1" negativeBarBorderColorSameAsPositive="0">
              <x14:cfvo type="autoMin"/>
              <x14:cfvo type="autoMax"/>
              <x14:borderColor rgb="FF63C384"/>
              <x14:negativeFillColor rgb="FFFF0000"/>
              <x14:negativeBorderColor rgb="FFFF0000"/>
              <x14:axisColor rgb="FF000000"/>
            </x14:dataBar>
          </x14:cfRule>
          <xm:sqref>Z172</xm:sqref>
        </x14:conditionalFormatting>
        <x14:conditionalFormatting xmlns:xm="http://schemas.microsoft.com/office/excel/2006/main">
          <x14:cfRule type="dataBar" id="{9831DB2F-8EFF-46E6-B020-CEEDECDCD66F}">
            <x14:dataBar minLength="0" maxLength="100" border="1" negativeBarBorderColorSameAsPositive="0">
              <x14:cfvo type="autoMin"/>
              <x14:cfvo type="autoMax"/>
              <x14:borderColor rgb="FF63C384"/>
              <x14:negativeFillColor rgb="FFFF0000"/>
              <x14:negativeBorderColor rgb="FFFF0000"/>
              <x14:axisColor rgb="FF000000"/>
            </x14:dataBar>
          </x14:cfRule>
          <xm:sqref>Z173</xm:sqref>
        </x14:conditionalFormatting>
        <x14:conditionalFormatting xmlns:xm="http://schemas.microsoft.com/office/excel/2006/main">
          <x14:cfRule type="dataBar" id="{F8CA2634-E20C-4BC8-A8F6-8D059D1272EA}">
            <x14:dataBar minLength="0" maxLength="100" border="1" negativeBarBorderColorSameAsPositive="0">
              <x14:cfvo type="autoMin"/>
              <x14:cfvo type="autoMax"/>
              <x14:borderColor rgb="FF63C384"/>
              <x14:negativeFillColor rgb="FFFF0000"/>
              <x14:negativeBorderColor rgb="FFFF0000"/>
              <x14:axisColor rgb="FF000000"/>
            </x14:dataBar>
          </x14:cfRule>
          <xm:sqref>Z174</xm:sqref>
        </x14:conditionalFormatting>
        <x14:conditionalFormatting xmlns:xm="http://schemas.microsoft.com/office/excel/2006/main">
          <x14:cfRule type="dataBar" id="{0C6BE971-2E01-444D-9E59-12609217B093}">
            <x14:dataBar minLength="0" maxLength="100" border="1" negativeBarBorderColorSameAsPositive="0">
              <x14:cfvo type="autoMin"/>
              <x14:cfvo type="autoMax"/>
              <x14:borderColor rgb="FF63C384"/>
              <x14:negativeFillColor rgb="FFFF0000"/>
              <x14:negativeBorderColor rgb="FFFF0000"/>
              <x14:axisColor rgb="FF000000"/>
            </x14:dataBar>
          </x14:cfRule>
          <xm:sqref>Z175</xm:sqref>
        </x14:conditionalFormatting>
        <x14:conditionalFormatting xmlns:xm="http://schemas.microsoft.com/office/excel/2006/main">
          <x14:cfRule type="dataBar" id="{7A5523B7-9EB1-4005-9F8F-8C2FC3166A1E}">
            <x14:dataBar minLength="0" maxLength="100" border="1" negativeBarBorderColorSameAsPositive="0">
              <x14:cfvo type="autoMin"/>
              <x14:cfvo type="autoMax"/>
              <x14:borderColor rgb="FF63C384"/>
              <x14:negativeFillColor rgb="FFFF0000"/>
              <x14:negativeBorderColor rgb="FFFF0000"/>
              <x14:axisColor rgb="FF000000"/>
            </x14:dataBar>
          </x14:cfRule>
          <xm:sqref>Z176</xm:sqref>
        </x14:conditionalFormatting>
        <x14:conditionalFormatting xmlns:xm="http://schemas.microsoft.com/office/excel/2006/main">
          <x14:cfRule type="dataBar" id="{5D482F83-99B5-4D6D-B659-E3297F7D6076}">
            <x14:dataBar minLength="0" maxLength="100" border="1" negativeBarBorderColorSameAsPositive="0">
              <x14:cfvo type="autoMin"/>
              <x14:cfvo type="autoMax"/>
              <x14:borderColor rgb="FF63C384"/>
              <x14:negativeFillColor rgb="FFFF0000"/>
              <x14:negativeBorderColor rgb="FFFF0000"/>
              <x14:axisColor rgb="FF000000"/>
            </x14:dataBar>
          </x14:cfRule>
          <xm:sqref>Z177</xm:sqref>
        </x14:conditionalFormatting>
        <x14:conditionalFormatting xmlns:xm="http://schemas.microsoft.com/office/excel/2006/main">
          <x14:cfRule type="dataBar" id="{46A234E4-6DD8-4B1C-86FE-F6E31BA169C5}">
            <x14:dataBar minLength="0" maxLength="100" border="1" negativeBarBorderColorSameAsPositive="0">
              <x14:cfvo type="autoMin"/>
              <x14:cfvo type="autoMax"/>
              <x14:borderColor rgb="FF63C384"/>
              <x14:negativeFillColor rgb="FFFF0000"/>
              <x14:negativeBorderColor rgb="FFFF0000"/>
              <x14:axisColor rgb="FF000000"/>
            </x14:dataBar>
          </x14:cfRule>
          <xm:sqref>Z178</xm:sqref>
        </x14:conditionalFormatting>
        <x14:conditionalFormatting xmlns:xm="http://schemas.microsoft.com/office/excel/2006/main">
          <x14:cfRule type="dataBar" id="{1DFF45AB-9FA7-46F3-836D-328D77D70929}">
            <x14:dataBar minLength="0" maxLength="100" border="1" negativeBarBorderColorSameAsPositive="0">
              <x14:cfvo type="autoMin"/>
              <x14:cfvo type="autoMax"/>
              <x14:borderColor rgb="FF63C384"/>
              <x14:negativeFillColor rgb="FFFF0000"/>
              <x14:negativeBorderColor rgb="FFFF0000"/>
              <x14:axisColor rgb="FF000000"/>
            </x14:dataBar>
          </x14:cfRule>
          <xm:sqref>Z179</xm:sqref>
        </x14:conditionalFormatting>
        <x14:conditionalFormatting xmlns:xm="http://schemas.microsoft.com/office/excel/2006/main">
          <x14:cfRule type="dataBar" id="{203E0413-F084-48FD-BAB7-EDE9C0BE9E89}">
            <x14:dataBar minLength="0" maxLength="100" border="1" negativeBarBorderColorSameAsPositive="0">
              <x14:cfvo type="autoMin"/>
              <x14:cfvo type="autoMax"/>
              <x14:borderColor rgb="FF63C384"/>
              <x14:negativeFillColor rgb="FFFF0000"/>
              <x14:negativeBorderColor rgb="FFFF0000"/>
              <x14:axisColor rgb="FF000000"/>
            </x14:dataBar>
          </x14:cfRule>
          <xm:sqref>Z180</xm:sqref>
        </x14:conditionalFormatting>
        <x14:conditionalFormatting xmlns:xm="http://schemas.microsoft.com/office/excel/2006/main">
          <x14:cfRule type="dataBar" id="{B0895E9B-97C6-4DCC-8570-2B1551B0F8B5}">
            <x14:dataBar minLength="0" maxLength="100" border="1" negativeBarBorderColorSameAsPositive="0">
              <x14:cfvo type="autoMin"/>
              <x14:cfvo type="autoMax"/>
              <x14:borderColor rgb="FF63C384"/>
              <x14:negativeFillColor rgb="FFFF0000"/>
              <x14:negativeBorderColor rgb="FFFF0000"/>
              <x14:axisColor rgb="FF000000"/>
            </x14:dataBar>
          </x14:cfRule>
          <xm:sqref>Z181</xm:sqref>
        </x14:conditionalFormatting>
        <x14:conditionalFormatting xmlns:xm="http://schemas.microsoft.com/office/excel/2006/main">
          <x14:cfRule type="dataBar" id="{0B848E88-D1B6-42DA-BBCF-671AB673F2E7}">
            <x14:dataBar minLength="0" maxLength="100" border="1" negativeBarBorderColorSameAsPositive="0">
              <x14:cfvo type="autoMin"/>
              <x14:cfvo type="autoMax"/>
              <x14:borderColor rgb="FF63C384"/>
              <x14:negativeFillColor rgb="FFFF0000"/>
              <x14:negativeBorderColor rgb="FFFF0000"/>
              <x14:axisColor rgb="FF000000"/>
            </x14:dataBar>
          </x14:cfRule>
          <xm:sqref>Z182</xm:sqref>
        </x14:conditionalFormatting>
        <x14:conditionalFormatting xmlns:xm="http://schemas.microsoft.com/office/excel/2006/main">
          <x14:cfRule type="dataBar" id="{42B26C27-9FBD-455B-AFE8-4845FDBC7936}">
            <x14:dataBar minLength="0" maxLength="100" border="1" negativeBarBorderColorSameAsPositive="0">
              <x14:cfvo type="autoMin"/>
              <x14:cfvo type="autoMax"/>
              <x14:borderColor rgb="FF63C384"/>
              <x14:negativeFillColor rgb="FFFF0000"/>
              <x14:negativeBorderColor rgb="FFFF0000"/>
              <x14:axisColor rgb="FF000000"/>
            </x14:dataBar>
          </x14:cfRule>
          <xm:sqref>Z199:Z200</xm:sqref>
        </x14:conditionalFormatting>
        <x14:conditionalFormatting xmlns:xm="http://schemas.microsoft.com/office/excel/2006/main">
          <x14:cfRule type="dataBar" id="{1B55D114-6E9F-47F9-A4CD-B4670D358FFB}">
            <x14:dataBar minLength="0" maxLength="100" border="1" negativeBarBorderColorSameAsPositive="0">
              <x14:cfvo type="autoMin"/>
              <x14:cfvo type="autoMax"/>
              <x14:borderColor rgb="FF63C384"/>
              <x14:negativeFillColor rgb="FFFF0000"/>
              <x14:negativeBorderColor rgb="FFFF0000"/>
              <x14:axisColor rgb="FF000000"/>
            </x14:dataBar>
          </x14:cfRule>
          <xm:sqref>Z198</xm:sqref>
        </x14:conditionalFormatting>
        <x14:conditionalFormatting xmlns:xm="http://schemas.microsoft.com/office/excel/2006/main">
          <x14:cfRule type="dataBar" id="{48D285DD-4E6E-4597-BCD2-062134B93FC4}">
            <x14:dataBar minLength="0" maxLength="100" border="1" negativeBarBorderColorSameAsPositive="0">
              <x14:cfvo type="autoMin"/>
              <x14:cfvo type="autoMax"/>
              <x14:borderColor rgb="FF63C384"/>
              <x14:negativeFillColor rgb="FFFF0000"/>
              <x14:negativeBorderColor rgb="FFFF0000"/>
              <x14:axisColor rgb="FF000000"/>
            </x14:dataBar>
          </x14:cfRule>
          <xm:sqref>Z197</xm:sqref>
        </x14:conditionalFormatting>
        <x14:conditionalFormatting xmlns:xm="http://schemas.microsoft.com/office/excel/2006/main">
          <x14:cfRule type="dataBar" id="{BA347BF1-7692-4ADC-BDF1-3AC76FAE3C74}">
            <x14:dataBar minLength="0" maxLength="100" border="1" negativeBarBorderColorSameAsPositive="0">
              <x14:cfvo type="autoMin"/>
              <x14:cfvo type="autoMax"/>
              <x14:borderColor rgb="FF63C384"/>
              <x14:negativeFillColor rgb="FFFF0000"/>
              <x14:negativeBorderColor rgb="FFFF0000"/>
              <x14:axisColor rgb="FF000000"/>
            </x14:dataBar>
          </x14:cfRule>
          <xm:sqref>Z193</xm:sqref>
        </x14:conditionalFormatting>
        <x14:conditionalFormatting xmlns:xm="http://schemas.microsoft.com/office/excel/2006/main">
          <x14:cfRule type="dataBar" id="{C0CFA47F-6B67-462D-90EC-765F8F34026A}">
            <x14:dataBar minLength="0" maxLength="100" border="1" negativeBarBorderColorSameAsPositive="0">
              <x14:cfvo type="autoMin"/>
              <x14:cfvo type="autoMax"/>
              <x14:borderColor rgb="FF63C384"/>
              <x14:negativeFillColor rgb="FFFF0000"/>
              <x14:negativeBorderColor rgb="FFFF0000"/>
              <x14:axisColor rgb="FF000000"/>
            </x14:dataBar>
          </x14:cfRule>
          <xm:sqref>Z191</xm:sqref>
        </x14:conditionalFormatting>
        <x14:conditionalFormatting xmlns:xm="http://schemas.microsoft.com/office/excel/2006/main">
          <x14:cfRule type="dataBar" id="{D4FD93BB-B79D-4922-A77F-B9267070B10D}">
            <x14:dataBar minLength="0" maxLength="100" border="1" negativeBarBorderColorSameAsPositive="0">
              <x14:cfvo type="autoMin"/>
              <x14:cfvo type="autoMax"/>
              <x14:borderColor rgb="FF63C384"/>
              <x14:negativeFillColor rgb="FFFF0000"/>
              <x14:negativeBorderColor rgb="FFFF0000"/>
              <x14:axisColor rgb="FF000000"/>
            </x14:dataBar>
          </x14:cfRule>
          <xm:sqref>Z196</xm:sqref>
        </x14:conditionalFormatting>
        <x14:conditionalFormatting xmlns:xm="http://schemas.microsoft.com/office/excel/2006/main">
          <x14:cfRule type="dataBar" id="{204388B6-3005-49E2-857A-9237B64B55EB}">
            <x14:dataBar minLength="0" maxLength="100" border="1" negativeBarBorderColorSameAsPositive="0">
              <x14:cfvo type="autoMin"/>
              <x14:cfvo type="autoMax"/>
              <x14:borderColor rgb="FF63C384"/>
              <x14:negativeFillColor rgb="FFFF0000"/>
              <x14:negativeBorderColor rgb="FFFF0000"/>
              <x14:axisColor rgb="FF000000"/>
            </x14:dataBar>
          </x14:cfRule>
          <xm:sqref>Z195</xm:sqref>
        </x14:conditionalFormatting>
        <x14:conditionalFormatting xmlns:xm="http://schemas.microsoft.com/office/excel/2006/main">
          <x14:cfRule type="dataBar" id="{94672B08-4960-479A-BC56-1CB2ED7BAFFE}">
            <x14:dataBar minLength="0" maxLength="100" border="1" negativeBarBorderColorSameAsPositive="0">
              <x14:cfvo type="autoMin"/>
              <x14:cfvo type="autoMax"/>
              <x14:borderColor rgb="FF63C384"/>
              <x14:negativeFillColor rgb="FFFF0000"/>
              <x14:negativeBorderColor rgb="FFFF0000"/>
              <x14:axisColor rgb="FF000000"/>
            </x14:dataBar>
          </x14:cfRule>
          <xm:sqref>Z190</xm:sqref>
        </x14:conditionalFormatting>
        <x14:conditionalFormatting xmlns:xm="http://schemas.microsoft.com/office/excel/2006/main">
          <x14:cfRule type="dataBar" id="{CE10B4B2-54A9-41FE-84D8-618883443717}">
            <x14:dataBar minLength="0" maxLength="100" border="1" negativeBarBorderColorSameAsPositive="0">
              <x14:cfvo type="autoMin"/>
              <x14:cfvo type="autoMax"/>
              <x14:borderColor rgb="FF63C384"/>
              <x14:negativeFillColor rgb="FFFF0000"/>
              <x14:negativeBorderColor rgb="FFFF0000"/>
              <x14:axisColor rgb="FF000000"/>
            </x14:dataBar>
          </x14:cfRule>
          <xm:sqref>Z185</xm:sqref>
        </x14:conditionalFormatting>
        <x14:conditionalFormatting xmlns:xm="http://schemas.microsoft.com/office/excel/2006/main">
          <x14:cfRule type="dataBar" id="{1F02B12C-74D7-48B1-8E2A-4E0456CC2859}">
            <x14:dataBar minLength="0" maxLength="100" border="1" negativeBarBorderColorSameAsPositive="0">
              <x14:cfvo type="autoMin"/>
              <x14:cfvo type="autoMax"/>
              <x14:borderColor rgb="FF63C384"/>
              <x14:negativeFillColor rgb="FFFF0000"/>
              <x14:negativeBorderColor rgb="FFFF0000"/>
              <x14:axisColor rgb="FF000000"/>
            </x14:dataBar>
          </x14:cfRule>
          <xm:sqref>Z186</xm:sqref>
        </x14:conditionalFormatting>
        <x14:conditionalFormatting xmlns:xm="http://schemas.microsoft.com/office/excel/2006/main">
          <x14:cfRule type="dataBar" id="{FF6F9D84-BEC6-47D2-8B68-6E08931F91EB}">
            <x14:dataBar minLength="0" maxLength="100" border="1" negativeBarBorderColorSameAsPositive="0">
              <x14:cfvo type="autoMin"/>
              <x14:cfvo type="autoMax"/>
              <x14:borderColor rgb="FF63C384"/>
              <x14:negativeFillColor rgb="FFFF0000"/>
              <x14:negativeBorderColor rgb="FFFF0000"/>
              <x14:axisColor rgb="FF000000"/>
            </x14:dataBar>
          </x14:cfRule>
          <xm:sqref>Z187</xm:sqref>
        </x14:conditionalFormatting>
        <x14:conditionalFormatting xmlns:xm="http://schemas.microsoft.com/office/excel/2006/main">
          <x14:cfRule type="dataBar" id="{69AE96E5-4E3D-45BF-8577-D6D425FBC6A9}">
            <x14:dataBar minLength="0" maxLength="100" border="1" negativeBarBorderColorSameAsPositive="0">
              <x14:cfvo type="autoMin"/>
              <x14:cfvo type="autoMax"/>
              <x14:borderColor rgb="FF63C384"/>
              <x14:negativeFillColor rgb="FFFF0000"/>
              <x14:negativeBorderColor rgb="FFFF0000"/>
              <x14:axisColor rgb="FF000000"/>
            </x14:dataBar>
          </x14:cfRule>
          <xm:sqref>Z188</xm:sqref>
        </x14:conditionalFormatting>
        <x14:conditionalFormatting xmlns:xm="http://schemas.microsoft.com/office/excel/2006/main">
          <x14:cfRule type="dataBar" id="{891A761B-4B3E-46CE-BA14-FE10BD7697B0}">
            <x14:dataBar minLength="0" maxLength="100" border="1" negativeBarBorderColorSameAsPositive="0">
              <x14:cfvo type="autoMin"/>
              <x14:cfvo type="autoMax"/>
              <x14:borderColor rgb="FF63C384"/>
              <x14:negativeFillColor rgb="FFFF0000"/>
              <x14:negativeBorderColor rgb="FFFF0000"/>
              <x14:axisColor rgb="FF000000"/>
            </x14:dataBar>
          </x14:cfRule>
          <xm:sqref>Z189</xm:sqref>
        </x14:conditionalFormatting>
        <x14:conditionalFormatting xmlns:xm="http://schemas.microsoft.com/office/excel/2006/main">
          <x14:cfRule type="dataBar" id="{E1255202-E858-427C-BEC9-FED05249B732}">
            <x14:dataBar minLength="0" maxLength="100" border="1" negativeBarBorderColorSameAsPositive="0">
              <x14:cfvo type="autoMin"/>
              <x14:cfvo type="autoMax"/>
              <x14:borderColor rgb="FF63C384"/>
              <x14:negativeFillColor rgb="FFFF0000"/>
              <x14:negativeBorderColor rgb="FFFF0000"/>
              <x14:axisColor rgb="FF000000"/>
            </x14:dataBar>
          </x14:cfRule>
          <xm:sqref>Z192</xm:sqref>
        </x14:conditionalFormatting>
        <x14:conditionalFormatting xmlns:xm="http://schemas.microsoft.com/office/excel/2006/main">
          <x14:cfRule type="dataBar" id="{70E6E91B-E0EA-4C52-9FA7-13371EEF5E82}">
            <x14:dataBar minLength="0" maxLength="100" border="1" negativeBarBorderColorSameAsPositive="0">
              <x14:cfvo type="autoMin"/>
              <x14:cfvo type="autoMax"/>
              <x14:borderColor rgb="FF63C384"/>
              <x14:negativeFillColor rgb="FFFF0000"/>
              <x14:negativeBorderColor rgb="FFFF0000"/>
              <x14:axisColor rgb="FF000000"/>
            </x14:dataBar>
          </x14:cfRule>
          <xm:sqref>Z194</xm:sqref>
        </x14:conditionalFormatting>
        <x14:conditionalFormatting xmlns:xm="http://schemas.microsoft.com/office/excel/2006/main">
          <x14:cfRule type="dataBar" id="{AE6529A7-8F8E-4C97-9A73-047F5F608CD5}">
            <x14:dataBar minLength="0" maxLength="100" border="1" negativeBarBorderColorSameAsPositive="0">
              <x14:cfvo type="autoMin"/>
              <x14:cfvo type="autoMax"/>
              <x14:borderColor rgb="FF63C384"/>
              <x14:negativeFillColor rgb="FFFF0000"/>
              <x14:negativeBorderColor rgb="FFFF0000"/>
              <x14:axisColor rgb="FF000000"/>
            </x14:dataBar>
          </x14:cfRule>
          <xm:sqref>Z183</xm:sqref>
        </x14:conditionalFormatting>
        <x14:conditionalFormatting xmlns:xm="http://schemas.microsoft.com/office/excel/2006/main">
          <x14:cfRule type="dataBar" id="{EC10E582-6DA2-4214-B1A3-C636082D0948}">
            <x14:dataBar minLength="0" maxLength="100" border="1" negativeBarBorderColorSameAsPositive="0">
              <x14:cfvo type="autoMin"/>
              <x14:cfvo type="autoMax"/>
              <x14:borderColor rgb="FF63C384"/>
              <x14:negativeFillColor rgb="FFFF0000"/>
              <x14:negativeBorderColor rgb="FFFF0000"/>
              <x14:axisColor rgb="FF000000"/>
            </x14:dataBar>
          </x14:cfRule>
          <xm:sqref>Z184</xm:sqref>
        </x14:conditionalFormatting>
        <x14:conditionalFormatting xmlns:xm="http://schemas.microsoft.com/office/excel/2006/main">
          <x14:cfRule type="dataBar" id="{19E3042F-69BD-4FCB-B673-B664290E98AD}">
            <x14:dataBar minLength="0" maxLength="100" border="1" negativeBarBorderColorSameAsPositive="0">
              <x14:cfvo type="autoMin"/>
              <x14:cfvo type="autoMax"/>
              <x14:borderColor rgb="FF63C384"/>
              <x14:negativeFillColor rgb="FFFF0000"/>
              <x14:negativeBorderColor rgb="FFFF0000"/>
              <x14:axisColor rgb="FF000000"/>
            </x14:dataBar>
          </x14:cfRule>
          <xm:sqref>Z201</xm:sqref>
        </x14:conditionalFormatting>
        <x14:conditionalFormatting xmlns:xm="http://schemas.microsoft.com/office/excel/2006/main">
          <x14:cfRule type="dataBar" id="{168AE2EE-0807-495C-BDA6-00786481812B}">
            <x14:dataBar minLength="0" maxLength="100" border="1" negativeBarBorderColorSameAsPositive="0">
              <x14:cfvo type="autoMin"/>
              <x14:cfvo type="autoMax"/>
              <x14:borderColor rgb="FF63C384"/>
              <x14:negativeFillColor rgb="FFFF0000"/>
              <x14:negativeBorderColor rgb="FFFF0000"/>
              <x14:axisColor rgb="FF000000"/>
            </x14:dataBar>
          </x14:cfRule>
          <xm:sqref>Z202:Z204</xm:sqref>
        </x14:conditionalFormatting>
        <x14:conditionalFormatting xmlns:xm="http://schemas.microsoft.com/office/excel/2006/main">
          <x14:cfRule type="dataBar" id="{1434AE8F-A85D-48BB-A156-E069E39A4662}">
            <x14:dataBar minLength="0" maxLength="100" border="1" negativeBarBorderColorSameAsPositive="0">
              <x14:cfvo type="autoMin"/>
              <x14:cfvo type="autoMax"/>
              <x14:borderColor rgb="FF63C384"/>
              <x14:negativeFillColor rgb="FFFF0000"/>
              <x14:negativeBorderColor rgb="FFFF0000"/>
              <x14:axisColor rgb="FF000000"/>
            </x14:dataBar>
          </x14:cfRule>
          <xm:sqref>Z205</xm:sqref>
        </x14:conditionalFormatting>
        <x14:conditionalFormatting xmlns:xm="http://schemas.microsoft.com/office/excel/2006/main">
          <x14:cfRule type="dataBar" id="{FAA62CB0-9E24-4204-9937-59A7C92C6D76}">
            <x14:dataBar minLength="0" maxLength="100" border="1" negativeBarBorderColorSameAsPositive="0">
              <x14:cfvo type="autoMin"/>
              <x14:cfvo type="autoMax"/>
              <x14:borderColor rgb="FF63C384"/>
              <x14:negativeFillColor rgb="FFFF0000"/>
              <x14:negativeBorderColor rgb="FFFF0000"/>
              <x14:axisColor rgb="FF000000"/>
            </x14:dataBar>
          </x14:cfRule>
          <xm:sqref>Z206</xm:sqref>
        </x14:conditionalFormatting>
        <x14:conditionalFormatting xmlns:xm="http://schemas.microsoft.com/office/excel/2006/main">
          <x14:cfRule type="dataBar" id="{A7FA80BF-1319-4411-A67C-A708ADDF80F1}">
            <x14:dataBar minLength="0" maxLength="100" border="1" negativeBarBorderColorSameAsPositive="0">
              <x14:cfvo type="autoMin"/>
              <x14:cfvo type="autoMax"/>
              <x14:borderColor rgb="FF63C384"/>
              <x14:negativeFillColor rgb="FFFF0000"/>
              <x14:negativeBorderColor rgb="FFFF0000"/>
              <x14:axisColor rgb="FF000000"/>
            </x14:dataBar>
          </x14:cfRule>
          <xm:sqref>Z207</xm:sqref>
        </x14:conditionalFormatting>
        <x14:conditionalFormatting xmlns:xm="http://schemas.microsoft.com/office/excel/2006/main">
          <x14:cfRule type="dataBar" id="{5D28413A-40B9-4C2E-8865-638052138995}">
            <x14:dataBar minLength="0" maxLength="100" border="1" negativeBarBorderColorSameAsPositive="0">
              <x14:cfvo type="autoMin"/>
              <x14:cfvo type="autoMax"/>
              <x14:borderColor rgb="FF63C384"/>
              <x14:negativeFillColor rgb="FFFF0000"/>
              <x14:negativeBorderColor rgb="FFFF0000"/>
              <x14:axisColor rgb="FF000000"/>
            </x14:dataBar>
          </x14:cfRule>
          <xm:sqref>Z208</xm:sqref>
        </x14:conditionalFormatting>
        <x14:conditionalFormatting xmlns:xm="http://schemas.microsoft.com/office/excel/2006/main">
          <x14:cfRule type="dataBar" id="{DD6FB471-22BD-4324-87BB-3348A793A8FA}">
            <x14:dataBar minLength="0" maxLength="100" border="1" negativeBarBorderColorSameAsPositive="0">
              <x14:cfvo type="autoMin"/>
              <x14:cfvo type="autoMax"/>
              <x14:borderColor rgb="FF63C384"/>
              <x14:negativeFillColor rgb="FFFF0000"/>
              <x14:negativeBorderColor rgb="FFFF0000"/>
              <x14:axisColor rgb="FF000000"/>
            </x14:dataBar>
          </x14:cfRule>
          <xm:sqref>Z209</xm:sqref>
        </x14:conditionalFormatting>
        <x14:conditionalFormatting xmlns:xm="http://schemas.microsoft.com/office/excel/2006/main">
          <x14:cfRule type="dataBar" id="{2D45BD55-46B8-4E2F-8650-A376CD6B74B7}">
            <x14:dataBar minLength="0" maxLength="100" border="1" negativeBarBorderColorSameAsPositive="0">
              <x14:cfvo type="autoMin"/>
              <x14:cfvo type="autoMax"/>
              <x14:borderColor rgb="FF63C384"/>
              <x14:negativeFillColor rgb="FFFF0000"/>
              <x14:negativeBorderColor rgb="FFFF0000"/>
              <x14:axisColor rgb="FF000000"/>
            </x14:dataBar>
          </x14:cfRule>
          <xm:sqref>Z210</xm:sqref>
        </x14:conditionalFormatting>
        <x14:conditionalFormatting xmlns:xm="http://schemas.microsoft.com/office/excel/2006/main">
          <x14:cfRule type="dataBar" id="{C32B4FA9-EE8C-4323-8DBD-8E45E259C084}">
            <x14:dataBar minLength="0" maxLength="100" border="1" negativeBarBorderColorSameAsPositive="0">
              <x14:cfvo type="autoMin"/>
              <x14:cfvo type="autoMax"/>
              <x14:borderColor rgb="FF63C384"/>
              <x14:negativeFillColor rgb="FFFF0000"/>
              <x14:negativeBorderColor rgb="FFFF0000"/>
              <x14:axisColor rgb="FF000000"/>
            </x14:dataBar>
          </x14:cfRule>
          <xm:sqref>Z211</xm:sqref>
        </x14:conditionalFormatting>
        <x14:conditionalFormatting xmlns:xm="http://schemas.microsoft.com/office/excel/2006/main">
          <x14:cfRule type="dataBar" id="{69BDF8D4-04D4-4D3A-8A2A-3003D5DBE869}">
            <x14:dataBar minLength="0" maxLength="100" border="1" negativeBarBorderColorSameAsPositive="0">
              <x14:cfvo type="autoMin"/>
              <x14:cfvo type="autoMax"/>
              <x14:borderColor rgb="FF63C384"/>
              <x14:negativeFillColor rgb="FFFF0000"/>
              <x14:negativeBorderColor rgb="FFFF0000"/>
              <x14:axisColor rgb="FF000000"/>
            </x14:dataBar>
          </x14:cfRule>
          <xm:sqref>Z212</xm:sqref>
        </x14:conditionalFormatting>
        <x14:conditionalFormatting xmlns:xm="http://schemas.microsoft.com/office/excel/2006/main">
          <x14:cfRule type="dataBar" id="{48948EFA-5633-4E94-9AEC-C2E0F5AC40BB}">
            <x14:dataBar minLength="0" maxLength="100" border="1" negativeBarBorderColorSameAsPositive="0">
              <x14:cfvo type="autoMin"/>
              <x14:cfvo type="autoMax"/>
              <x14:borderColor rgb="FF63C384"/>
              <x14:negativeFillColor rgb="FFFF0000"/>
              <x14:negativeBorderColor rgb="FFFF0000"/>
              <x14:axisColor rgb="FF000000"/>
            </x14:dataBar>
          </x14:cfRule>
          <xm:sqref>Z213</xm:sqref>
        </x14:conditionalFormatting>
        <x14:conditionalFormatting xmlns:xm="http://schemas.microsoft.com/office/excel/2006/main">
          <x14:cfRule type="dataBar" id="{DBEE400E-BD08-48B0-8665-CAADF21DA597}">
            <x14:dataBar minLength="0" maxLength="100" border="1" negativeBarBorderColorSameAsPositive="0">
              <x14:cfvo type="autoMin"/>
              <x14:cfvo type="autoMax"/>
              <x14:borderColor rgb="FF63C384"/>
              <x14:negativeFillColor rgb="FFFF0000"/>
              <x14:negativeBorderColor rgb="FFFF0000"/>
              <x14:axisColor rgb="FF000000"/>
            </x14:dataBar>
          </x14:cfRule>
          <xm:sqref>Z214</xm:sqref>
        </x14:conditionalFormatting>
        <x14:conditionalFormatting xmlns:xm="http://schemas.microsoft.com/office/excel/2006/main">
          <x14:cfRule type="dataBar" id="{534AD33A-1ADA-45A2-A07B-7E9E0266BB42}">
            <x14:dataBar minLength="0" maxLength="100" border="1" negativeBarBorderColorSameAsPositive="0">
              <x14:cfvo type="autoMin"/>
              <x14:cfvo type="autoMax"/>
              <x14:borderColor rgb="FF63C384"/>
              <x14:negativeFillColor rgb="FFFF0000"/>
              <x14:negativeBorderColor rgb="FFFF0000"/>
              <x14:axisColor rgb="FF000000"/>
            </x14:dataBar>
          </x14:cfRule>
          <xm:sqref>Z2:Z214 Z1011 Z999 Z928 Z664 Z707 Z712 Z731 Z748 Z763:Z764 Z780 Z796 Z799 Z807 Z827 Z848 Z864 Z890 Z932 Z1014 Z1044 Z1055 Z1063:Z1064 Z1074:Z1048576</xm:sqref>
        </x14:conditionalFormatting>
        <x14:conditionalFormatting xmlns:xm="http://schemas.microsoft.com/office/excel/2006/main">
          <x14:cfRule type="dataBar" id="{8280A5E1-6BC5-44BC-B27C-FCB76285538B}">
            <x14:dataBar minLength="0" maxLength="100" border="1" negativeBarBorderColorSameAsPositive="0">
              <x14:cfvo type="autoMin"/>
              <x14:cfvo type="autoMax"/>
              <x14:borderColor rgb="FF63C384"/>
              <x14:negativeFillColor rgb="FFFF0000"/>
              <x14:negativeBorderColor rgb="FFFF0000"/>
              <x14:axisColor rgb="FF000000"/>
            </x14:dataBar>
          </x14:cfRule>
          <xm:sqref>Z215</xm:sqref>
        </x14:conditionalFormatting>
        <x14:conditionalFormatting xmlns:xm="http://schemas.microsoft.com/office/excel/2006/main">
          <x14:cfRule type="dataBar" id="{01EE452C-F9ED-4E1E-AE42-9DC6C437BC9F}">
            <x14:dataBar minLength="0" maxLength="100" border="1" negativeBarBorderColorSameAsPositive="0">
              <x14:cfvo type="autoMin"/>
              <x14:cfvo type="autoMax"/>
              <x14:borderColor rgb="FF63C384"/>
              <x14:negativeFillColor rgb="FFFF0000"/>
              <x14:negativeBorderColor rgb="FFFF0000"/>
              <x14:axisColor rgb="FF000000"/>
            </x14:dataBar>
          </x14:cfRule>
          <xm:sqref>Z215</xm:sqref>
        </x14:conditionalFormatting>
        <x14:conditionalFormatting xmlns:xm="http://schemas.microsoft.com/office/excel/2006/main">
          <x14:cfRule type="dataBar" id="{BC6F64FA-81DE-4837-B591-392DBEE91D5C}">
            <x14:dataBar minLength="0" maxLength="100" border="1" negativeBarBorderColorSameAsPositive="0">
              <x14:cfvo type="autoMin"/>
              <x14:cfvo type="autoMax"/>
              <x14:borderColor rgb="FF63C384"/>
              <x14:negativeFillColor rgb="FFFF0000"/>
              <x14:negativeBorderColor rgb="FFFF0000"/>
              <x14:axisColor rgb="FF000000"/>
            </x14:dataBar>
          </x14:cfRule>
          <xm:sqref>Z217</xm:sqref>
        </x14:conditionalFormatting>
        <x14:conditionalFormatting xmlns:xm="http://schemas.microsoft.com/office/excel/2006/main">
          <x14:cfRule type="dataBar" id="{49838443-4308-4D81-8EC4-DF3729110B44}">
            <x14:dataBar minLength="0" maxLength="100" border="1" negativeBarBorderColorSameAsPositive="0">
              <x14:cfvo type="autoMin"/>
              <x14:cfvo type="autoMax"/>
              <x14:borderColor rgb="FF63C384"/>
              <x14:negativeFillColor rgb="FFFF0000"/>
              <x14:negativeBorderColor rgb="FFFF0000"/>
              <x14:axisColor rgb="FF000000"/>
            </x14:dataBar>
          </x14:cfRule>
          <xm:sqref>Z217</xm:sqref>
        </x14:conditionalFormatting>
        <x14:conditionalFormatting xmlns:xm="http://schemas.microsoft.com/office/excel/2006/main">
          <x14:cfRule type="dataBar" id="{03096065-3CE0-4C76-B258-595A8BE9B488}">
            <x14:dataBar minLength="0" maxLength="100" border="1" negativeBarBorderColorSameAsPositive="0">
              <x14:cfvo type="autoMin"/>
              <x14:cfvo type="autoMax"/>
              <x14:borderColor rgb="FF63C384"/>
              <x14:negativeFillColor rgb="FFFF0000"/>
              <x14:negativeBorderColor rgb="FFFF0000"/>
              <x14:axisColor rgb="FF000000"/>
            </x14:dataBar>
          </x14:cfRule>
          <xm:sqref>Z218:Z219</xm:sqref>
        </x14:conditionalFormatting>
        <x14:conditionalFormatting xmlns:xm="http://schemas.microsoft.com/office/excel/2006/main">
          <x14:cfRule type="dataBar" id="{7FC0CE83-CA9D-4F36-BD2E-2F2F7545B0E2}">
            <x14:dataBar minLength="0" maxLength="100" border="1" negativeBarBorderColorSameAsPositive="0">
              <x14:cfvo type="autoMin"/>
              <x14:cfvo type="autoMax"/>
              <x14:borderColor rgb="FF63C384"/>
              <x14:negativeFillColor rgb="FFFF0000"/>
              <x14:negativeBorderColor rgb="FFFF0000"/>
              <x14:axisColor rgb="FF000000"/>
            </x14:dataBar>
          </x14:cfRule>
          <xm:sqref>Z218:Z219</xm:sqref>
        </x14:conditionalFormatting>
        <x14:conditionalFormatting xmlns:xm="http://schemas.microsoft.com/office/excel/2006/main">
          <x14:cfRule type="dataBar" id="{5F6EE01A-CC4E-40D9-A40F-9B207B106B81}">
            <x14:dataBar minLength="0" maxLength="100" border="1" negativeBarBorderColorSameAsPositive="0">
              <x14:cfvo type="autoMin"/>
              <x14:cfvo type="autoMax"/>
              <x14:borderColor rgb="FF63C384"/>
              <x14:negativeFillColor rgb="FFFF0000"/>
              <x14:negativeBorderColor rgb="FFFF0000"/>
              <x14:axisColor rgb="FF000000"/>
            </x14:dataBar>
          </x14:cfRule>
          <xm:sqref>Z220</xm:sqref>
        </x14:conditionalFormatting>
        <x14:conditionalFormatting xmlns:xm="http://schemas.microsoft.com/office/excel/2006/main">
          <x14:cfRule type="dataBar" id="{DDF23E8F-6AFD-45FF-9B07-6E77728DEA21}">
            <x14:dataBar minLength="0" maxLength="100" border="1" negativeBarBorderColorSameAsPositive="0">
              <x14:cfvo type="autoMin"/>
              <x14:cfvo type="autoMax"/>
              <x14:borderColor rgb="FF63C384"/>
              <x14:negativeFillColor rgb="FFFF0000"/>
              <x14:negativeBorderColor rgb="FFFF0000"/>
              <x14:axisColor rgb="FF000000"/>
            </x14:dataBar>
          </x14:cfRule>
          <xm:sqref>Z220</xm:sqref>
        </x14:conditionalFormatting>
        <x14:conditionalFormatting xmlns:xm="http://schemas.microsoft.com/office/excel/2006/main">
          <x14:cfRule type="dataBar" id="{255D7C8C-4FAD-4FBB-B9F3-E2006C648368}">
            <x14:dataBar minLength="0" maxLength="100" border="1" negativeBarBorderColorSameAsPositive="0">
              <x14:cfvo type="autoMin"/>
              <x14:cfvo type="autoMax"/>
              <x14:borderColor rgb="FF63C384"/>
              <x14:negativeFillColor rgb="FFFF0000"/>
              <x14:negativeBorderColor rgb="FFFF0000"/>
              <x14:axisColor rgb="FF000000"/>
            </x14:dataBar>
          </x14:cfRule>
          <xm:sqref>Z221:Z222</xm:sqref>
        </x14:conditionalFormatting>
        <x14:conditionalFormatting xmlns:xm="http://schemas.microsoft.com/office/excel/2006/main">
          <x14:cfRule type="dataBar" id="{669D1549-5C53-4F56-BB2B-F3D05208E992}">
            <x14:dataBar minLength="0" maxLength="100" border="1" negativeBarBorderColorSameAsPositive="0">
              <x14:cfvo type="autoMin"/>
              <x14:cfvo type="autoMax"/>
              <x14:borderColor rgb="FF63C384"/>
              <x14:negativeFillColor rgb="FFFF0000"/>
              <x14:negativeBorderColor rgb="FFFF0000"/>
              <x14:axisColor rgb="FF000000"/>
            </x14:dataBar>
          </x14:cfRule>
          <xm:sqref>Z221:Z222</xm:sqref>
        </x14:conditionalFormatting>
        <x14:conditionalFormatting xmlns:xm="http://schemas.microsoft.com/office/excel/2006/main">
          <x14:cfRule type="dataBar" id="{1EFDBF35-FAC7-43BC-853C-AE931206EDBD}">
            <x14:dataBar minLength="0" maxLength="100" border="1" negativeBarBorderColorSameAsPositive="0">
              <x14:cfvo type="autoMin"/>
              <x14:cfvo type="autoMax"/>
              <x14:borderColor rgb="FF63C384"/>
              <x14:negativeFillColor rgb="FFFF0000"/>
              <x14:negativeBorderColor rgb="FFFF0000"/>
              <x14:axisColor rgb="FF000000"/>
            </x14:dataBar>
          </x14:cfRule>
          <xm:sqref>Z223:Z224</xm:sqref>
        </x14:conditionalFormatting>
        <x14:conditionalFormatting xmlns:xm="http://schemas.microsoft.com/office/excel/2006/main">
          <x14:cfRule type="dataBar" id="{6A7579D6-A4DB-4F88-8008-FF8F68789827}">
            <x14:dataBar minLength="0" maxLength="100" border="1" negativeBarBorderColorSameAsPositive="0">
              <x14:cfvo type="autoMin"/>
              <x14:cfvo type="autoMax"/>
              <x14:borderColor rgb="FF63C384"/>
              <x14:negativeFillColor rgb="FFFF0000"/>
              <x14:negativeBorderColor rgb="FFFF0000"/>
              <x14:axisColor rgb="FF000000"/>
            </x14:dataBar>
          </x14:cfRule>
          <xm:sqref>Z223:Z224</xm:sqref>
        </x14:conditionalFormatting>
        <x14:conditionalFormatting xmlns:xm="http://schemas.microsoft.com/office/excel/2006/main">
          <x14:cfRule type="dataBar" id="{C5A17473-2EB2-466A-BE42-577754A993C5}">
            <x14:dataBar minLength="0" maxLength="100" border="1" negativeBarBorderColorSameAsPositive="0">
              <x14:cfvo type="autoMin"/>
              <x14:cfvo type="autoMax"/>
              <x14:borderColor rgb="FF63C384"/>
              <x14:negativeFillColor rgb="FFFF0000"/>
              <x14:negativeBorderColor rgb="FFFF0000"/>
              <x14:axisColor rgb="FF000000"/>
            </x14:dataBar>
          </x14:cfRule>
          <xm:sqref>Z225</xm:sqref>
        </x14:conditionalFormatting>
        <x14:conditionalFormatting xmlns:xm="http://schemas.microsoft.com/office/excel/2006/main">
          <x14:cfRule type="dataBar" id="{D6883600-552D-4F42-ADE9-824C1BC1C39F}">
            <x14:dataBar minLength="0" maxLength="100" border="1" negativeBarBorderColorSameAsPositive="0">
              <x14:cfvo type="autoMin"/>
              <x14:cfvo type="autoMax"/>
              <x14:borderColor rgb="FF63C384"/>
              <x14:negativeFillColor rgb="FFFF0000"/>
              <x14:negativeBorderColor rgb="FFFF0000"/>
              <x14:axisColor rgb="FF000000"/>
            </x14:dataBar>
          </x14:cfRule>
          <xm:sqref>Z225</xm:sqref>
        </x14:conditionalFormatting>
        <x14:conditionalFormatting xmlns:xm="http://schemas.microsoft.com/office/excel/2006/main">
          <x14:cfRule type="dataBar" id="{6C582BA6-B208-437F-B27A-DCF0EAFDF564}">
            <x14:dataBar minLength="0" maxLength="100" border="1" negativeBarBorderColorSameAsPositive="0">
              <x14:cfvo type="autoMin"/>
              <x14:cfvo type="autoMax"/>
              <x14:borderColor rgb="FF63C384"/>
              <x14:negativeFillColor rgb="FFFF0000"/>
              <x14:negativeBorderColor rgb="FFFF0000"/>
              <x14:axisColor rgb="FF000000"/>
            </x14:dataBar>
          </x14:cfRule>
          <xm:sqref>Z226</xm:sqref>
        </x14:conditionalFormatting>
        <x14:conditionalFormatting xmlns:xm="http://schemas.microsoft.com/office/excel/2006/main">
          <x14:cfRule type="dataBar" id="{845E7705-2B77-44E1-9044-B78E44529708}">
            <x14:dataBar minLength="0" maxLength="100" border="1" negativeBarBorderColorSameAsPositive="0">
              <x14:cfvo type="autoMin"/>
              <x14:cfvo type="autoMax"/>
              <x14:borderColor rgb="FF63C384"/>
              <x14:negativeFillColor rgb="FFFF0000"/>
              <x14:negativeBorderColor rgb="FFFF0000"/>
              <x14:axisColor rgb="FF000000"/>
            </x14:dataBar>
          </x14:cfRule>
          <xm:sqref>Z226</xm:sqref>
        </x14:conditionalFormatting>
        <x14:conditionalFormatting xmlns:xm="http://schemas.microsoft.com/office/excel/2006/main">
          <x14:cfRule type="dataBar" id="{C32CF8B9-7F29-4425-9A41-20AADE63517D}">
            <x14:dataBar minLength="0" maxLength="100" border="1" negativeBarBorderColorSameAsPositive="0">
              <x14:cfvo type="autoMin"/>
              <x14:cfvo type="autoMax"/>
              <x14:borderColor rgb="FF63C384"/>
              <x14:negativeFillColor rgb="FFFF0000"/>
              <x14:negativeBorderColor rgb="FFFF0000"/>
              <x14:axisColor rgb="FF000000"/>
            </x14:dataBar>
          </x14:cfRule>
          <xm:sqref>Z227</xm:sqref>
        </x14:conditionalFormatting>
        <x14:conditionalFormatting xmlns:xm="http://schemas.microsoft.com/office/excel/2006/main">
          <x14:cfRule type="dataBar" id="{064F4AEE-35BB-4579-B76F-E45B2E311041}">
            <x14:dataBar minLength="0" maxLength="100" border="1" negativeBarBorderColorSameAsPositive="0">
              <x14:cfvo type="autoMin"/>
              <x14:cfvo type="autoMax"/>
              <x14:borderColor rgb="FF63C384"/>
              <x14:negativeFillColor rgb="FFFF0000"/>
              <x14:negativeBorderColor rgb="FFFF0000"/>
              <x14:axisColor rgb="FF000000"/>
            </x14:dataBar>
          </x14:cfRule>
          <xm:sqref>Z227</xm:sqref>
        </x14:conditionalFormatting>
        <x14:conditionalFormatting xmlns:xm="http://schemas.microsoft.com/office/excel/2006/main">
          <x14:cfRule type="dataBar" id="{7AC30985-C8FB-4256-ACDB-FBC5C792BB5D}">
            <x14:dataBar minLength="0" maxLength="100" border="1" negativeBarBorderColorSameAsPositive="0">
              <x14:cfvo type="autoMin"/>
              <x14:cfvo type="autoMax"/>
              <x14:borderColor rgb="FF63C384"/>
              <x14:negativeFillColor rgb="FFFF0000"/>
              <x14:negativeBorderColor rgb="FFFF0000"/>
              <x14:axisColor rgb="FF000000"/>
            </x14:dataBar>
          </x14:cfRule>
          <xm:sqref>Z228:Z230</xm:sqref>
        </x14:conditionalFormatting>
        <x14:conditionalFormatting xmlns:xm="http://schemas.microsoft.com/office/excel/2006/main">
          <x14:cfRule type="dataBar" id="{0D163885-33E1-4361-9292-4396705C0ED4}">
            <x14:dataBar minLength="0" maxLength="100" border="1" negativeBarBorderColorSameAsPositive="0">
              <x14:cfvo type="autoMin"/>
              <x14:cfvo type="autoMax"/>
              <x14:borderColor rgb="FF63C384"/>
              <x14:negativeFillColor rgb="FFFF0000"/>
              <x14:negativeBorderColor rgb="FFFF0000"/>
              <x14:axisColor rgb="FF000000"/>
            </x14:dataBar>
          </x14:cfRule>
          <xm:sqref>Z228:Z230</xm:sqref>
        </x14:conditionalFormatting>
        <x14:conditionalFormatting xmlns:xm="http://schemas.microsoft.com/office/excel/2006/main">
          <x14:cfRule type="dataBar" id="{A014E55B-BB51-4490-83C1-91A6F4151FD9}">
            <x14:dataBar minLength="0" maxLength="100" border="1" negativeBarBorderColorSameAsPositive="0">
              <x14:cfvo type="autoMin"/>
              <x14:cfvo type="autoMax"/>
              <x14:borderColor rgb="FF63C384"/>
              <x14:negativeFillColor rgb="FFFF0000"/>
              <x14:negativeBorderColor rgb="FFFF0000"/>
              <x14:axisColor rgb="FF000000"/>
            </x14:dataBar>
          </x14:cfRule>
          <xm:sqref>Z231</xm:sqref>
        </x14:conditionalFormatting>
        <x14:conditionalFormatting xmlns:xm="http://schemas.microsoft.com/office/excel/2006/main">
          <x14:cfRule type="dataBar" id="{8ED8B5E0-0DEA-4607-B979-7B7460C84B2E}">
            <x14:dataBar minLength="0" maxLength="100" border="1" negativeBarBorderColorSameAsPositive="0">
              <x14:cfvo type="autoMin"/>
              <x14:cfvo type="autoMax"/>
              <x14:borderColor rgb="FF63C384"/>
              <x14:negativeFillColor rgb="FFFF0000"/>
              <x14:negativeBorderColor rgb="FFFF0000"/>
              <x14:axisColor rgb="FF000000"/>
            </x14:dataBar>
          </x14:cfRule>
          <xm:sqref>Z231</xm:sqref>
        </x14:conditionalFormatting>
        <x14:conditionalFormatting xmlns:xm="http://schemas.microsoft.com/office/excel/2006/main">
          <x14:cfRule type="dataBar" id="{33935451-4E78-4555-921F-28E0D1C957D9}">
            <x14:dataBar minLength="0" maxLength="100" border="1" negativeBarBorderColorSameAsPositive="0">
              <x14:cfvo type="autoMin"/>
              <x14:cfvo type="autoMax"/>
              <x14:borderColor rgb="FF63C384"/>
              <x14:negativeFillColor rgb="FFFF0000"/>
              <x14:negativeBorderColor rgb="FFFF0000"/>
              <x14:axisColor rgb="FF000000"/>
            </x14:dataBar>
          </x14:cfRule>
          <xm:sqref>Z232</xm:sqref>
        </x14:conditionalFormatting>
        <x14:conditionalFormatting xmlns:xm="http://schemas.microsoft.com/office/excel/2006/main">
          <x14:cfRule type="dataBar" id="{C7EBA179-E789-4594-8D3E-75C20A30C58E}">
            <x14:dataBar minLength="0" maxLength="100" border="1" negativeBarBorderColorSameAsPositive="0">
              <x14:cfvo type="autoMin"/>
              <x14:cfvo type="autoMax"/>
              <x14:borderColor rgb="FF63C384"/>
              <x14:negativeFillColor rgb="FFFF0000"/>
              <x14:negativeBorderColor rgb="FFFF0000"/>
              <x14:axisColor rgb="FF000000"/>
            </x14:dataBar>
          </x14:cfRule>
          <xm:sqref>Z232</xm:sqref>
        </x14:conditionalFormatting>
        <x14:conditionalFormatting xmlns:xm="http://schemas.microsoft.com/office/excel/2006/main">
          <x14:cfRule type="dataBar" id="{CDB47D24-9122-45CD-8E9B-FD425CFB7604}">
            <x14:dataBar minLength="0" maxLength="100" border="1" negativeBarBorderColorSameAsPositive="0">
              <x14:cfvo type="autoMin"/>
              <x14:cfvo type="autoMax"/>
              <x14:borderColor rgb="FF63C384"/>
              <x14:negativeFillColor rgb="FFFF0000"/>
              <x14:negativeBorderColor rgb="FFFF0000"/>
              <x14:axisColor rgb="FF000000"/>
            </x14:dataBar>
          </x14:cfRule>
          <xm:sqref>Z233</xm:sqref>
        </x14:conditionalFormatting>
        <x14:conditionalFormatting xmlns:xm="http://schemas.microsoft.com/office/excel/2006/main">
          <x14:cfRule type="dataBar" id="{FCDAADCE-6E18-4A68-92B2-C5C0B26E839D}">
            <x14:dataBar minLength="0" maxLength="100" border="1" negativeBarBorderColorSameAsPositive="0">
              <x14:cfvo type="autoMin"/>
              <x14:cfvo type="autoMax"/>
              <x14:borderColor rgb="FF63C384"/>
              <x14:negativeFillColor rgb="FFFF0000"/>
              <x14:negativeBorderColor rgb="FFFF0000"/>
              <x14:axisColor rgb="FF000000"/>
            </x14:dataBar>
          </x14:cfRule>
          <xm:sqref>Z233</xm:sqref>
        </x14:conditionalFormatting>
        <x14:conditionalFormatting xmlns:xm="http://schemas.microsoft.com/office/excel/2006/main">
          <x14:cfRule type="dataBar" id="{0CF3CE9E-02E4-41D1-97A9-F9699EA2A88A}">
            <x14:dataBar minLength="0" maxLength="100" border="1" negativeBarBorderColorSameAsPositive="0">
              <x14:cfvo type="autoMin"/>
              <x14:cfvo type="autoMax"/>
              <x14:borderColor rgb="FF63C384"/>
              <x14:negativeFillColor rgb="FFFF0000"/>
              <x14:negativeBorderColor rgb="FFFF0000"/>
              <x14:axisColor rgb="FF000000"/>
            </x14:dataBar>
          </x14:cfRule>
          <xm:sqref>Z234</xm:sqref>
        </x14:conditionalFormatting>
        <x14:conditionalFormatting xmlns:xm="http://schemas.microsoft.com/office/excel/2006/main">
          <x14:cfRule type="dataBar" id="{3334F0B2-50CE-452F-84AC-47DEA2689F93}">
            <x14:dataBar minLength="0" maxLength="100" border="1" negativeBarBorderColorSameAsPositive="0">
              <x14:cfvo type="autoMin"/>
              <x14:cfvo type="autoMax"/>
              <x14:borderColor rgb="FF63C384"/>
              <x14:negativeFillColor rgb="FFFF0000"/>
              <x14:negativeBorderColor rgb="FFFF0000"/>
              <x14:axisColor rgb="FF000000"/>
            </x14:dataBar>
          </x14:cfRule>
          <xm:sqref>Z234</xm:sqref>
        </x14:conditionalFormatting>
        <x14:conditionalFormatting xmlns:xm="http://schemas.microsoft.com/office/excel/2006/main">
          <x14:cfRule type="dataBar" id="{16C759D1-8253-4BA1-BF40-E561481C37FB}">
            <x14:dataBar minLength="0" maxLength="100" border="1" negativeBarBorderColorSameAsPositive="0">
              <x14:cfvo type="autoMin"/>
              <x14:cfvo type="autoMax"/>
              <x14:borderColor rgb="FF63C384"/>
              <x14:negativeFillColor rgb="FFFF0000"/>
              <x14:negativeBorderColor rgb="FFFF0000"/>
              <x14:axisColor rgb="FF000000"/>
            </x14:dataBar>
          </x14:cfRule>
          <xm:sqref>Z235</xm:sqref>
        </x14:conditionalFormatting>
        <x14:conditionalFormatting xmlns:xm="http://schemas.microsoft.com/office/excel/2006/main">
          <x14:cfRule type="dataBar" id="{B238C16B-2145-4F16-9E95-4F49B8A07D2A}">
            <x14:dataBar minLength="0" maxLength="100" border="1" negativeBarBorderColorSameAsPositive="0">
              <x14:cfvo type="autoMin"/>
              <x14:cfvo type="autoMax"/>
              <x14:borderColor rgb="FF63C384"/>
              <x14:negativeFillColor rgb="FFFF0000"/>
              <x14:negativeBorderColor rgb="FFFF0000"/>
              <x14:axisColor rgb="FF000000"/>
            </x14:dataBar>
          </x14:cfRule>
          <xm:sqref>Z235</xm:sqref>
        </x14:conditionalFormatting>
        <x14:conditionalFormatting xmlns:xm="http://schemas.microsoft.com/office/excel/2006/main">
          <x14:cfRule type="dataBar" id="{9AEE67BC-4A35-4D55-93CE-C28C265C051D}">
            <x14:dataBar minLength="0" maxLength="100" border="1" negativeBarBorderColorSameAsPositive="0">
              <x14:cfvo type="autoMin"/>
              <x14:cfvo type="autoMax"/>
              <x14:borderColor rgb="FF63C384"/>
              <x14:negativeFillColor rgb="FFFF0000"/>
              <x14:negativeBorderColor rgb="FFFF0000"/>
              <x14:axisColor rgb="FF000000"/>
            </x14:dataBar>
          </x14:cfRule>
          <xm:sqref>Z236</xm:sqref>
        </x14:conditionalFormatting>
        <x14:conditionalFormatting xmlns:xm="http://schemas.microsoft.com/office/excel/2006/main">
          <x14:cfRule type="dataBar" id="{285EA032-4D32-41A6-ACCE-08C11AF5BE3E}">
            <x14:dataBar minLength="0" maxLength="100" border="1" negativeBarBorderColorSameAsPositive="0">
              <x14:cfvo type="autoMin"/>
              <x14:cfvo type="autoMax"/>
              <x14:borderColor rgb="FF63C384"/>
              <x14:negativeFillColor rgb="FFFF0000"/>
              <x14:negativeBorderColor rgb="FFFF0000"/>
              <x14:axisColor rgb="FF000000"/>
            </x14:dataBar>
          </x14:cfRule>
          <xm:sqref>Z236</xm:sqref>
        </x14:conditionalFormatting>
        <x14:conditionalFormatting xmlns:xm="http://schemas.microsoft.com/office/excel/2006/main">
          <x14:cfRule type="dataBar" id="{D66FC3BC-B447-4185-B363-739C97543003}">
            <x14:dataBar minLength="0" maxLength="100" border="1" negativeBarBorderColorSameAsPositive="0">
              <x14:cfvo type="autoMin"/>
              <x14:cfvo type="autoMax"/>
              <x14:borderColor rgb="FF63C384"/>
              <x14:negativeFillColor rgb="FFFF0000"/>
              <x14:negativeBorderColor rgb="FFFF0000"/>
              <x14:axisColor rgb="FF000000"/>
            </x14:dataBar>
          </x14:cfRule>
          <xm:sqref>Z237</xm:sqref>
        </x14:conditionalFormatting>
        <x14:conditionalFormatting xmlns:xm="http://schemas.microsoft.com/office/excel/2006/main">
          <x14:cfRule type="dataBar" id="{97E40396-94FC-4936-8C7A-743B9D613FE1}">
            <x14:dataBar minLength="0" maxLength="100" border="1" negativeBarBorderColorSameAsPositive="0">
              <x14:cfvo type="autoMin"/>
              <x14:cfvo type="autoMax"/>
              <x14:borderColor rgb="FF63C384"/>
              <x14:negativeFillColor rgb="FFFF0000"/>
              <x14:negativeBorderColor rgb="FFFF0000"/>
              <x14:axisColor rgb="FF000000"/>
            </x14:dataBar>
          </x14:cfRule>
          <xm:sqref>Z237</xm:sqref>
        </x14:conditionalFormatting>
        <x14:conditionalFormatting xmlns:xm="http://schemas.microsoft.com/office/excel/2006/main">
          <x14:cfRule type="dataBar" id="{8537CEA2-4186-4FB8-8B7A-5EA58D301E89}">
            <x14:dataBar minLength="0" maxLength="100" border="1" negativeBarBorderColorSameAsPositive="0">
              <x14:cfvo type="autoMin"/>
              <x14:cfvo type="autoMax"/>
              <x14:borderColor rgb="FF63C384"/>
              <x14:negativeFillColor rgb="FFFF0000"/>
              <x14:negativeBorderColor rgb="FFFF0000"/>
              <x14:axisColor rgb="FF000000"/>
            </x14:dataBar>
          </x14:cfRule>
          <xm:sqref>Z238</xm:sqref>
        </x14:conditionalFormatting>
        <x14:conditionalFormatting xmlns:xm="http://schemas.microsoft.com/office/excel/2006/main">
          <x14:cfRule type="dataBar" id="{BF71642D-3D7C-47D2-99C9-FA362FEA92F6}">
            <x14:dataBar minLength="0" maxLength="100" border="1" negativeBarBorderColorSameAsPositive="0">
              <x14:cfvo type="autoMin"/>
              <x14:cfvo type="autoMax"/>
              <x14:borderColor rgb="FF63C384"/>
              <x14:negativeFillColor rgb="FFFF0000"/>
              <x14:negativeBorderColor rgb="FFFF0000"/>
              <x14:axisColor rgb="FF000000"/>
            </x14:dataBar>
          </x14:cfRule>
          <xm:sqref>Z238</xm:sqref>
        </x14:conditionalFormatting>
        <x14:conditionalFormatting xmlns:xm="http://schemas.microsoft.com/office/excel/2006/main">
          <x14:cfRule type="dataBar" id="{352BF24F-BD19-494F-9A13-FBA139991308}">
            <x14:dataBar minLength="0" maxLength="100" border="1" negativeBarBorderColorSameAsPositive="0">
              <x14:cfvo type="autoMin"/>
              <x14:cfvo type="autoMax"/>
              <x14:borderColor rgb="FF63C384"/>
              <x14:negativeFillColor rgb="FFFF0000"/>
              <x14:negativeBorderColor rgb="FFFF0000"/>
              <x14:axisColor rgb="FF000000"/>
            </x14:dataBar>
          </x14:cfRule>
          <xm:sqref>Z239</xm:sqref>
        </x14:conditionalFormatting>
        <x14:conditionalFormatting xmlns:xm="http://schemas.microsoft.com/office/excel/2006/main">
          <x14:cfRule type="dataBar" id="{D3BB9B90-DE78-4584-87C7-5E2937DAADB6}">
            <x14:dataBar minLength="0" maxLength="100" border="1" negativeBarBorderColorSameAsPositive="0">
              <x14:cfvo type="autoMin"/>
              <x14:cfvo type="autoMax"/>
              <x14:borderColor rgb="FF63C384"/>
              <x14:negativeFillColor rgb="FFFF0000"/>
              <x14:negativeBorderColor rgb="FFFF0000"/>
              <x14:axisColor rgb="FF000000"/>
            </x14:dataBar>
          </x14:cfRule>
          <xm:sqref>Z239</xm:sqref>
        </x14:conditionalFormatting>
        <x14:conditionalFormatting xmlns:xm="http://schemas.microsoft.com/office/excel/2006/main">
          <x14:cfRule type="dataBar" id="{14A3CD9B-D343-4EC2-BFAE-60E5721C8CCB}">
            <x14:dataBar minLength="0" maxLength="100" border="1" negativeBarBorderColorSameAsPositive="0">
              <x14:cfvo type="autoMin"/>
              <x14:cfvo type="autoMax"/>
              <x14:borderColor rgb="FF63C384"/>
              <x14:negativeFillColor rgb="FFFF0000"/>
              <x14:negativeBorderColor rgb="FFFF0000"/>
              <x14:axisColor rgb="FF000000"/>
            </x14:dataBar>
          </x14:cfRule>
          <xm:sqref>Z240</xm:sqref>
        </x14:conditionalFormatting>
        <x14:conditionalFormatting xmlns:xm="http://schemas.microsoft.com/office/excel/2006/main">
          <x14:cfRule type="dataBar" id="{B9F838A6-88EC-416B-8752-712F8004B0BB}">
            <x14:dataBar minLength="0" maxLength="100" border="1" negativeBarBorderColorSameAsPositive="0">
              <x14:cfvo type="autoMin"/>
              <x14:cfvo type="autoMax"/>
              <x14:borderColor rgb="FF63C384"/>
              <x14:negativeFillColor rgb="FFFF0000"/>
              <x14:negativeBorderColor rgb="FFFF0000"/>
              <x14:axisColor rgb="FF000000"/>
            </x14:dataBar>
          </x14:cfRule>
          <xm:sqref>Z240</xm:sqref>
        </x14:conditionalFormatting>
        <x14:conditionalFormatting xmlns:xm="http://schemas.microsoft.com/office/excel/2006/main">
          <x14:cfRule type="dataBar" id="{F01244D4-FCDD-4533-A5E4-6C04C8963E50}">
            <x14:dataBar minLength="0" maxLength="100" border="1" negativeBarBorderColorSameAsPositive="0">
              <x14:cfvo type="autoMin"/>
              <x14:cfvo type="autoMax"/>
              <x14:borderColor rgb="FF63C384"/>
              <x14:negativeFillColor rgb="FFFF0000"/>
              <x14:negativeBorderColor rgb="FFFF0000"/>
              <x14:axisColor rgb="FF000000"/>
            </x14:dataBar>
          </x14:cfRule>
          <xm:sqref>Z241:Z242</xm:sqref>
        </x14:conditionalFormatting>
        <x14:conditionalFormatting xmlns:xm="http://schemas.microsoft.com/office/excel/2006/main">
          <x14:cfRule type="dataBar" id="{180C4FF3-0ACD-4E89-A22B-2135F340DC18}">
            <x14:dataBar minLength="0" maxLength="100" border="1" negativeBarBorderColorSameAsPositive="0">
              <x14:cfvo type="autoMin"/>
              <x14:cfvo type="autoMax"/>
              <x14:borderColor rgb="FF63C384"/>
              <x14:negativeFillColor rgb="FFFF0000"/>
              <x14:negativeBorderColor rgb="FFFF0000"/>
              <x14:axisColor rgb="FF000000"/>
            </x14:dataBar>
          </x14:cfRule>
          <xm:sqref>Z241:Z242</xm:sqref>
        </x14:conditionalFormatting>
        <x14:conditionalFormatting xmlns:xm="http://schemas.microsoft.com/office/excel/2006/main">
          <x14:cfRule type="dataBar" id="{A3F27160-C9DA-420D-BBBA-2B62D8E040FA}">
            <x14:dataBar minLength="0" maxLength="100" border="1" negativeBarBorderColorSameAsPositive="0">
              <x14:cfvo type="autoMin"/>
              <x14:cfvo type="autoMax"/>
              <x14:borderColor rgb="FF63C384"/>
              <x14:negativeFillColor rgb="FFFF0000"/>
              <x14:negativeBorderColor rgb="FFFF0000"/>
              <x14:axisColor rgb="FF000000"/>
            </x14:dataBar>
          </x14:cfRule>
          <xm:sqref>Z243</xm:sqref>
        </x14:conditionalFormatting>
        <x14:conditionalFormatting xmlns:xm="http://schemas.microsoft.com/office/excel/2006/main">
          <x14:cfRule type="dataBar" id="{A810D28E-281F-4944-A502-713657591FBA}">
            <x14:dataBar minLength="0" maxLength="100" border="1" negativeBarBorderColorSameAsPositive="0">
              <x14:cfvo type="autoMin"/>
              <x14:cfvo type="autoMax"/>
              <x14:borderColor rgb="FF63C384"/>
              <x14:negativeFillColor rgb="FFFF0000"/>
              <x14:negativeBorderColor rgb="FFFF0000"/>
              <x14:axisColor rgb="FF000000"/>
            </x14:dataBar>
          </x14:cfRule>
          <xm:sqref>Z243</xm:sqref>
        </x14:conditionalFormatting>
        <x14:conditionalFormatting xmlns:xm="http://schemas.microsoft.com/office/excel/2006/main">
          <x14:cfRule type="dataBar" id="{AE65A364-136B-4E2B-85BC-2A96E37AAD59}">
            <x14:dataBar minLength="0" maxLength="100" border="1" negativeBarBorderColorSameAsPositive="0">
              <x14:cfvo type="autoMin"/>
              <x14:cfvo type="autoMax"/>
              <x14:borderColor rgb="FF63C384"/>
              <x14:negativeFillColor rgb="FFFF0000"/>
              <x14:negativeBorderColor rgb="FFFF0000"/>
              <x14:axisColor rgb="FF000000"/>
            </x14:dataBar>
          </x14:cfRule>
          <xm:sqref>Z244</xm:sqref>
        </x14:conditionalFormatting>
        <x14:conditionalFormatting xmlns:xm="http://schemas.microsoft.com/office/excel/2006/main">
          <x14:cfRule type="dataBar" id="{EE895C5C-F19F-4084-8E34-03EF7F85F528}">
            <x14:dataBar minLength="0" maxLength="100" border="1" negativeBarBorderColorSameAsPositive="0">
              <x14:cfvo type="autoMin"/>
              <x14:cfvo type="autoMax"/>
              <x14:borderColor rgb="FF63C384"/>
              <x14:negativeFillColor rgb="FFFF0000"/>
              <x14:negativeBorderColor rgb="FFFF0000"/>
              <x14:axisColor rgb="FF000000"/>
            </x14:dataBar>
          </x14:cfRule>
          <xm:sqref>Z244</xm:sqref>
        </x14:conditionalFormatting>
        <x14:conditionalFormatting xmlns:xm="http://schemas.microsoft.com/office/excel/2006/main">
          <x14:cfRule type="dataBar" id="{4B70C111-3B8F-45D5-8615-D834D0D09797}">
            <x14:dataBar minLength="0" maxLength="100" border="1" negativeBarBorderColorSameAsPositive="0">
              <x14:cfvo type="autoMin"/>
              <x14:cfvo type="autoMax"/>
              <x14:borderColor rgb="FF63C384"/>
              <x14:negativeFillColor rgb="FFFF0000"/>
              <x14:negativeBorderColor rgb="FFFF0000"/>
              <x14:axisColor rgb="FF000000"/>
            </x14:dataBar>
          </x14:cfRule>
          <xm:sqref>Z245</xm:sqref>
        </x14:conditionalFormatting>
        <x14:conditionalFormatting xmlns:xm="http://schemas.microsoft.com/office/excel/2006/main">
          <x14:cfRule type="dataBar" id="{FA8842C3-3654-40E5-897C-DFFCB47A1EFF}">
            <x14:dataBar minLength="0" maxLength="100" border="1" negativeBarBorderColorSameAsPositive="0">
              <x14:cfvo type="autoMin"/>
              <x14:cfvo type="autoMax"/>
              <x14:borderColor rgb="FF63C384"/>
              <x14:negativeFillColor rgb="FFFF0000"/>
              <x14:negativeBorderColor rgb="FFFF0000"/>
              <x14:axisColor rgb="FF000000"/>
            </x14:dataBar>
          </x14:cfRule>
          <xm:sqref>Z245</xm:sqref>
        </x14:conditionalFormatting>
        <x14:conditionalFormatting xmlns:xm="http://schemas.microsoft.com/office/excel/2006/main">
          <x14:cfRule type="dataBar" id="{3425410B-B62F-429C-9ECF-56560609D0F7}">
            <x14:dataBar minLength="0" maxLength="100" border="1" negativeBarBorderColorSameAsPositive="0">
              <x14:cfvo type="autoMin"/>
              <x14:cfvo type="autoMax"/>
              <x14:borderColor rgb="FF63C384"/>
              <x14:negativeFillColor rgb="FFFF0000"/>
              <x14:negativeBorderColor rgb="FFFF0000"/>
              <x14:axisColor rgb="FF000000"/>
            </x14:dataBar>
          </x14:cfRule>
          <xm:sqref>Z246</xm:sqref>
        </x14:conditionalFormatting>
        <x14:conditionalFormatting xmlns:xm="http://schemas.microsoft.com/office/excel/2006/main">
          <x14:cfRule type="dataBar" id="{AD0D3BDB-A8E7-456C-A47F-576C0A7E8602}">
            <x14:dataBar minLength="0" maxLength="100" border="1" negativeBarBorderColorSameAsPositive="0">
              <x14:cfvo type="autoMin"/>
              <x14:cfvo type="autoMax"/>
              <x14:borderColor rgb="FF63C384"/>
              <x14:negativeFillColor rgb="FFFF0000"/>
              <x14:negativeBorderColor rgb="FFFF0000"/>
              <x14:axisColor rgb="FF000000"/>
            </x14:dataBar>
          </x14:cfRule>
          <xm:sqref>Z246</xm:sqref>
        </x14:conditionalFormatting>
        <x14:conditionalFormatting xmlns:xm="http://schemas.microsoft.com/office/excel/2006/main">
          <x14:cfRule type="dataBar" id="{A7D8D66E-D78D-4441-80A9-1A57DC5DF3FF}">
            <x14:dataBar minLength="0" maxLength="100" border="1" negativeBarBorderColorSameAsPositive="0">
              <x14:cfvo type="autoMin"/>
              <x14:cfvo type="autoMax"/>
              <x14:borderColor rgb="FF63C384"/>
              <x14:negativeFillColor rgb="FFFF0000"/>
              <x14:negativeBorderColor rgb="FFFF0000"/>
              <x14:axisColor rgb="FF000000"/>
            </x14:dataBar>
          </x14:cfRule>
          <xm:sqref>Z247</xm:sqref>
        </x14:conditionalFormatting>
        <x14:conditionalFormatting xmlns:xm="http://schemas.microsoft.com/office/excel/2006/main">
          <x14:cfRule type="dataBar" id="{411489A9-C2DD-479A-8C87-51EACAA10C29}">
            <x14:dataBar minLength="0" maxLength="100" border="1" negativeBarBorderColorSameAsPositive="0">
              <x14:cfvo type="autoMin"/>
              <x14:cfvo type="autoMax"/>
              <x14:borderColor rgb="FF63C384"/>
              <x14:negativeFillColor rgb="FFFF0000"/>
              <x14:negativeBorderColor rgb="FFFF0000"/>
              <x14:axisColor rgb="FF000000"/>
            </x14:dataBar>
          </x14:cfRule>
          <xm:sqref>Z247</xm:sqref>
        </x14:conditionalFormatting>
        <x14:conditionalFormatting xmlns:xm="http://schemas.microsoft.com/office/excel/2006/main">
          <x14:cfRule type="dataBar" id="{88AE16C4-B1DD-4DA0-9691-2E7D622658EC}">
            <x14:dataBar minLength="0" maxLength="100" border="1" negativeBarBorderColorSameAsPositive="0">
              <x14:cfvo type="autoMin"/>
              <x14:cfvo type="autoMax"/>
              <x14:borderColor rgb="FF63C384"/>
              <x14:negativeFillColor rgb="FFFF0000"/>
              <x14:negativeBorderColor rgb="FFFF0000"/>
              <x14:axisColor rgb="FF000000"/>
            </x14:dataBar>
          </x14:cfRule>
          <xm:sqref>Z248:Z249</xm:sqref>
        </x14:conditionalFormatting>
        <x14:conditionalFormatting xmlns:xm="http://schemas.microsoft.com/office/excel/2006/main">
          <x14:cfRule type="dataBar" id="{B9E3DAEA-0161-47C9-8682-3E3482D226CD}">
            <x14:dataBar minLength="0" maxLength="100" border="1" negativeBarBorderColorSameAsPositive="0">
              <x14:cfvo type="autoMin"/>
              <x14:cfvo type="autoMax"/>
              <x14:borderColor rgb="FF63C384"/>
              <x14:negativeFillColor rgb="FFFF0000"/>
              <x14:negativeBorderColor rgb="FFFF0000"/>
              <x14:axisColor rgb="FF000000"/>
            </x14:dataBar>
          </x14:cfRule>
          <xm:sqref>Z248:Z249</xm:sqref>
        </x14:conditionalFormatting>
        <x14:conditionalFormatting xmlns:xm="http://schemas.microsoft.com/office/excel/2006/main">
          <x14:cfRule type="dataBar" id="{C001C6FE-1851-45A9-A6C3-0442957966AE}">
            <x14:dataBar minLength="0" maxLength="100" border="1" negativeBarBorderColorSameAsPositive="0">
              <x14:cfvo type="autoMin"/>
              <x14:cfvo type="autoMax"/>
              <x14:borderColor rgb="FF63C384"/>
              <x14:negativeFillColor rgb="FFFF0000"/>
              <x14:negativeBorderColor rgb="FFFF0000"/>
              <x14:axisColor rgb="FF000000"/>
            </x14:dataBar>
          </x14:cfRule>
          <xm:sqref>Z250</xm:sqref>
        </x14:conditionalFormatting>
        <x14:conditionalFormatting xmlns:xm="http://schemas.microsoft.com/office/excel/2006/main">
          <x14:cfRule type="dataBar" id="{7EF8C42D-D716-4750-8FFF-A730D7766A5E}">
            <x14:dataBar minLength="0" maxLength="100" border="1" negativeBarBorderColorSameAsPositive="0">
              <x14:cfvo type="autoMin"/>
              <x14:cfvo type="autoMax"/>
              <x14:borderColor rgb="FF63C384"/>
              <x14:negativeFillColor rgb="FFFF0000"/>
              <x14:negativeBorderColor rgb="FFFF0000"/>
              <x14:axisColor rgb="FF000000"/>
            </x14:dataBar>
          </x14:cfRule>
          <xm:sqref>Z250</xm:sqref>
        </x14:conditionalFormatting>
        <x14:conditionalFormatting xmlns:xm="http://schemas.microsoft.com/office/excel/2006/main">
          <x14:cfRule type="dataBar" id="{CB8DE49B-3B84-48E6-88B7-173EB4DDA473}">
            <x14:dataBar minLength="0" maxLength="100" border="1" negativeBarBorderColorSameAsPositive="0">
              <x14:cfvo type="autoMin"/>
              <x14:cfvo type="autoMax"/>
              <x14:borderColor rgb="FF63C384"/>
              <x14:negativeFillColor rgb="FFFF0000"/>
              <x14:negativeBorderColor rgb="FFFF0000"/>
              <x14:axisColor rgb="FF000000"/>
            </x14:dataBar>
          </x14:cfRule>
          <xm:sqref>Z216</xm:sqref>
        </x14:conditionalFormatting>
        <x14:conditionalFormatting xmlns:xm="http://schemas.microsoft.com/office/excel/2006/main">
          <x14:cfRule type="dataBar" id="{D6464108-CE3A-47B2-BD43-81CB136F1B79}">
            <x14:dataBar minLength="0" maxLength="100" border="1" negativeBarBorderColorSameAsPositive="0">
              <x14:cfvo type="autoMin"/>
              <x14:cfvo type="autoMax"/>
              <x14:borderColor rgb="FF63C384"/>
              <x14:negativeFillColor rgb="FFFF0000"/>
              <x14:negativeBorderColor rgb="FFFF0000"/>
              <x14:axisColor rgb="FF000000"/>
            </x14:dataBar>
          </x14:cfRule>
          <xm:sqref>Z216</xm:sqref>
        </x14:conditionalFormatting>
        <x14:conditionalFormatting xmlns:xm="http://schemas.microsoft.com/office/excel/2006/main">
          <x14:cfRule type="dataBar" id="{B534D74C-84E4-4EEC-BDC1-A56B844C7F15}">
            <x14:dataBar minLength="0" maxLength="100" border="1" negativeBarBorderColorSameAsPositive="0">
              <x14:cfvo type="autoMin"/>
              <x14:cfvo type="autoMax"/>
              <x14:borderColor rgb="FF63C384"/>
              <x14:negativeFillColor rgb="FFFF0000"/>
              <x14:negativeBorderColor rgb="FFFF0000"/>
              <x14:axisColor rgb="FF000000"/>
            </x14:dataBar>
          </x14:cfRule>
          <xm:sqref>Z251</xm:sqref>
        </x14:conditionalFormatting>
        <x14:conditionalFormatting xmlns:xm="http://schemas.microsoft.com/office/excel/2006/main">
          <x14:cfRule type="dataBar" id="{A36BC748-1D33-4717-81AB-CD62CE40A47B}">
            <x14:dataBar minLength="0" maxLength="100" border="1" negativeBarBorderColorSameAsPositive="0">
              <x14:cfvo type="autoMin"/>
              <x14:cfvo type="autoMax"/>
              <x14:borderColor rgb="FF63C384"/>
              <x14:negativeFillColor rgb="FFFF0000"/>
              <x14:negativeBorderColor rgb="FFFF0000"/>
              <x14:axisColor rgb="FF000000"/>
            </x14:dataBar>
          </x14:cfRule>
          <xm:sqref>Z251</xm:sqref>
        </x14:conditionalFormatting>
        <x14:conditionalFormatting xmlns:xm="http://schemas.microsoft.com/office/excel/2006/main">
          <x14:cfRule type="dataBar" id="{2EDAE32D-47B5-4339-B7AE-148F23C3FC1B}">
            <x14:dataBar minLength="0" maxLength="100" border="1" negativeBarBorderColorSameAsPositive="0">
              <x14:cfvo type="autoMin"/>
              <x14:cfvo type="autoMax"/>
              <x14:borderColor rgb="FF63C384"/>
              <x14:negativeFillColor rgb="FFFF0000"/>
              <x14:negativeBorderColor rgb="FFFF0000"/>
              <x14:axisColor rgb="FF000000"/>
            </x14:dataBar>
          </x14:cfRule>
          <xm:sqref>Z252</xm:sqref>
        </x14:conditionalFormatting>
        <x14:conditionalFormatting xmlns:xm="http://schemas.microsoft.com/office/excel/2006/main">
          <x14:cfRule type="dataBar" id="{E431C3F8-B426-45DB-B987-A7B1D8B92420}">
            <x14:dataBar minLength="0" maxLength="100" border="1" negativeBarBorderColorSameAsPositive="0">
              <x14:cfvo type="autoMin"/>
              <x14:cfvo type="autoMax"/>
              <x14:borderColor rgb="FF63C384"/>
              <x14:negativeFillColor rgb="FFFF0000"/>
              <x14:negativeBorderColor rgb="FFFF0000"/>
              <x14:axisColor rgb="FF000000"/>
            </x14:dataBar>
          </x14:cfRule>
          <xm:sqref>Z252</xm:sqref>
        </x14:conditionalFormatting>
        <x14:conditionalFormatting xmlns:xm="http://schemas.microsoft.com/office/excel/2006/main">
          <x14:cfRule type="dataBar" id="{68143B56-80E2-44E9-8C6F-25A037C4B176}">
            <x14:dataBar minLength="0" maxLength="100" border="1" negativeBarBorderColorSameAsPositive="0">
              <x14:cfvo type="autoMin"/>
              <x14:cfvo type="autoMax"/>
              <x14:borderColor rgb="FF63C384"/>
              <x14:negativeFillColor rgb="FFFF0000"/>
              <x14:negativeBorderColor rgb="FFFF0000"/>
              <x14:axisColor rgb="FF000000"/>
            </x14:dataBar>
          </x14:cfRule>
          <xm:sqref>Z253</xm:sqref>
        </x14:conditionalFormatting>
        <x14:conditionalFormatting xmlns:xm="http://schemas.microsoft.com/office/excel/2006/main">
          <x14:cfRule type="dataBar" id="{A580EDBF-F088-4709-8A33-4B5E42F66BE7}">
            <x14:dataBar minLength="0" maxLength="100" border="1" negativeBarBorderColorSameAsPositive="0">
              <x14:cfvo type="autoMin"/>
              <x14:cfvo type="autoMax"/>
              <x14:borderColor rgb="FF63C384"/>
              <x14:negativeFillColor rgb="FFFF0000"/>
              <x14:negativeBorderColor rgb="FFFF0000"/>
              <x14:axisColor rgb="FF000000"/>
            </x14:dataBar>
          </x14:cfRule>
          <xm:sqref>Z253</xm:sqref>
        </x14:conditionalFormatting>
        <x14:conditionalFormatting xmlns:xm="http://schemas.microsoft.com/office/excel/2006/main">
          <x14:cfRule type="dataBar" id="{B792602F-6676-4C9D-A87B-F777B4D6FD33}">
            <x14:dataBar minLength="0" maxLength="100" border="1" negativeBarBorderColorSameAsPositive="0">
              <x14:cfvo type="autoMin"/>
              <x14:cfvo type="autoMax"/>
              <x14:borderColor rgb="FF63C384"/>
              <x14:negativeFillColor rgb="FFFF0000"/>
              <x14:negativeBorderColor rgb="FFFF0000"/>
              <x14:axisColor rgb="FF000000"/>
            </x14:dataBar>
          </x14:cfRule>
          <xm:sqref>Z254</xm:sqref>
        </x14:conditionalFormatting>
        <x14:conditionalFormatting xmlns:xm="http://schemas.microsoft.com/office/excel/2006/main">
          <x14:cfRule type="dataBar" id="{E2A15B69-5631-43F3-8E83-F1BDF297454A}">
            <x14:dataBar minLength="0" maxLength="100" border="1" negativeBarBorderColorSameAsPositive="0">
              <x14:cfvo type="autoMin"/>
              <x14:cfvo type="autoMax"/>
              <x14:borderColor rgb="FF63C384"/>
              <x14:negativeFillColor rgb="FFFF0000"/>
              <x14:negativeBorderColor rgb="FFFF0000"/>
              <x14:axisColor rgb="FF000000"/>
            </x14:dataBar>
          </x14:cfRule>
          <xm:sqref>Z254</xm:sqref>
        </x14:conditionalFormatting>
        <x14:conditionalFormatting xmlns:xm="http://schemas.microsoft.com/office/excel/2006/main">
          <x14:cfRule type="dataBar" id="{BD8B1EDD-A734-4F99-B00F-B3177F246D83}">
            <x14:dataBar minLength="0" maxLength="100" border="1" negativeBarBorderColorSameAsPositive="0">
              <x14:cfvo type="autoMin"/>
              <x14:cfvo type="autoMax"/>
              <x14:borderColor rgb="FF63C384"/>
              <x14:negativeFillColor rgb="FFFF0000"/>
              <x14:negativeBorderColor rgb="FFFF0000"/>
              <x14:axisColor rgb="FF000000"/>
            </x14:dataBar>
          </x14:cfRule>
          <xm:sqref>Z255:Z256</xm:sqref>
        </x14:conditionalFormatting>
        <x14:conditionalFormatting xmlns:xm="http://schemas.microsoft.com/office/excel/2006/main">
          <x14:cfRule type="dataBar" id="{AA86996D-836A-426D-90C8-E8023A94FB15}">
            <x14:dataBar minLength="0" maxLength="100" border="1" negativeBarBorderColorSameAsPositive="0">
              <x14:cfvo type="autoMin"/>
              <x14:cfvo type="autoMax"/>
              <x14:borderColor rgb="FF63C384"/>
              <x14:negativeFillColor rgb="FFFF0000"/>
              <x14:negativeBorderColor rgb="FFFF0000"/>
              <x14:axisColor rgb="FF000000"/>
            </x14:dataBar>
          </x14:cfRule>
          <xm:sqref>Z255:Z256</xm:sqref>
        </x14:conditionalFormatting>
        <x14:conditionalFormatting xmlns:xm="http://schemas.microsoft.com/office/excel/2006/main">
          <x14:cfRule type="dataBar" id="{ADDB2D28-B4EF-452E-914B-3EFC6F842080}">
            <x14:dataBar minLength="0" maxLength="100" border="1" negativeBarBorderColorSameAsPositive="0">
              <x14:cfvo type="autoMin"/>
              <x14:cfvo type="autoMax"/>
              <x14:borderColor rgb="FF63C384"/>
              <x14:negativeFillColor rgb="FFFF0000"/>
              <x14:negativeBorderColor rgb="FFFF0000"/>
              <x14:axisColor rgb="FF000000"/>
            </x14:dataBar>
          </x14:cfRule>
          <xm:sqref>Z257</xm:sqref>
        </x14:conditionalFormatting>
        <x14:conditionalFormatting xmlns:xm="http://schemas.microsoft.com/office/excel/2006/main">
          <x14:cfRule type="dataBar" id="{F4C20A01-2D16-47DA-B835-93CA94EA1F22}">
            <x14:dataBar minLength="0" maxLength="100" border="1" negativeBarBorderColorSameAsPositive="0">
              <x14:cfvo type="autoMin"/>
              <x14:cfvo type="autoMax"/>
              <x14:borderColor rgb="FF63C384"/>
              <x14:negativeFillColor rgb="FFFF0000"/>
              <x14:negativeBorderColor rgb="FFFF0000"/>
              <x14:axisColor rgb="FF000000"/>
            </x14:dataBar>
          </x14:cfRule>
          <xm:sqref>Z257</xm:sqref>
        </x14:conditionalFormatting>
        <x14:conditionalFormatting xmlns:xm="http://schemas.microsoft.com/office/excel/2006/main">
          <x14:cfRule type="dataBar" id="{529B4110-CABA-4E5C-9979-1C5E732DCE00}">
            <x14:dataBar minLength="0" maxLength="100" border="1" negativeBarBorderColorSameAsPositive="0">
              <x14:cfvo type="autoMin"/>
              <x14:cfvo type="autoMax"/>
              <x14:borderColor rgb="FF63C384"/>
              <x14:negativeFillColor rgb="FFFF0000"/>
              <x14:negativeBorderColor rgb="FFFF0000"/>
              <x14:axisColor rgb="FF000000"/>
            </x14:dataBar>
          </x14:cfRule>
          <xm:sqref>Z258</xm:sqref>
        </x14:conditionalFormatting>
        <x14:conditionalFormatting xmlns:xm="http://schemas.microsoft.com/office/excel/2006/main">
          <x14:cfRule type="dataBar" id="{15D7A9D8-66B6-4FD0-A75A-1A83975C7B82}">
            <x14:dataBar minLength="0" maxLength="100" border="1" negativeBarBorderColorSameAsPositive="0">
              <x14:cfvo type="autoMin"/>
              <x14:cfvo type="autoMax"/>
              <x14:borderColor rgb="FF63C384"/>
              <x14:negativeFillColor rgb="FFFF0000"/>
              <x14:negativeBorderColor rgb="FFFF0000"/>
              <x14:axisColor rgb="FF000000"/>
            </x14:dataBar>
          </x14:cfRule>
          <xm:sqref>Z258</xm:sqref>
        </x14:conditionalFormatting>
        <x14:conditionalFormatting xmlns:xm="http://schemas.microsoft.com/office/excel/2006/main">
          <x14:cfRule type="dataBar" id="{47711122-7070-45DC-B8B8-4B1CD502CA04}">
            <x14:dataBar minLength="0" maxLength="100" border="1" negativeBarBorderColorSameAsPositive="0">
              <x14:cfvo type="autoMin"/>
              <x14:cfvo type="autoMax"/>
              <x14:borderColor rgb="FF63C384"/>
              <x14:negativeFillColor rgb="FFFF0000"/>
              <x14:negativeBorderColor rgb="FFFF0000"/>
              <x14:axisColor rgb="FF000000"/>
            </x14:dataBar>
          </x14:cfRule>
          <xm:sqref>Z259</xm:sqref>
        </x14:conditionalFormatting>
        <x14:conditionalFormatting xmlns:xm="http://schemas.microsoft.com/office/excel/2006/main">
          <x14:cfRule type="dataBar" id="{4652130E-60BD-4462-AE9A-C80179DE9A85}">
            <x14:dataBar minLength="0" maxLength="100" border="1" negativeBarBorderColorSameAsPositive="0">
              <x14:cfvo type="autoMin"/>
              <x14:cfvo type="autoMax"/>
              <x14:borderColor rgb="FF63C384"/>
              <x14:negativeFillColor rgb="FFFF0000"/>
              <x14:negativeBorderColor rgb="FFFF0000"/>
              <x14:axisColor rgb="FF000000"/>
            </x14:dataBar>
          </x14:cfRule>
          <xm:sqref>Z259</xm:sqref>
        </x14:conditionalFormatting>
        <x14:conditionalFormatting xmlns:xm="http://schemas.microsoft.com/office/excel/2006/main">
          <x14:cfRule type="dataBar" id="{B5D6A04C-8530-482B-9A0F-634A21A7EDE5}">
            <x14:dataBar minLength="0" maxLength="100" border="1" negativeBarBorderColorSameAsPositive="0">
              <x14:cfvo type="autoMin"/>
              <x14:cfvo type="autoMax"/>
              <x14:borderColor rgb="FF63C384"/>
              <x14:negativeFillColor rgb="FFFF0000"/>
              <x14:negativeBorderColor rgb="FFFF0000"/>
              <x14:axisColor rgb="FF000000"/>
            </x14:dataBar>
          </x14:cfRule>
          <xm:sqref>Z260:Z261</xm:sqref>
        </x14:conditionalFormatting>
        <x14:conditionalFormatting xmlns:xm="http://schemas.microsoft.com/office/excel/2006/main">
          <x14:cfRule type="dataBar" id="{FCFDCF67-3696-434E-84DE-18D58533F78C}">
            <x14:dataBar minLength="0" maxLength="100" border="1" negativeBarBorderColorSameAsPositive="0">
              <x14:cfvo type="autoMin"/>
              <x14:cfvo type="autoMax"/>
              <x14:borderColor rgb="FF63C384"/>
              <x14:negativeFillColor rgb="FFFF0000"/>
              <x14:negativeBorderColor rgb="FFFF0000"/>
              <x14:axisColor rgb="FF000000"/>
            </x14:dataBar>
          </x14:cfRule>
          <xm:sqref>Z260:Z261</xm:sqref>
        </x14:conditionalFormatting>
        <x14:conditionalFormatting xmlns:xm="http://schemas.microsoft.com/office/excel/2006/main">
          <x14:cfRule type="dataBar" id="{014DB2D6-C36F-4A2C-8E57-37CC3584F523}">
            <x14:dataBar minLength="0" maxLength="100" border="1" negativeBarBorderColorSameAsPositive="0">
              <x14:cfvo type="autoMin"/>
              <x14:cfvo type="autoMax"/>
              <x14:borderColor rgb="FF63C384"/>
              <x14:negativeFillColor rgb="FFFF0000"/>
              <x14:negativeBorderColor rgb="FFFF0000"/>
              <x14:axisColor rgb="FF000000"/>
            </x14:dataBar>
          </x14:cfRule>
          <xm:sqref>Z262</xm:sqref>
        </x14:conditionalFormatting>
        <x14:conditionalFormatting xmlns:xm="http://schemas.microsoft.com/office/excel/2006/main">
          <x14:cfRule type="dataBar" id="{6138E549-AD40-48CB-9074-F4FE042EAEE1}">
            <x14:dataBar minLength="0" maxLength="100" border="1" negativeBarBorderColorSameAsPositive="0">
              <x14:cfvo type="autoMin"/>
              <x14:cfvo type="autoMax"/>
              <x14:borderColor rgb="FF63C384"/>
              <x14:negativeFillColor rgb="FFFF0000"/>
              <x14:negativeBorderColor rgb="FFFF0000"/>
              <x14:axisColor rgb="FF000000"/>
            </x14:dataBar>
          </x14:cfRule>
          <xm:sqref>Z262</xm:sqref>
        </x14:conditionalFormatting>
        <x14:conditionalFormatting xmlns:xm="http://schemas.microsoft.com/office/excel/2006/main">
          <x14:cfRule type="dataBar" id="{C471C374-5ED2-4D08-83D6-55D2E5033BCC}">
            <x14:dataBar minLength="0" maxLength="100" border="1" negativeBarBorderColorSameAsPositive="0">
              <x14:cfvo type="autoMin"/>
              <x14:cfvo type="autoMax"/>
              <x14:borderColor rgb="FF63C384"/>
              <x14:negativeFillColor rgb="FFFF0000"/>
              <x14:negativeBorderColor rgb="FFFF0000"/>
              <x14:axisColor rgb="FF000000"/>
            </x14:dataBar>
          </x14:cfRule>
          <xm:sqref>Z263</xm:sqref>
        </x14:conditionalFormatting>
        <x14:conditionalFormatting xmlns:xm="http://schemas.microsoft.com/office/excel/2006/main">
          <x14:cfRule type="dataBar" id="{1B2AED86-3C7F-4C9A-B31C-C493E679E07F}">
            <x14:dataBar minLength="0" maxLength="100" border="1" negativeBarBorderColorSameAsPositive="0">
              <x14:cfvo type="autoMin"/>
              <x14:cfvo type="autoMax"/>
              <x14:borderColor rgb="FF63C384"/>
              <x14:negativeFillColor rgb="FFFF0000"/>
              <x14:negativeBorderColor rgb="FFFF0000"/>
              <x14:axisColor rgb="FF000000"/>
            </x14:dataBar>
          </x14:cfRule>
          <xm:sqref>Z263</xm:sqref>
        </x14:conditionalFormatting>
        <x14:conditionalFormatting xmlns:xm="http://schemas.microsoft.com/office/excel/2006/main">
          <x14:cfRule type="dataBar" id="{2BD1BA89-323C-4A46-9803-6150DDC04DD2}">
            <x14:dataBar minLength="0" maxLength="100" border="1" negativeBarBorderColorSameAsPositive="0">
              <x14:cfvo type="autoMin"/>
              <x14:cfvo type="autoMax"/>
              <x14:borderColor rgb="FF63C384"/>
              <x14:negativeFillColor rgb="FFFF0000"/>
              <x14:negativeBorderColor rgb="FFFF0000"/>
              <x14:axisColor rgb="FF000000"/>
            </x14:dataBar>
          </x14:cfRule>
          <xm:sqref>Z264</xm:sqref>
        </x14:conditionalFormatting>
        <x14:conditionalFormatting xmlns:xm="http://schemas.microsoft.com/office/excel/2006/main">
          <x14:cfRule type="dataBar" id="{2D58DB45-CFC8-461E-8463-B65E1468E8BE}">
            <x14:dataBar minLength="0" maxLength="100" border="1" negativeBarBorderColorSameAsPositive="0">
              <x14:cfvo type="autoMin"/>
              <x14:cfvo type="autoMax"/>
              <x14:borderColor rgb="FF63C384"/>
              <x14:negativeFillColor rgb="FFFF0000"/>
              <x14:negativeBorderColor rgb="FFFF0000"/>
              <x14:axisColor rgb="FF000000"/>
            </x14:dataBar>
          </x14:cfRule>
          <xm:sqref>Z264</xm:sqref>
        </x14:conditionalFormatting>
        <x14:conditionalFormatting xmlns:xm="http://schemas.microsoft.com/office/excel/2006/main">
          <x14:cfRule type="dataBar" id="{5C9688E4-0507-4DC6-ABDE-D65AAEADD02B}">
            <x14:dataBar minLength="0" maxLength="100" border="1" negativeBarBorderColorSameAsPositive="0">
              <x14:cfvo type="autoMin"/>
              <x14:cfvo type="autoMax"/>
              <x14:borderColor rgb="FF63C384"/>
              <x14:negativeFillColor rgb="FFFF0000"/>
              <x14:negativeBorderColor rgb="FFFF0000"/>
              <x14:axisColor rgb="FF000000"/>
            </x14:dataBar>
          </x14:cfRule>
          <xm:sqref>Z265:Z268</xm:sqref>
        </x14:conditionalFormatting>
        <x14:conditionalFormatting xmlns:xm="http://schemas.microsoft.com/office/excel/2006/main">
          <x14:cfRule type="dataBar" id="{E438F3B3-C6FA-4259-A0DC-97FCC6C4ECE8}">
            <x14:dataBar minLength="0" maxLength="100" border="1" negativeBarBorderColorSameAsPositive="0">
              <x14:cfvo type="autoMin"/>
              <x14:cfvo type="autoMax"/>
              <x14:borderColor rgb="FF63C384"/>
              <x14:negativeFillColor rgb="FFFF0000"/>
              <x14:negativeBorderColor rgb="FFFF0000"/>
              <x14:axisColor rgb="FF000000"/>
            </x14:dataBar>
          </x14:cfRule>
          <xm:sqref>Z265:Z268</xm:sqref>
        </x14:conditionalFormatting>
        <x14:conditionalFormatting xmlns:xm="http://schemas.microsoft.com/office/excel/2006/main">
          <x14:cfRule type="dataBar" id="{42A9FBD9-DB65-4C8B-AEFE-100FFB3218B1}">
            <x14:dataBar minLength="0" maxLength="100" border="1" negativeBarBorderColorSameAsPositive="0">
              <x14:cfvo type="autoMin"/>
              <x14:cfvo type="autoMax"/>
              <x14:borderColor rgb="FF63C384"/>
              <x14:negativeFillColor rgb="FFFF0000"/>
              <x14:negativeBorderColor rgb="FFFF0000"/>
              <x14:axisColor rgb="FF000000"/>
            </x14:dataBar>
          </x14:cfRule>
          <xm:sqref>Z269</xm:sqref>
        </x14:conditionalFormatting>
        <x14:conditionalFormatting xmlns:xm="http://schemas.microsoft.com/office/excel/2006/main">
          <x14:cfRule type="dataBar" id="{311C06D5-04A2-4B3B-8489-F5E7E516E3B4}">
            <x14:dataBar minLength="0" maxLength="100" border="1" negativeBarBorderColorSameAsPositive="0">
              <x14:cfvo type="autoMin"/>
              <x14:cfvo type="autoMax"/>
              <x14:borderColor rgb="FF63C384"/>
              <x14:negativeFillColor rgb="FFFF0000"/>
              <x14:negativeBorderColor rgb="FFFF0000"/>
              <x14:axisColor rgb="FF000000"/>
            </x14:dataBar>
          </x14:cfRule>
          <xm:sqref>Z269</xm:sqref>
        </x14:conditionalFormatting>
        <x14:conditionalFormatting xmlns:xm="http://schemas.microsoft.com/office/excel/2006/main">
          <x14:cfRule type="dataBar" id="{4F890366-CBFB-45A4-9516-0442D7FE54C6}">
            <x14:dataBar minLength="0" maxLength="100" border="1" negativeBarBorderColorSameAsPositive="0">
              <x14:cfvo type="autoMin"/>
              <x14:cfvo type="autoMax"/>
              <x14:borderColor rgb="FF63C384"/>
              <x14:negativeFillColor rgb="FFFF0000"/>
              <x14:negativeBorderColor rgb="FFFF0000"/>
              <x14:axisColor rgb="FF000000"/>
            </x14:dataBar>
          </x14:cfRule>
          <xm:sqref>Z270</xm:sqref>
        </x14:conditionalFormatting>
        <x14:conditionalFormatting xmlns:xm="http://schemas.microsoft.com/office/excel/2006/main">
          <x14:cfRule type="dataBar" id="{E9F68E55-B614-4281-85FA-8AEDD8F28FCD}">
            <x14:dataBar minLength="0" maxLength="100" border="1" negativeBarBorderColorSameAsPositive="0">
              <x14:cfvo type="autoMin"/>
              <x14:cfvo type="autoMax"/>
              <x14:borderColor rgb="FF63C384"/>
              <x14:negativeFillColor rgb="FFFF0000"/>
              <x14:negativeBorderColor rgb="FFFF0000"/>
              <x14:axisColor rgb="FF000000"/>
            </x14:dataBar>
          </x14:cfRule>
          <xm:sqref>Z270</xm:sqref>
        </x14:conditionalFormatting>
        <x14:conditionalFormatting xmlns:xm="http://schemas.microsoft.com/office/excel/2006/main">
          <x14:cfRule type="dataBar" id="{51C7A47D-D6E8-41ED-9606-85E2801A20C5}">
            <x14:dataBar minLength="0" maxLength="100" border="1" negativeBarBorderColorSameAsPositive="0">
              <x14:cfvo type="autoMin"/>
              <x14:cfvo type="autoMax"/>
              <x14:borderColor rgb="FF63C384"/>
              <x14:negativeFillColor rgb="FFFF0000"/>
              <x14:negativeBorderColor rgb="FFFF0000"/>
              <x14:axisColor rgb="FF000000"/>
            </x14:dataBar>
          </x14:cfRule>
          <xm:sqref>Z271</xm:sqref>
        </x14:conditionalFormatting>
        <x14:conditionalFormatting xmlns:xm="http://schemas.microsoft.com/office/excel/2006/main">
          <x14:cfRule type="dataBar" id="{A05CBF8C-66AE-464D-BA40-083C41385321}">
            <x14:dataBar minLength="0" maxLength="100" border="1" negativeBarBorderColorSameAsPositive="0">
              <x14:cfvo type="autoMin"/>
              <x14:cfvo type="autoMax"/>
              <x14:borderColor rgb="FF63C384"/>
              <x14:negativeFillColor rgb="FFFF0000"/>
              <x14:negativeBorderColor rgb="FFFF0000"/>
              <x14:axisColor rgb="FF000000"/>
            </x14:dataBar>
          </x14:cfRule>
          <xm:sqref>Z271</xm:sqref>
        </x14:conditionalFormatting>
        <x14:conditionalFormatting xmlns:xm="http://schemas.microsoft.com/office/excel/2006/main">
          <x14:cfRule type="dataBar" id="{40439643-F4B9-4059-96E4-E36652AD4010}">
            <x14:dataBar minLength="0" maxLength="100" border="1" negativeBarBorderColorSameAsPositive="0">
              <x14:cfvo type="autoMin"/>
              <x14:cfvo type="autoMax"/>
              <x14:borderColor rgb="FF63C384"/>
              <x14:negativeFillColor rgb="FFFF0000"/>
              <x14:negativeBorderColor rgb="FFFF0000"/>
              <x14:axisColor rgb="FF000000"/>
            </x14:dataBar>
          </x14:cfRule>
          <xm:sqref>Z272</xm:sqref>
        </x14:conditionalFormatting>
        <x14:conditionalFormatting xmlns:xm="http://schemas.microsoft.com/office/excel/2006/main">
          <x14:cfRule type="dataBar" id="{0ABF2138-7CE3-46D8-AD69-040C1691FA7E}">
            <x14:dataBar minLength="0" maxLength="100" border="1" negativeBarBorderColorSameAsPositive="0">
              <x14:cfvo type="autoMin"/>
              <x14:cfvo type="autoMax"/>
              <x14:borderColor rgb="FF63C384"/>
              <x14:negativeFillColor rgb="FFFF0000"/>
              <x14:negativeBorderColor rgb="FFFF0000"/>
              <x14:axisColor rgb="FF000000"/>
            </x14:dataBar>
          </x14:cfRule>
          <xm:sqref>Z272</xm:sqref>
        </x14:conditionalFormatting>
        <x14:conditionalFormatting xmlns:xm="http://schemas.microsoft.com/office/excel/2006/main">
          <x14:cfRule type="dataBar" id="{908B9637-2CEA-44EC-9D42-02A13B6A1191}">
            <x14:dataBar minLength="0" maxLength="100" border="1" negativeBarBorderColorSameAsPositive="0">
              <x14:cfvo type="autoMin"/>
              <x14:cfvo type="autoMax"/>
              <x14:borderColor rgb="FF63C384"/>
              <x14:negativeFillColor rgb="FFFF0000"/>
              <x14:negativeBorderColor rgb="FFFF0000"/>
              <x14:axisColor rgb="FF000000"/>
            </x14:dataBar>
          </x14:cfRule>
          <xm:sqref>Z275</xm:sqref>
        </x14:conditionalFormatting>
        <x14:conditionalFormatting xmlns:xm="http://schemas.microsoft.com/office/excel/2006/main">
          <x14:cfRule type="dataBar" id="{75A5D2FA-FB25-4C0F-A74A-A85BF6CBD4ED}">
            <x14:dataBar minLength="0" maxLength="100" border="1" negativeBarBorderColorSameAsPositive="0">
              <x14:cfvo type="autoMin"/>
              <x14:cfvo type="autoMax"/>
              <x14:borderColor rgb="FF63C384"/>
              <x14:negativeFillColor rgb="FFFF0000"/>
              <x14:negativeBorderColor rgb="FFFF0000"/>
              <x14:axisColor rgb="FF000000"/>
            </x14:dataBar>
          </x14:cfRule>
          <xm:sqref>Z275</xm:sqref>
        </x14:conditionalFormatting>
        <x14:conditionalFormatting xmlns:xm="http://schemas.microsoft.com/office/excel/2006/main">
          <x14:cfRule type="dataBar" id="{7CFDD04E-6EC2-4AD5-BCF9-2033D0C417AF}">
            <x14:dataBar minLength="0" maxLength="100" border="1" negativeBarBorderColorSameAsPositive="0">
              <x14:cfvo type="autoMin"/>
              <x14:cfvo type="autoMax"/>
              <x14:borderColor rgb="FF63C384"/>
              <x14:negativeFillColor rgb="FFFF0000"/>
              <x14:negativeBorderColor rgb="FFFF0000"/>
              <x14:axisColor rgb="FF000000"/>
            </x14:dataBar>
          </x14:cfRule>
          <xm:sqref>Z276</xm:sqref>
        </x14:conditionalFormatting>
        <x14:conditionalFormatting xmlns:xm="http://schemas.microsoft.com/office/excel/2006/main">
          <x14:cfRule type="dataBar" id="{43A9CE04-7FB1-4907-9FE5-6CB2065DFCE1}">
            <x14:dataBar minLength="0" maxLength="100" border="1" negativeBarBorderColorSameAsPositive="0">
              <x14:cfvo type="autoMin"/>
              <x14:cfvo type="autoMax"/>
              <x14:borderColor rgb="FF63C384"/>
              <x14:negativeFillColor rgb="FFFF0000"/>
              <x14:negativeBorderColor rgb="FFFF0000"/>
              <x14:axisColor rgb="FF000000"/>
            </x14:dataBar>
          </x14:cfRule>
          <xm:sqref>Z276</xm:sqref>
        </x14:conditionalFormatting>
        <x14:conditionalFormatting xmlns:xm="http://schemas.microsoft.com/office/excel/2006/main">
          <x14:cfRule type="dataBar" id="{7AB954E6-9AA6-41FC-8F0F-198EBF298759}">
            <x14:dataBar minLength="0" maxLength="100" border="1" negativeBarBorderColorSameAsPositive="0">
              <x14:cfvo type="autoMin"/>
              <x14:cfvo type="autoMax"/>
              <x14:borderColor rgb="FF63C384"/>
              <x14:negativeFillColor rgb="FFFF0000"/>
              <x14:negativeBorderColor rgb="FFFF0000"/>
              <x14:axisColor rgb="FF000000"/>
            </x14:dataBar>
          </x14:cfRule>
          <xm:sqref>Z277</xm:sqref>
        </x14:conditionalFormatting>
        <x14:conditionalFormatting xmlns:xm="http://schemas.microsoft.com/office/excel/2006/main">
          <x14:cfRule type="dataBar" id="{C4D2EA7B-D4A0-47F7-B1D9-74C57FEDC593}">
            <x14:dataBar minLength="0" maxLength="100" border="1" negativeBarBorderColorSameAsPositive="0">
              <x14:cfvo type="autoMin"/>
              <x14:cfvo type="autoMax"/>
              <x14:borderColor rgb="FF63C384"/>
              <x14:negativeFillColor rgb="FFFF0000"/>
              <x14:negativeBorderColor rgb="FFFF0000"/>
              <x14:axisColor rgb="FF000000"/>
            </x14:dataBar>
          </x14:cfRule>
          <xm:sqref>Z277</xm:sqref>
        </x14:conditionalFormatting>
        <x14:conditionalFormatting xmlns:xm="http://schemas.microsoft.com/office/excel/2006/main">
          <x14:cfRule type="dataBar" id="{CB49FF05-370F-4D0F-92F6-A672B6D9A206}">
            <x14:dataBar minLength="0" maxLength="100" border="1" negativeBarBorderColorSameAsPositive="0">
              <x14:cfvo type="autoMin"/>
              <x14:cfvo type="autoMax"/>
              <x14:borderColor rgb="FF63C384"/>
              <x14:negativeFillColor rgb="FFFF0000"/>
              <x14:negativeBorderColor rgb="FFFF0000"/>
              <x14:axisColor rgb="FF000000"/>
            </x14:dataBar>
          </x14:cfRule>
          <xm:sqref>Z278</xm:sqref>
        </x14:conditionalFormatting>
        <x14:conditionalFormatting xmlns:xm="http://schemas.microsoft.com/office/excel/2006/main">
          <x14:cfRule type="dataBar" id="{32E76F7C-A490-43A9-AA28-6F25014D2A72}">
            <x14:dataBar minLength="0" maxLength="100" border="1" negativeBarBorderColorSameAsPositive="0">
              <x14:cfvo type="autoMin"/>
              <x14:cfvo type="autoMax"/>
              <x14:borderColor rgb="FF63C384"/>
              <x14:negativeFillColor rgb="FFFF0000"/>
              <x14:negativeBorderColor rgb="FFFF0000"/>
              <x14:axisColor rgb="FF000000"/>
            </x14:dataBar>
          </x14:cfRule>
          <xm:sqref>Z278</xm:sqref>
        </x14:conditionalFormatting>
        <x14:conditionalFormatting xmlns:xm="http://schemas.microsoft.com/office/excel/2006/main">
          <x14:cfRule type="dataBar" id="{E2A09017-6D25-4C28-BEA9-357E4110D59C}">
            <x14:dataBar minLength="0" maxLength="100" border="1" negativeBarBorderColorSameAsPositive="0">
              <x14:cfvo type="autoMin"/>
              <x14:cfvo type="autoMax"/>
              <x14:borderColor rgb="FF63C384"/>
              <x14:negativeFillColor rgb="FFFF0000"/>
              <x14:negativeBorderColor rgb="FFFF0000"/>
              <x14:axisColor rgb="FF000000"/>
            </x14:dataBar>
          </x14:cfRule>
          <xm:sqref>Z280</xm:sqref>
        </x14:conditionalFormatting>
        <x14:conditionalFormatting xmlns:xm="http://schemas.microsoft.com/office/excel/2006/main">
          <x14:cfRule type="dataBar" id="{E9B18CC7-F167-4556-9E32-83A427A7A801}">
            <x14:dataBar minLength="0" maxLength="100" border="1" negativeBarBorderColorSameAsPositive="0">
              <x14:cfvo type="autoMin"/>
              <x14:cfvo type="autoMax"/>
              <x14:borderColor rgb="FF63C384"/>
              <x14:negativeFillColor rgb="FFFF0000"/>
              <x14:negativeBorderColor rgb="FFFF0000"/>
              <x14:axisColor rgb="FF000000"/>
            </x14:dataBar>
          </x14:cfRule>
          <xm:sqref>Z280</xm:sqref>
        </x14:conditionalFormatting>
        <x14:conditionalFormatting xmlns:xm="http://schemas.microsoft.com/office/excel/2006/main">
          <x14:cfRule type="dataBar" id="{39E568AB-0EF8-47A4-A059-50B0EA29B84B}">
            <x14:dataBar minLength="0" maxLength="100" border="1" negativeBarBorderColorSameAsPositive="0">
              <x14:cfvo type="autoMin"/>
              <x14:cfvo type="autoMax"/>
              <x14:borderColor rgb="FF63C384"/>
              <x14:negativeFillColor rgb="FFFF0000"/>
              <x14:negativeBorderColor rgb="FFFF0000"/>
              <x14:axisColor rgb="FF000000"/>
            </x14:dataBar>
          </x14:cfRule>
          <xm:sqref>Z283</xm:sqref>
        </x14:conditionalFormatting>
        <x14:conditionalFormatting xmlns:xm="http://schemas.microsoft.com/office/excel/2006/main">
          <x14:cfRule type="dataBar" id="{25113CE9-480B-4856-93FA-E21B5C2AB06B}">
            <x14:dataBar minLength="0" maxLength="100" border="1" negativeBarBorderColorSameAsPositive="0">
              <x14:cfvo type="autoMin"/>
              <x14:cfvo type="autoMax"/>
              <x14:borderColor rgb="FF63C384"/>
              <x14:negativeFillColor rgb="FFFF0000"/>
              <x14:negativeBorderColor rgb="FFFF0000"/>
              <x14:axisColor rgb="FF000000"/>
            </x14:dataBar>
          </x14:cfRule>
          <xm:sqref>Z283</xm:sqref>
        </x14:conditionalFormatting>
        <x14:conditionalFormatting xmlns:xm="http://schemas.microsoft.com/office/excel/2006/main">
          <x14:cfRule type="dataBar" id="{762B209D-3267-4A0F-AE01-0FB1E712E3CC}">
            <x14:dataBar minLength="0" maxLength="100" border="1" negativeBarBorderColorSameAsPositive="0">
              <x14:cfvo type="autoMin"/>
              <x14:cfvo type="autoMax"/>
              <x14:borderColor rgb="FF63C384"/>
              <x14:negativeFillColor rgb="FFFF0000"/>
              <x14:negativeBorderColor rgb="FFFF0000"/>
              <x14:axisColor rgb="FF000000"/>
            </x14:dataBar>
          </x14:cfRule>
          <xm:sqref>Z281</xm:sqref>
        </x14:conditionalFormatting>
        <x14:conditionalFormatting xmlns:xm="http://schemas.microsoft.com/office/excel/2006/main">
          <x14:cfRule type="dataBar" id="{AB963FF5-CDD1-4781-B0F7-7BAA69C70726}">
            <x14:dataBar minLength="0" maxLength="100" border="1" negativeBarBorderColorSameAsPositive="0">
              <x14:cfvo type="autoMin"/>
              <x14:cfvo type="autoMax"/>
              <x14:borderColor rgb="FF63C384"/>
              <x14:negativeFillColor rgb="FFFF0000"/>
              <x14:negativeBorderColor rgb="FFFF0000"/>
              <x14:axisColor rgb="FF000000"/>
            </x14:dataBar>
          </x14:cfRule>
          <xm:sqref>Z281</xm:sqref>
        </x14:conditionalFormatting>
        <x14:conditionalFormatting xmlns:xm="http://schemas.microsoft.com/office/excel/2006/main">
          <x14:cfRule type="dataBar" id="{A7E13D50-62CD-4510-A071-61F83074A69B}">
            <x14:dataBar minLength="0" maxLength="100" border="1" negativeBarBorderColorSameAsPositive="0">
              <x14:cfvo type="autoMin"/>
              <x14:cfvo type="autoMax"/>
              <x14:borderColor rgb="FF63C384"/>
              <x14:negativeFillColor rgb="FFFF0000"/>
              <x14:negativeBorderColor rgb="FFFF0000"/>
              <x14:axisColor rgb="FF000000"/>
            </x14:dataBar>
          </x14:cfRule>
          <xm:sqref>Z282</xm:sqref>
        </x14:conditionalFormatting>
        <x14:conditionalFormatting xmlns:xm="http://schemas.microsoft.com/office/excel/2006/main">
          <x14:cfRule type="dataBar" id="{96863FD4-E7AF-4FD8-9064-646E1210E4A8}">
            <x14:dataBar minLength="0" maxLength="100" border="1" negativeBarBorderColorSameAsPositive="0">
              <x14:cfvo type="autoMin"/>
              <x14:cfvo type="autoMax"/>
              <x14:borderColor rgb="FF63C384"/>
              <x14:negativeFillColor rgb="FFFF0000"/>
              <x14:negativeBorderColor rgb="FFFF0000"/>
              <x14:axisColor rgb="FF000000"/>
            </x14:dataBar>
          </x14:cfRule>
          <xm:sqref>Z282</xm:sqref>
        </x14:conditionalFormatting>
        <x14:conditionalFormatting xmlns:xm="http://schemas.microsoft.com/office/excel/2006/main">
          <x14:cfRule type="dataBar" id="{37724857-99FB-43C1-95B2-F1303673F821}">
            <x14:dataBar minLength="0" maxLength="100" border="1" negativeBarBorderColorSameAsPositive="0">
              <x14:cfvo type="autoMin"/>
              <x14:cfvo type="autoMax"/>
              <x14:borderColor rgb="FF63C384"/>
              <x14:negativeFillColor rgb="FFFF0000"/>
              <x14:negativeBorderColor rgb="FFFF0000"/>
              <x14:axisColor rgb="FF000000"/>
            </x14:dataBar>
          </x14:cfRule>
          <xm:sqref>Z285</xm:sqref>
        </x14:conditionalFormatting>
        <x14:conditionalFormatting xmlns:xm="http://schemas.microsoft.com/office/excel/2006/main">
          <x14:cfRule type="dataBar" id="{81287387-DADB-4E08-B39B-2F87AEF1F45A}">
            <x14:dataBar minLength="0" maxLength="100" border="1" negativeBarBorderColorSameAsPositive="0">
              <x14:cfvo type="autoMin"/>
              <x14:cfvo type="autoMax"/>
              <x14:borderColor rgb="FF63C384"/>
              <x14:negativeFillColor rgb="FFFF0000"/>
              <x14:negativeBorderColor rgb="FFFF0000"/>
              <x14:axisColor rgb="FF000000"/>
            </x14:dataBar>
          </x14:cfRule>
          <xm:sqref>Z285</xm:sqref>
        </x14:conditionalFormatting>
        <x14:conditionalFormatting xmlns:xm="http://schemas.microsoft.com/office/excel/2006/main">
          <x14:cfRule type="dataBar" id="{BF7DB1DE-2AF2-4FE2-BE31-4441439AD1F3}">
            <x14:dataBar minLength="0" maxLength="100" border="1" negativeBarBorderColorSameAsPositive="0">
              <x14:cfvo type="autoMin"/>
              <x14:cfvo type="autoMax"/>
              <x14:borderColor rgb="FF63C384"/>
              <x14:negativeFillColor rgb="FFFF0000"/>
              <x14:negativeBorderColor rgb="FFFF0000"/>
              <x14:axisColor rgb="FF000000"/>
            </x14:dataBar>
          </x14:cfRule>
          <xm:sqref>Z289</xm:sqref>
        </x14:conditionalFormatting>
        <x14:conditionalFormatting xmlns:xm="http://schemas.microsoft.com/office/excel/2006/main">
          <x14:cfRule type="dataBar" id="{D0DCB7AB-6819-4D23-BC08-70DB3D9DBC0D}">
            <x14:dataBar minLength="0" maxLength="100" border="1" negativeBarBorderColorSameAsPositive="0">
              <x14:cfvo type="autoMin"/>
              <x14:cfvo type="autoMax"/>
              <x14:borderColor rgb="FF63C384"/>
              <x14:negativeFillColor rgb="FFFF0000"/>
              <x14:negativeBorderColor rgb="FFFF0000"/>
              <x14:axisColor rgb="FF000000"/>
            </x14:dataBar>
          </x14:cfRule>
          <xm:sqref>Z289</xm:sqref>
        </x14:conditionalFormatting>
        <x14:conditionalFormatting xmlns:xm="http://schemas.microsoft.com/office/excel/2006/main">
          <x14:cfRule type="dataBar" id="{4E952656-D63F-4E06-B268-2F5787D7DCED}">
            <x14:dataBar minLength="0" maxLength="100" border="1" negativeBarBorderColorSameAsPositive="0">
              <x14:cfvo type="autoMin"/>
              <x14:cfvo type="autoMax"/>
              <x14:borderColor rgb="FF63C384"/>
              <x14:negativeFillColor rgb="FFFF0000"/>
              <x14:negativeBorderColor rgb="FFFF0000"/>
              <x14:axisColor rgb="FF000000"/>
            </x14:dataBar>
          </x14:cfRule>
          <xm:sqref>Z290</xm:sqref>
        </x14:conditionalFormatting>
        <x14:conditionalFormatting xmlns:xm="http://schemas.microsoft.com/office/excel/2006/main">
          <x14:cfRule type="dataBar" id="{8D608B22-6A78-40FE-88CC-F05E5BCB6A46}">
            <x14:dataBar minLength="0" maxLength="100" border="1" negativeBarBorderColorSameAsPositive="0">
              <x14:cfvo type="autoMin"/>
              <x14:cfvo type="autoMax"/>
              <x14:borderColor rgb="FF63C384"/>
              <x14:negativeFillColor rgb="FFFF0000"/>
              <x14:negativeBorderColor rgb="FFFF0000"/>
              <x14:axisColor rgb="FF000000"/>
            </x14:dataBar>
          </x14:cfRule>
          <xm:sqref>Z290</xm:sqref>
        </x14:conditionalFormatting>
        <x14:conditionalFormatting xmlns:xm="http://schemas.microsoft.com/office/excel/2006/main">
          <x14:cfRule type="dataBar" id="{3EED23B2-8893-44C2-810D-C6FA5EAD605B}">
            <x14:dataBar minLength="0" maxLength="100" border="1" negativeBarBorderColorSameAsPositive="0">
              <x14:cfvo type="autoMin"/>
              <x14:cfvo type="autoMax"/>
              <x14:borderColor rgb="FF63C384"/>
              <x14:negativeFillColor rgb="FFFF0000"/>
              <x14:negativeBorderColor rgb="FFFF0000"/>
              <x14:axisColor rgb="FF000000"/>
            </x14:dataBar>
          </x14:cfRule>
          <xm:sqref>Z292</xm:sqref>
        </x14:conditionalFormatting>
        <x14:conditionalFormatting xmlns:xm="http://schemas.microsoft.com/office/excel/2006/main">
          <x14:cfRule type="dataBar" id="{FF575DAF-6BC2-4915-A2A5-29E2F78F8FD8}">
            <x14:dataBar minLength="0" maxLength="100" border="1" negativeBarBorderColorSameAsPositive="0">
              <x14:cfvo type="autoMin"/>
              <x14:cfvo type="autoMax"/>
              <x14:borderColor rgb="FF63C384"/>
              <x14:negativeFillColor rgb="FFFF0000"/>
              <x14:negativeBorderColor rgb="FFFF0000"/>
              <x14:axisColor rgb="FF000000"/>
            </x14:dataBar>
          </x14:cfRule>
          <xm:sqref>Z292</xm:sqref>
        </x14:conditionalFormatting>
        <x14:conditionalFormatting xmlns:xm="http://schemas.microsoft.com/office/excel/2006/main">
          <x14:cfRule type="dataBar" id="{D91CB3E8-6363-447A-8569-4AB4C7F85E55}">
            <x14:dataBar minLength="0" maxLength="100" border="1" negativeBarBorderColorSameAsPositive="0">
              <x14:cfvo type="autoMin"/>
              <x14:cfvo type="autoMax"/>
              <x14:borderColor rgb="FF63C384"/>
              <x14:negativeFillColor rgb="FFFF0000"/>
              <x14:negativeBorderColor rgb="FFFF0000"/>
              <x14:axisColor rgb="FF000000"/>
            </x14:dataBar>
          </x14:cfRule>
          <xm:sqref>Z293</xm:sqref>
        </x14:conditionalFormatting>
        <x14:conditionalFormatting xmlns:xm="http://schemas.microsoft.com/office/excel/2006/main">
          <x14:cfRule type="dataBar" id="{928462F9-082B-46D2-AE0F-7B4DAF8002D9}">
            <x14:dataBar minLength="0" maxLength="100" border="1" negativeBarBorderColorSameAsPositive="0">
              <x14:cfvo type="autoMin"/>
              <x14:cfvo type="autoMax"/>
              <x14:borderColor rgb="FF63C384"/>
              <x14:negativeFillColor rgb="FFFF0000"/>
              <x14:negativeBorderColor rgb="FFFF0000"/>
              <x14:axisColor rgb="FF000000"/>
            </x14:dataBar>
          </x14:cfRule>
          <xm:sqref>Z293</xm:sqref>
        </x14:conditionalFormatting>
        <x14:conditionalFormatting xmlns:xm="http://schemas.microsoft.com/office/excel/2006/main">
          <x14:cfRule type="dataBar" id="{F63BB983-C0F8-48B4-B7A6-9E42D74D8263}">
            <x14:dataBar minLength="0" maxLength="100" border="1" negativeBarBorderColorSameAsPositive="0">
              <x14:cfvo type="autoMin"/>
              <x14:cfvo type="autoMax"/>
              <x14:borderColor rgb="FF63C384"/>
              <x14:negativeFillColor rgb="FFFF0000"/>
              <x14:negativeBorderColor rgb="FFFF0000"/>
              <x14:axisColor rgb="FF000000"/>
            </x14:dataBar>
          </x14:cfRule>
          <xm:sqref>Z295</xm:sqref>
        </x14:conditionalFormatting>
        <x14:conditionalFormatting xmlns:xm="http://schemas.microsoft.com/office/excel/2006/main">
          <x14:cfRule type="dataBar" id="{5D47A8F4-E487-46F4-A743-5BFE701A9E05}">
            <x14:dataBar minLength="0" maxLength="100" border="1" negativeBarBorderColorSameAsPositive="0">
              <x14:cfvo type="autoMin"/>
              <x14:cfvo type="autoMax"/>
              <x14:borderColor rgb="FF63C384"/>
              <x14:negativeFillColor rgb="FFFF0000"/>
              <x14:negativeBorderColor rgb="FFFF0000"/>
              <x14:axisColor rgb="FF000000"/>
            </x14:dataBar>
          </x14:cfRule>
          <xm:sqref>Z295</xm:sqref>
        </x14:conditionalFormatting>
        <x14:conditionalFormatting xmlns:xm="http://schemas.microsoft.com/office/excel/2006/main">
          <x14:cfRule type="dataBar" id="{4CE10B59-D8CD-48ED-8F40-F666718C947E}">
            <x14:dataBar minLength="0" maxLength="100" border="1" negativeBarBorderColorSameAsPositive="0">
              <x14:cfvo type="autoMin"/>
              <x14:cfvo type="autoMax"/>
              <x14:borderColor rgb="FF63C384"/>
              <x14:negativeFillColor rgb="FFFF0000"/>
              <x14:negativeBorderColor rgb="FFFF0000"/>
              <x14:axisColor rgb="FF000000"/>
            </x14:dataBar>
          </x14:cfRule>
          <xm:sqref>Z296</xm:sqref>
        </x14:conditionalFormatting>
        <x14:conditionalFormatting xmlns:xm="http://schemas.microsoft.com/office/excel/2006/main">
          <x14:cfRule type="dataBar" id="{DFDC5F09-E99E-42C7-A409-7F37D8DA7640}">
            <x14:dataBar minLength="0" maxLength="100" border="1" negativeBarBorderColorSameAsPositive="0">
              <x14:cfvo type="autoMin"/>
              <x14:cfvo type="autoMax"/>
              <x14:borderColor rgb="FF63C384"/>
              <x14:negativeFillColor rgb="FFFF0000"/>
              <x14:negativeBorderColor rgb="FFFF0000"/>
              <x14:axisColor rgb="FF000000"/>
            </x14:dataBar>
          </x14:cfRule>
          <xm:sqref>Z296</xm:sqref>
        </x14:conditionalFormatting>
        <x14:conditionalFormatting xmlns:xm="http://schemas.microsoft.com/office/excel/2006/main">
          <x14:cfRule type="dataBar" id="{3706BAFB-1AAE-4FF4-9DF4-25D840599E41}">
            <x14:dataBar minLength="0" maxLength="100" border="1" negativeBarBorderColorSameAsPositive="0">
              <x14:cfvo type="autoMin"/>
              <x14:cfvo type="autoMax"/>
              <x14:borderColor rgb="FF63C384"/>
              <x14:negativeFillColor rgb="FFFF0000"/>
              <x14:negativeBorderColor rgb="FFFF0000"/>
              <x14:axisColor rgb="FF000000"/>
            </x14:dataBar>
          </x14:cfRule>
          <xm:sqref>Z297</xm:sqref>
        </x14:conditionalFormatting>
        <x14:conditionalFormatting xmlns:xm="http://schemas.microsoft.com/office/excel/2006/main">
          <x14:cfRule type="dataBar" id="{E8CF7D18-9840-403E-879B-60640AADA695}">
            <x14:dataBar minLength="0" maxLength="100" border="1" negativeBarBorderColorSameAsPositive="0">
              <x14:cfvo type="autoMin"/>
              <x14:cfvo type="autoMax"/>
              <x14:borderColor rgb="FF63C384"/>
              <x14:negativeFillColor rgb="FFFF0000"/>
              <x14:negativeBorderColor rgb="FFFF0000"/>
              <x14:axisColor rgb="FF000000"/>
            </x14:dataBar>
          </x14:cfRule>
          <xm:sqref>Z297</xm:sqref>
        </x14:conditionalFormatting>
        <x14:conditionalFormatting xmlns:xm="http://schemas.microsoft.com/office/excel/2006/main">
          <x14:cfRule type="dataBar" id="{29E37125-331C-4DD8-89B5-188C89E06F08}">
            <x14:dataBar minLength="0" maxLength="100" border="1" negativeBarBorderColorSameAsPositive="0">
              <x14:cfvo type="autoMin"/>
              <x14:cfvo type="autoMax"/>
              <x14:borderColor rgb="FF63C384"/>
              <x14:negativeFillColor rgb="FFFF0000"/>
              <x14:negativeBorderColor rgb="FFFF0000"/>
              <x14:axisColor rgb="FF000000"/>
            </x14:dataBar>
          </x14:cfRule>
          <xm:sqref>Z298</xm:sqref>
        </x14:conditionalFormatting>
        <x14:conditionalFormatting xmlns:xm="http://schemas.microsoft.com/office/excel/2006/main">
          <x14:cfRule type="dataBar" id="{061FF8DB-72A0-4CBE-8E34-3C6BF6325296}">
            <x14:dataBar minLength="0" maxLength="100" border="1" negativeBarBorderColorSameAsPositive="0">
              <x14:cfvo type="autoMin"/>
              <x14:cfvo type="autoMax"/>
              <x14:borderColor rgb="FF63C384"/>
              <x14:negativeFillColor rgb="FFFF0000"/>
              <x14:negativeBorderColor rgb="FFFF0000"/>
              <x14:axisColor rgb="FF000000"/>
            </x14:dataBar>
          </x14:cfRule>
          <xm:sqref>Z298</xm:sqref>
        </x14:conditionalFormatting>
        <x14:conditionalFormatting xmlns:xm="http://schemas.microsoft.com/office/excel/2006/main">
          <x14:cfRule type="dataBar" id="{94EA5C51-B3F4-4FFB-8B96-CB610A34D8D8}">
            <x14:dataBar minLength="0" maxLength="100" border="1" negativeBarBorderColorSameAsPositive="0">
              <x14:cfvo type="autoMin"/>
              <x14:cfvo type="autoMax"/>
              <x14:borderColor rgb="FF63C384"/>
              <x14:negativeFillColor rgb="FFFF0000"/>
              <x14:negativeBorderColor rgb="FFFF0000"/>
              <x14:axisColor rgb="FF000000"/>
            </x14:dataBar>
          </x14:cfRule>
          <xm:sqref>Z299</xm:sqref>
        </x14:conditionalFormatting>
        <x14:conditionalFormatting xmlns:xm="http://schemas.microsoft.com/office/excel/2006/main">
          <x14:cfRule type="dataBar" id="{33AAF42B-0E13-4B5D-9D44-E69BC278D136}">
            <x14:dataBar minLength="0" maxLength="100" border="1" negativeBarBorderColorSameAsPositive="0">
              <x14:cfvo type="autoMin"/>
              <x14:cfvo type="autoMax"/>
              <x14:borderColor rgb="FF63C384"/>
              <x14:negativeFillColor rgb="FFFF0000"/>
              <x14:negativeBorderColor rgb="FFFF0000"/>
              <x14:axisColor rgb="FF000000"/>
            </x14:dataBar>
          </x14:cfRule>
          <xm:sqref>Z299</xm:sqref>
        </x14:conditionalFormatting>
        <x14:conditionalFormatting xmlns:xm="http://schemas.microsoft.com/office/excel/2006/main">
          <x14:cfRule type="dataBar" id="{0F99E002-1C3E-459A-B59C-B3ABAF3E5F72}">
            <x14:dataBar minLength="0" maxLength="100" border="1" negativeBarBorderColorSameAsPositive="0">
              <x14:cfvo type="autoMin"/>
              <x14:cfvo type="autoMax"/>
              <x14:borderColor rgb="FF63C384"/>
              <x14:negativeFillColor rgb="FFFF0000"/>
              <x14:negativeBorderColor rgb="FFFF0000"/>
              <x14:axisColor rgb="FF000000"/>
            </x14:dataBar>
          </x14:cfRule>
          <xm:sqref>Z300</xm:sqref>
        </x14:conditionalFormatting>
        <x14:conditionalFormatting xmlns:xm="http://schemas.microsoft.com/office/excel/2006/main">
          <x14:cfRule type="dataBar" id="{00A95DE6-DC87-4A35-AE07-19873C136825}">
            <x14:dataBar minLength="0" maxLength="100" border="1" negativeBarBorderColorSameAsPositive="0">
              <x14:cfvo type="autoMin"/>
              <x14:cfvo type="autoMax"/>
              <x14:borderColor rgb="FF63C384"/>
              <x14:negativeFillColor rgb="FFFF0000"/>
              <x14:negativeBorderColor rgb="FFFF0000"/>
              <x14:axisColor rgb="FF000000"/>
            </x14:dataBar>
          </x14:cfRule>
          <xm:sqref>Z273</xm:sqref>
        </x14:conditionalFormatting>
        <x14:conditionalFormatting xmlns:xm="http://schemas.microsoft.com/office/excel/2006/main">
          <x14:cfRule type="dataBar" id="{DF90F161-7B56-4C35-BC54-B38A36D38A78}">
            <x14:dataBar minLength="0" maxLength="100" border="1" negativeBarBorderColorSameAsPositive="0">
              <x14:cfvo type="autoMin"/>
              <x14:cfvo type="autoMax"/>
              <x14:borderColor rgb="FF63C384"/>
              <x14:negativeFillColor rgb="FFFF0000"/>
              <x14:negativeBorderColor rgb="FFFF0000"/>
              <x14:axisColor rgb="FF000000"/>
            </x14:dataBar>
          </x14:cfRule>
          <xm:sqref>Z273</xm:sqref>
        </x14:conditionalFormatting>
        <x14:conditionalFormatting xmlns:xm="http://schemas.microsoft.com/office/excel/2006/main">
          <x14:cfRule type="dataBar" id="{1D0BB724-BF3D-443A-948B-BF591456C945}">
            <x14:dataBar minLength="0" maxLength="100" border="1" negativeBarBorderColorSameAsPositive="0">
              <x14:cfvo type="autoMin"/>
              <x14:cfvo type="autoMax"/>
              <x14:borderColor rgb="FF63C384"/>
              <x14:negativeFillColor rgb="FFFF0000"/>
              <x14:negativeBorderColor rgb="FFFF0000"/>
              <x14:axisColor rgb="FF000000"/>
            </x14:dataBar>
          </x14:cfRule>
          <xm:sqref>Z274</xm:sqref>
        </x14:conditionalFormatting>
        <x14:conditionalFormatting xmlns:xm="http://schemas.microsoft.com/office/excel/2006/main">
          <x14:cfRule type="dataBar" id="{1D967E8C-61E2-44D3-9403-D4B1B5FA8E8E}">
            <x14:dataBar minLength="0" maxLength="100" border="1" negativeBarBorderColorSameAsPositive="0">
              <x14:cfvo type="autoMin"/>
              <x14:cfvo type="autoMax"/>
              <x14:borderColor rgb="FF63C384"/>
              <x14:negativeFillColor rgb="FFFF0000"/>
              <x14:negativeBorderColor rgb="FFFF0000"/>
              <x14:axisColor rgb="FF000000"/>
            </x14:dataBar>
          </x14:cfRule>
          <xm:sqref>Z274</xm:sqref>
        </x14:conditionalFormatting>
        <x14:conditionalFormatting xmlns:xm="http://schemas.microsoft.com/office/excel/2006/main">
          <x14:cfRule type="dataBar" id="{55ADD545-0B3C-4CC9-B65A-73F2B4843E19}">
            <x14:dataBar minLength="0" maxLength="100" border="1" negativeBarBorderColorSameAsPositive="0">
              <x14:cfvo type="autoMin"/>
              <x14:cfvo type="autoMax"/>
              <x14:borderColor rgb="FF63C384"/>
              <x14:negativeFillColor rgb="FFFF0000"/>
              <x14:negativeBorderColor rgb="FFFF0000"/>
              <x14:axisColor rgb="FF000000"/>
            </x14:dataBar>
          </x14:cfRule>
          <xm:sqref>Z279</xm:sqref>
        </x14:conditionalFormatting>
        <x14:conditionalFormatting xmlns:xm="http://schemas.microsoft.com/office/excel/2006/main">
          <x14:cfRule type="dataBar" id="{358696B0-2855-4A1E-A054-21EBABD08D19}">
            <x14:dataBar minLength="0" maxLength="100" border="1" negativeBarBorderColorSameAsPositive="0">
              <x14:cfvo type="autoMin"/>
              <x14:cfvo type="autoMax"/>
              <x14:borderColor rgb="FF63C384"/>
              <x14:negativeFillColor rgb="FFFF0000"/>
              <x14:negativeBorderColor rgb="FFFF0000"/>
              <x14:axisColor rgb="FF000000"/>
            </x14:dataBar>
          </x14:cfRule>
          <xm:sqref>Z279</xm:sqref>
        </x14:conditionalFormatting>
        <x14:conditionalFormatting xmlns:xm="http://schemas.microsoft.com/office/excel/2006/main">
          <x14:cfRule type="dataBar" id="{895C407B-6EFF-42ED-B186-28BF7FECB3EB}">
            <x14:dataBar minLength="0" maxLength="100" border="1" negativeBarBorderColorSameAsPositive="0">
              <x14:cfvo type="autoMin"/>
              <x14:cfvo type="autoMax"/>
              <x14:borderColor rgb="FF63C384"/>
              <x14:negativeFillColor rgb="FFFF0000"/>
              <x14:negativeBorderColor rgb="FFFF0000"/>
              <x14:axisColor rgb="FF000000"/>
            </x14:dataBar>
          </x14:cfRule>
          <xm:sqref>Z284</xm:sqref>
        </x14:conditionalFormatting>
        <x14:conditionalFormatting xmlns:xm="http://schemas.microsoft.com/office/excel/2006/main">
          <x14:cfRule type="dataBar" id="{8199B7E7-344B-44F0-B2FC-8C74AEFAF44B}">
            <x14:dataBar minLength="0" maxLength="100" border="1" negativeBarBorderColorSameAsPositive="0">
              <x14:cfvo type="autoMin"/>
              <x14:cfvo type="autoMax"/>
              <x14:borderColor rgb="FF63C384"/>
              <x14:negativeFillColor rgb="FFFF0000"/>
              <x14:negativeBorderColor rgb="FFFF0000"/>
              <x14:axisColor rgb="FF000000"/>
            </x14:dataBar>
          </x14:cfRule>
          <xm:sqref>Z284</xm:sqref>
        </x14:conditionalFormatting>
        <x14:conditionalFormatting xmlns:xm="http://schemas.microsoft.com/office/excel/2006/main">
          <x14:cfRule type="dataBar" id="{63506121-5330-4444-B5F2-AF3427CB41EE}">
            <x14:dataBar minLength="0" maxLength="100" border="1" negativeBarBorderColorSameAsPositive="0">
              <x14:cfvo type="autoMin"/>
              <x14:cfvo type="autoMax"/>
              <x14:borderColor rgb="FF63C384"/>
              <x14:negativeFillColor rgb="FFFF0000"/>
              <x14:negativeBorderColor rgb="FFFF0000"/>
              <x14:axisColor rgb="FF000000"/>
            </x14:dataBar>
          </x14:cfRule>
          <xm:sqref>Z286</xm:sqref>
        </x14:conditionalFormatting>
        <x14:conditionalFormatting xmlns:xm="http://schemas.microsoft.com/office/excel/2006/main">
          <x14:cfRule type="dataBar" id="{BE6E1DED-B618-450B-889A-B10AFD1BA780}">
            <x14:dataBar minLength="0" maxLength="100" border="1" negativeBarBorderColorSameAsPositive="0">
              <x14:cfvo type="autoMin"/>
              <x14:cfvo type="autoMax"/>
              <x14:borderColor rgb="FF63C384"/>
              <x14:negativeFillColor rgb="FFFF0000"/>
              <x14:negativeBorderColor rgb="FFFF0000"/>
              <x14:axisColor rgb="FF000000"/>
            </x14:dataBar>
          </x14:cfRule>
          <xm:sqref>Z286</xm:sqref>
        </x14:conditionalFormatting>
        <x14:conditionalFormatting xmlns:xm="http://schemas.microsoft.com/office/excel/2006/main">
          <x14:cfRule type="dataBar" id="{5B5041E6-7EC1-4D05-BE62-93E3BEA62F27}">
            <x14:dataBar minLength="0" maxLength="100" border="1" negativeBarBorderColorSameAsPositive="0">
              <x14:cfvo type="autoMin"/>
              <x14:cfvo type="autoMax"/>
              <x14:borderColor rgb="FF63C384"/>
              <x14:negativeFillColor rgb="FFFF0000"/>
              <x14:negativeBorderColor rgb="FFFF0000"/>
              <x14:axisColor rgb="FF000000"/>
            </x14:dataBar>
          </x14:cfRule>
          <xm:sqref>Z287</xm:sqref>
        </x14:conditionalFormatting>
        <x14:conditionalFormatting xmlns:xm="http://schemas.microsoft.com/office/excel/2006/main">
          <x14:cfRule type="dataBar" id="{101C8A35-05A5-4B53-A7E8-4DD438560DCA}">
            <x14:dataBar minLength="0" maxLength="100" border="1" negativeBarBorderColorSameAsPositive="0">
              <x14:cfvo type="autoMin"/>
              <x14:cfvo type="autoMax"/>
              <x14:borderColor rgb="FF63C384"/>
              <x14:negativeFillColor rgb="FFFF0000"/>
              <x14:negativeBorderColor rgb="FFFF0000"/>
              <x14:axisColor rgb="FF000000"/>
            </x14:dataBar>
          </x14:cfRule>
          <xm:sqref>Z287</xm:sqref>
        </x14:conditionalFormatting>
        <x14:conditionalFormatting xmlns:xm="http://schemas.microsoft.com/office/excel/2006/main">
          <x14:cfRule type="dataBar" id="{914B2383-9296-431C-912D-6121E728DBA4}">
            <x14:dataBar minLength="0" maxLength="100" border="1" negativeBarBorderColorSameAsPositive="0">
              <x14:cfvo type="autoMin"/>
              <x14:cfvo type="autoMax"/>
              <x14:borderColor rgb="FF63C384"/>
              <x14:negativeFillColor rgb="FFFF0000"/>
              <x14:negativeBorderColor rgb="FFFF0000"/>
              <x14:axisColor rgb="FF000000"/>
            </x14:dataBar>
          </x14:cfRule>
          <xm:sqref>Z288</xm:sqref>
        </x14:conditionalFormatting>
        <x14:conditionalFormatting xmlns:xm="http://schemas.microsoft.com/office/excel/2006/main">
          <x14:cfRule type="dataBar" id="{73B8FE2E-15DA-4CC3-9A23-156972C633E8}">
            <x14:dataBar minLength="0" maxLength="100" border="1" negativeBarBorderColorSameAsPositive="0">
              <x14:cfvo type="autoMin"/>
              <x14:cfvo type="autoMax"/>
              <x14:borderColor rgb="FF63C384"/>
              <x14:negativeFillColor rgb="FFFF0000"/>
              <x14:negativeBorderColor rgb="FFFF0000"/>
              <x14:axisColor rgb="FF000000"/>
            </x14:dataBar>
          </x14:cfRule>
          <xm:sqref>Z288</xm:sqref>
        </x14:conditionalFormatting>
        <x14:conditionalFormatting xmlns:xm="http://schemas.microsoft.com/office/excel/2006/main">
          <x14:cfRule type="dataBar" id="{4C41D5F0-46B7-4407-8537-180C7760D4CF}">
            <x14:dataBar minLength="0" maxLength="100" border="1" negativeBarBorderColorSameAsPositive="0">
              <x14:cfvo type="autoMin"/>
              <x14:cfvo type="autoMax"/>
              <x14:borderColor rgb="FF63C384"/>
              <x14:negativeFillColor rgb="FFFF0000"/>
              <x14:negativeBorderColor rgb="FFFF0000"/>
              <x14:axisColor rgb="FF000000"/>
            </x14:dataBar>
          </x14:cfRule>
          <xm:sqref>Z291</xm:sqref>
        </x14:conditionalFormatting>
        <x14:conditionalFormatting xmlns:xm="http://schemas.microsoft.com/office/excel/2006/main">
          <x14:cfRule type="dataBar" id="{906D3A96-5AC9-4F73-8557-0C9094AE8025}">
            <x14:dataBar minLength="0" maxLength="100" border="1" negativeBarBorderColorSameAsPositive="0">
              <x14:cfvo type="autoMin"/>
              <x14:cfvo type="autoMax"/>
              <x14:borderColor rgb="FF63C384"/>
              <x14:negativeFillColor rgb="FFFF0000"/>
              <x14:negativeBorderColor rgb="FFFF0000"/>
              <x14:axisColor rgb="FF000000"/>
            </x14:dataBar>
          </x14:cfRule>
          <xm:sqref>Z291</xm:sqref>
        </x14:conditionalFormatting>
        <x14:conditionalFormatting xmlns:xm="http://schemas.microsoft.com/office/excel/2006/main">
          <x14:cfRule type="dataBar" id="{43B54A9F-FE03-4018-8503-89ACCCB2EF43}">
            <x14:dataBar minLength="0" maxLength="100" border="1" negativeBarBorderColorSameAsPositive="0">
              <x14:cfvo type="autoMin"/>
              <x14:cfvo type="autoMax"/>
              <x14:borderColor rgb="FF63C384"/>
              <x14:negativeFillColor rgb="FFFF0000"/>
              <x14:negativeBorderColor rgb="FFFF0000"/>
              <x14:axisColor rgb="FF000000"/>
            </x14:dataBar>
          </x14:cfRule>
          <xm:sqref>Z294</xm:sqref>
        </x14:conditionalFormatting>
        <x14:conditionalFormatting xmlns:xm="http://schemas.microsoft.com/office/excel/2006/main">
          <x14:cfRule type="dataBar" id="{5DA3D9EB-E58C-4E98-B172-33B7D205A20C}">
            <x14:dataBar minLength="0" maxLength="100" border="1" negativeBarBorderColorSameAsPositive="0">
              <x14:cfvo type="autoMin"/>
              <x14:cfvo type="autoMax"/>
              <x14:borderColor rgb="FF63C384"/>
              <x14:negativeFillColor rgb="FFFF0000"/>
              <x14:negativeBorderColor rgb="FFFF0000"/>
              <x14:axisColor rgb="FF000000"/>
            </x14:dataBar>
          </x14:cfRule>
          <xm:sqref>Z294</xm:sqref>
        </x14:conditionalFormatting>
        <x14:conditionalFormatting xmlns:xm="http://schemas.microsoft.com/office/excel/2006/main">
          <x14:cfRule type="dataBar" id="{582AB053-017C-47BA-ACC0-0275127F8305}">
            <x14:dataBar minLength="0" maxLength="100" border="1" negativeBarBorderColorSameAsPositive="0">
              <x14:cfvo type="autoMin"/>
              <x14:cfvo type="autoMax"/>
              <x14:borderColor rgb="FF63C384"/>
              <x14:negativeFillColor rgb="FFFF0000"/>
              <x14:negativeBorderColor rgb="FFFF0000"/>
              <x14:axisColor rgb="FF000000"/>
            </x14:dataBar>
          </x14:cfRule>
          <xm:sqref>Z303</xm:sqref>
        </x14:conditionalFormatting>
        <x14:conditionalFormatting xmlns:xm="http://schemas.microsoft.com/office/excel/2006/main">
          <x14:cfRule type="dataBar" id="{228DAA0C-23BB-4CB7-A21C-72CC8228EE08}">
            <x14:dataBar minLength="0" maxLength="100" border="1" negativeBarBorderColorSameAsPositive="0">
              <x14:cfvo type="autoMin"/>
              <x14:cfvo type="autoMax"/>
              <x14:borderColor rgb="FF63C384"/>
              <x14:negativeFillColor rgb="FFFF0000"/>
              <x14:negativeBorderColor rgb="FFFF0000"/>
              <x14:axisColor rgb="FF000000"/>
            </x14:dataBar>
          </x14:cfRule>
          <xm:sqref>Z303</xm:sqref>
        </x14:conditionalFormatting>
        <x14:conditionalFormatting xmlns:xm="http://schemas.microsoft.com/office/excel/2006/main">
          <x14:cfRule type="dataBar" id="{4921EF7C-12D5-4983-8C2D-E4FC62D6C20A}">
            <x14:dataBar minLength="0" maxLength="100" border="1" negativeBarBorderColorSameAsPositive="0">
              <x14:cfvo type="autoMin"/>
              <x14:cfvo type="autoMax"/>
              <x14:borderColor rgb="FF63C384"/>
              <x14:negativeFillColor rgb="FFFF0000"/>
              <x14:negativeBorderColor rgb="FFFF0000"/>
              <x14:axisColor rgb="FF000000"/>
            </x14:dataBar>
          </x14:cfRule>
          <xm:sqref>Z304</xm:sqref>
        </x14:conditionalFormatting>
        <x14:conditionalFormatting xmlns:xm="http://schemas.microsoft.com/office/excel/2006/main">
          <x14:cfRule type="dataBar" id="{E495F917-83C4-4B52-A964-F287DBA1FCFE}">
            <x14:dataBar minLength="0" maxLength="100" border="1" negativeBarBorderColorSameAsPositive="0">
              <x14:cfvo type="autoMin"/>
              <x14:cfvo type="autoMax"/>
              <x14:borderColor rgb="FF63C384"/>
              <x14:negativeFillColor rgb="FFFF0000"/>
              <x14:negativeBorderColor rgb="FFFF0000"/>
              <x14:axisColor rgb="FF000000"/>
            </x14:dataBar>
          </x14:cfRule>
          <xm:sqref>Z304</xm:sqref>
        </x14:conditionalFormatting>
        <x14:conditionalFormatting xmlns:xm="http://schemas.microsoft.com/office/excel/2006/main">
          <x14:cfRule type="dataBar" id="{4CD54861-03D9-48D4-863B-4EF7770181A5}">
            <x14:dataBar minLength="0" maxLength="100" border="1" negativeBarBorderColorSameAsPositive="0">
              <x14:cfvo type="autoMin"/>
              <x14:cfvo type="autoMax"/>
              <x14:borderColor rgb="FF63C384"/>
              <x14:negativeFillColor rgb="FFFF0000"/>
              <x14:negativeBorderColor rgb="FFFF0000"/>
              <x14:axisColor rgb="FF000000"/>
            </x14:dataBar>
          </x14:cfRule>
          <xm:sqref>Z301</xm:sqref>
        </x14:conditionalFormatting>
        <x14:conditionalFormatting xmlns:xm="http://schemas.microsoft.com/office/excel/2006/main">
          <x14:cfRule type="dataBar" id="{A74A9E47-BF07-459D-B001-EB0D273374D1}">
            <x14:dataBar minLength="0" maxLength="100" border="1" negativeBarBorderColorSameAsPositive="0">
              <x14:cfvo type="autoMin"/>
              <x14:cfvo type="autoMax"/>
              <x14:borderColor rgb="FF63C384"/>
              <x14:negativeFillColor rgb="FFFF0000"/>
              <x14:negativeBorderColor rgb="FFFF0000"/>
              <x14:axisColor rgb="FF000000"/>
            </x14:dataBar>
          </x14:cfRule>
          <xm:sqref>Z301</xm:sqref>
        </x14:conditionalFormatting>
        <x14:conditionalFormatting xmlns:xm="http://schemas.microsoft.com/office/excel/2006/main">
          <x14:cfRule type="dataBar" id="{A8CB4B93-BE8E-42D2-AA77-5B1B690D474F}">
            <x14:dataBar minLength="0" maxLength="100" border="1" negativeBarBorderColorSameAsPositive="0">
              <x14:cfvo type="autoMin"/>
              <x14:cfvo type="autoMax"/>
              <x14:borderColor rgb="FF63C384"/>
              <x14:negativeFillColor rgb="FFFF0000"/>
              <x14:negativeBorderColor rgb="FFFF0000"/>
              <x14:axisColor rgb="FF000000"/>
            </x14:dataBar>
          </x14:cfRule>
          <xm:sqref>Z302</xm:sqref>
        </x14:conditionalFormatting>
        <x14:conditionalFormatting xmlns:xm="http://schemas.microsoft.com/office/excel/2006/main">
          <x14:cfRule type="dataBar" id="{F083A5F6-969C-4E2D-A975-B913A98EE090}">
            <x14:dataBar minLength="0" maxLength="100" border="1" negativeBarBorderColorSameAsPositive="0">
              <x14:cfvo type="autoMin"/>
              <x14:cfvo type="autoMax"/>
              <x14:borderColor rgb="FF63C384"/>
              <x14:negativeFillColor rgb="FFFF0000"/>
              <x14:negativeBorderColor rgb="FFFF0000"/>
              <x14:axisColor rgb="FF000000"/>
            </x14:dataBar>
          </x14:cfRule>
          <xm:sqref>Z302</xm:sqref>
        </x14:conditionalFormatting>
        <x14:conditionalFormatting xmlns:xm="http://schemas.microsoft.com/office/excel/2006/main">
          <x14:cfRule type="dataBar" id="{080B09BF-7FB6-4D50-A79B-3B0040407203}">
            <x14:dataBar minLength="0" maxLength="100" border="1" negativeBarBorderColorSameAsPositive="0">
              <x14:cfvo type="autoMin"/>
              <x14:cfvo type="autoMax"/>
              <x14:borderColor rgb="FF63C384"/>
              <x14:negativeFillColor rgb="FFFF0000"/>
              <x14:negativeBorderColor rgb="FFFF0000"/>
              <x14:axisColor rgb="FF000000"/>
            </x14:dataBar>
          </x14:cfRule>
          <xm:sqref>Z305</xm:sqref>
        </x14:conditionalFormatting>
        <x14:conditionalFormatting xmlns:xm="http://schemas.microsoft.com/office/excel/2006/main">
          <x14:cfRule type="dataBar" id="{CEC2D83A-5BD1-403E-924E-AC1E38F4939D}">
            <x14:dataBar minLength="0" maxLength="100" border="1" negativeBarBorderColorSameAsPositive="0">
              <x14:cfvo type="autoMin"/>
              <x14:cfvo type="autoMax"/>
              <x14:borderColor rgb="FF63C384"/>
              <x14:negativeFillColor rgb="FFFF0000"/>
              <x14:negativeBorderColor rgb="FFFF0000"/>
              <x14:axisColor rgb="FF000000"/>
            </x14:dataBar>
          </x14:cfRule>
          <xm:sqref>Z305</xm:sqref>
        </x14:conditionalFormatting>
        <x14:conditionalFormatting xmlns:xm="http://schemas.microsoft.com/office/excel/2006/main">
          <x14:cfRule type="dataBar" id="{38DEA300-5D66-48B2-977C-57D377B1423C}">
            <x14:dataBar minLength="0" maxLength="100" border="1" negativeBarBorderColorSameAsPositive="0">
              <x14:cfvo type="autoMin"/>
              <x14:cfvo type="autoMax"/>
              <x14:borderColor rgb="FF63C384"/>
              <x14:negativeFillColor rgb="FFFF0000"/>
              <x14:negativeBorderColor rgb="FFFF0000"/>
              <x14:axisColor rgb="FF000000"/>
            </x14:dataBar>
          </x14:cfRule>
          <xm:sqref>Z306</xm:sqref>
        </x14:conditionalFormatting>
        <x14:conditionalFormatting xmlns:xm="http://schemas.microsoft.com/office/excel/2006/main">
          <x14:cfRule type="dataBar" id="{1F9BAC65-99AC-4190-8B36-8635EDEF401E}">
            <x14:dataBar minLength="0" maxLength="100" border="1" negativeBarBorderColorSameAsPositive="0">
              <x14:cfvo type="autoMin"/>
              <x14:cfvo type="autoMax"/>
              <x14:borderColor rgb="FF63C384"/>
              <x14:negativeFillColor rgb="FFFF0000"/>
              <x14:negativeBorderColor rgb="FFFF0000"/>
              <x14:axisColor rgb="FF000000"/>
            </x14:dataBar>
          </x14:cfRule>
          <xm:sqref>Z306</xm:sqref>
        </x14:conditionalFormatting>
        <x14:conditionalFormatting xmlns:xm="http://schemas.microsoft.com/office/excel/2006/main">
          <x14:cfRule type="dataBar" id="{D2E8D5FC-D354-4587-8CC3-B1F3CC25B4BE}">
            <x14:dataBar minLength="0" maxLength="100" border="1" negativeBarBorderColorSameAsPositive="0">
              <x14:cfvo type="autoMin"/>
              <x14:cfvo type="autoMax"/>
              <x14:borderColor rgb="FF63C384"/>
              <x14:negativeFillColor rgb="FFFF0000"/>
              <x14:negativeBorderColor rgb="FFFF0000"/>
              <x14:axisColor rgb="FF000000"/>
            </x14:dataBar>
          </x14:cfRule>
          <xm:sqref>Z307</xm:sqref>
        </x14:conditionalFormatting>
        <x14:conditionalFormatting xmlns:xm="http://schemas.microsoft.com/office/excel/2006/main">
          <x14:cfRule type="dataBar" id="{FCA9858C-E150-402A-9A76-5FD5F7BBDD17}">
            <x14:dataBar minLength="0" maxLength="100" border="1" negativeBarBorderColorSameAsPositive="0">
              <x14:cfvo type="autoMin"/>
              <x14:cfvo type="autoMax"/>
              <x14:borderColor rgb="FF63C384"/>
              <x14:negativeFillColor rgb="FFFF0000"/>
              <x14:negativeBorderColor rgb="FFFF0000"/>
              <x14:axisColor rgb="FF000000"/>
            </x14:dataBar>
          </x14:cfRule>
          <xm:sqref>Z307</xm:sqref>
        </x14:conditionalFormatting>
        <x14:conditionalFormatting xmlns:xm="http://schemas.microsoft.com/office/excel/2006/main">
          <x14:cfRule type="dataBar" id="{5FD49401-DFC1-4C26-9A84-03462034A6AA}">
            <x14:dataBar minLength="0" maxLength="100" border="1" negativeBarBorderColorSameAsPositive="0">
              <x14:cfvo type="autoMin"/>
              <x14:cfvo type="autoMax"/>
              <x14:borderColor rgb="FF63C384"/>
              <x14:negativeFillColor rgb="FFFF0000"/>
              <x14:negativeBorderColor rgb="FFFF0000"/>
              <x14:axisColor rgb="FF000000"/>
            </x14:dataBar>
          </x14:cfRule>
          <xm:sqref>Z308</xm:sqref>
        </x14:conditionalFormatting>
        <x14:conditionalFormatting xmlns:xm="http://schemas.microsoft.com/office/excel/2006/main">
          <x14:cfRule type="dataBar" id="{1EF21319-B270-420E-9544-68FE8CFF88DF}">
            <x14:dataBar minLength="0" maxLength="100" border="1" negativeBarBorderColorSameAsPositive="0">
              <x14:cfvo type="autoMin"/>
              <x14:cfvo type="autoMax"/>
              <x14:borderColor rgb="FF63C384"/>
              <x14:negativeFillColor rgb="FFFF0000"/>
              <x14:negativeBorderColor rgb="FFFF0000"/>
              <x14:axisColor rgb="FF000000"/>
            </x14:dataBar>
          </x14:cfRule>
          <xm:sqref>Z308</xm:sqref>
        </x14:conditionalFormatting>
        <x14:conditionalFormatting xmlns:xm="http://schemas.microsoft.com/office/excel/2006/main">
          <x14:cfRule type="dataBar" id="{EF2056C7-0B1F-4F50-837F-30D0FA73A646}">
            <x14:dataBar minLength="0" maxLength="100" border="1" negativeBarBorderColorSameAsPositive="0">
              <x14:cfvo type="autoMin"/>
              <x14:cfvo type="autoMax"/>
              <x14:borderColor rgb="FF63C384"/>
              <x14:negativeFillColor rgb="FFFF0000"/>
              <x14:negativeBorderColor rgb="FFFF0000"/>
              <x14:axisColor rgb="FF000000"/>
            </x14:dataBar>
          </x14:cfRule>
          <xm:sqref>Z309</xm:sqref>
        </x14:conditionalFormatting>
        <x14:conditionalFormatting xmlns:xm="http://schemas.microsoft.com/office/excel/2006/main">
          <x14:cfRule type="dataBar" id="{B094E192-F9DE-4612-8F04-308859D90B79}">
            <x14:dataBar minLength="0" maxLength="100" border="1" negativeBarBorderColorSameAsPositive="0">
              <x14:cfvo type="autoMin"/>
              <x14:cfvo type="autoMax"/>
              <x14:borderColor rgb="FF63C384"/>
              <x14:negativeFillColor rgb="FFFF0000"/>
              <x14:negativeBorderColor rgb="FFFF0000"/>
              <x14:axisColor rgb="FF000000"/>
            </x14:dataBar>
          </x14:cfRule>
          <xm:sqref>Z309</xm:sqref>
        </x14:conditionalFormatting>
        <x14:conditionalFormatting xmlns:xm="http://schemas.microsoft.com/office/excel/2006/main">
          <x14:cfRule type="dataBar" id="{F1926A44-1552-4AC1-9F8B-90A5ECE2655E}">
            <x14:dataBar minLength="0" maxLength="100" border="1" negativeBarBorderColorSameAsPositive="0">
              <x14:cfvo type="autoMin"/>
              <x14:cfvo type="autoMax"/>
              <x14:borderColor rgb="FF63C384"/>
              <x14:negativeFillColor rgb="FFFF0000"/>
              <x14:negativeBorderColor rgb="FFFF0000"/>
              <x14:axisColor rgb="FF000000"/>
            </x14:dataBar>
          </x14:cfRule>
          <xm:sqref>Z310</xm:sqref>
        </x14:conditionalFormatting>
        <x14:conditionalFormatting xmlns:xm="http://schemas.microsoft.com/office/excel/2006/main">
          <x14:cfRule type="dataBar" id="{DFD9BFEA-C249-44DF-B0D6-F785B7141BD7}">
            <x14:dataBar minLength="0" maxLength="100" border="1" negativeBarBorderColorSameAsPositive="0">
              <x14:cfvo type="autoMin"/>
              <x14:cfvo type="autoMax"/>
              <x14:borderColor rgb="FF63C384"/>
              <x14:negativeFillColor rgb="FFFF0000"/>
              <x14:negativeBorderColor rgb="FFFF0000"/>
              <x14:axisColor rgb="FF000000"/>
            </x14:dataBar>
          </x14:cfRule>
          <xm:sqref>Z310</xm:sqref>
        </x14:conditionalFormatting>
        <x14:conditionalFormatting xmlns:xm="http://schemas.microsoft.com/office/excel/2006/main">
          <x14:cfRule type="dataBar" id="{F84F5BD4-5165-4752-A861-3E0CF1A44EEF}">
            <x14:dataBar minLength="0" maxLength="100" border="1" negativeBarBorderColorSameAsPositive="0">
              <x14:cfvo type="autoMin"/>
              <x14:cfvo type="autoMax"/>
              <x14:borderColor rgb="FF63C384"/>
              <x14:negativeFillColor rgb="FFFF0000"/>
              <x14:negativeBorderColor rgb="FFFF0000"/>
              <x14:axisColor rgb="FF000000"/>
            </x14:dataBar>
          </x14:cfRule>
          <xm:sqref>Z311</xm:sqref>
        </x14:conditionalFormatting>
        <x14:conditionalFormatting xmlns:xm="http://schemas.microsoft.com/office/excel/2006/main">
          <x14:cfRule type="dataBar" id="{A4F8FE3C-A64D-460B-9B12-4E3275ECC364}">
            <x14:dataBar minLength="0" maxLength="100" border="1" negativeBarBorderColorSameAsPositive="0">
              <x14:cfvo type="autoMin"/>
              <x14:cfvo type="autoMax"/>
              <x14:borderColor rgb="FF63C384"/>
              <x14:negativeFillColor rgb="FFFF0000"/>
              <x14:negativeBorderColor rgb="FFFF0000"/>
              <x14:axisColor rgb="FF000000"/>
            </x14:dataBar>
          </x14:cfRule>
          <xm:sqref>Z311</xm:sqref>
        </x14:conditionalFormatting>
        <x14:conditionalFormatting xmlns:xm="http://schemas.microsoft.com/office/excel/2006/main">
          <x14:cfRule type="dataBar" id="{51AB1307-87A3-4A3C-8431-2DC3CB005616}">
            <x14:dataBar minLength="0" maxLength="100" border="1" negativeBarBorderColorSameAsPositive="0">
              <x14:cfvo type="autoMin"/>
              <x14:cfvo type="autoMax"/>
              <x14:borderColor rgb="FF63C384"/>
              <x14:negativeFillColor rgb="FFFF0000"/>
              <x14:negativeBorderColor rgb="FFFF0000"/>
              <x14:axisColor rgb="FF000000"/>
            </x14:dataBar>
          </x14:cfRule>
          <xm:sqref>Z312</xm:sqref>
        </x14:conditionalFormatting>
        <x14:conditionalFormatting xmlns:xm="http://schemas.microsoft.com/office/excel/2006/main">
          <x14:cfRule type="dataBar" id="{A2AA8D45-4D30-4FF5-9E32-0DBF4BC7B020}">
            <x14:dataBar minLength="0" maxLength="100" border="1" negativeBarBorderColorSameAsPositive="0">
              <x14:cfvo type="autoMin"/>
              <x14:cfvo type="autoMax"/>
              <x14:borderColor rgb="FF63C384"/>
              <x14:negativeFillColor rgb="FFFF0000"/>
              <x14:negativeBorderColor rgb="FFFF0000"/>
              <x14:axisColor rgb="FF000000"/>
            </x14:dataBar>
          </x14:cfRule>
          <xm:sqref>Z312</xm:sqref>
        </x14:conditionalFormatting>
        <x14:conditionalFormatting xmlns:xm="http://schemas.microsoft.com/office/excel/2006/main">
          <x14:cfRule type="dataBar" id="{E3958612-77AB-4501-BECE-C85203570ABC}">
            <x14:dataBar minLength="0" maxLength="100" border="1" negativeBarBorderColorSameAsPositive="0">
              <x14:cfvo type="autoMin"/>
              <x14:cfvo type="autoMax"/>
              <x14:borderColor rgb="FF63C384"/>
              <x14:negativeFillColor rgb="FFFF0000"/>
              <x14:negativeBorderColor rgb="FFFF0000"/>
              <x14:axisColor rgb="FF000000"/>
            </x14:dataBar>
          </x14:cfRule>
          <xm:sqref>Z313</xm:sqref>
        </x14:conditionalFormatting>
        <x14:conditionalFormatting xmlns:xm="http://schemas.microsoft.com/office/excel/2006/main">
          <x14:cfRule type="dataBar" id="{1310681C-75BC-4BF7-A861-E097574D4B1B}">
            <x14:dataBar minLength="0" maxLength="100" border="1" negativeBarBorderColorSameAsPositive="0">
              <x14:cfvo type="autoMin"/>
              <x14:cfvo type="autoMax"/>
              <x14:borderColor rgb="FF63C384"/>
              <x14:negativeFillColor rgb="FFFF0000"/>
              <x14:negativeBorderColor rgb="FFFF0000"/>
              <x14:axisColor rgb="FF000000"/>
            </x14:dataBar>
          </x14:cfRule>
          <xm:sqref>Z313</xm:sqref>
        </x14:conditionalFormatting>
        <x14:conditionalFormatting xmlns:xm="http://schemas.microsoft.com/office/excel/2006/main">
          <x14:cfRule type="dataBar" id="{A9933D7B-4458-454A-94CE-B251DD5157E8}">
            <x14:dataBar minLength="0" maxLength="100" border="1" negativeBarBorderColorSameAsPositive="0">
              <x14:cfvo type="autoMin"/>
              <x14:cfvo type="autoMax"/>
              <x14:borderColor rgb="FF63C384"/>
              <x14:negativeFillColor rgb="FFFF0000"/>
              <x14:negativeBorderColor rgb="FFFF0000"/>
              <x14:axisColor rgb="FF000000"/>
            </x14:dataBar>
          </x14:cfRule>
          <xm:sqref>Z314</xm:sqref>
        </x14:conditionalFormatting>
        <x14:conditionalFormatting xmlns:xm="http://schemas.microsoft.com/office/excel/2006/main">
          <x14:cfRule type="dataBar" id="{B242A7D4-FB5B-48A6-AFC3-A4F48C986B59}">
            <x14:dataBar minLength="0" maxLength="100" border="1" negativeBarBorderColorSameAsPositive="0">
              <x14:cfvo type="autoMin"/>
              <x14:cfvo type="autoMax"/>
              <x14:borderColor rgb="FF63C384"/>
              <x14:negativeFillColor rgb="FFFF0000"/>
              <x14:negativeBorderColor rgb="FFFF0000"/>
              <x14:axisColor rgb="FF000000"/>
            </x14:dataBar>
          </x14:cfRule>
          <xm:sqref>Z314</xm:sqref>
        </x14:conditionalFormatting>
        <x14:conditionalFormatting xmlns:xm="http://schemas.microsoft.com/office/excel/2006/main">
          <x14:cfRule type="dataBar" id="{B73396D0-FB1F-4E77-917D-887CAD6B8044}">
            <x14:dataBar minLength="0" maxLength="100" border="1" negativeBarBorderColorSameAsPositive="0">
              <x14:cfvo type="autoMin"/>
              <x14:cfvo type="autoMax"/>
              <x14:borderColor rgb="FF63C384"/>
              <x14:negativeFillColor rgb="FFFF0000"/>
              <x14:negativeBorderColor rgb="FFFF0000"/>
              <x14:axisColor rgb="FF000000"/>
            </x14:dataBar>
          </x14:cfRule>
          <xm:sqref>Z315</xm:sqref>
        </x14:conditionalFormatting>
        <x14:conditionalFormatting xmlns:xm="http://schemas.microsoft.com/office/excel/2006/main">
          <x14:cfRule type="dataBar" id="{943ADFE8-D0F6-414A-9BBE-04122828920D}">
            <x14:dataBar minLength="0" maxLength="100" border="1" negativeBarBorderColorSameAsPositive="0">
              <x14:cfvo type="autoMin"/>
              <x14:cfvo type="autoMax"/>
              <x14:borderColor rgb="FF63C384"/>
              <x14:negativeFillColor rgb="FFFF0000"/>
              <x14:negativeBorderColor rgb="FFFF0000"/>
              <x14:axisColor rgb="FF000000"/>
            </x14:dataBar>
          </x14:cfRule>
          <xm:sqref>Z315</xm:sqref>
        </x14:conditionalFormatting>
        <x14:conditionalFormatting xmlns:xm="http://schemas.microsoft.com/office/excel/2006/main">
          <x14:cfRule type="dataBar" id="{EC99E518-75C8-4CDF-BE96-FF646CCF8AA2}">
            <x14:dataBar minLength="0" maxLength="100" border="1" negativeBarBorderColorSameAsPositive="0">
              <x14:cfvo type="autoMin"/>
              <x14:cfvo type="autoMax"/>
              <x14:borderColor rgb="FF63C384"/>
              <x14:negativeFillColor rgb="FFFF0000"/>
              <x14:negativeBorderColor rgb="FFFF0000"/>
              <x14:axisColor rgb="FF000000"/>
            </x14:dataBar>
          </x14:cfRule>
          <xm:sqref>Z316</xm:sqref>
        </x14:conditionalFormatting>
        <x14:conditionalFormatting xmlns:xm="http://schemas.microsoft.com/office/excel/2006/main">
          <x14:cfRule type="dataBar" id="{B1808880-B31C-49B8-BD12-A8EB9A01570F}">
            <x14:dataBar minLength="0" maxLength="100" border="1" negativeBarBorderColorSameAsPositive="0">
              <x14:cfvo type="autoMin"/>
              <x14:cfvo type="autoMax"/>
              <x14:borderColor rgb="FF63C384"/>
              <x14:negativeFillColor rgb="FFFF0000"/>
              <x14:negativeBorderColor rgb="FFFF0000"/>
              <x14:axisColor rgb="FF000000"/>
            </x14:dataBar>
          </x14:cfRule>
          <xm:sqref>Z316</xm:sqref>
        </x14:conditionalFormatting>
        <x14:conditionalFormatting xmlns:xm="http://schemas.microsoft.com/office/excel/2006/main">
          <x14:cfRule type="dataBar" id="{4920B918-7A5F-46DF-9BC5-B0097F252B5A}">
            <x14:dataBar minLength="0" maxLength="100" border="1" negativeBarBorderColorSameAsPositive="0">
              <x14:cfvo type="autoMin"/>
              <x14:cfvo type="autoMax"/>
              <x14:borderColor rgb="FF63C384"/>
              <x14:negativeFillColor rgb="FFFF0000"/>
              <x14:negativeBorderColor rgb="FFFF0000"/>
              <x14:axisColor rgb="FF000000"/>
            </x14:dataBar>
          </x14:cfRule>
          <xm:sqref>Z317</xm:sqref>
        </x14:conditionalFormatting>
        <x14:conditionalFormatting xmlns:xm="http://schemas.microsoft.com/office/excel/2006/main">
          <x14:cfRule type="dataBar" id="{C7667A20-F7DB-40F8-AE96-1EE85A3F0E2A}">
            <x14:dataBar minLength="0" maxLength="100" border="1" negativeBarBorderColorSameAsPositive="0">
              <x14:cfvo type="autoMin"/>
              <x14:cfvo type="autoMax"/>
              <x14:borderColor rgb="FF63C384"/>
              <x14:negativeFillColor rgb="FFFF0000"/>
              <x14:negativeBorderColor rgb="FFFF0000"/>
              <x14:axisColor rgb="FF000000"/>
            </x14:dataBar>
          </x14:cfRule>
          <xm:sqref>Z317</xm:sqref>
        </x14:conditionalFormatting>
        <x14:conditionalFormatting xmlns:xm="http://schemas.microsoft.com/office/excel/2006/main">
          <x14:cfRule type="dataBar" id="{C5DE7077-4BC5-4888-8C12-F2A7B7B9BED4}">
            <x14:dataBar minLength="0" maxLength="100" border="1" negativeBarBorderColorSameAsPositive="0">
              <x14:cfvo type="autoMin"/>
              <x14:cfvo type="autoMax"/>
              <x14:borderColor rgb="FF63C384"/>
              <x14:negativeFillColor rgb="FFFF0000"/>
              <x14:negativeBorderColor rgb="FFFF0000"/>
              <x14:axisColor rgb="FF000000"/>
            </x14:dataBar>
          </x14:cfRule>
          <xm:sqref>Z318</xm:sqref>
        </x14:conditionalFormatting>
        <x14:conditionalFormatting xmlns:xm="http://schemas.microsoft.com/office/excel/2006/main">
          <x14:cfRule type="dataBar" id="{A7DED3BC-9613-4DC7-B168-03DF1DFB36A1}">
            <x14:dataBar minLength="0" maxLength="100" border="1" negativeBarBorderColorSameAsPositive="0">
              <x14:cfvo type="autoMin"/>
              <x14:cfvo type="autoMax"/>
              <x14:borderColor rgb="FF63C384"/>
              <x14:negativeFillColor rgb="FFFF0000"/>
              <x14:negativeBorderColor rgb="FFFF0000"/>
              <x14:axisColor rgb="FF000000"/>
            </x14:dataBar>
          </x14:cfRule>
          <xm:sqref>Z318</xm:sqref>
        </x14:conditionalFormatting>
        <x14:conditionalFormatting xmlns:xm="http://schemas.microsoft.com/office/excel/2006/main">
          <x14:cfRule type="dataBar" id="{8B1D1676-7D7F-45D6-B4EA-3AF5489B3524}">
            <x14:dataBar minLength="0" maxLength="100" border="1" negativeBarBorderColorSameAsPositive="0">
              <x14:cfvo type="autoMin"/>
              <x14:cfvo type="autoMax"/>
              <x14:borderColor rgb="FF63C384"/>
              <x14:negativeFillColor rgb="FFFF0000"/>
              <x14:negativeBorderColor rgb="FFFF0000"/>
              <x14:axisColor rgb="FF000000"/>
            </x14:dataBar>
          </x14:cfRule>
          <xm:sqref>Z319</xm:sqref>
        </x14:conditionalFormatting>
        <x14:conditionalFormatting xmlns:xm="http://schemas.microsoft.com/office/excel/2006/main">
          <x14:cfRule type="dataBar" id="{5F79BE5B-CD4A-4DB0-B7CA-33B09D96D70A}">
            <x14:dataBar minLength="0" maxLength="100" border="1" negativeBarBorderColorSameAsPositive="0">
              <x14:cfvo type="autoMin"/>
              <x14:cfvo type="autoMax"/>
              <x14:borderColor rgb="FF63C384"/>
              <x14:negativeFillColor rgb="FFFF0000"/>
              <x14:negativeBorderColor rgb="FFFF0000"/>
              <x14:axisColor rgb="FF000000"/>
            </x14:dataBar>
          </x14:cfRule>
          <xm:sqref>Z319</xm:sqref>
        </x14:conditionalFormatting>
        <x14:conditionalFormatting xmlns:xm="http://schemas.microsoft.com/office/excel/2006/main">
          <x14:cfRule type="dataBar" id="{D0F945B8-CED0-4501-8E94-A64392EE9C7E}">
            <x14:dataBar minLength="0" maxLength="100" border="1" negativeBarBorderColorSameAsPositive="0">
              <x14:cfvo type="autoMin"/>
              <x14:cfvo type="autoMax"/>
              <x14:borderColor rgb="FF63C384"/>
              <x14:negativeFillColor rgb="FFFF0000"/>
              <x14:negativeBorderColor rgb="FFFF0000"/>
              <x14:axisColor rgb="FF000000"/>
            </x14:dataBar>
          </x14:cfRule>
          <xm:sqref>Z320</xm:sqref>
        </x14:conditionalFormatting>
        <x14:conditionalFormatting xmlns:xm="http://schemas.microsoft.com/office/excel/2006/main">
          <x14:cfRule type="dataBar" id="{6C436FD6-E359-4912-B647-241DF3B75B33}">
            <x14:dataBar minLength="0" maxLength="100" border="1" negativeBarBorderColorSameAsPositive="0">
              <x14:cfvo type="autoMin"/>
              <x14:cfvo type="autoMax"/>
              <x14:borderColor rgb="FF63C384"/>
              <x14:negativeFillColor rgb="FFFF0000"/>
              <x14:negativeBorderColor rgb="FFFF0000"/>
              <x14:axisColor rgb="FF000000"/>
            </x14:dataBar>
          </x14:cfRule>
          <xm:sqref>Z320</xm:sqref>
        </x14:conditionalFormatting>
        <x14:conditionalFormatting xmlns:xm="http://schemas.microsoft.com/office/excel/2006/main">
          <x14:cfRule type="dataBar" id="{BD977707-3470-4E0C-B30F-EE289498C8FA}">
            <x14:dataBar minLength="0" maxLength="100" border="1" negativeBarBorderColorSameAsPositive="0">
              <x14:cfvo type="autoMin"/>
              <x14:cfvo type="autoMax"/>
              <x14:borderColor rgb="FF63C384"/>
              <x14:negativeFillColor rgb="FFFF0000"/>
              <x14:negativeBorderColor rgb="FFFF0000"/>
              <x14:axisColor rgb="FF000000"/>
            </x14:dataBar>
          </x14:cfRule>
          <xm:sqref>Z321</xm:sqref>
        </x14:conditionalFormatting>
        <x14:conditionalFormatting xmlns:xm="http://schemas.microsoft.com/office/excel/2006/main">
          <x14:cfRule type="dataBar" id="{CF55B330-7093-4D67-B5C9-21458DFA7A3C}">
            <x14:dataBar minLength="0" maxLength="100" border="1" negativeBarBorderColorSameAsPositive="0">
              <x14:cfvo type="autoMin"/>
              <x14:cfvo type="autoMax"/>
              <x14:borderColor rgb="FF63C384"/>
              <x14:negativeFillColor rgb="FFFF0000"/>
              <x14:negativeBorderColor rgb="FFFF0000"/>
              <x14:axisColor rgb="FF000000"/>
            </x14:dataBar>
          </x14:cfRule>
          <xm:sqref>Z321</xm:sqref>
        </x14:conditionalFormatting>
        <x14:conditionalFormatting xmlns:xm="http://schemas.microsoft.com/office/excel/2006/main">
          <x14:cfRule type="dataBar" id="{7CBE8BBE-8A79-465D-BEC1-BA5232381E39}">
            <x14:dataBar minLength="0" maxLength="100" border="1" negativeBarBorderColorSameAsPositive="0">
              <x14:cfvo type="autoMin"/>
              <x14:cfvo type="autoMax"/>
              <x14:borderColor rgb="FF63C384"/>
              <x14:negativeFillColor rgb="FFFF0000"/>
              <x14:negativeBorderColor rgb="FFFF0000"/>
              <x14:axisColor rgb="FF000000"/>
            </x14:dataBar>
          </x14:cfRule>
          <xm:sqref>Z322</xm:sqref>
        </x14:conditionalFormatting>
        <x14:conditionalFormatting xmlns:xm="http://schemas.microsoft.com/office/excel/2006/main">
          <x14:cfRule type="dataBar" id="{A4E5B49E-8BBD-4840-A230-F6E7B1847860}">
            <x14:dataBar minLength="0" maxLength="100" border="1" negativeBarBorderColorSameAsPositive="0">
              <x14:cfvo type="autoMin"/>
              <x14:cfvo type="autoMax"/>
              <x14:borderColor rgb="FF63C384"/>
              <x14:negativeFillColor rgb="FFFF0000"/>
              <x14:negativeBorderColor rgb="FFFF0000"/>
              <x14:axisColor rgb="FF000000"/>
            </x14:dataBar>
          </x14:cfRule>
          <xm:sqref>Z322</xm:sqref>
        </x14:conditionalFormatting>
        <x14:conditionalFormatting xmlns:xm="http://schemas.microsoft.com/office/excel/2006/main">
          <x14:cfRule type="dataBar" id="{3BF1AD50-42F6-4243-BF57-9C4CF9C1F8AF}">
            <x14:dataBar minLength="0" maxLength="100" border="1" negativeBarBorderColorSameAsPositive="0">
              <x14:cfvo type="autoMin"/>
              <x14:cfvo type="autoMax"/>
              <x14:borderColor rgb="FF63C384"/>
              <x14:negativeFillColor rgb="FFFF0000"/>
              <x14:negativeBorderColor rgb="FFFF0000"/>
              <x14:axisColor rgb="FF000000"/>
            </x14:dataBar>
          </x14:cfRule>
          <xm:sqref>Z323:Z324</xm:sqref>
        </x14:conditionalFormatting>
        <x14:conditionalFormatting xmlns:xm="http://schemas.microsoft.com/office/excel/2006/main">
          <x14:cfRule type="dataBar" id="{38A43923-EE75-481D-88AB-2499D816AADD}">
            <x14:dataBar minLength="0" maxLength="100" border="1" negativeBarBorderColorSameAsPositive="0">
              <x14:cfvo type="autoMin"/>
              <x14:cfvo type="autoMax"/>
              <x14:borderColor rgb="FF63C384"/>
              <x14:negativeFillColor rgb="FFFF0000"/>
              <x14:negativeBorderColor rgb="FFFF0000"/>
              <x14:axisColor rgb="FF000000"/>
            </x14:dataBar>
          </x14:cfRule>
          <xm:sqref>Z323:Z324</xm:sqref>
        </x14:conditionalFormatting>
        <x14:conditionalFormatting xmlns:xm="http://schemas.microsoft.com/office/excel/2006/main">
          <x14:cfRule type="dataBar" id="{BAA6AC17-1623-45C8-9E90-976CEF160E4A}">
            <x14:dataBar minLength="0" maxLength="100" border="1" negativeBarBorderColorSameAsPositive="0">
              <x14:cfvo type="autoMin"/>
              <x14:cfvo type="autoMax"/>
              <x14:borderColor rgb="FF63C384"/>
              <x14:negativeFillColor rgb="FFFF0000"/>
              <x14:negativeBorderColor rgb="FFFF0000"/>
              <x14:axisColor rgb="FF000000"/>
            </x14:dataBar>
          </x14:cfRule>
          <xm:sqref>Z325</xm:sqref>
        </x14:conditionalFormatting>
        <x14:conditionalFormatting xmlns:xm="http://schemas.microsoft.com/office/excel/2006/main">
          <x14:cfRule type="dataBar" id="{B01057D4-DECE-41D9-BECC-CC72483F4835}">
            <x14:dataBar minLength="0" maxLength="100" border="1" negativeBarBorderColorSameAsPositive="0">
              <x14:cfvo type="autoMin"/>
              <x14:cfvo type="autoMax"/>
              <x14:borderColor rgb="FF63C384"/>
              <x14:negativeFillColor rgb="FFFF0000"/>
              <x14:negativeBorderColor rgb="FFFF0000"/>
              <x14:axisColor rgb="FF000000"/>
            </x14:dataBar>
          </x14:cfRule>
          <xm:sqref>Z325</xm:sqref>
        </x14:conditionalFormatting>
        <x14:conditionalFormatting xmlns:xm="http://schemas.microsoft.com/office/excel/2006/main">
          <x14:cfRule type="dataBar" id="{D8CA3954-4B8E-4A65-AB20-D1F79FFB6D02}">
            <x14:dataBar minLength="0" maxLength="100" border="1" negativeBarBorderColorSameAsPositive="0">
              <x14:cfvo type="autoMin"/>
              <x14:cfvo type="autoMax"/>
              <x14:borderColor rgb="FF63C384"/>
              <x14:negativeFillColor rgb="FFFF0000"/>
              <x14:negativeBorderColor rgb="FFFF0000"/>
              <x14:axisColor rgb="FF000000"/>
            </x14:dataBar>
          </x14:cfRule>
          <xm:sqref>Z326</xm:sqref>
        </x14:conditionalFormatting>
        <x14:conditionalFormatting xmlns:xm="http://schemas.microsoft.com/office/excel/2006/main">
          <x14:cfRule type="dataBar" id="{198DD019-74DF-4C2A-9CCD-48A43A8DF553}">
            <x14:dataBar minLength="0" maxLength="100" border="1" negativeBarBorderColorSameAsPositive="0">
              <x14:cfvo type="autoMin"/>
              <x14:cfvo type="autoMax"/>
              <x14:borderColor rgb="FF63C384"/>
              <x14:negativeFillColor rgb="FFFF0000"/>
              <x14:negativeBorderColor rgb="FFFF0000"/>
              <x14:axisColor rgb="FF000000"/>
            </x14:dataBar>
          </x14:cfRule>
          <xm:sqref>Z326</xm:sqref>
        </x14:conditionalFormatting>
        <x14:conditionalFormatting xmlns:xm="http://schemas.microsoft.com/office/excel/2006/main">
          <x14:cfRule type="dataBar" id="{59A35C6B-D5CA-4178-9D30-39C564BCB192}">
            <x14:dataBar minLength="0" maxLength="100" border="1" negativeBarBorderColorSameAsPositive="0">
              <x14:cfvo type="autoMin"/>
              <x14:cfvo type="autoMax"/>
              <x14:borderColor rgb="FF63C384"/>
              <x14:negativeFillColor rgb="FFFF0000"/>
              <x14:negativeBorderColor rgb="FFFF0000"/>
              <x14:axisColor rgb="FF000000"/>
            </x14:dataBar>
          </x14:cfRule>
          <xm:sqref>Z327</xm:sqref>
        </x14:conditionalFormatting>
        <x14:conditionalFormatting xmlns:xm="http://schemas.microsoft.com/office/excel/2006/main">
          <x14:cfRule type="dataBar" id="{0A0084A2-C72B-4FE7-94EF-2E1EC1F30870}">
            <x14:dataBar minLength="0" maxLength="100" border="1" negativeBarBorderColorSameAsPositive="0">
              <x14:cfvo type="autoMin"/>
              <x14:cfvo type="autoMax"/>
              <x14:borderColor rgb="FF63C384"/>
              <x14:negativeFillColor rgb="FFFF0000"/>
              <x14:negativeBorderColor rgb="FFFF0000"/>
              <x14:axisColor rgb="FF000000"/>
            </x14:dataBar>
          </x14:cfRule>
          <xm:sqref>Z327</xm:sqref>
        </x14:conditionalFormatting>
        <x14:conditionalFormatting xmlns:xm="http://schemas.microsoft.com/office/excel/2006/main">
          <x14:cfRule type="dataBar" id="{870EB2E2-D95A-48D6-B078-AC09CABFA82E}">
            <x14:dataBar minLength="0" maxLength="100" border="1" negativeBarBorderColorSameAsPositive="0">
              <x14:cfvo type="autoMin"/>
              <x14:cfvo type="autoMax"/>
              <x14:borderColor rgb="FF63C384"/>
              <x14:negativeFillColor rgb="FFFF0000"/>
              <x14:negativeBorderColor rgb="FFFF0000"/>
              <x14:axisColor rgb="FF000000"/>
            </x14:dataBar>
          </x14:cfRule>
          <xm:sqref>Z328</xm:sqref>
        </x14:conditionalFormatting>
        <x14:conditionalFormatting xmlns:xm="http://schemas.microsoft.com/office/excel/2006/main">
          <x14:cfRule type="dataBar" id="{CFA34944-80D2-4F23-9A48-3646C5EC5C80}">
            <x14:dataBar minLength="0" maxLength="100" border="1" negativeBarBorderColorSameAsPositive="0">
              <x14:cfvo type="autoMin"/>
              <x14:cfvo type="autoMax"/>
              <x14:borderColor rgb="FF63C384"/>
              <x14:negativeFillColor rgb="FFFF0000"/>
              <x14:negativeBorderColor rgb="FFFF0000"/>
              <x14:axisColor rgb="FF000000"/>
            </x14:dataBar>
          </x14:cfRule>
          <xm:sqref>Z328</xm:sqref>
        </x14:conditionalFormatting>
        <x14:conditionalFormatting xmlns:xm="http://schemas.microsoft.com/office/excel/2006/main">
          <x14:cfRule type="dataBar" id="{D910784D-E2EA-47C2-A4F6-D817EF0BD15F}">
            <x14:dataBar minLength="0" maxLength="100" border="1" negativeBarBorderColorSameAsPositive="0">
              <x14:cfvo type="autoMin"/>
              <x14:cfvo type="autoMax"/>
              <x14:borderColor rgb="FF63C384"/>
              <x14:negativeFillColor rgb="FFFF0000"/>
              <x14:negativeBorderColor rgb="FFFF0000"/>
              <x14:axisColor rgb="FF000000"/>
            </x14:dataBar>
          </x14:cfRule>
          <xm:sqref>Z329</xm:sqref>
        </x14:conditionalFormatting>
        <x14:conditionalFormatting xmlns:xm="http://schemas.microsoft.com/office/excel/2006/main">
          <x14:cfRule type="dataBar" id="{41DD740A-8D4F-4098-BC0C-D654C957F225}">
            <x14:dataBar minLength="0" maxLength="100" border="1" negativeBarBorderColorSameAsPositive="0">
              <x14:cfvo type="autoMin"/>
              <x14:cfvo type="autoMax"/>
              <x14:borderColor rgb="FF63C384"/>
              <x14:negativeFillColor rgb="FFFF0000"/>
              <x14:negativeBorderColor rgb="FFFF0000"/>
              <x14:axisColor rgb="FF000000"/>
            </x14:dataBar>
          </x14:cfRule>
          <xm:sqref>Z329</xm:sqref>
        </x14:conditionalFormatting>
        <x14:conditionalFormatting xmlns:xm="http://schemas.microsoft.com/office/excel/2006/main">
          <x14:cfRule type="dataBar" id="{03DD8B47-85B5-4B2C-A603-DD3ED22094D6}">
            <x14:dataBar minLength="0" maxLength="100" border="1" negativeBarBorderColorSameAsPositive="0">
              <x14:cfvo type="autoMin"/>
              <x14:cfvo type="autoMax"/>
              <x14:borderColor rgb="FF63C384"/>
              <x14:negativeFillColor rgb="FFFF0000"/>
              <x14:negativeBorderColor rgb="FFFF0000"/>
              <x14:axisColor rgb="FF000000"/>
            </x14:dataBar>
          </x14:cfRule>
          <xm:sqref>Z330</xm:sqref>
        </x14:conditionalFormatting>
        <x14:conditionalFormatting xmlns:xm="http://schemas.microsoft.com/office/excel/2006/main">
          <x14:cfRule type="dataBar" id="{DB9E0B45-D510-4DF5-BB6D-36F87384D5A0}">
            <x14:dataBar minLength="0" maxLength="100" border="1" negativeBarBorderColorSameAsPositive="0">
              <x14:cfvo type="autoMin"/>
              <x14:cfvo type="autoMax"/>
              <x14:borderColor rgb="FF63C384"/>
              <x14:negativeFillColor rgb="FFFF0000"/>
              <x14:negativeBorderColor rgb="FFFF0000"/>
              <x14:axisColor rgb="FF000000"/>
            </x14:dataBar>
          </x14:cfRule>
          <xm:sqref>Z330</xm:sqref>
        </x14:conditionalFormatting>
        <x14:conditionalFormatting xmlns:xm="http://schemas.microsoft.com/office/excel/2006/main">
          <x14:cfRule type="dataBar" id="{70C16165-8B80-4B46-BB6D-B18A2F63C411}">
            <x14:dataBar minLength="0" maxLength="100" border="1" negativeBarBorderColorSameAsPositive="0">
              <x14:cfvo type="autoMin"/>
              <x14:cfvo type="autoMax"/>
              <x14:borderColor rgb="FF63C384"/>
              <x14:negativeFillColor rgb="FFFF0000"/>
              <x14:negativeBorderColor rgb="FFFF0000"/>
              <x14:axisColor rgb="FF000000"/>
            </x14:dataBar>
          </x14:cfRule>
          <xm:sqref>Z331</xm:sqref>
        </x14:conditionalFormatting>
        <x14:conditionalFormatting xmlns:xm="http://schemas.microsoft.com/office/excel/2006/main">
          <x14:cfRule type="dataBar" id="{2916433C-D094-48C9-9BCD-3BDDD8CD8278}">
            <x14:dataBar minLength="0" maxLength="100" border="1" negativeBarBorderColorSameAsPositive="0">
              <x14:cfvo type="autoMin"/>
              <x14:cfvo type="autoMax"/>
              <x14:borderColor rgb="FF63C384"/>
              <x14:negativeFillColor rgb="FFFF0000"/>
              <x14:negativeBorderColor rgb="FFFF0000"/>
              <x14:axisColor rgb="FF000000"/>
            </x14:dataBar>
          </x14:cfRule>
          <xm:sqref>Z331</xm:sqref>
        </x14:conditionalFormatting>
        <x14:conditionalFormatting xmlns:xm="http://schemas.microsoft.com/office/excel/2006/main">
          <x14:cfRule type="dataBar" id="{29EAEF79-F787-4E32-BA6B-D4BDC06F62D8}">
            <x14:dataBar minLength="0" maxLength="100" border="1" negativeBarBorderColorSameAsPositive="0">
              <x14:cfvo type="autoMin"/>
              <x14:cfvo type="autoMax"/>
              <x14:borderColor rgb="FF63C384"/>
              <x14:negativeFillColor rgb="FFFF0000"/>
              <x14:negativeBorderColor rgb="FFFF0000"/>
              <x14:axisColor rgb="FF000000"/>
            </x14:dataBar>
          </x14:cfRule>
          <xm:sqref>Z332</xm:sqref>
        </x14:conditionalFormatting>
        <x14:conditionalFormatting xmlns:xm="http://schemas.microsoft.com/office/excel/2006/main">
          <x14:cfRule type="dataBar" id="{7821BA3D-34C2-44F7-ACCE-FB28F3C97DB4}">
            <x14:dataBar minLength="0" maxLength="100" border="1" negativeBarBorderColorSameAsPositive="0">
              <x14:cfvo type="autoMin"/>
              <x14:cfvo type="autoMax"/>
              <x14:borderColor rgb="FF63C384"/>
              <x14:negativeFillColor rgb="FFFF0000"/>
              <x14:negativeBorderColor rgb="FFFF0000"/>
              <x14:axisColor rgb="FF000000"/>
            </x14:dataBar>
          </x14:cfRule>
          <xm:sqref>Z332</xm:sqref>
        </x14:conditionalFormatting>
        <x14:conditionalFormatting xmlns:xm="http://schemas.microsoft.com/office/excel/2006/main">
          <x14:cfRule type="dataBar" id="{00D934BC-0B89-4DCF-A83C-BF4B292CAC24}">
            <x14:dataBar minLength="0" maxLength="100" border="1" negativeBarBorderColorSameAsPositive="0">
              <x14:cfvo type="autoMin"/>
              <x14:cfvo type="autoMax"/>
              <x14:borderColor rgb="FF63C384"/>
              <x14:negativeFillColor rgb="FFFF0000"/>
              <x14:negativeBorderColor rgb="FFFF0000"/>
              <x14:axisColor rgb="FF000000"/>
            </x14:dataBar>
          </x14:cfRule>
          <xm:sqref>Z333</xm:sqref>
        </x14:conditionalFormatting>
        <x14:conditionalFormatting xmlns:xm="http://schemas.microsoft.com/office/excel/2006/main">
          <x14:cfRule type="dataBar" id="{BEF20A1A-0A25-4337-AC0E-740DF9D7B73A}">
            <x14:dataBar minLength="0" maxLength="100" border="1" negativeBarBorderColorSameAsPositive="0">
              <x14:cfvo type="autoMin"/>
              <x14:cfvo type="autoMax"/>
              <x14:borderColor rgb="FF63C384"/>
              <x14:negativeFillColor rgb="FFFF0000"/>
              <x14:negativeBorderColor rgb="FFFF0000"/>
              <x14:axisColor rgb="FF000000"/>
            </x14:dataBar>
          </x14:cfRule>
          <xm:sqref>Z333</xm:sqref>
        </x14:conditionalFormatting>
        <x14:conditionalFormatting xmlns:xm="http://schemas.microsoft.com/office/excel/2006/main">
          <x14:cfRule type="dataBar" id="{05820E91-A00F-44A6-8735-9BC12E905AC9}">
            <x14:dataBar minLength="0" maxLength="100" border="1" negativeBarBorderColorSameAsPositive="0">
              <x14:cfvo type="autoMin"/>
              <x14:cfvo type="autoMax"/>
              <x14:borderColor rgb="FF63C384"/>
              <x14:negativeFillColor rgb="FFFF0000"/>
              <x14:negativeBorderColor rgb="FFFF0000"/>
              <x14:axisColor rgb="FF000000"/>
            </x14:dataBar>
          </x14:cfRule>
          <xm:sqref>Z334</xm:sqref>
        </x14:conditionalFormatting>
        <x14:conditionalFormatting xmlns:xm="http://schemas.microsoft.com/office/excel/2006/main">
          <x14:cfRule type="dataBar" id="{B92BDAE7-5933-437B-8461-63A04CD7F041}">
            <x14:dataBar minLength="0" maxLength="100" border="1" negativeBarBorderColorSameAsPositive="0">
              <x14:cfvo type="autoMin"/>
              <x14:cfvo type="autoMax"/>
              <x14:borderColor rgb="FF63C384"/>
              <x14:negativeFillColor rgb="FFFF0000"/>
              <x14:negativeBorderColor rgb="FFFF0000"/>
              <x14:axisColor rgb="FF000000"/>
            </x14:dataBar>
          </x14:cfRule>
          <xm:sqref>Z334</xm:sqref>
        </x14:conditionalFormatting>
        <x14:conditionalFormatting xmlns:xm="http://schemas.microsoft.com/office/excel/2006/main">
          <x14:cfRule type="dataBar" id="{422B1824-DE20-47B6-99DA-532776C9D10B}">
            <x14:dataBar minLength="0" maxLength="100" border="1" negativeBarBorderColorSameAsPositive="0">
              <x14:cfvo type="autoMin"/>
              <x14:cfvo type="autoMax"/>
              <x14:borderColor rgb="FF63C384"/>
              <x14:negativeFillColor rgb="FFFF0000"/>
              <x14:negativeBorderColor rgb="FFFF0000"/>
              <x14:axisColor rgb="FF000000"/>
            </x14:dataBar>
          </x14:cfRule>
          <xm:sqref>Z335</xm:sqref>
        </x14:conditionalFormatting>
        <x14:conditionalFormatting xmlns:xm="http://schemas.microsoft.com/office/excel/2006/main">
          <x14:cfRule type="dataBar" id="{58277FBD-E6E6-40AF-9626-2B1DEC21F070}">
            <x14:dataBar minLength="0" maxLength="100" border="1" negativeBarBorderColorSameAsPositive="0">
              <x14:cfvo type="autoMin"/>
              <x14:cfvo type="autoMax"/>
              <x14:borderColor rgb="FF63C384"/>
              <x14:negativeFillColor rgb="FFFF0000"/>
              <x14:negativeBorderColor rgb="FFFF0000"/>
              <x14:axisColor rgb="FF000000"/>
            </x14:dataBar>
          </x14:cfRule>
          <xm:sqref>Z335</xm:sqref>
        </x14:conditionalFormatting>
        <x14:conditionalFormatting xmlns:xm="http://schemas.microsoft.com/office/excel/2006/main">
          <x14:cfRule type="dataBar" id="{08E5958B-C4F3-4753-A300-E98D048E708A}">
            <x14:dataBar minLength="0" maxLength="100" border="1" negativeBarBorderColorSameAsPositive="0">
              <x14:cfvo type="autoMin"/>
              <x14:cfvo type="autoMax"/>
              <x14:borderColor rgb="FF63C384"/>
              <x14:negativeFillColor rgb="FFFF0000"/>
              <x14:negativeBorderColor rgb="FFFF0000"/>
              <x14:axisColor rgb="FF000000"/>
            </x14:dataBar>
          </x14:cfRule>
          <xm:sqref>Z336</xm:sqref>
        </x14:conditionalFormatting>
        <x14:conditionalFormatting xmlns:xm="http://schemas.microsoft.com/office/excel/2006/main">
          <x14:cfRule type="dataBar" id="{DB6EE2CF-8D02-4F37-8F4A-29201A353D75}">
            <x14:dataBar minLength="0" maxLength="100" border="1" negativeBarBorderColorSameAsPositive="0">
              <x14:cfvo type="autoMin"/>
              <x14:cfvo type="autoMax"/>
              <x14:borderColor rgb="FF63C384"/>
              <x14:negativeFillColor rgb="FFFF0000"/>
              <x14:negativeBorderColor rgb="FFFF0000"/>
              <x14:axisColor rgb="FF000000"/>
            </x14:dataBar>
          </x14:cfRule>
          <xm:sqref>Z336</xm:sqref>
        </x14:conditionalFormatting>
        <x14:conditionalFormatting xmlns:xm="http://schemas.microsoft.com/office/excel/2006/main">
          <x14:cfRule type="dataBar" id="{27593329-EA0D-45ED-8616-261406E15D65}">
            <x14:dataBar minLength="0" maxLength="100" border="1" negativeBarBorderColorSameAsPositive="0">
              <x14:cfvo type="autoMin"/>
              <x14:cfvo type="autoMax"/>
              <x14:borderColor rgb="FF63C384"/>
              <x14:negativeFillColor rgb="FFFF0000"/>
              <x14:negativeBorderColor rgb="FFFF0000"/>
              <x14:axisColor rgb="FF000000"/>
            </x14:dataBar>
          </x14:cfRule>
          <xm:sqref>Z337</xm:sqref>
        </x14:conditionalFormatting>
        <x14:conditionalFormatting xmlns:xm="http://schemas.microsoft.com/office/excel/2006/main">
          <x14:cfRule type="dataBar" id="{C9BBAA7D-9FFA-4AF9-86BA-5E9DF245CF2F}">
            <x14:dataBar minLength="0" maxLength="100" border="1" negativeBarBorderColorSameAsPositive="0">
              <x14:cfvo type="autoMin"/>
              <x14:cfvo type="autoMax"/>
              <x14:borderColor rgb="FF63C384"/>
              <x14:negativeFillColor rgb="FFFF0000"/>
              <x14:negativeBorderColor rgb="FFFF0000"/>
              <x14:axisColor rgb="FF000000"/>
            </x14:dataBar>
          </x14:cfRule>
          <xm:sqref>Z337</xm:sqref>
        </x14:conditionalFormatting>
        <x14:conditionalFormatting xmlns:xm="http://schemas.microsoft.com/office/excel/2006/main">
          <x14:cfRule type="dataBar" id="{6EC6ACA3-C803-4828-86BF-0723DB87EA90}">
            <x14:dataBar minLength="0" maxLength="100" border="1" negativeBarBorderColorSameAsPositive="0">
              <x14:cfvo type="autoMin"/>
              <x14:cfvo type="autoMax"/>
              <x14:borderColor rgb="FF63C384"/>
              <x14:negativeFillColor rgb="FFFF0000"/>
              <x14:negativeBorderColor rgb="FFFF0000"/>
              <x14:axisColor rgb="FF000000"/>
            </x14:dataBar>
          </x14:cfRule>
          <xm:sqref>Z338</xm:sqref>
        </x14:conditionalFormatting>
        <x14:conditionalFormatting xmlns:xm="http://schemas.microsoft.com/office/excel/2006/main">
          <x14:cfRule type="dataBar" id="{7DBB66AF-5E47-4226-876E-431E95C6AE1E}">
            <x14:dataBar minLength="0" maxLength="100" border="1" negativeBarBorderColorSameAsPositive="0">
              <x14:cfvo type="autoMin"/>
              <x14:cfvo type="autoMax"/>
              <x14:borderColor rgb="FF63C384"/>
              <x14:negativeFillColor rgb="FFFF0000"/>
              <x14:negativeBorderColor rgb="FFFF0000"/>
              <x14:axisColor rgb="FF000000"/>
            </x14:dataBar>
          </x14:cfRule>
          <xm:sqref>Z338</xm:sqref>
        </x14:conditionalFormatting>
        <x14:conditionalFormatting xmlns:xm="http://schemas.microsoft.com/office/excel/2006/main">
          <x14:cfRule type="dataBar" id="{60ECE27D-52CF-4CCD-97A7-56EEE2F32370}">
            <x14:dataBar minLength="0" maxLength="100" border="1" negativeBarBorderColorSameAsPositive="0">
              <x14:cfvo type="autoMin"/>
              <x14:cfvo type="autoMax"/>
              <x14:borderColor rgb="FF63C384"/>
              <x14:negativeFillColor rgb="FFFF0000"/>
              <x14:negativeBorderColor rgb="FFFF0000"/>
              <x14:axisColor rgb="FF000000"/>
            </x14:dataBar>
          </x14:cfRule>
          <xm:sqref>Z339</xm:sqref>
        </x14:conditionalFormatting>
        <x14:conditionalFormatting xmlns:xm="http://schemas.microsoft.com/office/excel/2006/main">
          <x14:cfRule type="dataBar" id="{31391BCF-4875-4E1C-B117-4824C91CBAEC}">
            <x14:dataBar minLength="0" maxLength="100" border="1" negativeBarBorderColorSameAsPositive="0">
              <x14:cfvo type="autoMin"/>
              <x14:cfvo type="autoMax"/>
              <x14:borderColor rgb="FF63C384"/>
              <x14:negativeFillColor rgb="FFFF0000"/>
              <x14:negativeBorderColor rgb="FFFF0000"/>
              <x14:axisColor rgb="FF000000"/>
            </x14:dataBar>
          </x14:cfRule>
          <xm:sqref>Z339</xm:sqref>
        </x14:conditionalFormatting>
        <x14:conditionalFormatting xmlns:xm="http://schemas.microsoft.com/office/excel/2006/main">
          <x14:cfRule type="dataBar" id="{551A8433-FA8A-41A8-8A38-EA946D07CC7F}">
            <x14:dataBar minLength="0" maxLength="100" border="1" negativeBarBorderColorSameAsPositive="0">
              <x14:cfvo type="autoMin"/>
              <x14:cfvo type="autoMax"/>
              <x14:borderColor rgb="FF63C384"/>
              <x14:negativeFillColor rgb="FFFF0000"/>
              <x14:negativeBorderColor rgb="FFFF0000"/>
              <x14:axisColor rgb="FF000000"/>
            </x14:dataBar>
          </x14:cfRule>
          <xm:sqref>Z340</xm:sqref>
        </x14:conditionalFormatting>
        <x14:conditionalFormatting xmlns:xm="http://schemas.microsoft.com/office/excel/2006/main">
          <x14:cfRule type="dataBar" id="{C5D89E8A-A817-40AD-B72A-A510F57D45A2}">
            <x14:dataBar minLength="0" maxLength="100" border="1" negativeBarBorderColorSameAsPositive="0">
              <x14:cfvo type="autoMin"/>
              <x14:cfvo type="autoMax"/>
              <x14:borderColor rgb="FF63C384"/>
              <x14:negativeFillColor rgb="FFFF0000"/>
              <x14:negativeBorderColor rgb="FFFF0000"/>
              <x14:axisColor rgb="FF000000"/>
            </x14:dataBar>
          </x14:cfRule>
          <xm:sqref>Z340</xm:sqref>
        </x14:conditionalFormatting>
        <x14:conditionalFormatting xmlns:xm="http://schemas.microsoft.com/office/excel/2006/main">
          <x14:cfRule type="dataBar" id="{214CB9F8-67F8-4619-914F-6E7F46578693}">
            <x14:dataBar minLength="0" maxLength="100" border="1" negativeBarBorderColorSameAsPositive="0">
              <x14:cfvo type="autoMin"/>
              <x14:cfvo type="autoMax"/>
              <x14:borderColor rgb="FF63C384"/>
              <x14:negativeFillColor rgb="FFFF0000"/>
              <x14:negativeBorderColor rgb="FFFF0000"/>
              <x14:axisColor rgb="FF000000"/>
            </x14:dataBar>
          </x14:cfRule>
          <xm:sqref>Z341</xm:sqref>
        </x14:conditionalFormatting>
        <x14:conditionalFormatting xmlns:xm="http://schemas.microsoft.com/office/excel/2006/main">
          <x14:cfRule type="dataBar" id="{8F47B632-1903-4244-89EC-1B6F38B1636F}">
            <x14:dataBar minLength="0" maxLength="100" border="1" negativeBarBorderColorSameAsPositive="0">
              <x14:cfvo type="autoMin"/>
              <x14:cfvo type="autoMax"/>
              <x14:borderColor rgb="FF63C384"/>
              <x14:negativeFillColor rgb="FFFF0000"/>
              <x14:negativeBorderColor rgb="FFFF0000"/>
              <x14:axisColor rgb="FF000000"/>
            </x14:dataBar>
          </x14:cfRule>
          <xm:sqref>Z341</xm:sqref>
        </x14:conditionalFormatting>
        <x14:conditionalFormatting xmlns:xm="http://schemas.microsoft.com/office/excel/2006/main">
          <x14:cfRule type="dataBar" id="{CBC0CA38-8618-4209-A8E9-2121A688C329}">
            <x14:dataBar minLength="0" maxLength="100" border="1" negativeBarBorderColorSameAsPositive="0">
              <x14:cfvo type="autoMin"/>
              <x14:cfvo type="autoMax"/>
              <x14:borderColor rgb="FF63C384"/>
              <x14:negativeFillColor rgb="FFFF0000"/>
              <x14:negativeBorderColor rgb="FFFF0000"/>
              <x14:axisColor rgb="FF000000"/>
            </x14:dataBar>
          </x14:cfRule>
          <xm:sqref>Z342</xm:sqref>
        </x14:conditionalFormatting>
        <x14:conditionalFormatting xmlns:xm="http://schemas.microsoft.com/office/excel/2006/main">
          <x14:cfRule type="dataBar" id="{F8226597-8089-4E5B-92E0-C0083A8DC614}">
            <x14:dataBar minLength="0" maxLength="100" border="1" negativeBarBorderColorSameAsPositive="0">
              <x14:cfvo type="autoMin"/>
              <x14:cfvo type="autoMax"/>
              <x14:borderColor rgb="FF63C384"/>
              <x14:negativeFillColor rgb="FFFF0000"/>
              <x14:negativeBorderColor rgb="FFFF0000"/>
              <x14:axisColor rgb="FF000000"/>
            </x14:dataBar>
          </x14:cfRule>
          <xm:sqref>Z342</xm:sqref>
        </x14:conditionalFormatting>
        <x14:conditionalFormatting xmlns:xm="http://schemas.microsoft.com/office/excel/2006/main">
          <x14:cfRule type="dataBar" id="{210563FF-B26A-4187-A079-D7B73D7D9AAA}">
            <x14:dataBar minLength="0" maxLength="100" border="1" negativeBarBorderColorSameAsPositive="0">
              <x14:cfvo type="autoMin"/>
              <x14:cfvo type="autoMax"/>
              <x14:borderColor rgb="FF63C384"/>
              <x14:negativeFillColor rgb="FFFF0000"/>
              <x14:negativeBorderColor rgb="FFFF0000"/>
              <x14:axisColor rgb="FF000000"/>
            </x14:dataBar>
          </x14:cfRule>
          <xm:sqref>Z343</xm:sqref>
        </x14:conditionalFormatting>
        <x14:conditionalFormatting xmlns:xm="http://schemas.microsoft.com/office/excel/2006/main">
          <x14:cfRule type="dataBar" id="{736FA7E7-3504-41A1-BDD5-2D078F5D77DB}">
            <x14:dataBar minLength="0" maxLength="100" border="1" negativeBarBorderColorSameAsPositive="0">
              <x14:cfvo type="autoMin"/>
              <x14:cfvo type="autoMax"/>
              <x14:borderColor rgb="FF63C384"/>
              <x14:negativeFillColor rgb="FFFF0000"/>
              <x14:negativeBorderColor rgb="FFFF0000"/>
              <x14:axisColor rgb="FF000000"/>
            </x14:dataBar>
          </x14:cfRule>
          <xm:sqref>Z343</xm:sqref>
        </x14:conditionalFormatting>
        <x14:conditionalFormatting xmlns:xm="http://schemas.microsoft.com/office/excel/2006/main">
          <x14:cfRule type="dataBar" id="{C9EA43E6-3BAD-4206-A143-0B928B9BBD17}">
            <x14:dataBar minLength="0" maxLength="100" border="1" negativeBarBorderColorSameAsPositive="0">
              <x14:cfvo type="autoMin"/>
              <x14:cfvo type="autoMax"/>
              <x14:borderColor rgb="FF63C384"/>
              <x14:negativeFillColor rgb="FFFF0000"/>
              <x14:negativeBorderColor rgb="FFFF0000"/>
              <x14:axisColor rgb="FF000000"/>
            </x14:dataBar>
          </x14:cfRule>
          <xm:sqref>Z344</xm:sqref>
        </x14:conditionalFormatting>
        <x14:conditionalFormatting xmlns:xm="http://schemas.microsoft.com/office/excel/2006/main">
          <x14:cfRule type="dataBar" id="{A53852E7-5225-4746-8ECD-173A1A39EF15}">
            <x14:dataBar minLength="0" maxLength="100" border="1" negativeBarBorderColorSameAsPositive="0">
              <x14:cfvo type="autoMin"/>
              <x14:cfvo type="autoMax"/>
              <x14:borderColor rgb="FF63C384"/>
              <x14:negativeFillColor rgb="FFFF0000"/>
              <x14:negativeBorderColor rgb="FFFF0000"/>
              <x14:axisColor rgb="FF000000"/>
            </x14:dataBar>
          </x14:cfRule>
          <xm:sqref>Z344</xm:sqref>
        </x14:conditionalFormatting>
        <x14:conditionalFormatting xmlns:xm="http://schemas.microsoft.com/office/excel/2006/main">
          <x14:cfRule type="dataBar" id="{1042D241-8C46-492B-B6E2-00440DEDA1F6}">
            <x14:dataBar minLength="0" maxLength="100" border="1" negativeBarBorderColorSameAsPositive="0">
              <x14:cfvo type="autoMin"/>
              <x14:cfvo type="autoMax"/>
              <x14:borderColor rgb="FF63C384"/>
              <x14:negativeFillColor rgb="FFFF0000"/>
              <x14:negativeBorderColor rgb="FFFF0000"/>
              <x14:axisColor rgb="FF000000"/>
            </x14:dataBar>
          </x14:cfRule>
          <xm:sqref>Z345</xm:sqref>
        </x14:conditionalFormatting>
        <x14:conditionalFormatting xmlns:xm="http://schemas.microsoft.com/office/excel/2006/main">
          <x14:cfRule type="dataBar" id="{DFFFFFC1-6924-4942-8429-32B20D6E3EE5}">
            <x14:dataBar minLength="0" maxLength="100" border="1" negativeBarBorderColorSameAsPositive="0">
              <x14:cfvo type="autoMin"/>
              <x14:cfvo type="autoMax"/>
              <x14:borderColor rgb="FF63C384"/>
              <x14:negativeFillColor rgb="FFFF0000"/>
              <x14:negativeBorderColor rgb="FFFF0000"/>
              <x14:axisColor rgb="FF000000"/>
            </x14:dataBar>
          </x14:cfRule>
          <xm:sqref>Z345</xm:sqref>
        </x14:conditionalFormatting>
        <x14:conditionalFormatting xmlns:xm="http://schemas.microsoft.com/office/excel/2006/main">
          <x14:cfRule type="dataBar" id="{675BE9FC-35C9-4F50-9AE5-B039456BCEE1}">
            <x14:dataBar minLength="0" maxLength="100" border="1" negativeBarBorderColorSameAsPositive="0">
              <x14:cfvo type="autoMin"/>
              <x14:cfvo type="autoMax"/>
              <x14:borderColor rgb="FF63C384"/>
              <x14:negativeFillColor rgb="FFFF0000"/>
              <x14:negativeBorderColor rgb="FFFF0000"/>
              <x14:axisColor rgb="FF000000"/>
            </x14:dataBar>
          </x14:cfRule>
          <xm:sqref>Z346</xm:sqref>
        </x14:conditionalFormatting>
        <x14:conditionalFormatting xmlns:xm="http://schemas.microsoft.com/office/excel/2006/main">
          <x14:cfRule type="dataBar" id="{251E4500-89BC-4A89-8751-9ACB10C69393}">
            <x14:dataBar minLength="0" maxLength="100" border="1" negativeBarBorderColorSameAsPositive="0">
              <x14:cfvo type="autoMin"/>
              <x14:cfvo type="autoMax"/>
              <x14:borderColor rgb="FF63C384"/>
              <x14:negativeFillColor rgb="FFFF0000"/>
              <x14:negativeBorderColor rgb="FFFF0000"/>
              <x14:axisColor rgb="FF000000"/>
            </x14:dataBar>
          </x14:cfRule>
          <xm:sqref>Z346</xm:sqref>
        </x14:conditionalFormatting>
        <x14:conditionalFormatting xmlns:xm="http://schemas.microsoft.com/office/excel/2006/main">
          <x14:cfRule type="dataBar" id="{1BB6A71D-F321-4764-B9B2-5BA488EA4DC6}">
            <x14:dataBar minLength="0" maxLength="100" border="1" negativeBarBorderColorSameAsPositive="0">
              <x14:cfvo type="autoMin"/>
              <x14:cfvo type="autoMax"/>
              <x14:borderColor rgb="FF63C384"/>
              <x14:negativeFillColor rgb="FFFF0000"/>
              <x14:negativeBorderColor rgb="FFFF0000"/>
              <x14:axisColor rgb="FF000000"/>
            </x14:dataBar>
          </x14:cfRule>
          <xm:sqref>Z347</xm:sqref>
        </x14:conditionalFormatting>
        <x14:conditionalFormatting xmlns:xm="http://schemas.microsoft.com/office/excel/2006/main">
          <x14:cfRule type="dataBar" id="{A58A57D8-ABF6-42FD-8D8A-E5AFF45296C3}">
            <x14:dataBar minLength="0" maxLength="100" border="1" negativeBarBorderColorSameAsPositive="0">
              <x14:cfvo type="autoMin"/>
              <x14:cfvo type="autoMax"/>
              <x14:borderColor rgb="FF63C384"/>
              <x14:negativeFillColor rgb="FFFF0000"/>
              <x14:negativeBorderColor rgb="FFFF0000"/>
              <x14:axisColor rgb="FF000000"/>
            </x14:dataBar>
          </x14:cfRule>
          <xm:sqref>Z347</xm:sqref>
        </x14:conditionalFormatting>
        <x14:conditionalFormatting xmlns:xm="http://schemas.microsoft.com/office/excel/2006/main">
          <x14:cfRule type="dataBar" id="{B912F43E-D2F8-4E12-BFB0-167A829EDF66}">
            <x14:dataBar minLength="0" maxLength="100" border="1" negativeBarBorderColorSameAsPositive="0">
              <x14:cfvo type="autoMin"/>
              <x14:cfvo type="autoMax"/>
              <x14:borderColor rgb="FF63C384"/>
              <x14:negativeFillColor rgb="FFFF0000"/>
              <x14:negativeBorderColor rgb="FFFF0000"/>
              <x14:axisColor rgb="FF000000"/>
            </x14:dataBar>
          </x14:cfRule>
          <xm:sqref>Z348</xm:sqref>
        </x14:conditionalFormatting>
        <x14:conditionalFormatting xmlns:xm="http://schemas.microsoft.com/office/excel/2006/main">
          <x14:cfRule type="dataBar" id="{CDC3EDA1-1958-4B21-B757-A6F5172390C5}">
            <x14:dataBar minLength="0" maxLength="100" border="1" negativeBarBorderColorSameAsPositive="0">
              <x14:cfvo type="autoMin"/>
              <x14:cfvo type="autoMax"/>
              <x14:borderColor rgb="FF63C384"/>
              <x14:negativeFillColor rgb="FFFF0000"/>
              <x14:negativeBorderColor rgb="FFFF0000"/>
              <x14:axisColor rgb="FF000000"/>
            </x14:dataBar>
          </x14:cfRule>
          <xm:sqref>Z348</xm:sqref>
        </x14:conditionalFormatting>
        <x14:conditionalFormatting xmlns:xm="http://schemas.microsoft.com/office/excel/2006/main">
          <x14:cfRule type="dataBar" id="{8384D411-F707-4CC8-BACE-4997D92369B1}">
            <x14:dataBar minLength="0" maxLength="100" border="1" negativeBarBorderColorSameAsPositive="0">
              <x14:cfvo type="autoMin"/>
              <x14:cfvo type="autoMax"/>
              <x14:borderColor rgb="FF63C384"/>
              <x14:negativeFillColor rgb="FFFF0000"/>
              <x14:negativeBorderColor rgb="FFFF0000"/>
              <x14:axisColor rgb="FF000000"/>
            </x14:dataBar>
          </x14:cfRule>
          <xm:sqref>Z349</xm:sqref>
        </x14:conditionalFormatting>
        <x14:conditionalFormatting xmlns:xm="http://schemas.microsoft.com/office/excel/2006/main">
          <x14:cfRule type="dataBar" id="{1782BD16-4B92-42CF-9DC8-1321522B1893}">
            <x14:dataBar minLength="0" maxLength="100" border="1" negativeBarBorderColorSameAsPositive="0">
              <x14:cfvo type="autoMin"/>
              <x14:cfvo type="autoMax"/>
              <x14:borderColor rgb="FF63C384"/>
              <x14:negativeFillColor rgb="FFFF0000"/>
              <x14:negativeBorderColor rgb="FFFF0000"/>
              <x14:axisColor rgb="FF000000"/>
            </x14:dataBar>
          </x14:cfRule>
          <xm:sqref>Z349</xm:sqref>
        </x14:conditionalFormatting>
        <x14:conditionalFormatting xmlns:xm="http://schemas.microsoft.com/office/excel/2006/main">
          <x14:cfRule type="dataBar" id="{1E03D43F-F5E9-4E72-AA6E-9A34B76D8BAB}">
            <x14:dataBar minLength="0" maxLength="100" border="1" negativeBarBorderColorSameAsPositive="0">
              <x14:cfvo type="autoMin"/>
              <x14:cfvo type="autoMax"/>
              <x14:borderColor rgb="FF63C384"/>
              <x14:negativeFillColor rgb="FFFF0000"/>
              <x14:negativeBorderColor rgb="FFFF0000"/>
              <x14:axisColor rgb="FF000000"/>
            </x14:dataBar>
          </x14:cfRule>
          <xm:sqref>Z350</xm:sqref>
        </x14:conditionalFormatting>
        <x14:conditionalFormatting xmlns:xm="http://schemas.microsoft.com/office/excel/2006/main">
          <x14:cfRule type="dataBar" id="{99516746-F87E-47F3-8634-81A3543D0EE9}">
            <x14:dataBar minLength="0" maxLength="100" border="1" negativeBarBorderColorSameAsPositive="0">
              <x14:cfvo type="autoMin"/>
              <x14:cfvo type="autoMax"/>
              <x14:borderColor rgb="FF63C384"/>
              <x14:negativeFillColor rgb="FFFF0000"/>
              <x14:negativeBorderColor rgb="FFFF0000"/>
              <x14:axisColor rgb="FF000000"/>
            </x14:dataBar>
          </x14:cfRule>
          <xm:sqref>Z350</xm:sqref>
        </x14:conditionalFormatting>
        <x14:conditionalFormatting xmlns:xm="http://schemas.microsoft.com/office/excel/2006/main">
          <x14:cfRule type="dataBar" id="{18C51419-EB1E-4E20-9C49-DD01C175CB45}">
            <x14:dataBar minLength="0" maxLength="100" border="1" negativeBarBorderColorSameAsPositive="0">
              <x14:cfvo type="autoMin"/>
              <x14:cfvo type="autoMax"/>
              <x14:borderColor rgb="FF63C384"/>
              <x14:negativeFillColor rgb="FFFF0000"/>
              <x14:negativeBorderColor rgb="FFFF0000"/>
              <x14:axisColor rgb="FF000000"/>
            </x14:dataBar>
          </x14:cfRule>
          <xm:sqref>Z351</xm:sqref>
        </x14:conditionalFormatting>
        <x14:conditionalFormatting xmlns:xm="http://schemas.microsoft.com/office/excel/2006/main">
          <x14:cfRule type="dataBar" id="{83B3D67D-602E-478E-A901-A22AD8EA8532}">
            <x14:dataBar minLength="0" maxLength="100" border="1" negativeBarBorderColorSameAsPositive="0">
              <x14:cfvo type="autoMin"/>
              <x14:cfvo type="autoMax"/>
              <x14:borderColor rgb="FF63C384"/>
              <x14:negativeFillColor rgb="FFFF0000"/>
              <x14:negativeBorderColor rgb="FFFF0000"/>
              <x14:axisColor rgb="FF000000"/>
            </x14:dataBar>
          </x14:cfRule>
          <xm:sqref>Z351</xm:sqref>
        </x14:conditionalFormatting>
        <x14:conditionalFormatting xmlns:xm="http://schemas.microsoft.com/office/excel/2006/main">
          <x14:cfRule type="dataBar" id="{A0C1282D-58E0-4017-8B84-FDEF4E62CE89}">
            <x14:dataBar minLength="0" maxLength="100" border="1" negativeBarBorderColorSameAsPositive="0">
              <x14:cfvo type="autoMin"/>
              <x14:cfvo type="autoMax"/>
              <x14:borderColor rgb="FF63C384"/>
              <x14:negativeFillColor rgb="FFFF0000"/>
              <x14:negativeBorderColor rgb="FFFF0000"/>
              <x14:axisColor rgb="FF000000"/>
            </x14:dataBar>
          </x14:cfRule>
          <xm:sqref>Z352</xm:sqref>
        </x14:conditionalFormatting>
        <x14:conditionalFormatting xmlns:xm="http://schemas.microsoft.com/office/excel/2006/main">
          <x14:cfRule type="dataBar" id="{9F12D1A7-068D-4118-984D-2D4C045C5348}">
            <x14:dataBar minLength="0" maxLength="100" border="1" negativeBarBorderColorSameAsPositive="0">
              <x14:cfvo type="autoMin"/>
              <x14:cfvo type="autoMax"/>
              <x14:borderColor rgb="FF63C384"/>
              <x14:negativeFillColor rgb="FFFF0000"/>
              <x14:negativeBorderColor rgb="FFFF0000"/>
              <x14:axisColor rgb="FF000000"/>
            </x14:dataBar>
          </x14:cfRule>
          <xm:sqref>Z352</xm:sqref>
        </x14:conditionalFormatting>
        <x14:conditionalFormatting xmlns:xm="http://schemas.microsoft.com/office/excel/2006/main">
          <x14:cfRule type="dataBar" id="{22A881D1-7946-4711-9A96-0BD842C20CE8}">
            <x14:dataBar minLength="0" maxLength="100" border="1" negativeBarBorderColorSameAsPositive="0">
              <x14:cfvo type="autoMin"/>
              <x14:cfvo type="autoMax"/>
              <x14:borderColor rgb="FF63C384"/>
              <x14:negativeFillColor rgb="FFFF0000"/>
              <x14:negativeBorderColor rgb="FFFF0000"/>
              <x14:axisColor rgb="FF000000"/>
            </x14:dataBar>
          </x14:cfRule>
          <xm:sqref>Z353</xm:sqref>
        </x14:conditionalFormatting>
        <x14:conditionalFormatting xmlns:xm="http://schemas.microsoft.com/office/excel/2006/main">
          <x14:cfRule type="dataBar" id="{42F1807A-F376-4C1B-AC83-1DA34082F0D1}">
            <x14:dataBar minLength="0" maxLength="100" border="1" negativeBarBorderColorSameAsPositive="0">
              <x14:cfvo type="autoMin"/>
              <x14:cfvo type="autoMax"/>
              <x14:borderColor rgb="FF63C384"/>
              <x14:negativeFillColor rgb="FFFF0000"/>
              <x14:negativeBorderColor rgb="FFFF0000"/>
              <x14:axisColor rgb="FF000000"/>
            </x14:dataBar>
          </x14:cfRule>
          <xm:sqref>Z353</xm:sqref>
        </x14:conditionalFormatting>
        <x14:conditionalFormatting xmlns:xm="http://schemas.microsoft.com/office/excel/2006/main">
          <x14:cfRule type="dataBar" id="{12D3B1BE-F8AC-437A-B604-771AC2AB6259}">
            <x14:dataBar minLength="0" maxLength="100" border="1" negativeBarBorderColorSameAsPositive="0">
              <x14:cfvo type="autoMin"/>
              <x14:cfvo type="autoMax"/>
              <x14:borderColor rgb="FF63C384"/>
              <x14:negativeFillColor rgb="FFFF0000"/>
              <x14:negativeBorderColor rgb="FFFF0000"/>
              <x14:axisColor rgb="FF000000"/>
            </x14:dataBar>
          </x14:cfRule>
          <xm:sqref>Z354</xm:sqref>
        </x14:conditionalFormatting>
        <x14:conditionalFormatting xmlns:xm="http://schemas.microsoft.com/office/excel/2006/main">
          <x14:cfRule type="dataBar" id="{D6525616-0865-4DE0-8828-2CACD5A80F6B}">
            <x14:dataBar minLength="0" maxLength="100" border="1" negativeBarBorderColorSameAsPositive="0">
              <x14:cfvo type="autoMin"/>
              <x14:cfvo type="autoMax"/>
              <x14:borderColor rgb="FF63C384"/>
              <x14:negativeFillColor rgb="FFFF0000"/>
              <x14:negativeBorderColor rgb="FFFF0000"/>
              <x14:axisColor rgb="FF000000"/>
            </x14:dataBar>
          </x14:cfRule>
          <xm:sqref>Z354</xm:sqref>
        </x14:conditionalFormatting>
        <x14:conditionalFormatting xmlns:xm="http://schemas.microsoft.com/office/excel/2006/main">
          <x14:cfRule type="dataBar" id="{72FEB70E-F338-4DD9-A3E9-E32FFD217AC6}">
            <x14:dataBar minLength="0" maxLength="100" border="1" negativeBarBorderColorSameAsPositive="0">
              <x14:cfvo type="autoMin"/>
              <x14:cfvo type="autoMax"/>
              <x14:borderColor rgb="FF63C384"/>
              <x14:negativeFillColor rgb="FFFF0000"/>
              <x14:negativeBorderColor rgb="FFFF0000"/>
              <x14:axisColor rgb="FF000000"/>
            </x14:dataBar>
          </x14:cfRule>
          <xm:sqref>Z355</xm:sqref>
        </x14:conditionalFormatting>
        <x14:conditionalFormatting xmlns:xm="http://schemas.microsoft.com/office/excel/2006/main">
          <x14:cfRule type="dataBar" id="{67C0BEC2-17B1-4FEA-9999-A172617459C2}">
            <x14:dataBar minLength="0" maxLength="100" border="1" negativeBarBorderColorSameAsPositive="0">
              <x14:cfvo type="autoMin"/>
              <x14:cfvo type="autoMax"/>
              <x14:borderColor rgb="FF63C384"/>
              <x14:negativeFillColor rgb="FFFF0000"/>
              <x14:negativeBorderColor rgb="FFFF0000"/>
              <x14:axisColor rgb="FF000000"/>
            </x14:dataBar>
          </x14:cfRule>
          <xm:sqref>Z355</xm:sqref>
        </x14:conditionalFormatting>
        <x14:conditionalFormatting xmlns:xm="http://schemas.microsoft.com/office/excel/2006/main">
          <x14:cfRule type="dataBar" id="{CB182A55-E1C3-426F-9E05-E4DFFA16BDF6}">
            <x14:dataBar minLength="0" maxLength="100" border="1" negativeBarBorderColorSameAsPositive="0">
              <x14:cfvo type="autoMin"/>
              <x14:cfvo type="autoMax"/>
              <x14:borderColor rgb="FF63C384"/>
              <x14:negativeFillColor rgb="FFFF0000"/>
              <x14:negativeBorderColor rgb="FFFF0000"/>
              <x14:axisColor rgb="FF000000"/>
            </x14:dataBar>
          </x14:cfRule>
          <xm:sqref>Z356</xm:sqref>
        </x14:conditionalFormatting>
        <x14:conditionalFormatting xmlns:xm="http://schemas.microsoft.com/office/excel/2006/main">
          <x14:cfRule type="dataBar" id="{6AFD0990-7D88-49DE-9A56-1996BD0531D5}">
            <x14:dataBar minLength="0" maxLength="100" border="1" negativeBarBorderColorSameAsPositive="0">
              <x14:cfvo type="autoMin"/>
              <x14:cfvo type="autoMax"/>
              <x14:borderColor rgb="FF63C384"/>
              <x14:negativeFillColor rgb="FFFF0000"/>
              <x14:negativeBorderColor rgb="FFFF0000"/>
              <x14:axisColor rgb="FF000000"/>
            </x14:dataBar>
          </x14:cfRule>
          <xm:sqref>Z357</xm:sqref>
        </x14:conditionalFormatting>
        <x14:conditionalFormatting xmlns:xm="http://schemas.microsoft.com/office/excel/2006/main">
          <x14:cfRule type="dataBar" id="{79D0BA12-C9BD-4D3B-8FCB-82DDD6DAEEFE}">
            <x14:dataBar minLength="0" maxLength="100" border="1" negativeBarBorderColorSameAsPositive="0">
              <x14:cfvo type="autoMin"/>
              <x14:cfvo type="autoMax"/>
              <x14:borderColor rgb="FF63C384"/>
              <x14:negativeFillColor rgb="FFFF0000"/>
              <x14:negativeBorderColor rgb="FFFF0000"/>
              <x14:axisColor rgb="FF000000"/>
            </x14:dataBar>
          </x14:cfRule>
          <xm:sqref>Z357</xm:sqref>
        </x14:conditionalFormatting>
        <x14:conditionalFormatting xmlns:xm="http://schemas.microsoft.com/office/excel/2006/main">
          <x14:cfRule type="dataBar" id="{101ED6D9-25DF-4AAB-833E-596E949C949C}">
            <x14:dataBar minLength="0" maxLength="100" border="1" negativeBarBorderColorSameAsPositive="0">
              <x14:cfvo type="autoMin"/>
              <x14:cfvo type="autoMax"/>
              <x14:borderColor rgb="FF63C384"/>
              <x14:negativeFillColor rgb="FFFF0000"/>
              <x14:negativeBorderColor rgb="FFFF0000"/>
              <x14:axisColor rgb="FF000000"/>
            </x14:dataBar>
          </x14:cfRule>
          <xm:sqref>Z358</xm:sqref>
        </x14:conditionalFormatting>
        <x14:conditionalFormatting xmlns:xm="http://schemas.microsoft.com/office/excel/2006/main">
          <x14:cfRule type="dataBar" id="{9732E26D-3C6F-4616-8C45-19CE2DD9CAEE}">
            <x14:dataBar minLength="0" maxLength="100" border="1" negativeBarBorderColorSameAsPositive="0">
              <x14:cfvo type="autoMin"/>
              <x14:cfvo type="autoMax"/>
              <x14:borderColor rgb="FF63C384"/>
              <x14:negativeFillColor rgb="FFFF0000"/>
              <x14:negativeBorderColor rgb="FFFF0000"/>
              <x14:axisColor rgb="FF000000"/>
            </x14:dataBar>
          </x14:cfRule>
          <xm:sqref>Z358</xm:sqref>
        </x14:conditionalFormatting>
        <x14:conditionalFormatting xmlns:xm="http://schemas.microsoft.com/office/excel/2006/main">
          <x14:cfRule type="dataBar" id="{6B8F1730-4DB3-4C11-A11D-3C2C6F5BB806}">
            <x14:dataBar minLength="0" maxLength="100" border="1" negativeBarBorderColorSameAsPositive="0">
              <x14:cfvo type="autoMin"/>
              <x14:cfvo type="autoMax"/>
              <x14:borderColor rgb="FF63C384"/>
              <x14:negativeFillColor rgb="FFFF0000"/>
              <x14:negativeBorderColor rgb="FFFF0000"/>
              <x14:axisColor rgb="FF000000"/>
            </x14:dataBar>
          </x14:cfRule>
          <xm:sqref>Z359</xm:sqref>
        </x14:conditionalFormatting>
        <x14:conditionalFormatting xmlns:xm="http://schemas.microsoft.com/office/excel/2006/main">
          <x14:cfRule type="dataBar" id="{E305041C-2DA4-4463-B9D5-835211B3F0AF}">
            <x14:dataBar minLength="0" maxLength="100" border="1" negativeBarBorderColorSameAsPositive="0">
              <x14:cfvo type="autoMin"/>
              <x14:cfvo type="autoMax"/>
              <x14:borderColor rgb="FF63C384"/>
              <x14:negativeFillColor rgb="FFFF0000"/>
              <x14:negativeBorderColor rgb="FFFF0000"/>
              <x14:axisColor rgb="FF000000"/>
            </x14:dataBar>
          </x14:cfRule>
          <xm:sqref>Z359</xm:sqref>
        </x14:conditionalFormatting>
        <x14:conditionalFormatting xmlns:xm="http://schemas.microsoft.com/office/excel/2006/main">
          <x14:cfRule type="dataBar" id="{22F83F4F-6ADA-44AD-B8D5-5114891D88A3}">
            <x14:dataBar minLength="0" maxLength="100" border="1" negativeBarBorderColorSameAsPositive="0">
              <x14:cfvo type="autoMin"/>
              <x14:cfvo type="autoMax"/>
              <x14:borderColor rgb="FF63C384"/>
              <x14:negativeFillColor rgb="FFFF0000"/>
              <x14:negativeBorderColor rgb="FFFF0000"/>
              <x14:axisColor rgb="FF000000"/>
            </x14:dataBar>
          </x14:cfRule>
          <xm:sqref>Z360</xm:sqref>
        </x14:conditionalFormatting>
        <x14:conditionalFormatting xmlns:xm="http://schemas.microsoft.com/office/excel/2006/main">
          <x14:cfRule type="dataBar" id="{F2EE4F43-E4E1-4EA2-A332-9E438E61B316}">
            <x14:dataBar minLength="0" maxLength="100" border="1" negativeBarBorderColorSameAsPositive="0">
              <x14:cfvo type="autoMin"/>
              <x14:cfvo type="autoMax"/>
              <x14:borderColor rgb="FF63C384"/>
              <x14:negativeFillColor rgb="FFFF0000"/>
              <x14:negativeBorderColor rgb="FFFF0000"/>
              <x14:axisColor rgb="FF000000"/>
            </x14:dataBar>
          </x14:cfRule>
          <xm:sqref>Z360</xm:sqref>
        </x14:conditionalFormatting>
        <x14:conditionalFormatting xmlns:xm="http://schemas.microsoft.com/office/excel/2006/main">
          <x14:cfRule type="dataBar" id="{E16D2C46-78AA-4CBA-A58B-318DD3960431}">
            <x14:dataBar minLength="0" maxLength="100" border="1" negativeBarBorderColorSameAsPositive="0">
              <x14:cfvo type="autoMin"/>
              <x14:cfvo type="autoMax"/>
              <x14:borderColor rgb="FF63C384"/>
              <x14:negativeFillColor rgb="FFFF0000"/>
              <x14:negativeBorderColor rgb="FFFF0000"/>
              <x14:axisColor rgb="FF000000"/>
            </x14:dataBar>
          </x14:cfRule>
          <xm:sqref>Z362</xm:sqref>
        </x14:conditionalFormatting>
        <x14:conditionalFormatting xmlns:xm="http://schemas.microsoft.com/office/excel/2006/main">
          <x14:cfRule type="dataBar" id="{C38F5E32-0E60-4F25-8E64-8E74AA6A8D44}">
            <x14:dataBar minLength="0" maxLength="100" border="1" negativeBarBorderColorSameAsPositive="0">
              <x14:cfvo type="autoMin"/>
              <x14:cfvo type="autoMax"/>
              <x14:borderColor rgb="FF63C384"/>
              <x14:negativeFillColor rgb="FFFF0000"/>
              <x14:negativeBorderColor rgb="FFFF0000"/>
              <x14:axisColor rgb="FF000000"/>
            </x14:dataBar>
          </x14:cfRule>
          <xm:sqref>Z362</xm:sqref>
        </x14:conditionalFormatting>
        <x14:conditionalFormatting xmlns:xm="http://schemas.microsoft.com/office/excel/2006/main">
          <x14:cfRule type="dataBar" id="{234B75F6-2D49-4CEA-B211-60FF51186D07}">
            <x14:dataBar minLength="0" maxLength="100" border="1" negativeBarBorderColorSameAsPositive="0">
              <x14:cfvo type="autoMin"/>
              <x14:cfvo type="autoMax"/>
              <x14:borderColor rgb="FF63C384"/>
              <x14:negativeFillColor rgb="FFFF0000"/>
              <x14:negativeBorderColor rgb="FFFF0000"/>
              <x14:axisColor rgb="FF000000"/>
            </x14:dataBar>
          </x14:cfRule>
          <xm:sqref>Z361</xm:sqref>
        </x14:conditionalFormatting>
        <x14:conditionalFormatting xmlns:xm="http://schemas.microsoft.com/office/excel/2006/main">
          <x14:cfRule type="dataBar" id="{8456F769-BA85-466A-A9CD-97D834AABC82}">
            <x14:dataBar minLength="0" maxLength="100" border="1" negativeBarBorderColorSameAsPositive="0">
              <x14:cfvo type="autoMin"/>
              <x14:cfvo type="autoMax"/>
              <x14:borderColor rgb="FF63C384"/>
              <x14:negativeFillColor rgb="FFFF0000"/>
              <x14:negativeBorderColor rgb="FFFF0000"/>
              <x14:axisColor rgb="FF000000"/>
            </x14:dataBar>
          </x14:cfRule>
          <xm:sqref>Z361</xm:sqref>
        </x14:conditionalFormatting>
        <x14:conditionalFormatting xmlns:xm="http://schemas.microsoft.com/office/excel/2006/main">
          <x14:cfRule type="dataBar" id="{523DE019-4967-4A48-ADF5-F76F6C773DF2}">
            <x14:dataBar minLength="0" maxLength="100" border="1" negativeBarBorderColorSameAsPositive="0">
              <x14:cfvo type="autoMin"/>
              <x14:cfvo type="autoMax"/>
              <x14:borderColor rgb="FF63C384"/>
              <x14:negativeFillColor rgb="FFFF0000"/>
              <x14:negativeBorderColor rgb="FFFF0000"/>
              <x14:axisColor rgb="FF000000"/>
            </x14:dataBar>
          </x14:cfRule>
          <xm:sqref>Z363</xm:sqref>
        </x14:conditionalFormatting>
        <x14:conditionalFormatting xmlns:xm="http://schemas.microsoft.com/office/excel/2006/main">
          <x14:cfRule type="dataBar" id="{B5EE1CA0-2F00-4DF1-9BC4-C25416CC0DFE}">
            <x14:dataBar minLength="0" maxLength="100" border="1" negativeBarBorderColorSameAsPositive="0">
              <x14:cfvo type="autoMin"/>
              <x14:cfvo type="autoMax"/>
              <x14:borderColor rgb="FF63C384"/>
              <x14:negativeFillColor rgb="FFFF0000"/>
              <x14:negativeBorderColor rgb="FFFF0000"/>
              <x14:axisColor rgb="FF000000"/>
            </x14:dataBar>
          </x14:cfRule>
          <xm:sqref>Z363</xm:sqref>
        </x14:conditionalFormatting>
        <x14:conditionalFormatting xmlns:xm="http://schemas.microsoft.com/office/excel/2006/main">
          <x14:cfRule type="dataBar" id="{B51461B5-3E34-4F33-9977-A17842F8B217}">
            <x14:dataBar minLength="0" maxLength="100" border="1" negativeBarBorderColorSameAsPositive="0">
              <x14:cfvo type="autoMin"/>
              <x14:cfvo type="autoMax"/>
              <x14:borderColor rgb="FF63C384"/>
              <x14:negativeFillColor rgb="FFFF0000"/>
              <x14:negativeBorderColor rgb="FFFF0000"/>
              <x14:axisColor rgb="FF000000"/>
            </x14:dataBar>
          </x14:cfRule>
          <xm:sqref>Z364</xm:sqref>
        </x14:conditionalFormatting>
        <x14:conditionalFormatting xmlns:xm="http://schemas.microsoft.com/office/excel/2006/main">
          <x14:cfRule type="dataBar" id="{16F30887-2E39-4727-8EA5-A00BC209E06F}">
            <x14:dataBar minLength="0" maxLength="100" border="1" negativeBarBorderColorSameAsPositive="0">
              <x14:cfvo type="autoMin"/>
              <x14:cfvo type="autoMax"/>
              <x14:borderColor rgb="FF63C384"/>
              <x14:negativeFillColor rgb="FFFF0000"/>
              <x14:negativeBorderColor rgb="FFFF0000"/>
              <x14:axisColor rgb="FF000000"/>
            </x14:dataBar>
          </x14:cfRule>
          <xm:sqref>Z364</xm:sqref>
        </x14:conditionalFormatting>
        <x14:conditionalFormatting xmlns:xm="http://schemas.microsoft.com/office/excel/2006/main">
          <x14:cfRule type="dataBar" id="{707F5FB0-6CA5-4D49-ACD9-0B41F03D753B}">
            <x14:dataBar minLength="0" maxLength="100" border="1" negativeBarBorderColorSameAsPositive="0">
              <x14:cfvo type="autoMin"/>
              <x14:cfvo type="autoMax"/>
              <x14:borderColor rgb="FF63C384"/>
              <x14:negativeFillColor rgb="FFFF0000"/>
              <x14:negativeBorderColor rgb="FFFF0000"/>
              <x14:axisColor rgb="FF000000"/>
            </x14:dataBar>
          </x14:cfRule>
          <xm:sqref>Z365</xm:sqref>
        </x14:conditionalFormatting>
        <x14:conditionalFormatting xmlns:xm="http://schemas.microsoft.com/office/excel/2006/main">
          <x14:cfRule type="dataBar" id="{FB5A1B51-B005-4856-B8B6-EEEA82DE9798}">
            <x14:dataBar minLength="0" maxLength="100" border="1" negativeBarBorderColorSameAsPositive="0">
              <x14:cfvo type="autoMin"/>
              <x14:cfvo type="autoMax"/>
              <x14:borderColor rgb="FF63C384"/>
              <x14:negativeFillColor rgb="FFFF0000"/>
              <x14:negativeBorderColor rgb="FFFF0000"/>
              <x14:axisColor rgb="FF000000"/>
            </x14:dataBar>
          </x14:cfRule>
          <xm:sqref>Z365</xm:sqref>
        </x14:conditionalFormatting>
        <x14:conditionalFormatting xmlns:xm="http://schemas.microsoft.com/office/excel/2006/main">
          <x14:cfRule type="dataBar" id="{9FF961E2-9674-4F88-883B-BFB3EC93901D}">
            <x14:dataBar minLength="0" maxLength="100" border="1" negativeBarBorderColorSameAsPositive="0">
              <x14:cfvo type="autoMin"/>
              <x14:cfvo type="autoMax"/>
              <x14:borderColor rgb="FF63C384"/>
              <x14:negativeFillColor rgb="FFFF0000"/>
              <x14:negativeBorderColor rgb="FFFF0000"/>
              <x14:axisColor rgb="FF000000"/>
            </x14:dataBar>
          </x14:cfRule>
          <xm:sqref>Z366</xm:sqref>
        </x14:conditionalFormatting>
        <x14:conditionalFormatting xmlns:xm="http://schemas.microsoft.com/office/excel/2006/main">
          <x14:cfRule type="dataBar" id="{DC463D1F-7FC5-4C5E-8ECB-3F17D91E23FE}">
            <x14:dataBar minLength="0" maxLength="100" border="1" negativeBarBorderColorSameAsPositive="0">
              <x14:cfvo type="autoMin"/>
              <x14:cfvo type="autoMax"/>
              <x14:borderColor rgb="FF63C384"/>
              <x14:negativeFillColor rgb="FFFF0000"/>
              <x14:negativeBorderColor rgb="FFFF0000"/>
              <x14:axisColor rgb="FF000000"/>
            </x14:dataBar>
          </x14:cfRule>
          <xm:sqref>Z366</xm:sqref>
        </x14:conditionalFormatting>
        <x14:conditionalFormatting xmlns:xm="http://schemas.microsoft.com/office/excel/2006/main">
          <x14:cfRule type="dataBar" id="{BBDEA54E-7F3E-4857-898C-8979385E1868}">
            <x14:dataBar minLength="0" maxLength="100" border="1" negativeBarBorderColorSameAsPositive="0">
              <x14:cfvo type="autoMin"/>
              <x14:cfvo type="autoMax"/>
              <x14:borderColor rgb="FF63C384"/>
              <x14:negativeFillColor rgb="FFFF0000"/>
              <x14:negativeBorderColor rgb="FFFF0000"/>
              <x14:axisColor rgb="FF000000"/>
            </x14:dataBar>
          </x14:cfRule>
          <xm:sqref>Z367</xm:sqref>
        </x14:conditionalFormatting>
        <x14:conditionalFormatting xmlns:xm="http://schemas.microsoft.com/office/excel/2006/main">
          <x14:cfRule type="dataBar" id="{D522EAED-0E23-4C4A-804C-B7074FEE3B65}">
            <x14:dataBar minLength="0" maxLength="100" border="1" negativeBarBorderColorSameAsPositive="0">
              <x14:cfvo type="autoMin"/>
              <x14:cfvo type="autoMax"/>
              <x14:borderColor rgb="FF63C384"/>
              <x14:negativeFillColor rgb="FFFF0000"/>
              <x14:negativeBorderColor rgb="FFFF0000"/>
              <x14:axisColor rgb="FF000000"/>
            </x14:dataBar>
          </x14:cfRule>
          <xm:sqref>Z367</xm:sqref>
        </x14:conditionalFormatting>
        <x14:conditionalFormatting xmlns:xm="http://schemas.microsoft.com/office/excel/2006/main">
          <x14:cfRule type="dataBar" id="{1A69AE71-331B-4279-A9B2-5D72AC64F3E8}">
            <x14:dataBar minLength="0" maxLength="100" border="1" negativeBarBorderColorSameAsPositive="0">
              <x14:cfvo type="autoMin"/>
              <x14:cfvo type="autoMax"/>
              <x14:borderColor rgb="FF63C384"/>
              <x14:negativeFillColor rgb="FFFF0000"/>
              <x14:negativeBorderColor rgb="FFFF0000"/>
              <x14:axisColor rgb="FF000000"/>
            </x14:dataBar>
          </x14:cfRule>
          <xm:sqref>Z368</xm:sqref>
        </x14:conditionalFormatting>
        <x14:conditionalFormatting xmlns:xm="http://schemas.microsoft.com/office/excel/2006/main">
          <x14:cfRule type="dataBar" id="{F3DB3636-897F-4E5F-8A72-1E2711FCC40A}">
            <x14:dataBar minLength="0" maxLength="100" border="1" negativeBarBorderColorSameAsPositive="0">
              <x14:cfvo type="autoMin"/>
              <x14:cfvo type="autoMax"/>
              <x14:borderColor rgb="FF63C384"/>
              <x14:negativeFillColor rgb="FFFF0000"/>
              <x14:negativeBorderColor rgb="FFFF0000"/>
              <x14:axisColor rgb="FF000000"/>
            </x14:dataBar>
          </x14:cfRule>
          <xm:sqref>Z368</xm:sqref>
        </x14:conditionalFormatting>
        <x14:conditionalFormatting xmlns:xm="http://schemas.microsoft.com/office/excel/2006/main">
          <x14:cfRule type="dataBar" id="{35B1C512-C291-49CD-A211-CD61C4405C25}">
            <x14:dataBar minLength="0" maxLength="100" border="1" negativeBarBorderColorSameAsPositive="0">
              <x14:cfvo type="autoMin"/>
              <x14:cfvo type="autoMax"/>
              <x14:borderColor rgb="FF63C384"/>
              <x14:negativeFillColor rgb="FFFF0000"/>
              <x14:negativeBorderColor rgb="FFFF0000"/>
              <x14:axisColor rgb="FF000000"/>
            </x14:dataBar>
          </x14:cfRule>
          <xm:sqref>Z369</xm:sqref>
        </x14:conditionalFormatting>
        <x14:conditionalFormatting xmlns:xm="http://schemas.microsoft.com/office/excel/2006/main">
          <x14:cfRule type="dataBar" id="{7B26428D-0857-449B-99F3-84CD273D6E98}">
            <x14:dataBar minLength="0" maxLength="100" border="1" negativeBarBorderColorSameAsPositive="0">
              <x14:cfvo type="autoMin"/>
              <x14:cfvo type="autoMax"/>
              <x14:borderColor rgb="FF63C384"/>
              <x14:negativeFillColor rgb="FFFF0000"/>
              <x14:negativeBorderColor rgb="FFFF0000"/>
              <x14:axisColor rgb="FF000000"/>
            </x14:dataBar>
          </x14:cfRule>
          <xm:sqref>Z369</xm:sqref>
        </x14:conditionalFormatting>
        <x14:conditionalFormatting xmlns:xm="http://schemas.microsoft.com/office/excel/2006/main">
          <x14:cfRule type="dataBar" id="{8DA23DE8-4A6E-4BF3-BC2D-A468B514E0E8}">
            <x14:dataBar minLength="0" maxLength="100" border="1" negativeBarBorderColorSameAsPositive="0">
              <x14:cfvo type="autoMin"/>
              <x14:cfvo type="autoMax"/>
              <x14:borderColor rgb="FF63C384"/>
              <x14:negativeFillColor rgb="FFFF0000"/>
              <x14:negativeBorderColor rgb="FFFF0000"/>
              <x14:axisColor rgb="FF000000"/>
            </x14:dataBar>
          </x14:cfRule>
          <xm:sqref>Z370</xm:sqref>
        </x14:conditionalFormatting>
        <x14:conditionalFormatting xmlns:xm="http://schemas.microsoft.com/office/excel/2006/main">
          <x14:cfRule type="dataBar" id="{42EDAF3A-D724-4343-9123-6CDF0F331D11}">
            <x14:dataBar minLength="0" maxLength="100" border="1" negativeBarBorderColorSameAsPositive="0">
              <x14:cfvo type="autoMin"/>
              <x14:cfvo type="autoMax"/>
              <x14:borderColor rgb="FF63C384"/>
              <x14:negativeFillColor rgb="FFFF0000"/>
              <x14:negativeBorderColor rgb="FFFF0000"/>
              <x14:axisColor rgb="FF000000"/>
            </x14:dataBar>
          </x14:cfRule>
          <xm:sqref>Z370</xm:sqref>
        </x14:conditionalFormatting>
        <x14:conditionalFormatting xmlns:xm="http://schemas.microsoft.com/office/excel/2006/main">
          <x14:cfRule type="dataBar" id="{9CC882F3-F15E-4936-B1ED-86B18E7D929E}">
            <x14:dataBar minLength="0" maxLength="100" border="1" negativeBarBorderColorSameAsPositive="0">
              <x14:cfvo type="autoMin"/>
              <x14:cfvo type="autoMax"/>
              <x14:borderColor rgb="FF63C384"/>
              <x14:negativeFillColor rgb="FFFF0000"/>
              <x14:negativeBorderColor rgb="FFFF0000"/>
              <x14:axisColor rgb="FF000000"/>
            </x14:dataBar>
          </x14:cfRule>
          <xm:sqref>Z374</xm:sqref>
        </x14:conditionalFormatting>
        <x14:conditionalFormatting xmlns:xm="http://schemas.microsoft.com/office/excel/2006/main">
          <x14:cfRule type="dataBar" id="{179677D3-94B7-47E4-883A-147B7C6C9DFB}">
            <x14:dataBar minLength="0" maxLength="100" border="1" negativeBarBorderColorSameAsPositive="0">
              <x14:cfvo type="autoMin"/>
              <x14:cfvo type="autoMax"/>
              <x14:borderColor rgb="FF63C384"/>
              <x14:negativeFillColor rgb="FFFF0000"/>
              <x14:negativeBorderColor rgb="FFFF0000"/>
              <x14:axisColor rgb="FF000000"/>
            </x14:dataBar>
          </x14:cfRule>
          <xm:sqref>Z374</xm:sqref>
        </x14:conditionalFormatting>
        <x14:conditionalFormatting xmlns:xm="http://schemas.microsoft.com/office/excel/2006/main">
          <x14:cfRule type="dataBar" id="{6D81461B-5C96-4BB3-86B7-86F78749E634}">
            <x14:dataBar minLength="0" maxLength="100" border="1" negativeBarBorderColorSameAsPositive="0">
              <x14:cfvo type="autoMin"/>
              <x14:cfvo type="autoMax"/>
              <x14:borderColor rgb="FF63C384"/>
              <x14:negativeFillColor rgb="FFFF0000"/>
              <x14:negativeBorderColor rgb="FFFF0000"/>
              <x14:axisColor rgb="FF000000"/>
            </x14:dataBar>
          </x14:cfRule>
          <xm:sqref>Z371</xm:sqref>
        </x14:conditionalFormatting>
        <x14:conditionalFormatting xmlns:xm="http://schemas.microsoft.com/office/excel/2006/main">
          <x14:cfRule type="dataBar" id="{7041E980-AF18-4D11-95BC-E91ECA09EF80}">
            <x14:dataBar minLength="0" maxLength="100" border="1" negativeBarBorderColorSameAsPositive="0">
              <x14:cfvo type="autoMin"/>
              <x14:cfvo type="autoMax"/>
              <x14:borderColor rgb="FF63C384"/>
              <x14:negativeFillColor rgb="FFFF0000"/>
              <x14:negativeBorderColor rgb="FFFF0000"/>
              <x14:axisColor rgb="FF000000"/>
            </x14:dataBar>
          </x14:cfRule>
          <xm:sqref>Z371</xm:sqref>
        </x14:conditionalFormatting>
        <x14:conditionalFormatting xmlns:xm="http://schemas.microsoft.com/office/excel/2006/main">
          <x14:cfRule type="dataBar" id="{F6E3C061-D20D-44F2-A26B-216ECDA9E03D}">
            <x14:dataBar minLength="0" maxLength="100" border="1" negativeBarBorderColorSameAsPositive="0">
              <x14:cfvo type="autoMin"/>
              <x14:cfvo type="autoMax"/>
              <x14:borderColor rgb="FF63C384"/>
              <x14:negativeFillColor rgb="FFFF0000"/>
              <x14:negativeBorderColor rgb="FFFF0000"/>
              <x14:axisColor rgb="FF000000"/>
            </x14:dataBar>
          </x14:cfRule>
          <xm:sqref>Z372</xm:sqref>
        </x14:conditionalFormatting>
        <x14:conditionalFormatting xmlns:xm="http://schemas.microsoft.com/office/excel/2006/main">
          <x14:cfRule type="dataBar" id="{270804B6-C9F7-4C08-9A66-751DC5BC88E4}">
            <x14:dataBar minLength="0" maxLength="100" border="1" negativeBarBorderColorSameAsPositive="0">
              <x14:cfvo type="autoMin"/>
              <x14:cfvo type="autoMax"/>
              <x14:borderColor rgb="FF63C384"/>
              <x14:negativeFillColor rgb="FFFF0000"/>
              <x14:negativeBorderColor rgb="FFFF0000"/>
              <x14:axisColor rgb="FF000000"/>
            </x14:dataBar>
          </x14:cfRule>
          <xm:sqref>Z372</xm:sqref>
        </x14:conditionalFormatting>
        <x14:conditionalFormatting xmlns:xm="http://schemas.microsoft.com/office/excel/2006/main">
          <x14:cfRule type="dataBar" id="{74F869DE-A521-4FD1-8C9B-3B0695C41CB7}">
            <x14:dataBar minLength="0" maxLength="100" border="1" negativeBarBorderColorSameAsPositive="0">
              <x14:cfvo type="autoMin"/>
              <x14:cfvo type="autoMax"/>
              <x14:borderColor rgb="FF63C384"/>
              <x14:negativeFillColor rgb="FFFF0000"/>
              <x14:negativeBorderColor rgb="FFFF0000"/>
              <x14:axisColor rgb="FF000000"/>
            </x14:dataBar>
          </x14:cfRule>
          <xm:sqref>Z373</xm:sqref>
        </x14:conditionalFormatting>
        <x14:conditionalFormatting xmlns:xm="http://schemas.microsoft.com/office/excel/2006/main">
          <x14:cfRule type="dataBar" id="{942A6BB8-C287-4230-90C8-EF31A7BD722E}">
            <x14:dataBar minLength="0" maxLength="100" border="1" negativeBarBorderColorSameAsPositive="0">
              <x14:cfvo type="autoMin"/>
              <x14:cfvo type="autoMax"/>
              <x14:borderColor rgb="FF63C384"/>
              <x14:negativeFillColor rgb="FFFF0000"/>
              <x14:negativeBorderColor rgb="FFFF0000"/>
              <x14:axisColor rgb="FF000000"/>
            </x14:dataBar>
          </x14:cfRule>
          <xm:sqref>Z373</xm:sqref>
        </x14:conditionalFormatting>
        <x14:conditionalFormatting xmlns:xm="http://schemas.microsoft.com/office/excel/2006/main">
          <x14:cfRule type="dataBar" id="{3295BB74-B597-4AB9-ABC0-E1CB722A093F}">
            <x14:dataBar minLength="0" maxLength="100" border="1" negativeBarBorderColorSameAsPositive="0">
              <x14:cfvo type="autoMin"/>
              <x14:cfvo type="autoMax"/>
              <x14:borderColor rgb="FF63C384"/>
              <x14:negativeFillColor rgb="FFFF0000"/>
              <x14:negativeBorderColor rgb="FFFF0000"/>
              <x14:axisColor rgb="FF000000"/>
            </x14:dataBar>
          </x14:cfRule>
          <xm:sqref>Z375</xm:sqref>
        </x14:conditionalFormatting>
        <x14:conditionalFormatting xmlns:xm="http://schemas.microsoft.com/office/excel/2006/main">
          <x14:cfRule type="dataBar" id="{FB291F61-E81C-4F45-9E73-6FDEDFF47D46}">
            <x14:dataBar minLength="0" maxLength="100" border="1" negativeBarBorderColorSameAsPositive="0">
              <x14:cfvo type="autoMin"/>
              <x14:cfvo type="autoMax"/>
              <x14:borderColor rgb="FF63C384"/>
              <x14:negativeFillColor rgb="FFFF0000"/>
              <x14:negativeBorderColor rgb="FFFF0000"/>
              <x14:axisColor rgb="FF000000"/>
            </x14:dataBar>
          </x14:cfRule>
          <xm:sqref>Z375</xm:sqref>
        </x14:conditionalFormatting>
        <x14:conditionalFormatting xmlns:xm="http://schemas.microsoft.com/office/excel/2006/main">
          <x14:cfRule type="dataBar" id="{AFE7DBB0-D752-4684-8B41-898BFE248671}">
            <x14:dataBar minLength="0" maxLength="100" border="1" negativeBarBorderColorSameAsPositive="0">
              <x14:cfvo type="autoMin"/>
              <x14:cfvo type="autoMax"/>
              <x14:borderColor rgb="FF63C384"/>
              <x14:negativeFillColor rgb="FFFF0000"/>
              <x14:negativeBorderColor rgb="FFFF0000"/>
              <x14:axisColor rgb="FF000000"/>
            </x14:dataBar>
          </x14:cfRule>
          <xm:sqref>Z376</xm:sqref>
        </x14:conditionalFormatting>
        <x14:conditionalFormatting xmlns:xm="http://schemas.microsoft.com/office/excel/2006/main">
          <x14:cfRule type="dataBar" id="{86604936-0664-40C5-8B28-B7E2FFEFB8F9}">
            <x14:dataBar minLength="0" maxLength="100" border="1" negativeBarBorderColorSameAsPositive="0">
              <x14:cfvo type="autoMin"/>
              <x14:cfvo type="autoMax"/>
              <x14:borderColor rgb="FF63C384"/>
              <x14:negativeFillColor rgb="FFFF0000"/>
              <x14:negativeBorderColor rgb="FFFF0000"/>
              <x14:axisColor rgb="FF000000"/>
            </x14:dataBar>
          </x14:cfRule>
          <xm:sqref>Z376</xm:sqref>
        </x14:conditionalFormatting>
        <x14:conditionalFormatting xmlns:xm="http://schemas.microsoft.com/office/excel/2006/main">
          <x14:cfRule type="dataBar" id="{C6CD0A35-DE82-4A44-BA79-A782B3207313}">
            <x14:dataBar minLength="0" maxLength="100" border="1" negativeBarBorderColorSameAsPositive="0">
              <x14:cfvo type="autoMin"/>
              <x14:cfvo type="autoMax"/>
              <x14:borderColor rgb="FF63C384"/>
              <x14:negativeFillColor rgb="FFFF0000"/>
              <x14:negativeBorderColor rgb="FFFF0000"/>
              <x14:axisColor rgb="FF000000"/>
            </x14:dataBar>
          </x14:cfRule>
          <xm:sqref>Z377</xm:sqref>
        </x14:conditionalFormatting>
        <x14:conditionalFormatting xmlns:xm="http://schemas.microsoft.com/office/excel/2006/main">
          <x14:cfRule type="dataBar" id="{D73B3254-C3A9-420E-AF75-13302D2EC685}">
            <x14:dataBar minLength="0" maxLength="100" border="1" negativeBarBorderColorSameAsPositive="0">
              <x14:cfvo type="autoMin"/>
              <x14:cfvo type="autoMax"/>
              <x14:borderColor rgb="FF63C384"/>
              <x14:negativeFillColor rgb="FFFF0000"/>
              <x14:negativeBorderColor rgb="FFFF0000"/>
              <x14:axisColor rgb="FF000000"/>
            </x14:dataBar>
          </x14:cfRule>
          <xm:sqref>Z377</xm:sqref>
        </x14:conditionalFormatting>
        <x14:conditionalFormatting xmlns:xm="http://schemas.microsoft.com/office/excel/2006/main">
          <x14:cfRule type="dataBar" id="{3F861A76-A8DF-4687-AF3D-C39503A204E5}">
            <x14:dataBar minLength="0" maxLength="100" border="1" negativeBarBorderColorSameAsPositive="0">
              <x14:cfvo type="autoMin"/>
              <x14:cfvo type="autoMax"/>
              <x14:borderColor rgb="FF63C384"/>
              <x14:negativeFillColor rgb="FFFF0000"/>
              <x14:negativeBorderColor rgb="FFFF0000"/>
              <x14:axisColor rgb="FF000000"/>
            </x14:dataBar>
          </x14:cfRule>
          <xm:sqref>Z378</xm:sqref>
        </x14:conditionalFormatting>
        <x14:conditionalFormatting xmlns:xm="http://schemas.microsoft.com/office/excel/2006/main">
          <x14:cfRule type="dataBar" id="{9A3F2B48-EC13-4C09-A01D-07FFE63B59D1}">
            <x14:dataBar minLength="0" maxLength="100" border="1" negativeBarBorderColorSameAsPositive="0">
              <x14:cfvo type="autoMin"/>
              <x14:cfvo type="autoMax"/>
              <x14:borderColor rgb="FF63C384"/>
              <x14:negativeFillColor rgb="FFFF0000"/>
              <x14:negativeBorderColor rgb="FFFF0000"/>
              <x14:axisColor rgb="FF000000"/>
            </x14:dataBar>
          </x14:cfRule>
          <xm:sqref>Z378</xm:sqref>
        </x14:conditionalFormatting>
        <x14:conditionalFormatting xmlns:xm="http://schemas.microsoft.com/office/excel/2006/main">
          <x14:cfRule type="dataBar" id="{4BE39D70-7C07-4A8D-B584-31D00366688C}">
            <x14:dataBar minLength="0" maxLength="100" border="1" negativeBarBorderColorSameAsPositive="0">
              <x14:cfvo type="autoMin"/>
              <x14:cfvo type="autoMax"/>
              <x14:borderColor rgb="FF63C384"/>
              <x14:negativeFillColor rgb="FFFF0000"/>
              <x14:negativeBorderColor rgb="FFFF0000"/>
              <x14:axisColor rgb="FF000000"/>
            </x14:dataBar>
          </x14:cfRule>
          <xm:sqref>Z379</xm:sqref>
        </x14:conditionalFormatting>
        <x14:conditionalFormatting xmlns:xm="http://schemas.microsoft.com/office/excel/2006/main">
          <x14:cfRule type="dataBar" id="{124799A4-2567-4FC1-8F97-1497E889916E}">
            <x14:dataBar minLength="0" maxLength="100" border="1" negativeBarBorderColorSameAsPositive="0">
              <x14:cfvo type="autoMin"/>
              <x14:cfvo type="autoMax"/>
              <x14:borderColor rgb="FF63C384"/>
              <x14:negativeFillColor rgb="FFFF0000"/>
              <x14:negativeBorderColor rgb="FFFF0000"/>
              <x14:axisColor rgb="FF000000"/>
            </x14:dataBar>
          </x14:cfRule>
          <xm:sqref>Z379</xm:sqref>
        </x14:conditionalFormatting>
        <x14:conditionalFormatting xmlns:xm="http://schemas.microsoft.com/office/excel/2006/main">
          <x14:cfRule type="dataBar" id="{51F84C43-EC37-4856-8792-351246A584E7}">
            <x14:dataBar minLength="0" maxLength="100" border="1" negativeBarBorderColorSameAsPositive="0">
              <x14:cfvo type="autoMin"/>
              <x14:cfvo type="autoMax"/>
              <x14:borderColor rgb="FF63C384"/>
              <x14:negativeFillColor rgb="FFFF0000"/>
              <x14:negativeBorderColor rgb="FFFF0000"/>
              <x14:axisColor rgb="FF000000"/>
            </x14:dataBar>
          </x14:cfRule>
          <xm:sqref>Z380</xm:sqref>
        </x14:conditionalFormatting>
        <x14:conditionalFormatting xmlns:xm="http://schemas.microsoft.com/office/excel/2006/main">
          <x14:cfRule type="dataBar" id="{F53F71CB-E75F-47AE-9FAA-2C847E454B64}">
            <x14:dataBar minLength="0" maxLength="100" border="1" negativeBarBorderColorSameAsPositive="0">
              <x14:cfvo type="autoMin"/>
              <x14:cfvo type="autoMax"/>
              <x14:borderColor rgb="FF63C384"/>
              <x14:negativeFillColor rgb="FFFF0000"/>
              <x14:negativeBorderColor rgb="FFFF0000"/>
              <x14:axisColor rgb="FF000000"/>
            </x14:dataBar>
          </x14:cfRule>
          <xm:sqref>Z380</xm:sqref>
        </x14:conditionalFormatting>
        <x14:conditionalFormatting xmlns:xm="http://schemas.microsoft.com/office/excel/2006/main">
          <x14:cfRule type="dataBar" id="{0ADC2D5B-0CE7-4A8E-9871-CDE7D3AAC956}">
            <x14:dataBar minLength="0" maxLength="100" border="1" negativeBarBorderColorSameAsPositive="0">
              <x14:cfvo type="autoMin"/>
              <x14:cfvo type="autoMax"/>
              <x14:borderColor rgb="FF63C384"/>
              <x14:negativeFillColor rgb="FFFF0000"/>
              <x14:negativeBorderColor rgb="FFFF0000"/>
              <x14:axisColor rgb="FF000000"/>
            </x14:dataBar>
          </x14:cfRule>
          <xm:sqref>Z381</xm:sqref>
        </x14:conditionalFormatting>
        <x14:conditionalFormatting xmlns:xm="http://schemas.microsoft.com/office/excel/2006/main">
          <x14:cfRule type="dataBar" id="{8EEC71B8-9753-4611-B912-D63917BA9264}">
            <x14:dataBar minLength="0" maxLength="100" border="1" negativeBarBorderColorSameAsPositive="0">
              <x14:cfvo type="autoMin"/>
              <x14:cfvo type="autoMax"/>
              <x14:borderColor rgb="FF63C384"/>
              <x14:negativeFillColor rgb="FFFF0000"/>
              <x14:negativeBorderColor rgb="FFFF0000"/>
              <x14:axisColor rgb="FF000000"/>
            </x14:dataBar>
          </x14:cfRule>
          <xm:sqref>Z381</xm:sqref>
        </x14:conditionalFormatting>
        <x14:conditionalFormatting xmlns:xm="http://schemas.microsoft.com/office/excel/2006/main">
          <x14:cfRule type="dataBar" id="{02BC4C6F-2920-442E-83AE-B23F9D8D97D0}">
            <x14:dataBar minLength="0" maxLength="100" border="1" negativeBarBorderColorSameAsPositive="0">
              <x14:cfvo type="autoMin"/>
              <x14:cfvo type="autoMax"/>
              <x14:borderColor rgb="FF63C384"/>
              <x14:negativeFillColor rgb="FFFF0000"/>
              <x14:negativeBorderColor rgb="FFFF0000"/>
              <x14:axisColor rgb="FF000000"/>
            </x14:dataBar>
          </x14:cfRule>
          <xm:sqref>Z383</xm:sqref>
        </x14:conditionalFormatting>
        <x14:conditionalFormatting xmlns:xm="http://schemas.microsoft.com/office/excel/2006/main">
          <x14:cfRule type="dataBar" id="{8123EB46-3E2E-489D-A735-E6836AD84FB2}">
            <x14:dataBar minLength="0" maxLength="100" border="1" negativeBarBorderColorSameAsPositive="0">
              <x14:cfvo type="autoMin"/>
              <x14:cfvo type="autoMax"/>
              <x14:borderColor rgb="FF63C384"/>
              <x14:negativeFillColor rgb="FFFF0000"/>
              <x14:negativeBorderColor rgb="FFFF0000"/>
              <x14:axisColor rgb="FF000000"/>
            </x14:dataBar>
          </x14:cfRule>
          <xm:sqref>Z383</xm:sqref>
        </x14:conditionalFormatting>
        <x14:conditionalFormatting xmlns:xm="http://schemas.microsoft.com/office/excel/2006/main">
          <x14:cfRule type="dataBar" id="{096AC73D-B434-42CB-BCD6-D31A315A29D9}">
            <x14:dataBar minLength="0" maxLength="100" border="1" negativeBarBorderColorSameAsPositive="0">
              <x14:cfvo type="autoMin"/>
              <x14:cfvo type="autoMax"/>
              <x14:borderColor rgb="FF63C384"/>
              <x14:negativeFillColor rgb="FFFF0000"/>
              <x14:negativeBorderColor rgb="FFFF0000"/>
              <x14:axisColor rgb="FF000000"/>
            </x14:dataBar>
          </x14:cfRule>
          <xm:sqref>Z384</xm:sqref>
        </x14:conditionalFormatting>
        <x14:conditionalFormatting xmlns:xm="http://schemas.microsoft.com/office/excel/2006/main">
          <x14:cfRule type="dataBar" id="{25DB9102-EB0A-48B5-883A-12D4EBE75EB6}">
            <x14:dataBar minLength="0" maxLength="100" border="1" negativeBarBorderColorSameAsPositive="0">
              <x14:cfvo type="autoMin"/>
              <x14:cfvo type="autoMax"/>
              <x14:borderColor rgb="FF63C384"/>
              <x14:negativeFillColor rgb="FFFF0000"/>
              <x14:negativeBorderColor rgb="FFFF0000"/>
              <x14:axisColor rgb="FF000000"/>
            </x14:dataBar>
          </x14:cfRule>
          <xm:sqref>Z384</xm:sqref>
        </x14:conditionalFormatting>
        <x14:conditionalFormatting xmlns:xm="http://schemas.microsoft.com/office/excel/2006/main">
          <x14:cfRule type="dataBar" id="{93743820-DA02-4CEB-9741-C3A057E62AA2}">
            <x14:dataBar minLength="0" maxLength="100" border="1" negativeBarBorderColorSameAsPositive="0">
              <x14:cfvo type="autoMin"/>
              <x14:cfvo type="autoMax"/>
              <x14:borderColor rgb="FF63C384"/>
              <x14:negativeFillColor rgb="FFFF0000"/>
              <x14:negativeBorderColor rgb="FFFF0000"/>
              <x14:axisColor rgb="FF000000"/>
            </x14:dataBar>
          </x14:cfRule>
          <xm:sqref>Z385</xm:sqref>
        </x14:conditionalFormatting>
        <x14:conditionalFormatting xmlns:xm="http://schemas.microsoft.com/office/excel/2006/main">
          <x14:cfRule type="dataBar" id="{69446FBF-F399-415C-BB3A-E42C31E6C251}">
            <x14:dataBar minLength="0" maxLength="100" border="1" negativeBarBorderColorSameAsPositive="0">
              <x14:cfvo type="autoMin"/>
              <x14:cfvo type="autoMax"/>
              <x14:borderColor rgb="FF63C384"/>
              <x14:negativeFillColor rgb="FFFF0000"/>
              <x14:negativeBorderColor rgb="FFFF0000"/>
              <x14:axisColor rgb="FF000000"/>
            </x14:dataBar>
          </x14:cfRule>
          <xm:sqref>Z385</xm:sqref>
        </x14:conditionalFormatting>
        <x14:conditionalFormatting xmlns:xm="http://schemas.microsoft.com/office/excel/2006/main">
          <x14:cfRule type="dataBar" id="{C5836F58-8E89-4ADB-8430-B53936CBCD99}">
            <x14:dataBar minLength="0" maxLength="100" border="1" negativeBarBorderColorSameAsPositive="0">
              <x14:cfvo type="autoMin"/>
              <x14:cfvo type="autoMax"/>
              <x14:borderColor rgb="FF63C384"/>
              <x14:negativeFillColor rgb="FFFF0000"/>
              <x14:negativeBorderColor rgb="FFFF0000"/>
              <x14:axisColor rgb="FF000000"/>
            </x14:dataBar>
          </x14:cfRule>
          <xm:sqref>Z386</xm:sqref>
        </x14:conditionalFormatting>
        <x14:conditionalFormatting xmlns:xm="http://schemas.microsoft.com/office/excel/2006/main">
          <x14:cfRule type="dataBar" id="{2209CCA2-04DD-43BF-A972-03941AE48A78}">
            <x14:dataBar minLength="0" maxLength="100" border="1" negativeBarBorderColorSameAsPositive="0">
              <x14:cfvo type="autoMin"/>
              <x14:cfvo type="autoMax"/>
              <x14:borderColor rgb="FF63C384"/>
              <x14:negativeFillColor rgb="FFFF0000"/>
              <x14:negativeBorderColor rgb="FFFF0000"/>
              <x14:axisColor rgb="FF000000"/>
            </x14:dataBar>
          </x14:cfRule>
          <xm:sqref>Z386</xm:sqref>
        </x14:conditionalFormatting>
        <x14:conditionalFormatting xmlns:xm="http://schemas.microsoft.com/office/excel/2006/main">
          <x14:cfRule type="dataBar" id="{8428A490-6929-4379-B984-8EC0C98BF52F}">
            <x14:dataBar minLength="0" maxLength="100" border="1" negativeBarBorderColorSameAsPositive="0">
              <x14:cfvo type="autoMin"/>
              <x14:cfvo type="autoMax"/>
              <x14:borderColor rgb="FF63C384"/>
              <x14:negativeFillColor rgb="FFFF0000"/>
              <x14:negativeBorderColor rgb="FFFF0000"/>
              <x14:axisColor rgb="FF000000"/>
            </x14:dataBar>
          </x14:cfRule>
          <xm:sqref>Z387</xm:sqref>
        </x14:conditionalFormatting>
        <x14:conditionalFormatting xmlns:xm="http://schemas.microsoft.com/office/excel/2006/main">
          <x14:cfRule type="dataBar" id="{3FE11F27-C047-4B11-B22E-A34145433E02}">
            <x14:dataBar minLength="0" maxLength="100" border="1" negativeBarBorderColorSameAsPositive="0">
              <x14:cfvo type="autoMin"/>
              <x14:cfvo type="autoMax"/>
              <x14:borderColor rgb="FF63C384"/>
              <x14:negativeFillColor rgb="FFFF0000"/>
              <x14:negativeBorderColor rgb="FFFF0000"/>
              <x14:axisColor rgb="FF000000"/>
            </x14:dataBar>
          </x14:cfRule>
          <xm:sqref>Z387</xm:sqref>
        </x14:conditionalFormatting>
        <x14:conditionalFormatting xmlns:xm="http://schemas.microsoft.com/office/excel/2006/main">
          <x14:cfRule type="dataBar" id="{FD8007CC-4BA4-403D-86E9-97425C486750}">
            <x14:dataBar minLength="0" maxLength="100" border="1" negativeBarBorderColorSameAsPositive="0">
              <x14:cfvo type="autoMin"/>
              <x14:cfvo type="autoMax"/>
              <x14:borderColor rgb="FF63C384"/>
              <x14:negativeFillColor rgb="FFFF0000"/>
              <x14:negativeBorderColor rgb="FFFF0000"/>
              <x14:axisColor rgb="FF000000"/>
            </x14:dataBar>
          </x14:cfRule>
          <xm:sqref>Z388</xm:sqref>
        </x14:conditionalFormatting>
        <x14:conditionalFormatting xmlns:xm="http://schemas.microsoft.com/office/excel/2006/main">
          <x14:cfRule type="dataBar" id="{9E9AAF97-F1A4-4D8A-BE29-8665C4859702}">
            <x14:dataBar minLength="0" maxLength="100" border="1" negativeBarBorderColorSameAsPositive="0">
              <x14:cfvo type="autoMin"/>
              <x14:cfvo type="autoMax"/>
              <x14:borderColor rgb="FF63C384"/>
              <x14:negativeFillColor rgb="FFFF0000"/>
              <x14:negativeBorderColor rgb="FFFF0000"/>
              <x14:axisColor rgb="FF000000"/>
            </x14:dataBar>
          </x14:cfRule>
          <xm:sqref>Z388</xm:sqref>
        </x14:conditionalFormatting>
        <x14:conditionalFormatting xmlns:xm="http://schemas.microsoft.com/office/excel/2006/main">
          <x14:cfRule type="dataBar" id="{F6D3FA21-7087-4D5C-B199-C0A0F8EA9F15}">
            <x14:dataBar minLength="0" maxLength="100" border="1" negativeBarBorderColorSameAsPositive="0">
              <x14:cfvo type="autoMin"/>
              <x14:cfvo type="autoMax"/>
              <x14:borderColor rgb="FF63C384"/>
              <x14:negativeFillColor rgb="FFFF0000"/>
              <x14:negativeBorderColor rgb="FFFF0000"/>
              <x14:axisColor rgb="FF000000"/>
            </x14:dataBar>
          </x14:cfRule>
          <xm:sqref>Z382</xm:sqref>
        </x14:conditionalFormatting>
        <x14:conditionalFormatting xmlns:xm="http://schemas.microsoft.com/office/excel/2006/main">
          <x14:cfRule type="dataBar" id="{30668CF2-EEF8-4D95-938C-3C031FF9E62C}">
            <x14:dataBar minLength="0" maxLength="100" border="1" negativeBarBorderColorSameAsPositive="0">
              <x14:cfvo type="autoMin"/>
              <x14:cfvo type="autoMax"/>
              <x14:borderColor rgb="FF63C384"/>
              <x14:negativeFillColor rgb="FFFF0000"/>
              <x14:negativeBorderColor rgb="FFFF0000"/>
              <x14:axisColor rgb="FF000000"/>
            </x14:dataBar>
          </x14:cfRule>
          <xm:sqref>Z382</xm:sqref>
        </x14:conditionalFormatting>
        <x14:conditionalFormatting xmlns:xm="http://schemas.microsoft.com/office/excel/2006/main">
          <x14:cfRule type="dataBar" id="{DCF36087-6B5C-4AB8-98A3-566D9D328040}">
            <x14:dataBar minLength="0" maxLength="100" border="1" negativeBarBorderColorSameAsPositive="0">
              <x14:cfvo type="autoMin"/>
              <x14:cfvo type="autoMax"/>
              <x14:borderColor rgb="FF63C384"/>
              <x14:negativeFillColor rgb="FFFF0000"/>
              <x14:negativeBorderColor rgb="FFFF0000"/>
              <x14:axisColor rgb="FF000000"/>
            </x14:dataBar>
          </x14:cfRule>
          <xm:sqref>Z389</xm:sqref>
        </x14:conditionalFormatting>
        <x14:conditionalFormatting xmlns:xm="http://schemas.microsoft.com/office/excel/2006/main">
          <x14:cfRule type="dataBar" id="{74F0FB28-6667-4A66-B5F2-4C1FDEE1D8E2}">
            <x14:dataBar minLength="0" maxLength="100" border="1" negativeBarBorderColorSameAsPositive="0">
              <x14:cfvo type="autoMin"/>
              <x14:cfvo type="autoMax"/>
              <x14:borderColor rgb="FF63C384"/>
              <x14:negativeFillColor rgb="FFFF0000"/>
              <x14:negativeBorderColor rgb="FFFF0000"/>
              <x14:axisColor rgb="FF000000"/>
            </x14:dataBar>
          </x14:cfRule>
          <xm:sqref>Z389</xm:sqref>
        </x14:conditionalFormatting>
        <x14:conditionalFormatting xmlns:xm="http://schemas.microsoft.com/office/excel/2006/main">
          <x14:cfRule type="dataBar" id="{65136C39-9DDF-48C6-ACF1-B12511F9D2C0}">
            <x14:dataBar minLength="0" maxLength="100" border="1" negativeBarBorderColorSameAsPositive="0">
              <x14:cfvo type="autoMin"/>
              <x14:cfvo type="autoMax"/>
              <x14:borderColor rgb="FF63C384"/>
              <x14:negativeFillColor rgb="FFFF0000"/>
              <x14:negativeBorderColor rgb="FFFF0000"/>
              <x14:axisColor rgb="FF000000"/>
            </x14:dataBar>
          </x14:cfRule>
          <xm:sqref>Z390</xm:sqref>
        </x14:conditionalFormatting>
        <x14:conditionalFormatting xmlns:xm="http://schemas.microsoft.com/office/excel/2006/main">
          <x14:cfRule type="dataBar" id="{18B16309-3FB6-45A0-BDE5-7790A6CFADA2}">
            <x14:dataBar minLength="0" maxLength="100" border="1" negativeBarBorderColorSameAsPositive="0">
              <x14:cfvo type="autoMin"/>
              <x14:cfvo type="autoMax"/>
              <x14:borderColor rgb="FF63C384"/>
              <x14:negativeFillColor rgb="FFFF0000"/>
              <x14:negativeBorderColor rgb="FFFF0000"/>
              <x14:axisColor rgb="FF000000"/>
            </x14:dataBar>
          </x14:cfRule>
          <xm:sqref>Z390</xm:sqref>
        </x14:conditionalFormatting>
        <x14:conditionalFormatting xmlns:xm="http://schemas.microsoft.com/office/excel/2006/main">
          <x14:cfRule type="dataBar" id="{35FF1C6E-B69E-4DF4-BF7E-1E6CB4579B82}">
            <x14:dataBar minLength="0" maxLength="100" border="1" negativeBarBorderColorSameAsPositive="0">
              <x14:cfvo type="autoMin"/>
              <x14:cfvo type="autoMax"/>
              <x14:borderColor rgb="FF63C384"/>
              <x14:negativeFillColor rgb="FFFF0000"/>
              <x14:negativeBorderColor rgb="FFFF0000"/>
              <x14:axisColor rgb="FF000000"/>
            </x14:dataBar>
          </x14:cfRule>
          <xm:sqref>Z391</xm:sqref>
        </x14:conditionalFormatting>
        <x14:conditionalFormatting xmlns:xm="http://schemas.microsoft.com/office/excel/2006/main">
          <x14:cfRule type="dataBar" id="{6890C52E-8405-4541-8EC4-831F38952CB8}">
            <x14:dataBar minLength="0" maxLength="100" border="1" negativeBarBorderColorSameAsPositive="0">
              <x14:cfvo type="autoMin"/>
              <x14:cfvo type="autoMax"/>
              <x14:borderColor rgb="FF63C384"/>
              <x14:negativeFillColor rgb="FFFF0000"/>
              <x14:negativeBorderColor rgb="FFFF0000"/>
              <x14:axisColor rgb="FF000000"/>
            </x14:dataBar>
          </x14:cfRule>
          <xm:sqref>Z391</xm:sqref>
        </x14:conditionalFormatting>
        <x14:conditionalFormatting xmlns:xm="http://schemas.microsoft.com/office/excel/2006/main">
          <x14:cfRule type="dataBar" id="{5BBA780E-B779-465D-9DFF-33EC2BFD6869}">
            <x14:dataBar minLength="0" maxLength="100" border="1" negativeBarBorderColorSameAsPositive="0">
              <x14:cfvo type="autoMin"/>
              <x14:cfvo type="autoMax"/>
              <x14:borderColor rgb="FF63C384"/>
              <x14:negativeFillColor rgb="FFFF0000"/>
              <x14:negativeBorderColor rgb="FFFF0000"/>
              <x14:axisColor rgb="FF000000"/>
            </x14:dataBar>
          </x14:cfRule>
          <xm:sqref>Z392</xm:sqref>
        </x14:conditionalFormatting>
        <x14:conditionalFormatting xmlns:xm="http://schemas.microsoft.com/office/excel/2006/main">
          <x14:cfRule type="dataBar" id="{CB70CF8D-6D75-46AE-9E6C-C6B7088BDF74}">
            <x14:dataBar minLength="0" maxLength="100" border="1" negativeBarBorderColorSameAsPositive="0">
              <x14:cfvo type="autoMin"/>
              <x14:cfvo type="autoMax"/>
              <x14:borderColor rgb="FF63C384"/>
              <x14:negativeFillColor rgb="FFFF0000"/>
              <x14:negativeBorderColor rgb="FFFF0000"/>
              <x14:axisColor rgb="FF000000"/>
            </x14:dataBar>
          </x14:cfRule>
          <xm:sqref>Z392</xm:sqref>
        </x14:conditionalFormatting>
        <x14:conditionalFormatting xmlns:xm="http://schemas.microsoft.com/office/excel/2006/main">
          <x14:cfRule type="dataBar" id="{1133A707-1C6F-40B6-A37E-AEAEF6B97118}">
            <x14:dataBar minLength="0" maxLength="100" border="1" negativeBarBorderColorSameAsPositive="0">
              <x14:cfvo type="autoMin"/>
              <x14:cfvo type="autoMax"/>
              <x14:borderColor rgb="FF63C384"/>
              <x14:negativeFillColor rgb="FFFF0000"/>
              <x14:negativeBorderColor rgb="FFFF0000"/>
              <x14:axisColor rgb="FF000000"/>
            </x14:dataBar>
          </x14:cfRule>
          <xm:sqref>Z393</xm:sqref>
        </x14:conditionalFormatting>
        <x14:conditionalFormatting xmlns:xm="http://schemas.microsoft.com/office/excel/2006/main">
          <x14:cfRule type="dataBar" id="{AD744795-DA70-4691-A223-F30962CA2023}">
            <x14:dataBar minLength="0" maxLength="100" border="1" negativeBarBorderColorSameAsPositive="0">
              <x14:cfvo type="autoMin"/>
              <x14:cfvo type="autoMax"/>
              <x14:borderColor rgb="FF63C384"/>
              <x14:negativeFillColor rgb="FFFF0000"/>
              <x14:negativeBorderColor rgb="FFFF0000"/>
              <x14:axisColor rgb="FF000000"/>
            </x14:dataBar>
          </x14:cfRule>
          <xm:sqref>Z393</xm:sqref>
        </x14:conditionalFormatting>
        <x14:conditionalFormatting xmlns:xm="http://schemas.microsoft.com/office/excel/2006/main">
          <x14:cfRule type="dataBar" id="{C500AEC0-342F-4948-9A02-E078AF2F13CB}">
            <x14:dataBar minLength="0" maxLength="100" border="1" negativeBarBorderColorSameAsPositive="0">
              <x14:cfvo type="autoMin"/>
              <x14:cfvo type="autoMax"/>
              <x14:borderColor rgb="FF63C384"/>
              <x14:negativeFillColor rgb="FFFF0000"/>
              <x14:negativeBorderColor rgb="FFFF0000"/>
              <x14:axisColor rgb="FF000000"/>
            </x14:dataBar>
          </x14:cfRule>
          <xm:sqref>Z396</xm:sqref>
        </x14:conditionalFormatting>
        <x14:conditionalFormatting xmlns:xm="http://schemas.microsoft.com/office/excel/2006/main">
          <x14:cfRule type="dataBar" id="{1FF40126-63D7-4BBB-BE36-1285C214BB53}">
            <x14:dataBar minLength="0" maxLength="100" border="1" negativeBarBorderColorSameAsPositive="0">
              <x14:cfvo type="autoMin"/>
              <x14:cfvo type="autoMax"/>
              <x14:borderColor rgb="FF63C384"/>
              <x14:negativeFillColor rgb="FFFF0000"/>
              <x14:negativeBorderColor rgb="FFFF0000"/>
              <x14:axisColor rgb="FF000000"/>
            </x14:dataBar>
          </x14:cfRule>
          <xm:sqref>Z396</xm:sqref>
        </x14:conditionalFormatting>
        <x14:conditionalFormatting xmlns:xm="http://schemas.microsoft.com/office/excel/2006/main">
          <x14:cfRule type="dataBar" id="{B8FB097E-ECB3-49A6-B3C2-3057F1E050E3}">
            <x14:dataBar minLength="0" maxLength="100" border="1" negativeBarBorderColorSameAsPositive="0">
              <x14:cfvo type="autoMin"/>
              <x14:cfvo type="autoMax"/>
              <x14:borderColor rgb="FF63C384"/>
              <x14:negativeFillColor rgb="FFFF0000"/>
              <x14:negativeBorderColor rgb="FFFF0000"/>
              <x14:axisColor rgb="FF000000"/>
            </x14:dataBar>
          </x14:cfRule>
          <xm:sqref>Z397</xm:sqref>
        </x14:conditionalFormatting>
        <x14:conditionalFormatting xmlns:xm="http://schemas.microsoft.com/office/excel/2006/main">
          <x14:cfRule type="dataBar" id="{CB4454C8-4FEC-402A-9513-4312544C9183}">
            <x14:dataBar minLength="0" maxLength="100" border="1" negativeBarBorderColorSameAsPositive="0">
              <x14:cfvo type="autoMin"/>
              <x14:cfvo type="autoMax"/>
              <x14:borderColor rgb="FF63C384"/>
              <x14:negativeFillColor rgb="FFFF0000"/>
              <x14:negativeBorderColor rgb="FFFF0000"/>
              <x14:axisColor rgb="FF000000"/>
            </x14:dataBar>
          </x14:cfRule>
          <xm:sqref>Z397</xm:sqref>
        </x14:conditionalFormatting>
        <x14:conditionalFormatting xmlns:xm="http://schemas.microsoft.com/office/excel/2006/main">
          <x14:cfRule type="dataBar" id="{13CB1272-2FB8-4524-9567-B20D78BB1AB3}">
            <x14:dataBar minLength="0" maxLength="100" border="1" negativeBarBorderColorSameAsPositive="0">
              <x14:cfvo type="autoMin"/>
              <x14:cfvo type="autoMax"/>
              <x14:borderColor rgb="FF63C384"/>
              <x14:negativeFillColor rgb="FFFF0000"/>
              <x14:negativeBorderColor rgb="FFFF0000"/>
              <x14:axisColor rgb="FF000000"/>
            </x14:dataBar>
          </x14:cfRule>
          <xm:sqref>Z398</xm:sqref>
        </x14:conditionalFormatting>
        <x14:conditionalFormatting xmlns:xm="http://schemas.microsoft.com/office/excel/2006/main">
          <x14:cfRule type="dataBar" id="{D9C6C711-051A-43AC-B26E-EF8329C5DCF7}">
            <x14:dataBar minLength="0" maxLength="100" border="1" negativeBarBorderColorSameAsPositive="0">
              <x14:cfvo type="autoMin"/>
              <x14:cfvo type="autoMax"/>
              <x14:borderColor rgb="FF63C384"/>
              <x14:negativeFillColor rgb="FFFF0000"/>
              <x14:negativeBorderColor rgb="FFFF0000"/>
              <x14:axisColor rgb="FF000000"/>
            </x14:dataBar>
          </x14:cfRule>
          <xm:sqref>Z398</xm:sqref>
        </x14:conditionalFormatting>
        <x14:conditionalFormatting xmlns:xm="http://schemas.microsoft.com/office/excel/2006/main">
          <x14:cfRule type="dataBar" id="{49ECF9F5-ADA6-42F1-AFAA-DF0ED86AF06A}">
            <x14:dataBar minLength="0" maxLength="100" border="1" negativeBarBorderColorSameAsPositive="0">
              <x14:cfvo type="autoMin"/>
              <x14:cfvo type="autoMax"/>
              <x14:borderColor rgb="FF63C384"/>
              <x14:negativeFillColor rgb="FFFF0000"/>
              <x14:negativeBorderColor rgb="FFFF0000"/>
              <x14:axisColor rgb="FF000000"/>
            </x14:dataBar>
          </x14:cfRule>
          <xm:sqref>Z399</xm:sqref>
        </x14:conditionalFormatting>
        <x14:conditionalFormatting xmlns:xm="http://schemas.microsoft.com/office/excel/2006/main">
          <x14:cfRule type="dataBar" id="{609C2D24-CEE2-4153-8321-E4C68FE279C6}">
            <x14:dataBar minLength="0" maxLength="100" border="1" negativeBarBorderColorSameAsPositive="0">
              <x14:cfvo type="autoMin"/>
              <x14:cfvo type="autoMax"/>
              <x14:borderColor rgb="FF63C384"/>
              <x14:negativeFillColor rgb="FFFF0000"/>
              <x14:negativeBorderColor rgb="FFFF0000"/>
              <x14:axisColor rgb="FF000000"/>
            </x14:dataBar>
          </x14:cfRule>
          <xm:sqref>Z399</xm:sqref>
        </x14:conditionalFormatting>
        <x14:conditionalFormatting xmlns:xm="http://schemas.microsoft.com/office/excel/2006/main">
          <x14:cfRule type="dataBar" id="{088B2A34-0E7C-461D-A57F-98855DEAF3A8}">
            <x14:dataBar minLength="0" maxLength="100" border="1" negativeBarBorderColorSameAsPositive="0">
              <x14:cfvo type="autoMin"/>
              <x14:cfvo type="autoMax"/>
              <x14:borderColor rgb="FF63C384"/>
              <x14:negativeFillColor rgb="FFFF0000"/>
              <x14:negativeBorderColor rgb="FFFF0000"/>
              <x14:axisColor rgb="FF000000"/>
            </x14:dataBar>
          </x14:cfRule>
          <xm:sqref>Z400</xm:sqref>
        </x14:conditionalFormatting>
        <x14:conditionalFormatting xmlns:xm="http://schemas.microsoft.com/office/excel/2006/main">
          <x14:cfRule type="dataBar" id="{528E35BD-19D3-497D-9844-689FB99856EB}">
            <x14:dataBar minLength="0" maxLength="100" border="1" negativeBarBorderColorSameAsPositive="0">
              <x14:cfvo type="autoMin"/>
              <x14:cfvo type="autoMax"/>
              <x14:borderColor rgb="FF63C384"/>
              <x14:negativeFillColor rgb="FFFF0000"/>
              <x14:negativeBorderColor rgb="FFFF0000"/>
              <x14:axisColor rgb="FF000000"/>
            </x14:dataBar>
          </x14:cfRule>
          <xm:sqref>Z400</xm:sqref>
        </x14:conditionalFormatting>
        <x14:conditionalFormatting xmlns:xm="http://schemas.microsoft.com/office/excel/2006/main">
          <x14:cfRule type="dataBar" id="{5BAE47BA-E512-4675-890D-0129463D9C7D}">
            <x14:dataBar minLength="0" maxLength="100" border="1" negativeBarBorderColorSameAsPositive="0">
              <x14:cfvo type="autoMin"/>
              <x14:cfvo type="autoMax"/>
              <x14:borderColor rgb="FF63C384"/>
              <x14:negativeFillColor rgb="FFFF0000"/>
              <x14:negativeBorderColor rgb="FFFF0000"/>
              <x14:axisColor rgb="FF000000"/>
            </x14:dataBar>
          </x14:cfRule>
          <xm:sqref>Z401</xm:sqref>
        </x14:conditionalFormatting>
        <x14:conditionalFormatting xmlns:xm="http://schemas.microsoft.com/office/excel/2006/main">
          <x14:cfRule type="dataBar" id="{A935D25B-CF4B-46F9-98BD-C14BB6BDD538}">
            <x14:dataBar minLength="0" maxLength="100" border="1" negativeBarBorderColorSameAsPositive="0">
              <x14:cfvo type="autoMin"/>
              <x14:cfvo type="autoMax"/>
              <x14:borderColor rgb="FF63C384"/>
              <x14:negativeFillColor rgb="FFFF0000"/>
              <x14:negativeBorderColor rgb="FFFF0000"/>
              <x14:axisColor rgb="FF000000"/>
            </x14:dataBar>
          </x14:cfRule>
          <xm:sqref>Z401</xm:sqref>
        </x14:conditionalFormatting>
        <x14:conditionalFormatting xmlns:xm="http://schemas.microsoft.com/office/excel/2006/main">
          <x14:cfRule type="dataBar" id="{5530E066-7BFD-40FF-9AC4-F8067E22973E}">
            <x14:dataBar minLength="0" maxLength="100" border="1" negativeBarBorderColorSameAsPositive="0">
              <x14:cfvo type="autoMin"/>
              <x14:cfvo type="autoMax"/>
              <x14:borderColor rgb="FF63C384"/>
              <x14:negativeFillColor rgb="FFFF0000"/>
              <x14:negativeBorderColor rgb="FFFF0000"/>
              <x14:axisColor rgb="FF000000"/>
            </x14:dataBar>
          </x14:cfRule>
          <xm:sqref>Z394</xm:sqref>
        </x14:conditionalFormatting>
        <x14:conditionalFormatting xmlns:xm="http://schemas.microsoft.com/office/excel/2006/main">
          <x14:cfRule type="dataBar" id="{5DB4A41A-3625-4A29-ADE3-31365AEDE74F}">
            <x14:dataBar minLength="0" maxLength="100" border="1" negativeBarBorderColorSameAsPositive="0">
              <x14:cfvo type="autoMin"/>
              <x14:cfvo type="autoMax"/>
              <x14:borderColor rgb="FF63C384"/>
              <x14:negativeFillColor rgb="FFFF0000"/>
              <x14:negativeBorderColor rgb="FFFF0000"/>
              <x14:axisColor rgb="FF000000"/>
            </x14:dataBar>
          </x14:cfRule>
          <xm:sqref>Z394</xm:sqref>
        </x14:conditionalFormatting>
        <x14:conditionalFormatting xmlns:xm="http://schemas.microsoft.com/office/excel/2006/main">
          <x14:cfRule type="dataBar" id="{61483DCB-19C8-429E-9970-ED51329594AA}">
            <x14:dataBar minLength="0" maxLength="100" border="1" negativeBarBorderColorSameAsPositive="0">
              <x14:cfvo type="autoMin"/>
              <x14:cfvo type="autoMax"/>
              <x14:borderColor rgb="FF63C384"/>
              <x14:negativeFillColor rgb="FFFF0000"/>
              <x14:negativeBorderColor rgb="FFFF0000"/>
              <x14:axisColor rgb="FF000000"/>
            </x14:dataBar>
          </x14:cfRule>
          <xm:sqref>Z395</xm:sqref>
        </x14:conditionalFormatting>
        <x14:conditionalFormatting xmlns:xm="http://schemas.microsoft.com/office/excel/2006/main">
          <x14:cfRule type="dataBar" id="{8DCC8F2D-4AAF-4E76-8DF7-97E08E7E6578}">
            <x14:dataBar minLength="0" maxLength="100" border="1" negativeBarBorderColorSameAsPositive="0">
              <x14:cfvo type="autoMin"/>
              <x14:cfvo type="autoMax"/>
              <x14:borderColor rgb="FF63C384"/>
              <x14:negativeFillColor rgb="FFFF0000"/>
              <x14:negativeBorderColor rgb="FFFF0000"/>
              <x14:axisColor rgb="FF000000"/>
            </x14:dataBar>
          </x14:cfRule>
          <xm:sqref>Z395</xm:sqref>
        </x14:conditionalFormatting>
        <x14:conditionalFormatting xmlns:xm="http://schemas.microsoft.com/office/excel/2006/main">
          <x14:cfRule type="dataBar" id="{57AEAE1E-B8D5-4A0F-AA0A-FE6F7406CD53}">
            <x14:dataBar minLength="0" maxLength="100" border="1" negativeBarBorderColorSameAsPositive="0">
              <x14:cfvo type="autoMin"/>
              <x14:cfvo type="autoMax"/>
              <x14:borderColor rgb="FF63C384"/>
              <x14:negativeFillColor rgb="FFFF0000"/>
              <x14:negativeBorderColor rgb="FFFF0000"/>
              <x14:axisColor rgb="FF000000"/>
            </x14:dataBar>
          </x14:cfRule>
          <xm:sqref>Z402</xm:sqref>
        </x14:conditionalFormatting>
        <x14:conditionalFormatting xmlns:xm="http://schemas.microsoft.com/office/excel/2006/main">
          <x14:cfRule type="dataBar" id="{C2D2D8D7-3074-480D-9DA9-2949A592F28D}">
            <x14:dataBar minLength="0" maxLength="100" border="1" negativeBarBorderColorSameAsPositive="0">
              <x14:cfvo type="autoMin"/>
              <x14:cfvo type="autoMax"/>
              <x14:borderColor rgb="FF63C384"/>
              <x14:negativeFillColor rgb="FFFF0000"/>
              <x14:negativeBorderColor rgb="FFFF0000"/>
              <x14:axisColor rgb="FF000000"/>
            </x14:dataBar>
          </x14:cfRule>
          <xm:sqref>Z403</xm:sqref>
        </x14:conditionalFormatting>
        <x14:conditionalFormatting xmlns:xm="http://schemas.microsoft.com/office/excel/2006/main">
          <x14:cfRule type="dataBar" id="{23BFB2E6-C178-42D1-8DFC-4B7170FED97D}">
            <x14:dataBar minLength="0" maxLength="100" border="1" negativeBarBorderColorSameAsPositive="0">
              <x14:cfvo type="autoMin"/>
              <x14:cfvo type="autoMax"/>
              <x14:borderColor rgb="FF63C384"/>
              <x14:negativeFillColor rgb="FFFF0000"/>
              <x14:negativeBorderColor rgb="FFFF0000"/>
              <x14:axisColor rgb="FF000000"/>
            </x14:dataBar>
          </x14:cfRule>
          <xm:sqref>Z403</xm:sqref>
        </x14:conditionalFormatting>
        <x14:conditionalFormatting xmlns:xm="http://schemas.microsoft.com/office/excel/2006/main">
          <x14:cfRule type="dataBar" id="{E1852B0D-CCD4-4363-87D8-D3B173F5DEC4}">
            <x14:dataBar minLength="0" maxLength="100" border="1" negativeBarBorderColorSameAsPositive="0">
              <x14:cfvo type="autoMin"/>
              <x14:cfvo type="autoMax"/>
              <x14:borderColor rgb="FF63C384"/>
              <x14:negativeFillColor rgb="FFFF0000"/>
              <x14:negativeBorderColor rgb="FFFF0000"/>
              <x14:axisColor rgb="FF000000"/>
            </x14:dataBar>
          </x14:cfRule>
          <xm:sqref>Z404</xm:sqref>
        </x14:conditionalFormatting>
        <x14:conditionalFormatting xmlns:xm="http://schemas.microsoft.com/office/excel/2006/main">
          <x14:cfRule type="dataBar" id="{BCBC302F-E039-41FC-A3CD-AC4E433F4688}">
            <x14:dataBar minLength="0" maxLength="100" border="1" negativeBarBorderColorSameAsPositive="0">
              <x14:cfvo type="autoMin"/>
              <x14:cfvo type="autoMax"/>
              <x14:borderColor rgb="FF63C384"/>
              <x14:negativeFillColor rgb="FFFF0000"/>
              <x14:negativeBorderColor rgb="FFFF0000"/>
              <x14:axisColor rgb="FF000000"/>
            </x14:dataBar>
          </x14:cfRule>
          <xm:sqref>Z404</xm:sqref>
        </x14:conditionalFormatting>
        <x14:conditionalFormatting xmlns:xm="http://schemas.microsoft.com/office/excel/2006/main">
          <x14:cfRule type="dataBar" id="{7DB69FA2-C584-46C7-9B2C-FE82AE8FA3BB}">
            <x14:dataBar minLength="0" maxLength="100" border="1" negativeBarBorderColorSameAsPositive="0">
              <x14:cfvo type="autoMin"/>
              <x14:cfvo type="autoMax"/>
              <x14:borderColor rgb="FF63C384"/>
              <x14:negativeFillColor rgb="FFFF0000"/>
              <x14:negativeBorderColor rgb="FFFF0000"/>
              <x14:axisColor rgb="FF000000"/>
            </x14:dataBar>
          </x14:cfRule>
          <xm:sqref>Z405</xm:sqref>
        </x14:conditionalFormatting>
        <x14:conditionalFormatting xmlns:xm="http://schemas.microsoft.com/office/excel/2006/main">
          <x14:cfRule type="dataBar" id="{DBA0474B-C9E7-4722-A4A8-AFED660A5C5D}">
            <x14:dataBar minLength="0" maxLength="100" border="1" negativeBarBorderColorSameAsPositive="0">
              <x14:cfvo type="autoMin"/>
              <x14:cfvo type="autoMax"/>
              <x14:borderColor rgb="FF63C384"/>
              <x14:negativeFillColor rgb="FFFF0000"/>
              <x14:negativeBorderColor rgb="FFFF0000"/>
              <x14:axisColor rgb="FF000000"/>
            </x14:dataBar>
          </x14:cfRule>
          <xm:sqref>Z405</xm:sqref>
        </x14:conditionalFormatting>
        <x14:conditionalFormatting xmlns:xm="http://schemas.microsoft.com/office/excel/2006/main">
          <x14:cfRule type="dataBar" id="{7311AC7C-6141-4F3E-99D6-55F5F2DE2BE6}">
            <x14:dataBar minLength="0" maxLength="100" border="1" negativeBarBorderColorSameAsPositive="0">
              <x14:cfvo type="autoMin"/>
              <x14:cfvo type="autoMax"/>
              <x14:borderColor rgb="FF63C384"/>
              <x14:negativeFillColor rgb="FFFF0000"/>
              <x14:negativeBorderColor rgb="FFFF0000"/>
              <x14:axisColor rgb="FF000000"/>
            </x14:dataBar>
          </x14:cfRule>
          <xm:sqref>Z406</xm:sqref>
        </x14:conditionalFormatting>
        <x14:conditionalFormatting xmlns:xm="http://schemas.microsoft.com/office/excel/2006/main">
          <x14:cfRule type="dataBar" id="{162D2541-D68A-4514-9524-430C81EB2BBE}">
            <x14:dataBar minLength="0" maxLength="100" border="1" negativeBarBorderColorSameAsPositive="0">
              <x14:cfvo type="autoMin"/>
              <x14:cfvo type="autoMax"/>
              <x14:borderColor rgb="FF63C384"/>
              <x14:negativeFillColor rgb="FFFF0000"/>
              <x14:negativeBorderColor rgb="FFFF0000"/>
              <x14:axisColor rgb="FF000000"/>
            </x14:dataBar>
          </x14:cfRule>
          <xm:sqref>Z406</xm:sqref>
        </x14:conditionalFormatting>
        <x14:conditionalFormatting xmlns:xm="http://schemas.microsoft.com/office/excel/2006/main">
          <x14:cfRule type="dataBar" id="{DB99EFDA-5E9D-4D0A-BFB8-5ACD0F5BDE57}">
            <x14:dataBar minLength="0" maxLength="100" border="1" negativeBarBorderColorSameAsPositive="0">
              <x14:cfvo type="autoMin"/>
              <x14:cfvo type="autoMax"/>
              <x14:borderColor rgb="FF63C384"/>
              <x14:negativeFillColor rgb="FFFF0000"/>
              <x14:negativeBorderColor rgb="FFFF0000"/>
              <x14:axisColor rgb="FF000000"/>
            </x14:dataBar>
          </x14:cfRule>
          <xm:sqref>Z407</xm:sqref>
        </x14:conditionalFormatting>
        <x14:conditionalFormatting xmlns:xm="http://schemas.microsoft.com/office/excel/2006/main">
          <x14:cfRule type="dataBar" id="{BF627408-D00D-48C0-8771-7B9D3524FE04}">
            <x14:dataBar minLength="0" maxLength="100" border="1" negativeBarBorderColorSameAsPositive="0">
              <x14:cfvo type="autoMin"/>
              <x14:cfvo type="autoMax"/>
              <x14:borderColor rgb="FF63C384"/>
              <x14:negativeFillColor rgb="FFFF0000"/>
              <x14:negativeBorderColor rgb="FFFF0000"/>
              <x14:axisColor rgb="FF000000"/>
            </x14:dataBar>
          </x14:cfRule>
          <xm:sqref>Z407</xm:sqref>
        </x14:conditionalFormatting>
        <x14:conditionalFormatting xmlns:xm="http://schemas.microsoft.com/office/excel/2006/main">
          <x14:cfRule type="dataBar" id="{BEABDE6C-E31A-4952-9848-F46999BFF012}">
            <x14:dataBar minLength="0" maxLength="100" border="1" negativeBarBorderColorSameAsPositive="0">
              <x14:cfvo type="autoMin"/>
              <x14:cfvo type="autoMax"/>
              <x14:borderColor rgb="FF63C384"/>
              <x14:negativeFillColor rgb="FFFF0000"/>
              <x14:negativeBorderColor rgb="FFFF0000"/>
              <x14:axisColor rgb="FF000000"/>
            </x14:dataBar>
          </x14:cfRule>
          <xm:sqref>Z408</xm:sqref>
        </x14:conditionalFormatting>
        <x14:conditionalFormatting xmlns:xm="http://schemas.microsoft.com/office/excel/2006/main">
          <x14:cfRule type="dataBar" id="{79541016-9FB0-474B-815A-02EAA10D20D2}">
            <x14:dataBar minLength="0" maxLength="100" border="1" negativeBarBorderColorSameAsPositive="0">
              <x14:cfvo type="autoMin"/>
              <x14:cfvo type="autoMax"/>
              <x14:borderColor rgb="FF63C384"/>
              <x14:negativeFillColor rgb="FFFF0000"/>
              <x14:negativeBorderColor rgb="FFFF0000"/>
              <x14:axisColor rgb="FF000000"/>
            </x14:dataBar>
          </x14:cfRule>
          <xm:sqref>Z408</xm:sqref>
        </x14:conditionalFormatting>
        <x14:conditionalFormatting xmlns:xm="http://schemas.microsoft.com/office/excel/2006/main">
          <x14:cfRule type="dataBar" id="{0E2C8CAF-8BA6-4B2A-AEF8-B749A8177952}">
            <x14:dataBar minLength="0" maxLength="100" border="1" negativeBarBorderColorSameAsPositive="0">
              <x14:cfvo type="autoMin"/>
              <x14:cfvo type="autoMax"/>
              <x14:borderColor rgb="FF63C384"/>
              <x14:negativeFillColor rgb="FFFF0000"/>
              <x14:negativeBorderColor rgb="FFFF0000"/>
              <x14:axisColor rgb="FF000000"/>
            </x14:dataBar>
          </x14:cfRule>
          <xm:sqref>Z409</xm:sqref>
        </x14:conditionalFormatting>
        <x14:conditionalFormatting xmlns:xm="http://schemas.microsoft.com/office/excel/2006/main">
          <x14:cfRule type="dataBar" id="{5EED2A8B-6D3F-42BE-A438-952D2D5977C8}">
            <x14:dataBar minLength="0" maxLength="100" border="1" negativeBarBorderColorSameAsPositive="0">
              <x14:cfvo type="autoMin"/>
              <x14:cfvo type="autoMax"/>
              <x14:borderColor rgb="FF63C384"/>
              <x14:negativeFillColor rgb="FFFF0000"/>
              <x14:negativeBorderColor rgb="FFFF0000"/>
              <x14:axisColor rgb="FF000000"/>
            </x14:dataBar>
          </x14:cfRule>
          <xm:sqref>Z409</xm:sqref>
        </x14:conditionalFormatting>
        <x14:conditionalFormatting xmlns:xm="http://schemas.microsoft.com/office/excel/2006/main">
          <x14:cfRule type="dataBar" id="{AF60B452-8EAB-4223-9CEB-7EDA6CF51279}">
            <x14:dataBar minLength="0" maxLength="100" border="1" negativeBarBorderColorSameAsPositive="0">
              <x14:cfvo type="autoMin"/>
              <x14:cfvo type="autoMax"/>
              <x14:borderColor rgb="FF63C384"/>
              <x14:negativeFillColor rgb="FFFF0000"/>
              <x14:negativeBorderColor rgb="FFFF0000"/>
              <x14:axisColor rgb="FF000000"/>
            </x14:dataBar>
          </x14:cfRule>
          <xm:sqref>Z410</xm:sqref>
        </x14:conditionalFormatting>
        <x14:conditionalFormatting xmlns:xm="http://schemas.microsoft.com/office/excel/2006/main">
          <x14:cfRule type="dataBar" id="{D3C10CF0-A456-4473-BB48-E703F7C49BF4}">
            <x14:dataBar minLength="0" maxLength="100" border="1" negativeBarBorderColorSameAsPositive="0">
              <x14:cfvo type="autoMin"/>
              <x14:cfvo type="autoMax"/>
              <x14:borderColor rgb="FF63C384"/>
              <x14:negativeFillColor rgb="FFFF0000"/>
              <x14:negativeBorderColor rgb="FFFF0000"/>
              <x14:axisColor rgb="FF000000"/>
            </x14:dataBar>
          </x14:cfRule>
          <xm:sqref>Z410</xm:sqref>
        </x14:conditionalFormatting>
        <x14:conditionalFormatting xmlns:xm="http://schemas.microsoft.com/office/excel/2006/main">
          <x14:cfRule type="dataBar" id="{8F2D0376-F565-4678-BAE2-A2921A114117}">
            <x14:dataBar minLength="0" maxLength="100" border="1" negativeBarBorderColorSameAsPositive="0">
              <x14:cfvo type="autoMin"/>
              <x14:cfvo type="autoMax"/>
              <x14:borderColor rgb="FF63C384"/>
              <x14:negativeFillColor rgb="FFFF0000"/>
              <x14:negativeBorderColor rgb="FFFF0000"/>
              <x14:axisColor rgb="FF000000"/>
            </x14:dataBar>
          </x14:cfRule>
          <xm:sqref>Z411</xm:sqref>
        </x14:conditionalFormatting>
        <x14:conditionalFormatting xmlns:xm="http://schemas.microsoft.com/office/excel/2006/main">
          <x14:cfRule type="dataBar" id="{A8479C7E-E59B-4578-9EA6-F1606820F7B5}">
            <x14:dataBar minLength="0" maxLength="100" border="1" negativeBarBorderColorSameAsPositive="0">
              <x14:cfvo type="autoMin"/>
              <x14:cfvo type="autoMax"/>
              <x14:borderColor rgb="FF63C384"/>
              <x14:negativeFillColor rgb="FFFF0000"/>
              <x14:negativeBorderColor rgb="FFFF0000"/>
              <x14:axisColor rgb="FF000000"/>
            </x14:dataBar>
          </x14:cfRule>
          <xm:sqref>Z411</xm:sqref>
        </x14:conditionalFormatting>
        <x14:conditionalFormatting xmlns:xm="http://schemas.microsoft.com/office/excel/2006/main">
          <x14:cfRule type="dataBar" id="{8FDA12EE-B7F6-4B72-B34B-288F06E596B5}">
            <x14:dataBar minLength="0" maxLength="100" border="1" negativeBarBorderColorSameAsPositive="0">
              <x14:cfvo type="autoMin"/>
              <x14:cfvo type="autoMax"/>
              <x14:borderColor rgb="FF63C384"/>
              <x14:negativeFillColor rgb="FFFF0000"/>
              <x14:negativeBorderColor rgb="FFFF0000"/>
              <x14:axisColor rgb="FF000000"/>
            </x14:dataBar>
          </x14:cfRule>
          <xm:sqref>Z412</xm:sqref>
        </x14:conditionalFormatting>
        <x14:conditionalFormatting xmlns:xm="http://schemas.microsoft.com/office/excel/2006/main">
          <x14:cfRule type="dataBar" id="{17B314EF-452E-46A4-9632-49806F53579B}">
            <x14:dataBar minLength="0" maxLength="100" border="1" negativeBarBorderColorSameAsPositive="0">
              <x14:cfvo type="autoMin"/>
              <x14:cfvo type="autoMax"/>
              <x14:borderColor rgb="FF63C384"/>
              <x14:negativeFillColor rgb="FFFF0000"/>
              <x14:negativeBorderColor rgb="FFFF0000"/>
              <x14:axisColor rgb="FF000000"/>
            </x14:dataBar>
          </x14:cfRule>
          <xm:sqref>Z412</xm:sqref>
        </x14:conditionalFormatting>
        <x14:conditionalFormatting xmlns:xm="http://schemas.microsoft.com/office/excel/2006/main">
          <x14:cfRule type="dataBar" id="{FBD40135-590F-4D07-9C91-8C780F211EB8}">
            <x14:dataBar minLength="0" maxLength="100" border="1" negativeBarBorderColorSameAsPositive="0">
              <x14:cfvo type="autoMin"/>
              <x14:cfvo type="autoMax"/>
              <x14:borderColor rgb="FF63C384"/>
              <x14:negativeFillColor rgb="FFFF0000"/>
              <x14:negativeBorderColor rgb="FFFF0000"/>
              <x14:axisColor rgb="FF000000"/>
            </x14:dataBar>
          </x14:cfRule>
          <xm:sqref>Z413</xm:sqref>
        </x14:conditionalFormatting>
        <x14:conditionalFormatting xmlns:xm="http://schemas.microsoft.com/office/excel/2006/main">
          <x14:cfRule type="dataBar" id="{4F046AEF-0675-4C36-9541-5283AC8A3107}">
            <x14:dataBar minLength="0" maxLength="100" border="1" negativeBarBorderColorSameAsPositive="0">
              <x14:cfvo type="autoMin"/>
              <x14:cfvo type="autoMax"/>
              <x14:borderColor rgb="FF63C384"/>
              <x14:negativeFillColor rgb="FFFF0000"/>
              <x14:negativeBorderColor rgb="FFFF0000"/>
              <x14:axisColor rgb="FF000000"/>
            </x14:dataBar>
          </x14:cfRule>
          <xm:sqref>Z413</xm:sqref>
        </x14:conditionalFormatting>
        <x14:conditionalFormatting xmlns:xm="http://schemas.microsoft.com/office/excel/2006/main">
          <x14:cfRule type="dataBar" id="{BDD8A747-D4C6-4F8C-86A5-76DDD8103E54}">
            <x14:dataBar minLength="0" maxLength="100" border="1" negativeBarBorderColorSameAsPositive="0">
              <x14:cfvo type="autoMin"/>
              <x14:cfvo type="autoMax"/>
              <x14:borderColor rgb="FF63C384"/>
              <x14:negativeFillColor rgb="FFFF0000"/>
              <x14:negativeBorderColor rgb="FFFF0000"/>
              <x14:axisColor rgb="FF000000"/>
            </x14:dataBar>
          </x14:cfRule>
          <xm:sqref>Z414</xm:sqref>
        </x14:conditionalFormatting>
        <x14:conditionalFormatting xmlns:xm="http://schemas.microsoft.com/office/excel/2006/main">
          <x14:cfRule type="dataBar" id="{B29A8B22-3C9C-42AD-A7B0-FCA1D64FE0E2}">
            <x14:dataBar minLength="0" maxLength="100" border="1" negativeBarBorderColorSameAsPositive="0">
              <x14:cfvo type="autoMin"/>
              <x14:cfvo type="autoMax"/>
              <x14:borderColor rgb="FF63C384"/>
              <x14:negativeFillColor rgb="FFFF0000"/>
              <x14:negativeBorderColor rgb="FFFF0000"/>
              <x14:axisColor rgb="FF000000"/>
            </x14:dataBar>
          </x14:cfRule>
          <xm:sqref>Z414</xm:sqref>
        </x14:conditionalFormatting>
        <x14:conditionalFormatting xmlns:xm="http://schemas.microsoft.com/office/excel/2006/main">
          <x14:cfRule type="dataBar" id="{740C9F06-9A64-40C5-8D12-3221FCAF4184}">
            <x14:dataBar minLength="0" maxLength="100" border="1" negativeBarBorderColorSameAsPositive="0">
              <x14:cfvo type="autoMin"/>
              <x14:cfvo type="autoMax"/>
              <x14:borderColor rgb="FF63C384"/>
              <x14:negativeFillColor rgb="FFFF0000"/>
              <x14:negativeBorderColor rgb="FFFF0000"/>
              <x14:axisColor rgb="FF000000"/>
            </x14:dataBar>
          </x14:cfRule>
          <xm:sqref>Z415</xm:sqref>
        </x14:conditionalFormatting>
        <x14:conditionalFormatting xmlns:xm="http://schemas.microsoft.com/office/excel/2006/main">
          <x14:cfRule type="dataBar" id="{5BE9FB46-2F02-4FEC-95B9-82A3E90E1635}">
            <x14:dataBar minLength="0" maxLength="100" border="1" negativeBarBorderColorSameAsPositive="0">
              <x14:cfvo type="autoMin"/>
              <x14:cfvo type="autoMax"/>
              <x14:borderColor rgb="FF63C384"/>
              <x14:negativeFillColor rgb="FFFF0000"/>
              <x14:negativeBorderColor rgb="FFFF0000"/>
              <x14:axisColor rgb="FF000000"/>
            </x14:dataBar>
          </x14:cfRule>
          <xm:sqref>Z415</xm:sqref>
        </x14:conditionalFormatting>
        <x14:conditionalFormatting xmlns:xm="http://schemas.microsoft.com/office/excel/2006/main">
          <x14:cfRule type="dataBar" id="{9950916A-D814-46FE-8628-260849BEF62D}">
            <x14:dataBar minLength="0" maxLength="100" border="1" negativeBarBorderColorSameAsPositive="0">
              <x14:cfvo type="autoMin"/>
              <x14:cfvo type="autoMax"/>
              <x14:borderColor rgb="FF63C384"/>
              <x14:negativeFillColor rgb="FFFF0000"/>
              <x14:negativeBorderColor rgb="FFFF0000"/>
              <x14:axisColor rgb="FF000000"/>
            </x14:dataBar>
          </x14:cfRule>
          <xm:sqref>Z416</xm:sqref>
        </x14:conditionalFormatting>
        <x14:conditionalFormatting xmlns:xm="http://schemas.microsoft.com/office/excel/2006/main">
          <x14:cfRule type="dataBar" id="{9701A736-A811-4734-87F8-760B424FFA01}">
            <x14:dataBar minLength="0" maxLength="100" border="1" negativeBarBorderColorSameAsPositive="0">
              <x14:cfvo type="autoMin"/>
              <x14:cfvo type="autoMax"/>
              <x14:borderColor rgb="FF63C384"/>
              <x14:negativeFillColor rgb="FFFF0000"/>
              <x14:negativeBorderColor rgb="FFFF0000"/>
              <x14:axisColor rgb="FF000000"/>
            </x14:dataBar>
          </x14:cfRule>
          <xm:sqref>Z416</xm:sqref>
        </x14:conditionalFormatting>
        <x14:conditionalFormatting xmlns:xm="http://schemas.microsoft.com/office/excel/2006/main">
          <x14:cfRule type="dataBar" id="{F3937EFC-080A-4C62-906E-122600AFA069}">
            <x14:dataBar minLength="0" maxLength="100" border="1" negativeBarBorderColorSameAsPositive="0">
              <x14:cfvo type="autoMin"/>
              <x14:cfvo type="autoMax"/>
              <x14:borderColor rgb="FF63C384"/>
              <x14:negativeFillColor rgb="FFFF0000"/>
              <x14:negativeBorderColor rgb="FFFF0000"/>
              <x14:axisColor rgb="FF000000"/>
            </x14:dataBar>
          </x14:cfRule>
          <xm:sqref>Z417</xm:sqref>
        </x14:conditionalFormatting>
        <x14:conditionalFormatting xmlns:xm="http://schemas.microsoft.com/office/excel/2006/main">
          <x14:cfRule type="dataBar" id="{21413CDB-7920-4EAD-8A71-D09A786129B9}">
            <x14:dataBar minLength="0" maxLength="100" border="1" negativeBarBorderColorSameAsPositive="0">
              <x14:cfvo type="autoMin"/>
              <x14:cfvo type="autoMax"/>
              <x14:borderColor rgb="FF63C384"/>
              <x14:negativeFillColor rgb="FFFF0000"/>
              <x14:negativeBorderColor rgb="FFFF0000"/>
              <x14:axisColor rgb="FF000000"/>
            </x14:dataBar>
          </x14:cfRule>
          <xm:sqref>Z417</xm:sqref>
        </x14:conditionalFormatting>
        <x14:conditionalFormatting xmlns:xm="http://schemas.microsoft.com/office/excel/2006/main">
          <x14:cfRule type="dataBar" id="{0AF30E12-F587-4885-AEA1-5B3E4D1333CE}">
            <x14:dataBar minLength="0" maxLength="100" border="1" negativeBarBorderColorSameAsPositive="0">
              <x14:cfvo type="autoMin"/>
              <x14:cfvo type="autoMax"/>
              <x14:borderColor rgb="FF63C384"/>
              <x14:negativeFillColor rgb="FFFF0000"/>
              <x14:negativeBorderColor rgb="FFFF0000"/>
              <x14:axisColor rgb="FF000000"/>
            </x14:dataBar>
          </x14:cfRule>
          <xm:sqref>Z418</xm:sqref>
        </x14:conditionalFormatting>
        <x14:conditionalFormatting xmlns:xm="http://schemas.microsoft.com/office/excel/2006/main">
          <x14:cfRule type="dataBar" id="{EFDF7DFA-FA20-4F2E-87D9-4FAB92840D4B}">
            <x14:dataBar minLength="0" maxLength="100" border="1" negativeBarBorderColorSameAsPositive="0">
              <x14:cfvo type="autoMin"/>
              <x14:cfvo type="autoMax"/>
              <x14:borderColor rgb="FF63C384"/>
              <x14:negativeFillColor rgb="FFFF0000"/>
              <x14:negativeBorderColor rgb="FFFF0000"/>
              <x14:axisColor rgb="FF000000"/>
            </x14:dataBar>
          </x14:cfRule>
          <xm:sqref>Z418</xm:sqref>
        </x14:conditionalFormatting>
        <x14:conditionalFormatting xmlns:xm="http://schemas.microsoft.com/office/excel/2006/main">
          <x14:cfRule type="dataBar" id="{E529A4B0-6B5E-48DC-80A4-2CB0DB7CCC46}">
            <x14:dataBar minLength="0" maxLength="100" border="1" negativeBarBorderColorSameAsPositive="0">
              <x14:cfvo type="autoMin"/>
              <x14:cfvo type="autoMax"/>
              <x14:borderColor rgb="FF63C384"/>
              <x14:negativeFillColor rgb="FFFF0000"/>
              <x14:negativeBorderColor rgb="FFFF0000"/>
              <x14:axisColor rgb="FF000000"/>
            </x14:dataBar>
          </x14:cfRule>
          <xm:sqref>Z419</xm:sqref>
        </x14:conditionalFormatting>
        <x14:conditionalFormatting xmlns:xm="http://schemas.microsoft.com/office/excel/2006/main">
          <x14:cfRule type="dataBar" id="{8F87C727-68E3-41BD-881A-633C3C3B8D96}">
            <x14:dataBar minLength="0" maxLength="100" border="1" negativeBarBorderColorSameAsPositive="0">
              <x14:cfvo type="autoMin"/>
              <x14:cfvo type="autoMax"/>
              <x14:borderColor rgb="FF63C384"/>
              <x14:negativeFillColor rgb="FFFF0000"/>
              <x14:negativeBorderColor rgb="FFFF0000"/>
              <x14:axisColor rgb="FF000000"/>
            </x14:dataBar>
          </x14:cfRule>
          <xm:sqref>Z419</xm:sqref>
        </x14:conditionalFormatting>
        <x14:conditionalFormatting xmlns:xm="http://schemas.microsoft.com/office/excel/2006/main">
          <x14:cfRule type="dataBar" id="{12BF72A0-546D-40B4-9976-E8E65BAB6788}">
            <x14:dataBar minLength="0" maxLength="100" border="1" negativeBarBorderColorSameAsPositive="0">
              <x14:cfvo type="autoMin"/>
              <x14:cfvo type="autoMax"/>
              <x14:borderColor rgb="FF63C384"/>
              <x14:negativeFillColor rgb="FFFF0000"/>
              <x14:negativeBorderColor rgb="FFFF0000"/>
              <x14:axisColor rgb="FF000000"/>
            </x14:dataBar>
          </x14:cfRule>
          <xm:sqref>Z420</xm:sqref>
        </x14:conditionalFormatting>
        <x14:conditionalFormatting xmlns:xm="http://schemas.microsoft.com/office/excel/2006/main">
          <x14:cfRule type="dataBar" id="{F52E7F79-C394-4863-B323-1E2DE64782A5}">
            <x14:dataBar minLength="0" maxLength="100" border="1" negativeBarBorderColorSameAsPositive="0">
              <x14:cfvo type="autoMin"/>
              <x14:cfvo type="autoMax"/>
              <x14:borderColor rgb="FF63C384"/>
              <x14:negativeFillColor rgb="FFFF0000"/>
              <x14:negativeBorderColor rgb="FFFF0000"/>
              <x14:axisColor rgb="FF000000"/>
            </x14:dataBar>
          </x14:cfRule>
          <xm:sqref>Z420</xm:sqref>
        </x14:conditionalFormatting>
        <x14:conditionalFormatting xmlns:xm="http://schemas.microsoft.com/office/excel/2006/main">
          <x14:cfRule type="dataBar" id="{9279EFBA-10E6-4DE0-A9D7-F644BB869A27}">
            <x14:dataBar minLength="0" maxLength="100" border="1" negativeBarBorderColorSameAsPositive="0">
              <x14:cfvo type="autoMin"/>
              <x14:cfvo type="autoMax"/>
              <x14:borderColor rgb="FF63C384"/>
              <x14:negativeFillColor rgb="FFFF0000"/>
              <x14:negativeBorderColor rgb="FFFF0000"/>
              <x14:axisColor rgb="FF000000"/>
            </x14:dataBar>
          </x14:cfRule>
          <xm:sqref>Z421</xm:sqref>
        </x14:conditionalFormatting>
        <x14:conditionalFormatting xmlns:xm="http://schemas.microsoft.com/office/excel/2006/main">
          <x14:cfRule type="dataBar" id="{CFA4C245-8918-4D0A-A27D-6449C0EA2C20}">
            <x14:dataBar minLength="0" maxLength="100" border="1" negativeBarBorderColorSameAsPositive="0">
              <x14:cfvo type="autoMin"/>
              <x14:cfvo type="autoMax"/>
              <x14:borderColor rgb="FF63C384"/>
              <x14:negativeFillColor rgb="FFFF0000"/>
              <x14:negativeBorderColor rgb="FFFF0000"/>
              <x14:axisColor rgb="FF000000"/>
            </x14:dataBar>
          </x14:cfRule>
          <xm:sqref>Z421</xm:sqref>
        </x14:conditionalFormatting>
        <x14:conditionalFormatting xmlns:xm="http://schemas.microsoft.com/office/excel/2006/main">
          <x14:cfRule type="dataBar" id="{B02F266C-4A46-4CEF-8F80-595D15FCE424}">
            <x14:dataBar minLength="0" maxLength="100" border="1" negativeBarBorderColorSameAsPositive="0">
              <x14:cfvo type="autoMin"/>
              <x14:cfvo type="autoMax"/>
              <x14:borderColor rgb="FF63C384"/>
              <x14:negativeFillColor rgb="FFFF0000"/>
              <x14:negativeBorderColor rgb="FFFF0000"/>
              <x14:axisColor rgb="FF000000"/>
            </x14:dataBar>
          </x14:cfRule>
          <xm:sqref>Z422</xm:sqref>
        </x14:conditionalFormatting>
        <x14:conditionalFormatting xmlns:xm="http://schemas.microsoft.com/office/excel/2006/main">
          <x14:cfRule type="dataBar" id="{E703F266-505C-454C-8AFA-12A4EC0CA92F}">
            <x14:dataBar minLength="0" maxLength="100" border="1" negativeBarBorderColorSameAsPositive="0">
              <x14:cfvo type="autoMin"/>
              <x14:cfvo type="autoMax"/>
              <x14:borderColor rgb="FF63C384"/>
              <x14:negativeFillColor rgb="FFFF0000"/>
              <x14:negativeBorderColor rgb="FFFF0000"/>
              <x14:axisColor rgb="FF000000"/>
            </x14:dataBar>
          </x14:cfRule>
          <xm:sqref>Z422</xm:sqref>
        </x14:conditionalFormatting>
        <x14:conditionalFormatting xmlns:xm="http://schemas.microsoft.com/office/excel/2006/main">
          <x14:cfRule type="dataBar" id="{F2004B27-0BDE-46E3-97BB-F8C22D20F0EC}">
            <x14:dataBar minLength="0" maxLength="100" border="1" negativeBarBorderColorSameAsPositive="0">
              <x14:cfvo type="autoMin"/>
              <x14:cfvo type="autoMax"/>
              <x14:borderColor rgb="FF63C384"/>
              <x14:negativeFillColor rgb="FFFF0000"/>
              <x14:negativeBorderColor rgb="FFFF0000"/>
              <x14:axisColor rgb="FF000000"/>
            </x14:dataBar>
          </x14:cfRule>
          <xm:sqref>Z423</xm:sqref>
        </x14:conditionalFormatting>
        <x14:conditionalFormatting xmlns:xm="http://schemas.microsoft.com/office/excel/2006/main">
          <x14:cfRule type="dataBar" id="{B68B1927-1B7E-4B20-9A9C-97411141E890}">
            <x14:dataBar minLength="0" maxLength="100" border="1" negativeBarBorderColorSameAsPositive="0">
              <x14:cfvo type="autoMin"/>
              <x14:cfvo type="autoMax"/>
              <x14:borderColor rgb="FF63C384"/>
              <x14:negativeFillColor rgb="FFFF0000"/>
              <x14:negativeBorderColor rgb="FFFF0000"/>
              <x14:axisColor rgb="FF000000"/>
            </x14:dataBar>
          </x14:cfRule>
          <xm:sqref>Z423</xm:sqref>
        </x14:conditionalFormatting>
        <x14:conditionalFormatting xmlns:xm="http://schemas.microsoft.com/office/excel/2006/main">
          <x14:cfRule type="dataBar" id="{78683538-4DB6-4B30-B6E3-9AD6D1BDBFE2}">
            <x14:dataBar minLength="0" maxLength="100" border="1" negativeBarBorderColorSameAsPositive="0">
              <x14:cfvo type="autoMin"/>
              <x14:cfvo type="autoMax"/>
              <x14:borderColor rgb="FF63C384"/>
              <x14:negativeFillColor rgb="FFFF0000"/>
              <x14:negativeBorderColor rgb="FFFF0000"/>
              <x14:axisColor rgb="FF000000"/>
            </x14:dataBar>
          </x14:cfRule>
          <xm:sqref>Z424</xm:sqref>
        </x14:conditionalFormatting>
        <x14:conditionalFormatting xmlns:xm="http://schemas.microsoft.com/office/excel/2006/main">
          <x14:cfRule type="dataBar" id="{BAA847A0-BB7F-4EE2-B870-CA49C0470722}">
            <x14:dataBar minLength="0" maxLength="100" border="1" negativeBarBorderColorSameAsPositive="0">
              <x14:cfvo type="autoMin"/>
              <x14:cfvo type="autoMax"/>
              <x14:borderColor rgb="FF63C384"/>
              <x14:negativeFillColor rgb="FFFF0000"/>
              <x14:negativeBorderColor rgb="FFFF0000"/>
              <x14:axisColor rgb="FF000000"/>
            </x14:dataBar>
          </x14:cfRule>
          <xm:sqref>Z424</xm:sqref>
        </x14:conditionalFormatting>
        <x14:conditionalFormatting xmlns:xm="http://schemas.microsoft.com/office/excel/2006/main">
          <x14:cfRule type="dataBar" id="{4A9FB026-88DF-4CEE-8477-E37962BD53CC}">
            <x14:dataBar minLength="0" maxLength="100" border="1" negativeBarBorderColorSameAsPositive="0">
              <x14:cfvo type="autoMin"/>
              <x14:cfvo type="autoMax"/>
              <x14:borderColor rgb="FF63C384"/>
              <x14:negativeFillColor rgb="FFFF0000"/>
              <x14:negativeBorderColor rgb="FFFF0000"/>
              <x14:axisColor rgb="FF000000"/>
            </x14:dataBar>
          </x14:cfRule>
          <xm:sqref>Z425</xm:sqref>
        </x14:conditionalFormatting>
        <x14:conditionalFormatting xmlns:xm="http://schemas.microsoft.com/office/excel/2006/main">
          <x14:cfRule type="dataBar" id="{1D868A9A-A844-4421-800E-3ABEAAE09C95}">
            <x14:dataBar minLength="0" maxLength="100" border="1" negativeBarBorderColorSameAsPositive="0">
              <x14:cfvo type="autoMin"/>
              <x14:cfvo type="autoMax"/>
              <x14:borderColor rgb="FF63C384"/>
              <x14:negativeFillColor rgb="FFFF0000"/>
              <x14:negativeBorderColor rgb="FFFF0000"/>
              <x14:axisColor rgb="FF000000"/>
            </x14:dataBar>
          </x14:cfRule>
          <xm:sqref>Z425</xm:sqref>
        </x14:conditionalFormatting>
        <x14:conditionalFormatting xmlns:xm="http://schemas.microsoft.com/office/excel/2006/main">
          <x14:cfRule type="dataBar" id="{2C5F0D2C-0169-48E9-8CB1-5DB428A523C0}">
            <x14:dataBar minLength="0" maxLength="100" border="1" negativeBarBorderColorSameAsPositive="0">
              <x14:cfvo type="autoMin"/>
              <x14:cfvo type="autoMax"/>
              <x14:borderColor rgb="FF63C384"/>
              <x14:negativeFillColor rgb="FFFF0000"/>
              <x14:negativeBorderColor rgb="FFFF0000"/>
              <x14:axisColor rgb="FF000000"/>
            </x14:dataBar>
          </x14:cfRule>
          <xm:sqref>Z426</xm:sqref>
        </x14:conditionalFormatting>
        <x14:conditionalFormatting xmlns:xm="http://schemas.microsoft.com/office/excel/2006/main">
          <x14:cfRule type="dataBar" id="{B041E1F9-F694-4DFE-AF20-A874E9A75AF1}">
            <x14:dataBar minLength="0" maxLength="100" border="1" negativeBarBorderColorSameAsPositive="0">
              <x14:cfvo type="autoMin"/>
              <x14:cfvo type="autoMax"/>
              <x14:borderColor rgb="FF63C384"/>
              <x14:negativeFillColor rgb="FFFF0000"/>
              <x14:negativeBorderColor rgb="FFFF0000"/>
              <x14:axisColor rgb="FF000000"/>
            </x14:dataBar>
          </x14:cfRule>
          <xm:sqref>Z426</xm:sqref>
        </x14:conditionalFormatting>
        <x14:conditionalFormatting xmlns:xm="http://schemas.microsoft.com/office/excel/2006/main">
          <x14:cfRule type="dataBar" id="{CA8D6446-7FB8-4B5C-B56B-E6F783C193AA}">
            <x14:dataBar minLength="0" maxLength="100" border="1" negativeBarBorderColorSameAsPositive="0">
              <x14:cfvo type="autoMin"/>
              <x14:cfvo type="autoMax"/>
              <x14:borderColor rgb="FF63C384"/>
              <x14:negativeFillColor rgb="FFFF0000"/>
              <x14:negativeBorderColor rgb="FFFF0000"/>
              <x14:axisColor rgb="FF000000"/>
            </x14:dataBar>
          </x14:cfRule>
          <xm:sqref>Z427</xm:sqref>
        </x14:conditionalFormatting>
        <x14:conditionalFormatting xmlns:xm="http://schemas.microsoft.com/office/excel/2006/main">
          <x14:cfRule type="dataBar" id="{AAA1DA62-5A18-4CFE-B611-5D6CAD6C2634}">
            <x14:dataBar minLength="0" maxLength="100" border="1" negativeBarBorderColorSameAsPositive="0">
              <x14:cfvo type="autoMin"/>
              <x14:cfvo type="autoMax"/>
              <x14:borderColor rgb="FF63C384"/>
              <x14:negativeFillColor rgb="FFFF0000"/>
              <x14:negativeBorderColor rgb="FFFF0000"/>
              <x14:axisColor rgb="FF000000"/>
            </x14:dataBar>
          </x14:cfRule>
          <xm:sqref>Z427</xm:sqref>
        </x14:conditionalFormatting>
        <x14:conditionalFormatting xmlns:xm="http://schemas.microsoft.com/office/excel/2006/main">
          <x14:cfRule type="dataBar" id="{6BE1FB01-97F1-4CE5-A4B9-DC90F7DEAC2E}">
            <x14:dataBar minLength="0" maxLength="100" border="1" negativeBarBorderColorSameAsPositive="0">
              <x14:cfvo type="autoMin"/>
              <x14:cfvo type="autoMax"/>
              <x14:borderColor rgb="FF63C384"/>
              <x14:negativeFillColor rgb="FFFF0000"/>
              <x14:negativeBorderColor rgb="FFFF0000"/>
              <x14:axisColor rgb="FF000000"/>
            </x14:dataBar>
          </x14:cfRule>
          <xm:sqref>Z428</xm:sqref>
        </x14:conditionalFormatting>
        <x14:conditionalFormatting xmlns:xm="http://schemas.microsoft.com/office/excel/2006/main">
          <x14:cfRule type="dataBar" id="{207E60FE-794C-4BEE-921B-F610AB7EB195}">
            <x14:dataBar minLength="0" maxLength="100" border="1" negativeBarBorderColorSameAsPositive="0">
              <x14:cfvo type="autoMin"/>
              <x14:cfvo type="autoMax"/>
              <x14:borderColor rgb="FF63C384"/>
              <x14:negativeFillColor rgb="FFFF0000"/>
              <x14:negativeBorderColor rgb="FFFF0000"/>
              <x14:axisColor rgb="FF000000"/>
            </x14:dataBar>
          </x14:cfRule>
          <xm:sqref>Z428</xm:sqref>
        </x14:conditionalFormatting>
        <x14:conditionalFormatting xmlns:xm="http://schemas.microsoft.com/office/excel/2006/main">
          <x14:cfRule type="dataBar" id="{024FF82E-CCD9-4748-BFA1-9348F58957D5}">
            <x14:dataBar minLength="0" maxLength="100" border="1" negativeBarBorderColorSameAsPositive="0">
              <x14:cfvo type="autoMin"/>
              <x14:cfvo type="autoMax"/>
              <x14:borderColor rgb="FF63C384"/>
              <x14:negativeFillColor rgb="FFFF0000"/>
              <x14:negativeBorderColor rgb="FFFF0000"/>
              <x14:axisColor rgb="FF000000"/>
            </x14:dataBar>
          </x14:cfRule>
          <xm:sqref>Z429</xm:sqref>
        </x14:conditionalFormatting>
        <x14:conditionalFormatting xmlns:xm="http://schemas.microsoft.com/office/excel/2006/main">
          <x14:cfRule type="dataBar" id="{544B0579-3A3D-401C-AFE1-8C53E002769F}">
            <x14:dataBar minLength="0" maxLength="100" border="1" negativeBarBorderColorSameAsPositive="0">
              <x14:cfvo type="autoMin"/>
              <x14:cfvo type="autoMax"/>
              <x14:borderColor rgb="FF63C384"/>
              <x14:negativeFillColor rgb="FFFF0000"/>
              <x14:negativeBorderColor rgb="FFFF0000"/>
              <x14:axisColor rgb="FF000000"/>
            </x14:dataBar>
          </x14:cfRule>
          <xm:sqref>Z429</xm:sqref>
        </x14:conditionalFormatting>
        <x14:conditionalFormatting xmlns:xm="http://schemas.microsoft.com/office/excel/2006/main">
          <x14:cfRule type="dataBar" id="{10842E1E-48E2-445D-9B54-5CED6933DF40}">
            <x14:dataBar minLength="0" maxLength="100" border="1" negativeBarBorderColorSameAsPositive="0">
              <x14:cfvo type="autoMin"/>
              <x14:cfvo type="autoMax"/>
              <x14:borderColor rgb="FF63C384"/>
              <x14:negativeFillColor rgb="FFFF0000"/>
              <x14:negativeBorderColor rgb="FFFF0000"/>
              <x14:axisColor rgb="FF000000"/>
            </x14:dataBar>
          </x14:cfRule>
          <xm:sqref>Z430</xm:sqref>
        </x14:conditionalFormatting>
        <x14:conditionalFormatting xmlns:xm="http://schemas.microsoft.com/office/excel/2006/main">
          <x14:cfRule type="dataBar" id="{25A803C2-DCAF-4E86-8D84-C8F9025CDA07}">
            <x14:dataBar minLength="0" maxLength="100" border="1" negativeBarBorderColorSameAsPositive="0">
              <x14:cfvo type="autoMin"/>
              <x14:cfvo type="autoMax"/>
              <x14:borderColor rgb="FF63C384"/>
              <x14:negativeFillColor rgb="FFFF0000"/>
              <x14:negativeBorderColor rgb="FFFF0000"/>
              <x14:axisColor rgb="FF000000"/>
            </x14:dataBar>
          </x14:cfRule>
          <xm:sqref>Z430</xm:sqref>
        </x14:conditionalFormatting>
        <x14:conditionalFormatting xmlns:xm="http://schemas.microsoft.com/office/excel/2006/main">
          <x14:cfRule type="dataBar" id="{1805661D-0EDA-49B3-9113-BC3D8641B744}">
            <x14:dataBar minLength="0" maxLength="100" border="1" negativeBarBorderColorSameAsPositive="0">
              <x14:cfvo type="autoMin"/>
              <x14:cfvo type="autoMax"/>
              <x14:borderColor rgb="FF63C384"/>
              <x14:negativeFillColor rgb="FFFF0000"/>
              <x14:negativeBorderColor rgb="FFFF0000"/>
              <x14:axisColor rgb="FF000000"/>
            </x14:dataBar>
          </x14:cfRule>
          <xm:sqref>Z431</xm:sqref>
        </x14:conditionalFormatting>
        <x14:conditionalFormatting xmlns:xm="http://schemas.microsoft.com/office/excel/2006/main">
          <x14:cfRule type="dataBar" id="{3BEFD17C-2A33-401E-ADFD-ACD5A85E03AF}">
            <x14:dataBar minLength="0" maxLength="100" border="1" negativeBarBorderColorSameAsPositive="0">
              <x14:cfvo type="autoMin"/>
              <x14:cfvo type="autoMax"/>
              <x14:borderColor rgb="FF63C384"/>
              <x14:negativeFillColor rgb="FFFF0000"/>
              <x14:negativeBorderColor rgb="FFFF0000"/>
              <x14:axisColor rgb="FF000000"/>
            </x14:dataBar>
          </x14:cfRule>
          <xm:sqref>Z431</xm:sqref>
        </x14:conditionalFormatting>
        <x14:conditionalFormatting xmlns:xm="http://schemas.microsoft.com/office/excel/2006/main">
          <x14:cfRule type="dataBar" id="{1B647BAD-996E-4329-8F0C-7040C9393F4A}">
            <x14:dataBar minLength="0" maxLength="100" border="1" negativeBarBorderColorSameAsPositive="0">
              <x14:cfvo type="autoMin"/>
              <x14:cfvo type="autoMax"/>
              <x14:borderColor rgb="FF63C384"/>
              <x14:negativeFillColor rgb="FFFF0000"/>
              <x14:negativeBorderColor rgb="FFFF0000"/>
              <x14:axisColor rgb="FF000000"/>
            </x14:dataBar>
          </x14:cfRule>
          <xm:sqref>Z432</xm:sqref>
        </x14:conditionalFormatting>
        <x14:conditionalFormatting xmlns:xm="http://schemas.microsoft.com/office/excel/2006/main">
          <x14:cfRule type="dataBar" id="{B5B79B7B-D01F-4383-8044-D818CEAC6847}">
            <x14:dataBar minLength="0" maxLength="100" border="1" negativeBarBorderColorSameAsPositive="0">
              <x14:cfvo type="autoMin"/>
              <x14:cfvo type="autoMax"/>
              <x14:borderColor rgb="FF63C384"/>
              <x14:negativeFillColor rgb="FFFF0000"/>
              <x14:negativeBorderColor rgb="FFFF0000"/>
              <x14:axisColor rgb="FF000000"/>
            </x14:dataBar>
          </x14:cfRule>
          <xm:sqref>Z432</xm:sqref>
        </x14:conditionalFormatting>
        <x14:conditionalFormatting xmlns:xm="http://schemas.microsoft.com/office/excel/2006/main">
          <x14:cfRule type="dataBar" id="{7A4730AE-3E2A-4D17-8C55-634933B7BC62}">
            <x14:dataBar minLength="0" maxLength="100" border="1" negativeBarBorderColorSameAsPositive="0">
              <x14:cfvo type="autoMin"/>
              <x14:cfvo type="autoMax"/>
              <x14:borderColor rgb="FF63C384"/>
              <x14:negativeFillColor rgb="FFFF0000"/>
              <x14:negativeBorderColor rgb="FFFF0000"/>
              <x14:axisColor rgb="FF000000"/>
            </x14:dataBar>
          </x14:cfRule>
          <xm:sqref>Z433</xm:sqref>
        </x14:conditionalFormatting>
        <x14:conditionalFormatting xmlns:xm="http://schemas.microsoft.com/office/excel/2006/main">
          <x14:cfRule type="dataBar" id="{AA5808BC-A15C-45D6-A961-8C629ED7F8D4}">
            <x14:dataBar minLength="0" maxLength="100" border="1" negativeBarBorderColorSameAsPositive="0">
              <x14:cfvo type="autoMin"/>
              <x14:cfvo type="autoMax"/>
              <x14:borderColor rgb="FF63C384"/>
              <x14:negativeFillColor rgb="FFFF0000"/>
              <x14:negativeBorderColor rgb="FFFF0000"/>
              <x14:axisColor rgb="FF000000"/>
            </x14:dataBar>
          </x14:cfRule>
          <xm:sqref>Z433</xm:sqref>
        </x14:conditionalFormatting>
        <x14:conditionalFormatting xmlns:xm="http://schemas.microsoft.com/office/excel/2006/main">
          <x14:cfRule type="dataBar" id="{DD9EFCBD-621D-4789-A744-2E68E075700D}">
            <x14:dataBar minLength="0" maxLength="100" border="1" negativeBarBorderColorSameAsPositive="0">
              <x14:cfvo type="autoMin"/>
              <x14:cfvo type="autoMax"/>
              <x14:borderColor rgb="FF63C384"/>
              <x14:negativeFillColor rgb="FFFF0000"/>
              <x14:negativeBorderColor rgb="FFFF0000"/>
              <x14:axisColor rgb="FF000000"/>
            </x14:dataBar>
          </x14:cfRule>
          <xm:sqref>Z434</xm:sqref>
        </x14:conditionalFormatting>
        <x14:conditionalFormatting xmlns:xm="http://schemas.microsoft.com/office/excel/2006/main">
          <x14:cfRule type="dataBar" id="{9CE052DA-799D-44B9-A1CA-2910EB683590}">
            <x14:dataBar minLength="0" maxLength="100" border="1" negativeBarBorderColorSameAsPositive="0">
              <x14:cfvo type="autoMin"/>
              <x14:cfvo type="autoMax"/>
              <x14:borderColor rgb="FF63C384"/>
              <x14:negativeFillColor rgb="FFFF0000"/>
              <x14:negativeBorderColor rgb="FFFF0000"/>
              <x14:axisColor rgb="FF000000"/>
            </x14:dataBar>
          </x14:cfRule>
          <xm:sqref>Z434</xm:sqref>
        </x14:conditionalFormatting>
        <x14:conditionalFormatting xmlns:xm="http://schemas.microsoft.com/office/excel/2006/main">
          <x14:cfRule type="dataBar" id="{B7B06033-C0A3-4A6A-AA5F-72296428F0F1}">
            <x14:dataBar minLength="0" maxLength="100" border="1" negativeBarBorderColorSameAsPositive="0">
              <x14:cfvo type="autoMin"/>
              <x14:cfvo type="autoMax"/>
              <x14:borderColor rgb="FF63C384"/>
              <x14:negativeFillColor rgb="FFFF0000"/>
              <x14:negativeBorderColor rgb="FFFF0000"/>
              <x14:axisColor rgb="FF000000"/>
            </x14:dataBar>
          </x14:cfRule>
          <xm:sqref>Z435</xm:sqref>
        </x14:conditionalFormatting>
        <x14:conditionalFormatting xmlns:xm="http://schemas.microsoft.com/office/excel/2006/main">
          <x14:cfRule type="dataBar" id="{276353BB-3CA7-4E67-B032-0DF3818523A6}">
            <x14:dataBar minLength="0" maxLength="100" border="1" negativeBarBorderColorSameAsPositive="0">
              <x14:cfvo type="autoMin"/>
              <x14:cfvo type="autoMax"/>
              <x14:borderColor rgb="FF63C384"/>
              <x14:negativeFillColor rgb="FFFF0000"/>
              <x14:negativeBorderColor rgb="FFFF0000"/>
              <x14:axisColor rgb="FF000000"/>
            </x14:dataBar>
          </x14:cfRule>
          <xm:sqref>Z435</xm:sqref>
        </x14:conditionalFormatting>
        <x14:conditionalFormatting xmlns:xm="http://schemas.microsoft.com/office/excel/2006/main">
          <x14:cfRule type="dataBar" id="{0FC88740-BAD3-4089-A410-BE238C51EDC3}">
            <x14:dataBar minLength="0" maxLength="100" border="1" negativeBarBorderColorSameAsPositive="0">
              <x14:cfvo type="autoMin"/>
              <x14:cfvo type="autoMax"/>
              <x14:borderColor rgb="FF63C384"/>
              <x14:negativeFillColor rgb="FFFF0000"/>
              <x14:negativeBorderColor rgb="FFFF0000"/>
              <x14:axisColor rgb="FF000000"/>
            </x14:dataBar>
          </x14:cfRule>
          <xm:sqref>Z436</xm:sqref>
        </x14:conditionalFormatting>
        <x14:conditionalFormatting xmlns:xm="http://schemas.microsoft.com/office/excel/2006/main">
          <x14:cfRule type="dataBar" id="{36F7C749-087F-49EB-AEC6-FE684DDAB11F}">
            <x14:dataBar minLength="0" maxLength="100" border="1" negativeBarBorderColorSameAsPositive="0">
              <x14:cfvo type="autoMin"/>
              <x14:cfvo type="autoMax"/>
              <x14:borderColor rgb="FF63C384"/>
              <x14:negativeFillColor rgb="FFFF0000"/>
              <x14:negativeBorderColor rgb="FFFF0000"/>
              <x14:axisColor rgb="FF000000"/>
            </x14:dataBar>
          </x14:cfRule>
          <xm:sqref>Z436</xm:sqref>
        </x14:conditionalFormatting>
        <x14:conditionalFormatting xmlns:xm="http://schemas.microsoft.com/office/excel/2006/main">
          <x14:cfRule type="dataBar" id="{A37F58D5-EFCB-47A7-857A-EB7EBFE71678}">
            <x14:dataBar minLength="0" maxLength="100" border="1" negativeBarBorderColorSameAsPositive="0">
              <x14:cfvo type="autoMin"/>
              <x14:cfvo type="autoMax"/>
              <x14:borderColor rgb="FF63C384"/>
              <x14:negativeFillColor rgb="FFFF0000"/>
              <x14:negativeBorderColor rgb="FFFF0000"/>
              <x14:axisColor rgb="FF000000"/>
            </x14:dataBar>
          </x14:cfRule>
          <xm:sqref>Z437</xm:sqref>
        </x14:conditionalFormatting>
        <x14:conditionalFormatting xmlns:xm="http://schemas.microsoft.com/office/excel/2006/main">
          <x14:cfRule type="dataBar" id="{CD8C0645-15E2-422A-BE28-1F1832B474C8}">
            <x14:dataBar minLength="0" maxLength="100" border="1" negativeBarBorderColorSameAsPositive="0">
              <x14:cfvo type="autoMin"/>
              <x14:cfvo type="autoMax"/>
              <x14:borderColor rgb="FF63C384"/>
              <x14:negativeFillColor rgb="FFFF0000"/>
              <x14:negativeBorderColor rgb="FFFF0000"/>
              <x14:axisColor rgb="FF000000"/>
            </x14:dataBar>
          </x14:cfRule>
          <xm:sqref>Z437</xm:sqref>
        </x14:conditionalFormatting>
        <x14:conditionalFormatting xmlns:xm="http://schemas.microsoft.com/office/excel/2006/main">
          <x14:cfRule type="dataBar" id="{152CB08F-74E0-4984-A989-174212147C9A}">
            <x14:dataBar minLength="0" maxLength="100" border="1" negativeBarBorderColorSameAsPositive="0">
              <x14:cfvo type="autoMin"/>
              <x14:cfvo type="autoMax"/>
              <x14:borderColor rgb="FF63C384"/>
              <x14:negativeFillColor rgb="FFFF0000"/>
              <x14:negativeBorderColor rgb="FFFF0000"/>
              <x14:axisColor rgb="FF000000"/>
            </x14:dataBar>
          </x14:cfRule>
          <xm:sqref>Z438</xm:sqref>
        </x14:conditionalFormatting>
        <x14:conditionalFormatting xmlns:xm="http://schemas.microsoft.com/office/excel/2006/main">
          <x14:cfRule type="dataBar" id="{3E744870-8927-4E40-856A-02C56549B526}">
            <x14:dataBar minLength="0" maxLength="100" border="1" negativeBarBorderColorSameAsPositive="0">
              <x14:cfvo type="autoMin"/>
              <x14:cfvo type="autoMax"/>
              <x14:borderColor rgb="FF63C384"/>
              <x14:negativeFillColor rgb="FFFF0000"/>
              <x14:negativeBorderColor rgb="FFFF0000"/>
              <x14:axisColor rgb="FF000000"/>
            </x14:dataBar>
          </x14:cfRule>
          <xm:sqref>Z438</xm:sqref>
        </x14:conditionalFormatting>
        <x14:conditionalFormatting xmlns:xm="http://schemas.microsoft.com/office/excel/2006/main">
          <x14:cfRule type="dataBar" id="{1C24C6EA-0287-42CA-B6C7-308A67A32BA4}">
            <x14:dataBar minLength="0" maxLength="100" border="1" negativeBarBorderColorSameAsPositive="0">
              <x14:cfvo type="autoMin"/>
              <x14:cfvo type="autoMax"/>
              <x14:borderColor rgb="FF63C384"/>
              <x14:negativeFillColor rgb="FFFF0000"/>
              <x14:negativeBorderColor rgb="FFFF0000"/>
              <x14:axisColor rgb="FF000000"/>
            </x14:dataBar>
          </x14:cfRule>
          <xm:sqref>Z439</xm:sqref>
        </x14:conditionalFormatting>
        <x14:conditionalFormatting xmlns:xm="http://schemas.microsoft.com/office/excel/2006/main">
          <x14:cfRule type="dataBar" id="{1147BB19-97F6-4B1D-B5CD-FF8453B0F5C4}">
            <x14:dataBar minLength="0" maxLength="100" border="1" negativeBarBorderColorSameAsPositive="0">
              <x14:cfvo type="autoMin"/>
              <x14:cfvo type="autoMax"/>
              <x14:borderColor rgb="FF63C384"/>
              <x14:negativeFillColor rgb="FFFF0000"/>
              <x14:negativeBorderColor rgb="FFFF0000"/>
              <x14:axisColor rgb="FF000000"/>
            </x14:dataBar>
          </x14:cfRule>
          <xm:sqref>Z439</xm:sqref>
        </x14:conditionalFormatting>
        <x14:conditionalFormatting xmlns:xm="http://schemas.microsoft.com/office/excel/2006/main">
          <x14:cfRule type="dataBar" id="{FD95855C-AE54-437E-8B55-EDACD3575C35}">
            <x14:dataBar minLength="0" maxLength="100" border="1" negativeBarBorderColorSameAsPositive="0">
              <x14:cfvo type="autoMin"/>
              <x14:cfvo type="autoMax"/>
              <x14:borderColor rgb="FF63C384"/>
              <x14:negativeFillColor rgb="FFFF0000"/>
              <x14:negativeBorderColor rgb="FFFF0000"/>
              <x14:axisColor rgb="FF000000"/>
            </x14:dataBar>
          </x14:cfRule>
          <xm:sqref>Z440</xm:sqref>
        </x14:conditionalFormatting>
        <x14:conditionalFormatting xmlns:xm="http://schemas.microsoft.com/office/excel/2006/main">
          <x14:cfRule type="dataBar" id="{607DF8F3-7844-4555-839A-16AA89F84466}">
            <x14:dataBar minLength="0" maxLength="100" border="1" negativeBarBorderColorSameAsPositive="0">
              <x14:cfvo type="autoMin"/>
              <x14:cfvo type="autoMax"/>
              <x14:borderColor rgb="FF63C384"/>
              <x14:negativeFillColor rgb="FFFF0000"/>
              <x14:negativeBorderColor rgb="FFFF0000"/>
              <x14:axisColor rgb="FF000000"/>
            </x14:dataBar>
          </x14:cfRule>
          <xm:sqref>Z440</xm:sqref>
        </x14:conditionalFormatting>
        <x14:conditionalFormatting xmlns:xm="http://schemas.microsoft.com/office/excel/2006/main">
          <x14:cfRule type="dataBar" id="{E04EB794-160B-4CDA-84F2-B96306E98B1D}">
            <x14:dataBar minLength="0" maxLength="100" border="1" negativeBarBorderColorSameAsPositive="0">
              <x14:cfvo type="autoMin"/>
              <x14:cfvo type="autoMax"/>
              <x14:borderColor rgb="FF63C384"/>
              <x14:negativeFillColor rgb="FFFF0000"/>
              <x14:negativeBorderColor rgb="FFFF0000"/>
              <x14:axisColor rgb="FF000000"/>
            </x14:dataBar>
          </x14:cfRule>
          <xm:sqref>Z441</xm:sqref>
        </x14:conditionalFormatting>
        <x14:conditionalFormatting xmlns:xm="http://schemas.microsoft.com/office/excel/2006/main">
          <x14:cfRule type="dataBar" id="{E68E7775-F65F-486D-822F-5516C8DD22F8}">
            <x14:dataBar minLength="0" maxLength="100" border="1" negativeBarBorderColorSameAsPositive="0">
              <x14:cfvo type="autoMin"/>
              <x14:cfvo type="autoMax"/>
              <x14:borderColor rgb="FF63C384"/>
              <x14:negativeFillColor rgb="FFFF0000"/>
              <x14:negativeBorderColor rgb="FFFF0000"/>
              <x14:axisColor rgb="FF000000"/>
            </x14:dataBar>
          </x14:cfRule>
          <xm:sqref>Z441</xm:sqref>
        </x14:conditionalFormatting>
        <x14:conditionalFormatting xmlns:xm="http://schemas.microsoft.com/office/excel/2006/main">
          <x14:cfRule type="dataBar" id="{F5E0F443-5C43-4814-8E37-C262BC011D5E}">
            <x14:dataBar minLength="0" maxLength="100" border="1" negativeBarBorderColorSameAsPositive="0">
              <x14:cfvo type="autoMin"/>
              <x14:cfvo type="autoMax"/>
              <x14:borderColor rgb="FF63C384"/>
              <x14:negativeFillColor rgb="FFFF0000"/>
              <x14:negativeBorderColor rgb="FFFF0000"/>
              <x14:axisColor rgb="FF000000"/>
            </x14:dataBar>
          </x14:cfRule>
          <xm:sqref>Z442</xm:sqref>
        </x14:conditionalFormatting>
        <x14:conditionalFormatting xmlns:xm="http://schemas.microsoft.com/office/excel/2006/main">
          <x14:cfRule type="dataBar" id="{BC2CD84B-CA7C-4E76-B8A7-8CFFBCF125F7}">
            <x14:dataBar minLength="0" maxLength="100" border="1" negativeBarBorderColorSameAsPositive="0">
              <x14:cfvo type="autoMin"/>
              <x14:cfvo type="autoMax"/>
              <x14:borderColor rgb="FF63C384"/>
              <x14:negativeFillColor rgb="FFFF0000"/>
              <x14:negativeBorderColor rgb="FFFF0000"/>
              <x14:axisColor rgb="FF000000"/>
            </x14:dataBar>
          </x14:cfRule>
          <xm:sqref>Z442</xm:sqref>
        </x14:conditionalFormatting>
        <x14:conditionalFormatting xmlns:xm="http://schemas.microsoft.com/office/excel/2006/main">
          <x14:cfRule type="dataBar" id="{E88793D6-BC9F-411F-9139-955E343728C4}">
            <x14:dataBar minLength="0" maxLength="100" border="1" negativeBarBorderColorSameAsPositive="0">
              <x14:cfvo type="autoMin"/>
              <x14:cfvo type="autoMax"/>
              <x14:borderColor rgb="FF63C384"/>
              <x14:negativeFillColor rgb="FFFF0000"/>
              <x14:negativeBorderColor rgb="FFFF0000"/>
              <x14:axisColor rgb="FF000000"/>
            </x14:dataBar>
          </x14:cfRule>
          <xm:sqref>Z443</xm:sqref>
        </x14:conditionalFormatting>
        <x14:conditionalFormatting xmlns:xm="http://schemas.microsoft.com/office/excel/2006/main">
          <x14:cfRule type="dataBar" id="{F971E547-5928-4048-93BD-90686DDEAFEC}">
            <x14:dataBar minLength="0" maxLength="100" border="1" negativeBarBorderColorSameAsPositive="0">
              <x14:cfvo type="autoMin"/>
              <x14:cfvo type="autoMax"/>
              <x14:borderColor rgb="FF63C384"/>
              <x14:negativeFillColor rgb="FFFF0000"/>
              <x14:negativeBorderColor rgb="FFFF0000"/>
              <x14:axisColor rgb="FF000000"/>
            </x14:dataBar>
          </x14:cfRule>
          <xm:sqref>Z443</xm:sqref>
        </x14:conditionalFormatting>
        <x14:conditionalFormatting xmlns:xm="http://schemas.microsoft.com/office/excel/2006/main">
          <x14:cfRule type="dataBar" id="{A5D3CA4C-E206-4B77-BD8F-21433017A681}">
            <x14:dataBar minLength="0" maxLength="100" border="1" negativeBarBorderColorSameAsPositive="0">
              <x14:cfvo type="autoMin"/>
              <x14:cfvo type="autoMax"/>
              <x14:borderColor rgb="FF63C384"/>
              <x14:negativeFillColor rgb="FFFF0000"/>
              <x14:negativeBorderColor rgb="FFFF0000"/>
              <x14:axisColor rgb="FF000000"/>
            </x14:dataBar>
          </x14:cfRule>
          <xm:sqref>Z444</xm:sqref>
        </x14:conditionalFormatting>
        <x14:conditionalFormatting xmlns:xm="http://schemas.microsoft.com/office/excel/2006/main">
          <x14:cfRule type="dataBar" id="{AF828F27-A7D7-49DC-B57B-7DFA1A4CC062}">
            <x14:dataBar minLength="0" maxLength="100" border="1" negativeBarBorderColorSameAsPositive="0">
              <x14:cfvo type="autoMin"/>
              <x14:cfvo type="autoMax"/>
              <x14:borderColor rgb="FF63C384"/>
              <x14:negativeFillColor rgb="FFFF0000"/>
              <x14:negativeBorderColor rgb="FFFF0000"/>
              <x14:axisColor rgb="FF000000"/>
            </x14:dataBar>
          </x14:cfRule>
          <xm:sqref>Z444</xm:sqref>
        </x14:conditionalFormatting>
        <x14:conditionalFormatting xmlns:xm="http://schemas.microsoft.com/office/excel/2006/main">
          <x14:cfRule type="dataBar" id="{8D894D5D-A270-4A5D-B879-1664FCF75D7C}">
            <x14:dataBar minLength="0" maxLength="100" border="1" negativeBarBorderColorSameAsPositive="0">
              <x14:cfvo type="autoMin"/>
              <x14:cfvo type="autoMax"/>
              <x14:borderColor rgb="FF63C384"/>
              <x14:negativeFillColor rgb="FFFF0000"/>
              <x14:negativeBorderColor rgb="FFFF0000"/>
              <x14:axisColor rgb="FF000000"/>
            </x14:dataBar>
          </x14:cfRule>
          <xm:sqref>Z445</xm:sqref>
        </x14:conditionalFormatting>
        <x14:conditionalFormatting xmlns:xm="http://schemas.microsoft.com/office/excel/2006/main">
          <x14:cfRule type="dataBar" id="{5C79A2BF-30E5-4B0F-894D-B4360AA3D4F4}">
            <x14:dataBar minLength="0" maxLength="100" border="1" negativeBarBorderColorSameAsPositive="0">
              <x14:cfvo type="autoMin"/>
              <x14:cfvo type="autoMax"/>
              <x14:borderColor rgb="FF63C384"/>
              <x14:negativeFillColor rgb="FFFF0000"/>
              <x14:negativeBorderColor rgb="FFFF0000"/>
              <x14:axisColor rgb="FF000000"/>
            </x14:dataBar>
          </x14:cfRule>
          <xm:sqref>Z445</xm:sqref>
        </x14:conditionalFormatting>
        <x14:conditionalFormatting xmlns:xm="http://schemas.microsoft.com/office/excel/2006/main">
          <x14:cfRule type="dataBar" id="{FD907A17-1EBE-4860-9695-B4811B41C167}">
            <x14:dataBar minLength="0" maxLength="100" border="1" negativeBarBorderColorSameAsPositive="0">
              <x14:cfvo type="autoMin"/>
              <x14:cfvo type="autoMax"/>
              <x14:borderColor rgb="FF63C384"/>
              <x14:negativeFillColor rgb="FFFF0000"/>
              <x14:negativeBorderColor rgb="FFFF0000"/>
              <x14:axisColor rgb="FF000000"/>
            </x14:dataBar>
          </x14:cfRule>
          <xm:sqref>Z446</xm:sqref>
        </x14:conditionalFormatting>
        <x14:conditionalFormatting xmlns:xm="http://schemas.microsoft.com/office/excel/2006/main">
          <x14:cfRule type="dataBar" id="{EF99A79C-ECE6-45CA-A481-7F91D5F83E02}">
            <x14:dataBar minLength="0" maxLength="100" border="1" negativeBarBorderColorSameAsPositive="0">
              <x14:cfvo type="autoMin"/>
              <x14:cfvo type="autoMax"/>
              <x14:borderColor rgb="FF63C384"/>
              <x14:negativeFillColor rgb="FFFF0000"/>
              <x14:negativeBorderColor rgb="FFFF0000"/>
              <x14:axisColor rgb="FF000000"/>
            </x14:dataBar>
          </x14:cfRule>
          <xm:sqref>Z446</xm:sqref>
        </x14:conditionalFormatting>
        <x14:conditionalFormatting xmlns:xm="http://schemas.microsoft.com/office/excel/2006/main">
          <x14:cfRule type="dataBar" id="{60DFF25F-D093-471D-BA09-92985060ED00}">
            <x14:dataBar minLength="0" maxLength="100" border="1" negativeBarBorderColorSameAsPositive="0">
              <x14:cfvo type="autoMin"/>
              <x14:cfvo type="autoMax"/>
              <x14:borderColor rgb="FF63C384"/>
              <x14:negativeFillColor rgb="FFFF0000"/>
              <x14:negativeBorderColor rgb="FFFF0000"/>
              <x14:axisColor rgb="FF000000"/>
            </x14:dataBar>
          </x14:cfRule>
          <xm:sqref>Z447</xm:sqref>
        </x14:conditionalFormatting>
        <x14:conditionalFormatting xmlns:xm="http://schemas.microsoft.com/office/excel/2006/main">
          <x14:cfRule type="dataBar" id="{0E165DEC-475B-4A24-BC5A-0520D6CF978C}">
            <x14:dataBar minLength="0" maxLength="100" border="1" negativeBarBorderColorSameAsPositive="0">
              <x14:cfvo type="autoMin"/>
              <x14:cfvo type="autoMax"/>
              <x14:borderColor rgb="FF63C384"/>
              <x14:negativeFillColor rgb="FFFF0000"/>
              <x14:negativeBorderColor rgb="FFFF0000"/>
              <x14:axisColor rgb="FF000000"/>
            </x14:dataBar>
          </x14:cfRule>
          <xm:sqref>Z447</xm:sqref>
        </x14:conditionalFormatting>
        <x14:conditionalFormatting xmlns:xm="http://schemas.microsoft.com/office/excel/2006/main">
          <x14:cfRule type="dataBar" id="{91334FB6-86A9-409A-A826-EDF6B500F2F5}">
            <x14:dataBar minLength="0" maxLength="100" border="1" negativeBarBorderColorSameAsPositive="0">
              <x14:cfvo type="autoMin"/>
              <x14:cfvo type="autoMax"/>
              <x14:borderColor rgb="FF63C384"/>
              <x14:negativeFillColor rgb="FFFF0000"/>
              <x14:negativeBorderColor rgb="FFFF0000"/>
              <x14:axisColor rgb="FF000000"/>
            </x14:dataBar>
          </x14:cfRule>
          <xm:sqref>Z448</xm:sqref>
        </x14:conditionalFormatting>
        <x14:conditionalFormatting xmlns:xm="http://schemas.microsoft.com/office/excel/2006/main">
          <x14:cfRule type="dataBar" id="{4B50FEF3-33C9-4445-BFEB-8509D80B7504}">
            <x14:dataBar minLength="0" maxLength="100" border="1" negativeBarBorderColorSameAsPositive="0">
              <x14:cfvo type="autoMin"/>
              <x14:cfvo type="autoMax"/>
              <x14:borderColor rgb="FF63C384"/>
              <x14:negativeFillColor rgb="FFFF0000"/>
              <x14:negativeBorderColor rgb="FFFF0000"/>
              <x14:axisColor rgb="FF000000"/>
            </x14:dataBar>
          </x14:cfRule>
          <xm:sqref>Z448</xm:sqref>
        </x14:conditionalFormatting>
        <x14:conditionalFormatting xmlns:xm="http://schemas.microsoft.com/office/excel/2006/main">
          <x14:cfRule type="dataBar" id="{3CF6C77E-2A26-44FC-BB47-B64282FC19CB}">
            <x14:dataBar minLength="0" maxLength="100" border="1" negativeBarBorderColorSameAsPositive="0">
              <x14:cfvo type="autoMin"/>
              <x14:cfvo type="autoMax"/>
              <x14:borderColor rgb="FF63C384"/>
              <x14:negativeFillColor rgb="FFFF0000"/>
              <x14:negativeBorderColor rgb="FFFF0000"/>
              <x14:axisColor rgb="FF000000"/>
            </x14:dataBar>
          </x14:cfRule>
          <xm:sqref>Z449</xm:sqref>
        </x14:conditionalFormatting>
        <x14:conditionalFormatting xmlns:xm="http://schemas.microsoft.com/office/excel/2006/main">
          <x14:cfRule type="dataBar" id="{A14858DB-1800-4A1B-BA4D-B5DA265ED6E1}">
            <x14:dataBar minLength="0" maxLength="100" border="1" negativeBarBorderColorSameAsPositive="0">
              <x14:cfvo type="autoMin"/>
              <x14:cfvo type="autoMax"/>
              <x14:borderColor rgb="FF63C384"/>
              <x14:negativeFillColor rgb="FFFF0000"/>
              <x14:negativeBorderColor rgb="FFFF0000"/>
              <x14:axisColor rgb="FF000000"/>
            </x14:dataBar>
          </x14:cfRule>
          <xm:sqref>Z449</xm:sqref>
        </x14:conditionalFormatting>
        <x14:conditionalFormatting xmlns:xm="http://schemas.microsoft.com/office/excel/2006/main">
          <x14:cfRule type="dataBar" id="{7F3777A6-8090-477B-BC4C-677C6E1AD20F}">
            <x14:dataBar minLength="0" maxLength="100" border="1" negativeBarBorderColorSameAsPositive="0">
              <x14:cfvo type="autoMin"/>
              <x14:cfvo type="autoMax"/>
              <x14:borderColor rgb="FF63C384"/>
              <x14:negativeFillColor rgb="FFFF0000"/>
              <x14:negativeBorderColor rgb="FFFF0000"/>
              <x14:axisColor rgb="FF000000"/>
            </x14:dataBar>
          </x14:cfRule>
          <xm:sqref>Z450</xm:sqref>
        </x14:conditionalFormatting>
        <x14:conditionalFormatting xmlns:xm="http://schemas.microsoft.com/office/excel/2006/main">
          <x14:cfRule type="dataBar" id="{04F34638-B941-4780-A6B2-CB2E42892920}">
            <x14:dataBar minLength="0" maxLength="100" border="1" negativeBarBorderColorSameAsPositive="0">
              <x14:cfvo type="autoMin"/>
              <x14:cfvo type="autoMax"/>
              <x14:borderColor rgb="FF63C384"/>
              <x14:negativeFillColor rgb="FFFF0000"/>
              <x14:negativeBorderColor rgb="FFFF0000"/>
              <x14:axisColor rgb="FF000000"/>
            </x14:dataBar>
          </x14:cfRule>
          <xm:sqref>Z450</xm:sqref>
        </x14:conditionalFormatting>
        <x14:conditionalFormatting xmlns:xm="http://schemas.microsoft.com/office/excel/2006/main">
          <x14:cfRule type="dataBar" id="{575AE387-DDE2-4173-92B6-EEA22FA39BD7}">
            <x14:dataBar minLength="0" maxLength="100" border="1" negativeBarBorderColorSameAsPositive="0">
              <x14:cfvo type="autoMin"/>
              <x14:cfvo type="autoMax"/>
              <x14:borderColor rgb="FF63C384"/>
              <x14:negativeFillColor rgb="FFFF0000"/>
              <x14:negativeBorderColor rgb="FFFF0000"/>
              <x14:axisColor rgb="FF000000"/>
            </x14:dataBar>
          </x14:cfRule>
          <xm:sqref>Z451</xm:sqref>
        </x14:conditionalFormatting>
        <x14:conditionalFormatting xmlns:xm="http://schemas.microsoft.com/office/excel/2006/main">
          <x14:cfRule type="dataBar" id="{7B65490E-9146-49EA-A08A-CF1CA7E2FF62}">
            <x14:dataBar minLength="0" maxLength="100" border="1" negativeBarBorderColorSameAsPositive="0">
              <x14:cfvo type="autoMin"/>
              <x14:cfvo type="autoMax"/>
              <x14:borderColor rgb="FF63C384"/>
              <x14:negativeFillColor rgb="FFFF0000"/>
              <x14:negativeBorderColor rgb="FFFF0000"/>
              <x14:axisColor rgb="FF000000"/>
            </x14:dataBar>
          </x14:cfRule>
          <xm:sqref>Z451</xm:sqref>
        </x14:conditionalFormatting>
        <x14:conditionalFormatting xmlns:xm="http://schemas.microsoft.com/office/excel/2006/main">
          <x14:cfRule type="dataBar" id="{EEFF2207-7155-451E-B00D-C96FDB94F86F}">
            <x14:dataBar minLength="0" maxLength="100" border="1" negativeBarBorderColorSameAsPositive="0">
              <x14:cfvo type="autoMin"/>
              <x14:cfvo type="autoMax"/>
              <x14:borderColor rgb="FF63C384"/>
              <x14:negativeFillColor rgb="FFFF0000"/>
              <x14:negativeBorderColor rgb="FFFF0000"/>
              <x14:axisColor rgb="FF000000"/>
            </x14:dataBar>
          </x14:cfRule>
          <xm:sqref>Z452</xm:sqref>
        </x14:conditionalFormatting>
        <x14:conditionalFormatting xmlns:xm="http://schemas.microsoft.com/office/excel/2006/main">
          <x14:cfRule type="dataBar" id="{9D925B92-F165-4D07-A111-663DDBD05D87}">
            <x14:dataBar minLength="0" maxLength="100" border="1" negativeBarBorderColorSameAsPositive="0">
              <x14:cfvo type="autoMin"/>
              <x14:cfvo type="autoMax"/>
              <x14:borderColor rgb="FF63C384"/>
              <x14:negativeFillColor rgb="FFFF0000"/>
              <x14:negativeBorderColor rgb="FFFF0000"/>
              <x14:axisColor rgb="FF000000"/>
            </x14:dataBar>
          </x14:cfRule>
          <xm:sqref>Z452</xm:sqref>
        </x14:conditionalFormatting>
        <x14:conditionalFormatting xmlns:xm="http://schemas.microsoft.com/office/excel/2006/main">
          <x14:cfRule type="dataBar" id="{F1B8BC02-79A1-4E68-B693-E582834DCE23}">
            <x14:dataBar minLength="0" maxLength="100" border="1" negativeBarBorderColorSameAsPositive="0">
              <x14:cfvo type="autoMin"/>
              <x14:cfvo type="autoMax"/>
              <x14:borderColor rgb="FF63C384"/>
              <x14:negativeFillColor rgb="FFFF0000"/>
              <x14:negativeBorderColor rgb="FFFF0000"/>
              <x14:axisColor rgb="FF000000"/>
            </x14:dataBar>
          </x14:cfRule>
          <xm:sqref>Z453</xm:sqref>
        </x14:conditionalFormatting>
        <x14:conditionalFormatting xmlns:xm="http://schemas.microsoft.com/office/excel/2006/main">
          <x14:cfRule type="dataBar" id="{0E887E44-F625-4555-B079-41124D1E46EA}">
            <x14:dataBar minLength="0" maxLength="100" border="1" negativeBarBorderColorSameAsPositive="0">
              <x14:cfvo type="autoMin"/>
              <x14:cfvo type="autoMax"/>
              <x14:borderColor rgb="FF63C384"/>
              <x14:negativeFillColor rgb="FFFF0000"/>
              <x14:negativeBorderColor rgb="FFFF0000"/>
              <x14:axisColor rgb="FF000000"/>
            </x14:dataBar>
          </x14:cfRule>
          <xm:sqref>Z453</xm:sqref>
        </x14:conditionalFormatting>
        <x14:conditionalFormatting xmlns:xm="http://schemas.microsoft.com/office/excel/2006/main">
          <x14:cfRule type="dataBar" id="{84C7CFA7-D410-4684-9151-E471A6F45372}">
            <x14:dataBar minLength="0" maxLength="100" border="1" negativeBarBorderColorSameAsPositive="0">
              <x14:cfvo type="autoMin"/>
              <x14:cfvo type="autoMax"/>
              <x14:borderColor rgb="FF63C384"/>
              <x14:negativeFillColor rgb="FFFF0000"/>
              <x14:negativeBorderColor rgb="FFFF0000"/>
              <x14:axisColor rgb="FF000000"/>
            </x14:dataBar>
          </x14:cfRule>
          <xm:sqref>Z454</xm:sqref>
        </x14:conditionalFormatting>
        <x14:conditionalFormatting xmlns:xm="http://schemas.microsoft.com/office/excel/2006/main">
          <x14:cfRule type="dataBar" id="{29BF6BE4-1501-4129-B7D9-B031ED8AB958}">
            <x14:dataBar minLength="0" maxLength="100" border="1" negativeBarBorderColorSameAsPositive="0">
              <x14:cfvo type="autoMin"/>
              <x14:cfvo type="autoMax"/>
              <x14:borderColor rgb="FF63C384"/>
              <x14:negativeFillColor rgb="FFFF0000"/>
              <x14:negativeBorderColor rgb="FFFF0000"/>
              <x14:axisColor rgb="FF000000"/>
            </x14:dataBar>
          </x14:cfRule>
          <xm:sqref>Z454</xm:sqref>
        </x14:conditionalFormatting>
        <x14:conditionalFormatting xmlns:xm="http://schemas.microsoft.com/office/excel/2006/main">
          <x14:cfRule type="dataBar" id="{DE1D91FE-8894-4BEB-B6AC-50B23EA83E8E}">
            <x14:dataBar minLength="0" maxLength="100" border="1" negativeBarBorderColorSameAsPositive="0">
              <x14:cfvo type="autoMin"/>
              <x14:cfvo type="autoMax"/>
              <x14:borderColor rgb="FF63C384"/>
              <x14:negativeFillColor rgb="FFFF0000"/>
              <x14:negativeBorderColor rgb="FFFF0000"/>
              <x14:axisColor rgb="FF000000"/>
            </x14:dataBar>
          </x14:cfRule>
          <xm:sqref>Z455</xm:sqref>
        </x14:conditionalFormatting>
        <x14:conditionalFormatting xmlns:xm="http://schemas.microsoft.com/office/excel/2006/main">
          <x14:cfRule type="dataBar" id="{7E19A40B-F34E-4C28-9CEB-885C14FA1595}">
            <x14:dataBar minLength="0" maxLength="100" border="1" negativeBarBorderColorSameAsPositive="0">
              <x14:cfvo type="autoMin"/>
              <x14:cfvo type="autoMax"/>
              <x14:borderColor rgb="FF63C384"/>
              <x14:negativeFillColor rgb="FFFF0000"/>
              <x14:negativeBorderColor rgb="FFFF0000"/>
              <x14:axisColor rgb="FF000000"/>
            </x14:dataBar>
          </x14:cfRule>
          <xm:sqref>Z455</xm:sqref>
        </x14:conditionalFormatting>
        <x14:conditionalFormatting xmlns:xm="http://schemas.microsoft.com/office/excel/2006/main">
          <x14:cfRule type="dataBar" id="{EB50F536-6539-46FF-B758-5531A5757A2B}">
            <x14:dataBar minLength="0" maxLength="100" border="1" negativeBarBorderColorSameAsPositive="0">
              <x14:cfvo type="autoMin"/>
              <x14:cfvo type="autoMax"/>
              <x14:borderColor rgb="FF63C384"/>
              <x14:negativeFillColor rgb="FFFF0000"/>
              <x14:negativeBorderColor rgb="FFFF0000"/>
              <x14:axisColor rgb="FF000000"/>
            </x14:dataBar>
          </x14:cfRule>
          <xm:sqref>Z456</xm:sqref>
        </x14:conditionalFormatting>
        <x14:conditionalFormatting xmlns:xm="http://schemas.microsoft.com/office/excel/2006/main">
          <x14:cfRule type="dataBar" id="{A0B2CE32-BF3F-4B4E-8AD3-3C6A15285A52}">
            <x14:dataBar minLength="0" maxLength="100" border="1" negativeBarBorderColorSameAsPositive="0">
              <x14:cfvo type="autoMin"/>
              <x14:cfvo type="autoMax"/>
              <x14:borderColor rgb="FF63C384"/>
              <x14:negativeFillColor rgb="FFFF0000"/>
              <x14:negativeBorderColor rgb="FFFF0000"/>
              <x14:axisColor rgb="FF000000"/>
            </x14:dataBar>
          </x14:cfRule>
          <xm:sqref>Z456</xm:sqref>
        </x14:conditionalFormatting>
        <x14:conditionalFormatting xmlns:xm="http://schemas.microsoft.com/office/excel/2006/main">
          <x14:cfRule type="dataBar" id="{4E487F42-83CD-4B93-AAF3-3DE3ACD6C327}">
            <x14:dataBar minLength="0" maxLength="100" border="1" negativeBarBorderColorSameAsPositive="0">
              <x14:cfvo type="autoMin"/>
              <x14:cfvo type="autoMax"/>
              <x14:borderColor rgb="FF63C384"/>
              <x14:negativeFillColor rgb="FFFF0000"/>
              <x14:negativeBorderColor rgb="FFFF0000"/>
              <x14:axisColor rgb="FF000000"/>
            </x14:dataBar>
          </x14:cfRule>
          <xm:sqref>Z457</xm:sqref>
        </x14:conditionalFormatting>
        <x14:conditionalFormatting xmlns:xm="http://schemas.microsoft.com/office/excel/2006/main">
          <x14:cfRule type="dataBar" id="{DAB6EA10-A888-4F1D-AB5A-01949C0CAC5C}">
            <x14:dataBar minLength="0" maxLength="100" border="1" negativeBarBorderColorSameAsPositive="0">
              <x14:cfvo type="autoMin"/>
              <x14:cfvo type="autoMax"/>
              <x14:borderColor rgb="FF63C384"/>
              <x14:negativeFillColor rgb="FFFF0000"/>
              <x14:negativeBorderColor rgb="FFFF0000"/>
              <x14:axisColor rgb="FF000000"/>
            </x14:dataBar>
          </x14:cfRule>
          <xm:sqref>Z457</xm:sqref>
        </x14:conditionalFormatting>
        <x14:conditionalFormatting xmlns:xm="http://schemas.microsoft.com/office/excel/2006/main">
          <x14:cfRule type="dataBar" id="{BE475B31-D3B7-415C-B245-67822DCB4444}">
            <x14:dataBar minLength="0" maxLength="100" border="1" negativeBarBorderColorSameAsPositive="0">
              <x14:cfvo type="autoMin"/>
              <x14:cfvo type="autoMax"/>
              <x14:borderColor rgb="FF63C384"/>
              <x14:negativeFillColor rgb="FFFF0000"/>
              <x14:negativeBorderColor rgb="FFFF0000"/>
              <x14:axisColor rgb="FF000000"/>
            </x14:dataBar>
          </x14:cfRule>
          <xm:sqref>Z458</xm:sqref>
        </x14:conditionalFormatting>
        <x14:conditionalFormatting xmlns:xm="http://schemas.microsoft.com/office/excel/2006/main">
          <x14:cfRule type="dataBar" id="{46057515-C92D-4961-855D-05F118D2E80E}">
            <x14:dataBar minLength="0" maxLength="100" border="1" negativeBarBorderColorSameAsPositive="0">
              <x14:cfvo type="autoMin"/>
              <x14:cfvo type="autoMax"/>
              <x14:borderColor rgb="FF63C384"/>
              <x14:negativeFillColor rgb="FFFF0000"/>
              <x14:negativeBorderColor rgb="FFFF0000"/>
              <x14:axisColor rgb="FF000000"/>
            </x14:dataBar>
          </x14:cfRule>
          <xm:sqref>Z458</xm:sqref>
        </x14:conditionalFormatting>
        <x14:conditionalFormatting xmlns:xm="http://schemas.microsoft.com/office/excel/2006/main">
          <x14:cfRule type="dataBar" id="{6016D2E2-F465-41A5-BECE-A9A782325BEA}">
            <x14:dataBar minLength="0" maxLength="100" border="1" negativeBarBorderColorSameAsPositive="0">
              <x14:cfvo type="autoMin"/>
              <x14:cfvo type="autoMax"/>
              <x14:borderColor rgb="FF63C384"/>
              <x14:negativeFillColor rgb="FFFF0000"/>
              <x14:negativeBorderColor rgb="FFFF0000"/>
              <x14:axisColor rgb="FF000000"/>
            </x14:dataBar>
          </x14:cfRule>
          <xm:sqref>Z459</xm:sqref>
        </x14:conditionalFormatting>
        <x14:conditionalFormatting xmlns:xm="http://schemas.microsoft.com/office/excel/2006/main">
          <x14:cfRule type="dataBar" id="{64C433F6-F5F5-46DA-AC74-1B1440D60D33}">
            <x14:dataBar minLength="0" maxLength="100" border="1" negativeBarBorderColorSameAsPositive="0">
              <x14:cfvo type="autoMin"/>
              <x14:cfvo type="autoMax"/>
              <x14:borderColor rgb="FF63C384"/>
              <x14:negativeFillColor rgb="FFFF0000"/>
              <x14:negativeBorderColor rgb="FFFF0000"/>
              <x14:axisColor rgb="FF000000"/>
            </x14:dataBar>
          </x14:cfRule>
          <xm:sqref>Z459</xm:sqref>
        </x14:conditionalFormatting>
        <x14:conditionalFormatting xmlns:xm="http://schemas.microsoft.com/office/excel/2006/main">
          <x14:cfRule type="dataBar" id="{0AC4031F-D511-448D-96D4-351FA84AA314}">
            <x14:dataBar minLength="0" maxLength="100" border="1" negativeBarBorderColorSameAsPositive="0">
              <x14:cfvo type="autoMin"/>
              <x14:cfvo type="autoMax"/>
              <x14:borderColor rgb="FF63C384"/>
              <x14:negativeFillColor rgb="FFFF0000"/>
              <x14:negativeBorderColor rgb="FFFF0000"/>
              <x14:axisColor rgb="FF000000"/>
            </x14:dataBar>
          </x14:cfRule>
          <xm:sqref>Z460</xm:sqref>
        </x14:conditionalFormatting>
        <x14:conditionalFormatting xmlns:xm="http://schemas.microsoft.com/office/excel/2006/main">
          <x14:cfRule type="dataBar" id="{049C6A4D-0665-41FC-ADAA-0248C2693E94}">
            <x14:dataBar minLength="0" maxLength="100" border="1" negativeBarBorderColorSameAsPositive="0">
              <x14:cfvo type="autoMin"/>
              <x14:cfvo type="autoMax"/>
              <x14:borderColor rgb="FF63C384"/>
              <x14:negativeFillColor rgb="FFFF0000"/>
              <x14:negativeBorderColor rgb="FFFF0000"/>
              <x14:axisColor rgb="FF000000"/>
            </x14:dataBar>
          </x14:cfRule>
          <xm:sqref>Z460</xm:sqref>
        </x14:conditionalFormatting>
        <x14:conditionalFormatting xmlns:xm="http://schemas.microsoft.com/office/excel/2006/main">
          <x14:cfRule type="dataBar" id="{295D1B98-6980-49D1-BAA7-C1FDFAC05EAA}">
            <x14:dataBar minLength="0" maxLength="100" border="1" negativeBarBorderColorSameAsPositive="0">
              <x14:cfvo type="autoMin"/>
              <x14:cfvo type="autoMax"/>
              <x14:borderColor rgb="FF63C384"/>
              <x14:negativeFillColor rgb="FFFF0000"/>
              <x14:negativeBorderColor rgb="FFFF0000"/>
              <x14:axisColor rgb="FF000000"/>
            </x14:dataBar>
          </x14:cfRule>
          <xm:sqref>Z461</xm:sqref>
        </x14:conditionalFormatting>
        <x14:conditionalFormatting xmlns:xm="http://schemas.microsoft.com/office/excel/2006/main">
          <x14:cfRule type="dataBar" id="{5D64CCB9-9E31-4033-BA15-D8C839CE0CC0}">
            <x14:dataBar minLength="0" maxLength="100" border="1" negativeBarBorderColorSameAsPositive="0">
              <x14:cfvo type="autoMin"/>
              <x14:cfvo type="autoMax"/>
              <x14:borderColor rgb="FF63C384"/>
              <x14:negativeFillColor rgb="FFFF0000"/>
              <x14:negativeBorderColor rgb="FFFF0000"/>
              <x14:axisColor rgb="FF000000"/>
            </x14:dataBar>
          </x14:cfRule>
          <xm:sqref>Z461</xm:sqref>
        </x14:conditionalFormatting>
        <x14:conditionalFormatting xmlns:xm="http://schemas.microsoft.com/office/excel/2006/main">
          <x14:cfRule type="dataBar" id="{EBF8C40A-F8BA-4D70-B807-9DA41CC59334}">
            <x14:dataBar minLength="0" maxLength="100" border="1" negativeBarBorderColorSameAsPositive="0">
              <x14:cfvo type="autoMin"/>
              <x14:cfvo type="autoMax"/>
              <x14:borderColor rgb="FF63C384"/>
              <x14:negativeFillColor rgb="FFFF0000"/>
              <x14:negativeBorderColor rgb="FFFF0000"/>
              <x14:axisColor rgb="FF000000"/>
            </x14:dataBar>
          </x14:cfRule>
          <xm:sqref>Z462</xm:sqref>
        </x14:conditionalFormatting>
        <x14:conditionalFormatting xmlns:xm="http://schemas.microsoft.com/office/excel/2006/main">
          <x14:cfRule type="dataBar" id="{7DBC970B-B69B-4E79-8218-FCB2BBAE6319}">
            <x14:dataBar minLength="0" maxLength="100" border="1" negativeBarBorderColorSameAsPositive="0">
              <x14:cfvo type="autoMin"/>
              <x14:cfvo type="autoMax"/>
              <x14:borderColor rgb="FF63C384"/>
              <x14:negativeFillColor rgb="FFFF0000"/>
              <x14:negativeBorderColor rgb="FFFF0000"/>
              <x14:axisColor rgb="FF000000"/>
            </x14:dataBar>
          </x14:cfRule>
          <xm:sqref>Z462</xm:sqref>
        </x14:conditionalFormatting>
        <x14:conditionalFormatting xmlns:xm="http://schemas.microsoft.com/office/excel/2006/main">
          <x14:cfRule type="dataBar" id="{97D07A0F-9751-43A4-B92C-7038E3D624F5}">
            <x14:dataBar minLength="0" maxLength="100" border="1" negativeBarBorderColorSameAsPositive="0">
              <x14:cfvo type="autoMin"/>
              <x14:cfvo type="autoMax"/>
              <x14:borderColor rgb="FF63C384"/>
              <x14:negativeFillColor rgb="FFFF0000"/>
              <x14:negativeBorderColor rgb="FFFF0000"/>
              <x14:axisColor rgb="FF000000"/>
            </x14:dataBar>
          </x14:cfRule>
          <xm:sqref>Z463</xm:sqref>
        </x14:conditionalFormatting>
        <x14:conditionalFormatting xmlns:xm="http://schemas.microsoft.com/office/excel/2006/main">
          <x14:cfRule type="dataBar" id="{B2DD3E89-3782-4001-91A9-A8FB070621E6}">
            <x14:dataBar minLength="0" maxLength="100" border="1" negativeBarBorderColorSameAsPositive="0">
              <x14:cfvo type="autoMin"/>
              <x14:cfvo type="autoMax"/>
              <x14:borderColor rgb="FF63C384"/>
              <x14:negativeFillColor rgb="FFFF0000"/>
              <x14:negativeBorderColor rgb="FFFF0000"/>
              <x14:axisColor rgb="FF000000"/>
            </x14:dataBar>
          </x14:cfRule>
          <xm:sqref>Z463</xm:sqref>
        </x14:conditionalFormatting>
        <x14:conditionalFormatting xmlns:xm="http://schemas.microsoft.com/office/excel/2006/main">
          <x14:cfRule type="dataBar" id="{EC423467-B818-4A20-AF68-9058692A7F14}">
            <x14:dataBar minLength="0" maxLength="100" border="1" negativeBarBorderColorSameAsPositive="0">
              <x14:cfvo type="autoMin"/>
              <x14:cfvo type="autoMax"/>
              <x14:borderColor rgb="FF63C384"/>
              <x14:negativeFillColor rgb="FFFF0000"/>
              <x14:negativeBorderColor rgb="FFFF0000"/>
              <x14:axisColor rgb="FF000000"/>
            </x14:dataBar>
          </x14:cfRule>
          <xm:sqref>Z464</xm:sqref>
        </x14:conditionalFormatting>
        <x14:conditionalFormatting xmlns:xm="http://schemas.microsoft.com/office/excel/2006/main">
          <x14:cfRule type="dataBar" id="{12B83A53-7CAE-4ED8-A039-616C748838C7}">
            <x14:dataBar minLength="0" maxLength="100" border="1" negativeBarBorderColorSameAsPositive="0">
              <x14:cfvo type="autoMin"/>
              <x14:cfvo type="autoMax"/>
              <x14:borderColor rgb="FF63C384"/>
              <x14:negativeFillColor rgb="FFFF0000"/>
              <x14:negativeBorderColor rgb="FFFF0000"/>
              <x14:axisColor rgb="FF000000"/>
            </x14:dataBar>
          </x14:cfRule>
          <xm:sqref>Z464</xm:sqref>
        </x14:conditionalFormatting>
        <x14:conditionalFormatting xmlns:xm="http://schemas.microsoft.com/office/excel/2006/main">
          <x14:cfRule type="dataBar" id="{F02F5AF3-89F2-4763-BA9C-C4966C4C5A3F}">
            <x14:dataBar minLength="0" maxLength="100" border="1" negativeBarBorderColorSameAsPositive="0">
              <x14:cfvo type="autoMin"/>
              <x14:cfvo type="autoMax"/>
              <x14:borderColor rgb="FF63C384"/>
              <x14:negativeFillColor rgb="FFFF0000"/>
              <x14:negativeBorderColor rgb="FFFF0000"/>
              <x14:axisColor rgb="FF000000"/>
            </x14:dataBar>
          </x14:cfRule>
          <xm:sqref>Z465</xm:sqref>
        </x14:conditionalFormatting>
        <x14:conditionalFormatting xmlns:xm="http://schemas.microsoft.com/office/excel/2006/main">
          <x14:cfRule type="dataBar" id="{38AFF5C1-1B18-4B23-9609-48BA1CC3F8D6}">
            <x14:dataBar minLength="0" maxLength="100" border="1" negativeBarBorderColorSameAsPositive="0">
              <x14:cfvo type="autoMin"/>
              <x14:cfvo type="autoMax"/>
              <x14:borderColor rgb="FF63C384"/>
              <x14:negativeFillColor rgb="FFFF0000"/>
              <x14:negativeBorderColor rgb="FFFF0000"/>
              <x14:axisColor rgb="FF000000"/>
            </x14:dataBar>
          </x14:cfRule>
          <xm:sqref>Z465</xm:sqref>
        </x14:conditionalFormatting>
        <x14:conditionalFormatting xmlns:xm="http://schemas.microsoft.com/office/excel/2006/main">
          <x14:cfRule type="dataBar" id="{AC351F4C-6419-43DC-9A74-4C477B410DED}">
            <x14:dataBar minLength="0" maxLength="100" border="1" negativeBarBorderColorSameAsPositive="0">
              <x14:cfvo type="autoMin"/>
              <x14:cfvo type="autoMax"/>
              <x14:borderColor rgb="FF63C384"/>
              <x14:negativeFillColor rgb="FFFF0000"/>
              <x14:negativeBorderColor rgb="FFFF0000"/>
              <x14:axisColor rgb="FF000000"/>
            </x14:dataBar>
          </x14:cfRule>
          <xm:sqref>Z481:Z482 Z466 Z499 Z509</xm:sqref>
        </x14:conditionalFormatting>
        <x14:conditionalFormatting xmlns:xm="http://schemas.microsoft.com/office/excel/2006/main">
          <x14:cfRule type="dataBar" id="{D9D5B8EE-764F-4F08-8DB1-2497EA63A0F0}">
            <x14:dataBar minLength="0" maxLength="100" border="1" negativeBarBorderColorSameAsPositive="0">
              <x14:cfvo type="autoMin"/>
              <x14:cfvo type="autoMax"/>
              <x14:borderColor rgb="FF63C384"/>
              <x14:negativeFillColor rgb="FFFF0000"/>
              <x14:negativeBorderColor rgb="FFFF0000"/>
              <x14:axisColor rgb="FF000000"/>
            </x14:dataBar>
          </x14:cfRule>
          <xm:sqref>Z481:Z482</xm:sqref>
        </x14:conditionalFormatting>
        <x14:conditionalFormatting xmlns:xm="http://schemas.microsoft.com/office/excel/2006/main">
          <x14:cfRule type="dataBar" id="{CF84BAD3-AC00-4FF5-9F29-BDABA96C169F}">
            <x14:dataBar minLength="0" maxLength="100" border="1" negativeBarBorderColorSameAsPositive="0">
              <x14:cfvo type="autoMin"/>
              <x14:cfvo type="autoMax"/>
              <x14:borderColor rgb="FF63C384"/>
              <x14:negativeFillColor rgb="FFFF0000"/>
              <x14:negativeBorderColor rgb="FFFF0000"/>
              <x14:axisColor rgb="FF000000"/>
            </x14:dataBar>
          </x14:cfRule>
          <xm:sqref>Z467</xm:sqref>
        </x14:conditionalFormatting>
        <x14:conditionalFormatting xmlns:xm="http://schemas.microsoft.com/office/excel/2006/main">
          <x14:cfRule type="dataBar" id="{338076F6-835E-4D7B-BAD3-EC9B8659EC08}">
            <x14:dataBar minLength="0" maxLength="100" border="1" negativeBarBorderColorSameAsPositive="0">
              <x14:cfvo type="autoMin"/>
              <x14:cfvo type="autoMax"/>
              <x14:borderColor rgb="FF63C384"/>
              <x14:negativeFillColor rgb="FFFF0000"/>
              <x14:negativeBorderColor rgb="FFFF0000"/>
              <x14:axisColor rgb="FF000000"/>
            </x14:dataBar>
          </x14:cfRule>
          <xm:sqref>Z467</xm:sqref>
        </x14:conditionalFormatting>
        <x14:conditionalFormatting xmlns:xm="http://schemas.microsoft.com/office/excel/2006/main">
          <x14:cfRule type="dataBar" id="{E3793CED-364F-4A46-9967-5582BA4FE105}">
            <x14:dataBar minLength="0" maxLength="100" border="1" negativeBarBorderColorSameAsPositive="0">
              <x14:cfvo type="autoMin"/>
              <x14:cfvo type="autoMax"/>
              <x14:borderColor rgb="FF63C384"/>
              <x14:negativeFillColor rgb="FFFF0000"/>
              <x14:negativeBorderColor rgb="FFFF0000"/>
              <x14:axisColor rgb="FF000000"/>
            </x14:dataBar>
          </x14:cfRule>
          <xm:sqref>Z468</xm:sqref>
        </x14:conditionalFormatting>
        <x14:conditionalFormatting xmlns:xm="http://schemas.microsoft.com/office/excel/2006/main">
          <x14:cfRule type="dataBar" id="{2841A04B-1CD8-4325-8180-98E506E47A3E}">
            <x14:dataBar minLength="0" maxLength="100" border="1" negativeBarBorderColorSameAsPositive="0">
              <x14:cfvo type="autoMin"/>
              <x14:cfvo type="autoMax"/>
              <x14:borderColor rgb="FF63C384"/>
              <x14:negativeFillColor rgb="FFFF0000"/>
              <x14:negativeBorderColor rgb="FFFF0000"/>
              <x14:axisColor rgb="FF000000"/>
            </x14:dataBar>
          </x14:cfRule>
          <xm:sqref>Z468</xm:sqref>
        </x14:conditionalFormatting>
        <x14:conditionalFormatting xmlns:xm="http://schemas.microsoft.com/office/excel/2006/main">
          <x14:cfRule type="dataBar" id="{738C4FB9-143B-4A5B-A1B7-FC63A49761E6}">
            <x14:dataBar minLength="0" maxLength="100" border="1" negativeBarBorderColorSameAsPositive="0">
              <x14:cfvo type="autoMin"/>
              <x14:cfvo type="autoMax"/>
              <x14:borderColor rgb="FF63C384"/>
              <x14:negativeFillColor rgb="FFFF0000"/>
              <x14:negativeBorderColor rgb="FFFF0000"/>
              <x14:axisColor rgb="FF000000"/>
            </x14:dataBar>
          </x14:cfRule>
          <xm:sqref>Z469</xm:sqref>
        </x14:conditionalFormatting>
        <x14:conditionalFormatting xmlns:xm="http://schemas.microsoft.com/office/excel/2006/main">
          <x14:cfRule type="dataBar" id="{C76398FB-76D0-40AD-B96E-947BA278E9DB}">
            <x14:dataBar minLength="0" maxLength="100" border="1" negativeBarBorderColorSameAsPositive="0">
              <x14:cfvo type="autoMin"/>
              <x14:cfvo type="autoMax"/>
              <x14:borderColor rgb="FF63C384"/>
              <x14:negativeFillColor rgb="FFFF0000"/>
              <x14:negativeBorderColor rgb="FFFF0000"/>
              <x14:axisColor rgb="FF000000"/>
            </x14:dataBar>
          </x14:cfRule>
          <xm:sqref>Z469</xm:sqref>
        </x14:conditionalFormatting>
        <x14:conditionalFormatting xmlns:xm="http://schemas.microsoft.com/office/excel/2006/main">
          <x14:cfRule type="dataBar" id="{87344775-8355-4C6A-882A-9B345040893D}">
            <x14:dataBar minLength="0" maxLength="100" border="1" negativeBarBorderColorSameAsPositive="0">
              <x14:cfvo type="autoMin"/>
              <x14:cfvo type="autoMax"/>
              <x14:borderColor rgb="FF63C384"/>
              <x14:negativeFillColor rgb="FFFF0000"/>
              <x14:negativeBorderColor rgb="FFFF0000"/>
              <x14:axisColor rgb="FF000000"/>
            </x14:dataBar>
          </x14:cfRule>
          <xm:sqref>Z470</xm:sqref>
        </x14:conditionalFormatting>
        <x14:conditionalFormatting xmlns:xm="http://schemas.microsoft.com/office/excel/2006/main">
          <x14:cfRule type="dataBar" id="{07CDDC09-9804-464E-8C72-C44AE0EF3267}">
            <x14:dataBar minLength="0" maxLength="100" border="1" negativeBarBorderColorSameAsPositive="0">
              <x14:cfvo type="autoMin"/>
              <x14:cfvo type="autoMax"/>
              <x14:borderColor rgb="FF63C384"/>
              <x14:negativeFillColor rgb="FFFF0000"/>
              <x14:negativeBorderColor rgb="FFFF0000"/>
              <x14:axisColor rgb="FF000000"/>
            </x14:dataBar>
          </x14:cfRule>
          <xm:sqref>Z470</xm:sqref>
        </x14:conditionalFormatting>
        <x14:conditionalFormatting xmlns:xm="http://schemas.microsoft.com/office/excel/2006/main">
          <x14:cfRule type="dataBar" id="{6A7330FC-5E65-4FC4-9DC9-B017E04EE895}">
            <x14:dataBar minLength="0" maxLength="100" border="1" negativeBarBorderColorSameAsPositive="0">
              <x14:cfvo type="autoMin"/>
              <x14:cfvo type="autoMax"/>
              <x14:borderColor rgb="FF63C384"/>
              <x14:negativeFillColor rgb="FFFF0000"/>
              <x14:negativeBorderColor rgb="FFFF0000"/>
              <x14:axisColor rgb="FF000000"/>
            </x14:dataBar>
          </x14:cfRule>
          <xm:sqref>Z474</xm:sqref>
        </x14:conditionalFormatting>
        <x14:conditionalFormatting xmlns:xm="http://schemas.microsoft.com/office/excel/2006/main">
          <x14:cfRule type="dataBar" id="{317338CD-EB5A-46C9-BC83-27B4E5EE6B5B}">
            <x14:dataBar minLength="0" maxLength="100" border="1" negativeBarBorderColorSameAsPositive="0">
              <x14:cfvo type="autoMin"/>
              <x14:cfvo type="autoMax"/>
              <x14:borderColor rgb="FF63C384"/>
              <x14:negativeFillColor rgb="FFFF0000"/>
              <x14:negativeBorderColor rgb="FFFF0000"/>
              <x14:axisColor rgb="FF000000"/>
            </x14:dataBar>
          </x14:cfRule>
          <xm:sqref>Z474</xm:sqref>
        </x14:conditionalFormatting>
        <x14:conditionalFormatting xmlns:xm="http://schemas.microsoft.com/office/excel/2006/main">
          <x14:cfRule type="dataBar" id="{A2CC0025-CDC2-4402-B484-0DECD561A93F}">
            <x14:dataBar minLength="0" maxLength="100" border="1" negativeBarBorderColorSameAsPositive="0">
              <x14:cfvo type="autoMin"/>
              <x14:cfvo type="autoMax"/>
              <x14:borderColor rgb="FF63C384"/>
              <x14:negativeFillColor rgb="FFFF0000"/>
              <x14:negativeBorderColor rgb="FFFF0000"/>
              <x14:axisColor rgb="FF000000"/>
            </x14:dataBar>
          </x14:cfRule>
          <xm:sqref>Z472</xm:sqref>
        </x14:conditionalFormatting>
        <x14:conditionalFormatting xmlns:xm="http://schemas.microsoft.com/office/excel/2006/main">
          <x14:cfRule type="dataBar" id="{25A28D46-22C3-4000-95BC-53DB1BE469E6}">
            <x14:dataBar minLength="0" maxLength="100" border="1" negativeBarBorderColorSameAsPositive="0">
              <x14:cfvo type="autoMin"/>
              <x14:cfvo type="autoMax"/>
              <x14:borderColor rgb="FF63C384"/>
              <x14:negativeFillColor rgb="FFFF0000"/>
              <x14:negativeBorderColor rgb="FFFF0000"/>
              <x14:axisColor rgb="FF000000"/>
            </x14:dataBar>
          </x14:cfRule>
          <xm:sqref>Z472</xm:sqref>
        </x14:conditionalFormatting>
        <x14:conditionalFormatting xmlns:xm="http://schemas.microsoft.com/office/excel/2006/main">
          <x14:cfRule type="dataBar" id="{47B66849-6AFE-4D5C-A932-E9C8DCAEC40D}">
            <x14:dataBar minLength="0" maxLength="100" border="1" negativeBarBorderColorSameAsPositive="0">
              <x14:cfvo type="autoMin"/>
              <x14:cfvo type="autoMax"/>
              <x14:borderColor rgb="FF63C384"/>
              <x14:negativeFillColor rgb="FFFF0000"/>
              <x14:negativeBorderColor rgb="FFFF0000"/>
              <x14:axisColor rgb="FF000000"/>
            </x14:dataBar>
          </x14:cfRule>
          <xm:sqref>Z475</xm:sqref>
        </x14:conditionalFormatting>
        <x14:conditionalFormatting xmlns:xm="http://schemas.microsoft.com/office/excel/2006/main">
          <x14:cfRule type="dataBar" id="{4D202FE4-8EDE-45C5-A09F-5591A5D3BFC7}">
            <x14:dataBar minLength="0" maxLength="100" border="1" negativeBarBorderColorSameAsPositive="0">
              <x14:cfvo type="autoMin"/>
              <x14:cfvo type="autoMax"/>
              <x14:borderColor rgb="FF63C384"/>
              <x14:negativeFillColor rgb="FFFF0000"/>
              <x14:negativeBorderColor rgb="FFFF0000"/>
              <x14:axisColor rgb="FF000000"/>
            </x14:dataBar>
          </x14:cfRule>
          <xm:sqref>Z475</xm:sqref>
        </x14:conditionalFormatting>
        <x14:conditionalFormatting xmlns:xm="http://schemas.microsoft.com/office/excel/2006/main">
          <x14:cfRule type="dataBar" id="{6B330D4B-C3A0-46A5-99F2-7C5306089998}">
            <x14:dataBar minLength="0" maxLength="100" border="1" negativeBarBorderColorSameAsPositive="0">
              <x14:cfvo type="autoMin"/>
              <x14:cfvo type="autoMax"/>
              <x14:borderColor rgb="FF63C384"/>
              <x14:negativeFillColor rgb="FFFF0000"/>
              <x14:negativeBorderColor rgb="FFFF0000"/>
              <x14:axisColor rgb="FF000000"/>
            </x14:dataBar>
          </x14:cfRule>
          <xm:sqref>Z476</xm:sqref>
        </x14:conditionalFormatting>
        <x14:conditionalFormatting xmlns:xm="http://schemas.microsoft.com/office/excel/2006/main">
          <x14:cfRule type="dataBar" id="{10E1C20E-00DD-4278-AB11-111E835A93C3}">
            <x14:dataBar minLength="0" maxLength="100" border="1" negativeBarBorderColorSameAsPositive="0">
              <x14:cfvo type="autoMin"/>
              <x14:cfvo type="autoMax"/>
              <x14:borderColor rgb="FF63C384"/>
              <x14:negativeFillColor rgb="FFFF0000"/>
              <x14:negativeBorderColor rgb="FFFF0000"/>
              <x14:axisColor rgb="FF000000"/>
            </x14:dataBar>
          </x14:cfRule>
          <xm:sqref>Z476</xm:sqref>
        </x14:conditionalFormatting>
        <x14:conditionalFormatting xmlns:xm="http://schemas.microsoft.com/office/excel/2006/main">
          <x14:cfRule type="dataBar" id="{5D56CCE2-4575-4A7B-A8F1-7284DE334BDB}">
            <x14:dataBar minLength="0" maxLength="100" border="1" negativeBarBorderColorSameAsPositive="0">
              <x14:cfvo type="autoMin"/>
              <x14:cfvo type="autoMax"/>
              <x14:borderColor rgb="FF63C384"/>
              <x14:negativeFillColor rgb="FFFF0000"/>
              <x14:negativeBorderColor rgb="FFFF0000"/>
              <x14:axisColor rgb="FF000000"/>
            </x14:dataBar>
          </x14:cfRule>
          <xm:sqref>Z480</xm:sqref>
        </x14:conditionalFormatting>
        <x14:conditionalFormatting xmlns:xm="http://schemas.microsoft.com/office/excel/2006/main">
          <x14:cfRule type="dataBar" id="{4ACBEAD8-028F-41C9-8E0C-631B712D66A6}">
            <x14:dataBar minLength="0" maxLength="100" border="1" negativeBarBorderColorSameAsPositive="0">
              <x14:cfvo type="autoMin"/>
              <x14:cfvo type="autoMax"/>
              <x14:borderColor rgb="FF63C384"/>
              <x14:negativeFillColor rgb="FFFF0000"/>
              <x14:negativeBorderColor rgb="FFFF0000"/>
              <x14:axisColor rgb="FF000000"/>
            </x14:dataBar>
          </x14:cfRule>
          <xm:sqref>Z480</xm:sqref>
        </x14:conditionalFormatting>
        <x14:conditionalFormatting xmlns:xm="http://schemas.microsoft.com/office/excel/2006/main">
          <x14:cfRule type="dataBar" id="{E7692183-E3DC-468B-89C5-AECF259F2109}">
            <x14:dataBar minLength="0" maxLength="100" border="1" negativeBarBorderColorSameAsPositive="0">
              <x14:cfvo type="autoMin"/>
              <x14:cfvo type="autoMax"/>
              <x14:borderColor rgb="FF63C384"/>
              <x14:negativeFillColor rgb="FFFF0000"/>
              <x14:negativeBorderColor rgb="FFFF0000"/>
              <x14:axisColor rgb="FF000000"/>
            </x14:dataBar>
          </x14:cfRule>
          <xm:sqref>Z480</xm:sqref>
        </x14:conditionalFormatting>
        <x14:conditionalFormatting xmlns:xm="http://schemas.microsoft.com/office/excel/2006/main">
          <x14:cfRule type="dataBar" id="{B02A7208-802D-497F-8819-13BEA9E8184E}">
            <x14:dataBar minLength="0" maxLength="100" border="1" negativeBarBorderColorSameAsPositive="0">
              <x14:cfvo type="autoMin"/>
              <x14:cfvo type="autoMax"/>
              <x14:borderColor rgb="FF63C384"/>
              <x14:negativeFillColor rgb="FFFF0000"/>
              <x14:negativeBorderColor rgb="FFFF0000"/>
              <x14:axisColor rgb="FF000000"/>
            </x14:dataBar>
          </x14:cfRule>
          <xm:sqref>Z480</xm:sqref>
        </x14:conditionalFormatting>
        <x14:conditionalFormatting xmlns:xm="http://schemas.microsoft.com/office/excel/2006/main">
          <x14:cfRule type="dataBar" id="{649BF7EF-374C-4AC2-90F8-25B206997234}">
            <x14:dataBar minLength="0" maxLength="100" border="1" negativeBarBorderColorSameAsPositive="0">
              <x14:cfvo type="autoMin"/>
              <x14:cfvo type="autoMax"/>
              <x14:borderColor rgb="FF63C384"/>
              <x14:negativeFillColor rgb="FFFF0000"/>
              <x14:negativeBorderColor rgb="FFFF0000"/>
              <x14:axisColor rgb="FF000000"/>
            </x14:dataBar>
          </x14:cfRule>
          <xm:sqref>Z481</xm:sqref>
        </x14:conditionalFormatting>
        <x14:conditionalFormatting xmlns:xm="http://schemas.microsoft.com/office/excel/2006/main">
          <x14:cfRule type="dataBar" id="{222F8B98-F96C-4FC2-9826-0F9520C407B4}">
            <x14:dataBar minLength="0" maxLength="100" border="1" negativeBarBorderColorSameAsPositive="0">
              <x14:cfvo type="autoMin"/>
              <x14:cfvo type="autoMax"/>
              <x14:borderColor rgb="FF63C384"/>
              <x14:negativeFillColor rgb="FFFF0000"/>
              <x14:negativeBorderColor rgb="FFFF0000"/>
              <x14:axisColor rgb="FF000000"/>
            </x14:dataBar>
          </x14:cfRule>
          <xm:sqref>Z481</xm:sqref>
        </x14:conditionalFormatting>
        <x14:conditionalFormatting xmlns:xm="http://schemas.microsoft.com/office/excel/2006/main">
          <x14:cfRule type="dataBar" id="{C9B3590B-E38F-4DA6-8DC8-E23C81524B05}">
            <x14:dataBar minLength="0" maxLength="100" border="1" negativeBarBorderColorSameAsPositive="0">
              <x14:cfvo type="autoMin"/>
              <x14:cfvo type="autoMax"/>
              <x14:borderColor rgb="FF63C384"/>
              <x14:negativeFillColor rgb="FFFF0000"/>
              <x14:negativeBorderColor rgb="FFFF0000"/>
              <x14:axisColor rgb="FF000000"/>
            </x14:dataBar>
          </x14:cfRule>
          <xm:sqref>Z480</xm:sqref>
        </x14:conditionalFormatting>
        <x14:conditionalFormatting xmlns:xm="http://schemas.microsoft.com/office/excel/2006/main">
          <x14:cfRule type="dataBar" id="{FF82ABC5-FBA6-416A-932D-07B79F7A2F7F}">
            <x14:dataBar minLength="0" maxLength="100" border="1" negativeBarBorderColorSameAsPositive="0">
              <x14:cfvo type="autoMin"/>
              <x14:cfvo type="autoMax"/>
              <x14:borderColor rgb="FF63C384"/>
              <x14:negativeFillColor rgb="FFFF0000"/>
              <x14:negativeBorderColor rgb="FFFF0000"/>
              <x14:axisColor rgb="FF000000"/>
            </x14:dataBar>
          </x14:cfRule>
          <xm:sqref>Z480</xm:sqref>
        </x14:conditionalFormatting>
        <x14:conditionalFormatting xmlns:xm="http://schemas.microsoft.com/office/excel/2006/main">
          <x14:cfRule type="dataBar" id="{8484345E-61FC-497A-A7D8-CC23C8646D9D}">
            <x14:dataBar minLength="0" maxLength="100" border="1" negativeBarBorderColorSameAsPositive="0">
              <x14:cfvo type="autoMin"/>
              <x14:cfvo type="autoMax"/>
              <x14:borderColor rgb="FF63C384"/>
              <x14:negativeFillColor rgb="FFFF0000"/>
              <x14:negativeBorderColor rgb="FFFF0000"/>
              <x14:axisColor rgb="FF000000"/>
            </x14:dataBar>
          </x14:cfRule>
          <xm:sqref>Z481</xm:sqref>
        </x14:conditionalFormatting>
        <x14:conditionalFormatting xmlns:xm="http://schemas.microsoft.com/office/excel/2006/main">
          <x14:cfRule type="dataBar" id="{2F267ADD-66C0-4B7C-82B0-3DC747712E8A}">
            <x14:dataBar minLength="0" maxLength="100" border="1" negativeBarBorderColorSameAsPositive="0">
              <x14:cfvo type="autoMin"/>
              <x14:cfvo type="autoMax"/>
              <x14:borderColor rgb="FF63C384"/>
              <x14:negativeFillColor rgb="FFFF0000"/>
              <x14:negativeBorderColor rgb="FFFF0000"/>
              <x14:axisColor rgb="FF000000"/>
            </x14:dataBar>
          </x14:cfRule>
          <xm:sqref>Z481</xm:sqref>
        </x14:conditionalFormatting>
        <x14:conditionalFormatting xmlns:xm="http://schemas.microsoft.com/office/excel/2006/main">
          <x14:cfRule type="dataBar" id="{A7D417A6-1E57-4456-915D-CFEBFCF7802D}">
            <x14:dataBar minLength="0" maxLength="100" border="1" negativeBarBorderColorSameAsPositive="0">
              <x14:cfvo type="autoMin"/>
              <x14:cfvo type="autoMax"/>
              <x14:borderColor rgb="FF63C384"/>
              <x14:negativeFillColor rgb="FFFF0000"/>
              <x14:negativeBorderColor rgb="FFFF0000"/>
              <x14:axisColor rgb="FF000000"/>
            </x14:dataBar>
          </x14:cfRule>
          <xm:sqref>Z480</xm:sqref>
        </x14:conditionalFormatting>
        <x14:conditionalFormatting xmlns:xm="http://schemas.microsoft.com/office/excel/2006/main">
          <x14:cfRule type="dataBar" id="{E369A7AB-9EF8-48A8-B183-38987C7B9CEF}">
            <x14:dataBar minLength="0" maxLength="100" border="1" negativeBarBorderColorSameAsPositive="0">
              <x14:cfvo type="autoMin"/>
              <x14:cfvo type="autoMax"/>
              <x14:borderColor rgb="FF63C384"/>
              <x14:negativeFillColor rgb="FFFF0000"/>
              <x14:negativeBorderColor rgb="FFFF0000"/>
              <x14:axisColor rgb="FF000000"/>
            </x14:dataBar>
          </x14:cfRule>
          <xm:sqref>Z480</xm:sqref>
        </x14:conditionalFormatting>
        <x14:conditionalFormatting xmlns:xm="http://schemas.microsoft.com/office/excel/2006/main">
          <x14:cfRule type="dataBar" id="{7B5402EB-31F5-4ABC-B2B2-317C3C407265}">
            <x14:dataBar minLength="0" maxLength="100" border="1" negativeBarBorderColorSameAsPositive="0">
              <x14:cfvo type="autoMin"/>
              <x14:cfvo type="autoMax"/>
              <x14:borderColor rgb="FF63C384"/>
              <x14:negativeFillColor rgb="FFFF0000"/>
              <x14:negativeBorderColor rgb="FFFF0000"/>
              <x14:axisColor rgb="FF000000"/>
            </x14:dataBar>
          </x14:cfRule>
          <xm:sqref>Z481</xm:sqref>
        </x14:conditionalFormatting>
        <x14:conditionalFormatting xmlns:xm="http://schemas.microsoft.com/office/excel/2006/main">
          <x14:cfRule type="dataBar" id="{A5A2703D-97C0-435D-8A24-2E83B6C93160}">
            <x14:dataBar minLength="0" maxLength="100" border="1" negativeBarBorderColorSameAsPositive="0">
              <x14:cfvo type="autoMin"/>
              <x14:cfvo type="autoMax"/>
              <x14:borderColor rgb="FF63C384"/>
              <x14:negativeFillColor rgb="FFFF0000"/>
              <x14:negativeBorderColor rgb="FFFF0000"/>
              <x14:axisColor rgb="FF000000"/>
            </x14:dataBar>
          </x14:cfRule>
          <xm:sqref>Z481</xm:sqref>
        </x14:conditionalFormatting>
        <x14:conditionalFormatting xmlns:xm="http://schemas.microsoft.com/office/excel/2006/main">
          <x14:cfRule type="dataBar" id="{FF94995E-FBE4-4E1F-A6C3-1D23E988503B}">
            <x14:dataBar minLength="0" maxLength="100" border="1" negativeBarBorderColorSameAsPositive="0">
              <x14:cfvo type="autoMin"/>
              <x14:cfvo type="autoMax"/>
              <x14:borderColor rgb="FF63C384"/>
              <x14:negativeFillColor rgb="FFFF0000"/>
              <x14:negativeBorderColor rgb="FFFF0000"/>
              <x14:axisColor rgb="FF000000"/>
            </x14:dataBar>
          </x14:cfRule>
          <xm:sqref>Z482</xm:sqref>
        </x14:conditionalFormatting>
        <x14:conditionalFormatting xmlns:xm="http://schemas.microsoft.com/office/excel/2006/main">
          <x14:cfRule type="dataBar" id="{3F1A9DC3-2C13-4901-84ED-E6359C535842}">
            <x14:dataBar minLength="0" maxLength="100" border="1" negativeBarBorderColorSameAsPositive="0">
              <x14:cfvo type="autoMin"/>
              <x14:cfvo type="autoMax"/>
              <x14:borderColor rgb="FF63C384"/>
              <x14:negativeFillColor rgb="FFFF0000"/>
              <x14:negativeBorderColor rgb="FFFF0000"/>
              <x14:axisColor rgb="FF000000"/>
            </x14:dataBar>
          </x14:cfRule>
          <xm:sqref>Z482</xm:sqref>
        </x14:conditionalFormatting>
        <x14:conditionalFormatting xmlns:xm="http://schemas.microsoft.com/office/excel/2006/main">
          <x14:cfRule type="dataBar" id="{24D428F1-2672-4FCB-842E-AB84DAB8A05C}">
            <x14:dataBar minLength="0" maxLength="100" border="1" negativeBarBorderColorSameAsPositive="0">
              <x14:cfvo type="autoMin"/>
              <x14:cfvo type="autoMax"/>
              <x14:borderColor rgb="FF63C384"/>
              <x14:negativeFillColor rgb="FFFF0000"/>
              <x14:negativeBorderColor rgb="FFFF0000"/>
              <x14:axisColor rgb="FF000000"/>
            </x14:dataBar>
          </x14:cfRule>
          <xm:sqref>Z479</xm:sqref>
        </x14:conditionalFormatting>
        <x14:conditionalFormatting xmlns:xm="http://schemas.microsoft.com/office/excel/2006/main">
          <x14:cfRule type="dataBar" id="{00C2FE0D-1D4D-4AB1-BB55-C54594A38C48}">
            <x14:dataBar minLength="0" maxLength="100" border="1" negativeBarBorderColorSameAsPositive="0">
              <x14:cfvo type="autoMin"/>
              <x14:cfvo type="autoMax"/>
              <x14:borderColor rgb="FF63C384"/>
              <x14:negativeFillColor rgb="FFFF0000"/>
              <x14:negativeBorderColor rgb="FFFF0000"/>
              <x14:axisColor rgb="FF000000"/>
            </x14:dataBar>
          </x14:cfRule>
          <xm:sqref>Z479</xm:sqref>
        </x14:conditionalFormatting>
        <x14:conditionalFormatting xmlns:xm="http://schemas.microsoft.com/office/excel/2006/main">
          <x14:cfRule type="dataBar" id="{F083CE6B-9B59-43D5-9F92-1FAE318DC505}">
            <x14:dataBar minLength="0" maxLength="100" border="1" negativeBarBorderColorSameAsPositive="0">
              <x14:cfvo type="autoMin"/>
              <x14:cfvo type="autoMax"/>
              <x14:borderColor rgb="FF63C384"/>
              <x14:negativeFillColor rgb="FFFF0000"/>
              <x14:negativeBorderColor rgb="FFFF0000"/>
              <x14:axisColor rgb="FF000000"/>
            </x14:dataBar>
          </x14:cfRule>
          <xm:sqref>Z478</xm:sqref>
        </x14:conditionalFormatting>
        <x14:conditionalFormatting xmlns:xm="http://schemas.microsoft.com/office/excel/2006/main">
          <x14:cfRule type="dataBar" id="{40D8A4AE-45CE-4C9E-BA09-0C06EAEFA418}">
            <x14:dataBar minLength="0" maxLength="100" border="1" negativeBarBorderColorSameAsPositive="0">
              <x14:cfvo type="autoMin"/>
              <x14:cfvo type="autoMax"/>
              <x14:borderColor rgb="FF63C384"/>
              <x14:negativeFillColor rgb="FFFF0000"/>
              <x14:negativeBorderColor rgb="FFFF0000"/>
              <x14:axisColor rgb="FF000000"/>
            </x14:dataBar>
          </x14:cfRule>
          <xm:sqref>Z478</xm:sqref>
        </x14:conditionalFormatting>
        <x14:conditionalFormatting xmlns:xm="http://schemas.microsoft.com/office/excel/2006/main">
          <x14:cfRule type="dataBar" id="{6492F5E3-83FF-49AE-821B-9640C24276BB}">
            <x14:dataBar minLength="0" maxLength="100" border="1" negativeBarBorderColorSameAsPositive="0">
              <x14:cfvo type="autoMin"/>
              <x14:cfvo type="autoMax"/>
              <x14:borderColor rgb="FF63C384"/>
              <x14:negativeFillColor rgb="FFFF0000"/>
              <x14:negativeBorderColor rgb="FFFF0000"/>
              <x14:axisColor rgb="FF000000"/>
            </x14:dataBar>
          </x14:cfRule>
          <xm:sqref>Z477</xm:sqref>
        </x14:conditionalFormatting>
        <x14:conditionalFormatting xmlns:xm="http://schemas.microsoft.com/office/excel/2006/main">
          <x14:cfRule type="dataBar" id="{6261E46E-0DE5-42FB-9655-4AA3E7AD84B7}">
            <x14:dataBar minLength="0" maxLength="100" border="1" negativeBarBorderColorSameAsPositive="0">
              <x14:cfvo type="autoMin"/>
              <x14:cfvo type="autoMax"/>
              <x14:borderColor rgb="FF63C384"/>
              <x14:negativeFillColor rgb="FFFF0000"/>
              <x14:negativeBorderColor rgb="FFFF0000"/>
              <x14:axisColor rgb="FF000000"/>
            </x14:dataBar>
          </x14:cfRule>
          <xm:sqref>Z477</xm:sqref>
        </x14:conditionalFormatting>
        <x14:conditionalFormatting xmlns:xm="http://schemas.microsoft.com/office/excel/2006/main">
          <x14:cfRule type="dataBar" id="{6260B99C-21BD-4793-8AA6-E7FFEF30AB05}">
            <x14:dataBar minLength="0" maxLength="100" border="1" negativeBarBorderColorSameAsPositive="0">
              <x14:cfvo type="autoMin"/>
              <x14:cfvo type="autoMax"/>
              <x14:borderColor rgb="FF63C384"/>
              <x14:negativeFillColor rgb="FFFF0000"/>
              <x14:negativeBorderColor rgb="FFFF0000"/>
              <x14:axisColor rgb="FF000000"/>
            </x14:dataBar>
          </x14:cfRule>
          <xm:sqref>Z483</xm:sqref>
        </x14:conditionalFormatting>
        <x14:conditionalFormatting xmlns:xm="http://schemas.microsoft.com/office/excel/2006/main">
          <x14:cfRule type="dataBar" id="{308CBF1A-61F0-4BB5-8C20-9106AE748F78}">
            <x14:dataBar minLength="0" maxLength="100" border="1" negativeBarBorderColorSameAsPositive="0">
              <x14:cfvo type="autoMin"/>
              <x14:cfvo type="autoMax"/>
              <x14:borderColor rgb="FF63C384"/>
              <x14:negativeFillColor rgb="FFFF0000"/>
              <x14:negativeBorderColor rgb="FFFF0000"/>
              <x14:axisColor rgb="FF000000"/>
            </x14:dataBar>
          </x14:cfRule>
          <xm:sqref>Z483</xm:sqref>
        </x14:conditionalFormatting>
        <x14:conditionalFormatting xmlns:xm="http://schemas.microsoft.com/office/excel/2006/main">
          <x14:cfRule type="dataBar" id="{41CFF452-50F7-43A4-8E8F-5F87DA444838}">
            <x14:dataBar minLength="0" maxLength="100" border="1" negativeBarBorderColorSameAsPositive="0">
              <x14:cfvo type="autoMin"/>
              <x14:cfvo type="autoMax"/>
              <x14:borderColor rgb="FF63C384"/>
              <x14:negativeFillColor rgb="FFFF0000"/>
              <x14:negativeBorderColor rgb="FFFF0000"/>
              <x14:axisColor rgb="FF000000"/>
            </x14:dataBar>
          </x14:cfRule>
          <xm:sqref>Z484</xm:sqref>
        </x14:conditionalFormatting>
        <x14:conditionalFormatting xmlns:xm="http://schemas.microsoft.com/office/excel/2006/main">
          <x14:cfRule type="dataBar" id="{E19DFF0B-C7EE-431E-BF84-1CBEBB9AD520}">
            <x14:dataBar minLength="0" maxLength="100" border="1" negativeBarBorderColorSameAsPositive="0">
              <x14:cfvo type="autoMin"/>
              <x14:cfvo type="autoMax"/>
              <x14:borderColor rgb="FF63C384"/>
              <x14:negativeFillColor rgb="FFFF0000"/>
              <x14:negativeBorderColor rgb="FFFF0000"/>
              <x14:axisColor rgb="FF000000"/>
            </x14:dataBar>
          </x14:cfRule>
          <xm:sqref>Z484</xm:sqref>
        </x14:conditionalFormatting>
        <x14:conditionalFormatting xmlns:xm="http://schemas.microsoft.com/office/excel/2006/main">
          <x14:cfRule type="dataBar" id="{D7380EA0-EFB1-42BE-ADC1-6D5F2D6EBA4B}">
            <x14:dataBar minLength="0" maxLength="100" border="1" negativeBarBorderColorSameAsPositive="0">
              <x14:cfvo type="autoMin"/>
              <x14:cfvo type="autoMax"/>
              <x14:borderColor rgb="FF63C384"/>
              <x14:negativeFillColor rgb="FFFF0000"/>
              <x14:negativeBorderColor rgb="FFFF0000"/>
              <x14:axisColor rgb="FF000000"/>
            </x14:dataBar>
          </x14:cfRule>
          <xm:sqref>Z485</xm:sqref>
        </x14:conditionalFormatting>
        <x14:conditionalFormatting xmlns:xm="http://schemas.microsoft.com/office/excel/2006/main">
          <x14:cfRule type="dataBar" id="{2535659D-AFBC-4DBF-9743-C003C6D448AE}">
            <x14:dataBar minLength="0" maxLength="100" border="1" negativeBarBorderColorSameAsPositive="0">
              <x14:cfvo type="autoMin"/>
              <x14:cfvo type="autoMax"/>
              <x14:borderColor rgb="FF63C384"/>
              <x14:negativeFillColor rgb="FFFF0000"/>
              <x14:negativeBorderColor rgb="FFFF0000"/>
              <x14:axisColor rgb="FF000000"/>
            </x14:dataBar>
          </x14:cfRule>
          <xm:sqref>Z485</xm:sqref>
        </x14:conditionalFormatting>
        <x14:conditionalFormatting xmlns:xm="http://schemas.microsoft.com/office/excel/2006/main">
          <x14:cfRule type="dataBar" id="{62BFD850-287E-4804-86FB-CCF878489A04}">
            <x14:dataBar minLength="0" maxLength="100" border="1" negativeBarBorderColorSameAsPositive="0">
              <x14:cfvo type="autoMin"/>
              <x14:cfvo type="autoMax"/>
              <x14:borderColor rgb="FF63C384"/>
              <x14:negativeFillColor rgb="FFFF0000"/>
              <x14:negativeBorderColor rgb="FFFF0000"/>
              <x14:axisColor rgb="FF000000"/>
            </x14:dataBar>
          </x14:cfRule>
          <xm:sqref>Z486</xm:sqref>
        </x14:conditionalFormatting>
        <x14:conditionalFormatting xmlns:xm="http://schemas.microsoft.com/office/excel/2006/main">
          <x14:cfRule type="dataBar" id="{10C3C89E-A379-4048-8F73-267E531963C0}">
            <x14:dataBar minLength="0" maxLength="100" border="1" negativeBarBorderColorSameAsPositive="0">
              <x14:cfvo type="autoMin"/>
              <x14:cfvo type="autoMax"/>
              <x14:borderColor rgb="FF63C384"/>
              <x14:negativeFillColor rgb="FFFF0000"/>
              <x14:negativeBorderColor rgb="FFFF0000"/>
              <x14:axisColor rgb="FF000000"/>
            </x14:dataBar>
          </x14:cfRule>
          <xm:sqref>Z486</xm:sqref>
        </x14:conditionalFormatting>
        <x14:conditionalFormatting xmlns:xm="http://schemas.microsoft.com/office/excel/2006/main">
          <x14:cfRule type="dataBar" id="{D7E64595-2980-47FE-B449-43F937F934BD}">
            <x14:dataBar minLength="0" maxLength="100" border="1" negativeBarBorderColorSameAsPositive="0">
              <x14:cfvo type="autoMin"/>
              <x14:cfvo type="autoMax"/>
              <x14:borderColor rgb="FF63C384"/>
              <x14:negativeFillColor rgb="FFFF0000"/>
              <x14:negativeBorderColor rgb="FFFF0000"/>
              <x14:axisColor rgb="FF000000"/>
            </x14:dataBar>
          </x14:cfRule>
          <xm:sqref>Z487</xm:sqref>
        </x14:conditionalFormatting>
        <x14:conditionalFormatting xmlns:xm="http://schemas.microsoft.com/office/excel/2006/main">
          <x14:cfRule type="dataBar" id="{456DE03C-87D4-47B0-B7D1-F0CC433486B1}">
            <x14:dataBar minLength="0" maxLength="100" border="1" negativeBarBorderColorSameAsPositive="0">
              <x14:cfvo type="autoMin"/>
              <x14:cfvo type="autoMax"/>
              <x14:borderColor rgb="FF63C384"/>
              <x14:negativeFillColor rgb="FFFF0000"/>
              <x14:negativeBorderColor rgb="FFFF0000"/>
              <x14:axisColor rgb="FF000000"/>
            </x14:dataBar>
          </x14:cfRule>
          <xm:sqref>Z487</xm:sqref>
        </x14:conditionalFormatting>
        <x14:conditionalFormatting xmlns:xm="http://schemas.microsoft.com/office/excel/2006/main">
          <x14:cfRule type="dataBar" id="{B47236B4-CBF0-4A14-93A4-39B9150BC3E7}">
            <x14:dataBar minLength="0" maxLength="100" border="1" negativeBarBorderColorSameAsPositive="0">
              <x14:cfvo type="autoMin"/>
              <x14:cfvo type="autoMax"/>
              <x14:borderColor rgb="FF63C384"/>
              <x14:negativeFillColor rgb="FFFF0000"/>
              <x14:negativeBorderColor rgb="FFFF0000"/>
              <x14:axisColor rgb="FF000000"/>
            </x14:dataBar>
          </x14:cfRule>
          <xm:sqref>Z488</xm:sqref>
        </x14:conditionalFormatting>
        <x14:conditionalFormatting xmlns:xm="http://schemas.microsoft.com/office/excel/2006/main">
          <x14:cfRule type="dataBar" id="{4955D0A2-6C87-42FF-88CA-B9B4AC198C1B}">
            <x14:dataBar minLength="0" maxLength="100" border="1" negativeBarBorderColorSameAsPositive="0">
              <x14:cfvo type="autoMin"/>
              <x14:cfvo type="autoMax"/>
              <x14:borderColor rgb="FF63C384"/>
              <x14:negativeFillColor rgb="FFFF0000"/>
              <x14:negativeBorderColor rgb="FFFF0000"/>
              <x14:axisColor rgb="FF000000"/>
            </x14:dataBar>
          </x14:cfRule>
          <xm:sqref>Z488</xm:sqref>
        </x14:conditionalFormatting>
        <x14:conditionalFormatting xmlns:xm="http://schemas.microsoft.com/office/excel/2006/main">
          <x14:cfRule type="dataBar" id="{25C4A0C9-CD4C-41C3-85A7-2309E0EC5D90}">
            <x14:dataBar minLength="0" maxLength="100" border="1" negativeBarBorderColorSameAsPositive="0">
              <x14:cfvo type="autoMin"/>
              <x14:cfvo type="autoMax"/>
              <x14:borderColor rgb="FF63C384"/>
              <x14:negativeFillColor rgb="FFFF0000"/>
              <x14:negativeBorderColor rgb="FFFF0000"/>
              <x14:axisColor rgb="FF000000"/>
            </x14:dataBar>
          </x14:cfRule>
          <xm:sqref>Z489</xm:sqref>
        </x14:conditionalFormatting>
        <x14:conditionalFormatting xmlns:xm="http://schemas.microsoft.com/office/excel/2006/main">
          <x14:cfRule type="dataBar" id="{5667F865-1C10-45B7-9F7C-0032267D9F79}">
            <x14:dataBar minLength="0" maxLength="100" border="1" negativeBarBorderColorSameAsPositive="0">
              <x14:cfvo type="autoMin"/>
              <x14:cfvo type="autoMax"/>
              <x14:borderColor rgb="FF63C384"/>
              <x14:negativeFillColor rgb="FFFF0000"/>
              <x14:negativeBorderColor rgb="FFFF0000"/>
              <x14:axisColor rgb="FF000000"/>
            </x14:dataBar>
          </x14:cfRule>
          <xm:sqref>Z489</xm:sqref>
        </x14:conditionalFormatting>
        <x14:conditionalFormatting xmlns:xm="http://schemas.microsoft.com/office/excel/2006/main">
          <x14:cfRule type="dataBar" id="{16DF8DBD-AB7C-4C56-8004-7DFF809858CF}">
            <x14:dataBar minLength="0" maxLength="100" border="1" negativeBarBorderColorSameAsPositive="0">
              <x14:cfvo type="autoMin"/>
              <x14:cfvo type="autoMax"/>
              <x14:borderColor rgb="FF63C384"/>
              <x14:negativeFillColor rgb="FFFF0000"/>
              <x14:negativeBorderColor rgb="FFFF0000"/>
              <x14:axisColor rgb="FF000000"/>
            </x14:dataBar>
          </x14:cfRule>
          <xm:sqref>Z490</xm:sqref>
        </x14:conditionalFormatting>
        <x14:conditionalFormatting xmlns:xm="http://schemas.microsoft.com/office/excel/2006/main">
          <x14:cfRule type="dataBar" id="{EDD09E36-BAE0-461C-BACF-C88DB4ACFB68}">
            <x14:dataBar minLength="0" maxLength="100" border="1" negativeBarBorderColorSameAsPositive="0">
              <x14:cfvo type="autoMin"/>
              <x14:cfvo type="autoMax"/>
              <x14:borderColor rgb="FF63C384"/>
              <x14:negativeFillColor rgb="FFFF0000"/>
              <x14:negativeBorderColor rgb="FFFF0000"/>
              <x14:axisColor rgb="FF000000"/>
            </x14:dataBar>
          </x14:cfRule>
          <xm:sqref>Z490</xm:sqref>
        </x14:conditionalFormatting>
        <x14:conditionalFormatting xmlns:xm="http://schemas.microsoft.com/office/excel/2006/main">
          <x14:cfRule type="dataBar" id="{BF62DB8F-F642-41FD-96D7-0A4737A13D86}">
            <x14:dataBar minLength="0" maxLength="100" border="1" negativeBarBorderColorSameAsPositive="0">
              <x14:cfvo type="autoMin"/>
              <x14:cfvo type="autoMax"/>
              <x14:borderColor rgb="FF63C384"/>
              <x14:negativeFillColor rgb="FFFF0000"/>
              <x14:negativeBorderColor rgb="FFFF0000"/>
              <x14:axisColor rgb="FF000000"/>
            </x14:dataBar>
          </x14:cfRule>
          <xm:sqref>Z491</xm:sqref>
        </x14:conditionalFormatting>
        <x14:conditionalFormatting xmlns:xm="http://schemas.microsoft.com/office/excel/2006/main">
          <x14:cfRule type="dataBar" id="{74B04A5D-6923-49BE-B15E-CDF991B96CBB}">
            <x14:dataBar minLength="0" maxLength="100" border="1" negativeBarBorderColorSameAsPositive="0">
              <x14:cfvo type="autoMin"/>
              <x14:cfvo type="autoMax"/>
              <x14:borderColor rgb="FF63C384"/>
              <x14:negativeFillColor rgb="FFFF0000"/>
              <x14:negativeBorderColor rgb="FFFF0000"/>
              <x14:axisColor rgb="FF000000"/>
            </x14:dataBar>
          </x14:cfRule>
          <xm:sqref>Z491</xm:sqref>
        </x14:conditionalFormatting>
        <x14:conditionalFormatting xmlns:xm="http://schemas.microsoft.com/office/excel/2006/main">
          <x14:cfRule type="dataBar" id="{5B292535-270D-468F-94E4-3054175F38D4}">
            <x14:dataBar minLength="0" maxLength="100" border="1" negativeBarBorderColorSameAsPositive="0">
              <x14:cfvo type="autoMin"/>
              <x14:cfvo type="autoMax"/>
              <x14:borderColor rgb="FF63C384"/>
              <x14:negativeFillColor rgb="FFFF0000"/>
              <x14:negativeBorderColor rgb="FFFF0000"/>
              <x14:axisColor rgb="FF000000"/>
            </x14:dataBar>
          </x14:cfRule>
          <xm:sqref>Z492</xm:sqref>
        </x14:conditionalFormatting>
        <x14:conditionalFormatting xmlns:xm="http://schemas.microsoft.com/office/excel/2006/main">
          <x14:cfRule type="dataBar" id="{662C2067-8131-4D44-AFE6-9D30A6AE4110}">
            <x14:dataBar minLength="0" maxLength="100" border="1" negativeBarBorderColorSameAsPositive="0">
              <x14:cfvo type="autoMin"/>
              <x14:cfvo type="autoMax"/>
              <x14:borderColor rgb="FF63C384"/>
              <x14:negativeFillColor rgb="FFFF0000"/>
              <x14:negativeBorderColor rgb="FFFF0000"/>
              <x14:axisColor rgb="FF000000"/>
            </x14:dataBar>
          </x14:cfRule>
          <xm:sqref>Z492</xm:sqref>
        </x14:conditionalFormatting>
        <x14:conditionalFormatting xmlns:xm="http://schemas.microsoft.com/office/excel/2006/main">
          <x14:cfRule type="dataBar" id="{7626CFD9-C55F-49B2-A1BE-0C04C960C478}">
            <x14:dataBar minLength="0" maxLength="100" border="1" negativeBarBorderColorSameAsPositive="0">
              <x14:cfvo type="autoMin"/>
              <x14:cfvo type="autoMax"/>
              <x14:borderColor rgb="FF63C384"/>
              <x14:negativeFillColor rgb="FFFF0000"/>
              <x14:negativeBorderColor rgb="FFFF0000"/>
              <x14:axisColor rgb="FF000000"/>
            </x14:dataBar>
          </x14:cfRule>
          <xm:sqref>Z493</xm:sqref>
        </x14:conditionalFormatting>
        <x14:conditionalFormatting xmlns:xm="http://schemas.microsoft.com/office/excel/2006/main">
          <x14:cfRule type="dataBar" id="{6F43018B-4C63-44C1-BCFB-3B1C43EB8962}">
            <x14:dataBar minLength="0" maxLength="100" border="1" negativeBarBorderColorSameAsPositive="0">
              <x14:cfvo type="autoMin"/>
              <x14:cfvo type="autoMax"/>
              <x14:borderColor rgb="FF63C384"/>
              <x14:negativeFillColor rgb="FFFF0000"/>
              <x14:negativeBorderColor rgb="FFFF0000"/>
              <x14:axisColor rgb="FF000000"/>
            </x14:dataBar>
          </x14:cfRule>
          <xm:sqref>Z493</xm:sqref>
        </x14:conditionalFormatting>
        <x14:conditionalFormatting xmlns:xm="http://schemas.microsoft.com/office/excel/2006/main">
          <x14:cfRule type="dataBar" id="{D34D5ACC-9471-4483-ADAC-47A2C8C5BC46}">
            <x14:dataBar minLength="0" maxLength="100" border="1" negativeBarBorderColorSameAsPositive="0">
              <x14:cfvo type="autoMin"/>
              <x14:cfvo type="autoMax"/>
              <x14:borderColor rgb="FF63C384"/>
              <x14:negativeFillColor rgb="FFFF0000"/>
              <x14:negativeBorderColor rgb="FFFF0000"/>
              <x14:axisColor rgb="FF000000"/>
            </x14:dataBar>
          </x14:cfRule>
          <xm:sqref>Z494</xm:sqref>
        </x14:conditionalFormatting>
        <x14:conditionalFormatting xmlns:xm="http://schemas.microsoft.com/office/excel/2006/main">
          <x14:cfRule type="dataBar" id="{F1DE646D-6EB0-4E3C-A4BE-5DBA1CB0D740}">
            <x14:dataBar minLength="0" maxLength="100" border="1" negativeBarBorderColorSameAsPositive="0">
              <x14:cfvo type="autoMin"/>
              <x14:cfvo type="autoMax"/>
              <x14:borderColor rgb="FF63C384"/>
              <x14:negativeFillColor rgb="FFFF0000"/>
              <x14:negativeBorderColor rgb="FFFF0000"/>
              <x14:axisColor rgb="FF000000"/>
            </x14:dataBar>
          </x14:cfRule>
          <xm:sqref>Z494</xm:sqref>
        </x14:conditionalFormatting>
        <x14:conditionalFormatting xmlns:xm="http://schemas.microsoft.com/office/excel/2006/main">
          <x14:cfRule type="dataBar" id="{350183C6-A6AF-4D56-865E-E09830607681}">
            <x14:dataBar minLength="0" maxLength="100" border="1" negativeBarBorderColorSameAsPositive="0">
              <x14:cfvo type="autoMin"/>
              <x14:cfvo type="autoMax"/>
              <x14:borderColor rgb="FF63C384"/>
              <x14:negativeFillColor rgb="FFFF0000"/>
              <x14:negativeBorderColor rgb="FFFF0000"/>
              <x14:axisColor rgb="FF000000"/>
            </x14:dataBar>
          </x14:cfRule>
          <xm:sqref>Z495</xm:sqref>
        </x14:conditionalFormatting>
        <x14:conditionalFormatting xmlns:xm="http://schemas.microsoft.com/office/excel/2006/main">
          <x14:cfRule type="dataBar" id="{637C4508-B603-4374-9C67-4B46FEEDAC89}">
            <x14:dataBar minLength="0" maxLength="100" border="1" negativeBarBorderColorSameAsPositive="0">
              <x14:cfvo type="autoMin"/>
              <x14:cfvo type="autoMax"/>
              <x14:borderColor rgb="FF63C384"/>
              <x14:negativeFillColor rgb="FFFF0000"/>
              <x14:negativeBorderColor rgb="FFFF0000"/>
              <x14:axisColor rgb="FF000000"/>
            </x14:dataBar>
          </x14:cfRule>
          <xm:sqref>Z495</xm:sqref>
        </x14:conditionalFormatting>
        <x14:conditionalFormatting xmlns:xm="http://schemas.microsoft.com/office/excel/2006/main">
          <x14:cfRule type="dataBar" id="{3A984478-21AB-40EA-817F-C941A7936D40}">
            <x14:dataBar minLength="0" maxLength="100" border="1" negativeBarBorderColorSameAsPositive="0">
              <x14:cfvo type="autoMin"/>
              <x14:cfvo type="autoMax"/>
              <x14:borderColor rgb="FF63C384"/>
              <x14:negativeFillColor rgb="FFFF0000"/>
              <x14:negativeBorderColor rgb="FFFF0000"/>
              <x14:axisColor rgb="FF000000"/>
            </x14:dataBar>
          </x14:cfRule>
          <xm:sqref>Z496</xm:sqref>
        </x14:conditionalFormatting>
        <x14:conditionalFormatting xmlns:xm="http://schemas.microsoft.com/office/excel/2006/main">
          <x14:cfRule type="dataBar" id="{60999EA6-A0B8-4BB6-9BC3-7E166676129F}">
            <x14:dataBar minLength="0" maxLength="100" border="1" negativeBarBorderColorSameAsPositive="0">
              <x14:cfvo type="autoMin"/>
              <x14:cfvo type="autoMax"/>
              <x14:borderColor rgb="FF63C384"/>
              <x14:negativeFillColor rgb="FFFF0000"/>
              <x14:negativeBorderColor rgb="FFFF0000"/>
              <x14:axisColor rgb="FF000000"/>
            </x14:dataBar>
          </x14:cfRule>
          <xm:sqref>Z496</xm:sqref>
        </x14:conditionalFormatting>
        <x14:conditionalFormatting xmlns:xm="http://schemas.microsoft.com/office/excel/2006/main">
          <x14:cfRule type="dataBar" id="{406B5529-D86A-41ED-904B-CB006A579249}">
            <x14:dataBar minLength="0" maxLength="100" border="1" negativeBarBorderColorSameAsPositive="0">
              <x14:cfvo type="autoMin"/>
              <x14:cfvo type="autoMax"/>
              <x14:borderColor rgb="FF63C384"/>
              <x14:negativeFillColor rgb="FFFF0000"/>
              <x14:negativeBorderColor rgb="FFFF0000"/>
              <x14:axisColor rgb="FF000000"/>
            </x14:dataBar>
          </x14:cfRule>
          <xm:sqref>Z498</xm:sqref>
        </x14:conditionalFormatting>
        <x14:conditionalFormatting xmlns:xm="http://schemas.microsoft.com/office/excel/2006/main">
          <x14:cfRule type="dataBar" id="{30B929E9-2BE5-476C-A576-0D681376AF64}">
            <x14:dataBar minLength="0" maxLength="100" border="1" negativeBarBorderColorSameAsPositive="0">
              <x14:cfvo type="autoMin"/>
              <x14:cfvo type="autoMax"/>
              <x14:borderColor rgb="FF63C384"/>
              <x14:negativeFillColor rgb="FFFF0000"/>
              <x14:negativeBorderColor rgb="FFFF0000"/>
              <x14:axisColor rgb="FF000000"/>
            </x14:dataBar>
          </x14:cfRule>
          <xm:sqref>Z498</xm:sqref>
        </x14:conditionalFormatting>
        <x14:conditionalFormatting xmlns:xm="http://schemas.microsoft.com/office/excel/2006/main">
          <x14:cfRule type="dataBar" id="{2ADDC626-56F7-4CC8-A30D-B0D1E88A7FAF}">
            <x14:dataBar minLength="0" maxLength="100" border="1" negativeBarBorderColorSameAsPositive="0">
              <x14:cfvo type="autoMin"/>
              <x14:cfvo type="autoMax"/>
              <x14:borderColor rgb="FF63C384"/>
              <x14:negativeFillColor rgb="FFFF0000"/>
              <x14:negativeBorderColor rgb="FFFF0000"/>
              <x14:axisColor rgb="FF000000"/>
            </x14:dataBar>
          </x14:cfRule>
          <xm:sqref>Z498</xm:sqref>
        </x14:conditionalFormatting>
        <x14:conditionalFormatting xmlns:xm="http://schemas.microsoft.com/office/excel/2006/main">
          <x14:cfRule type="dataBar" id="{68E14D7E-32B2-4631-8A90-381CE15D2F05}">
            <x14:dataBar minLength="0" maxLength="100" border="1" negativeBarBorderColorSameAsPositive="0">
              <x14:cfvo type="autoMin"/>
              <x14:cfvo type="autoMax"/>
              <x14:borderColor rgb="FF63C384"/>
              <x14:negativeFillColor rgb="FFFF0000"/>
              <x14:negativeBorderColor rgb="FFFF0000"/>
              <x14:axisColor rgb="FF000000"/>
            </x14:dataBar>
          </x14:cfRule>
          <xm:sqref>Z498</xm:sqref>
        </x14:conditionalFormatting>
        <x14:conditionalFormatting xmlns:xm="http://schemas.microsoft.com/office/excel/2006/main">
          <x14:cfRule type="dataBar" id="{400E3B8F-075B-466B-AEC8-6AACEF39D34F}">
            <x14:dataBar minLength="0" maxLength="100" border="1" negativeBarBorderColorSameAsPositive="0">
              <x14:cfvo type="autoMin"/>
              <x14:cfvo type="autoMax"/>
              <x14:borderColor rgb="FF63C384"/>
              <x14:negativeFillColor rgb="FFFF0000"/>
              <x14:negativeBorderColor rgb="FFFF0000"/>
              <x14:axisColor rgb="FF000000"/>
            </x14:dataBar>
          </x14:cfRule>
          <xm:sqref>Z499</xm:sqref>
        </x14:conditionalFormatting>
        <x14:conditionalFormatting xmlns:xm="http://schemas.microsoft.com/office/excel/2006/main">
          <x14:cfRule type="dataBar" id="{8638DA49-0353-4EE6-A673-D43FAB83AD6B}">
            <x14:dataBar minLength="0" maxLength="100" border="1" negativeBarBorderColorSameAsPositive="0">
              <x14:cfvo type="autoMin"/>
              <x14:cfvo type="autoMax"/>
              <x14:borderColor rgb="FF63C384"/>
              <x14:negativeFillColor rgb="FFFF0000"/>
              <x14:negativeBorderColor rgb="FFFF0000"/>
              <x14:axisColor rgb="FF000000"/>
            </x14:dataBar>
          </x14:cfRule>
          <xm:sqref>Z499</xm:sqref>
        </x14:conditionalFormatting>
        <x14:conditionalFormatting xmlns:xm="http://schemas.microsoft.com/office/excel/2006/main">
          <x14:cfRule type="dataBar" id="{EFAE2477-891F-4908-8A59-47A235F2F963}">
            <x14:dataBar minLength="0" maxLength="100" border="1" negativeBarBorderColorSameAsPositive="0">
              <x14:cfvo type="autoMin"/>
              <x14:cfvo type="autoMax"/>
              <x14:borderColor rgb="FF63C384"/>
              <x14:negativeFillColor rgb="FFFF0000"/>
              <x14:negativeBorderColor rgb="FFFF0000"/>
              <x14:axisColor rgb="FF000000"/>
            </x14:dataBar>
          </x14:cfRule>
          <xm:sqref>Z497</xm:sqref>
        </x14:conditionalFormatting>
        <x14:conditionalFormatting xmlns:xm="http://schemas.microsoft.com/office/excel/2006/main">
          <x14:cfRule type="dataBar" id="{720A69AA-47D9-40ED-A399-403EE7995DC4}">
            <x14:dataBar minLength="0" maxLength="100" border="1" negativeBarBorderColorSameAsPositive="0">
              <x14:cfvo type="autoMin"/>
              <x14:cfvo type="autoMax"/>
              <x14:borderColor rgb="FF63C384"/>
              <x14:negativeFillColor rgb="FFFF0000"/>
              <x14:negativeBorderColor rgb="FFFF0000"/>
              <x14:axisColor rgb="FF000000"/>
            </x14:dataBar>
          </x14:cfRule>
          <xm:sqref>Z497</xm:sqref>
        </x14:conditionalFormatting>
        <x14:conditionalFormatting xmlns:xm="http://schemas.microsoft.com/office/excel/2006/main">
          <x14:cfRule type="dataBar" id="{BF0CBB1E-18B2-47E6-9E72-94B93864A194}">
            <x14:dataBar minLength="0" maxLength="100" border="1" negativeBarBorderColorSameAsPositive="0">
              <x14:cfvo type="autoMin"/>
              <x14:cfvo type="autoMax"/>
              <x14:borderColor rgb="FF63C384"/>
              <x14:negativeFillColor rgb="FFFF0000"/>
              <x14:negativeBorderColor rgb="FFFF0000"/>
              <x14:axisColor rgb="FF000000"/>
            </x14:dataBar>
          </x14:cfRule>
          <xm:sqref>Z497</xm:sqref>
        </x14:conditionalFormatting>
        <x14:conditionalFormatting xmlns:xm="http://schemas.microsoft.com/office/excel/2006/main">
          <x14:cfRule type="dataBar" id="{EF3507C5-730E-4068-B3D0-3E9F1A89BF22}">
            <x14:dataBar minLength="0" maxLength="100" border="1" negativeBarBorderColorSameAsPositive="0">
              <x14:cfvo type="autoMin"/>
              <x14:cfvo type="autoMax"/>
              <x14:borderColor rgb="FF63C384"/>
              <x14:negativeFillColor rgb="FFFF0000"/>
              <x14:negativeBorderColor rgb="FFFF0000"/>
              <x14:axisColor rgb="FF000000"/>
            </x14:dataBar>
          </x14:cfRule>
          <xm:sqref>Z497</xm:sqref>
        </x14:conditionalFormatting>
        <x14:conditionalFormatting xmlns:xm="http://schemas.microsoft.com/office/excel/2006/main">
          <x14:cfRule type="dataBar" id="{AAEEE601-1C19-4831-B445-ED3EF454D706}">
            <x14:dataBar minLength="0" maxLength="100" border="1" negativeBarBorderColorSameAsPositive="0">
              <x14:cfvo type="autoMin"/>
              <x14:cfvo type="autoMax"/>
              <x14:borderColor rgb="FF63C384"/>
              <x14:negativeFillColor rgb="FFFF0000"/>
              <x14:negativeBorderColor rgb="FFFF0000"/>
              <x14:axisColor rgb="FF000000"/>
            </x14:dataBar>
          </x14:cfRule>
          <xm:sqref>Z497</xm:sqref>
        </x14:conditionalFormatting>
        <x14:conditionalFormatting xmlns:xm="http://schemas.microsoft.com/office/excel/2006/main">
          <x14:cfRule type="dataBar" id="{BEF2EFBB-B5B1-4583-B009-31850D9D83BB}">
            <x14:dataBar minLength="0" maxLength="100" border="1" negativeBarBorderColorSameAsPositive="0">
              <x14:cfvo type="autoMin"/>
              <x14:cfvo type="autoMax"/>
              <x14:borderColor rgb="FF63C384"/>
              <x14:negativeFillColor rgb="FFFF0000"/>
              <x14:negativeBorderColor rgb="FFFF0000"/>
              <x14:axisColor rgb="FF000000"/>
            </x14:dataBar>
          </x14:cfRule>
          <xm:sqref>Z497</xm:sqref>
        </x14:conditionalFormatting>
        <x14:conditionalFormatting xmlns:xm="http://schemas.microsoft.com/office/excel/2006/main">
          <x14:cfRule type="dataBar" id="{8F9E921B-8D0C-4CAA-BDEF-AEBC28A1D45C}">
            <x14:dataBar minLength="0" maxLength="100" border="1" negativeBarBorderColorSameAsPositive="0">
              <x14:cfvo type="autoMin"/>
              <x14:cfvo type="autoMax"/>
              <x14:borderColor rgb="FF63C384"/>
              <x14:negativeFillColor rgb="FFFF0000"/>
              <x14:negativeBorderColor rgb="FFFF0000"/>
              <x14:axisColor rgb="FF000000"/>
            </x14:dataBar>
          </x14:cfRule>
          <xm:sqref>Z497</xm:sqref>
        </x14:conditionalFormatting>
        <x14:conditionalFormatting xmlns:xm="http://schemas.microsoft.com/office/excel/2006/main">
          <x14:cfRule type="dataBar" id="{7C26A29A-2EFE-4156-A98B-FDD711F809C5}">
            <x14:dataBar minLength="0" maxLength="100" border="1" negativeBarBorderColorSameAsPositive="0">
              <x14:cfvo type="autoMin"/>
              <x14:cfvo type="autoMax"/>
              <x14:borderColor rgb="FF63C384"/>
              <x14:negativeFillColor rgb="FFFF0000"/>
              <x14:negativeBorderColor rgb="FFFF0000"/>
              <x14:axisColor rgb="FF000000"/>
            </x14:dataBar>
          </x14:cfRule>
          <xm:sqref>Z497</xm:sqref>
        </x14:conditionalFormatting>
        <x14:conditionalFormatting xmlns:xm="http://schemas.microsoft.com/office/excel/2006/main">
          <x14:cfRule type="dataBar" id="{02ABC89A-84FB-42A2-B9A0-FB45CDB8845E}">
            <x14:dataBar minLength="0" maxLength="100" border="1" negativeBarBorderColorSameAsPositive="0">
              <x14:cfvo type="autoMin"/>
              <x14:cfvo type="autoMax"/>
              <x14:borderColor rgb="FF63C384"/>
              <x14:negativeFillColor rgb="FFFF0000"/>
              <x14:negativeBorderColor rgb="FFFF0000"/>
              <x14:axisColor rgb="FF000000"/>
            </x14:dataBar>
          </x14:cfRule>
          <xm:sqref>Z500</xm:sqref>
        </x14:conditionalFormatting>
        <x14:conditionalFormatting xmlns:xm="http://schemas.microsoft.com/office/excel/2006/main">
          <x14:cfRule type="dataBar" id="{C7B464F1-F6B6-42CB-809B-CE0376C5A225}">
            <x14:dataBar minLength="0" maxLength="100" border="1" negativeBarBorderColorSameAsPositive="0">
              <x14:cfvo type="autoMin"/>
              <x14:cfvo type="autoMax"/>
              <x14:borderColor rgb="FF63C384"/>
              <x14:negativeFillColor rgb="FFFF0000"/>
              <x14:negativeBorderColor rgb="FFFF0000"/>
              <x14:axisColor rgb="FF000000"/>
            </x14:dataBar>
          </x14:cfRule>
          <xm:sqref>Z500</xm:sqref>
        </x14:conditionalFormatting>
        <x14:conditionalFormatting xmlns:xm="http://schemas.microsoft.com/office/excel/2006/main">
          <x14:cfRule type="dataBar" id="{C834222C-72E2-4060-928A-4D36B682063E}">
            <x14:dataBar minLength="0" maxLength="100" border="1" negativeBarBorderColorSameAsPositive="0">
              <x14:cfvo type="autoMin"/>
              <x14:cfvo type="autoMax"/>
              <x14:borderColor rgb="FF63C384"/>
              <x14:negativeFillColor rgb="FFFF0000"/>
              <x14:negativeBorderColor rgb="FFFF0000"/>
              <x14:axisColor rgb="FF000000"/>
            </x14:dataBar>
          </x14:cfRule>
          <xm:sqref>Z501</xm:sqref>
        </x14:conditionalFormatting>
        <x14:conditionalFormatting xmlns:xm="http://schemas.microsoft.com/office/excel/2006/main">
          <x14:cfRule type="dataBar" id="{994A8164-6D39-4733-BABC-4B4CC332C1A0}">
            <x14:dataBar minLength="0" maxLength="100" border="1" negativeBarBorderColorSameAsPositive="0">
              <x14:cfvo type="autoMin"/>
              <x14:cfvo type="autoMax"/>
              <x14:borderColor rgb="FF63C384"/>
              <x14:negativeFillColor rgb="FFFF0000"/>
              <x14:negativeBorderColor rgb="FFFF0000"/>
              <x14:axisColor rgb="FF000000"/>
            </x14:dataBar>
          </x14:cfRule>
          <xm:sqref>Z501</xm:sqref>
        </x14:conditionalFormatting>
        <x14:conditionalFormatting xmlns:xm="http://schemas.microsoft.com/office/excel/2006/main">
          <x14:cfRule type="dataBar" id="{6E7D66FF-47DD-4EC5-8F55-C8DF43308097}">
            <x14:dataBar minLength="0" maxLength="100" border="1" negativeBarBorderColorSameAsPositive="0">
              <x14:cfvo type="autoMin"/>
              <x14:cfvo type="autoMax"/>
              <x14:borderColor rgb="FF63C384"/>
              <x14:negativeFillColor rgb="FFFF0000"/>
              <x14:negativeBorderColor rgb="FFFF0000"/>
              <x14:axisColor rgb="FF000000"/>
            </x14:dataBar>
          </x14:cfRule>
          <xm:sqref>Z502</xm:sqref>
        </x14:conditionalFormatting>
        <x14:conditionalFormatting xmlns:xm="http://schemas.microsoft.com/office/excel/2006/main">
          <x14:cfRule type="dataBar" id="{DF03242B-8F5D-411B-A747-2AB78112D695}">
            <x14:dataBar minLength="0" maxLength="100" border="1" negativeBarBorderColorSameAsPositive="0">
              <x14:cfvo type="autoMin"/>
              <x14:cfvo type="autoMax"/>
              <x14:borderColor rgb="FF63C384"/>
              <x14:negativeFillColor rgb="FFFF0000"/>
              <x14:negativeBorderColor rgb="FFFF0000"/>
              <x14:axisColor rgb="FF000000"/>
            </x14:dataBar>
          </x14:cfRule>
          <xm:sqref>Z502</xm:sqref>
        </x14:conditionalFormatting>
        <x14:conditionalFormatting xmlns:xm="http://schemas.microsoft.com/office/excel/2006/main">
          <x14:cfRule type="dataBar" id="{EC44A072-B6F8-4E0A-B305-EDDCE562BECB}">
            <x14:dataBar minLength="0" maxLength="100" border="1" negativeBarBorderColorSameAsPositive="0">
              <x14:cfvo type="autoMin"/>
              <x14:cfvo type="autoMax"/>
              <x14:borderColor rgb="FF63C384"/>
              <x14:negativeFillColor rgb="FFFF0000"/>
              <x14:negativeBorderColor rgb="FFFF0000"/>
              <x14:axisColor rgb="FF000000"/>
            </x14:dataBar>
          </x14:cfRule>
          <xm:sqref>Z471</xm:sqref>
        </x14:conditionalFormatting>
        <x14:conditionalFormatting xmlns:xm="http://schemas.microsoft.com/office/excel/2006/main">
          <x14:cfRule type="dataBar" id="{D1D200DE-53E2-45A2-8D05-F15AA76220C1}">
            <x14:dataBar minLength="0" maxLength="100" border="1" negativeBarBorderColorSameAsPositive="0">
              <x14:cfvo type="autoMin"/>
              <x14:cfvo type="autoMax"/>
              <x14:borderColor rgb="FF63C384"/>
              <x14:negativeFillColor rgb="FFFF0000"/>
              <x14:negativeBorderColor rgb="FFFF0000"/>
              <x14:axisColor rgb="FF000000"/>
            </x14:dataBar>
          </x14:cfRule>
          <xm:sqref>Z471</xm:sqref>
        </x14:conditionalFormatting>
        <x14:conditionalFormatting xmlns:xm="http://schemas.microsoft.com/office/excel/2006/main">
          <x14:cfRule type="dataBar" id="{EB2F0995-813D-40C7-B604-5A748AA3E085}">
            <x14:dataBar minLength="0" maxLength="100" border="1" negativeBarBorderColorSameAsPositive="0">
              <x14:cfvo type="autoMin"/>
              <x14:cfvo type="autoMax"/>
              <x14:borderColor rgb="FF63C384"/>
              <x14:negativeFillColor rgb="FFFF0000"/>
              <x14:negativeBorderColor rgb="FFFF0000"/>
              <x14:axisColor rgb="FF000000"/>
            </x14:dataBar>
          </x14:cfRule>
          <xm:sqref>Z473</xm:sqref>
        </x14:conditionalFormatting>
        <x14:conditionalFormatting xmlns:xm="http://schemas.microsoft.com/office/excel/2006/main">
          <x14:cfRule type="dataBar" id="{EBE6166F-43C9-4DCE-9EC6-039B67C507A8}">
            <x14:dataBar minLength="0" maxLength="100" border="1" negativeBarBorderColorSameAsPositive="0">
              <x14:cfvo type="autoMin"/>
              <x14:cfvo type="autoMax"/>
              <x14:borderColor rgb="FF63C384"/>
              <x14:negativeFillColor rgb="FFFF0000"/>
              <x14:negativeBorderColor rgb="FFFF0000"/>
              <x14:axisColor rgb="FF000000"/>
            </x14:dataBar>
          </x14:cfRule>
          <xm:sqref>Z473</xm:sqref>
        </x14:conditionalFormatting>
        <x14:conditionalFormatting xmlns:xm="http://schemas.microsoft.com/office/excel/2006/main">
          <x14:cfRule type="dataBar" id="{DD0590C8-B694-4FA4-9BC5-1ECE57DB4FBD}">
            <x14:dataBar minLength="0" maxLength="100" border="1" negativeBarBorderColorSameAsPositive="0">
              <x14:cfvo type="autoMin"/>
              <x14:cfvo type="autoMax"/>
              <x14:borderColor rgb="FF63C384"/>
              <x14:negativeFillColor rgb="FFFF0000"/>
              <x14:negativeBorderColor rgb="FFFF0000"/>
              <x14:axisColor rgb="FF000000"/>
            </x14:dataBar>
          </x14:cfRule>
          <xm:sqref>Z504</xm:sqref>
        </x14:conditionalFormatting>
        <x14:conditionalFormatting xmlns:xm="http://schemas.microsoft.com/office/excel/2006/main">
          <x14:cfRule type="dataBar" id="{08DD7363-450D-4FDF-A91F-515801F5627A}">
            <x14:dataBar minLength="0" maxLength="100" border="1" negativeBarBorderColorSameAsPositive="0">
              <x14:cfvo type="autoMin"/>
              <x14:cfvo type="autoMax"/>
              <x14:borderColor rgb="FF63C384"/>
              <x14:negativeFillColor rgb="FFFF0000"/>
              <x14:negativeBorderColor rgb="FFFF0000"/>
              <x14:axisColor rgb="FF000000"/>
            </x14:dataBar>
          </x14:cfRule>
          <xm:sqref>Z504</xm:sqref>
        </x14:conditionalFormatting>
        <x14:conditionalFormatting xmlns:xm="http://schemas.microsoft.com/office/excel/2006/main">
          <x14:cfRule type="dataBar" id="{B03C54DC-E083-4098-84DE-68603986CD0D}">
            <x14:dataBar minLength="0" maxLength="100" border="1" negativeBarBorderColorSameAsPositive="0">
              <x14:cfvo type="autoMin"/>
              <x14:cfvo type="autoMax"/>
              <x14:borderColor rgb="FF63C384"/>
              <x14:negativeFillColor rgb="FFFF0000"/>
              <x14:negativeBorderColor rgb="FFFF0000"/>
              <x14:axisColor rgb="FF000000"/>
            </x14:dataBar>
          </x14:cfRule>
          <xm:sqref>Z506</xm:sqref>
        </x14:conditionalFormatting>
        <x14:conditionalFormatting xmlns:xm="http://schemas.microsoft.com/office/excel/2006/main">
          <x14:cfRule type="dataBar" id="{AC012C27-9B8D-4EF8-A6F3-9E945B14F3C0}">
            <x14:dataBar minLength="0" maxLength="100" border="1" negativeBarBorderColorSameAsPositive="0">
              <x14:cfvo type="autoMin"/>
              <x14:cfvo type="autoMax"/>
              <x14:borderColor rgb="FF63C384"/>
              <x14:negativeFillColor rgb="FFFF0000"/>
              <x14:negativeBorderColor rgb="FFFF0000"/>
              <x14:axisColor rgb="FF000000"/>
            </x14:dataBar>
          </x14:cfRule>
          <xm:sqref>Z505</xm:sqref>
        </x14:conditionalFormatting>
        <x14:conditionalFormatting xmlns:xm="http://schemas.microsoft.com/office/excel/2006/main">
          <x14:cfRule type="dataBar" id="{37EEAADB-3BCF-49D6-AC7F-0264B9CF1F63}">
            <x14:dataBar minLength="0" maxLength="100" border="1" negativeBarBorderColorSameAsPositive="0">
              <x14:cfvo type="autoMin"/>
              <x14:cfvo type="autoMax"/>
              <x14:borderColor rgb="FF63C384"/>
              <x14:negativeFillColor rgb="FFFF0000"/>
              <x14:negativeBorderColor rgb="FFFF0000"/>
              <x14:axisColor rgb="FF000000"/>
            </x14:dataBar>
          </x14:cfRule>
          <xm:sqref>Z505</xm:sqref>
        </x14:conditionalFormatting>
        <x14:conditionalFormatting xmlns:xm="http://schemas.microsoft.com/office/excel/2006/main">
          <x14:cfRule type="dataBar" id="{A606675E-0FB6-4CE4-8CD2-F6BCEF172286}">
            <x14:dataBar minLength="0" maxLength="100" border="1" negativeBarBorderColorSameAsPositive="0">
              <x14:cfvo type="autoMin"/>
              <x14:cfvo type="autoMax"/>
              <x14:borderColor rgb="FF63C384"/>
              <x14:negativeFillColor rgb="FFFF0000"/>
              <x14:negativeBorderColor rgb="FFFF0000"/>
              <x14:axisColor rgb="FF000000"/>
            </x14:dataBar>
          </x14:cfRule>
          <xm:sqref>Z505</xm:sqref>
        </x14:conditionalFormatting>
        <x14:conditionalFormatting xmlns:xm="http://schemas.microsoft.com/office/excel/2006/main">
          <x14:cfRule type="dataBar" id="{9FFE1F3C-4EC7-4268-9E28-E610F65E7E6B}">
            <x14:dataBar minLength="0" maxLength="100" border="1" negativeBarBorderColorSameAsPositive="0">
              <x14:cfvo type="autoMin"/>
              <x14:cfvo type="autoMax"/>
              <x14:borderColor rgb="FF63C384"/>
              <x14:negativeFillColor rgb="FFFF0000"/>
              <x14:negativeBorderColor rgb="FFFF0000"/>
              <x14:axisColor rgb="FF000000"/>
            </x14:dataBar>
          </x14:cfRule>
          <xm:sqref>Z505</xm:sqref>
        </x14:conditionalFormatting>
        <x14:conditionalFormatting xmlns:xm="http://schemas.microsoft.com/office/excel/2006/main">
          <x14:cfRule type="dataBar" id="{3F50A807-CC93-4EDE-A368-6535E6410975}">
            <x14:dataBar minLength="0" maxLength="100" border="1" negativeBarBorderColorSameAsPositive="0">
              <x14:cfvo type="autoMin"/>
              <x14:cfvo type="autoMax"/>
              <x14:borderColor rgb="FF63C384"/>
              <x14:negativeFillColor rgb="FFFF0000"/>
              <x14:negativeBorderColor rgb="FFFF0000"/>
              <x14:axisColor rgb="FF000000"/>
            </x14:dataBar>
          </x14:cfRule>
          <xm:sqref>Z505</xm:sqref>
        </x14:conditionalFormatting>
        <x14:conditionalFormatting xmlns:xm="http://schemas.microsoft.com/office/excel/2006/main">
          <x14:cfRule type="dataBar" id="{CD570902-4A2B-4E61-B7D5-0201D6A1D02F}">
            <x14:dataBar minLength="0" maxLength="100" border="1" negativeBarBorderColorSameAsPositive="0">
              <x14:cfvo type="autoMin"/>
              <x14:cfvo type="autoMax"/>
              <x14:borderColor rgb="FF63C384"/>
              <x14:negativeFillColor rgb="FFFF0000"/>
              <x14:negativeBorderColor rgb="FFFF0000"/>
              <x14:axisColor rgb="FF000000"/>
            </x14:dataBar>
          </x14:cfRule>
          <xm:sqref>Z505</xm:sqref>
        </x14:conditionalFormatting>
        <x14:conditionalFormatting xmlns:xm="http://schemas.microsoft.com/office/excel/2006/main">
          <x14:cfRule type="dataBar" id="{898BD4D2-77EC-4265-B1F0-FAC0A0A39E44}">
            <x14:dataBar minLength="0" maxLength="100" border="1" negativeBarBorderColorSameAsPositive="0">
              <x14:cfvo type="autoMin"/>
              <x14:cfvo type="autoMax"/>
              <x14:borderColor rgb="FF63C384"/>
              <x14:negativeFillColor rgb="FFFF0000"/>
              <x14:negativeBorderColor rgb="FFFF0000"/>
              <x14:axisColor rgb="FF000000"/>
            </x14:dataBar>
          </x14:cfRule>
          <xm:sqref>Z505</xm:sqref>
        </x14:conditionalFormatting>
        <x14:conditionalFormatting xmlns:xm="http://schemas.microsoft.com/office/excel/2006/main">
          <x14:cfRule type="dataBar" id="{84CD532B-B103-4457-8EDB-B3238A46E4B5}">
            <x14:dataBar minLength="0" maxLength="100" border="1" negativeBarBorderColorSameAsPositive="0">
              <x14:cfvo type="autoMin"/>
              <x14:cfvo type="autoMax"/>
              <x14:borderColor rgb="FF63C384"/>
              <x14:negativeFillColor rgb="FFFF0000"/>
              <x14:negativeBorderColor rgb="FFFF0000"/>
              <x14:axisColor rgb="FF000000"/>
            </x14:dataBar>
          </x14:cfRule>
          <xm:sqref>Z505</xm:sqref>
        </x14:conditionalFormatting>
        <x14:conditionalFormatting xmlns:xm="http://schemas.microsoft.com/office/excel/2006/main">
          <x14:cfRule type="dataBar" id="{A21519FD-450A-410A-A8A7-6895BA5CD231}">
            <x14:dataBar minLength="0" maxLength="100" border="1" negativeBarBorderColorSameAsPositive="0">
              <x14:cfvo type="autoMin"/>
              <x14:cfvo type="autoMax"/>
              <x14:borderColor rgb="FF63C384"/>
              <x14:negativeFillColor rgb="FFFF0000"/>
              <x14:negativeBorderColor rgb="FFFF0000"/>
              <x14:axisColor rgb="FF000000"/>
            </x14:dataBar>
          </x14:cfRule>
          <xm:sqref>Z507</xm:sqref>
        </x14:conditionalFormatting>
        <x14:conditionalFormatting xmlns:xm="http://schemas.microsoft.com/office/excel/2006/main">
          <x14:cfRule type="dataBar" id="{6EC694C8-06BB-491D-8B30-36714032F32E}">
            <x14:dataBar minLength="0" maxLength="100" border="1" negativeBarBorderColorSameAsPositive="0">
              <x14:cfvo type="autoMin"/>
              <x14:cfvo type="autoMax"/>
              <x14:borderColor rgb="FF63C384"/>
              <x14:negativeFillColor rgb="FFFF0000"/>
              <x14:negativeBorderColor rgb="FFFF0000"/>
              <x14:axisColor rgb="FF000000"/>
            </x14:dataBar>
          </x14:cfRule>
          <xm:sqref>Z508</xm:sqref>
        </x14:conditionalFormatting>
        <x14:conditionalFormatting xmlns:xm="http://schemas.microsoft.com/office/excel/2006/main">
          <x14:cfRule type="dataBar" id="{D15E9875-2A72-4F1F-A313-1747DAB87542}">
            <x14:dataBar minLength="0" maxLength="100" border="1" negativeBarBorderColorSameAsPositive="0">
              <x14:cfvo type="autoMin"/>
              <x14:cfvo type="autoMax"/>
              <x14:borderColor rgb="FF63C384"/>
              <x14:negativeFillColor rgb="FFFF0000"/>
              <x14:negativeBorderColor rgb="FFFF0000"/>
              <x14:axisColor rgb="FF000000"/>
            </x14:dataBar>
          </x14:cfRule>
          <xm:sqref>Z508</xm:sqref>
        </x14:conditionalFormatting>
        <x14:conditionalFormatting xmlns:xm="http://schemas.microsoft.com/office/excel/2006/main">
          <x14:cfRule type="dataBar" id="{5618C451-70EA-44BC-877F-7CF4915C9691}">
            <x14:dataBar minLength="0" maxLength="100" border="1" negativeBarBorderColorSameAsPositive="0">
              <x14:cfvo type="autoMin"/>
              <x14:cfvo type="autoMax"/>
              <x14:borderColor rgb="FF63C384"/>
              <x14:negativeFillColor rgb="FFFF0000"/>
              <x14:negativeBorderColor rgb="FFFF0000"/>
              <x14:axisColor rgb="FF000000"/>
            </x14:dataBar>
          </x14:cfRule>
          <xm:sqref>Z510</xm:sqref>
        </x14:conditionalFormatting>
        <x14:conditionalFormatting xmlns:xm="http://schemas.microsoft.com/office/excel/2006/main">
          <x14:cfRule type="dataBar" id="{6C36EAE1-DEFC-4935-819C-03D01C554B1E}">
            <x14:dataBar minLength="0" maxLength="100" border="1" negativeBarBorderColorSameAsPositive="0">
              <x14:cfvo type="autoMin"/>
              <x14:cfvo type="autoMax"/>
              <x14:borderColor rgb="FF63C384"/>
              <x14:negativeFillColor rgb="FFFF0000"/>
              <x14:negativeBorderColor rgb="FFFF0000"/>
              <x14:axisColor rgb="FF000000"/>
            </x14:dataBar>
          </x14:cfRule>
          <xm:sqref>Z511</xm:sqref>
        </x14:conditionalFormatting>
        <x14:conditionalFormatting xmlns:xm="http://schemas.microsoft.com/office/excel/2006/main">
          <x14:cfRule type="dataBar" id="{ED71AA62-0870-4592-801C-5B67164FB392}">
            <x14:dataBar minLength="0" maxLength="100" border="1" negativeBarBorderColorSameAsPositive="0">
              <x14:cfvo type="autoMin"/>
              <x14:cfvo type="autoMax"/>
              <x14:borderColor rgb="FF63C384"/>
              <x14:negativeFillColor rgb="FFFF0000"/>
              <x14:negativeBorderColor rgb="FFFF0000"/>
              <x14:axisColor rgb="FF000000"/>
            </x14:dataBar>
          </x14:cfRule>
          <xm:sqref>Z511</xm:sqref>
        </x14:conditionalFormatting>
        <x14:conditionalFormatting xmlns:xm="http://schemas.microsoft.com/office/excel/2006/main">
          <x14:cfRule type="dataBar" id="{04E1054B-7A2E-400C-809C-33C28FD5113A}">
            <x14:dataBar minLength="0" maxLength="100" border="1" negativeBarBorderColorSameAsPositive="0">
              <x14:cfvo type="autoMin"/>
              <x14:cfvo type="autoMax"/>
              <x14:borderColor rgb="FF63C384"/>
              <x14:negativeFillColor rgb="FFFF0000"/>
              <x14:negativeBorderColor rgb="FFFF0000"/>
              <x14:axisColor rgb="FF000000"/>
            </x14:dataBar>
          </x14:cfRule>
          <xm:sqref>Z512</xm:sqref>
        </x14:conditionalFormatting>
        <x14:conditionalFormatting xmlns:xm="http://schemas.microsoft.com/office/excel/2006/main">
          <x14:cfRule type="dataBar" id="{4197B82A-E1B1-4EF8-B98D-D00B19CED24A}">
            <x14:dataBar minLength="0" maxLength="100" border="1" negativeBarBorderColorSameAsPositive="0">
              <x14:cfvo type="autoMin"/>
              <x14:cfvo type="autoMax"/>
              <x14:borderColor rgb="FF63C384"/>
              <x14:negativeFillColor rgb="FFFF0000"/>
              <x14:negativeBorderColor rgb="FFFF0000"/>
              <x14:axisColor rgb="FF000000"/>
            </x14:dataBar>
          </x14:cfRule>
          <xm:sqref>Z512</xm:sqref>
        </x14:conditionalFormatting>
        <x14:conditionalFormatting xmlns:xm="http://schemas.microsoft.com/office/excel/2006/main">
          <x14:cfRule type="dataBar" id="{CA468F71-9939-43A9-9A92-0B95826C1753}">
            <x14:dataBar minLength="0" maxLength="100" border="1" negativeBarBorderColorSameAsPositive="0">
              <x14:cfvo type="autoMin"/>
              <x14:cfvo type="autoMax"/>
              <x14:borderColor rgb="FF63C384"/>
              <x14:negativeFillColor rgb="FFFF0000"/>
              <x14:negativeBorderColor rgb="FFFF0000"/>
              <x14:axisColor rgb="FF000000"/>
            </x14:dataBar>
          </x14:cfRule>
          <xm:sqref>Z512</xm:sqref>
        </x14:conditionalFormatting>
        <x14:conditionalFormatting xmlns:xm="http://schemas.microsoft.com/office/excel/2006/main">
          <x14:cfRule type="dataBar" id="{4295A106-3047-45B7-BFE8-FCD29F4ABA6E}">
            <x14:dataBar minLength="0" maxLength="100" border="1" negativeBarBorderColorSameAsPositive="0">
              <x14:cfvo type="autoMin"/>
              <x14:cfvo type="autoMax"/>
              <x14:borderColor rgb="FF63C384"/>
              <x14:negativeFillColor rgb="FFFF0000"/>
              <x14:negativeBorderColor rgb="FFFF0000"/>
              <x14:axisColor rgb="FF000000"/>
            </x14:dataBar>
          </x14:cfRule>
          <xm:sqref>Z512</xm:sqref>
        </x14:conditionalFormatting>
        <x14:conditionalFormatting xmlns:xm="http://schemas.microsoft.com/office/excel/2006/main">
          <x14:cfRule type="dataBar" id="{FFF817FD-971A-46E4-B82C-A557E0BF6CB2}">
            <x14:dataBar minLength="0" maxLength="100" border="1" negativeBarBorderColorSameAsPositive="0">
              <x14:cfvo type="autoMin"/>
              <x14:cfvo type="autoMax"/>
              <x14:borderColor rgb="FF63C384"/>
              <x14:negativeFillColor rgb="FFFF0000"/>
              <x14:negativeBorderColor rgb="FFFF0000"/>
              <x14:axisColor rgb="FF000000"/>
            </x14:dataBar>
          </x14:cfRule>
          <xm:sqref>Z512</xm:sqref>
        </x14:conditionalFormatting>
        <x14:conditionalFormatting xmlns:xm="http://schemas.microsoft.com/office/excel/2006/main">
          <x14:cfRule type="dataBar" id="{C7EFFC60-55CD-42EB-9F10-583050C4C435}">
            <x14:dataBar minLength="0" maxLength="100" border="1" negativeBarBorderColorSameAsPositive="0">
              <x14:cfvo type="autoMin"/>
              <x14:cfvo type="autoMax"/>
              <x14:borderColor rgb="FF63C384"/>
              <x14:negativeFillColor rgb="FFFF0000"/>
              <x14:negativeBorderColor rgb="FFFF0000"/>
              <x14:axisColor rgb="FF000000"/>
            </x14:dataBar>
          </x14:cfRule>
          <xm:sqref>Z512</xm:sqref>
        </x14:conditionalFormatting>
        <x14:conditionalFormatting xmlns:xm="http://schemas.microsoft.com/office/excel/2006/main">
          <x14:cfRule type="dataBar" id="{6A7EA94E-1D55-4DC7-B6B0-27642E5F4392}">
            <x14:dataBar minLength="0" maxLength="100" border="1" negativeBarBorderColorSameAsPositive="0">
              <x14:cfvo type="autoMin"/>
              <x14:cfvo type="autoMax"/>
              <x14:borderColor rgb="FF63C384"/>
              <x14:negativeFillColor rgb="FFFF0000"/>
              <x14:negativeBorderColor rgb="FFFF0000"/>
              <x14:axisColor rgb="FF000000"/>
            </x14:dataBar>
          </x14:cfRule>
          <xm:sqref>Z512</xm:sqref>
        </x14:conditionalFormatting>
        <x14:conditionalFormatting xmlns:xm="http://schemas.microsoft.com/office/excel/2006/main">
          <x14:cfRule type="dataBar" id="{6A4F8923-005E-44D8-89B1-E03AC9541E8A}">
            <x14:dataBar minLength="0" maxLength="100" border="1" negativeBarBorderColorSameAsPositive="0">
              <x14:cfvo type="autoMin"/>
              <x14:cfvo type="autoMax"/>
              <x14:borderColor rgb="FF63C384"/>
              <x14:negativeFillColor rgb="FFFF0000"/>
              <x14:negativeBorderColor rgb="FFFF0000"/>
              <x14:axisColor rgb="FF000000"/>
            </x14:dataBar>
          </x14:cfRule>
          <xm:sqref>Z512</xm:sqref>
        </x14:conditionalFormatting>
        <x14:conditionalFormatting xmlns:xm="http://schemas.microsoft.com/office/excel/2006/main">
          <x14:cfRule type="dataBar" id="{1B3F76D7-ADC7-4662-BDBB-472A92CB8197}">
            <x14:dataBar minLength="0" maxLength="100" border="1" negativeBarBorderColorSameAsPositive="0">
              <x14:cfvo type="autoMin"/>
              <x14:cfvo type="autoMax"/>
              <x14:borderColor rgb="FF63C384"/>
              <x14:negativeFillColor rgb="FFFF0000"/>
              <x14:negativeBorderColor rgb="FFFF0000"/>
              <x14:axisColor rgb="FF000000"/>
            </x14:dataBar>
          </x14:cfRule>
          <xm:sqref>Z513</xm:sqref>
        </x14:conditionalFormatting>
        <x14:conditionalFormatting xmlns:xm="http://schemas.microsoft.com/office/excel/2006/main">
          <x14:cfRule type="dataBar" id="{5310C7D5-D7E3-4F0A-9A90-7829B8346F93}">
            <x14:dataBar minLength="0" maxLength="100" border="1" negativeBarBorderColorSameAsPositive="0">
              <x14:cfvo type="autoMin"/>
              <x14:cfvo type="autoMax"/>
              <x14:borderColor rgb="FF63C384"/>
              <x14:negativeFillColor rgb="FFFF0000"/>
              <x14:negativeBorderColor rgb="FFFF0000"/>
              <x14:axisColor rgb="FF000000"/>
            </x14:dataBar>
          </x14:cfRule>
          <xm:sqref>Z513</xm:sqref>
        </x14:conditionalFormatting>
        <x14:conditionalFormatting xmlns:xm="http://schemas.microsoft.com/office/excel/2006/main">
          <x14:cfRule type="dataBar" id="{6E03F991-99DA-470B-9A0B-165B153E0457}">
            <x14:dataBar minLength="0" maxLength="100" border="1" negativeBarBorderColorSameAsPositive="0">
              <x14:cfvo type="autoMin"/>
              <x14:cfvo type="autoMax"/>
              <x14:borderColor rgb="FF63C384"/>
              <x14:negativeFillColor rgb="FFFF0000"/>
              <x14:negativeBorderColor rgb="FFFF0000"/>
              <x14:axisColor rgb="FF000000"/>
            </x14:dataBar>
          </x14:cfRule>
          <xm:sqref>Z514</xm:sqref>
        </x14:conditionalFormatting>
        <x14:conditionalFormatting xmlns:xm="http://schemas.microsoft.com/office/excel/2006/main">
          <x14:cfRule type="dataBar" id="{59B7B37D-FA13-452C-A178-74C0AABD05D3}">
            <x14:dataBar minLength="0" maxLength="100" border="1" negativeBarBorderColorSameAsPositive="0">
              <x14:cfvo type="autoMin"/>
              <x14:cfvo type="autoMax"/>
              <x14:borderColor rgb="FF63C384"/>
              <x14:negativeFillColor rgb="FFFF0000"/>
              <x14:negativeBorderColor rgb="FFFF0000"/>
              <x14:axisColor rgb="FF000000"/>
            </x14:dataBar>
          </x14:cfRule>
          <xm:sqref>Z514</xm:sqref>
        </x14:conditionalFormatting>
        <x14:conditionalFormatting xmlns:xm="http://schemas.microsoft.com/office/excel/2006/main">
          <x14:cfRule type="dataBar" id="{93E494F8-9323-44A6-84B0-4F19895A6563}">
            <x14:dataBar minLength="0" maxLength="100" border="1" negativeBarBorderColorSameAsPositive="0">
              <x14:cfvo type="autoMin"/>
              <x14:cfvo type="autoMax"/>
              <x14:borderColor rgb="FF63C384"/>
              <x14:negativeFillColor rgb="FFFF0000"/>
              <x14:negativeBorderColor rgb="FFFF0000"/>
              <x14:axisColor rgb="FF000000"/>
            </x14:dataBar>
          </x14:cfRule>
          <xm:sqref>Z515</xm:sqref>
        </x14:conditionalFormatting>
        <x14:conditionalFormatting xmlns:xm="http://schemas.microsoft.com/office/excel/2006/main">
          <x14:cfRule type="dataBar" id="{0BF724A5-DDCF-42F5-B15F-9E246A46F8B7}">
            <x14:dataBar minLength="0" maxLength="100" border="1" negativeBarBorderColorSameAsPositive="0">
              <x14:cfvo type="autoMin"/>
              <x14:cfvo type="autoMax"/>
              <x14:borderColor rgb="FF63C384"/>
              <x14:negativeFillColor rgb="FFFF0000"/>
              <x14:negativeBorderColor rgb="FFFF0000"/>
              <x14:axisColor rgb="FF000000"/>
            </x14:dataBar>
          </x14:cfRule>
          <xm:sqref>Z515</xm:sqref>
        </x14:conditionalFormatting>
        <x14:conditionalFormatting xmlns:xm="http://schemas.microsoft.com/office/excel/2006/main">
          <x14:cfRule type="dataBar" id="{0271E1C4-BDE2-447D-8902-CD0B4C709B9C}">
            <x14:dataBar minLength="0" maxLength="100" border="1" negativeBarBorderColorSameAsPositive="0">
              <x14:cfvo type="autoMin"/>
              <x14:cfvo type="autoMax"/>
              <x14:borderColor rgb="FF63C384"/>
              <x14:negativeFillColor rgb="FFFF0000"/>
              <x14:negativeBorderColor rgb="FFFF0000"/>
              <x14:axisColor rgb="FF000000"/>
            </x14:dataBar>
          </x14:cfRule>
          <xm:sqref>Z515</xm:sqref>
        </x14:conditionalFormatting>
        <x14:conditionalFormatting xmlns:xm="http://schemas.microsoft.com/office/excel/2006/main">
          <x14:cfRule type="dataBar" id="{F1C7FE31-6F57-4F95-B77B-B8B4AFDA2A64}">
            <x14:dataBar minLength="0" maxLength="100" border="1" negativeBarBorderColorSameAsPositive="0">
              <x14:cfvo type="autoMin"/>
              <x14:cfvo type="autoMax"/>
              <x14:borderColor rgb="FF63C384"/>
              <x14:negativeFillColor rgb="FFFF0000"/>
              <x14:negativeBorderColor rgb="FFFF0000"/>
              <x14:axisColor rgb="FF000000"/>
            </x14:dataBar>
          </x14:cfRule>
          <xm:sqref>Z515</xm:sqref>
        </x14:conditionalFormatting>
        <x14:conditionalFormatting xmlns:xm="http://schemas.microsoft.com/office/excel/2006/main">
          <x14:cfRule type="dataBar" id="{E4F46E1B-BFCB-4EBE-A4F4-AD9EB459B31B}">
            <x14:dataBar minLength="0" maxLength="100" border="1" negativeBarBorderColorSameAsPositive="0">
              <x14:cfvo type="autoMin"/>
              <x14:cfvo type="autoMax"/>
              <x14:borderColor rgb="FF63C384"/>
              <x14:negativeFillColor rgb="FFFF0000"/>
              <x14:negativeBorderColor rgb="FFFF0000"/>
              <x14:axisColor rgb="FF000000"/>
            </x14:dataBar>
          </x14:cfRule>
          <xm:sqref>Z516</xm:sqref>
        </x14:conditionalFormatting>
        <x14:conditionalFormatting xmlns:xm="http://schemas.microsoft.com/office/excel/2006/main">
          <x14:cfRule type="dataBar" id="{2BE24807-07AF-4495-90E9-6248E371ED1B}">
            <x14:dataBar minLength="0" maxLength="100" border="1" negativeBarBorderColorSameAsPositive="0">
              <x14:cfvo type="autoMin"/>
              <x14:cfvo type="autoMax"/>
              <x14:borderColor rgb="FF63C384"/>
              <x14:negativeFillColor rgb="FFFF0000"/>
              <x14:negativeBorderColor rgb="FFFF0000"/>
              <x14:axisColor rgb="FF000000"/>
            </x14:dataBar>
          </x14:cfRule>
          <xm:sqref>Z516</xm:sqref>
        </x14:conditionalFormatting>
        <x14:conditionalFormatting xmlns:xm="http://schemas.microsoft.com/office/excel/2006/main">
          <x14:cfRule type="dataBar" id="{FC35C0B1-EA9D-4B41-99C9-9DD9DD451FD1}">
            <x14:dataBar minLength="0" maxLength="100" border="1" negativeBarBorderColorSameAsPositive="0">
              <x14:cfvo type="autoMin"/>
              <x14:cfvo type="autoMax"/>
              <x14:borderColor rgb="FF63C384"/>
              <x14:negativeFillColor rgb="FFFF0000"/>
              <x14:negativeBorderColor rgb="FFFF0000"/>
              <x14:axisColor rgb="FF000000"/>
            </x14:dataBar>
          </x14:cfRule>
          <xm:sqref>Z516</xm:sqref>
        </x14:conditionalFormatting>
        <x14:conditionalFormatting xmlns:xm="http://schemas.microsoft.com/office/excel/2006/main">
          <x14:cfRule type="dataBar" id="{25AA6E52-A09B-4DD9-8C49-292565B4BF20}">
            <x14:dataBar minLength="0" maxLength="100" border="1" negativeBarBorderColorSameAsPositive="0">
              <x14:cfvo type="autoMin"/>
              <x14:cfvo type="autoMax"/>
              <x14:borderColor rgb="FF63C384"/>
              <x14:negativeFillColor rgb="FFFF0000"/>
              <x14:negativeBorderColor rgb="FFFF0000"/>
              <x14:axisColor rgb="FF000000"/>
            </x14:dataBar>
          </x14:cfRule>
          <xm:sqref>Z517</xm:sqref>
        </x14:conditionalFormatting>
        <x14:conditionalFormatting xmlns:xm="http://schemas.microsoft.com/office/excel/2006/main">
          <x14:cfRule type="dataBar" id="{C4FC492B-EFDA-4DA0-92E0-1829B1949E37}">
            <x14:dataBar minLength="0" maxLength="100" border="1" negativeBarBorderColorSameAsPositive="0">
              <x14:cfvo type="autoMin"/>
              <x14:cfvo type="autoMax"/>
              <x14:borderColor rgb="FF63C384"/>
              <x14:negativeFillColor rgb="FFFF0000"/>
              <x14:negativeBorderColor rgb="FFFF0000"/>
              <x14:axisColor rgb="FF000000"/>
            </x14:dataBar>
          </x14:cfRule>
          <xm:sqref>Z517</xm:sqref>
        </x14:conditionalFormatting>
        <x14:conditionalFormatting xmlns:xm="http://schemas.microsoft.com/office/excel/2006/main">
          <x14:cfRule type="dataBar" id="{8BF20AD0-CD4A-4DC6-8877-DF3731D92877}">
            <x14:dataBar minLength="0" maxLength="100" border="1" negativeBarBorderColorSameAsPositive="0">
              <x14:cfvo type="autoMin"/>
              <x14:cfvo type="autoMax"/>
              <x14:borderColor rgb="FF63C384"/>
              <x14:negativeFillColor rgb="FFFF0000"/>
              <x14:negativeBorderColor rgb="FFFF0000"/>
              <x14:axisColor rgb="FF000000"/>
            </x14:dataBar>
          </x14:cfRule>
          <xm:sqref>Z519</xm:sqref>
        </x14:conditionalFormatting>
        <x14:conditionalFormatting xmlns:xm="http://schemas.microsoft.com/office/excel/2006/main">
          <x14:cfRule type="dataBar" id="{5CE667D9-BFEC-4BBF-834E-F02D015BC32F}">
            <x14:dataBar minLength="0" maxLength="100" border="1" negativeBarBorderColorSameAsPositive="0">
              <x14:cfvo type="autoMin"/>
              <x14:cfvo type="autoMax"/>
              <x14:borderColor rgb="FF63C384"/>
              <x14:negativeFillColor rgb="FFFF0000"/>
              <x14:negativeBorderColor rgb="FFFF0000"/>
              <x14:axisColor rgb="FF000000"/>
            </x14:dataBar>
          </x14:cfRule>
          <xm:sqref>Z519</xm:sqref>
        </x14:conditionalFormatting>
        <x14:conditionalFormatting xmlns:xm="http://schemas.microsoft.com/office/excel/2006/main">
          <x14:cfRule type="dataBar" id="{CCA463DA-9EA9-4A54-9721-0F94A44FD4FD}">
            <x14:dataBar minLength="0" maxLength="100" border="1" negativeBarBorderColorSameAsPositive="0">
              <x14:cfvo type="autoMin"/>
              <x14:cfvo type="autoMax"/>
              <x14:borderColor rgb="FF63C384"/>
              <x14:negativeFillColor rgb="FFFF0000"/>
              <x14:negativeBorderColor rgb="FFFF0000"/>
              <x14:axisColor rgb="FF000000"/>
            </x14:dataBar>
          </x14:cfRule>
          <xm:sqref>Z520</xm:sqref>
        </x14:conditionalFormatting>
        <x14:conditionalFormatting xmlns:xm="http://schemas.microsoft.com/office/excel/2006/main">
          <x14:cfRule type="dataBar" id="{E29FBE98-F42F-432F-A3F4-2B16D9F62E68}">
            <x14:dataBar minLength="0" maxLength="100" border="1" negativeBarBorderColorSameAsPositive="0">
              <x14:cfvo type="autoMin"/>
              <x14:cfvo type="autoMax"/>
              <x14:borderColor rgb="FF63C384"/>
              <x14:negativeFillColor rgb="FFFF0000"/>
              <x14:negativeBorderColor rgb="FFFF0000"/>
              <x14:axisColor rgb="FF000000"/>
            </x14:dataBar>
          </x14:cfRule>
          <xm:sqref>Z520</xm:sqref>
        </x14:conditionalFormatting>
        <x14:conditionalFormatting xmlns:xm="http://schemas.microsoft.com/office/excel/2006/main">
          <x14:cfRule type="dataBar" id="{40F1B512-B173-4F1F-88A4-551F7D701CF0}">
            <x14:dataBar minLength="0" maxLength="100" border="1" negativeBarBorderColorSameAsPositive="0">
              <x14:cfvo type="autoMin"/>
              <x14:cfvo type="autoMax"/>
              <x14:borderColor rgb="FF63C384"/>
              <x14:negativeFillColor rgb="FFFF0000"/>
              <x14:negativeBorderColor rgb="FFFF0000"/>
              <x14:axisColor rgb="FF000000"/>
            </x14:dataBar>
          </x14:cfRule>
          <xm:sqref>Z521</xm:sqref>
        </x14:conditionalFormatting>
        <x14:conditionalFormatting xmlns:xm="http://schemas.microsoft.com/office/excel/2006/main">
          <x14:cfRule type="dataBar" id="{2CE258D8-434C-40BE-B5D1-49D9145E4FB7}">
            <x14:dataBar minLength="0" maxLength="100" border="1" negativeBarBorderColorSameAsPositive="0">
              <x14:cfvo type="autoMin"/>
              <x14:cfvo type="autoMax"/>
              <x14:borderColor rgb="FF63C384"/>
              <x14:negativeFillColor rgb="FFFF0000"/>
              <x14:negativeBorderColor rgb="FFFF0000"/>
              <x14:axisColor rgb="FF000000"/>
            </x14:dataBar>
          </x14:cfRule>
          <xm:sqref>Z522</xm:sqref>
        </x14:conditionalFormatting>
        <x14:conditionalFormatting xmlns:xm="http://schemas.microsoft.com/office/excel/2006/main">
          <x14:cfRule type="dataBar" id="{1870FB4B-8790-41F6-AA6C-7DBB1E8E869A}">
            <x14:dataBar minLength="0" maxLength="100" border="1" negativeBarBorderColorSameAsPositive="0">
              <x14:cfvo type="autoMin"/>
              <x14:cfvo type="autoMax"/>
              <x14:borderColor rgb="FF63C384"/>
              <x14:negativeFillColor rgb="FFFF0000"/>
              <x14:negativeBorderColor rgb="FFFF0000"/>
              <x14:axisColor rgb="FF000000"/>
            </x14:dataBar>
          </x14:cfRule>
          <xm:sqref>Z522</xm:sqref>
        </x14:conditionalFormatting>
        <x14:conditionalFormatting xmlns:xm="http://schemas.microsoft.com/office/excel/2006/main">
          <x14:cfRule type="dataBar" id="{C93B1D33-260C-4B0F-8129-BD1E76F8A969}">
            <x14:dataBar minLength="0" maxLength="100" border="1" negativeBarBorderColorSameAsPositive="0">
              <x14:cfvo type="autoMin"/>
              <x14:cfvo type="autoMax"/>
              <x14:borderColor rgb="FF63C384"/>
              <x14:negativeFillColor rgb="FFFF0000"/>
              <x14:negativeBorderColor rgb="FFFF0000"/>
              <x14:axisColor rgb="FF000000"/>
            </x14:dataBar>
          </x14:cfRule>
          <xm:sqref>Z523</xm:sqref>
        </x14:conditionalFormatting>
        <x14:conditionalFormatting xmlns:xm="http://schemas.microsoft.com/office/excel/2006/main">
          <x14:cfRule type="dataBar" id="{B3751133-EED5-46FC-AC04-D548B99F6CA9}">
            <x14:dataBar minLength="0" maxLength="100" border="1" negativeBarBorderColorSameAsPositive="0">
              <x14:cfvo type="autoMin"/>
              <x14:cfvo type="autoMax"/>
              <x14:borderColor rgb="FF63C384"/>
              <x14:negativeFillColor rgb="FFFF0000"/>
              <x14:negativeBorderColor rgb="FFFF0000"/>
              <x14:axisColor rgb="FF000000"/>
            </x14:dataBar>
          </x14:cfRule>
          <xm:sqref>Z523</xm:sqref>
        </x14:conditionalFormatting>
        <x14:conditionalFormatting xmlns:xm="http://schemas.microsoft.com/office/excel/2006/main">
          <x14:cfRule type="dataBar" id="{CA085BAF-CBDD-4C6C-BEB7-257E36404CCE}">
            <x14:dataBar minLength="0" maxLength="100" border="1" negativeBarBorderColorSameAsPositive="0">
              <x14:cfvo type="autoMin"/>
              <x14:cfvo type="autoMax"/>
              <x14:borderColor rgb="FF63C384"/>
              <x14:negativeFillColor rgb="FFFF0000"/>
              <x14:negativeBorderColor rgb="FFFF0000"/>
              <x14:axisColor rgb="FF000000"/>
            </x14:dataBar>
          </x14:cfRule>
          <xm:sqref>Z524</xm:sqref>
        </x14:conditionalFormatting>
        <x14:conditionalFormatting xmlns:xm="http://schemas.microsoft.com/office/excel/2006/main">
          <x14:cfRule type="dataBar" id="{E5912002-3C30-4C83-84A9-EC0512119258}">
            <x14:dataBar minLength="0" maxLength="100" border="1" negativeBarBorderColorSameAsPositive="0">
              <x14:cfvo type="autoMin"/>
              <x14:cfvo type="autoMax"/>
              <x14:borderColor rgb="FF63C384"/>
              <x14:negativeFillColor rgb="FFFF0000"/>
              <x14:negativeBorderColor rgb="FFFF0000"/>
              <x14:axisColor rgb="FF000000"/>
            </x14:dataBar>
          </x14:cfRule>
          <xm:sqref>Z524</xm:sqref>
        </x14:conditionalFormatting>
        <x14:conditionalFormatting xmlns:xm="http://schemas.microsoft.com/office/excel/2006/main">
          <x14:cfRule type="dataBar" id="{A60FB2FB-B034-4F4C-A7F5-0E31807E6F03}">
            <x14:dataBar minLength="0" maxLength="100" border="1" negativeBarBorderColorSameAsPositive="0">
              <x14:cfvo type="autoMin"/>
              <x14:cfvo type="autoMax"/>
              <x14:borderColor rgb="FF63C384"/>
              <x14:negativeFillColor rgb="FFFF0000"/>
              <x14:negativeBorderColor rgb="FFFF0000"/>
              <x14:axisColor rgb="FF000000"/>
            </x14:dataBar>
          </x14:cfRule>
          <xm:sqref>Z525</xm:sqref>
        </x14:conditionalFormatting>
        <x14:conditionalFormatting xmlns:xm="http://schemas.microsoft.com/office/excel/2006/main">
          <x14:cfRule type="dataBar" id="{314110F2-CDF9-4B9D-8CD8-4B47E13F2104}">
            <x14:dataBar minLength="0" maxLength="100" border="1" negativeBarBorderColorSameAsPositive="0">
              <x14:cfvo type="autoMin"/>
              <x14:cfvo type="autoMax"/>
              <x14:borderColor rgb="FF63C384"/>
              <x14:negativeFillColor rgb="FFFF0000"/>
              <x14:negativeBorderColor rgb="FFFF0000"/>
              <x14:axisColor rgb="FF000000"/>
            </x14:dataBar>
          </x14:cfRule>
          <xm:sqref>Z525</xm:sqref>
        </x14:conditionalFormatting>
        <x14:conditionalFormatting xmlns:xm="http://schemas.microsoft.com/office/excel/2006/main">
          <x14:cfRule type="dataBar" id="{950AE246-EBEA-439E-B1CD-2EF07BB0F7B8}">
            <x14:dataBar minLength="0" maxLength="100" border="1" negativeBarBorderColorSameAsPositive="0">
              <x14:cfvo type="autoMin"/>
              <x14:cfvo type="autoMax"/>
              <x14:borderColor rgb="FF63C384"/>
              <x14:negativeFillColor rgb="FFFF0000"/>
              <x14:negativeBorderColor rgb="FFFF0000"/>
              <x14:axisColor rgb="FF000000"/>
            </x14:dataBar>
          </x14:cfRule>
          <xm:sqref>Z526</xm:sqref>
        </x14:conditionalFormatting>
        <x14:conditionalFormatting xmlns:xm="http://schemas.microsoft.com/office/excel/2006/main">
          <x14:cfRule type="dataBar" id="{31106FEE-218F-4F2F-8F06-B7529F01A179}">
            <x14:dataBar minLength="0" maxLength="100" border="1" negativeBarBorderColorSameAsPositive="0">
              <x14:cfvo type="autoMin"/>
              <x14:cfvo type="autoMax"/>
              <x14:borderColor rgb="FF63C384"/>
              <x14:negativeFillColor rgb="FFFF0000"/>
              <x14:negativeBorderColor rgb="FFFF0000"/>
              <x14:axisColor rgb="FF000000"/>
            </x14:dataBar>
          </x14:cfRule>
          <xm:sqref>Z526</xm:sqref>
        </x14:conditionalFormatting>
        <x14:conditionalFormatting xmlns:xm="http://schemas.microsoft.com/office/excel/2006/main">
          <x14:cfRule type="dataBar" id="{166F77F6-AE4A-414F-A0EC-A4464C1D5EA5}">
            <x14:dataBar minLength="0" maxLength="100" border="1" negativeBarBorderColorSameAsPositive="0">
              <x14:cfvo type="autoMin"/>
              <x14:cfvo type="autoMax"/>
              <x14:borderColor rgb="FF63C384"/>
              <x14:negativeFillColor rgb="FFFF0000"/>
              <x14:negativeBorderColor rgb="FFFF0000"/>
              <x14:axisColor rgb="FF000000"/>
            </x14:dataBar>
          </x14:cfRule>
          <xm:sqref>Z527</xm:sqref>
        </x14:conditionalFormatting>
        <x14:conditionalFormatting xmlns:xm="http://schemas.microsoft.com/office/excel/2006/main">
          <x14:cfRule type="dataBar" id="{D14B4BF3-4164-413B-B7B0-961ED71A2FF5}">
            <x14:dataBar minLength="0" maxLength="100" border="1" negativeBarBorderColorSameAsPositive="0">
              <x14:cfvo type="autoMin"/>
              <x14:cfvo type="autoMax"/>
              <x14:borderColor rgb="FF63C384"/>
              <x14:negativeFillColor rgb="FFFF0000"/>
              <x14:negativeBorderColor rgb="FFFF0000"/>
              <x14:axisColor rgb="FF000000"/>
            </x14:dataBar>
          </x14:cfRule>
          <xm:sqref>Z527</xm:sqref>
        </x14:conditionalFormatting>
        <x14:conditionalFormatting xmlns:xm="http://schemas.microsoft.com/office/excel/2006/main">
          <x14:cfRule type="dataBar" id="{B1029EF6-4B32-459C-BF58-80125075B1AE}">
            <x14:dataBar minLength="0" maxLength="100" border="1" negativeBarBorderColorSameAsPositive="0">
              <x14:cfvo type="autoMin"/>
              <x14:cfvo type="autoMax"/>
              <x14:borderColor rgb="FF63C384"/>
              <x14:negativeFillColor rgb="FFFF0000"/>
              <x14:negativeBorderColor rgb="FFFF0000"/>
              <x14:axisColor rgb="FF000000"/>
            </x14:dataBar>
          </x14:cfRule>
          <xm:sqref>Z528</xm:sqref>
        </x14:conditionalFormatting>
        <x14:conditionalFormatting xmlns:xm="http://schemas.microsoft.com/office/excel/2006/main">
          <x14:cfRule type="dataBar" id="{C3358E75-4933-4460-AAFA-5D2A47F1D9A1}">
            <x14:dataBar minLength="0" maxLength="100" border="1" negativeBarBorderColorSameAsPositive="0">
              <x14:cfvo type="autoMin"/>
              <x14:cfvo type="autoMax"/>
              <x14:borderColor rgb="FF63C384"/>
              <x14:negativeFillColor rgb="FFFF0000"/>
              <x14:negativeBorderColor rgb="FFFF0000"/>
              <x14:axisColor rgb="FF000000"/>
            </x14:dataBar>
          </x14:cfRule>
          <xm:sqref>Z528</xm:sqref>
        </x14:conditionalFormatting>
        <x14:conditionalFormatting xmlns:xm="http://schemas.microsoft.com/office/excel/2006/main">
          <x14:cfRule type="dataBar" id="{7D8FEA5E-D39C-45BF-9651-19C3DB519C58}">
            <x14:dataBar minLength="0" maxLength="100" border="1" negativeBarBorderColorSameAsPositive="0">
              <x14:cfvo type="autoMin"/>
              <x14:cfvo type="autoMax"/>
              <x14:borderColor rgb="FF63C384"/>
              <x14:negativeFillColor rgb="FFFF0000"/>
              <x14:negativeBorderColor rgb="FFFF0000"/>
              <x14:axisColor rgb="FF000000"/>
            </x14:dataBar>
          </x14:cfRule>
          <xm:sqref>Z528</xm:sqref>
        </x14:conditionalFormatting>
        <x14:conditionalFormatting xmlns:xm="http://schemas.microsoft.com/office/excel/2006/main">
          <x14:cfRule type="dataBar" id="{542CFCFC-74A1-4F71-99FF-A5E0C5E1CD4F}">
            <x14:dataBar minLength="0" maxLength="100" border="1" negativeBarBorderColorSameAsPositive="0">
              <x14:cfvo type="autoMin"/>
              <x14:cfvo type="autoMax"/>
              <x14:borderColor rgb="FF63C384"/>
              <x14:negativeFillColor rgb="FFFF0000"/>
              <x14:negativeBorderColor rgb="FFFF0000"/>
              <x14:axisColor rgb="FF000000"/>
            </x14:dataBar>
          </x14:cfRule>
          <xm:sqref>Z528</xm:sqref>
        </x14:conditionalFormatting>
        <x14:conditionalFormatting xmlns:xm="http://schemas.microsoft.com/office/excel/2006/main">
          <x14:cfRule type="dataBar" id="{7604F595-62FB-407B-8082-64AFC55D0A7D}">
            <x14:dataBar minLength="0" maxLength="100" border="1" negativeBarBorderColorSameAsPositive="0">
              <x14:cfvo type="autoMin"/>
              <x14:cfvo type="autoMax"/>
              <x14:borderColor rgb="FF63C384"/>
              <x14:negativeFillColor rgb="FFFF0000"/>
              <x14:negativeBorderColor rgb="FFFF0000"/>
              <x14:axisColor rgb="FF000000"/>
            </x14:dataBar>
          </x14:cfRule>
          <xm:sqref>Z529</xm:sqref>
        </x14:conditionalFormatting>
        <x14:conditionalFormatting xmlns:xm="http://schemas.microsoft.com/office/excel/2006/main">
          <x14:cfRule type="dataBar" id="{8020940B-0FAA-4E18-B451-B750F5CFE077}">
            <x14:dataBar minLength="0" maxLength="100" border="1" negativeBarBorderColorSameAsPositive="0">
              <x14:cfvo type="autoMin"/>
              <x14:cfvo type="autoMax"/>
              <x14:borderColor rgb="FF63C384"/>
              <x14:negativeFillColor rgb="FFFF0000"/>
              <x14:negativeBorderColor rgb="FFFF0000"/>
              <x14:axisColor rgb="FF000000"/>
            </x14:dataBar>
          </x14:cfRule>
          <xm:sqref>Z529</xm:sqref>
        </x14:conditionalFormatting>
        <x14:conditionalFormatting xmlns:xm="http://schemas.microsoft.com/office/excel/2006/main">
          <x14:cfRule type="dataBar" id="{621D25C7-13DE-440C-96FE-F6248D4BA68B}">
            <x14:dataBar minLength="0" maxLength="100" border="1" negativeBarBorderColorSameAsPositive="0">
              <x14:cfvo type="autoMin"/>
              <x14:cfvo type="autoMax"/>
              <x14:borderColor rgb="FF63C384"/>
              <x14:negativeFillColor rgb="FFFF0000"/>
              <x14:negativeBorderColor rgb="FFFF0000"/>
              <x14:axisColor rgb="FF000000"/>
            </x14:dataBar>
          </x14:cfRule>
          <xm:sqref>Z530</xm:sqref>
        </x14:conditionalFormatting>
        <x14:conditionalFormatting xmlns:xm="http://schemas.microsoft.com/office/excel/2006/main">
          <x14:cfRule type="dataBar" id="{D40318E6-B8A5-4AA6-A6CF-247CFF7FDA9F}">
            <x14:dataBar minLength="0" maxLength="100" border="1" negativeBarBorderColorSameAsPositive="0">
              <x14:cfvo type="autoMin"/>
              <x14:cfvo type="autoMax"/>
              <x14:borderColor rgb="FF63C384"/>
              <x14:negativeFillColor rgb="FFFF0000"/>
              <x14:negativeBorderColor rgb="FFFF0000"/>
              <x14:axisColor rgb="FF000000"/>
            </x14:dataBar>
          </x14:cfRule>
          <xm:sqref>Z530</xm:sqref>
        </x14:conditionalFormatting>
        <x14:conditionalFormatting xmlns:xm="http://schemas.microsoft.com/office/excel/2006/main">
          <x14:cfRule type="dataBar" id="{CF21723E-7514-4D44-A339-1E6E68D2695C}">
            <x14:dataBar minLength="0" maxLength="100" border="1" negativeBarBorderColorSameAsPositive="0">
              <x14:cfvo type="autoMin"/>
              <x14:cfvo type="autoMax"/>
              <x14:borderColor rgb="FF63C384"/>
              <x14:negativeFillColor rgb="FFFF0000"/>
              <x14:negativeBorderColor rgb="FFFF0000"/>
              <x14:axisColor rgb="FF000000"/>
            </x14:dataBar>
          </x14:cfRule>
          <xm:sqref>Z530</xm:sqref>
        </x14:conditionalFormatting>
        <x14:conditionalFormatting xmlns:xm="http://schemas.microsoft.com/office/excel/2006/main">
          <x14:cfRule type="dataBar" id="{1F330B44-5026-486C-A0ED-7B2D9186A6B1}">
            <x14:dataBar minLength="0" maxLength="100" border="1" negativeBarBorderColorSameAsPositive="0">
              <x14:cfvo type="autoMin"/>
              <x14:cfvo type="autoMax"/>
              <x14:borderColor rgb="FF63C384"/>
              <x14:negativeFillColor rgb="FFFF0000"/>
              <x14:negativeBorderColor rgb="FFFF0000"/>
              <x14:axisColor rgb="FF000000"/>
            </x14:dataBar>
          </x14:cfRule>
          <xm:sqref>Z530</xm:sqref>
        </x14:conditionalFormatting>
        <x14:conditionalFormatting xmlns:xm="http://schemas.microsoft.com/office/excel/2006/main">
          <x14:cfRule type="dataBar" id="{6E2B1CB1-2F22-4673-88BB-12060450B15F}">
            <x14:dataBar minLength="0" maxLength="100" border="1" negativeBarBorderColorSameAsPositive="0">
              <x14:cfvo type="autoMin"/>
              <x14:cfvo type="autoMax"/>
              <x14:borderColor rgb="FF63C384"/>
              <x14:negativeFillColor rgb="FFFF0000"/>
              <x14:negativeBorderColor rgb="FFFF0000"/>
              <x14:axisColor rgb="FF000000"/>
            </x14:dataBar>
          </x14:cfRule>
          <xm:sqref>Z530</xm:sqref>
        </x14:conditionalFormatting>
        <x14:conditionalFormatting xmlns:xm="http://schemas.microsoft.com/office/excel/2006/main">
          <x14:cfRule type="dataBar" id="{C687F450-A553-4A2A-A49B-90A406DA53FA}">
            <x14:dataBar minLength="0" maxLength="100" border="1" negativeBarBorderColorSameAsPositive="0">
              <x14:cfvo type="autoMin"/>
              <x14:cfvo type="autoMax"/>
              <x14:borderColor rgb="FF63C384"/>
              <x14:negativeFillColor rgb="FFFF0000"/>
              <x14:negativeBorderColor rgb="FFFF0000"/>
              <x14:axisColor rgb="FF000000"/>
            </x14:dataBar>
          </x14:cfRule>
          <xm:sqref>Z530</xm:sqref>
        </x14:conditionalFormatting>
        <x14:conditionalFormatting xmlns:xm="http://schemas.microsoft.com/office/excel/2006/main">
          <x14:cfRule type="dataBar" id="{569A25F0-82E4-4346-9277-026D72F7FFF7}">
            <x14:dataBar minLength="0" maxLength="100" border="1" negativeBarBorderColorSameAsPositive="0">
              <x14:cfvo type="autoMin"/>
              <x14:cfvo type="autoMax"/>
              <x14:borderColor rgb="FF63C384"/>
              <x14:negativeFillColor rgb="FFFF0000"/>
              <x14:negativeBorderColor rgb="FFFF0000"/>
              <x14:axisColor rgb="FF000000"/>
            </x14:dataBar>
          </x14:cfRule>
          <xm:sqref>Z530</xm:sqref>
        </x14:conditionalFormatting>
        <x14:conditionalFormatting xmlns:xm="http://schemas.microsoft.com/office/excel/2006/main">
          <x14:cfRule type="dataBar" id="{E81388A4-CC35-4D9A-AE7A-021949BE51D6}">
            <x14:dataBar minLength="0" maxLength="100" border="1" negativeBarBorderColorSameAsPositive="0">
              <x14:cfvo type="autoMin"/>
              <x14:cfvo type="autoMax"/>
              <x14:borderColor rgb="FF63C384"/>
              <x14:negativeFillColor rgb="FFFF0000"/>
              <x14:negativeBorderColor rgb="FFFF0000"/>
              <x14:axisColor rgb="FF000000"/>
            </x14:dataBar>
          </x14:cfRule>
          <xm:sqref>Z530</xm:sqref>
        </x14:conditionalFormatting>
        <x14:conditionalFormatting xmlns:xm="http://schemas.microsoft.com/office/excel/2006/main">
          <x14:cfRule type="dataBar" id="{432B5A50-D3E4-4380-9944-6D5DBCD2BDEC}">
            <x14:dataBar minLength="0" maxLength="100" border="1" negativeBarBorderColorSameAsPositive="0">
              <x14:cfvo type="autoMin"/>
              <x14:cfvo type="autoMax"/>
              <x14:borderColor rgb="FF63C384"/>
              <x14:negativeFillColor rgb="FFFF0000"/>
              <x14:negativeBorderColor rgb="FFFF0000"/>
              <x14:axisColor rgb="FF000000"/>
            </x14:dataBar>
          </x14:cfRule>
          <xm:sqref>Z531</xm:sqref>
        </x14:conditionalFormatting>
        <x14:conditionalFormatting xmlns:xm="http://schemas.microsoft.com/office/excel/2006/main">
          <x14:cfRule type="dataBar" id="{683626CF-12A1-4228-BE02-A506C3FF3E99}">
            <x14:dataBar minLength="0" maxLength="100" border="1" negativeBarBorderColorSameAsPositive="0">
              <x14:cfvo type="autoMin"/>
              <x14:cfvo type="autoMax"/>
              <x14:borderColor rgb="FF63C384"/>
              <x14:negativeFillColor rgb="FFFF0000"/>
              <x14:negativeBorderColor rgb="FFFF0000"/>
              <x14:axisColor rgb="FF000000"/>
            </x14:dataBar>
          </x14:cfRule>
          <xm:sqref>Z531</xm:sqref>
        </x14:conditionalFormatting>
        <x14:conditionalFormatting xmlns:xm="http://schemas.microsoft.com/office/excel/2006/main">
          <x14:cfRule type="dataBar" id="{5FBCB05D-AAD9-4C0F-803F-5BB9B4A66C17}">
            <x14:dataBar minLength="0" maxLength="100" border="1" negativeBarBorderColorSameAsPositive="0">
              <x14:cfvo type="autoMin"/>
              <x14:cfvo type="autoMax"/>
              <x14:borderColor rgb="FF63C384"/>
              <x14:negativeFillColor rgb="FFFF0000"/>
              <x14:negativeBorderColor rgb="FFFF0000"/>
              <x14:axisColor rgb="FF000000"/>
            </x14:dataBar>
          </x14:cfRule>
          <xm:sqref>Z531</xm:sqref>
        </x14:conditionalFormatting>
        <x14:conditionalFormatting xmlns:xm="http://schemas.microsoft.com/office/excel/2006/main">
          <x14:cfRule type="dataBar" id="{0658C951-5E5F-4A99-BCBD-22559BFA7C8D}">
            <x14:dataBar minLength="0" maxLength="100" border="1" negativeBarBorderColorSameAsPositive="0">
              <x14:cfvo type="autoMin"/>
              <x14:cfvo type="autoMax"/>
              <x14:borderColor rgb="FF63C384"/>
              <x14:negativeFillColor rgb="FFFF0000"/>
              <x14:negativeBorderColor rgb="FFFF0000"/>
              <x14:axisColor rgb="FF000000"/>
            </x14:dataBar>
          </x14:cfRule>
          <xm:sqref>Z531</xm:sqref>
        </x14:conditionalFormatting>
        <x14:conditionalFormatting xmlns:xm="http://schemas.microsoft.com/office/excel/2006/main">
          <x14:cfRule type="dataBar" id="{2A29DA4A-0E1D-4C84-803B-8CAFCEAACBD9}">
            <x14:dataBar minLength="0" maxLength="100" border="1" negativeBarBorderColorSameAsPositive="0">
              <x14:cfvo type="autoMin"/>
              <x14:cfvo type="autoMax"/>
              <x14:borderColor rgb="FF63C384"/>
              <x14:negativeFillColor rgb="FFFF0000"/>
              <x14:negativeBorderColor rgb="FFFF0000"/>
              <x14:axisColor rgb="FF000000"/>
            </x14:dataBar>
          </x14:cfRule>
          <xm:sqref>Z531</xm:sqref>
        </x14:conditionalFormatting>
        <x14:conditionalFormatting xmlns:xm="http://schemas.microsoft.com/office/excel/2006/main">
          <x14:cfRule type="dataBar" id="{EEADE5AE-31BF-486A-9212-0FC7B0DF7956}">
            <x14:dataBar minLength="0" maxLength="100" border="1" negativeBarBorderColorSameAsPositive="0">
              <x14:cfvo type="autoMin"/>
              <x14:cfvo type="autoMax"/>
              <x14:borderColor rgb="FF63C384"/>
              <x14:negativeFillColor rgb="FFFF0000"/>
              <x14:negativeBorderColor rgb="FFFF0000"/>
              <x14:axisColor rgb="FF000000"/>
            </x14:dataBar>
          </x14:cfRule>
          <xm:sqref>Z531</xm:sqref>
        </x14:conditionalFormatting>
        <x14:conditionalFormatting xmlns:xm="http://schemas.microsoft.com/office/excel/2006/main">
          <x14:cfRule type="dataBar" id="{AB5D905C-5B0C-4603-B830-F7B35492448D}">
            <x14:dataBar minLength="0" maxLength="100" border="1" negativeBarBorderColorSameAsPositive="0">
              <x14:cfvo type="autoMin"/>
              <x14:cfvo type="autoMax"/>
              <x14:borderColor rgb="FF63C384"/>
              <x14:negativeFillColor rgb="FFFF0000"/>
              <x14:negativeBorderColor rgb="FFFF0000"/>
              <x14:axisColor rgb="FF000000"/>
            </x14:dataBar>
          </x14:cfRule>
          <xm:sqref>Z531</xm:sqref>
        </x14:conditionalFormatting>
        <x14:conditionalFormatting xmlns:xm="http://schemas.microsoft.com/office/excel/2006/main">
          <x14:cfRule type="dataBar" id="{1B1B8ED8-C25A-4297-8F4C-504B7BDC7C59}">
            <x14:dataBar minLength="0" maxLength="100" border="1" negativeBarBorderColorSameAsPositive="0">
              <x14:cfvo type="autoMin"/>
              <x14:cfvo type="autoMax"/>
              <x14:borderColor rgb="FF63C384"/>
              <x14:negativeFillColor rgb="FFFF0000"/>
              <x14:negativeBorderColor rgb="FFFF0000"/>
              <x14:axisColor rgb="FF000000"/>
            </x14:dataBar>
          </x14:cfRule>
          <xm:sqref>Z531</xm:sqref>
        </x14:conditionalFormatting>
        <x14:conditionalFormatting xmlns:xm="http://schemas.microsoft.com/office/excel/2006/main">
          <x14:cfRule type="dataBar" id="{6B9D614D-CF35-4075-920C-8B14713E33A2}">
            <x14:dataBar minLength="0" maxLength="100" border="1" negativeBarBorderColorSameAsPositive="0">
              <x14:cfvo type="autoMin"/>
              <x14:cfvo type="autoMax"/>
              <x14:borderColor rgb="FF63C384"/>
              <x14:negativeFillColor rgb="FFFF0000"/>
              <x14:negativeBorderColor rgb="FFFF0000"/>
              <x14:axisColor rgb="FF000000"/>
            </x14:dataBar>
          </x14:cfRule>
          <xm:sqref>Z532</xm:sqref>
        </x14:conditionalFormatting>
        <x14:conditionalFormatting xmlns:xm="http://schemas.microsoft.com/office/excel/2006/main">
          <x14:cfRule type="dataBar" id="{84A46DCD-DC93-429A-9504-36F64379B7F5}">
            <x14:dataBar minLength="0" maxLength="100" border="1" negativeBarBorderColorSameAsPositive="0">
              <x14:cfvo type="autoMin"/>
              <x14:cfvo type="autoMax"/>
              <x14:borderColor rgb="FF63C384"/>
              <x14:negativeFillColor rgb="FFFF0000"/>
              <x14:negativeBorderColor rgb="FFFF0000"/>
              <x14:axisColor rgb="FF000000"/>
            </x14:dataBar>
          </x14:cfRule>
          <xm:sqref>Z532</xm:sqref>
        </x14:conditionalFormatting>
        <x14:conditionalFormatting xmlns:xm="http://schemas.microsoft.com/office/excel/2006/main">
          <x14:cfRule type="dataBar" id="{B08E93EE-30E8-46BB-B711-10E852CDA5CA}">
            <x14:dataBar minLength="0" maxLength="100" border="1" negativeBarBorderColorSameAsPositive="0">
              <x14:cfvo type="autoMin"/>
              <x14:cfvo type="autoMax"/>
              <x14:borderColor rgb="FF63C384"/>
              <x14:negativeFillColor rgb="FFFF0000"/>
              <x14:negativeBorderColor rgb="FFFF0000"/>
              <x14:axisColor rgb="FF000000"/>
            </x14:dataBar>
          </x14:cfRule>
          <xm:sqref>Z532</xm:sqref>
        </x14:conditionalFormatting>
        <x14:conditionalFormatting xmlns:xm="http://schemas.microsoft.com/office/excel/2006/main">
          <x14:cfRule type="dataBar" id="{1664A92A-5B26-4C8B-9A4A-1A353C31F721}">
            <x14:dataBar minLength="0" maxLength="100" border="1" negativeBarBorderColorSameAsPositive="0">
              <x14:cfvo type="autoMin"/>
              <x14:cfvo type="autoMax"/>
              <x14:borderColor rgb="FF63C384"/>
              <x14:negativeFillColor rgb="FFFF0000"/>
              <x14:negativeBorderColor rgb="FFFF0000"/>
              <x14:axisColor rgb="FF000000"/>
            </x14:dataBar>
          </x14:cfRule>
          <xm:sqref>Z533</xm:sqref>
        </x14:conditionalFormatting>
        <x14:conditionalFormatting xmlns:xm="http://schemas.microsoft.com/office/excel/2006/main">
          <x14:cfRule type="dataBar" id="{D9C1A75C-C90A-40D2-83A6-921857006037}">
            <x14:dataBar minLength="0" maxLength="100" border="1" negativeBarBorderColorSameAsPositive="0">
              <x14:cfvo type="autoMin"/>
              <x14:cfvo type="autoMax"/>
              <x14:borderColor rgb="FF63C384"/>
              <x14:negativeFillColor rgb="FFFF0000"/>
              <x14:negativeBorderColor rgb="FFFF0000"/>
              <x14:axisColor rgb="FF000000"/>
            </x14:dataBar>
          </x14:cfRule>
          <xm:sqref>Z533</xm:sqref>
        </x14:conditionalFormatting>
        <x14:conditionalFormatting xmlns:xm="http://schemas.microsoft.com/office/excel/2006/main">
          <x14:cfRule type="dataBar" id="{F4C4C809-E789-4C4B-83F6-2957E4282461}">
            <x14:dataBar minLength="0" maxLength="100" border="1" negativeBarBorderColorSameAsPositive="0">
              <x14:cfvo type="autoMin"/>
              <x14:cfvo type="autoMax"/>
              <x14:borderColor rgb="FF63C384"/>
              <x14:negativeFillColor rgb="FFFF0000"/>
              <x14:negativeBorderColor rgb="FFFF0000"/>
              <x14:axisColor rgb="FF000000"/>
            </x14:dataBar>
          </x14:cfRule>
          <xm:sqref>Z533</xm:sqref>
        </x14:conditionalFormatting>
        <x14:conditionalFormatting xmlns:xm="http://schemas.microsoft.com/office/excel/2006/main">
          <x14:cfRule type="dataBar" id="{02A8CFDF-C304-443F-B9EF-9349E38B8F5F}">
            <x14:dataBar minLength="0" maxLength="100" border="1" negativeBarBorderColorSameAsPositive="0">
              <x14:cfvo type="autoMin"/>
              <x14:cfvo type="autoMax"/>
              <x14:borderColor rgb="FF63C384"/>
              <x14:negativeFillColor rgb="FFFF0000"/>
              <x14:negativeBorderColor rgb="FFFF0000"/>
              <x14:axisColor rgb="FF000000"/>
            </x14:dataBar>
          </x14:cfRule>
          <xm:sqref>Z534</xm:sqref>
        </x14:conditionalFormatting>
        <x14:conditionalFormatting xmlns:xm="http://schemas.microsoft.com/office/excel/2006/main">
          <x14:cfRule type="dataBar" id="{9621CBF3-9391-4530-A665-8B4A780E77AC}">
            <x14:dataBar minLength="0" maxLength="100" border="1" negativeBarBorderColorSameAsPositive="0">
              <x14:cfvo type="autoMin"/>
              <x14:cfvo type="autoMax"/>
              <x14:borderColor rgb="FF63C384"/>
              <x14:negativeFillColor rgb="FFFF0000"/>
              <x14:negativeBorderColor rgb="FFFF0000"/>
              <x14:axisColor rgb="FF000000"/>
            </x14:dataBar>
          </x14:cfRule>
          <xm:sqref>Z534</xm:sqref>
        </x14:conditionalFormatting>
        <x14:conditionalFormatting xmlns:xm="http://schemas.microsoft.com/office/excel/2006/main">
          <x14:cfRule type="dataBar" id="{23B2E62A-FB23-4D2A-85D3-0E538D263E27}">
            <x14:dataBar minLength="0" maxLength="100" border="1" negativeBarBorderColorSameAsPositive="0">
              <x14:cfvo type="autoMin"/>
              <x14:cfvo type="autoMax"/>
              <x14:borderColor rgb="FF63C384"/>
              <x14:negativeFillColor rgb="FFFF0000"/>
              <x14:negativeBorderColor rgb="FFFF0000"/>
              <x14:axisColor rgb="FF000000"/>
            </x14:dataBar>
          </x14:cfRule>
          <xm:sqref>Z535</xm:sqref>
        </x14:conditionalFormatting>
        <x14:conditionalFormatting xmlns:xm="http://schemas.microsoft.com/office/excel/2006/main">
          <x14:cfRule type="dataBar" id="{9840DC2D-D124-415D-81FD-04DC19CE8A85}">
            <x14:dataBar minLength="0" maxLength="100" border="1" negativeBarBorderColorSameAsPositive="0">
              <x14:cfvo type="autoMin"/>
              <x14:cfvo type="autoMax"/>
              <x14:borderColor rgb="FF63C384"/>
              <x14:negativeFillColor rgb="FFFF0000"/>
              <x14:negativeBorderColor rgb="FFFF0000"/>
              <x14:axisColor rgb="FF000000"/>
            </x14:dataBar>
          </x14:cfRule>
          <xm:sqref>Z535</xm:sqref>
        </x14:conditionalFormatting>
        <x14:conditionalFormatting xmlns:xm="http://schemas.microsoft.com/office/excel/2006/main">
          <x14:cfRule type="dataBar" id="{3C128DE8-D908-478C-8532-7EA33141E082}">
            <x14:dataBar minLength="0" maxLength="100" border="1" negativeBarBorderColorSameAsPositive="0">
              <x14:cfvo type="autoMin"/>
              <x14:cfvo type="autoMax"/>
              <x14:borderColor rgb="FF63C384"/>
              <x14:negativeFillColor rgb="FFFF0000"/>
              <x14:negativeBorderColor rgb="FFFF0000"/>
              <x14:axisColor rgb="FF000000"/>
            </x14:dataBar>
          </x14:cfRule>
          <xm:sqref>Z536</xm:sqref>
        </x14:conditionalFormatting>
        <x14:conditionalFormatting xmlns:xm="http://schemas.microsoft.com/office/excel/2006/main">
          <x14:cfRule type="dataBar" id="{E65223AB-840C-4EB0-B1D2-BA7963812673}">
            <x14:dataBar minLength="0" maxLength="100" border="1" negativeBarBorderColorSameAsPositive="0">
              <x14:cfvo type="autoMin"/>
              <x14:cfvo type="autoMax"/>
              <x14:borderColor rgb="FF63C384"/>
              <x14:negativeFillColor rgb="FFFF0000"/>
              <x14:negativeBorderColor rgb="FFFF0000"/>
              <x14:axisColor rgb="FF000000"/>
            </x14:dataBar>
          </x14:cfRule>
          <xm:sqref>Z536</xm:sqref>
        </x14:conditionalFormatting>
        <x14:conditionalFormatting xmlns:xm="http://schemas.microsoft.com/office/excel/2006/main">
          <x14:cfRule type="dataBar" id="{832248D3-8840-46BF-9808-192F68935687}">
            <x14:dataBar minLength="0" maxLength="100" border="1" negativeBarBorderColorSameAsPositive="0">
              <x14:cfvo type="autoMin"/>
              <x14:cfvo type="autoMax"/>
              <x14:borderColor rgb="FF63C384"/>
              <x14:negativeFillColor rgb="FFFF0000"/>
              <x14:negativeBorderColor rgb="FFFF0000"/>
              <x14:axisColor rgb="FF000000"/>
            </x14:dataBar>
          </x14:cfRule>
          <xm:sqref>Z518</xm:sqref>
        </x14:conditionalFormatting>
        <x14:conditionalFormatting xmlns:xm="http://schemas.microsoft.com/office/excel/2006/main">
          <x14:cfRule type="dataBar" id="{69D1403F-B039-401C-824D-5E6F3AD828E8}">
            <x14:dataBar minLength="0" maxLength="100" border="1" negativeBarBorderColorSameAsPositive="0">
              <x14:cfvo type="autoMin"/>
              <x14:cfvo type="autoMax"/>
              <x14:borderColor rgb="FF63C384"/>
              <x14:negativeFillColor rgb="FFFF0000"/>
              <x14:negativeBorderColor rgb="FFFF0000"/>
              <x14:axisColor rgb="FF000000"/>
            </x14:dataBar>
          </x14:cfRule>
          <xm:sqref>Z518</xm:sqref>
        </x14:conditionalFormatting>
        <x14:conditionalFormatting xmlns:xm="http://schemas.microsoft.com/office/excel/2006/main">
          <x14:cfRule type="dataBar" id="{95872678-22FD-4C57-A0C2-7ECBA579821E}">
            <x14:dataBar minLength="0" maxLength="100" border="1" negativeBarBorderColorSameAsPositive="0">
              <x14:cfvo type="autoMin"/>
              <x14:cfvo type="autoMax"/>
              <x14:borderColor rgb="FF63C384"/>
              <x14:negativeFillColor rgb="FFFF0000"/>
              <x14:negativeBorderColor rgb="FFFF0000"/>
              <x14:axisColor rgb="FF000000"/>
            </x14:dataBar>
          </x14:cfRule>
          <xm:sqref>Z503</xm:sqref>
        </x14:conditionalFormatting>
        <x14:conditionalFormatting xmlns:xm="http://schemas.microsoft.com/office/excel/2006/main">
          <x14:cfRule type="dataBar" id="{F2E8FA2C-036E-48B3-89C5-29E3A8A70EB8}">
            <x14:dataBar minLength="0" maxLength="100" border="1" negativeBarBorderColorSameAsPositive="0">
              <x14:cfvo type="autoMin"/>
              <x14:cfvo type="autoMax"/>
              <x14:borderColor rgb="FF63C384"/>
              <x14:negativeFillColor rgb="FFFF0000"/>
              <x14:negativeBorderColor rgb="FFFF0000"/>
              <x14:axisColor rgb="FF000000"/>
            </x14:dataBar>
          </x14:cfRule>
          <xm:sqref>Z503</xm:sqref>
        </x14:conditionalFormatting>
        <x14:conditionalFormatting xmlns:xm="http://schemas.microsoft.com/office/excel/2006/main">
          <x14:cfRule type="dataBar" id="{F624EB09-72D1-4327-9DC9-CBD005515DBF}">
            <x14:dataBar minLength="0" maxLength="100" border="1" negativeBarBorderColorSameAsPositive="0">
              <x14:cfvo type="autoMin"/>
              <x14:cfvo type="autoMax"/>
              <x14:borderColor rgb="FF63C384"/>
              <x14:negativeFillColor rgb="FFFF0000"/>
              <x14:negativeBorderColor rgb="FFFF0000"/>
              <x14:axisColor rgb="FF000000"/>
            </x14:dataBar>
          </x14:cfRule>
          <xm:sqref>Z537</xm:sqref>
        </x14:conditionalFormatting>
        <x14:conditionalFormatting xmlns:xm="http://schemas.microsoft.com/office/excel/2006/main">
          <x14:cfRule type="dataBar" id="{50E6F24C-57DF-4C17-A9F8-9F03F8F3410F}">
            <x14:dataBar minLength="0" maxLength="100" border="1" negativeBarBorderColorSameAsPositive="0">
              <x14:cfvo type="autoMin"/>
              <x14:cfvo type="autoMax"/>
              <x14:borderColor rgb="FF63C384"/>
              <x14:negativeFillColor rgb="FFFF0000"/>
              <x14:negativeBorderColor rgb="FFFF0000"/>
              <x14:axisColor rgb="FF000000"/>
            </x14:dataBar>
          </x14:cfRule>
          <xm:sqref>Z537</xm:sqref>
        </x14:conditionalFormatting>
        <x14:conditionalFormatting xmlns:xm="http://schemas.microsoft.com/office/excel/2006/main">
          <x14:cfRule type="dataBar" id="{6B3EF859-3C9D-4FBD-8197-2430FD87CA8C}">
            <x14:dataBar minLength="0" maxLength="100" border="1" negativeBarBorderColorSameAsPositive="0">
              <x14:cfvo type="autoMin"/>
              <x14:cfvo type="autoMax"/>
              <x14:borderColor rgb="FF63C384"/>
              <x14:negativeFillColor rgb="FFFF0000"/>
              <x14:negativeBorderColor rgb="FFFF0000"/>
              <x14:axisColor rgb="FF000000"/>
            </x14:dataBar>
          </x14:cfRule>
          <xm:sqref>Z538</xm:sqref>
        </x14:conditionalFormatting>
        <x14:conditionalFormatting xmlns:xm="http://schemas.microsoft.com/office/excel/2006/main">
          <x14:cfRule type="dataBar" id="{243BF3D7-21A9-4887-AA12-7297BFAF73CC}">
            <x14:dataBar minLength="0" maxLength="100" border="1" negativeBarBorderColorSameAsPositive="0">
              <x14:cfvo type="autoMin"/>
              <x14:cfvo type="autoMax"/>
              <x14:borderColor rgb="FF63C384"/>
              <x14:negativeFillColor rgb="FFFF0000"/>
              <x14:negativeBorderColor rgb="FFFF0000"/>
              <x14:axisColor rgb="FF000000"/>
            </x14:dataBar>
          </x14:cfRule>
          <xm:sqref>Z538</xm:sqref>
        </x14:conditionalFormatting>
        <x14:conditionalFormatting xmlns:xm="http://schemas.microsoft.com/office/excel/2006/main">
          <x14:cfRule type="dataBar" id="{A180547E-82B0-4A5B-8083-BDD10156A5EE}">
            <x14:dataBar minLength="0" maxLength="100" border="1" negativeBarBorderColorSameAsPositive="0">
              <x14:cfvo type="autoMin"/>
              <x14:cfvo type="autoMax"/>
              <x14:borderColor rgb="FF63C384"/>
              <x14:negativeFillColor rgb="FFFF0000"/>
              <x14:negativeBorderColor rgb="FFFF0000"/>
              <x14:axisColor rgb="FF000000"/>
            </x14:dataBar>
          </x14:cfRule>
          <xm:sqref>Z539</xm:sqref>
        </x14:conditionalFormatting>
        <x14:conditionalFormatting xmlns:xm="http://schemas.microsoft.com/office/excel/2006/main">
          <x14:cfRule type="dataBar" id="{DAADC3EB-FEC1-4C7D-BA9E-680B58559329}">
            <x14:dataBar minLength="0" maxLength="100" border="1" negativeBarBorderColorSameAsPositive="0">
              <x14:cfvo type="autoMin"/>
              <x14:cfvo type="autoMax"/>
              <x14:borderColor rgb="FF63C384"/>
              <x14:negativeFillColor rgb="FFFF0000"/>
              <x14:negativeBorderColor rgb="FFFF0000"/>
              <x14:axisColor rgb="FF000000"/>
            </x14:dataBar>
          </x14:cfRule>
          <xm:sqref>Z539</xm:sqref>
        </x14:conditionalFormatting>
        <x14:conditionalFormatting xmlns:xm="http://schemas.microsoft.com/office/excel/2006/main">
          <x14:cfRule type="dataBar" id="{25D902A4-FD7D-40B3-9A4B-F58F4B50859F}">
            <x14:dataBar minLength="0" maxLength="100" border="1" negativeBarBorderColorSameAsPositive="0">
              <x14:cfvo type="autoMin"/>
              <x14:cfvo type="autoMax"/>
              <x14:borderColor rgb="FF63C384"/>
              <x14:negativeFillColor rgb="FFFF0000"/>
              <x14:negativeBorderColor rgb="FFFF0000"/>
              <x14:axisColor rgb="FF000000"/>
            </x14:dataBar>
          </x14:cfRule>
          <xm:sqref>Z540</xm:sqref>
        </x14:conditionalFormatting>
        <x14:conditionalFormatting xmlns:xm="http://schemas.microsoft.com/office/excel/2006/main">
          <x14:cfRule type="dataBar" id="{6B34B241-79F1-4DE9-89AD-74357F9EC436}">
            <x14:dataBar minLength="0" maxLength="100" border="1" negativeBarBorderColorSameAsPositive="0">
              <x14:cfvo type="autoMin"/>
              <x14:cfvo type="autoMax"/>
              <x14:borderColor rgb="FF63C384"/>
              <x14:negativeFillColor rgb="FFFF0000"/>
              <x14:negativeBorderColor rgb="FFFF0000"/>
              <x14:axisColor rgb="FF000000"/>
            </x14:dataBar>
          </x14:cfRule>
          <xm:sqref>Z540</xm:sqref>
        </x14:conditionalFormatting>
        <x14:conditionalFormatting xmlns:xm="http://schemas.microsoft.com/office/excel/2006/main">
          <x14:cfRule type="dataBar" id="{92F84E9D-1BDC-48BD-A982-F32894FDD19F}">
            <x14:dataBar minLength="0" maxLength="100" border="1" negativeBarBorderColorSameAsPositive="0">
              <x14:cfvo type="autoMin"/>
              <x14:cfvo type="autoMax"/>
              <x14:borderColor rgb="FF63C384"/>
              <x14:negativeFillColor rgb="FFFF0000"/>
              <x14:negativeBorderColor rgb="FFFF0000"/>
              <x14:axisColor rgb="FF000000"/>
            </x14:dataBar>
          </x14:cfRule>
          <xm:sqref>Z541</xm:sqref>
        </x14:conditionalFormatting>
        <x14:conditionalFormatting xmlns:xm="http://schemas.microsoft.com/office/excel/2006/main">
          <x14:cfRule type="dataBar" id="{17A666A7-686D-4BAA-8EE9-1A5FBE49614D}">
            <x14:dataBar minLength="0" maxLength="100" border="1" negativeBarBorderColorSameAsPositive="0">
              <x14:cfvo type="autoMin"/>
              <x14:cfvo type="autoMax"/>
              <x14:borderColor rgb="FF63C384"/>
              <x14:negativeFillColor rgb="FFFF0000"/>
              <x14:negativeBorderColor rgb="FFFF0000"/>
              <x14:axisColor rgb="FF000000"/>
            </x14:dataBar>
          </x14:cfRule>
          <xm:sqref>Z542</xm:sqref>
        </x14:conditionalFormatting>
        <x14:conditionalFormatting xmlns:xm="http://schemas.microsoft.com/office/excel/2006/main">
          <x14:cfRule type="dataBar" id="{66DF3ECE-95E7-4D36-8321-AE871E990525}">
            <x14:dataBar minLength="0" maxLength="100" border="1" negativeBarBorderColorSameAsPositive="0">
              <x14:cfvo type="autoMin"/>
              <x14:cfvo type="autoMax"/>
              <x14:borderColor rgb="FF63C384"/>
              <x14:negativeFillColor rgb="FFFF0000"/>
              <x14:negativeBorderColor rgb="FFFF0000"/>
              <x14:axisColor rgb="FF000000"/>
            </x14:dataBar>
          </x14:cfRule>
          <xm:sqref>Z543</xm:sqref>
        </x14:conditionalFormatting>
        <x14:conditionalFormatting xmlns:xm="http://schemas.microsoft.com/office/excel/2006/main">
          <x14:cfRule type="dataBar" id="{BCF9341A-B70A-4B3D-AD3B-1B0307FBA4E1}">
            <x14:dataBar minLength="0" maxLength="100" border="1" negativeBarBorderColorSameAsPositive="0">
              <x14:cfvo type="autoMin"/>
              <x14:cfvo type="autoMax"/>
              <x14:borderColor rgb="FF63C384"/>
              <x14:negativeFillColor rgb="FFFF0000"/>
              <x14:negativeBorderColor rgb="FFFF0000"/>
              <x14:axisColor rgb="FF000000"/>
            </x14:dataBar>
          </x14:cfRule>
          <xm:sqref>Z543</xm:sqref>
        </x14:conditionalFormatting>
        <x14:conditionalFormatting xmlns:xm="http://schemas.microsoft.com/office/excel/2006/main">
          <x14:cfRule type="dataBar" id="{953C9BC4-B937-4870-BA3A-622DA0B85199}">
            <x14:dataBar minLength="0" maxLength="100" border="1" negativeBarBorderColorSameAsPositive="0">
              <x14:cfvo type="autoMin"/>
              <x14:cfvo type="autoMax"/>
              <x14:borderColor rgb="FF63C384"/>
              <x14:negativeFillColor rgb="FFFF0000"/>
              <x14:negativeBorderColor rgb="FFFF0000"/>
              <x14:axisColor rgb="FF000000"/>
            </x14:dataBar>
          </x14:cfRule>
          <xm:sqref>Z543</xm:sqref>
        </x14:conditionalFormatting>
        <x14:conditionalFormatting xmlns:xm="http://schemas.microsoft.com/office/excel/2006/main">
          <x14:cfRule type="dataBar" id="{ED0E7724-E799-475C-9CEC-773A48B777FD}">
            <x14:dataBar minLength="0" maxLength="100" border="1" negativeBarBorderColorSameAsPositive="0">
              <x14:cfvo type="autoMin"/>
              <x14:cfvo type="autoMax"/>
              <x14:borderColor rgb="FF63C384"/>
              <x14:negativeFillColor rgb="FFFF0000"/>
              <x14:negativeBorderColor rgb="FFFF0000"/>
              <x14:axisColor rgb="FF000000"/>
            </x14:dataBar>
          </x14:cfRule>
          <xm:sqref>Z543</xm:sqref>
        </x14:conditionalFormatting>
        <x14:conditionalFormatting xmlns:xm="http://schemas.microsoft.com/office/excel/2006/main">
          <x14:cfRule type="dataBar" id="{8B0B4DB7-04E8-4DD8-B733-ABCD515966B3}">
            <x14:dataBar minLength="0" maxLength="100" border="1" negativeBarBorderColorSameAsPositive="0">
              <x14:cfvo type="autoMin"/>
              <x14:cfvo type="autoMax"/>
              <x14:borderColor rgb="FF63C384"/>
              <x14:negativeFillColor rgb="FFFF0000"/>
              <x14:negativeBorderColor rgb="FFFF0000"/>
              <x14:axisColor rgb="FF000000"/>
            </x14:dataBar>
          </x14:cfRule>
          <xm:sqref>Z544</xm:sqref>
        </x14:conditionalFormatting>
        <x14:conditionalFormatting xmlns:xm="http://schemas.microsoft.com/office/excel/2006/main">
          <x14:cfRule type="dataBar" id="{23B5A099-1022-499E-863F-A49A58328EEF}">
            <x14:dataBar minLength="0" maxLength="100" border="1" negativeBarBorderColorSameAsPositive="0">
              <x14:cfvo type="autoMin"/>
              <x14:cfvo type="autoMax"/>
              <x14:borderColor rgb="FF63C384"/>
              <x14:negativeFillColor rgb="FFFF0000"/>
              <x14:negativeBorderColor rgb="FFFF0000"/>
              <x14:axisColor rgb="FF000000"/>
            </x14:dataBar>
          </x14:cfRule>
          <xm:sqref>Z544</xm:sqref>
        </x14:conditionalFormatting>
        <x14:conditionalFormatting xmlns:xm="http://schemas.microsoft.com/office/excel/2006/main">
          <x14:cfRule type="dataBar" id="{D7DE73D9-8E87-4882-855A-A5F776E91953}">
            <x14:dataBar minLength="0" maxLength="100" border="1" negativeBarBorderColorSameAsPositive="0">
              <x14:cfvo type="autoMin"/>
              <x14:cfvo type="autoMax"/>
              <x14:borderColor rgb="FF63C384"/>
              <x14:negativeFillColor rgb="FFFF0000"/>
              <x14:negativeBorderColor rgb="FFFF0000"/>
              <x14:axisColor rgb="FF000000"/>
            </x14:dataBar>
          </x14:cfRule>
          <xm:sqref>Z545</xm:sqref>
        </x14:conditionalFormatting>
        <x14:conditionalFormatting xmlns:xm="http://schemas.microsoft.com/office/excel/2006/main">
          <x14:cfRule type="dataBar" id="{8E0A0C7D-4131-46AC-B450-16D6361F2E87}">
            <x14:dataBar minLength="0" maxLength="100" border="1" negativeBarBorderColorSameAsPositive="0">
              <x14:cfvo type="autoMin"/>
              <x14:cfvo type="autoMax"/>
              <x14:borderColor rgb="FF63C384"/>
              <x14:negativeFillColor rgb="FFFF0000"/>
              <x14:negativeBorderColor rgb="FFFF0000"/>
              <x14:axisColor rgb="FF000000"/>
            </x14:dataBar>
          </x14:cfRule>
          <xm:sqref>Z545</xm:sqref>
        </x14:conditionalFormatting>
        <x14:conditionalFormatting xmlns:xm="http://schemas.microsoft.com/office/excel/2006/main">
          <x14:cfRule type="dataBar" id="{09521BC1-3660-41E5-82DC-8C13C93DD0CB}">
            <x14:dataBar minLength="0" maxLength="100" border="1" negativeBarBorderColorSameAsPositive="0">
              <x14:cfvo type="autoMin"/>
              <x14:cfvo type="autoMax"/>
              <x14:borderColor rgb="FF63C384"/>
              <x14:negativeFillColor rgb="FFFF0000"/>
              <x14:negativeBorderColor rgb="FFFF0000"/>
              <x14:axisColor rgb="FF000000"/>
            </x14:dataBar>
          </x14:cfRule>
          <xm:sqref>Z546</xm:sqref>
        </x14:conditionalFormatting>
        <x14:conditionalFormatting xmlns:xm="http://schemas.microsoft.com/office/excel/2006/main">
          <x14:cfRule type="dataBar" id="{64659C06-81E4-4569-9676-7C403062657F}">
            <x14:dataBar minLength="0" maxLength="100" border="1" negativeBarBorderColorSameAsPositive="0">
              <x14:cfvo type="autoMin"/>
              <x14:cfvo type="autoMax"/>
              <x14:borderColor rgb="FF63C384"/>
              <x14:negativeFillColor rgb="FFFF0000"/>
              <x14:negativeBorderColor rgb="FFFF0000"/>
              <x14:axisColor rgb="FF000000"/>
            </x14:dataBar>
          </x14:cfRule>
          <xm:sqref>Z546</xm:sqref>
        </x14:conditionalFormatting>
        <x14:conditionalFormatting xmlns:xm="http://schemas.microsoft.com/office/excel/2006/main">
          <x14:cfRule type="dataBar" id="{CAA5F6B1-091D-4C8E-B6EE-7B82C81E89E6}">
            <x14:dataBar minLength="0" maxLength="100" border="1" negativeBarBorderColorSameAsPositive="0">
              <x14:cfvo type="autoMin"/>
              <x14:cfvo type="autoMax"/>
              <x14:borderColor rgb="FF63C384"/>
              <x14:negativeFillColor rgb="FFFF0000"/>
              <x14:negativeBorderColor rgb="FFFF0000"/>
              <x14:axisColor rgb="FF000000"/>
            </x14:dataBar>
          </x14:cfRule>
          <xm:sqref>Z546</xm:sqref>
        </x14:conditionalFormatting>
        <x14:conditionalFormatting xmlns:xm="http://schemas.microsoft.com/office/excel/2006/main">
          <x14:cfRule type="dataBar" id="{53F66525-B7F0-4676-BEC0-73E0EFD5973B}">
            <x14:dataBar minLength="0" maxLength="100" border="1" negativeBarBorderColorSameAsPositive="0">
              <x14:cfvo type="autoMin"/>
              <x14:cfvo type="autoMax"/>
              <x14:borderColor rgb="FF63C384"/>
              <x14:negativeFillColor rgb="FFFF0000"/>
              <x14:negativeBorderColor rgb="FFFF0000"/>
              <x14:axisColor rgb="FF000000"/>
            </x14:dataBar>
          </x14:cfRule>
          <xm:sqref>Z546</xm:sqref>
        </x14:conditionalFormatting>
        <x14:conditionalFormatting xmlns:xm="http://schemas.microsoft.com/office/excel/2006/main">
          <x14:cfRule type="dataBar" id="{A7DBD2F2-70BD-469F-83C4-CD39B55E78D4}">
            <x14:dataBar minLength="0" maxLength="100" border="1" negativeBarBorderColorSameAsPositive="0">
              <x14:cfvo type="autoMin"/>
              <x14:cfvo type="autoMax"/>
              <x14:borderColor rgb="FF63C384"/>
              <x14:negativeFillColor rgb="FFFF0000"/>
              <x14:negativeBorderColor rgb="FFFF0000"/>
              <x14:axisColor rgb="FF000000"/>
            </x14:dataBar>
          </x14:cfRule>
          <xm:sqref>Z546</xm:sqref>
        </x14:conditionalFormatting>
        <x14:conditionalFormatting xmlns:xm="http://schemas.microsoft.com/office/excel/2006/main">
          <x14:cfRule type="dataBar" id="{EA0BE8B1-EEE6-4388-BDA3-1D3559187C79}">
            <x14:dataBar minLength="0" maxLength="100" border="1" negativeBarBorderColorSameAsPositive="0">
              <x14:cfvo type="autoMin"/>
              <x14:cfvo type="autoMax"/>
              <x14:borderColor rgb="FF63C384"/>
              <x14:negativeFillColor rgb="FFFF0000"/>
              <x14:negativeBorderColor rgb="FFFF0000"/>
              <x14:axisColor rgb="FF000000"/>
            </x14:dataBar>
          </x14:cfRule>
          <xm:sqref>Z546</xm:sqref>
        </x14:conditionalFormatting>
        <x14:conditionalFormatting xmlns:xm="http://schemas.microsoft.com/office/excel/2006/main">
          <x14:cfRule type="dataBar" id="{CD760639-A2ED-43E8-9A67-543CEA00FA75}">
            <x14:dataBar minLength="0" maxLength="100" border="1" negativeBarBorderColorSameAsPositive="0">
              <x14:cfvo type="autoMin"/>
              <x14:cfvo type="autoMax"/>
              <x14:borderColor rgb="FF63C384"/>
              <x14:negativeFillColor rgb="FFFF0000"/>
              <x14:negativeBorderColor rgb="FFFF0000"/>
              <x14:axisColor rgb="FF000000"/>
            </x14:dataBar>
          </x14:cfRule>
          <xm:sqref>Z546</xm:sqref>
        </x14:conditionalFormatting>
        <x14:conditionalFormatting xmlns:xm="http://schemas.microsoft.com/office/excel/2006/main">
          <x14:cfRule type="dataBar" id="{D9996A90-6854-458C-BFF8-A6121DF41143}">
            <x14:dataBar minLength="0" maxLength="100" border="1" negativeBarBorderColorSameAsPositive="0">
              <x14:cfvo type="autoMin"/>
              <x14:cfvo type="autoMax"/>
              <x14:borderColor rgb="FF63C384"/>
              <x14:negativeFillColor rgb="FFFF0000"/>
              <x14:negativeBorderColor rgb="FFFF0000"/>
              <x14:axisColor rgb="FF000000"/>
            </x14:dataBar>
          </x14:cfRule>
          <xm:sqref>Z546</xm:sqref>
        </x14:conditionalFormatting>
        <x14:conditionalFormatting xmlns:xm="http://schemas.microsoft.com/office/excel/2006/main">
          <x14:cfRule type="dataBar" id="{AB6C1BFA-7C5B-4698-9216-DB2586FDEEA1}">
            <x14:dataBar minLength="0" maxLength="100" border="1" negativeBarBorderColorSameAsPositive="0">
              <x14:cfvo type="autoMin"/>
              <x14:cfvo type="autoMax"/>
              <x14:borderColor rgb="FF63C384"/>
              <x14:negativeFillColor rgb="FFFF0000"/>
              <x14:negativeBorderColor rgb="FFFF0000"/>
              <x14:axisColor rgb="FF000000"/>
            </x14:dataBar>
          </x14:cfRule>
          <xm:sqref>Z547</xm:sqref>
        </x14:conditionalFormatting>
        <x14:conditionalFormatting xmlns:xm="http://schemas.microsoft.com/office/excel/2006/main">
          <x14:cfRule type="dataBar" id="{E2EEAB93-17AC-4DC5-AF94-599E356BD903}">
            <x14:dataBar minLength="0" maxLength="100" border="1" negativeBarBorderColorSameAsPositive="0">
              <x14:cfvo type="autoMin"/>
              <x14:cfvo type="autoMax"/>
              <x14:borderColor rgb="FF63C384"/>
              <x14:negativeFillColor rgb="FFFF0000"/>
              <x14:negativeBorderColor rgb="FFFF0000"/>
              <x14:axisColor rgb="FF000000"/>
            </x14:dataBar>
          </x14:cfRule>
          <xm:sqref>Z547</xm:sqref>
        </x14:conditionalFormatting>
        <x14:conditionalFormatting xmlns:xm="http://schemas.microsoft.com/office/excel/2006/main">
          <x14:cfRule type="dataBar" id="{1E8158F5-5AC2-4063-82F1-BBB188996B3C}">
            <x14:dataBar minLength="0" maxLength="100" border="1" negativeBarBorderColorSameAsPositive="0">
              <x14:cfvo type="autoMin"/>
              <x14:cfvo type="autoMax"/>
              <x14:borderColor rgb="FF63C384"/>
              <x14:negativeFillColor rgb="FFFF0000"/>
              <x14:negativeBorderColor rgb="FFFF0000"/>
              <x14:axisColor rgb="FF000000"/>
            </x14:dataBar>
          </x14:cfRule>
          <xm:sqref>Z547</xm:sqref>
        </x14:conditionalFormatting>
        <x14:conditionalFormatting xmlns:xm="http://schemas.microsoft.com/office/excel/2006/main">
          <x14:cfRule type="dataBar" id="{CF9C4C3C-B229-490A-9FCC-390C34CEA0D2}">
            <x14:dataBar minLength="0" maxLength="100" border="1" negativeBarBorderColorSameAsPositive="0">
              <x14:cfvo type="autoMin"/>
              <x14:cfvo type="autoMax"/>
              <x14:borderColor rgb="FF63C384"/>
              <x14:negativeFillColor rgb="FFFF0000"/>
              <x14:negativeBorderColor rgb="FFFF0000"/>
              <x14:axisColor rgb="FF000000"/>
            </x14:dataBar>
          </x14:cfRule>
          <xm:sqref>Z548</xm:sqref>
        </x14:conditionalFormatting>
        <x14:conditionalFormatting xmlns:xm="http://schemas.microsoft.com/office/excel/2006/main">
          <x14:cfRule type="dataBar" id="{E093D3A2-7F10-4094-8B98-87EAC5E25EC5}">
            <x14:dataBar minLength="0" maxLength="100" border="1" negativeBarBorderColorSameAsPositive="0">
              <x14:cfvo type="autoMin"/>
              <x14:cfvo type="autoMax"/>
              <x14:borderColor rgb="FF63C384"/>
              <x14:negativeFillColor rgb="FFFF0000"/>
              <x14:negativeBorderColor rgb="FFFF0000"/>
              <x14:axisColor rgb="FF000000"/>
            </x14:dataBar>
          </x14:cfRule>
          <xm:sqref>Z548</xm:sqref>
        </x14:conditionalFormatting>
        <x14:conditionalFormatting xmlns:xm="http://schemas.microsoft.com/office/excel/2006/main">
          <x14:cfRule type="dataBar" id="{A721D9E3-BF01-4756-BA59-76BC01AE1351}">
            <x14:dataBar minLength="0" maxLength="100" border="1" negativeBarBorderColorSameAsPositive="0">
              <x14:cfvo type="autoMin"/>
              <x14:cfvo type="autoMax"/>
              <x14:borderColor rgb="FF63C384"/>
              <x14:negativeFillColor rgb="FFFF0000"/>
              <x14:negativeBorderColor rgb="FFFF0000"/>
              <x14:axisColor rgb="FF000000"/>
            </x14:dataBar>
          </x14:cfRule>
          <xm:sqref>Z549</xm:sqref>
        </x14:conditionalFormatting>
        <x14:conditionalFormatting xmlns:xm="http://schemas.microsoft.com/office/excel/2006/main">
          <x14:cfRule type="dataBar" id="{2A49016E-E49F-4F83-8C6B-BF2DBEE6D615}">
            <x14:dataBar minLength="0" maxLength="100" border="1" negativeBarBorderColorSameAsPositive="0">
              <x14:cfvo type="autoMin"/>
              <x14:cfvo type="autoMax"/>
              <x14:borderColor rgb="FF63C384"/>
              <x14:negativeFillColor rgb="FFFF0000"/>
              <x14:negativeBorderColor rgb="FFFF0000"/>
              <x14:axisColor rgb="FF000000"/>
            </x14:dataBar>
          </x14:cfRule>
          <xm:sqref>Z549</xm:sqref>
        </x14:conditionalFormatting>
        <x14:conditionalFormatting xmlns:xm="http://schemas.microsoft.com/office/excel/2006/main">
          <x14:cfRule type="dataBar" id="{9E2F74BF-3E3A-4E6F-BF6E-0449FCA77EC9}">
            <x14:dataBar minLength="0" maxLength="100" border="1" negativeBarBorderColorSameAsPositive="0">
              <x14:cfvo type="autoMin"/>
              <x14:cfvo type="autoMax"/>
              <x14:borderColor rgb="FF63C384"/>
              <x14:negativeFillColor rgb="FFFF0000"/>
              <x14:negativeBorderColor rgb="FFFF0000"/>
              <x14:axisColor rgb="FF000000"/>
            </x14:dataBar>
          </x14:cfRule>
          <xm:sqref>Z550</xm:sqref>
        </x14:conditionalFormatting>
        <x14:conditionalFormatting xmlns:xm="http://schemas.microsoft.com/office/excel/2006/main">
          <x14:cfRule type="dataBar" id="{A1B380C5-2954-49D7-AF07-8CE83FD61EE1}">
            <x14:dataBar minLength="0" maxLength="100" border="1" negativeBarBorderColorSameAsPositive="0">
              <x14:cfvo type="autoMin"/>
              <x14:cfvo type="autoMax"/>
              <x14:borderColor rgb="FF63C384"/>
              <x14:negativeFillColor rgb="FFFF0000"/>
              <x14:negativeBorderColor rgb="FFFF0000"/>
              <x14:axisColor rgb="FF000000"/>
            </x14:dataBar>
          </x14:cfRule>
          <xm:sqref>Z550</xm:sqref>
        </x14:conditionalFormatting>
        <x14:conditionalFormatting xmlns:xm="http://schemas.microsoft.com/office/excel/2006/main">
          <x14:cfRule type="dataBar" id="{3DF78557-A102-49A2-9D1C-8EF89C79EB55}">
            <x14:dataBar minLength="0" maxLength="100" border="1" negativeBarBorderColorSameAsPositive="0">
              <x14:cfvo type="autoMin"/>
              <x14:cfvo type="autoMax"/>
              <x14:borderColor rgb="FF63C384"/>
              <x14:negativeFillColor rgb="FFFF0000"/>
              <x14:negativeBorderColor rgb="FFFF0000"/>
              <x14:axisColor rgb="FF000000"/>
            </x14:dataBar>
          </x14:cfRule>
          <xm:sqref>Z551</xm:sqref>
        </x14:conditionalFormatting>
        <x14:conditionalFormatting xmlns:xm="http://schemas.microsoft.com/office/excel/2006/main">
          <x14:cfRule type="dataBar" id="{1EEDD027-66D7-4023-AC24-04933ECBAA3C}">
            <x14:dataBar minLength="0" maxLength="100" border="1" negativeBarBorderColorSameAsPositive="0">
              <x14:cfvo type="autoMin"/>
              <x14:cfvo type="autoMax"/>
              <x14:borderColor rgb="FF63C384"/>
              <x14:negativeFillColor rgb="FFFF0000"/>
              <x14:negativeBorderColor rgb="FFFF0000"/>
              <x14:axisColor rgb="FF000000"/>
            </x14:dataBar>
          </x14:cfRule>
          <xm:sqref>Z552</xm:sqref>
        </x14:conditionalFormatting>
        <x14:conditionalFormatting xmlns:xm="http://schemas.microsoft.com/office/excel/2006/main">
          <x14:cfRule type="dataBar" id="{C45617AE-CE34-41E9-A0B4-833A477D3E50}">
            <x14:dataBar minLength="0" maxLength="100" border="1" negativeBarBorderColorSameAsPositive="0">
              <x14:cfvo type="autoMin"/>
              <x14:cfvo type="autoMax"/>
              <x14:borderColor rgb="FF63C384"/>
              <x14:negativeFillColor rgb="FFFF0000"/>
              <x14:negativeBorderColor rgb="FFFF0000"/>
              <x14:axisColor rgb="FF000000"/>
            </x14:dataBar>
          </x14:cfRule>
          <xm:sqref>Z553</xm:sqref>
        </x14:conditionalFormatting>
        <x14:conditionalFormatting xmlns:xm="http://schemas.microsoft.com/office/excel/2006/main">
          <x14:cfRule type="dataBar" id="{7F9BC6F9-7C52-4E07-91C3-78261678DAA4}">
            <x14:dataBar minLength="0" maxLength="100" border="1" negativeBarBorderColorSameAsPositive="0">
              <x14:cfvo type="autoMin"/>
              <x14:cfvo type="autoMax"/>
              <x14:borderColor rgb="FF63C384"/>
              <x14:negativeFillColor rgb="FFFF0000"/>
              <x14:negativeBorderColor rgb="FFFF0000"/>
              <x14:axisColor rgb="FF000000"/>
            </x14:dataBar>
          </x14:cfRule>
          <xm:sqref>Z553</xm:sqref>
        </x14:conditionalFormatting>
        <x14:conditionalFormatting xmlns:xm="http://schemas.microsoft.com/office/excel/2006/main">
          <x14:cfRule type="dataBar" id="{83C7B644-03A1-4655-A29A-C51C3CEEA866}">
            <x14:dataBar minLength="0" maxLength="100" border="1" negativeBarBorderColorSameAsPositive="0">
              <x14:cfvo type="autoMin"/>
              <x14:cfvo type="autoMax"/>
              <x14:borderColor rgb="FF63C384"/>
              <x14:negativeFillColor rgb="FFFF0000"/>
              <x14:negativeBorderColor rgb="FFFF0000"/>
              <x14:axisColor rgb="FF000000"/>
            </x14:dataBar>
          </x14:cfRule>
          <xm:sqref>Z553</xm:sqref>
        </x14:conditionalFormatting>
        <x14:conditionalFormatting xmlns:xm="http://schemas.microsoft.com/office/excel/2006/main">
          <x14:cfRule type="dataBar" id="{9FEED9D5-3A97-4C58-9EEB-A66A7EE7F3E8}">
            <x14:dataBar minLength="0" maxLength="100" border="1" negativeBarBorderColorSameAsPositive="0">
              <x14:cfvo type="autoMin"/>
              <x14:cfvo type="autoMax"/>
              <x14:borderColor rgb="FF63C384"/>
              <x14:negativeFillColor rgb="FFFF0000"/>
              <x14:negativeBorderColor rgb="FFFF0000"/>
              <x14:axisColor rgb="FF000000"/>
            </x14:dataBar>
          </x14:cfRule>
          <xm:sqref>Z553</xm:sqref>
        </x14:conditionalFormatting>
        <x14:conditionalFormatting xmlns:xm="http://schemas.microsoft.com/office/excel/2006/main">
          <x14:cfRule type="dataBar" id="{392F5D52-24F0-4029-9D4C-9686D3500A4B}">
            <x14:dataBar minLength="0" maxLength="100" border="1" negativeBarBorderColorSameAsPositive="0">
              <x14:cfvo type="autoMin"/>
              <x14:cfvo type="autoMax"/>
              <x14:borderColor rgb="FF63C384"/>
              <x14:negativeFillColor rgb="FFFF0000"/>
              <x14:negativeBorderColor rgb="FFFF0000"/>
              <x14:axisColor rgb="FF000000"/>
            </x14:dataBar>
          </x14:cfRule>
          <xm:sqref>Z554</xm:sqref>
        </x14:conditionalFormatting>
        <x14:conditionalFormatting xmlns:xm="http://schemas.microsoft.com/office/excel/2006/main">
          <x14:cfRule type="dataBar" id="{70433009-E355-49BF-BF44-A3225A952E09}">
            <x14:dataBar minLength="0" maxLength="100" border="1" negativeBarBorderColorSameAsPositive="0">
              <x14:cfvo type="autoMin"/>
              <x14:cfvo type="autoMax"/>
              <x14:borderColor rgb="FF63C384"/>
              <x14:negativeFillColor rgb="FFFF0000"/>
              <x14:negativeBorderColor rgb="FFFF0000"/>
              <x14:axisColor rgb="FF000000"/>
            </x14:dataBar>
          </x14:cfRule>
          <xm:sqref>Z554</xm:sqref>
        </x14:conditionalFormatting>
        <x14:conditionalFormatting xmlns:xm="http://schemas.microsoft.com/office/excel/2006/main">
          <x14:cfRule type="dataBar" id="{CC93E049-79FD-4584-A268-3729E0D80245}">
            <x14:dataBar minLength="0" maxLength="100" border="1" negativeBarBorderColorSameAsPositive="0">
              <x14:cfvo type="autoMin"/>
              <x14:cfvo type="autoMax"/>
              <x14:borderColor rgb="FF63C384"/>
              <x14:negativeFillColor rgb="FFFF0000"/>
              <x14:negativeBorderColor rgb="FFFF0000"/>
              <x14:axisColor rgb="FF000000"/>
            </x14:dataBar>
          </x14:cfRule>
          <xm:sqref>Z555</xm:sqref>
        </x14:conditionalFormatting>
        <x14:conditionalFormatting xmlns:xm="http://schemas.microsoft.com/office/excel/2006/main">
          <x14:cfRule type="dataBar" id="{288029DB-1D3A-477C-9830-88C497D39937}">
            <x14:dataBar minLength="0" maxLength="100" border="1" negativeBarBorderColorSameAsPositive="0">
              <x14:cfvo type="autoMin"/>
              <x14:cfvo type="autoMax"/>
              <x14:borderColor rgb="FF63C384"/>
              <x14:negativeFillColor rgb="FFFF0000"/>
              <x14:negativeBorderColor rgb="FFFF0000"/>
              <x14:axisColor rgb="FF000000"/>
            </x14:dataBar>
          </x14:cfRule>
          <xm:sqref>Z555</xm:sqref>
        </x14:conditionalFormatting>
        <x14:conditionalFormatting xmlns:xm="http://schemas.microsoft.com/office/excel/2006/main">
          <x14:cfRule type="dataBar" id="{FF7BADED-7430-43E7-ABAB-6C51ACED5264}">
            <x14:dataBar minLength="0" maxLength="100" border="1" negativeBarBorderColorSameAsPositive="0">
              <x14:cfvo type="autoMin"/>
              <x14:cfvo type="autoMax"/>
              <x14:borderColor rgb="FF63C384"/>
              <x14:negativeFillColor rgb="FFFF0000"/>
              <x14:negativeBorderColor rgb="FFFF0000"/>
              <x14:axisColor rgb="FF000000"/>
            </x14:dataBar>
          </x14:cfRule>
          <xm:sqref>Z556</xm:sqref>
        </x14:conditionalFormatting>
        <x14:conditionalFormatting xmlns:xm="http://schemas.microsoft.com/office/excel/2006/main">
          <x14:cfRule type="dataBar" id="{6EC76F3E-F1D2-4B9A-94CE-75927916D6FF}">
            <x14:dataBar minLength="0" maxLength="100" border="1" negativeBarBorderColorSameAsPositive="0">
              <x14:cfvo type="autoMin"/>
              <x14:cfvo type="autoMax"/>
              <x14:borderColor rgb="FF63C384"/>
              <x14:negativeFillColor rgb="FFFF0000"/>
              <x14:negativeBorderColor rgb="FFFF0000"/>
              <x14:axisColor rgb="FF000000"/>
            </x14:dataBar>
          </x14:cfRule>
          <xm:sqref>Z556</xm:sqref>
        </x14:conditionalFormatting>
        <x14:conditionalFormatting xmlns:xm="http://schemas.microsoft.com/office/excel/2006/main">
          <x14:cfRule type="dataBar" id="{80BABAAD-3763-47DC-90E2-2D882FE38F9B}">
            <x14:dataBar minLength="0" maxLength="100" border="1" negativeBarBorderColorSameAsPositive="0">
              <x14:cfvo type="autoMin"/>
              <x14:cfvo type="autoMax"/>
              <x14:borderColor rgb="FF63C384"/>
              <x14:negativeFillColor rgb="FFFF0000"/>
              <x14:negativeBorderColor rgb="FFFF0000"/>
              <x14:axisColor rgb="FF000000"/>
            </x14:dataBar>
          </x14:cfRule>
          <xm:sqref>Z557</xm:sqref>
        </x14:conditionalFormatting>
        <x14:conditionalFormatting xmlns:xm="http://schemas.microsoft.com/office/excel/2006/main">
          <x14:cfRule type="dataBar" id="{27FDB3A6-8046-4AF4-BE93-316CE224EE8B}">
            <x14:dataBar minLength="0" maxLength="100" border="1" negativeBarBorderColorSameAsPositive="0">
              <x14:cfvo type="autoMin"/>
              <x14:cfvo type="autoMax"/>
              <x14:borderColor rgb="FF63C384"/>
              <x14:negativeFillColor rgb="FFFF0000"/>
              <x14:negativeBorderColor rgb="FFFF0000"/>
              <x14:axisColor rgb="FF000000"/>
            </x14:dataBar>
          </x14:cfRule>
          <xm:sqref>Z557</xm:sqref>
        </x14:conditionalFormatting>
        <x14:conditionalFormatting xmlns:xm="http://schemas.microsoft.com/office/excel/2006/main">
          <x14:cfRule type="dataBar" id="{BF7707F4-237B-4B37-ACB1-644BC36D3295}">
            <x14:dataBar minLength="0" maxLength="100" border="1" negativeBarBorderColorSameAsPositive="0">
              <x14:cfvo type="autoMin"/>
              <x14:cfvo type="autoMax"/>
              <x14:borderColor rgb="FF63C384"/>
              <x14:negativeFillColor rgb="FFFF0000"/>
              <x14:negativeBorderColor rgb="FFFF0000"/>
              <x14:axisColor rgb="FF000000"/>
            </x14:dataBar>
          </x14:cfRule>
          <xm:sqref>Z557</xm:sqref>
        </x14:conditionalFormatting>
        <x14:conditionalFormatting xmlns:xm="http://schemas.microsoft.com/office/excel/2006/main">
          <x14:cfRule type="dataBar" id="{D67CB468-717D-4A37-A07A-09E9A3E0B24E}">
            <x14:dataBar minLength="0" maxLength="100" border="1" negativeBarBorderColorSameAsPositive="0">
              <x14:cfvo type="autoMin"/>
              <x14:cfvo type="autoMax"/>
              <x14:borderColor rgb="FF63C384"/>
              <x14:negativeFillColor rgb="FFFF0000"/>
              <x14:negativeBorderColor rgb="FFFF0000"/>
              <x14:axisColor rgb="FF000000"/>
            </x14:dataBar>
          </x14:cfRule>
          <xm:sqref>Z557</xm:sqref>
        </x14:conditionalFormatting>
        <x14:conditionalFormatting xmlns:xm="http://schemas.microsoft.com/office/excel/2006/main">
          <x14:cfRule type="dataBar" id="{A5B129CD-7241-4FB2-9AD9-FB75E48E3477}">
            <x14:dataBar minLength="0" maxLength="100" border="1" negativeBarBorderColorSameAsPositive="0">
              <x14:cfvo type="autoMin"/>
              <x14:cfvo type="autoMax"/>
              <x14:borderColor rgb="FF63C384"/>
              <x14:negativeFillColor rgb="FFFF0000"/>
              <x14:negativeBorderColor rgb="FFFF0000"/>
              <x14:axisColor rgb="FF000000"/>
            </x14:dataBar>
          </x14:cfRule>
          <xm:sqref>Z557</xm:sqref>
        </x14:conditionalFormatting>
        <x14:conditionalFormatting xmlns:xm="http://schemas.microsoft.com/office/excel/2006/main">
          <x14:cfRule type="dataBar" id="{0D8A9979-F432-490E-A012-4E0FA562D938}">
            <x14:dataBar minLength="0" maxLength="100" border="1" negativeBarBorderColorSameAsPositive="0">
              <x14:cfvo type="autoMin"/>
              <x14:cfvo type="autoMax"/>
              <x14:borderColor rgb="FF63C384"/>
              <x14:negativeFillColor rgb="FFFF0000"/>
              <x14:negativeBorderColor rgb="FFFF0000"/>
              <x14:axisColor rgb="FF000000"/>
            </x14:dataBar>
          </x14:cfRule>
          <xm:sqref>Z557</xm:sqref>
        </x14:conditionalFormatting>
        <x14:conditionalFormatting xmlns:xm="http://schemas.microsoft.com/office/excel/2006/main">
          <x14:cfRule type="dataBar" id="{51032F8F-6390-4553-BFB5-A6A9477783DB}">
            <x14:dataBar minLength="0" maxLength="100" border="1" negativeBarBorderColorSameAsPositive="0">
              <x14:cfvo type="autoMin"/>
              <x14:cfvo type="autoMax"/>
              <x14:borderColor rgb="FF63C384"/>
              <x14:negativeFillColor rgb="FFFF0000"/>
              <x14:negativeBorderColor rgb="FFFF0000"/>
              <x14:axisColor rgb="FF000000"/>
            </x14:dataBar>
          </x14:cfRule>
          <xm:sqref>Z557</xm:sqref>
        </x14:conditionalFormatting>
        <x14:conditionalFormatting xmlns:xm="http://schemas.microsoft.com/office/excel/2006/main">
          <x14:cfRule type="dataBar" id="{3264FBBF-14E5-4E90-8E05-77998A565FEE}">
            <x14:dataBar minLength="0" maxLength="100" border="1" negativeBarBorderColorSameAsPositive="0">
              <x14:cfvo type="autoMin"/>
              <x14:cfvo type="autoMax"/>
              <x14:borderColor rgb="FF63C384"/>
              <x14:negativeFillColor rgb="FFFF0000"/>
              <x14:negativeBorderColor rgb="FFFF0000"/>
              <x14:axisColor rgb="FF000000"/>
            </x14:dataBar>
          </x14:cfRule>
          <xm:sqref>Z557</xm:sqref>
        </x14:conditionalFormatting>
        <x14:conditionalFormatting xmlns:xm="http://schemas.microsoft.com/office/excel/2006/main">
          <x14:cfRule type="dataBar" id="{6ED09EDC-43ED-4FCC-A483-43BC6B485369}">
            <x14:dataBar minLength="0" maxLength="100" border="1" negativeBarBorderColorSameAsPositive="0">
              <x14:cfvo type="autoMin"/>
              <x14:cfvo type="autoMax"/>
              <x14:borderColor rgb="FF63C384"/>
              <x14:negativeFillColor rgb="FFFF0000"/>
              <x14:negativeBorderColor rgb="FFFF0000"/>
              <x14:axisColor rgb="FF000000"/>
            </x14:dataBar>
          </x14:cfRule>
          <xm:sqref>Z558</xm:sqref>
        </x14:conditionalFormatting>
        <x14:conditionalFormatting xmlns:xm="http://schemas.microsoft.com/office/excel/2006/main">
          <x14:cfRule type="dataBar" id="{3B5D8F6E-349D-460D-A3F4-8D76EB0A4C91}">
            <x14:dataBar minLength="0" maxLength="100" border="1" negativeBarBorderColorSameAsPositive="0">
              <x14:cfvo type="autoMin"/>
              <x14:cfvo type="autoMax"/>
              <x14:borderColor rgb="FF63C384"/>
              <x14:negativeFillColor rgb="FFFF0000"/>
              <x14:negativeBorderColor rgb="FFFF0000"/>
              <x14:axisColor rgb="FF000000"/>
            </x14:dataBar>
          </x14:cfRule>
          <xm:sqref>Z558</xm:sqref>
        </x14:conditionalFormatting>
        <x14:conditionalFormatting xmlns:xm="http://schemas.microsoft.com/office/excel/2006/main">
          <x14:cfRule type="dataBar" id="{AB945125-17F9-4B84-A4CA-45332948220A}">
            <x14:dataBar minLength="0" maxLength="100" border="1" negativeBarBorderColorSameAsPositive="0">
              <x14:cfvo type="autoMin"/>
              <x14:cfvo type="autoMax"/>
              <x14:borderColor rgb="FF63C384"/>
              <x14:negativeFillColor rgb="FFFF0000"/>
              <x14:negativeBorderColor rgb="FFFF0000"/>
              <x14:axisColor rgb="FF000000"/>
            </x14:dataBar>
          </x14:cfRule>
          <xm:sqref>Z558</xm:sqref>
        </x14:conditionalFormatting>
        <x14:conditionalFormatting xmlns:xm="http://schemas.microsoft.com/office/excel/2006/main">
          <x14:cfRule type="dataBar" id="{902EFFFE-0832-4E1D-A9E2-666EE462A634}">
            <x14:dataBar minLength="0" maxLength="100" border="1" negativeBarBorderColorSameAsPositive="0">
              <x14:cfvo type="autoMin"/>
              <x14:cfvo type="autoMax"/>
              <x14:borderColor rgb="FF63C384"/>
              <x14:negativeFillColor rgb="FFFF0000"/>
              <x14:negativeBorderColor rgb="FFFF0000"/>
              <x14:axisColor rgb="FF000000"/>
            </x14:dataBar>
          </x14:cfRule>
          <xm:sqref>Z559</xm:sqref>
        </x14:conditionalFormatting>
        <x14:conditionalFormatting xmlns:xm="http://schemas.microsoft.com/office/excel/2006/main">
          <x14:cfRule type="dataBar" id="{8F0C921E-8C2C-4C5B-8679-370A9C482DD4}">
            <x14:dataBar minLength="0" maxLength="100" border="1" negativeBarBorderColorSameAsPositive="0">
              <x14:cfvo type="autoMin"/>
              <x14:cfvo type="autoMax"/>
              <x14:borderColor rgb="FF63C384"/>
              <x14:negativeFillColor rgb="FFFF0000"/>
              <x14:negativeBorderColor rgb="FFFF0000"/>
              <x14:axisColor rgb="FF000000"/>
            </x14:dataBar>
          </x14:cfRule>
          <xm:sqref>Z559</xm:sqref>
        </x14:conditionalFormatting>
        <x14:conditionalFormatting xmlns:xm="http://schemas.microsoft.com/office/excel/2006/main">
          <x14:cfRule type="dataBar" id="{57E9A569-F22C-49B8-893E-1F1BE0E926B4}">
            <x14:dataBar minLength="0" maxLength="100" border="1" negativeBarBorderColorSameAsPositive="0">
              <x14:cfvo type="autoMin"/>
              <x14:cfvo type="autoMax"/>
              <x14:borderColor rgb="FF63C384"/>
              <x14:negativeFillColor rgb="FFFF0000"/>
              <x14:negativeBorderColor rgb="FFFF0000"/>
              <x14:axisColor rgb="FF000000"/>
            </x14:dataBar>
          </x14:cfRule>
          <xm:sqref>Z560</xm:sqref>
        </x14:conditionalFormatting>
        <x14:conditionalFormatting xmlns:xm="http://schemas.microsoft.com/office/excel/2006/main">
          <x14:cfRule type="dataBar" id="{F936E1BE-324C-4C9D-BC72-80261146742E}">
            <x14:dataBar minLength="0" maxLength="100" border="1" negativeBarBorderColorSameAsPositive="0">
              <x14:cfvo type="autoMin"/>
              <x14:cfvo type="autoMax"/>
              <x14:borderColor rgb="FF63C384"/>
              <x14:negativeFillColor rgb="FFFF0000"/>
              <x14:negativeBorderColor rgb="FFFF0000"/>
              <x14:axisColor rgb="FF000000"/>
            </x14:dataBar>
          </x14:cfRule>
          <xm:sqref>Z560</xm:sqref>
        </x14:conditionalFormatting>
        <x14:conditionalFormatting xmlns:xm="http://schemas.microsoft.com/office/excel/2006/main">
          <x14:cfRule type="dataBar" id="{94D01D9D-C4A0-4237-886D-4390D35C2740}">
            <x14:dataBar minLength="0" maxLength="100" border="1" negativeBarBorderColorSameAsPositive="0">
              <x14:cfvo type="autoMin"/>
              <x14:cfvo type="autoMax"/>
              <x14:borderColor rgb="FF63C384"/>
              <x14:negativeFillColor rgb="FFFF0000"/>
              <x14:negativeBorderColor rgb="FFFF0000"/>
              <x14:axisColor rgb="FF000000"/>
            </x14:dataBar>
          </x14:cfRule>
          <xm:sqref>Z561</xm:sqref>
        </x14:conditionalFormatting>
        <x14:conditionalFormatting xmlns:xm="http://schemas.microsoft.com/office/excel/2006/main">
          <x14:cfRule type="dataBar" id="{4A5ED52B-D959-466F-8DE4-5119704C8E0A}">
            <x14:dataBar minLength="0" maxLength="100" border="1" negativeBarBorderColorSameAsPositive="0">
              <x14:cfvo type="autoMin"/>
              <x14:cfvo type="autoMax"/>
              <x14:borderColor rgb="FF63C384"/>
              <x14:negativeFillColor rgb="FFFF0000"/>
              <x14:negativeBorderColor rgb="FFFF0000"/>
              <x14:axisColor rgb="FF000000"/>
            </x14:dataBar>
          </x14:cfRule>
          <xm:sqref>Z561</xm:sqref>
        </x14:conditionalFormatting>
        <x14:conditionalFormatting xmlns:xm="http://schemas.microsoft.com/office/excel/2006/main">
          <x14:cfRule type="dataBar" id="{F3E59EDA-1569-4F95-A678-C1E635E51837}">
            <x14:dataBar minLength="0" maxLength="100" border="1" negativeBarBorderColorSameAsPositive="0">
              <x14:cfvo type="autoMin"/>
              <x14:cfvo type="autoMax"/>
              <x14:borderColor rgb="FF63C384"/>
              <x14:negativeFillColor rgb="FFFF0000"/>
              <x14:negativeBorderColor rgb="FFFF0000"/>
              <x14:axisColor rgb="FF000000"/>
            </x14:dataBar>
          </x14:cfRule>
          <xm:sqref>Z562</xm:sqref>
        </x14:conditionalFormatting>
        <x14:conditionalFormatting xmlns:xm="http://schemas.microsoft.com/office/excel/2006/main">
          <x14:cfRule type="dataBar" id="{7358443B-FCDF-44CA-AC87-34D48369DCD8}">
            <x14:dataBar minLength="0" maxLength="100" border="1" negativeBarBorderColorSameAsPositive="0">
              <x14:cfvo type="autoMin"/>
              <x14:cfvo type="autoMax"/>
              <x14:borderColor rgb="FF63C384"/>
              <x14:negativeFillColor rgb="FFFF0000"/>
              <x14:negativeBorderColor rgb="FFFF0000"/>
              <x14:axisColor rgb="FF000000"/>
            </x14:dataBar>
          </x14:cfRule>
          <xm:sqref>Z562</xm:sqref>
        </x14:conditionalFormatting>
        <x14:conditionalFormatting xmlns:xm="http://schemas.microsoft.com/office/excel/2006/main">
          <x14:cfRule type="dataBar" id="{65EEBAC7-8E9A-4706-86CF-ED497CF271FD}">
            <x14:dataBar minLength="0" maxLength="100" border="1" negativeBarBorderColorSameAsPositive="0">
              <x14:cfvo type="autoMin"/>
              <x14:cfvo type="autoMax"/>
              <x14:borderColor rgb="FF63C384"/>
              <x14:negativeFillColor rgb="FFFF0000"/>
              <x14:negativeBorderColor rgb="FFFF0000"/>
              <x14:axisColor rgb="FF000000"/>
            </x14:dataBar>
          </x14:cfRule>
          <xm:sqref>Z563</xm:sqref>
        </x14:conditionalFormatting>
        <x14:conditionalFormatting xmlns:xm="http://schemas.microsoft.com/office/excel/2006/main">
          <x14:cfRule type="dataBar" id="{2AE14ABE-CE0A-4A1E-866A-A747420A95FC}">
            <x14:dataBar minLength="0" maxLength="100" border="1" negativeBarBorderColorSameAsPositive="0">
              <x14:cfvo type="autoMin"/>
              <x14:cfvo type="autoMax"/>
              <x14:borderColor rgb="FF63C384"/>
              <x14:negativeFillColor rgb="FFFF0000"/>
              <x14:negativeBorderColor rgb="FFFF0000"/>
              <x14:axisColor rgb="FF000000"/>
            </x14:dataBar>
          </x14:cfRule>
          <xm:sqref>Z563</xm:sqref>
        </x14:conditionalFormatting>
        <x14:conditionalFormatting xmlns:xm="http://schemas.microsoft.com/office/excel/2006/main">
          <x14:cfRule type="dataBar" id="{105C0E13-C0B3-4188-90AE-06E4A8F1FA30}">
            <x14:dataBar minLength="0" maxLength="100" border="1" negativeBarBorderColorSameAsPositive="0">
              <x14:cfvo type="autoMin"/>
              <x14:cfvo type="autoMax"/>
              <x14:borderColor rgb="FF63C384"/>
              <x14:negativeFillColor rgb="FFFF0000"/>
              <x14:negativeBorderColor rgb="FFFF0000"/>
              <x14:axisColor rgb="FF000000"/>
            </x14:dataBar>
          </x14:cfRule>
          <xm:sqref>Z564</xm:sqref>
        </x14:conditionalFormatting>
        <x14:conditionalFormatting xmlns:xm="http://schemas.microsoft.com/office/excel/2006/main">
          <x14:cfRule type="dataBar" id="{A9772E0E-E27B-4FF5-9F9B-E0097A127E28}">
            <x14:dataBar minLength="0" maxLength="100" border="1" negativeBarBorderColorSameAsPositive="0">
              <x14:cfvo type="autoMin"/>
              <x14:cfvo type="autoMax"/>
              <x14:borderColor rgb="FF63C384"/>
              <x14:negativeFillColor rgb="FFFF0000"/>
              <x14:negativeBorderColor rgb="FFFF0000"/>
              <x14:axisColor rgb="FF000000"/>
            </x14:dataBar>
          </x14:cfRule>
          <xm:sqref>Z564</xm:sqref>
        </x14:conditionalFormatting>
        <x14:conditionalFormatting xmlns:xm="http://schemas.microsoft.com/office/excel/2006/main">
          <x14:cfRule type="dataBar" id="{0CDC40A9-16B4-454A-A9D2-8F8F8B3710C5}">
            <x14:dataBar minLength="0" maxLength="100" border="1" negativeBarBorderColorSameAsPositive="0">
              <x14:cfvo type="autoMin"/>
              <x14:cfvo type="autoMax"/>
              <x14:borderColor rgb="FF63C384"/>
              <x14:negativeFillColor rgb="FFFF0000"/>
              <x14:negativeBorderColor rgb="FFFF0000"/>
              <x14:axisColor rgb="FF000000"/>
            </x14:dataBar>
          </x14:cfRule>
          <xm:sqref>Z565</xm:sqref>
        </x14:conditionalFormatting>
        <x14:conditionalFormatting xmlns:xm="http://schemas.microsoft.com/office/excel/2006/main">
          <x14:cfRule type="dataBar" id="{4A04E3FB-D60D-45B9-AFD8-70DCEE31B052}">
            <x14:dataBar minLength="0" maxLength="100" border="1" negativeBarBorderColorSameAsPositive="0">
              <x14:cfvo type="autoMin"/>
              <x14:cfvo type="autoMax"/>
              <x14:borderColor rgb="FF63C384"/>
              <x14:negativeFillColor rgb="FFFF0000"/>
              <x14:negativeBorderColor rgb="FFFF0000"/>
              <x14:axisColor rgb="FF000000"/>
            </x14:dataBar>
          </x14:cfRule>
          <xm:sqref>Z565</xm:sqref>
        </x14:conditionalFormatting>
        <x14:conditionalFormatting xmlns:xm="http://schemas.microsoft.com/office/excel/2006/main">
          <x14:cfRule type="dataBar" id="{4967D8BB-1635-432A-97E7-D0328071B7E6}">
            <x14:dataBar minLength="0" maxLength="100" border="1" negativeBarBorderColorSameAsPositive="0">
              <x14:cfvo type="autoMin"/>
              <x14:cfvo type="autoMax"/>
              <x14:borderColor rgb="FF63C384"/>
              <x14:negativeFillColor rgb="FFFF0000"/>
              <x14:negativeBorderColor rgb="FFFF0000"/>
              <x14:axisColor rgb="FF000000"/>
            </x14:dataBar>
          </x14:cfRule>
          <xm:sqref>Z566</xm:sqref>
        </x14:conditionalFormatting>
        <x14:conditionalFormatting xmlns:xm="http://schemas.microsoft.com/office/excel/2006/main">
          <x14:cfRule type="dataBar" id="{2324CC5A-8840-4DF3-AC7E-8DCA9F1219AA}">
            <x14:dataBar minLength="0" maxLength="100" border="1" negativeBarBorderColorSameAsPositive="0">
              <x14:cfvo type="autoMin"/>
              <x14:cfvo type="autoMax"/>
              <x14:borderColor rgb="FF63C384"/>
              <x14:negativeFillColor rgb="FFFF0000"/>
              <x14:negativeBorderColor rgb="FFFF0000"/>
              <x14:axisColor rgb="FF000000"/>
            </x14:dataBar>
          </x14:cfRule>
          <xm:sqref>Z566</xm:sqref>
        </x14:conditionalFormatting>
        <x14:conditionalFormatting xmlns:xm="http://schemas.microsoft.com/office/excel/2006/main">
          <x14:cfRule type="dataBar" id="{1A6FC47B-55AD-42EE-ABC9-0A55F9D8E32F}">
            <x14:dataBar minLength="0" maxLength="100" border="1" negativeBarBorderColorSameAsPositive="0">
              <x14:cfvo type="autoMin"/>
              <x14:cfvo type="autoMax"/>
              <x14:borderColor rgb="FF63C384"/>
              <x14:negativeFillColor rgb="FFFF0000"/>
              <x14:negativeBorderColor rgb="FFFF0000"/>
              <x14:axisColor rgb="FF000000"/>
            </x14:dataBar>
          </x14:cfRule>
          <xm:sqref>Z567</xm:sqref>
        </x14:conditionalFormatting>
        <x14:conditionalFormatting xmlns:xm="http://schemas.microsoft.com/office/excel/2006/main">
          <x14:cfRule type="dataBar" id="{4F4CFAC4-57E8-4A61-93D6-8BDEB228630B}">
            <x14:dataBar minLength="0" maxLength="100" border="1" negativeBarBorderColorSameAsPositive="0">
              <x14:cfvo type="autoMin"/>
              <x14:cfvo type="autoMax"/>
              <x14:borderColor rgb="FF63C384"/>
              <x14:negativeFillColor rgb="FFFF0000"/>
              <x14:negativeBorderColor rgb="FFFF0000"/>
              <x14:axisColor rgb="FF000000"/>
            </x14:dataBar>
          </x14:cfRule>
          <xm:sqref>Z567</xm:sqref>
        </x14:conditionalFormatting>
        <x14:conditionalFormatting xmlns:xm="http://schemas.microsoft.com/office/excel/2006/main">
          <x14:cfRule type="dataBar" id="{377275B4-E9AF-4195-A9BB-C848D619570D}">
            <x14:dataBar minLength="0" maxLength="100" border="1" negativeBarBorderColorSameAsPositive="0">
              <x14:cfvo type="autoMin"/>
              <x14:cfvo type="autoMax"/>
              <x14:borderColor rgb="FF63C384"/>
              <x14:negativeFillColor rgb="FFFF0000"/>
              <x14:negativeBorderColor rgb="FFFF0000"/>
              <x14:axisColor rgb="FF000000"/>
            </x14:dataBar>
          </x14:cfRule>
          <xm:sqref>Z568</xm:sqref>
        </x14:conditionalFormatting>
        <x14:conditionalFormatting xmlns:xm="http://schemas.microsoft.com/office/excel/2006/main">
          <x14:cfRule type="dataBar" id="{3297EC28-94D6-4F2A-A9B6-BE76744B11F5}">
            <x14:dataBar minLength="0" maxLength="100" border="1" negativeBarBorderColorSameAsPositive="0">
              <x14:cfvo type="autoMin"/>
              <x14:cfvo type="autoMax"/>
              <x14:borderColor rgb="FF63C384"/>
              <x14:negativeFillColor rgb="FFFF0000"/>
              <x14:negativeBorderColor rgb="FFFF0000"/>
              <x14:axisColor rgb="FF000000"/>
            </x14:dataBar>
          </x14:cfRule>
          <xm:sqref>Z568</xm:sqref>
        </x14:conditionalFormatting>
        <x14:conditionalFormatting xmlns:xm="http://schemas.microsoft.com/office/excel/2006/main">
          <x14:cfRule type="dataBar" id="{8086CA61-5964-47BF-B6DD-4C54D69CB031}">
            <x14:dataBar minLength="0" maxLength="100" border="1" negativeBarBorderColorSameAsPositive="0">
              <x14:cfvo type="autoMin"/>
              <x14:cfvo type="autoMax"/>
              <x14:borderColor rgb="FF63C384"/>
              <x14:negativeFillColor rgb="FFFF0000"/>
              <x14:negativeBorderColor rgb="FFFF0000"/>
              <x14:axisColor rgb="FF000000"/>
            </x14:dataBar>
          </x14:cfRule>
          <xm:sqref>Z568</xm:sqref>
        </x14:conditionalFormatting>
        <x14:conditionalFormatting xmlns:xm="http://schemas.microsoft.com/office/excel/2006/main">
          <x14:cfRule type="dataBar" id="{7DCB7468-CAC8-4575-B523-79FEE343662E}">
            <x14:dataBar minLength="0" maxLength="100" border="1" negativeBarBorderColorSameAsPositive="0">
              <x14:cfvo type="autoMin"/>
              <x14:cfvo type="autoMax"/>
              <x14:borderColor rgb="FF63C384"/>
              <x14:negativeFillColor rgb="FFFF0000"/>
              <x14:negativeBorderColor rgb="FFFF0000"/>
              <x14:axisColor rgb="FF000000"/>
            </x14:dataBar>
          </x14:cfRule>
          <xm:sqref>Z568</xm:sqref>
        </x14:conditionalFormatting>
        <x14:conditionalFormatting xmlns:xm="http://schemas.microsoft.com/office/excel/2006/main">
          <x14:cfRule type="dataBar" id="{4407A811-87E2-456D-93D4-5B906BBB191C}">
            <x14:dataBar minLength="0" maxLength="100" border="1" negativeBarBorderColorSameAsPositive="0">
              <x14:cfvo type="autoMin"/>
              <x14:cfvo type="autoMax"/>
              <x14:borderColor rgb="FF63C384"/>
              <x14:negativeFillColor rgb="FFFF0000"/>
              <x14:negativeBorderColor rgb="FFFF0000"/>
              <x14:axisColor rgb="FF000000"/>
            </x14:dataBar>
          </x14:cfRule>
          <xm:sqref>Z570</xm:sqref>
        </x14:conditionalFormatting>
        <x14:conditionalFormatting xmlns:xm="http://schemas.microsoft.com/office/excel/2006/main">
          <x14:cfRule type="dataBar" id="{7713CAA4-E542-4D32-87BE-4565F706773C}">
            <x14:dataBar minLength="0" maxLength="100" border="1" negativeBarBorderColorSameAsPositive="0">
              <x14:cfvo type="autoMin"/>
              <x14:cfvo type="autoMax"/>
              <x14:borderColor rgb="FF63C384"/>
              <x14:negativeFillColor rgb="FFFF0000"/>
              <x14:negativeBorderColor rgb="FFFF0000"/>
              <x14:axisColor rgb="FF000000"/>
            </x14:dataBar>
          </x14:cfRule>
          <xm:sqref>Z570</xm:sqref>
        </x14:conditionalFormatting>
        <x14:conditionalFormatting xmlns:xm="http://schemas.microsoft.com/office/excel/2006/main">
          <x14:cfRule type="dataBar" id="{D8DCE6A3-35EF-4EF7-A81C-896AEE1610F4}">
            <x14:dataBar minLength="0" maxLength="100" border="1" negativeBarBorderColorSameAsPositive="0">
              <x14:cfvo type="autoMin"/>
              <x14:cfvo type="autoMax"/>
              <x14:borderColor rgb="FF63C384"/>
              <x14:negativeFillColor rgb="FFFF0000"/>
              <x14:negativeBorderColor rgb="FFFF0000"/>
              <x14:axisColor rgb="FF000000"/>
            </x14:dataBar>
          </x14:cfRule>
          <xm:sqref>Z569</xm:sqref>
        </x14:conditionalFormatting>
        <x14:conditionalFormatting xmlns:xm="http://schemas.microsoft.com/office/excel/2006/main">
          <x14:cfRule type="dataBar" id="{3472444F-7304-4F1B-88A8-92B034DCCEFA}">
            <x14:dataBar minLength="0" maxLength="100" border="1" negativeBarBorderColorSameAsPositive="0">
              <x14:cfvo type="autoMin"/>
              <x14:cfvo type="autoMax"/>
              <x14:borderColor rgb="FF63C384"/>
              <x14:negativeFillColor rgb="FFFF0000"/>
              <x14:negativeBorderColor rgb="FFFF0000"/>
              <x14:axisColor rgb="FF000000"/>
            </x14:dataBar>
          </x14:cfRule>
          <xm:sqref>Z569</xm:sqref>
        </x14:conditionalFormatting>
        <x14:conditionalFormatting xmlns:xm="http://schemas.microsoft.com/office/excel/2006/main">
          <x14:cfRule type="dataBar" id="{D8065999-4064-4E97-A627-F080D8AEF5E1}">
            <x14:dataBar minLength="0" maxLength="100" border="1" negativeBarBorderColorSameAsPositive="0">
              <x14:cfvo type="autoMin"/>
              <x14:cfvo type="autoMax"/>
              <x14:borderColor rgb="FF63C384"/>
              <x14:negativeFillColor rgb="FFFF0000"/>
              <x14:negativeBorderColor rgb="FFFF0000"/>
              <x14:axisColor rgb="FF000000"/>
            </x14:dataBar>
          </x14:cfRule>
          <xm:sqref>Z571</xm:sqref>
        </x14:conditionalFormatting>
        <x14:conditionalFormatting xmlns:xm="http://schemas.microsoft.com/office/excel/2006/main">
          <x14:cfRule type="dataBar" id="{B07E7002-EB8C-4EB5-8B76-0C9C5F6C66AA}">
            <x14:dataBar minLength="0" maxLength="100" border="1" negativeBarBorderColorSameAsPositive="0">
              <x14:cfvo type="autoMin"/>
              <x14:cfvo type="autoMax"/>
              <x14:borderColor rgb="FF63C384"/>
              <x14:negativeFillColor rgb="FFFF0000"/>
              <x14:negativeBorderColor rgb="FFFF0000"/>
              <x14:axisColor rgb="FF000000"/>
            </x14:dataBar>
          </x14:cfRule>
          <xm:sqref>Z571</xm:sqref>
        </x14:conditionalFormatting>
        <x14:conditionalFormatting xmlns:xm="http://schemas.microsoft.com/office/excel/2006/main">
          <x14:cfRule type="dataBar" id="{0C63C08F-D078-4CC5-AEA6-F30FEAF4DD27}">
            <x14:dataBar minLength="0" maxLength="100" border="1" negativeBarBorderColorSameAsPositive="0">
              <x14:cfvo type="autoMin"/>
              <x14:cfvo type="autoMax"/>
              <x14:borderColor rgb="FF63C384"/>
              <x14:negativeFillColor rgb="FFFF0000"/>
              <x14:negativeBorderColor rgb="FFFF0000"/>
              <x14:axisColor rgb="FF000000"/>
            </x14:dataBar>
          </x14:cfRule>
          <xm:sqref>Z572</xm:sqref>
        </x14:conditionalFormatting>
        <x14:conditionalFormatting xmlns:xm="http://schemas.microsoft.com/office/excel/2006/main">
          <x14:cfRule type="dataBar" id="{A32BFF77-C1DE-45EE-8D0A-91772669BBDC}">
            <x14:dataBar minLength="0" maxLength="100" border="1" negativeBarBorderColorSameAsPositive="0">
              <x14:cfvo type="autoMin"/>
              <x14:cfvo type="autoMax"/>
              <x14:borderColor rgb="FF63C384"/>
              <x14:negativeFillColor rgb="FFFF0000"/>
              <x14:negativeBorderColor rgb="FFFF0000"/>
              <x14:axisColor rgb="FF000000"/>
            </x14:dataBar>
          </x14:cfRule>
          <xm:sqref>Z572</xm:sqref>
        </x14:conditionalFormatting>
        <x14:conditionalFormatting xmlns:xm="http://schemas.microsoft.com/office/excel/2006/main">
          <x14:cfRule type="dataBar" id="{ED77BAEA-CD75-477D-BBEA-E68921AFB51E}">
            <x14:dataBar minLength="0" maxLength="100" border="1" negativeBarBorderColorSameAsPositive="0">
              <x14:cfvo type="autoMin"/>
              <x14:cfvo type="autoMax"/>
              <x14:borderColor rgb="FF63C384"/>
              <x14:negativeFillColor rgb="FFFF0000"/>
              <x14:negativeBorderColor rgb="FFFF0000"/>
              <x14:axisColor rgb="FF000000"/>
            </x14:dataBar>
          </x14:cfRule>
          <xm:sqref>Z573</xm:sqref>
        </x14:conditionalFormatting>
        <x14:conditionalFormatting xmlns:xm="http://schemas.microsoft.com/office/excel/2006/main">
          <x14:cfRule type="dataBar" id="{6911DBC7-7900-4A9D-AFE8-215C80E5BD45}">
            <x14:dataBar minLength="0" maxLength="100" border="1" negativeBarBorderColorSameAsPositive="0">
              <x14:cfvo type="autoMin"/>
              <x14:cfvo type="autoMax"/>
              <x14:borderColor rgb="FF63C384"/>
              <x14:negativeFillColor rgb="FFFF0000"/>
              <x14:negativeBorderColor rgb="FFFF0000"/>
              <x14:axisColor rgb="FF000000"/>
            </x14:dataBar>
          </x14:cfRule>
          <xm:sqref>Z573</xm:sqref>
        </x14:conditionalFormatting>
        <x14:conditionalFormatting xmlns:xm="http://schemas.microsoft.com/office/excel/2006/main">
          <x14:cfRule type="dataBar" id="{C3D2B7F1-224C-4139-A69E-DCA7F705A7C7}">
            <x14:dataBar minLength="0" maxLength="100" border="1" negativeBarBorderColorSameAsPositive="0">
              <x14:cfvo type="autoMin"/>
              <x14:cfvo type="autoMax"/>
              <x14:borderColor rgb="FF63C384"/>
              <x14:negativeFillColor rgb="FFFF0000"/>
              <x14:negativeBorderColor rgb="FFFF0000"/>
              <x14:axisColor rgb="FF000000"/>
            </x14:dataBar>
          </x14:cfRule>
          <xm:sqref>Z574</xm:sqref>
        </x14:conditionalFormatting>
        <x14:conditionalFormatting xmlns:xm="http://schemas.microsoft.com/office/excel/2006/main">
          <x14:cfRule type="dataBar" id="{7A8969D7-740A-425D-99B8-E83982B6E758}">
            <x14:dataBar minLength="0" maxLength="100" border="1" negativeBarBorderColorSameAsPositive="0">
              <x14:cfvo type="autoMin"/>
              <x14:cfvo type="autoMax"/>
              <x14:borderColor rgb="FF63C384"/>
              <x14:negativeFillColor rgb="FFFF0000"/>
              <x14:negativeBorderColor rgb="FFFF0000"/>
              <x14:axisColor rgb="FF000000"/>
            </x14:dataBar>
          </x14:cfRule>
          <xm:sqref>Z574</xm:sqref>
        </x14:conditionalFormatting>
        <x14:conditionalFormatting xmlns:xm="http://schemas.microsoft.com/office/excel/2006/main">
          <x14:cfRule type="dataBar" id="{8AC8DE84-D98C-477C-991A-6EA360D9DC97}">
            <x14:dataBar minLength="0" maxLength="100" border="1" negativeBarBorderColorSameAsPositive="0">
              <x14:cfvo type="autoMin"/>
              <x14:cfvo type="autoMax"/>
              <x14:borderColor rgb="FF63C384"/>
              <x14:negativeFillColor rgb="FFFF0000"/>
              <x14:negativeBorderColor rgb="FFFF0000"/>
              <x14:axisColor rgb="FF000000"/>
            </x14:dataBar>
          </x14:cfRule>
          <xm:sqref>Z575</xm:sqref>
        </x14:conditionalFormatting>
        <x14:conditionalFormatting xmlns:xm="http://schemas.microsoft.com/office/excel/2006/main">
          <x14:cfRule type="dataBar" id="{C0D793E4-3647-4C50-95BE-3EA7BB3EC94D}">
            <x14:dataBar minLength="0" maxLength="100" border="1" negativeBarBorderColorSameAsPositive="0">
              <x14:cfvo type="autoMin"/>
              <x14:cfvo type="autoMax"/>
              <x14:borderColor rgb="FF63C384"/>
              <x14:negativeFillColor rgb="FFFF0000"/>
              <x14:negativeBorderColor rgb="FFFF0000"/>
              <x14:axisColor rgb="FF000000"/>
            </x14:dataBar>
          </x14:cfRule>
          <xm:sqref>Z575</xm:sqref>
        </x14:conditionalFormatting>
        <x14:conditionalFormatting xmlns:xm="http://schemas.microsoft.com/office/excel/2006/main">
          <x14:cfRule type="dataBar" id="{9406B8EA-5C25-43FE-AD07-E7B5654E913D}">
            <x14:dataBar minLength="0" maxLength="100" border="1" negativeBarBorderColorSameAsPositive="0">
              <x14:cfvo type="autoMin"/>
              <x14:cfvo type="autoMax"/>
              <x14:borderColor rgb="FF63C384"/>
              <x14:negativeFillColor rgb="FFFF0000"/>
              <x14:negativeBorderColor rgb="FFFF0000"/>
              <x14:axisColor rgb="FF000000"/>
            </x14:dataBar>
          </x14:cfRule>
          <xm:sqref>Z575</xm:sqref>
        </x14:conditionalFormatting>
        <x14:conditionalFormatting xmlns:xm="http://schemas.microsoft.com/office/excel/2006/main">
          <x14:cfRule type="dataBar" id="{C54DB5ED-4E99-4C49-B060-FC0720D22B6A}">
            <x14:dataBar minLength="0" maxLength="100" border="1" negativeBarBorderColorSameAsPositive="0">
              <x14:cfvo type="autoMin"/>
              <x14:cfvo type="autoMax"/>
              <x14:borderColor rgb="FF63C384"/>
              <x14:negativeFillColor rgb="FFFF0000"/>
              <x14:negativeBorderColor rgb="FFFF0000"/>
              <x14:axisColor rgb="FF000000"/>
            </x14:dataBar>
          </x14:cfRule>
          <xm:sqref>Z575</xm:sqref>
        </x14:conditionalFormatting>
        <x14:conditionalFormatting xmlns:xm="http://schemas.microsoft.com/office/excel/2006/main">
          <x14:cfRule type="dataBar" id="{9E4F2242-7C91-40CF-A7DF-A5475928AC48}">
            <x14:dataBar minLength="0" maxLength="100" border="1" negativeBarBorderColorSameAsPositive="0">
              <x14:cfvo type="autoMin"/>
              <x14:cfvo type="autoMax"/>
              <x14:borderColor rgb="FF63C384"/>
              <x14:negativeFillColor rgb="FFFF0000"/>
              <x14:negativeBorderColor rgb="FFFF0000"/>
              <x14:axisColor rgb="FF000000"/>
            </x14:dataBar>
          </x14:cfRule>
          <xm:sqref>Z575</xm:sqref>
        </x14:conditionalFormatting>
        <x14:conditionalFormatting xmlns:xm="http://schemas.microsoft.com/office/excel/2006/main">
          <x14:cfRule type="dataBar" id="{480E370B-E7E7-4652-94CB-03620E249867}">
            <x14:dataBar minLength="0" maxLength="100" border="1" negativeBarBorderColorSameAsPositive="0">
              <x14:cfvo type="autoMin"/>
              <x14:cfvo type="autoMax"/>
              <x14:borderColor rgb="FF63C384"/>
              <x14:negativeFillColor rgb="FFFF0000"/>
              <x14:negativeBorderColor rgb="FFFF0000"/>
              <x14:axisColor rgb="FF000000"/>
            </x14:dataBar>
          </x14:cfRule>
          <xm:sqref>Z575</xm:sqref>
        </x14:conditionalFormatting>
        <x14:conditionalFormatting xmlns:xm="http://schemas.microsoft.com/office/excel/2006/main">
          <x14:cfRule type="dataBar" id="{FE9ECD92-6796-40DD-AA14-EC6C79F8AC4A}">
            <x14:dataBar minLength="0" maxLength="100" border="1" negativeBarBorderColorSameAsPositive="0">
              <x14:cfvo type="autoMin"/>
              <x14:cfvo type="autoMax"/>
              <x14:borderColor rgb="FF63C384"/>
              <x14:negativeFillColor rgb="FFFF0000"/>
              <x14:negativeBorderColor rgb="FFFF0000"/>
              <x14:axisColor rgb="FF000000"/>
            </x14:dataBar>
          </x14:cfRule>
          <xm:sqref>Z575</xm:sqref>
        </x14:conditionalFormatting>
        <x14:conditionalFormatting xmlns:xm="http://schemas.microsoft.com/office/excel/2006/main">
          <x14:cfRule type="dataBar" id="{C32B78D5-4324-4C35-9B08-FFD373D2A02A}">
            <x14:dataBar minLength="0" maxLength="100" border="1" negativeBarBorderColorSameAsPositive="0">
              <x14:cfvo type="autoMin"/>
              <x14:cfvo type="autoMax"/>
              <x14:borderColor rgb="FF63C384"/>
              <x14:negativeFillColor rgb="FFFF0000"/>
              <x14:negativeBorderColor rgb="FFFF0000"/>
              <x14:axisColor rgb="FF000000"/>
            </x14:dataBar>
          </x14:cfRule>
          <xm:sqref>Z575</xm:sqref>
        </x14:conditionalFormatting>
        <x14:conditionalFormatting xmlns:xm="http://schemas.microsoft.com/office/excel/2006/main">
          <x14:cfRule type="dataBar" id="{6685449D-134C-4579-9309-470BF17D8A22}">
            <x14:dataBar minLength="0" maxLength="100" border="1" negativeBarBorderColorSameAsPositive="0">
              <x14:cfvo type="autoMin"/>
              <x14:cfvo type="autoMax"/>
              <x14:borderColor rgb="FF63C384"/>
              <x14:negativeFillColor rgb="FFFF0000"/>
              <x14:negativeBorderColor rgb="FFFF0000"/>
              <x14:axisColor rgb="FF000000"/>
            </x14:dataBar>
          </x14:cfRule>
          <xm:sqref>Z576</xm:sqref>
        </x14:conditionalFormatting>
        <x14:conditionalFormatting xmlns:xm="http://schemas.microsoft.com/office/excel/2006/main">
          <x14:cfRule type="dataBar" id="{B98927D9-4046-4F06-BB12-351A2F01D547}">
            <x14:dataBar minLength="0" maxLength="100" border="1" negativeBarBorderColorSameAsPositive="0">
              <x14:cfvo type="autoMin"/>
              <x14:cfvo type="autoMax"/>
              <x14:borderColor rgb="FF63C384"/>
              <x14:negativeFillColor rgb="FFFF0000"/>
              <x14:negativeBorderColor rgb="FFFF0000"/>
              <x14:axisColor rgb="FF000000"/>
            </x14:dataBar>
          </x14:cfRule>
          <xm:sqref>Z576</xm:sqref>
        </x14:conditionalFormatting>
        <x14:conditionalFormatting xmlns:xm="http://schemas.microsoft.com/office/excel/2006/main">
          <x14:cfRule type="dataBar" id="{4CA79900-AE95-41A6-B523-4E5F5ED1888C}">
            <x14:dataBar minLength="0" maxLength="100" border="1" negativeBarBorderColorSameAsPositive="0">
              <x14:cfvo type="autoMin"/>
              <x14:cfvo type="autoMax"/>
              <x14:borderColor rgb="FF63C384"/>
              <x14:negativeFillColor rgb="FFFF0000"/>
              <x14:negativeBorderColor rgb="FFFF0000"/>
              <x14:axisColor rgb="FF000000"/>
            </x14:dataBar>
          </x14:cfRule>
          <xm:sqref>Z576</xm:sqref>
        </x14:conditionalFormatting>
        <x14:conditionalFormatting xmlns:xm="http://schemas.microsoft.com/office/excel/2006/main">
          <x14:cfRule type="dataBar" id="{E0516999-3CC2-4683-94D8-AEB14588CC65}">
            <x14:dataBar minLength="0" maxLength="100" border="1" negativeBarBorderColorSameAsPositive="0">
              <x14:cfvo type="autoMin"/>
              <x14:cfvo type="autoMax"/>
              <x14:borderColor rgb="FF63C384"/>
              <x14:negativeFillColor rgb="FFFF0000"/>
              <x14:negativeBorderColor rgb="FFFF0000"/>
              <x14:axisColor rgb="FF000000"/>
            </x14:dataBar>
          </x14:cfRule>
          <xm:sqref>Z577</xm:sqref>
        </x14:conditionalFormatting>
        <x14:conditionalFormatting xmlns:xm="http://schemas.microsoft.com/office/excel/2006/main">
          <x14:cfRule type="dataBar" id="{8B057D6D-5B0E-41DB-982C-5DDB25847142}">
            <x14:dataBar minLength="0" maxLength="100" border="1" negativeBarBorderColorSameAsPositive="0">
              <x14:cfvo type="autoMin"/>
              <x14:cfvo type="autoMax"/>
              <x14:borderColor rgb="FF63C384"/>
              <x14:negativeFillColor rgb="FFFF0000"/>
              <x14:negativeBorderColor rgb="FFFF0000"/>
              <x14:axisColor rgb="FF000000"/>
            </x14:dataBar>
          </x14:cfRule>
          <xm:sqref>Z577</xm:sqref>
        </x14:conditionalFormatting>
        <x14:conditionalFormatting xmlns:xm="http://schemas.microsoft.com/office/excel/2006/main">
          <x14:cfRule type="dataBar" id="{43160958-1F24-40A4-8301-CCEA176C1A13}">
            <x14:dataBar minLength="0" maxLength="100" border="1" negativeBarBorderColorSameAsPositive="0">
              <x14:cfvo type="autoMin"/>
              <x14:cfvo type="autoMax"/>
              <x14:borderColor rgb="FF63C384"/>
              <x14:negativeFillColor rgb="FFFF0000"/>
              <x14:negativeBorderColor rgb="FFFF0000"/>
              <x14:axisColor rgb="FF000000"/>
            </x14:dataBar>
          </x14:cfRule>
          <xm:sqref>Z578</xm:sqref>
        </x14:conditionalFormatting>
        <x14:conditionalFormatting xmlns:xm="http://schemas.microsoft.com/office/excel/2006/main">
          <x14:cfRule type="dataBar" id="{163EEC2F-A335-401A-ADCA-CEFE9DD7D1BF}">
            <x14:dataBar minLength="0" maxLength="100" border="1" negativeBarBorderColorSameAsPositive="0">
              <x14:cfvo type="autoMin"/>
              <x14:cfvo type="autoMax"/>
              <x14:borderColor rgb="FF63C384"/>
              <x14:negativeFillColor rgb="FFFF0000"/>
              <x14:negativeBorderColor rgb="FFFF0000"/>
              <x14:axisColor rgb="FF000000"/>
            </x14:dataBar>
          </x14:cfRule>
          <xm:sqref>Z578</xm:sqref>
        </x14:conditionalFormatting>
        <x14:conditionalFormatting xmlns:xm="http://schemas.microsoft.com/office/excel/2006/main">
          <x14:cfRule type="dataBar" id="{9B78C2B3-EC04-4CD3-B33B-591FC65A0DD2}">
            <x14:dataBar minLength="0" maxLength="100" border="1" negativeBarBorderColorSameAsPositive="0">
              <x14:cfvo type="autoMin"/>
              <x14:cfvo type="autoMax"/>
              <x14:borderColor rgb="FF63C384"/>
              <x14:negativeFillColor rgb="FFFF0000"/>
              <x14:negativeBorderColor rgb="FFFF0000"/>
              <x14:axisColor rgb="FF000000"/>
            </x14:dataBar>
          </x14:cfRule>
          <xm:sqref>Z579</xm:sqref>
        </x14:conditionalFormatting>
        <x14:conditionalFormatting xmlns:xm="http://schemas.microsoft.com/office/excel/2006/main">
          <x14:cfRule type="dataBar" id="{4ED30DB4-CA3B-46B2-981B-0E14BB05557E}">
            <x14:dataBar minLength="0" maxLength="100" border="1" negativeBarBorderColorSameAsPositive="0">
              <x14:cfvo type="autoMin"/>
              <x14:cfvo type="autoMax"/>
              <x14:borderColor rgb="FF63C384"/>
              <x14:negativeFillColor rgb="FFFF0000"/>
              <x14:negativeBorderColor rgb="FFFF0000"/>
              <x14:axisColor rgb="FF000000"/>
            </x14:dataBar>
          </x14:cfRule>
          <xm:sqref>Z579</xm:sqref>
        </x14:conditionalFormatting>
        <x14:conditionalFormatting xmlns:xm="http://schemas.microsoft.com/office/excel/2006/main">
          <x14:cfRule type="dataBar" id="{935CAE63-B6DE-4C6E-8984-AA64A723825B}">
            <x14:dataBar minLength="0" maxLength="100" border="1" negativeBarBorderColorSameAsPositive="0">
              <x14:cfvo type="autoMin"/>
              <x14:cfvo type="autoMax"/>
              <x14:borderColor rgb="FF63C384"/>
              <x14:negativeFillColor rgb="FFFF0000"/>
              <x14:negativeBorderColor rgb="FFFF0000"/>
              <x14:axisColor rgb="FF000000"/>
            </x14:dataBar>
          </x14:cfRule>
          <xm:sqref>Z580</xm:sqref>
        </x14:conditionalFormatting>
        <x14:conditionalFormatting xmlns:xm="http://schemas.microsoft.com/office/excel/2006/main">
          <x14:cfRule type="dataBar" id="{14C075BC-6711-42C2-B33B-F62D72E49DF4}">
            <x14:dataBar minLength="0" maxLength="100" border="1" negativeBarBorderColorSameAsPositive="0">
              <x14:cfvo type="autoMin"/>
              <x14:cfvo type="autoMax"/>
              <x14:borderColor rgb="FF63C384"/>
              <x14:negativeFillColor rgb="FFFF0000"/>
              <x14:negativeBorderColor rgb="FFFF0000"/>
              <x14:axisColor rgb="FF000000"/>
            </x14:dataBar>
          </x14:cfRule>
          <xm:sqref>Z580</xm:sqref>
        </x14:conditionalFormatting>
        <x14:conditionalFormatting xmlns:xm="http://schemas.microsoft.com/office/excel/2006/main">
          <x14:cfRule type="dataBar" id="{6A71D63E-76C7-40B7-ACDF-E6895379881B}">
            <x14:dataBar minLength="0" maxLength="100" border="1" negativeBarBorderColorSameAsPositive="0">
              <x14:cfvo type="autoMin"/>
              <x14:cfvo type="autoMax"/>
              <x14:borderColor rgb="FF63C384"/>
              <x14:negativeFillColor rgb="FFFF0000"/>
              <x14:negativeBorderColor rgb="FFFF0000"/>
              <x14:axisColor rgb="FF000000"/>
            </x14:dataBar>
          </x14:cfRule>
          <xm:sqref>Z581</xm:sqref>
        </x14:conditionalFormatting>
        <x14:conditionalFormatting xmlns:xm="http://schemas.microsoft.com/office/excel/2006/main">
          <x14:cfRule type="dataBar" id="{4E3ACF14-E97C-442F-8993-050CE3395F99}">
            <x14:dataBar minLength="0" maxLength="100" border="1" negativeBarBorderColorSameAsPositive="0">
              <x14:cfvo type="autoMin"/>
              <x14:cfvo type="autoMax"/>
              <x14:borderColor rgb="FF63C384"/>
              <x14:negativeFillColor rgb="FFFF0000"/>
              <x14:negativeBorderColor rgb="FFFF0000"/>
              <x14:axisColor rgb="FF000000"/>
            </x14:dataBar>
          </x14:cfRule>
          <xm:sqref>Z581</xm:sqref>
        </x14:conditionalFormatting>
        <x14:conditionalFormatting xmlns:xm="http://schemas.microsoft.com/office/excel/2006/main">
          <x14:cfRule type="dataBar" id="{B47D239B-6438-405F-A11B-2A1B6F11A9EB}">
            <x14:dataBar minLength="0" maxLength="100" border="1" negativeBarBorderColorSameAsPositive="0">
              <x14:cfvo type="autoMin"/>
              <x14:cfvo type="autoMax"/>
              <x14:borderColor rgb="FF63C384"/>
              <x14:negativeFillColor rgb="FFFF0000"/>
              <x14:negativeBorderColor rgb="FFFF0000"/>
              <x14:axisColor rgb="FF000000"/>
            </x14:dataBar>
          </x14:cfRule>
          <xm:sqref>Z582</xm:sqref>
        </x14:conditionalFormatting>
        <x14:conditionalFormatting xmlns:xm="http://schemas.microsoft.com/office/excel/2006/main">
          <x14:cfRule type="dataBar" id="{34A438D2-DB20-42C1-A2B5-CB049546B957}">
            <x14:dataBar minLength="0" maxLength="100" border="1" negativeBarBorderColorSameAsPositive="0">
              <x14:cfvo type="autoMin"/>
              <x14:cfvo type="autoMax"/>
              <x14:borderColor rgb="FF63C384"/>
              <x14:negativeFillColor rgb="FFFF0000"/>
              <x14:negativeBorderColor rgb="FFFF0000"/>
              <x14:axisColor rgb="FF000000"/>
            </x14:dataBar>
          </x14:cfRule>
          <xm:sqref>Z582</xm:sqref>
        </x14:conditionalFormatting>
        <x14:conditionalFormatting xmlns:xm="http://schemas.microsoft.com/office/excel/2006/main">
          <x14:cfRule type="dataBar" id="{95E11636-A743-4D8D-AD2F-E9C297C46709}">
            <x14:dataBar minLength="0" maxLength="100" border="1" negativeBarBorderColorSameAsPositive="0">
              <x14:cfvo type="autoMin"/>
              <x14:cfvo type="autoMax"/>
              <x14:borderColor rgb="FF63C384"/>
              <x14:negativeFillColor rgb="FFFF0000"/>
              <x14:negativeBorderColor rgb="FFFF0000"/>
              <x14:axisColor rgb="FF000000"/>
            </x14:dataBar>
          </x14:cfRule>
          <xm:sqref>Z583</xm:sqref>
        </x14:conditionalFormatting>
        <x14:conditionalFormatting xmlns:xm="http://schemas.microsoft.com/office/excel/2006/main">
          <x14:cfRule type="dataBar" id="{1CA8B991-E32C-470E-BD91-B1D61150F238}">
            <x14:dataBar minLength="0" maxLength="100" border="1" negativeBarBorderColorSameAsPositive="0">
              <x14:cfvo type="autoMin"/>
              <x14:cfvo type="autoMax"/>
              <x14:borderColor rgb="FF63C384"/>
              <x14:negativeFillColor rgb="FFFF0000"/>
              <x14:negativeBorderColor rgb="FFFF0000"/>
              <x14:axisColor rgb="FF000000"/>
            </x14:dataBar>
          </x14:cfRule>
          <xm:sqref>Z583</xm:sqref>
        </x14:conditionalFormatting>
        <x14:conditionalFormatting xmlns:xm="http://schemas.microsoft.com/office/excel/2006/main">
          <x14:cfRule type="dataBar" id="{DC4184B7-E0BC-41B0-BEB2-0F6A7FDB7D09}">
            <x14:dataBar minLength="0" maxLength="100" border="1" negativeBarBorderColorSameAsPositive="0">
              <x14:cfvo type="autoMin"/>
              <x14:cfvo type="autoMax"/>
              <x14:borderColor rgb="FF63C384"/>
              <x14:negativeFillColor rgb="FFFF0000"/>
              <x14:negativeBorderColor rgb="FFFF0000"/>
              <x14:axisColor rgb="FF000000"/>
            </x14:dataBar>
          </x14:cfRule>
          <xm:sqref>Z584</xm:sqref>
        </x14:conditionalFormatting>
        <x14:conditionalFormatting xmlns:xm="http://schemas.microsoft.com/office/excel/2006/main">
          <x14:cfRule type="dataBar" id="{5D979DE4-25BB-41F4-BB5F-928C7C36CB0A}">
            <x14:dataBar minLength="0" maxLength="100" border="1" negativeBarBorderColorSameAsPositive="0">
              <x14:cfvo type="autoMin"/>
              <x14:cfvo type="autoMax"/>
              <x14:borderColor rgb="FF63C384"/>
              <x14:negativeFillColor rgb="FFFF0000"/>
              <x14:negativeBorderColor rgb="FFFF0000"/>
              <x14:axisColor rgb="FF000000"/>
            </x14:dataBar>
          </x14:cfRule>
          <xm:sqref>Z584</xm:sqref>
        </x14:conditionalFormatting>
        <x14:conditionalFormatting xmlns:xm="http://schemas.microsoft.com/office/excel/2006/main">
          <x14:cfRule type="dataBar" id="{1A0CB400-9EEA-4613-988C-66FDFBB11F0E}">
            <x14:dataBar minLength="0" maxLength="100" border="1" negativeBarBorderColorSameAsPositive="0">
              <x14:cfvo type="autoMin"/>
              <x14:cfvo type="autoMax"/>
              <x14:borderColor rgb="FF63C384"/>
              <x14:negativeFillColor rgb="FFFF0000"/>
              <x14:negativeBorderColor rgb="FFFF0000"/>
              <x14:axisColor rgb="FF000000"/>
            </x14:dataBar>
          </x14:cfRule>
          <xm:sqref>Z585</xm:sqref>
        </x14:conditionalFormatting>
        <x14:conditionalFormatting xmlns:xm="http://schemas.microsoft.com/office/excel/2006/main">
          <x14:cfRule type="dataBar" id="{E9F19ACA-EB3F-4A56-B62D-7FFF0ECF0223}">
            <x14:dataBar minLength="0" maxLength="100" border="1" negativeBarBorderColorSameAsPositive="0">
              <x14:cfvo type="autoMin"/>
              <x14:cfvo type="autoMax"/>
              <x14:borderColor rgb="FF63C384"/>
              <x14:negativeFillColor rgb="FFFF0000"/>
              <x14:negativeBorderColor rgb="FFFF0000"/>
              <x14:axisColor rgb="FF000000"/>
            </x14:dataBar>
          </x14:cfRule>
          <xm:sqref>Z585</xm:sqref>
        </x14:conditionalFormatting>
        <x14:conditionalFormatting xmlns:xm="http://schemas.microsoft.com/office/excel/2006/main">
          <x14:cfRule type="dataBar" id="{590B06DD-D74F-4D1E-B699-266FBC7590F0}">
            <x14:dataBar minLength="0" maxLength="100" border="1" negativeBarBorderColorSameAsPositive="0">
              <x14:cfvo type="autoMin"/>
              <x14:cfvo type="autoMax"/>
              <x14:borderColor rgb="FF63C384"/>
              <x14:negativeFillColor rgb="FFFF0000"/>
              <x14:negativeBorderColor rgb="FFFF0000"/>
              <x14:axisColor rgb="FF000000"/>
            </x14:dataBar>
          </x14:cfRule>
          <xm:sqref>Z586</xm:sqref>
        </x14:conditionalFormatting>
        <x14:conditionalFormatting xmlns:xm="http://schemas.microsoft.com/office/excel/2006/main">
          <x14:cfRule type="dataBar" id="{33C0DAB2-2417-4867-AC35-3778E68DAF7A}">
            <x14:dataBar minLength="0" maxLength="100" border="1" negativeBarBorderColorSameAsPositive="0">
              <x14:cfvo type="autoMin"/>
              <x14:cfvo type="autoMax"/>
              <x14:borderColor rgb="FF63C384"/>
              <x14:negativeFillColor rgb="FFFF0000"/>
              <x14:negativeBorderColor rgb="FFFF0000"/>
              <x14:axisColor rgb="FF000000"/>
            </x14:dataBar>
          </x14:cfRule>
          <xm:sqref>Z586</xm:sqref>
        </x14:conditionalFormatting>
        <x14:conditionalFormatting xmlns:xm="http://schemas.microsoft.com/office/excel/2006/main">
          <x14:cfRule type="dataBar" id="{7299620C-4A47-45B3-A8A2-570E75541343}">
            <x14:dataBar minLength="0" maxLength="100" border="1" negativeBarBorderColorSameAsPositive="0">
              <x14:cfvo type="autoMin"/>
              <x14:cfvo type="autoMax"/>
              <x14:borderColor rgb="FF63C384"/>
              <x14:negativeFillColor rgb="FFFF0000"/>
              <x14:negativeBorderColor rgb="FFFF0000"/>
              <x14:axisColor rgb="FF000000"/>
            </x14:dataBar>
          </x14:cfRule>
          <xm:sqref>Z585</xm:sqref>
        </x14:conditionalFormatting>
        <x14:conditionalFormatting xmlns:xm="http://schemas.microsoft.com/office/excel/2006/main">
          <x14:cfRule type="dataBar" id="{5F4766A3-3B55-487A-B6AF-F94BD201587E}">
            <x14:dataBar minLength="0" maxLength="100" border="1" negativeBarBorderColorSameAsPositive="0">
              <x14:cfvo type="autoMin"/>
              <x14:cfvo type="autoMax"/>
              <x14:borderColor rgb="FF63C384"/>
              <x14:negativeFillColor rgb="FFFF0000"/>
              <x14:negativeBorderColor rgb="FFFF0000"/>
              <x14:axisColor rgb="FF000000"/>
            </x14:dataBar>
          </x14:cfRule>
          <xm:sqref>Z585</xm:sqref>
        </x14:conditionalFormatting>
        <x14:conditionalFormatting xmlns:xm="http://schemas.microsoft.com/office/excel/2006/main">
          <x14:cfRule type="dataBar" id="{37D6B9D4-ABED-49F7-B843-E819BFEE3270}">
            <x14:dataBar minLength="0" maxLength="100" border="1" negativeBarBorderColorSameAsPositive="0">
              <x14:cfvo type="autoMin"/>
              <x14:cfvo type="autoMax"/>
              <x14:borderColor rgb="FF63C384"/>
              <x14:negativeFillColor rgb="FFFF0000"/>
              <x14:negativeBorderColor rgb="FFFF0000"/>
              <x14:axisColor rgb="FF000000"/>
            </x14:dataBar>
          </x14:cfRule>
          <xm:sqref>Z586</xm:sqref>
        </x14:conditionalFormatting>
        <x14:conditionalFormatting xmlns:xm="http://schemas.microsoft.com/office/excel/2006/main">
          <x14:cfRule type="dataBar" id="{21133EF2-5AEF-44B3-97D1-DCB597716146}">
            <x14:dataBar minLength="0" maxLength="100" border="1" negativeBarBorderColorSameAsPositive="0">
              <x14:cfvo type="autoMin"/>
              <x14:cfvo type="autoMax"/>
              <x14:borderColor rgb="FF63C384"/>
              <x14:negativeFillColor rgb="FFFF0000"/>
              <x14:negativeBorderColor rgb="FFFF0000"/>
              <x14:axisColor rgb="FF000000"/>
            </x14:dataBar>
          </x14:cfRule>
          <xm:sqref>Z586</xm:sqref>
        </x14:conditionalFormatting>
        <x14:conditionalFormatting xmlns:xm="http://schemas.microsoft.com/office/excel/2006/main">
          <x14:cfRule type="dataBar" id="{B1F42774-4C17-435A-8D9E-EF58A3B6228F}">
            <x14:dataBar minLength="0" maxLength="100" border="1" negativeBarBorderColorSameAsPositive="0">
              <x14:cfvo type="autoMin"/>
              <x14:cfvo type="autoMax"/>
              <x14:borderColor rgb="FF63C384"/>
              <x14:negativeFillColor rgb="FFFF0000"/>
              <x14:negativeBorderColor rgb="FFFF0000"/>
              <x14:axisColor rgb="FF000000"/>
            </x14:dataBar>
          </x14:cfRule>
          <xm:sqref>Z587</xm:sqref>
        </x14:conditionalFormatting>
        <x14:conditionalFormatting xmlns:xm="http://schemas.microsoft.com/office/excel/2006/main">
          <x14:cfRule type="dataBar" id="{F23D4E42-3584-4D7E-A08C-252698CD2E8E}">
            <x14:dataBar minLength="0" maxLength="100" border="1" negativeBarBorderColorSameAsPositive="0">
              <x14:cfvo type="autoMin"/>
              <x14:cfvo type="autoMax"/>
              <x14:borderColor rgb="FF63C384"/>
              <x14:negativeFillColor rgb="FFFF0000"/>
              <x14:negativeBorderColor rgb="FFFF0000"/>
              <x14:axisColor rgb="FF000000"/>
            </x14:dataBar>
          </x14:cfRule>
          <xm:sqref>Z587</xm:sqref>
        </x14:conditionalFormatting>
        <x14:conditionalFormatting xmlns:xm="http://schemas.microsoft.com/office/excel/2006/main">
          <x14:cfRule type="dataBar" id="{3A7F97A9-1E52-4F82-A7A3-49F8F592D3F7}">
            <x14:dataBar minLength="0" maxLength="100" border="1" negativeBarBorderColorSameAsPositive="0">
              <x14:cfvo type="autoMin"/>
              <x14:cfvo type="autoMax"/>
              <x14:borderColor rgb="FF63C384"/>
              <x14:negativeFillColor rgb="FFFF0000"/>
              <x14:negativeBorderColor rgb="FFFF0000"/>
              <x14:axisColor rgb="FF000000"/>
            </x14:dataBar>
          </x14:cfRule>
          <xm:sqref>Z587</xm:sqref>
        </x14:conditionalFormatting>
        <x14:conditionalFormatting xmlns:xm="http://schemas.microsoft.com/office/excel/2006/main">
          <x14:cfRule type="dataBar" id="{763932A3-6217-4012-8887-4C3146414EEF}">
            <x14:dataBar minLength="0" maxLength="100" border="1" negativeBarBorderColorSameAsPositive="0">
              <x14:cfvo type="autoMin"/>
              <x14:cfvo type="autoMax"/>
              <x14:borderColor rgb="FF63C384"/>
              <x14:negativeFillColor rgb="FFFF0000"/>
              <x14:negativeBorderColor rgb="FFFF0000"/>
              <x14:axisColor rgb="FF000000"/>
            </x14:dataBar>
          </x14:cfRule>
          <xm:sqref>Z587</xm:sqref>
        </x14:conditionalFormatting>
        <x14:conditionalFormatting xmlns:xm="http://schemas.microsoft.com/office/excel/2006/main">
          <x14:cfRule type="dataBar" id="{01920533-861A-4E03-9D45-27C8135EFCDB}">
            <x14:dataBar minLength="0" maxLength="100" border="1" negativeBarBorderColorSameAsPositive="0">
              <x14:cfvo type="autoMin"/>
              <x14:cfvo type="autoMax"/>
              <x14:borderColor rgb="FF63C384"/>
              <x14:negativeFillColor rgb="FFFF0000"/>
              <x14:negativeBorderColor rgb="FFFF0000"/>
              <x14:axisColor rgb="FF000000"/>
            </x14:dataBar>
          </x14:cfRule>
          <xm:sqref>Z588</xm:sqref>
        </x14:conditionalFormatting>
        <x14:conditionalFormatting xmlns:xm="http://schemas.microsoft.com/office/excel/2006/main">
          <x14:cfRule type="dataBar" id="{116168F8-4D1B-46F0-A31C-D53852B0A458}">
            <x14:dataBar minLength="0" maxLength="100" border="1" negativeBarBorderColorSameAsPositive="0">
              <x14:cfvo type="autoMin"/>
              <x14:cfvo type="autoMax"/>
              <x14:borderColor rgb="FF63C384"/>
              <x14:negativeFillColor rgb="FFFF0000"/>
              <x14:negativeBorderColor rgb="FFFF0000"/>
              <x14:axisColor rgb="FF000000"/>
            </x14:dataBar>
          </x14:cfRule>
          <xm:sqref>Z588</xm:sqref>
        </x14:conditionalFormatting>
        <x14:conditionalFormatting xmlns:xm="http://schemas.microsoft.com/office/excel/2006/main">
          <x14:cfRule type="dataBar" id="{8C699B64-523C-4C6F-935C-4ADB734BACBE}">
            <x14:dataBar minLength="0" maxLength="100" border="1" negativeBarBorderColorSameAsPositive="0">
              <x14:cfvo type="autoMin"/>
              <x14:cfvo type="autoMax"/>
              <x14:borderColor rgb="FF63C384"/>
              <x14:negativeFillColor rgb="FFFF0000"/>
              <x14:negativeBorderColor rgb="FFFF0000"/>
              <x14:axisColor rgb="FF000000"/>
            </x14:dataBar>
          </x14:cfRule>
          <xm:sqref>Z589</xm:sqref>
        </x14:conditionalFormatting>
        <x14:conditionalFormatting xmlns:xm="http://schemas.microsoft.com/office/excel/2006/main">
          <x14:cfRule type="dataBar" id="{F3044B24-7A86-4222-BD99-5EA23319AB7C}">
            <x14:dataBar minLength="0" maxLength="100" border="1" negativeBarBorderColorSameAsPositive="0">
              <x14:cfvo type="autoMin"/>
              <x14:cfvo type="autoMax"/>
              <x14:borderColor rgb="FF63C384"/>
              <x14:negativeFillColor rgb="FFFF0000"/>
              <x14:negativeBorderColor rgb="FFFF0000"/>
              <x14:axisColor rgb="FF000000"/>
            </x14:dataBar>
          </x14:cfRule>
          <xm:sqref>Z589</xm:sqref>
        </x14:conditionalFormatting>
        <x14:conditionalFormatting xmlns:xm="http://schemas.microsoft.com/office/excel/2006/main">
          <x14:cfRule type="dataBar" id="{E0D11DB1-6BB6-40A5-9308-ADC892110B01}">
            <x14:dataBar minLength="0" maxLength="100" border="1" negativeBarBorderColorSameAsPositive="0">
              <x14:cfvo type="autoMin"/>
              <x14:cfvo type="autoMax"/>
              <x14:borderColor rgb="FF63C384"/>
              <x14:negativeFillColor rgb="FFFF0000"/>
              <x14:negativeBorderColor rgb="FFFF0000"/>
              <x14:axisColor rgb="FF000000"/>
            </x14:dataBar>
          </x14:cfRule>
          <xm:sqref>Z589</xm:sqref>
        </x14:conditionalFormatting>
        <x14:conditionalFormatting xmlns:xm="http://schemas.microsoft.com/office/excel/2006/main">
          <x14:cfRule type="dataBar" id="{4BA566A0-394B-433B-B411-30166165B0B5}">
            <x14:dataBar minLength="0" maxLength="100" border="1" negativeBarBorderColorSameAsPositive="0">
              <x14:cfvo type="autoMin"/>
              <x14:cfvo type="autoMax"/>
              <x14:borderColor rgb="FF63C384"/>
              <x14:negativeFillColor rgb="FFFF0000"/>
              <x14:negativeBorderColor rgb="FFFF0000"/>
              <x14:axisColor rgb="FF000000"/>
            </x14:dataBar>
          </x14:cfRule>
          <xm:sqref>Z589</xm:sqref>
        </x14:conditionalFormatting>
        <x14:conditionalFormatting xmlns:xm="http://schemas.microsoft.com/office/excel/2006/main">
          <x14:cfRule type="dataBar" id="{931E5E50-415D-4BC4-A19E-493961FF09CE}">
            <x14:dataBar minLength="0" maxLength="100" border="1" negativeBarBorderColorSameAsPositive="0">
              <x14:cfvo type="autoMin"/>
              <x14:cfvo type="autoMax"/>
              <x14:borderColor rgb="FF63C384"/>
              <x14:negativeFillColor rgb="FFFF0000"/>
              <x14:negativeBorderColor rgb="FFFF0000"/>
              <x14:axisColor rgb="FF000000"/>
            </x14:dataBar>
          </x14:cfRule>
          <xm:sqref>Z589</xm:sqref>
        </x14:conditionalFormatting>
        <x14:conditionalFormatting xmlns:xm="http://schemas.microsoft.com/office/excel/2006/main">
          <x14:cfRule type="dataBar" id="{C8766BDE-C375-4000-A851-462E0A0731CF}">
            <x14:dataBar minLength="0" maxLength="100" border="1" negativeBarBorderColorSameAsPositive="0">
              <x14:cfvo type="autoMin"/>
              <x14:cfvo type="autoMax"/>
              <x14:borderColor rgb="FF63C384"/>
              <x14:negativeFillColor rgb="FFFF0000"/>
              <x14:negativeBorderColor rgb="FFFF0000"/>
              <x14:axisColor rgb="FF000000"/>
            </x14:dataBar>
          </x14:cfRule>
          <xm:sqref>Z589</xm:sqref>
        </x14:conditionalFormatting>
        <x14:conditionalFormatting xmlns:xm="http://schemas.microsoft.com/office/excel/2006/main">
          <x14:cfRule type="dataBar" id="{2EE7F307-3C1D-4F5E-A2C0-8DF3DB03D61E}">
            <x14:dataBar minLength="0" maxLength="100" border="1" negativeBarBorderColorSameAsPositive="0">
              <x14:cfvo type="autoMin"/>
              <x14:cfvo type="autoMax"/>
              <x14:borderColor rgb="FF63C384"/>
              <x14:negativeFillColor rgb="FFFF0000"/>
              <x14:negativeBorderColor rgb="FFFF0000"/>
              <x14:axisColor rgb="FF000000"/>
            </x14:dataBar>
          </x14:cfRule>
          <xm:sqref>Z589</xm:sqref>
        </x14:conditionalFormatting>
        <x14:conditionalFormatting xmlns:xm="http://schemas.microsoft.com/office/excel/2006/main">
          <x14:cfRule type="dataBar" id="{DF73C319-3120-4C81-A9C1-D30A72A26A6D}">
            <x14:dataBar minLength="0" maxLength="100" border="1" negativeBarBorderColorSameAsPositive="0">
              <x14:cfvo type="autoMin"/>
              <x14:cfvo type="autoMax"/>
              <x14:borderColor rgb="FF63C384"/>
              <x14:negativeFillColor rgb="FFFF0000"/>
              <x14:negativeBorderColor rgb="FFFF0000"/>
              <x14:axisColor rgb="FF000000"/>
            </x14:dataBar>
          </x14:cfRule>
          <xm:sqref>Z589</xm:sqref>
        </x14:conditionalFormatting>
        <x14:conditionalFormatting xmlns:xm="http://schemas.microsoft.com/office/excel/2006/main">
          <x14:cfRule type="dataBar" id="{39EADA6F-F63C-4B29-8678-C73C1ECCABCE}">
            <x14:dataBar minLength="0" maxLength="100" border="1" negativeBarBorderColorSameAsPositive="0">
              <x14:cfvo type="autoMin"/>
              <x14:cfvo type="autoMax"/>
              <x14:borderColor rgb="FF63C384"/>
              <x14:negativeFillColor rgb="FFFF0000"/>
              <x14:negativeBorderColor rgb="FFFF0000"/>
              <x14:axisColor rgb="FF000000"/>
            </x14:dataBar>
          </x14:cfRule>
          <xm:sqref>Z590</xm:sqref>
        </x14:conditionalFormatting>
        <x14:conditionalFormatting xmlns:xm="http://schemas.microsoft.com/office/excel/2006/main">
          <x14:cfRule type="dataBar" id="{012C15BD-81D0-4FAD-BD9F-9378DC71FCEE}">
            <x14:dataBar minLength="0" maxLength="100" border="1" negativeBarBorderColorSameAsPositive="0">
              <x14:cfvo type="autoMin"/>
              <x14:cfvo type="autoMax"/>
              <x14:borderColor rgb="FF63C384"/>
              <x14:negativeFillColor rgb="FFFF0000"/>
              <x14:negativeBorderColor rgb="FFFF0000"/>
              <x14:axisColor rgb="FF000000"/>
            </x14:dataBar>
          </x14:cfRule>
          <xm:sqref>Z590</xm:sqref>
        </x14:conditionalFormatting>
        <x14:conditionalFormatting xmlns:xm="http://schemas.microsoft.com/office/excel/2006/main">
          <x14:cfRule type="dataBar" id="{1C720D62-8093-4B8C-8C7C-3955FFB59489}">
            <x14:dataBar minLength="0" maxLength="100" border="1" negativeBarBorderColorSameAsPositive="0">
              <x14:cfvo type="autoMin"/>
              <x14:cfvo type="autoMax"/>
              <x14:borderColor rgb="FF63C384"/>
              <x14:negativeFillColor rgb="FFFF0000"/>
              <x14:negativeBorderColor rgb="FFFF0000"/>
              <x14:axisColor rgb="FF000000"/>
            </x14:dataBar>
          </x14:cfRule>
          <xm:sqref>Z591</xm:sqref>
        </x14:conditionalFormatting>
        <x14:conditionalFormatting xmlns:xm="http://schemas.microsoft.com/office/excel/2006/main">
          <x14:cfRule type="dataBar" id="{04340860-D835-42AB-AD3E-86CCBBBA30A4}">
            <x14:dataBar minLength="0" maxLength="100" border="1" negativeBarBorderColorSameAsPositive="0">
              <x14:cfvo type="autoMin"/>
              <x14:cfvo type="autoMax"/>
              <x14:borderColor rgb="FF63C384"/>
              <x14:negativeFillColor rgb="FFFF0000"/>
              <x14:negativeBorderColor rgb="FFFF0000"/>
              <x14:axisColor rgb="FF000000"/>
            </x14:dataBar>
          </x14:cfRule>
          <xm:sqref>Z591</xm:sqref>
        </x14:conditionalFormatting>
        <x14:conditionalFormatting xmlns:xm="http://schemas.microsoft.com/office/excel/2006/main">
          <x14:cfRule type="dataBar" id="{0BB6F710-CC92-492B-AF6E-BBCB777C3A00}">
            <x14:dataBar minLength="0" maxLength="100" border="1" negativeBarBorderColorSameAsPositive="0">
              <x14:cfvo type="autoMin"/>
              <x14:cfvo type="autoMax"/>
              <x14:borderColor rgb="FF63C384"/>
              <x14:negativeFillColor rgb="FFFF0000"/>
              <x14:negativeBorderColor rgb="FFFF0000"/>
              <x14:axisColor rgb="FF000000"/>
            </x14:dataBar>
          </x14:cfRule>
          <xm:sqref>Z592</xm:sqref>
        </x14:conditionalFormatting>
        <x14:conditionalFormatting xmlns:xm="http://schemas.microsoft.com/office/excel/2006/main">
          <x14:cfRule type="dataBar" id="{486EF059-ED7F-409E-AEEE-8AC0F8D71998}">
            <x14:dataBar minLength="0" maxLength="100" border="1" negativeBarBorderColorSameAsPositive="0">
              <x14:cfvo type="autoMin"/>
              <x14:cfvo type="autoMax"/>
              <x14:borderColor rgb="FF63C384"/>
              <x14:negativeFillColor rgb="FFFF0000"/>
              <x14:negativeBorderColor rgb="FFFF0000"/>
              <x14:axisColor rgb="FF000000"/>
            </x14:dataBar>
          </x14:cfRule>
          <xm:sqref>Z592</xm:sqref>
        </x14:conditionalFormatting>
        <x14:conditionalFormatting xmlns:xm="http://schemas.microsoft.com/office/excel/2006/main">
          <x14:cfRule type="dataBar" id="{C5E027B5-B604-4F6B-A74A-7A5F465DE569}">
            <x14:dataBar minLength="0" maxLength="100" border="1" negativeBarBorderColorSameAsPositive="0">
              <x14:cfvo type="autoMin"/>
              <x14:cfvo type="autoMax"/>
              <x14:borderColor rgb="FF63C384"/>
              <x14:negativeFillColor rgb="FFFF0000"/>
              <x14:negativeBorderColor rgb="FFFF0000"/>
              <x14:axisColor rgb="FF000000"/>
            </x14:dataBar>
          </x14:cfRule>
          <xm:sqref>Z593</xm:sqref>
        </x14:conditionalFormatting>
        <x14:conditionalFormatting xmlns:xm="http://schemas.microsoft.com/office/excel/2006/main">
          <x14:cfRule type="dataBar" id="{9666DEDA-F824-4D65-9A76-C48DAE095784}">
            <x14:dataBar minLength="0" maxLength="100" border="1" negativeBarBorderColorSameAsPositive="0">
              <x14:cfvo type="autoMin"/>
              <x14:cfvo type="autoMax"/>
              <x14:borderColor rgb="FF63C384"/>
              <x14:negativeFillColor rgb="FFFF0000"/>
              <x14:negativeBorderColor rgb="FFFF0000"/>
              <x14:axisColor rgb="FF000000"/>
            </x14:dataBar>
          </x14:cfRule>
          <xm:sqref>Z593</xm:sqref>
        </x14:conditionalFormatting>
        <x14:conditionalFormatting xmlns:xm="http://schemas.microsoft.com/office/excel/2006/main">
          <x14:cfRule type="dataBar" id="{9EC0741E-41C2-4D93-8686-FA33F280519F}">
            <x14:dataBar minLength="0" maxLength="100" border="1" negativeBarBorderColorSameAsPositive="0">
              <x14:cfvo type="autoMin"/>
              <x14:cfvo type="autoMax"/>
              <x14:borderColor rgb="FF63C384"/>
              <x14:negativeFillColor rgb="FFFF0000"/>
              <x14:negativeBorderColor rgb="FFFF0000"/>
              <x14:axisColor rgb="FF000000"/>
            </x14:dataBar>
          </x14:cfRule>
          <xm:sqref>Z594</xm:sqref>
        </x14:conditionalFormatting>
        <x14:conditionalFormatting xmlns:xm="http://schemas.microsoft.com/office/excel/2006/main">
          <x14:cfRule type="dataBar" id="{EF478268-151E-4B5D-9BE9-3F663C0C504C}">
            <x14:dataBar minLength="0" maxLength="100" border="1" negativeBarBorderColorSameAsPositive="0">
              <x14:cfvo type="autoMin"/>
              <x14:cfvo type="autoMax"/>
              <x14:borderColor rgb="FF63C384"/>
              <x14:negativeFillColor rgb="FFFF0000"/>
              <x14:negativeBorderColor rgb="FFFF0000"/>
              <x14:axisColor rgb="FF000000"/>
            </x14:dataBar>
          </x14:cfRule>
          <xm:sqref>Z594</xm:sqref>
        </x14:conditionalFormatting>
        <x14:conditionalFormatting xmlns:xm="http://schemas.microsoft.com/office/excel/2006/main">
          <x14:cfRule type="dataBar" id="{AB0EE6A3-DAA0-40A3-91BB-50B95FC269C2}">
            <x14:dataBar minLength="0" maxLength="100" border="1" negativeBarBorderColorSameAsPositive="0">
              <x14:cfvo type="autoMin"/>
              <x14:cfvo type="autoMax"/>
              <x14:borderColor rgb="FF63C384"/>
              <x14:negativeFillColor rgb="FFFF0000"/>
              <x14:negativeBorderColor rgb="FFFF0000"/>
              <x14:axisColor rgb="FF000000"/>
            </x14:dataBar>
          </x14:cfRule>
          <xm:sqref>Z595</xm:sqref>
        </x14:conditionalFormatting>
        <x14:conditionalFormatting xmlns:xm="http://schemas.microsoft.com/office/excel/2006/main">
          <x14:cfRule type="dataBar" id="{772FEA2D-4B32-42DE-8A31-CA48F54A7A3F}">
            <x14:dataBar minLength="0" maxLength="100" border="1" negativeBarBorderColorSameAsPositive="0">
              <x14:cfvo type="autoMin"/>
              <x14:cfvo type="autoMax"/>
              <x14:borderColor rgb="FF63C384"/>
              <x14:negativeFillColor rgb="FFFF0000"/>
              <x14:negativeBorderColor rgb="FFFF0000"/>
              <x14:axisColor rgb="FF000000"/>
            </x14:dataBar>
          </x14:cfRule>
          <xm:sqref>Z595</xm:sqref>
        </x14:conditionalFormatting>
        <x14:conditionalFormatting xmlns:xm="http://schemas.microsoft.com/office/excel/2006/main">
          <x14:cfRule type="dataBar" id="{24823896-F2D4-4C9C-A5A5-B36F0C22A0B8}">
            <x14:dataBar minLength="0" maxLength="100" border="1" negativeBarBorderColorSameAsPositive="0">
              <x14:cfvo type="autoMin"/>
              <x14:cfvo type="autoMax"/>
              <x14:borderColor rgb="FF63C384"/>
              <x14:negativeFillColor rgb="FFFF0000"/>
              <x14:negativeBorderColor rgb="FFFF0000"/>
              <x14:axisColor rgb="FF000000"/>
            </x14:dataBar>
          </x14:cfRule>
          <xm:sqref>Z596</xm:sqref>
        </x14:conditionalFormatting>
        <x14:conditionalFormatting xmlns:xm="http://schemas.microsoft.com/office/excel/2006/main">
          <x14:cfRule type="dataBar" id="{753CBDE5-831C-4F94-85BE-F34DAA5F5604}">
            <x14:dataBar minLength="0" maxLength="100" border="1" negativeBarBorderColorSameAsPositive="0">
              <x14:cfvo type="autoMin"/>
              <x14:cfvo type="autoMax"/>
              <x14:borderColor rgb="FF63C384"/>
              <x14:negativeFillColor rgb="FFFF0000"/>
              <x14:negativeBorderColor rgb="FFFF0000"/>
              <x14:axisColor rgb="FF000000"/>
            </x14:dataBar>
          </x14:cfRule>
          <xm:sqref>Z596</xm:sqref>
        </x14:conditionalFormatting>
        <x14:conditionalFormatting xmlns:xm="http://schemas.microsoft.com/office/excel/2006/main">
          <x14:cfRule type="dataBar" id="{53C8FF82-1AC4-43AF-8E3D-661D945AE22E}">
            <x14:dataBar minLength="0" maxLength="100" border="1" negativeBarBorderColorSameAsPositive="0">
              <x14:cfvo type="autoMin"/>
              <x14:cfvo type="autoMax"/>
              <x14:borderColor rgb="FF63C384"/>
              <x14:negativeFillColor rgb="FFFF0000"/>
              <x14:negativeBorderColor rgb="FFFF0000"/>
              <x14:axisColor rgb="FF000000"/>
            </x14:dataBar>
          </x14:cfRule>
          <xm:sqref>Z597</xm:sqref>
        </x14:conditionalFormatting>
        <x14:conditionalFormatting xmlns:xm="http://schemas.microsoft.com/office/excel/2006/main">
          <x14:cfRule type="dataBar" id="{BBBA21E1-7950-49D8-8551-D9496EE64113}">
            <x14:dataBar minLength="0" maxLength="100" border="1" negativeBarBorderColorSameAsPositive="0">
              <x14:cfvo type="autoMin"/>
              <x14:cfvo type="autoMax"/>
              <x14:borderColor rgb="FF63C384"/>
              <x14:negativeFillColor rgb="FFFF0000"/>
              <x14:negativeBorderColor rgb="FFFF0000"/>
              <x14:axisColor rgb="FF000000"/>
            </x14:dataBar>
          </x14:cfRule>
          <xm:sqref>Z597</xm:sqref>
        </x14:conditionalFormatting>
        <x14:conditionalFormatting xmlns:xm="http://schemas.microsoft.com/office/excel/2006/main">
          <x14:cfRule type="dataBar" id="{426AB4E5-89EF-4B68-9090-FF85B7417082}">
            <x14:dataBar minLength="0" maxLength="100" border="1" negativeBarBorderColorSameAsPositive="0">
              <x14:cfvo type="autoMin"/>
              <x14:cfvo type="autoMax"/>
              <x14:borderColor rgb="FF63C384"/>
              <x14:negativeFillColor rgb="FFFF0000"/>
              <x14:negativeBorderColor rgb="FFFF0000"/>
              <x14:axisColor rgb="FF000000"/>
            </x14:dataBar>
          </x14:cfRule>
          <xm:sqref>Z598</xm:sqref>
        </x14:conditionalFormatting>
        <x14:conditionalFormatting xmlns:xm="http://schemas.microsoft.com/office/excel/2006/main">
          <x14:cfRule type="dataBar" id="{89CE903D-DC8D-48B2-A31A-0BC4CD7400A6}">
            <x14:dataBar minLength="0" maxLength="100" border="1" negativeBarBorderColorSameAsPositive="0">
              <x14:cfvo type="autoMin"/>
              <x14:cfvo type="autoMax"/>
              <x14:borderColor rgb="FF63C384"/>
              <x14:negativeFillColor rgb="FFFF0000"/>
              <x14:negativeBorderColor rgb="FFFF0000"/>
              <x14:axisColor rgb="FF000000"/>
            </x14:dataBar>
          </x14:cfRule>
          <xm:sqref>Z598</xm:sqref>
        </x14:conditionalFormatting>
        <x14:conditionalFormatting xmlns:xm="http://schemas.microsoft.com/office/excel/2006/main">
          <x14:cfRule type="dataBar" id="{2AA4949C-B8BE-4F72-9884-E2EB02F272B1}">
            <x14:dataBar minLength="0" maxLength="100" border="1" negativeBarBorderColorSameAsPositive="0">
              <x14:cfvo type="autoMin"/>
              <x14:cfvo type="autoMax"/>
              <x14:borderColor rgb="FF63C384"/>
              <x14:negativeFillColor rgb="FFFF0000"/>
              <x14:negativeBorderColor rgb="FFFF0000"/>
              <x14:axisColor rgb="FF000000"/>
            </x14:dataBar>
          </x14:cfRule>
          <xm:sqref>Z599</xm:sqref>
        </x14:conditionalFormatting>
        <x14:conditionalFormatting xmlns:xm="http://schemas.microsoft.com/office/excel/2006/main">
          <x14:cfRule type="dataBar" id="{3CA46D62-1AD5-402E-9D40-077BBACFE548}">
            <x14:dataBar minLength="0" maxLength="100" border="1" negativeBarBorderColorSameAsPositive="0">
              <x14:cfvo type="autoMin"/>
              <x14:cfvo type="autoMax"/>
              <x14:borderColor rgb="FF63C384"/>
              <x14:negativeFillColor rgb="FFFF0000"/>
              <x14:negativeBorderColor rgb="FFFF0000"/>
              <x14:axisColor rgb="FF000000"/>
            </x14:dataBar>
          </x14:cfRule>
          <xm:sqref>Z599</xm:sqref>
        </x14:conditionalFormatting>
        <x14:conditionalFormatting xmlns:xm="http://schemas.microsoft.com/office/excel/2006/main">
          <x14:cfRule type="dataBar" id="{71D6B02A-AD8A-4CDA-9EED-22CA8D9ECB54}">
            <x14:dataBar minLength="0" maxLength="100" border="1" negativeBarBorderColorSameAsPositive="0">
              <x14:cfvo type="autoMin"/>
              <x14:cfvo type="autoMax"/>
              <x14:borderColor rgb="FF63C384"/>
              <x14:negativeFillColor rgb="FFFF0000"/>
              <x14:negativeBorderColor rgb="FFFF0000"/>
              <x14:axisColor rgb="FF000000"/>
            </x14:dataBar>
          </x14:cfRule>
          <xm:sqref>Z600</xm:sqref>
        </x14:conditionalFormatting>
        <x14:conditionalFormatting xmlns:xm="http://schemas.microsoft.com/office/excel/2006/main">
          <x14:cfRule type="dataBar" id="{3684F94E-FF05-40B2-9062-5D84B8069A88}">
            <x14:dataBar minLength="0" maxLength="100" border="1" negativeBarBorderColorSameAsPositive="0">
              <x14:cfvo type="autoMin"/>
              <x14:cfvo type="autoMax"/>
              <x14:borderColor rgb="FF63C384"/>
              <x14:negativeFillColor rgb="FFFF0000"/>
              <x14:negativeBorderColor rgb="FFFF0000"/>
              <x14:axisColor rgb="FF000000"/>
            </x14:dataBar>
          </x14:cfRule>
          <xm:sqref>Z600</xm:sqref>
        </x14:conditionalFormatting>
        <x14:conditionalFormatting xmlns:xm="http://schemas.microsoft.com/office/excel/2006/main">
          <x14:cfRule type="dataBar" id="{04AB88E7-7DB3-4955-88A5-AC213EA87FBD}">
            <x14:dataBar minLength="0" maxLength="100" border="1" negativeBarBorderColorSameAsPositive="0">
              <x14:cfvo type="autoMin"/>
              <x14:cfvo type="autoMax"/>
              <x14:borderColor rgb="FF63C384"/>
              <x14:negativeFillColor rgb="FFFF0000"/>
              <x14:negativeBorderColor rgb="FFFF0000"/>
              <x14:axisColor rgb="FF000000"/>
            </x14:dataBar>
          </x14:cfRule>
          <xm:sqref>Z601</xm:sqref>
        </x14:conditionalFormatting>
        <x14:conditionalFormatting xmlns:xm="http://schemas.microsoft.com/office/excel/2006/main">
          <x14:cfRule type="dataBar" id="{88AC61D8-4D94-4D3F-A3C4-1F75ECAA7BDF}">
            <x14:dataBar minLength="0" maxLength="100" border="1" negativeBarBorderColorSameAsPositive="0">
              <x14:cfvo type="autoMin"/>
              <x14:cfvo type="autoMax"/>
              <x14:borderColor rgb="FF63C384"/>
              <x14:negativeFillColor rgb="FFFF0000"/>
              <x14:negativeBorderColor rgb="FFFF0000"/>
              <x14:axisColor rgb="FF000000"/>
            </x14:dataBar>
          </x14:cfRule>
          <xm:sqref>Z601</xm:sqref>
        </x14:conditionalFormatting>
        <x14:conditionalFormatting xmlns:xm="http://schemas.microsoft.com/office/excel/2006/main">
          <x14:cfRule type="dataBar" id="{00539AC1-CB29-46E5-8FEB-405B7A5884FB}">
            <x14:dataBar minLength="0" maxLength="100" border="1" negativeBarBorderColorSameAsPositive="0">
              <x14:cfvo type="autoMin"/>
              <x14:cfvo type="autoMax"/>
              <x14:borderColor rgb="FF63C384"/>
              <x14:negativeFillColor rgb="FFFF0000"/>
              <x14:negativeBorderColor rgb="FFFF0000"/>
              <x14:axisColor rgb="FF000000"/>
            </x14:dataBar>
          </x14:cfRule>
          <xm:sqref>Z602</xm:sqref>
        </x14:conditionalFormatting>
        <x14:conditionalFormatting xmlns:xm="http://schemas.microsoft.com/office/excel/2006/main">
          <x14:cfRule type="dataBar" id="{6B91CBA9-79D5-4616-960D-536962E5EEEB}">
            <x14:dataBar minLength="0" maxLength="100" border="1" negativeBarBorderColorSameAsPositive="0">
              <x14:cfvo type="autoMin"/>
              <x14:cfvo type="autoMax"/>
              <x14:borderColor rgb="FF63C384"/>
              <x14:negativeFillColor rgb="FFFF0000"/>
              <x14:negativeBorderColor rgb="FFFF0000"/>
              <x14:axisColor rgb="FF000000"/>
            </x14:dataBar>
          </x14:cfRule>
          <xm:sqref>Z602</xm:sqref>
        </x14:conditionalFormatting>
        <x14:conditionalFormatting xmlns:xm="http://schemas.microsoft.com/office/excel/2006/main">
          <x14:cfRule type="dataBar" id="{6F463DF9-8F05-4FAD-B4A5-5D824CFE0244}">
            <x14:dataBar minLength="0" maxLength="100" border="1" negativeBarBorderColorSameAsPositive="0">
              <x14:cfvo type="autoMin"/>
              <x14:cfvo type="autoMax"/>
              <x14:borderColor rgb="FF63C384"/>
              <x14:negativeFillColor rgb="FFFF0000"/>
              <x14:negativeBorderColor rgb="FFFF0000"/>
              <x14:axisColor rgb="FF000000"/>
            </x14:dataBar>
          </x14:cfRule>
          <xm:sqref>Z603</xm:sqref>
        </x14:conditionalFormatting>
        <x14:conditionalFormatting xmlns:xm="http://schemas.microsoft.com/office/excel/2006/main">
          <x14:cfRule type="dataBar" id="{532FEF7E-3912-48D4-86AD-44C80603296A}">
            <x14:dataBar minLength="0" maxLength="100" border="1" negativeBarBorderColorSameAsPositive="0">
              <x14:cfvo type="autoMin"/>
              <x14:cfvo type="autoMax"/>
              <x14:borderColor rgb="FF63C384"/>
              <x14:negativeFillColor rgb="FFFF0000"/>
              <x14:negativeBorderColor rgb="FFFF0000"/>
              <x14:axisColor rgb="FF000000"/>
            </x14:dataBar>
          </x14:cfRule>
          <xm:sqref>Z603</xm:sqref>
        </x14:conditionalFormatting>
        <x14:conditionalFormatting xmlns:xm="http://schemas.microsoft.com/office/excel/2006/main">
          <x14:cfRule type="dataBar" id="{EBE91D0F-E785-48CD-890C-13D5B2E592B9}">
            <x14:dataBar minLength="0" maxLength="100" border="1" negativeBarBorderColorSameAsPositive="0">
              <x14:cfvo type="autoMin"/>
              <x14:cfvo type="autoMax"/>
              <x14:borderColor rgb="FF63C384"/>
              <x14:negativeFillColor rgb="FFFF0000"/>
              <x14:negativeBorderColor rgb="FFFF0000"/>
              <x14:axisColor rgb="FF000000"/>
            </x14:dataBar>
          </x14:cfRule>
          <xm:sqref>Z603</xm:sqref>
        </x14:conditionalFormatting>
        <x14:conditionalFormatting xmlns:xm="http://schemas.microsoft.com/office/excel/2006/main">
          <x14:cfRule type="dataBar" id="{F2E25F6B-3C25-4C38-9CDF-478A97F5D7FE}">
            <x14:dataBar minLength="0" maxLength="100" border="1" negativeBarBorderColorSameAsPositive="0">
              <x14:cfvo type="autoMin"/>
              <x14:cfvo type="autoMax"/>
              <x14:borderColor rgb="FF63C384"/>
              <x14:negativeFillColor rgb="FFFF0000"/>
              <x14:negativeBorderColor rgb="FFFF0000"/>
              <x14:axisColor rgb="FF000000"/>
            </x14:dataBar>
          </x14:cfRule>
          <xm:sqref>Z603</xm:sqref>
        </x14:conditionalFormatting>
        <x14:conditionalFormatting xmlns:xm="http://schemas.microsoft.com/office/excel/2006/main">
          <x14:cfRule type="dataBar" id="{8EB5A6EB-E263-4D6D-AAB8-30CE526BCBD1}">
            <x14:dataBar minLength="0" maxLength="100" border="1" negativeBarBorderColorSameAsPositive="0">
              <x14:cfvo type="autoMin"/>
              <x14:cfvo type="autoMax"/>
              <x14:borderColor rgb="FF63C384"/>
              <x14:negativeFillColor rgb="FFFF0000"/>
              <x14:negativeBorderColor rgb="FFFF0000"/>
              <x14:axisColor rgb="FF000000"/>
            </x14:dataBar>
          </x14:cfRule>
          <xm:sqref>Z604</xm:sqref>
        </x14:conditionalFormatting>
        <x14:conditionalFormatting xmlns:xm="http://schemas.microsoft.com/office/excel/2006/main">
          <x14:cfRule type="dataBar" id="{A1F4C1B0-D8AD-438A-847F-8EE29321E7AB}">
            <x14:dataBar minLength="0" maxLength="100" border="1" negativeBarBorderColorSameAsPositive="0">
              <x14:cfvo type="autoMin"/>
              <x14:cfvo type="autoMax"/>
              <x14:borderColor rgb="FF63C384"/>
              <x14:negativeFillColor rgb="FFFF0000"/>
              <x14:negativeBorderColor rgb="FFFF0000"/>
              <x14:axisColor rgb="FF000000"/>
            </x14:dataBar>
          </x14:cfRule>
          <xm:sqref>Z604</xm:sqref>
        </x14:conditionalFormatting>
        <x14:conditionalFormatting xmlns:xm="http://schemas.microsoft.com/office/excel/2006/main">
          <x14:cfRule type="dataBar" id="{F62D94CB-B992-49D1-8321-EB21D704374D}">
            <x14:dataBar minLength="0" maxLength="100" border="1" negativeBarBorderColorSameAsPositive="0">
              <x14:cfvo type="autoMin"/>
              <x14:cfvo type="autoMax"/>
              <x14:borderColor rgb="FF63C384"/>
              <x14:negativeFillColor rgb="FFFF0000"/>
              <x14:negativeBorderColor rgb="FFFF0000"/>
              <x14:axisColor rgb="FF000000"/>
            </x14:dataBar>
          </x14:cfRule>
          <xm:sqref>Z604</xm:sqref>
        </x14:conditionalFormatting>
        <x14:conditionalFormatting xmlns:xm="http://schemas.microsoft.com/office/excel/2006/main">
          <x14:cfRule type="dataBar" id="{789A2E1B-007A-4307-A574-C54790E0CA00}">
            <x14:dataBar minLength="0" maxLength="100" border="1" negativeBarBorderColorSameAsPositive="0">
              <x14:cfvo type="autoMin"/>
              <x14:cfvo type="autoMax"/>
              <x14:borderColor rgb="FF63C384"/>
              <x14:negativeFillColor rgb="FFFF0000"/>
              <x14:negativeBorderColor rgb="FFFF0000"/>
              <x14:axisColor rgb="FF000000"/>
            </x14:dataBar>
          </x14:cfRule>
          <xm:sqref>Z604</xm:sqref>
        </x14:conditionalFormatting>
        <x14:conditionalFormatting xmlns:xm="http://schemas.microsoft.com/office/excel/2006/main">
          <x14:cfRule type="dataBar" id="{F1D4CD0F-1E56-468A-AAFA-7E4BFA2BF02A}">
            <x14:dataBar minLength="0" maxLength="100" border="1" negativeBarBorderColorSameAsPositive="0">
              <x14:cfvo type="autoMin"/>
              <x14:cfvo type="autoMax"/>
              <x14:borderColor rgb="FF63C384"/>
              <x14:negativeFillColor rgb="FFFF0000"/>
              <x14:negativeBorderColor rgb="FFFF0000"/>
              <x14:axisColor rgb="FF000000"/>
            </x14:dataBar>
          </x14:cfRule>
          <xm:sqref>Z604</xm:sqref>
        </x14:conditionalFormatting>
        <x14:conditionalFormatting xmlns:xm="http://schemas.microsoft.com/office/excel/2006/main">
          <x14:cfRule type="dataBar" id="{E1BE9695-1611-4FF8-ABE4-179EFE45DA42}">
            <x14:dataBar minLength="0" maxLength="100" border="1" negativeBarBorderColorSameAsPositive="0">
              <x14:cfvo type="autoMin"/>
              <x14:cfvo type="autoMax"/>
              <x14:borderColor rgb="FF63C384"/>
              <x14:negativeFillColor rgb="FFFF0000"/>
              <x14:negativeBorderColor rgb="FFFF0000"/>
              <x14:axisColor rgb="FF000000"/>
            </x14:dataBar>
          </x14:cfRule>
          <xm:sqref>Z604</xm:sqref>
        </x14:conditionalFormatting>
        <x14:conditionalFormatting xmlns:xm="http://schemas.microsoft.com/office/excel/2006/main">
          <x14:cfRule type="dataBar" id="{BCAE0322-3D02-4F0B-B720-0B308F23E13C}">
            <x14:dataBar minLength="0" maxLength="100" border="1" negativeBarBorderColorSameAsPositive="0">
              <x14:cfvo type="autoMin"/>
              <x14:cfvo type="autoMax"/>
              <x14:borderColor rgb="FF63C384"/>
              <x14:negativeFillColor rgb="FFFF0000"/>
              <x14:negativeBorderColor rgb="FFFF0000"/>
              <x14:axisColor rgb="FF000000"/>
            </x14:dataBar>
          </x14:cfRule>
          <xm:sqref>Z604</xm:sqref>
        </x14:conditionalFormatting>
        <x14:conditionalFormatting xmlns:xm="http://schemas.microsoft.com/office/excel/2006/main">
          <x14:cfRule type="dataBar" id="{2B3AC75E-115A-4ED8-A8D4-3C876F7DF6A1}">
            <x14:dataBar minLength="0" maxLength="100" border="1" negativeBarBorderColorSameAsPositive="0">
              <x14:cfvo type="autoMin"/>
              <x14:cfvo type="autoMax"/>
              <x14:borderColor rgb="FF63C384"/>
              <x14:negativeFillColor rgb="FFFF0000"/>
              <x14:negativeBorderColor rgb="FFFF0000"/>
              <x14:axisColor rgb="FF000000"/>
            </x14:dataBar>
          </x14:cfRule>
          <xm:sqref>Z604</xm:sqref>
        </x14:conditionalFormatting>
        <x14:conditionalFormatting xmlns:xm="http://schemas.microsoft.com/office/excel/2006/main">
          <x14:cfRule type="dataBar" id="{60B64844-49D7-4EB1-BD82-2FB49126ECE6}">
            <x14:dataBar minLength="0" maxLength="100" border="1" negativeBarBorderColorSameAsPositive="0">
              <x14:cfvo type="autoMin"/>
              <x14:cfvo type="autoMax"/>
              <x14:borderColor rgb="FF63C384"/>
              <x14:negativeFillColor rgb="FFFF0000"/>
              <x14:negativeBorderColor rgb="FFFF0000"/>
              <x14:axisColor rgb="FF000000"/>
            </x14:dataBar>
          </x14:cfRule>
          <xm:sqref>Z605</xm:sqref>
        </x14:conditionalFormatting>
        <x14:conditionalFormatting xmlns:xm="http://schemas.microsoft.com/office/excel/2006/main">
          <x14:cfRule type="dataBar" id="{4EA8F685-A433-4E54-B3D6-D2D4BB06E6D7}">
            <x14:dataBar minLength="0" maxLength="100" border="1" negativeBarBorderColorSameAsPositive="0">
              <x14:cfvo type="autoMin"/>
              <x14:cfvo type="autoMax"/>
              <x14:borderColor rgb="FF63C384"/>
              <x14:negativeFillColor rgb="FFFF0000"/>
              <x14:negativeBorderColor rgb="FFFF0000"/>
              <x14:axisColor rgb="FF000000"/>
            </x14:dataBar>
          </x14:cfRule>
          <xm:sqref>Z605</xm:sqref>
        </x14:conditionalFormatting>
        <x14:conditionalFormatting xmlns:xm="http://schemas.microsoft.com/office/excel/2006/main">
          <x14:cfRule type="dataBar" id="{D2EAE9C6-D578-4015-8523-7327454E4EC9}">
            <x14:dataBar minLength="0" maxLength="100" border="1" negativeBarBorderColorSameAsPositive="0">
              <x14:cfvo type="autoMin"/>
              <x14:cfvo type="autoMax"/>
              <x14:borderColor rgb="FF63C384"/>
              <x14:negativeFillColor rgb="FFFF0000"/>
              <x14:negativeBorderColor rgb="FFFF0000"/>
              <x14:axisColor rgb="FF000000"/>
            </x14:dataBar>
          </x14:cfRule>
          <xm:sqref>Z606</xm:sqref>
        </x14:conditionalFormatting>
        <x14:conditionalFormatting xmlns:xm="http://schemas.microsoft.com/office/excel/2006/main">
          <x14:cfRule type="dataBar" id="{3528B55F-CA6B-48DA-9B13-FF645E141CF0}">
            <x14:dataBar minLength="0" maxLength="100" border="1" negativeBarBorderColorSameAsPositive="0">
              <x14:cfvo type="autoMin"/>
              <x14:cfvo type="autoMax"/>
              <x14:borderColor rgb="FF63C384"/>
              <x14:negativeFillColor rgb="FFFF0000"/>
              <x14:negativeBorderColor rgb="FFFF0000"/>
              <x14:axisColor rgb="FF000000"/>
            </x14:dataBar>
          </x14:cfRule>
          <xm:sqref>Z606</xm:sqref>
        </x14:conditionalFormatting>
        <x14:conditionalFormatting xmlns:xm="http://schemas.microsoft.com/office/excel/2006/main">
          <x14:cfRule type="dataBar" id="{30F699A7-97BC-4C79-80C8-2B98EBA15189}">
            <x14:dataBar minLength="0" maxLength="100" border="1" negativeBarBorderColorSameAsPositive="0">
              <x14:cfvo type="autoMin"/>
              <x14:cfvo type="autoMax"/>
              <x14:borderColor rgb="FF63C384"/>
              <x14:negativeFillColor rgb="FFFF0000"/>
              <x14:negativeBorderColor rgb="FFFF0000"/>
              <x14:axisColor rgb="FF000000"/>
            </x14:dataBar>
          </x14:cfRule>
          <xm:sqref>Z607</xm:sqref>
        </x14:conditionalFormatting>
        <x14:conditionalFormatting xmlns:xm="http://schemas.microsoft.com/office/excel/2006/main">
          <x14:cfRule type="dataBar" id="{878E76AF-6A75-4D4B-8FC8-82E74B2075D7}">
            <x14:dataBar minLength="0" maxLength="100" border="1" negativeBarBorderColorSameAsPositive="0">
              <x14:cfvo type="autoMin"/>
              <x14:cfvo type="autoMax"/>
              <x14:borderColor rgb="FF63C384"/>
              <x14:negativeFillColor rgb="FFFF0000"/>
              <x14:negativeBorderColor rgb="FFFF0000"/>
              <x14:axisColor rgb="FF000000"/>
            </x14:dataBar>
          </x14:cfRule>
          <xm:sqref>Z607</xm:sqref>
        </x14:conditionalFormatting>
        <x14:conditionalFormatting xmlns:xm="http://schemas.microsoft.com/office/excel/2006/main">
          <x14:cfRule type="dataBar" id="{79DE89AF-5907-429C-93B9-AF2C50FD99AB}">
            <x14:dataBar minLength="0" maxLength="100" border="1" negativeBarBorderColorSameAsPositive="0">
              <x14:cfvo type="autoMin"/>
              <x14:cfvo type="autoMax"/>
              <x14:borderColor rgb="FF63C384"/>
              <x14:negativeFillColor rgb="FFFF0000"/>
              <x14:negativeBorderColor rgb="FFFF0000"/>
              <x14:axisColor rgb="FF000000"/>
            </x14:dataBar>
          </x14:cfRule>
          <xm:sqref>Z608</xm:sqref>
        </x14:conditionalFormatting>
        <x14:conditionalFormatting xmlns:xm="http://schemas.microsoft.com/office/excel/2006/main">
          <x14:cfRule type="dataBar" id="{B3987D1A-5D4F-4F21-A217-4F53126EF29F}">
            <x14:dataBar minLength="0" maxLength="100" border="1" negativeBarBorderColorSameAsPositive="0">
              <x14:cfvo type="autoMin"/>
              <x14:cfvo type="autoMax"/>
              <x14:borderColor rgb="FF63C384"/>
              <x14:negativeFillColor rgb="FFFF0000"/>
              <x14:negativeBorderColor rgb="FFFF0000"/>
              <x14:axisColor rgb="FF000000"/>
            </x14:dataBar>
          </x14:cfRule>
          <xm:sqref>Z608</xm:sqref>
        </x14:conditionalFormatting>
        <x14:conditionalFormatting xmlns:xm="http://schemas.microsoft.com/office/excel/2006/main">
          <x14:cfRule type="dataBar" id="{C7A3FBF4-A6F7-40C4-A205-27017640F963}">
            <x14:dataBar minLength="0" maxLength="100" border="1" negativeBarBorderColorSameAsPositive="0">
              <x14:cfvo type="autoMin"/>
              <x14:cfvo type="autoMax"/>
              <x14:borderColor rgb="FF63C384"/>
              <x14:negativeFillColor rgb="FFFF0000"/>
              <x14:negativeBorderColor rgb="FFFF0000"/>
              <x14:axisColor rgb="FF000000"/>
            </x14:dataBar>
          </x14:cfRule>
          <xm:sqref>Z609</xm:sqref>
        </x14:conditionalFormatting>
        <x14:conditionalFormatting xmlns:xm="http://schemas.microsoft.com/office/excel/2006/main">
          <x14:cfRule type="dataBar" id="{9B1C8324-3414-4566-92BB-21AFB0465A95}">
            <x14:dataBar minLength="0" maxLength="100" border="1" negativeBarBorderColorSameAsPositive="0">
              <x14:cfvo type="autoMin"/>
              <x14:cfvo type="autoMax"/>
              <x14:borderColor rgb="FF63C384"/>
              <x14:negativeFillColor rgb="FFFF0000"/>
              <x14:negativeBorderColor rgb="FFFF0000"/>
              <x14:axisColor rgb="FF000000"/>
            </x14:dataBar>
          </x14:cfRule>
          <xm:sqref>Z609</xm:sqref>
        </x14:conditionalFormatting>
        <x14:conditionalFormatting xmlns:xm="http://schemas.microsoft.com/office/excel/2006/main">
          <x14:cfRule type="dataBar" id="{35E0D64E-0FB7-4E54-B7A5-619FC0789836}">
            <x14:dataBar minLength="0" maxLength="100" border="1" negativeBarBorderColorSameAsPositive="0">
              <x14:cfvo type="autoMin"/>
              <x14:cfvo type="autoMax"/>
              <x14:borderColor rgb="FF63C384"/>
              <x14:negativeFillColor rgb="FFFF0000"/>
              <x14:negativeBorderColor rgb="FFFF0000"/>
              <x14:axisColor rgb="FF000000"/>
            </x14:dataBar>
          </x14:cfRule>
          <xm:sqref>Z610</xm:sqref>
        </x14:conditionalFormatting>
        <x14:conditionalFormatting xmlns:xm="http://schemas.microsoft.com/office/excel/2006/main">
          <x14:cfRule type="dataBar" id="{6CABF28E-BEA9-4959-AFF6-6F6335DB0F76}">
            <x14:dataBar minLength="0" maxLength="100" border="1" negativeBarBorderColorSameAsPositive="0">
              <x14:cfvo type="autoMin"/>
              <x14:cfvo type="autoMax"/>
              <x14:borderColor rgb="FF63C384"/>
              <x14:negativeFillColor rgb="FFFF0000"/>
              <x14:negativeBorderColor rgb="FFFF0000"/>
              <x14:axisColor rgb="FF000000"/>
            </x14:dataBar>
          </x14:cfRule>
          <xm:sqref>Z610</xm:sqref>
        </x14:conditionalFormatting>
        <x14:conditionalFormatting xmlns:xm="http://schemas.microsoft.com/office/excel/2006/main">
          <x14:cfRule type="dataBar" id="{ACD4143B-5D1E-4408-AD41-002D702A8C66}">
            <x14:dataBar minLength="0" maxLength="100" border="1" negativeBarBorderColorSameAsPositive="0">
              <x14:cfvo type="autoMin"/>
              <x14:cfvo type="autoMax"/>
              <x14:borderColor rgb="FF63C384"/>
              <x14:negativeFillColor rgb="FFFF0000"/>
              <x14:negativeBorderColor rgb="FFFF0000"/>
              <x14:axisColor rgb="FF000000"/>
            </x14:dataBar>
          </x14:cfRule>
          <xm:sqref>Z611</xm:sqref>
        </x14:conditionalFormatting>
        <x14:conditionalFormatting xmlns:xm="http://schemas.microsoft.com/office/excel/2006/main">
          <x14:cfRule type="dataBar" id="{71117F8E-32D4-4CE7-984F-0F2CF2B514B4}">
            <x14:dataBar minLength="0" maxLength="100" border="1" negativeBarBorderColorSameAsPositive="0">
              <x14:cfvo type="autoMin"/>
              <x14:cfvo type="autoMax"/>
              <x14:borderColor rgb="FF63C384"/>
              <x14:negativeFillColor rgb="FFFF0000"/>
              <x14:negativeBorderColor rgb="FFFF0000"/>
              <x14:axisColor rgb="FF000000"/>
            </x14:dataBar>
          </x14:cfRule>
          <xm:sqref>Z611</xm:sqref>
        </x14:conditionalFormatting>
        <x14:conditionalFormatting xmlns:xm="http://schemas.microsoft.com/office/excel/2006/main">
          <x14:cfRule type="dataBar" id="{D6509B06-8F52-4165-87C3-3FC173E48C52}">
            <x14:dataBar minLength="0" maxLength="100" border="1" negativeBarBorderColorSameAsPositive="0">
              <x14:cfvo type="autoMin"/>
              <x14:cfvo type="autoMax"/>
              <x14:borderColor rgb="FF63C384"/>
              <x14:negativeFillColor rgb="FFFF0000"/>
              <x14:negativeBorderColor rgb="FFFF0000"/>
              <x14:axisColor rgb="FF000000"/>
            </x14:dataBar>
          </x14:cfRule>
          <xm:sqref>Z612</xm:sqref>
        </x14:conditionalFormatting>
        <x14:conditionalFormatting xmlns:xm="http://schemas.microsoft.com/office/excel/2006/main">
          <x14:cfRule type="dataBar" id="{718981F6-65D8-4312-8D05-1196F2177BC5}">
            <x14:dataBar minLength="0" maxLength="100" border="1" negativeBarBorderColorSameAsPositive="0">
              <x14:cfvo type="autoMin"/>
              <x14:cfvo type="autoMax"/>
              <x14:borderColor rgb="FF63C384"/>
              <x14:negativeFillColor rgb="FFFF0000"/>
              <x14:negativeBorderColor rgb="FFFF0000"/>
              <x14:axisColor rgb="FF000000"/>
            </x14:dataBar>
          </x14:cfRule>
          <xm:sqref>Z612</xm:sqref>
        </x14:conditionalFormatting>
        <x14:conditionalFormatting xmlns:xm="http://schemas.microsoft.com/office/excel/2006/main">
          <x14:cfRule type="dataBar" id="{F21DF07F-587A-465D-ABFA-08C47F92A59C}">
            <x14:dataBar minLength="0" maxLength="100" border="1" negativeBarBorderColorSameAsPositive="0">
              <x14:cfvo type="autoMin"/>
              <x14:cfvo type="autoMax"/>
              <x14:borderColor rgb="FF63C384"/>
              <x14:negativeFillColor rgb="FFFF0000"/>
              <x14:negativeBorderColor rgb="FFFF0000"/>
              <x14:axisColor rgb="FF000000"/>
            </x14:dataBar>
          </x14:cfRule>
          <xm:sqref>Z613</xm:sqref>
        </x14:conditionalFormatting>
        <x14:conditionalFormatting xmlns:xm="http://schemas.microsoft.com/office/excel/2006/main">
          <x14:cfRule type="dataBar" id="{A07E8F5B-6E9E-4E66-8D25-CFB0FC499FC8}">
            <x14:dataBar minLength="0" maxLength="100" border="1" negativeBarBorderColorSameAsPositive="0">
              <x14:cfvo type="autoMin"/>
              <x14:cfvo type="autoMax"/>
              <x14:borderColor rgb="FF63C384"/>
              <x14:negativeFillColor rgb="FFFF0000"/>
              <x14:negativeBorderColor rgb="FFFF0000"/>
              <x14:axisColor rgb="FF000000"/>
            </x14:dataBar>
          </x14:cfRule>
          <xm:sqref>Z613</xm:sqref>
        </x14:conditionalFormatting>
        <x14:conditionalFormatting xmlns:xm="http://schemas.microsoft.com/office/excel/2006/main">
          <x14:cfRule type="dataBar" id="{61841985-0B4D-491A-A699-96C77CBC9E9C}">
            <x14:dataBar minLength="0" maxLength="100" border="1" negativeBarBorderColorSameAsPositive="0">
              <x14:cfvo type="autoMin"/>
              <x14:cfvo type="autoMax"/>
              <x14:borderColor rgb="FF63C384"/>
              <x14:negativeFillColor rgb="FFFF0000"/>
              <x14:negativeBorderColor rgb="FFFF0000"/>
              <x14:axisColor rgb="FF000000"/>
            </x14:dataBar>
          </x14:cfRule>
          <xm:sqref>Z613</xm:sqref>
        </x14:conditionalFormatting>
        <x14:conditionalFormatting xmlns:xm="http://schemas.microsoft.com/office/excel/2006/main">
          <x14:cfRule type="dataBar" id="{AB3F0398-B1A3-4B2C-BAAD-EED598ECF627}">
            <x14:dataBar minLength="0" maxLength="100" border="1" negativeBarBorderColorSameAsPositive="0">
              <x14:cfvo type="autoMin"/>
              <x14:cfvo type="autoMax"/>
              <x14:borderColor rgb="FF63C384"/>
              <x14:negativeFillColor rgb="FFFF0000"/>
              <x14:negativeBorderColor rgb="FFFF0000"/>
              <x14:axisColor rgb="FF000000"/>
            </x14:dataBar>
          </x14:cfRule>
          <xm:sqref>Z613</xm:sqref>
        </x14:conditionalFormatting>
        <x14:conditionalFormatting xmlns:xm="http://schemas.microsoft.com/office/excel/2006/main">
          <x14:cfRule type="dataBar" id="{D0B5A5AF-B560-4006-9B63-7A91683F14A0}">
            <x14:dataBar minLength="0" maxLength="100" border="1" negativeBarBorderColorSameAsPositive="0">
              <x14:cfvo type="autoMin"/>
              <x14:cfvo type="autoMax"/>
              <x14:borderColor rgb="FF63C384"/>
              <x14:negativeFillColor rgb="FFFF0000"/>
              <x14:negativeBorderColor rgb="FFFF0000"/>
              <x14:axisColor rgb="FF000000"/>
            </x14:dataBar>
          </x14:cfRule>
          <xm:sqref>Z614</xm:sqref>
        </x14:conditionalFormatting>
        <x14:conditionalFormatting xmlns:xm="http://schemas.microsoft.com/office/excel/2006/main">
          <x14:cfRule type="dataBar" id="{DD2CF215-61C1-42AF-BA1B-C12CBA4CD9FC}">
            <x14:dataBar minLength="0" maxLength="100" border="1" negativeBarBorderColorSameAsPositive="0">
              <x14:cfvo type="autoMin"/>
              <x14:cfvo type="autoMax"/>
              <x14:borderColor rgb="FF63C384"/>
              <x14:negativeFillColor rgb="FFFF0000"/>
              <x14:negativeBorderColor rgb="FFFF0000"/>
              <x14:axisColor rgb="FF000000"/>
            </x14:dataBar>
          </x14:cfRule>
          <xm:sqref>Z614</xm:sqref>
        </x14:conditionalFormatting>
        <x14:conditionalFormatting xmlns:xm="http://schemas.microsoft.com/office/excel/2006/main">
          <x14:cfRule type="dataBar" id="{DB40752B-00B6-4F55-BE80-794A039E6BCB}">
            <x14:dataBar minLength="0" maxLength="100" border="1" negativeBarBorderColorSameAsPositive="0">
              <x14:cfvo type="autoMin"/>
              <x14:cfvo type="autoMax"/>
              <x14:borderColor rgb="FF63C384"/>
              <x14:negativeFillColor rgb="FFFF0000"/>
              <x14:negativeBorderColor rgb="FFFF0000"/>
              <x14:axisColor rgb="FF000000"/>
            </x14:dataBar>
          </x14:cfRule>
          <xm:sqref>Z615</xm:sqref>
        </x14:conditionalFormatting>
        <x14:conditionalFormatting xmlns:xm="http://schemas.microsoft.com/office/excel/2006/main">
          <x14:cfRule type="dataBar" id="{DB92278A-2E7F-4C47-A958-3C491DF76621}">
            <x14:dataBar minLength="0" maxLength="100" border="1" negativeBarBorderColorSameAsPositive="0">
              <x14:cfvo type="autoMin"/>
              <x14:cfvo type="autoMax"/>
              <x14:borderColor rgb="FF63C384"/>
              <x14:negativeFillColor rgb="FFFF0000"/>
              <x14:negativeBorderColor rgb="FFFF0000"/>
              <x14:axisColor rgb="FF000000"/>
            </x14:dataBar>
          </x14:cfRule>
          <xm:sqref>Z615</xm:sqref>
        </x14:conditionalFormatting>
        <x14:conditionalFormatting xmlns:xm="http://schemas.microsoft.com/office/excel/2006/main">
          <x14:cfRule type="dataBar" id="{CD3A68A2-B8AB-40F8-88C9-F8D45AFE35B2}">
            <x14:dataBar minLength="0" maxLength="100" border="1" negativeBarBorderColorSameAsPositive="0">
              <x14:cfvo type="autoMin"/>
              <x14:cfvo type="autoMax"/>
              <x14:borderColor rgb="FF63C384"/>
              <x14:negativeFillColor rgb="FFFF0000"/>
              <x14:negativeBorderColor rgb="FFFF0000"/>
              <x14:axisColor rgb="FF000000"/>
            </x14:dataBar>
          </x14:cfRule>
          <xm:sqref>Z616</xm:sqref>
        </x14:conditionalFormatting>
        <x14:conditionalFormatting xmlns:xm="http://schemas.microsoft.com/office/excel/2006/main">
          <x14:cfRule type="dataBar" id="{FF77EBFE-230F-4F6F-BB5A-21D17265F22D}">
            <x14:dataBar minLength="0" maxLength="100" border="1" negativeBarBorderColorSameAsPositive="0">
              <x14:cfvo type="autoMin"/>
              <x14:cfvo type="autoMax"/>
              <x14:borderColor rgb="FF63C384"/>
              <x14:negativeFillColor rgb="FFFF0000"/>
              <x14:negativeBorderColor rgb="FFFF0000"/>
              <x14:axisColor rgb="FF000000"/>
            </x14:dataBar>
          </x14:cfRule>
          <xm:sqref>Z616</xm:sqref>
        </x14:conditionalFormatting>
        <x14:conditionalFormatting xmlns:xm="http://schemas.microsoft.com/office/excel/2006/main">
          <x14:cfRule type="dataBar" id="{224278BD-7797-4EB3-9DB2-DE2CDB5791A0}">
            <x14:dataBar minLength="0" maxLength="100" border="1" negativeBarBorderColorSameAsPositive="0">
              <x14:cfvo type="autoMin"/>
              <x14:cfvo type="autoMax"/>
              <x14:borderColor rgb="FF63C384"/>
              <x14:negativeFillColor rgb="FFFF0000"/>
              <x14:negativeBorderColor rgb="FFFF0000"/>
              <x14:axisColor rgb="FF000000"/>
            </x14:dataBar>
          </x14:cfRule>
          <xm:sqref>Z617</xm:sqref>
        </x14:conditionalFormatting>
        <x14:conditionalFormatting xmlns:xm="http://schemas.microsoft.com/office/excel/2006/main">
          <x14:cfRule type="dataBar" id="{7745133B-CBC3-4E00-8302-D03245714D74}">
            <x14:dataBar minLength="0" maxLength="100" border="1" negativeBarBorderColorSameAsPositive="0">
              <x14:cfvo type="autoMin"/>
              <x14:cfvo type="autoMax"/>
              <x14:borderColor rgb="FF63C384"/>
              <x14:negativeFillColor rgb="FFFF0000"/>
              <x14:negativeBorderColor rgb="FFFF0000"/>
              <x14:axisColor rgb="FF000000"/>
            </x14:dataBar>
          </x14:cfRule>
          <xm:sqref>Z617</xm:sqref>
        </x14:conditionalFormatting>
        <x14:conditionalFormatting xmlns:xm="http://schemas.microsoft.com/office/excel/2006/main">
          <x14:cfRule type="dataBar" id="{8B0FA11A-6B3B-4F2D-B44B-4848DD6430DC}">
            <x14:dataBar minLength="0" maxLength="100" border="1" negativeBarBorderColorSameAsPositive="0">
              <x14:cfvo type="autoMin"/>
              <x14:cfvo type="autoMax"/>
              <x14:borderColor rgb="FF63C384"/>
              <x14:negativeFillColor rgb="FFFF0000"/>
              <x14:negativeBorderColor rgb="FFFF0000"/>
              <x14:axisColor rgb="FF000000"/>
            </x14:dataBar>
          </x14:cfRule>
          <xm:sqref>Z618</xm:sqref>
        </x14:conditionalFormatting>
        <x14:conditionalFormatting xmlns:xm="http://schemas.microsoft.com/office/excel/2006/main">
          <x14:cfRule type="dataBar" id="{D7F89FEA-5CB1-47C5-AF58-00B138EBFF7F}">
            <x14:dataBar minLength="0" maxLength="100" border="1" negativeBarBorderColorSameAsPositive="0">
              <x14:cfvo type="autoMin"/>
              <x14:cfvo type="autoMax"/>
              <x14:borderColor rgb="FF63C384"/>
              <x14:negativeFillColor rgb="FFFF0000"/>
              <x14:negativeBorderColor rgb="FFFF0000"/>
              <x14:axisColor rgb="FF000000"/>
            </x14:dataBar>
          </x14:cfRule>
          <xm:sqref>Z618</xm:sqref>
        </x14:conditionalFormatting>
        <x14:conditionalFormatting xmlns:xm="http://schemas.microsoft.com/office/excel/2006/main">
          <x14:cfRule type="dataBar" id="{5D5C3177-F692-4093-A51A-B89D8F77EEFE}">
            <x14:dataBar minLength="0" maxLength="100" border="1" negativeBarBorderColorSameAsPositive="0">
              <x14:cfvo type="autoMin"/>
              <x14:cfvo type="autoMax"/>
              <x14:borderColor rgb="FF63C384"/>
              <x14:negativeFillColor rgb="FFFF0000"/>
              <x14:negativeBorderColor rgb="FFFF0000"/>
              <x14:axisColor rgb="FF000000"/>
            </x14:dataBar>
          </x14:cfRule>
          <xm:sqref>Z619</xm:sqref>
        </x14:conditionalFormatting>
        <x14:conditionalFormatting xmlns:xm="http://schemas.microsoft.com/office/excel/2006/main">
          <x14:cfRule type="dataBar" id="{CC3842BD-4F9B-4711-906D-9AEA7F48E998}">
            <x14:dataBar minLength="0" maxLength="100" border="1" negativeBarBorderColorSameAsPositive="0">
              <x14:cfvo type="autoMin"/>
              <x14:cfvo type="autoMax"/>
              <x14:borderColor rgb="FF63C384"/>
              <x14:negativeFillColor rgb="FFFF0000"/>
              <x14:negativeBorderColor rgb="FFFF0000"/>
              <x14:axisColor rgb="FF000000"/>
            </x14:dataBar>
          </x14:cfRule>
          <xm:sqref>Z619</xm:sqref>
        </x14:conditionalFormatting>
        <x14:conditionalFormatting xmlns:xm="http://schemas.microsoft.com/office/excel/2006/main">
          <x14:cfRule type="dataBar" id="{EBC222E6-7A00-4477-BC25-0CDB3B0D81B1}">
            <x14:dataBar minLength="0" maxLength="100" border="1" negativeBarBorderColorSameAsPositive="0">
              <x14:cfvo type="autoMin"/>
              <x14:cfvo type="autoMax"/>
              <x14:borderColor rgb="FF63C384"/>
              <x14:negativeFillColor rgb="FFFF0000"/>
              <x14:negativeBorderColor rgb="FFFF0000"/>
              <x14:axisColor rgb="FF000000"/>
            </x14:dataBar>
          </x14:cfRule>
          <xm:sqref>Z619</xm:sqref>
        </x14:conditionalFormatting>
        <x14:conditionalFormatting xmlns:xm="http://schemas.microsoft.com/office/excel/2006/main">
          <x14:cfRule type="dataBar" id="{7A71F000-2234-413C-93EA-47BFC7EC862C}">
            <x14:dataBar minLength="0" maxLength="100" border="1" negativeBarBorderColorSameAsPositive="0">
              <x14:cfvo type="autoMin"/>
              <x14:cfvo type="autoMax"/>
              <x14:borderColor rgb="FF63C384"/>
              <x14:negativeFillColor rgb="FFFF0000"/>
              <x14:negativeBorderColor rgb="FFFF0000"/>
              <x14:axisColor rgb="FF000000"/>
            </x14:dataBar>
          </x14:cfRule>
          <xm:sqref>Z619</xm:sqref>
        </x14:conditionalFormatting>
        <x14:conditionalFormatting xmlns:xm="http://schemas.microsoft.com/office/excel/2006/main">
          <x14:cfRule type="dataBar" id="{2F8B09DE-4B6F-4B91-869A-70E899D287BF}">
            <x14:dataBar minLength="0" maxLength="100" border="1" negativeBarBorderColorSameAsPositive="0">
              <x14:cfvo type="autoMin"/>
              <x14:cfvo type="autoMax"/>
              <x14:borderColor rgb="FF63C384"/>
              <x14:negativeFillColor rgb="FFFF0000"/>
              <x14:negativeBorderColor rgb="FFFF0000"/>
              <x14:axisColor rgb="FF000000"/>
            </x14:dataBar>
          </x14:cfRule>
          <xm:sqref>Z619</xm:sqref>
        </x14:conditionalFormatting>
        <x14:conditionalFormatting xmlns:xm="http://schemas.microsoft.com/office/excel/2006/main">
          <x14:cfRule type="dataBar" id="{EB3FCA00-953B-4276-A18C-DF895CEBDC94}">
            <x14:dataBar minLength="0" maxLength="100" border="1" negativeBarBorderColorSameAsPositive="0">
              <x14:cfvo type="autoMin"/>
              <x14:cfvo type="autoMax"/>
              <x14:borderColor rgb="FF63C384"/>
              <x14:negativeFillColor rgb="FFFF0000"/>
              <x14:negativeBorderColor rgb="FFFF0000"/>
              <x14:axisColor rgb="FF000000"/>
            </x14:dataBar>
          </x14:cfRule>
          <xm:sqref>Z619</xm:sqref>
        </x14:conditionalFormatting>
        <x14:conditionalFormatting xmlns:xm="http://schemas.microsoft.com/office/excel/2006/main">
          <x14:cfRule type="dataBar" id="{FB283887-C3D6-4A53-86E1-9A353F889D91}">
            <x14:dataBar minLength="0" maxLength="100" border="1" negativeBarBorderColorSameAsPositive="0">
              <x14:cfvo type="autoMin"/>
              <x14:cfvo type="autoMax"/>
              <x14:borderColor rgb="FF63C384"/>
              <x14:negativeFillColor rgb="FFFF0000"/>
              <x14:negativeBorderColor rgb="FFFF0000"/>
              <x14:axisColor rgb="FF000000"/>
            </x14:dataBar>
          </x14:cfRule>
          <xm:sqref>Z619</xm:sqref>
        </x14:conditionalFormatting>
        <x14:conditionalFormatting xmlns:xm="http://schemas.microsoft.com/office/excel/2006/main">
          <x14:cfRule type="dataBar" id="{FEB980E8-EAC3-4909-92CC-8070BCD8A6F8}">
            <x14:dataBar minLength="0" maxLength="100" border="1" negativeBarBorderColorSameAsPositive="0">
              <x14:cfvo type="autoMin"/>
              <x14:cfvo type="autoMax"/>
              <x14:borderColor rgb="FF63C384"/>
              <x14:negativeFillColor rgb="FFFF0000"/>
              <x14:negativeBorderColor rgb="FFFF0000"/>
              <x14:axisColor rgb="FF000000"/>
            </x14:dataBar>
          </x14:cfRule>
          <xm:sqref>Z619</xm:sqref>
        </x14:conditionalFormatting>
        <x14:conditionalFormatting xmlns:xm="http://schemas.microsoft.com/office/excel/2006/main">
          <x14:cfRule type="dataBar" id="{EDC958E9-ADDD-4531-B8C7-279CB495564D}">
            <x14:dataBar minLength="0" maxLength="100" border="1" negativeBarBorderColorSameAsPositive="0">
              <x14:cfvo type="autoMin"/>
              <x14:cfvo type="autoMax"/>
              <x14:borderColor rgb="FF63C384"/>
              <x14:negativeFillColor rgb="FFFF0000"/>
              <x14:negativeBorderColor rgb="FFFF0000"/>
              <x14:axisColor rgb="FF000000"/>
            </x14:dataBar>
          </x14:cfRule>
          <xm:sqref>Z620</xm:sqref>
        </x14:conditionalFormatting>
        <x14:conditionalFormatting xmlns:xm="http://schemas.microsoft.com/office/excel/2006/main">
          <x14:cfRule type="dataBar" id="{E1CFEFBD-6D3D-49CB-B4AC-5FF6D3577D08}">
            <x14:dataBar minLength="0" maxLength="100" border="1" negativeBarBorderColorSameAsPositive="0">
              <x14:cfvo type="autoMin"/>
              <x14:cfvo type="autoMax"/>
              <x14:borderColor rgb="FF63C384"/>
              <x14:negativeFillColor rgb="FFFF0000"/>
              <x14:negativeBorderColor rgb="FFFF0000"/>
              <x14:axisColor rgb="FF000000"/>
            </x14:dataBar>
          </x14:cfRule>
          <xm:sqref>Z620</xm:sqref>
        </x14:conditionalFormatting>
        <x14:conditionalFormatting xmlns:xm="http://schemas.microsoft.com/office/excel/2006/main">
          <x14:cfRule type="dataBar" id="{5F596715-FE33-41B6-9FD0-EC6A07A7D655}">
            <x14:dataBar minLength="0" maxLength="100" border="1" negativeBarBorderColorSameAsPositive="0">
              <x14:cfvo type="autoMin"/>
              <x14:cfvo type="autoMax"/>
              <x14:borderColor rgb="FF63C384"/>
              <x14:negativeFillColor rgb="FFFF0000"/>
              <x14:negativeBorderColor rgb="FFFF0000"/>
              <x14:axisColor rgb="FF000000"/>
            </x14:dataBar>
          </x14:cfRule>
          <xm:sqref>Z621</xm:sqref>
        </x14:conditionalFormatting>
        <x14:conditionalFormatting xmlns:xm="http://schemas.microsoft.com/office/excel/2006/main">
          <x14:cfRule type="dataBar" id="{2C5E06A0-E054-47D5-AD9E-C14ED6541E9F}">
            <x14:dataBar minLength="0" maxLength="100" border="1" negativeBarBorderColorSameAsPositive="0">
              <x14:cfvo type="autoMin"/>
              <x14:cfvo type="autoMax"/>
              <x14:borderColor rgb="FF63C384"/>
              <x14:negativeFillColor rgb="FFFF0000"/>
              <x14:negativeBorderColor rgb="FFFF0000"/>
              <x14:axisColor rgb="FF000000"/>
            </x14:dataBar>
          </x14:cfRule>
          <xm:sqref>Z621</xm:sqref>
        </x14:conditionalFormatting>
        <x14:conditionalFormatting xmlns:xm="http://schemas.microsoft.com/office/excel/2006/main">
          <x14:cfRule type="dataBar" id="{7F467C63-82A0-4313-96E6-48B03D42BE20}">
            <x14:dataBar minLength="0" maxLength="100" border="1" negativeBarBorderColorSameAsPositive="0">
              <x14:cfvo type="autoMin"/>
              <x14:cfvo type="autoMax"/>
              <x14:borderColor rgb="FF63C384"/>
              <x14:negativeFillColor rgb="FFFF0000"/>
              <x14:negativeBorderColor rgb="FFFF0000"/>
              <x14:axisColor rgb="FF000000"/>
            </x14:dataBar>
          </x14:cfRule>
          <xm:sqref>Z622</xm:sqref>
        </x14:conditionalFormatting>
        <x14:conditionalFormatting xmlns:xm="http://schemas.microsoft.com/office/excel/2006/main">
          <x14:cfRule type="dataBar" id="{B2BB1B9B-2E5D-455F-9599-00F90F33FC7F}">
            <x14:dataBar minLength="0" maxLength="100" border="1" negativeBarBorderColorSameAsPositive="0">
              <x14:cfvo type="autoMin"/>
              <x14:cfvo type="autoMax"/>
              <x14:borderColor rgb="FF63C384"/>
              <x14:negativeFillColor rgb="FFFF0000"/>
              <x14:negativeBorderColor rgb="FFFF0000"/>
              <x14:axisColor rgb="FF000000"/>
            </x14:dataBar>
          </x14:cfRule>
          <xm:sqref>Z622</xm:sqref>
        </x14:conditionalFormatting>
        <x14:conditionalFormatting xmlns:xm="http://schemas.microsoft.com/office/excel/2006/main">
          <x14:cfRule type="dataBar" id="{83A2671C-EE4D-49EF-B4D9-0CC7765810A8}">
            <x14:dataBar minLength="0" maxLength="100" border="1" negativeBarBorderColorSameAsPositive="0">
              <x14:cfvo type="autoMin"/>
              <x14:cfvo type="autoMax"/>
              <x14:borderColor rgb="FF63C384"/>
              <x14:negativeFillColor rgb="FFFF0000"/>
              <x14:negativeBorderColor rgb="FFFF0000"/>
              <x14:axisColor rgb="FF000000"/>
            </x14:dataBar>
          </x14:cfRule>
          <xm:sqref>Z623</xm:sqref>
        </x14:conditionalFormatting>
        <x14:conditionalFormatting xmlns:xm="http://schemas.microsoft.com/office/excel/2006/main">
          <x14:cfRule type="dataBar" id="{A6034B70-F704-43FB-9E59-181CEC4A0914}">
            <x14:dataBar minLength="0" maxLength="100" border="1" negativeBarBorderColorSameAsPositive="0">
              <x14:cfvo type="autoMin"/>
              <x14:cfvo type="autoMax"/>
              <x14:borderColor rgb="FF63C384"/>
              <x14:negativeFillColor rgb="FFFF0000"/>
              <x14:negativeBorderColor rgb="FFFF0000"/>
              <x14:axisColor rgb="FF000000"/>
            </x14:dataBar>
          </x14:cfRule>
          <xm:sqref>Z623</xm:sqref>
        </x14:conditionalFormatting>
        <x14:conditionalFormatting xmlns:xm="http://schemas.microsoft.com/office/excel/2006/main">
          <x14:cfRule type="dataBar" id="{A0CF63BB-22AF-465A-B739-C8D347135E0B}">
            <x14:dataBar minLength="0" maxLength="100" border="1" negativeBarBorderColorSameAsPositive="0">
              <x14:cfvo type="autoMin"/>
              <x14:cfvo type="autoMax"/>
              <x14:borderColor rgb="FF63C384"/>
              <x14:negativeFillColor rgb="FFFF0000"/>
              <x14:negativeBorderColor rgb="FFFF0000"/>
              <x14:axisColor rgb="FF000000"/>
            </x14:dataBar>
          </x14:cfRule>
          <xm:sqref>Z624</xm:sqref>
        </x14:conditionalFormatting>
        <x14:conditionalFormatting xmlns:xm="http://schemas.microsoft.com/office/excel/2006/main">
          <x14:cfRule type="dataBar" id="{B2DA3287-9926-4FAA-BDE0-E803103CA762}">
            <x14:dataBar minLength="0" maxLength="100" border="1" negativeBarBorderColorSameAsPositive="0">
              <x14:cfvo type="autoMin"/>
              <x14:cfvo type="autoMax"/>
              <x14:borderColor rgb="FF63C384"/>
              <x14:negativeFillColor rgb="FFFF0000"/>
              <x14:negativeBorderColor rgb="FFFF0000"/>
              <x14:axisColor rgb="FF000000"/>
            </x14:dataBar>
          </x14:cfRule>
          <xm:sqref>Z624</xm:sqref>
        </x14:conditionalFormatting>
        <x14:conditionalFormatting xmlns:xm="http://schemas.microsoft.com/office/excel/2006/main">
          <x14:cfRule type="dataBar" id="{495DDCB0-E603-4090-9D07-8C674783C7C3}">
            <x14:dataBar minLength="0" maxLength="100" border="1" negativeBarBorderColorSameAsPositive="0">
              <x14:cfvo type="autoMin"/>
              <x14:cfvo type="autoMax"/>
              <x14:borderColor rgb="FF63C384"/>
              <x14:negativeFillColor rgb="FFFF0000"/>
              <x14:negativeBorderColor rgb="FFFF0000"/>
              <x14:axisColor rgb="FF000000"/>
            </x14:dataBar>
          </x14:cfRule>
          <xm:sqref>Z625</xm:sqref>
        </x14:conditionalFormatting>
        <x14:conditionalFormatting xmlns:xm="http://schemas.microsoft.com/office/excel/2006/main">
          <x14:cfRule type="dataBar" id="{6216259A-FEA6-4766-85BC-891E08C0794B}">
            <x14:dataBar minLength="0" maxLength="100" border="1" negativeBarBorderColorSameAsPositive="0">
              <x14:cfvo type="autoMin"/>
              <x14:cfvo type="autoMax"/>
              <x14:borderColor rgb="FF63C384"/>
              <x14:negativeFillColor rgb="FFFF0000"/>
              <x14:negativeBorderColor rgb="FFFF0000"/>
              <x14:axisColor rgb="FF000000"/>
            </x14:dataBar>
          </x14:cfRule>
          <xm:sqref>Z625</xm:sqref>
        </x14:conditionalFormatting>
        <x14:conditionalFormatting xmlns:xm="http://schemas.microsoft.com/office/excel/2006/main">
          <x14:cfRule type="dataBar" id="{567A33CD-E51D-417F-B8C8-0460F63B3B28}">
            <x14:dataBar minLength="0" maxLength="100" border="1" negativeBarBorderColorSameAsPositive="0">
              <x14:cfvo type="autoMin"/>
              <x14:cfvo type="autoMax"/>
              <x14:borderColor rgb="FF63C384"/>
              <x14:negativeFillColor rgb="FFFF0000"/>
              <x14:negativeBorderColor rgb="FFFF0000"/>
              <x14:axisColor rgb="FF000000"/>
            </x14:dataBar>
          </x14:cfRule>
          <xm:sqref>Z626</xm:sqref>
        </x14:conditionalFormatting>
        <x14:conditionalFormatting xmlns:xm="http://schemas.microsoft.com/office/excel/2006/main">
          <x14:cfRule type="dataBar" id="{EC491369-8F3A-4E56-80CD-0F02201802F3}">
            <x14:dataBar minLength="0" maxLength="100" border="1" negativeBarBorderColorSameAsPositive="0">
              <x14:cfvo type="autoMin"/>
              <x14:cfvo type="autoMax"/>
              <x14:borderColor rgb="FF63C384"/>
              <x14:negativeFillColor rgb="FFFF0000"/>
              <x14:negativeBorderColor rgb="FFFF0000"/>
              <x14:axisColor rgb="FF000000"/>
            </x14:dataBar>
          </x14:cfRule>
          <xm:sqref>Z626</xm:sqref>
        </x14:conditionalFormatting>
        <x14:conditionalFormatting xmlns:xm="http://schemas.microsoft.com/office/excel/2006/main">
          <x14:cfRule type="dataBar" id="{9F891184-838C-4CA4-842E-E6C42D5539FC}">
            <x14:dataBar minLength="0" maxLength="100" border="1" negativeBarBorderColorSameAsPositive="0">
              <x14:cfvo type="autoMin"/>
              <x14:cfvo type="autoMax"/>
              <x14:borderColor rgb="FF63C384"/>
              <x14:negativeFillColor rgb="FFFF0000"/>
              <x14:negativeBorderColor rgb="FFFF0000"/>
              <x14:axisColor rgb="FF000000"/>
            </x14:dataBar>
          </x14:cfRule>
          <xm:sqref>Z627</xm:sqref>
        </x14:conditionalFormatting>
        <x14:conditionalFormatting xmlns:xm="http://schemas.microsoft.com/office/excel/2006/main">
          <x14:cfRule type="dataBar" id="{C4E5F5EA-BCB3-4DB3-8250-9FB3F0570DC0}">
            <x14:dataBar minLength="0" maxLength="100" border="1" negativeBarBorderColorSameAsPositive="0">
              <x14:cfvo type="autoMin"/>
              <x14:cfvo type="autoMax"/>
              <x14:borderColor rgb="FF63C384"/>
              <x14:negativeFillColor rgb="FFFF0000"/>
              <x14:negativeBorderColor rgb="FFFF0000"/>
              <x14:axisColor rgb="FF000000"/>
            </x14:dataBar>
          </x14:cfRule>
          <xm:sqref>Z627</xm:sqref>
        </x14:conditionalFormatting>
        <x14:conditionalFormatting xmlns:xm="http://schemas.microsoft.com/office/excel/2006/main">
          <x14:cfRule type="dataBar" id="{565B466A-7DDE-4F6D-BC04-37BF7100E2B3}">
            <x14:dataBar minLength="0" maxLength="100" border="1" negativeBarBorderColorSameAsPositive="0">
              <x14:cfvo type="autoMin"/>
              <x14:cfvo type="autoMax"/>
              <x14:borderColor rgb="FF63C384"/>
              <x14:negativeFillColor rgb="FFFF0000"/>
              <x14:negativeBorderColor rgb="FFFF0000"/>
              <x14:axisColor rgb="FF000000"/>
            </x14:dataBar>
          </x14:cfRule>
          <xm:sqref>Z628</xm:sqref>
        </x14:conditionalFormatting>
        <x14:conditionalFormatting xmlns:xm="http://schemas.microsoft.com/office/excel/2006/main">
          <x14:cfRule type="dataBar" id="{767DB7B7-BE4E-40A1-9D9B-FEA2EB4BC10C}">
            <x14:dataBar minLength="0" maxLength="100" border="1" negativeBarBorderColorSameAsPositive="0">
              <x14:cfvo type="autoMin"/>
              <x14:cfvo type="autoMax"/>
              <x14:borderColor rgb="FF63C384"/>
              <x14:negativeFillColor rgb="FFFF0000"/>
              <x14:negativeBorderColor rgb="FFFF0000"/>
              <x14:axisColor rgb="FF000000"/>
            </x14:dataBar>
          </x14:cfRule>
          <xm:sqref>Z628</xm:sqref>
        </x14:conditionalFormatting>
        <x14:conditionalFormatting xmlns:xm="http://schemas.microsoft.com/office/excel/2006/main">
          <x14:cfRule type="dataBar" id="{AE56F179-ABA8-41BC-8975-A3B2650566B3}">
            <x14:dataBar minLength="0" maxLength="100" border="1" negativeBarBorderColorSameAsPositive="0">
              <x14:cfvo type="autoMin"/>
              <x14:cfvo type="autoMax"/>
              <x14:borderColor rgb="FF63C384"/>
              <x14:negativeFillColor rgb="FFFF0000"/>
              <x14:negativeBorderColor rgb="FFFF0000"/>
              <x14:axisColor rgb="FF000000"/>
            </x14:dataBar>
          </x14:cfRule>
          <xm:sqref>Z629</xm:sqref>
        </x14:conditionalFormatting>
        <x14:conditionalFormatting xmlns:xm="http://schemas.microsoft.com/office/excel/2006/main">
          <x14:cfRule type="dataBar" id="{00EED3B4-92F2-4752-AAB2-34E0A228EB38}">
            <x14:dataBar minLength="0" maxLength="100" border="1" negativeBarBorderColorSameAsPositive="0">
              <x14:cfvo type="autoMin"/>
              <x14:cfvo type="autoMax"/>
              <x14:borderColor rgb="FF63C384"/>
              <x14:negativeFillColor rgb="FFFF0000"/>
              <x14:negativeBorderColor rgb="FFFF0000"/>
              <x14:axisColor rgb="FF000000"/>
            </x14:dataBar>
          </x14:cfRule>
          <xm:sqref>Z629</xm:sqref>
        </x14:conditionalFormatting>
        <x14:conditionalFormatting xmlns:xm="http://schemas.microsoft.com/office/excel/2006/main">
          <x14:cfRule type="dataBar" id="{5AE6DDBF-DC98-4DF1-824D-518B8C7772A4}">
            <x14:dataBar minLength="0" maxLength="100" border="1" negativeBarBorderColorSameAsPositive="0">
              <x14:cfvo type="autoMin"/>
              <x14:cfvo type="autoMax"/>
              <x14:borderColor rgb="FF63C384"/>
              <x14:negativeFillColor rgb="FFFF0000"/>
              <x14:negativeBorderColor rgb="FFFF0000"/>
              <x14:axisColor rgb="FF000000"/>
            </x14:dataBar>
          </x14:cfRule>
          <xm:sqref>Z630</xm:sqref>
        </x14:conditionalFormatting>
        <x14:conditionalFormatting xmlns:xm="http://schemas.microsoft.com/office/excel/2006/main">
          <x14:cfRule type="dataBar" id="{77710396-33EB-4A89-98D2-69EFA21EEB15}">
            <x14:dataBar minLength="0" maxLength="100" border="1" negativeBarBorderColorSameAsPositive="0">
              <x14:cfvo type="autoMin"/>
              <x14:cfvo type="autoMax"/>
              <x14:borderColor rgb="FF63C384"/>
              <x14:negativeFillColor rgb="FFFF0000"/>
              <x14:negativeBorderColor rgb="FFFF0000"/>
              <x14:axisColor rgb="FF000000"/>
            </x14:dataBar>
          </x14:cfRule>
          <xm:sqref>Z630</xm:sqref>
        </x14:conditionalFormatting>
        <x14:conditionalFormatting xmlns:xm="http://schemas.microsoft.com/office/excel/2006/main">
          <x14:cfRule type="dataBar" id="{AE79CDFF-14F7-49BE-85F4-E734B857ACB2}">
            <x14:dataBar minLength="0" maxLength="100" border="1" negativeBarBorderColorSameAsPositive="0">
              <x14:cfvo type="autoMin"/>
              <x14:cfvo type="autoMax"/>
              <x14:borderColor rgb="FF63C384"/>
              <x14:negativeFillColor rgb="FFFF0000"/>
              <x14:negativeBorderColor rgb="FFFF0000"/>
              <x14:axisColor rgb="FF000000"/>
            </x14:dataBar>
          </x14:cfRule>
          <xm:sqref>Z631</xm:sqref>
        </x14:conditionalFormatting>
        <x14:conditionalFormatting xmlns:xm="http://schemas.microsoft.com/office/excel/2006/main">
          <x14:cfRule type="dataBar" id="{278F60D1-83F5-43EE-BFD5-C3CBEF8D644F}">
            <x14:dataBar minLength="0" maxLength="100" border="1" negativeBarBorderColorSameAsPositive="0">
              <x14:cfvo type="autoMin"/>
              <x14:cfvo type="autoMax"/>
              <x14:borderColor rgb="FF63C384"/>
              <x14:negativeFillColor rgb="FFFF0000"/>
              <x14:negativeBorderColor rgb="FFFF0000"/>
              <x14:axisColor rgb="FF000000"/>
            </x14:dataBar>
          </x14:cfRule>
          <xm:sqref>Z631</xm:sqref>
        </x14:conditionalFormatting>
        <x14:conditionalFormatting xmlns:xm="http://schemas.microsoft.com/office/excel/2006/main">
          <x14:cfRule type="dataBar" id="{51FDBD16-A24D-4964-A6F9-347C6E57B4B6}">
            <x14:dataBar minLength="0" maxLength="100" border="1" negativeBarBorderColorSameAsPositive="0">
              <x14:cfvo type="autoMin"/>
              <x14:cfvo type="autoMax"/>
              <x14:borderColor rgb="FF63C384"/>
              <x14:negativeFillColor rgb="FFFF0000"/>
              <x14:negativeBorderColor rgb="FFFF0000"/>
              <x14:axisColor rgb="FF000000"/>
            </x14:dataBar>
          </x14:cfRule>
          <xm:sqref>Z631</xm:sqref>
        </x14:conditionalFormatting>
        <x14:conditionalFormatting xmlns:xm="http://schemas.microsoft.com/office/excel/2006/main">
          <x14:cfRule type="dataBar" id="{3C28CF30-675F-4C36-886E-567ECE08643F}">
            <x14:dataBar minLength="0" maxLength="100" border="1" negativeBarBorderColorSameAsPositive="0">
              <x14:cfvo type="autoMin"/>
              <x14:cfvo type="autoMax"/>
              <x14:borderColor rgb="FF63C384"/>
              <x14:negativeFillColor rgb="FFFF0000"/>
              <x14:negativeBorderColor rgb="FFFF0000"/>
              <x14:axisColor rgb="FF000000"/>
            </x14:dataBar>
          </x14:cfRule>
          <xm:sqref>Z631</xm:sqref>
        </x14:conditionalFormatting>
        <x14:conditionalFormatting xmlns:xm="http://schemas.microsoft.com/office/excel/2006/main">
          <x14:cfRule type="dataBar" id="{67C3168C-897C-4D60-B10F-E9FE6FBCBA53}">
            <x14:dataBar minLength="0" maxLength="100" border="1" negativeBarBorderColorSameAsPositive="0">
              <x14:cfvo type="autoMin"/>
              <x14:cfvo type="autoMax"/>
              <x14:borderColor rgb="FF63C384"/>
              <x14:negativeFillColor rgb="FFFF0000"/>
              <x14:negativeBorderColor rgb="FFFF0000"/>
              <x14:axisColor rgb="FF000000"/>
            </x14:dataBar>
          </x14:cfRule>
          <xm:sqref>Z632</xm:sqref>
        </x14:conditionalFormatting>
        <x14:conditionalFormatting xmlns:xm="http://schemas.microsoft.com/office/excel/2006/main">
          <x14:cfRule type="dataBar" id="{B7507057-14F0-41D8-BE8C-B83E94D4B934}">
            <x14:dataBar minLength="0" maxLength="100" border="1" negativeBarBorderColorSameAsPositive="0">
              <x14:cfvo type="autoMin"/>
              <x14:cfvo type="autoMax"/>
              <x14:borderColor rgb="FF63C384"/>
              <x14:negativeFillColor rgb="FFFF0000"/>
              <x14:negativeBorderColor rgb="FFFF0000"/>
              <x14:axisColor rgb="FF000000"/>
            </x14:dataBar>
          </x14:cfRule>
          <xm:sqref>Z632</xm:sqref>
        </x14:conditionalFormatting>
        <x14:conditionalFormatting xmlns:xm="http://schemas.microsoft.com/office/excel/2006/main">
          <x14:cfRule type="dataBar" id="{CE516395-A652-45FF-899B-EDDFA2A69C89}">
            <x14:dataBar minLength="0" maxLength="100" border="1" negativeBarBorderColorSameAsPositive="0">
              <x14:cfvo type="autoMin"/>
              <x14:cfvo type="autoMax"/>
              <x14:borderColor rgb="FF63C384"/>
              <x14:negativeFillColor rgb="FFFF0000"/>
              <x14:negativeBorderColor rgb="FFFF0000"/>
              <x14:axisColor rgb="FF000000"/>
            </x14:dataBar>
          </x14:cfRule>
          <xm:sqref>Z633</xm:sqref>
        </x14:conditionalFormatting>
        <x14:conditionalFormatting xmlns:xm="http://schemas.microsoft.com/office/excel/2006/main">
          <x14:cfRule type="dataBar" id="{426ADAD0-B534-4F8D-A19F-6924FE12C3ED}">
            <x14:dataBar minLength="0" maxLength="100" border="1" negativeBarBorderColorSameAsPositive="0">
              <x14:cfvo type="autoMin"/>
              <x14:cfvo type="autoMax"/>
              <x14:borderColor rgb="FF63C384"/>
              <x14:negativeFillColor rgb="FFFF0000"/>
              <x14:negativeBorderColor rgb="FFFF0000"/>
              <x14:axisColor rgb="FF000000"/>
            </x14:dataBar>
          </x14:cfRule>
          <xm:sqref>Z633</xm:sqref>
        </x14:conditionalFormatting>
        <x14:conditionalFormatting xmlns:xm="http://schemas.microsoft.com/office/excel/2006/main">
          <x14:cfRule type="dataBar" id="{58AD7117-B92C-43FB-A001-65432C2ED720}">
            <x14:dataBar minLength="0" maxLength="100" border="1" negativeBarBorderColorSameAsPositive="0">
              <x14:cfvo type="autoMin"/>
              <x14:cfvo type="autoMax"/>
              <x14:borderColor rgb="FF63C384"/>
              <x14:negativeFillColor rgb="FFFF0000"/>
              <x14:negativeBorderColor rgb="FFFF0000"/>
              <x14:axisColor rgb="FF000000"/>
            </x14:dataBar>
          </x14:cfRule>
          <xm:sqref>Z634</xm:sqref>
        </x14:conditionalFormatting>
        <x14:conditionalFormatting xmlns:xm="http://schemas.microsoft.com/office/excel/2006/main">
          <x14:cfRule type="dataBar" id="{923E36EF-D0B3-446C-9F44-9C5B1CC17C6D}">
            <x14:dataBar minLength="0" maxLength="100" border="1" negativeBarBorderColorSameAsPositive="0">
              <x14:cfvo type="autoMin"/>
              <x14:cfvo type="autoMax"/>
              <x14:borderColor rgb="FF63C384"/>
              <x14:negativeFillColor rgb="FFFF0000"/>
              <x14:negativeBorderColor rgb="FFFF0000"/>
              <x14:axisColor rgb="FF000000"/>
            </x14:dataBar>
          </x14:cfRule>
          <xm:sqref>Z634</xm:sqref>
        </x14:conditionalFormatting>
        <x14:conditionalFormatting xmlns:xm="http://schemas.microsoft.com/office/excel/2006/main">
          <x14:cfRule type="dataBar" id="{1EBA768B-6C88-4555-B3F8-BF268A15A873}">
            <x14:dataBar minLength="0" maxLength="100" border="1" negativeBarBorderColorSameAsPositive="0">
              <x14:cfvo type="autoMin"/>
              <x14:cfvo type="autoMax"/>
              <x14:borderColor rgb="FF63C384"/>
              <x14:negativeFillColor rgb="FFFF0000"/>
              <x14:negativeBorderColor rgb="FFFF0000"/>
              <x14:axisColor rgb="FF000000"/>
            </x14:dataBar>
          </x14:cfRule>
          <xm:sqref>Z634</xm:sqref>
        </x14:conditionalFormatting>
        <x14:conditionalFormatting xmlns:xm="http://schemas.microsoft.com/office/excel/2006/main">
          <x14:cfRule type="dataBar" id="{B8F03E8E-1592-4B32-8F9A-F22459F00D91}">
            <x14:dataBar minLength="0" maxLength="100" border="1" negativeBarBorderColorSameAsPositive="0">
              <x14:cfvo type="autoMin"/>
              <x14:cfvo type="autoMax"/>
              <x14:borderColor rgb="FF63C384"/>
              <x14:negativeFillColor rgb="FFFF0000"/>
              <x14:negativeBorderColor rgb="FFFF0000"/>
              <x14:axisColor rgb="FF000000"/>
            </x14:dataBar>
          </x14:cfRule>
          <xm:sqref>Z634</xm:sqref>
        </x14:conditionalFormatting>
        <x14:conditionalFormatting xmlns:xm="http://schemas.microsoft.com/office/excel/2006/main">
          <x14:cfRule type="dataBar" id="{68E0FA92-F70D-4931-9F88-01AFC63F30FB}">
            <x14:dataBar minLength="0" maxLength="100" border="1" negativeBarBorderColorSameAsPositive="0">
              <x14:cfvo type="autoMin"/>
              <x14:cfvo type="autoMax"/>
              <x14:borderColor rgb="FF63C384"/>
              <x14:negativeFillColor rgb="FFFF0000"/>
              <x14:negativeBorderColor rgb="FFFF0000"/>
              <x14:axisColor rgb="FF000000"/>
            </x14:dataBar>
          </x14:cfRule>
          <xm:sqref>Z634</xm:sqref>
        </x14:conditionalFormatting>
        <x14:conditionalFormatting xmlns:xm="http://schemas.microsoft.com/office/excel/2006/main">
          <x14:cfRule type="dataBar" id="{12F2B869-9E00-4AEE-9628-3113D7337AB3}">
            <x14:dataBar minLength="0" maxLength="100" border="1" negativeBarBorderColorSameAsPositive="0">
              <x14:cfvo type="autoMin"/>
              <x14:cfvo type="autoMax"/>
              <x14:borderColor rgb="FF63C384"/>
              <x14:negativeFillColor rgb="FFFF0000"/>
              <x14:negativeBorderColor rgb="FFFF0000"/>
              <x14:axisColor rgb="FF000000"/>
            </x14:dataBar>
          </x14:cfRule>
          <xm:sqref>Z634</xm:sqref>
        </x14:conditionalFormatting>
        <x14:conditionalFormatting xmlns:xm="http://schemas.microsoft.com/office/excel/2006/main">
          <x14:cfRule type="dataBar" id="{E9069D0F-FBE4-4AF2-B47C-1FEF9EA02FB9}">
            <x14:dataBar minLength="0" maxLength="100" border="1" negativeBarBorderColorSameAsPositive="0">
              <x14:cfvo type="autoMin"/>
              <x14:cfvo type="autoMax"/>
              <x14:borderColor rgb="FF63C384"/>
              <x14:negativeFillColor rgb="FFFF0000"/>
              <x14:negativeBorderColor rgb="FFFF0000"/>
              <x14:axisColor rgb="FF000000"/>
            </x14:dataBar>
          </x14:cfRule>
          <xm:sqref>Z634</xm:sqref>
        </x14:conditionalFormatting>
        <x14:conditionalFormatting xmlns:xm="http://schemas.microsoft.com/office/excel/2006/main">
          <x14:cfRule type="dataBar" id="{810B083D-2C4B-42C6-ACC1-97D8D865BBDA}">
            <x14:dataBar minLength="0" maxLength="100" border="1" negativeBarBorderColorSameAsPositive="0">
              <x14:cfvo type="autoMin"/>
              <x14:cfvo type="autoMax"/>
              <x14:borderColor rgb="FF63C384"/>
              <x14:negativeFillColor rgb="FFFF0000"/>
              <x14:negativeBorderColor rgb="FFFF0000"/>
              <x14:axisColor rgb="FF000000"/>
            </x14:dataBar>
          </x14:cfRule>
          <xm:sqref>Z634</xm:sqref>
        </x14:conditionalFormatting>
        <x14:conditionalFormatting xmlns:xm="http://schemas.microsoft.com/office/excel/2006/main">
          <x14:cfRule type="dataBar" id="{A64D0FF8-1C0A-4D47-9DDB-426A0B84D6AA}">
            <x14:dataBar minLength="0" maxLength="100" border="1" negativeBarBorderColorSameAsPositive="0">
              <x14:cfvo type="autoMin"/>
              <x14:cfvo type="autoMax"/>
              <x14:borderColor rgb="FF63C384"/>
              <x14:negativeFillColor rgb="FFFF0000"/>
              <x14:negativeBorderColor rgb="FFFF0000"/>
              <x14:axisColor rgb="FF000000"/>
            </x14:dataBar>
          </x14:cfRule>
          <xm:sqref>Z635</xm:sqref>
        </x14:conditionalFormatting>
        <x14:conditionalFormatting xmlns:xm="http://schemas.microsoft.com/office/excel/2006/main">
          <x14:cfRule type="dataBar" id="{F5F9DE1F-8224-4715-9BB5-0F692EFC629D}">
            <x14:dataBar minLength="0" maxLength="100" border="1" negativeBarBorderColorSameAsPositive="0">
              <x14:cfvo type="autoMin"/>
              <x14:cfvo type="autoMax"/>
              <x14:borderColor rgb="FF63C384"/>
              <x14:negativeFillColor rgb="FFFF0000"/>
              <x14:negativeBorderColor rgb="FFFF0000"/>
              <x14:axisColor rgb="FF000000"/>
            </x14:dataBar>
          </x14:cfRule>
          <xm:sqref>Z635</xm:sqref>
        </x14:conditionalFormatting>
        <x14:conditionalFormatting xmlns:xm="http://schemas.microsoft.com/office/excel/2006/main">
          <x14:cfRule type="dataBar" id="{1EA103BC-7A02-43CA-8E87-09C9CD2874E3}">
            <x14:dataBar minLength="0" maxLength="100" border="1" negativeBarBorderColorSameAsPositive="0">
              <x14:cfvo type="autoMin"/>
              <x14:cfvo type="autoMax"/>
              <x14:borderColor rgb="FF63C384"/>
              <x14:negativeFillColor rgb="FFFF0000"/>
              <x14:negativeBorderColor rgb="FFFF0000"/>
              <x14:axisColor rgb="FF000000"/>
            </x14:dataBar>
          </x14:cfRule>
          <xm:sqref>Z636</xm:sqref>
        </x14:conditionalFormatting>
        <x14:conditionalFormatting xmlns:xm="http://schemas.microsoft.com/office/excel/2006/main">
          <x14:cfRule type="dataBar" id="{0F49DBB2-4338-4BA4-9DEA-279A0BDF5694}">
            <x14:dataBar minLength="0" maxLength="100" border="1" negativeBarBorderColorSameAsPositive="0">
              <x14:cfvo type="autoMin"/>
              <x14:cfvo type="autoMax"/>
              <x14:borderColor rgb="FF63C384"/>
              <x14:negativeFillColor rgb="FFFF0000"/>
              <x14:negativeBorderColor rgb="FFFF0000"/>
              <x14:axisColor rgb="FF000000"/>
            </x14:dataBar>
          </x14:cfRule>
          <xm:sqref>Z636</xm:sqref>
        </x14:conditionalFormatting>
        <x14:conditionalFormatting xmlns:xm="http://schemas.microsoft.com/office/excel/2006/main">
          <x14:cfRule type="dataBar" id="{ADC98609-6E89-4F88-B76E-4305723CFFAC}">
            <x14:dataBar minLength="0" maxLength="100" border="1" negativeBarBorderColorSameAsPositive="0">
              <x14:cfvo type="autoMin"/>
              <x14:cfvo type="autoMax"/>
              <x14:borderColor rgb="FF63C384"/>
              <x14:negativeFillColor rgb="FFFF0000"/>
              <x14:negativeBorderColor rgb="FFFF0000"/>
              <x14:axisColor rgb="FF000000"/>
            </x14:dataBar>
          </x14:cfRule>
          <xm:sqref>Z637</xm:sqref>
        </x14:conditionalFormatting>
        <x14:conditionalFormatting xmlns:xm="http://schemas.microsoft.com/office/excel/2006/main">
          <x14:cfRule type="dataBar" id="{425EDD4C-897D-4158-A503-317A843DCBFD}">
            <x14:dataBar minLength="0" maxLength="100" border="1" negativeBarBorderColorSameAsPositive="0">
              <x14:cfvo type="autoMin"/>
              <x14:cfvo type="autoMax"/>
              <x14:borderColor rgb="FF63C384"/>
              <x14:negativeFillColor rgb="FFFF0000"/>
              <x14:negativeBorderColor rgb="FFFF0000"/>
              <x14:axisColor rgb="FF000000"/>
            </x14:dataBar>
          </x14:cfRule>
          <xm:sqref>Z637</xm:sqref>
        </x14:conditionalFormatting>
        <x14:conditionalFormatting xmlns:xm="http://schemas.microsoft.com/office/excel/2006/main">
          <x14:cfRule type="dataBar" id="{C01988B5-094A-4814-A1E5-53FACD6CE455}">
            <x14:dataBar minLength="0" maxLength="100" border="1" negativeBarBorderColorSameAsPositive="0">
              <x14:cfvo type="autoMin"/>
              <x14:cfvo type="autoMax"/>
              <x14:borderColor rgb="FF63C384"/>
              <x14:negativeFillColor rgb="FFFF0000"/>
              <x14:negativeBorderColor rgb="FFFF0000"/>
              <x14:axisColor rgb="FF000000"/>
            </x14:dataBar>
          </x14:cfRule>
          <xm:sqref>Z638</xm:sqref>
        </x14:conditionalFormatting>
        <x14:conditionalFormatting xmlns:xm="http://schemas.microsoft.com/office/excel/2006/main">
          <x14:cfRule type="dataBar" id="{F5703901-E8E8-45FF-9440-7BDC6549E645}">
            <x14:dataBar minLength="0" maxLength="100" border="1" negativeBarBorderColorSameAsPositive="0">
              <x14:cfvo type="autoMin"/>
              <x14:cfvo type="autoMax"/>
              <x14:borderColor rgb="FF63C384"/>
              <x14:negativeFillColor rgb="FFFF0000"/>
              <x14:negativeBorderColor rgb="FFFF0000"/>
              <x14:axisColor rgb="FF000000"/>
            </x14:dataBar>
          </x14:cfRule>
          <xm:sqref>Z638</xm:sqref>
        </x14:conditionalFormatting>
        <x14:conditionalFormatting xmlns:xm="http://schemas.microsoft.com/office/excel/2006/main">
          <x14:cfRule type="dataBar" id="{F24F4F95-675D-4D13-8FB1-BBC1166C1393}">
            <x14:dataBar minLength="0" maxLength="100" border="1" negativeBarBorderColorSameAsPositive="0">
              <x14:cfvo type="autoMin"/>
              <x14:cfvo type="autoMax"/>
              <x14:borderColor rgb="FF63C384"/>
              <x14:negativeFillColor rgb="FFFF0000"/>
              <x14:negativeBorderColor rgb="FFFF0000"/>
              <x14:axisColor rgb="FF000000"/>
            </x14:dataBar>
          </x14:cfRule>
          <xm:sqref>Z639</xm:sqref>
        </x14:conditionalFormatting>
        <x14:conditionalFormatting xmlns:xm="http://schemas.microsoft.com/office/excel/2006/main">
          <x14:cfRule type="dataBar" id="{ECC6C41F-380A-4F19-A0AA-C8EF813DC87A}">
            <x14:dataBar minLength="0" maxLength="100" border="1" negativeBarBorderColorSameAsPositive="0">
              <x14:cfvo type="autoMin"/>
              <x14:cfvo type="autoMax"/>
              <x14:borderColor rgb="FF63C384"/>
              <x14:negativeFillColor rgb="FFFF0000"/>
              <x14:negativeBorderColor rgb="FFFF0000"/>
              <x14:axisColor rgb="FF000000"/>
            </x14:dataBar>
          </x14:cfRule>
          <xm:sqref>Z639</xm:sqref>
        </x14:conditionalFormatting>
        <x14:conditionalFormatting xmlns:xm="http://schemas.microsoft.com/office/excel/2006/main">
          <x14:cfRule type="dataBar" id="{46D0C598-2579-4C0F-961F-E058E3CE05CB}">
            <x14:dataBar minLength="0" maxLength="100" border="1" negativeBarBorderColorSameAsPositive="0">
              <x14:cfvo type="autoMin"/>
              <x14:cfvo type="autoMax"/>
              <x14:borderColor rgb="FF63C384"/>
              <x14:negativeFillColor rgb="FFFF0000"/>
              <x14:negativeBorderColor rgb="FFFF0000"/>
              <x14:axisColor rgb="FF000000"/>
            </x14:dataBar>
          </x14:cfRule>
          <xm:sqref>Z640</xm:sqref>
        </x14:conditionalFormatting>
        <x14:conditionalFormatting xmlns:xm="http://schemas.microsoft.com/office/excel/2006/main">
          <x14:cfRule type="dataBar" id="{10EC3B63-45F3-41A1-A10C-9ADF8ED5774C}">
            <x14:dataBar minLength="0" maxLength="100" border="1" negativeBarBorderColorSameAsPositive="0">
              <x14:cfvo type="autoMin"/>
              <x14:cfvo type="autoMax"/>
              <x14:borderColor rgb="FF63C384"/>
              <x14:negativeFillColor rgb="FFFF0000"/>
              <x14:negativeBorderColor rgb="FFFF0000"/>
              <x14:axisColor rgb="FF000000"/>
            </x14:dataBar>
          </x14:cfRule>
          <xm:sqref>Z640</xm:sqref>
        </x14:conditionalFormatting>
        <x14:conditionalFormatting xmlns:xm="http://schemas.microsoft.com/office/excel/2006/main">
          <x14:cfRule type="dataBar" id="{DCD7D76E-0A12-4FC5-B6FB-5E6DEBF74312}">
            <x14:dataBar minLength="0" maxLength="100" border="1" negativeBarBorderColorSameAsPositive="0">
              <x14:cfvo type="autoMin"/>
              <x14:cfvo type="autoMax"/>
              <x14:borderColor rgb="FF63C384"/>
              <x14:negativeFillColor rgb="FFFF0000"/>
              <x14:negativeBorderColor rgb="FFFF0000"/>
              <x14:axisColor rgb="FF000000"/>
            </x14:dataBar>
          </x14:cfRule>
          <xm:sqref>Z641</xm:sqref>
        </x14:conditionalFormatting>
        <x14:conditionalFormatting xmlns:xm="http://schemas.microsoft.com/office/excel/2006/main">
          <x14:cfRule type="dataBar" id="{F525C59C-4D92-4DA2-8AC4-6ABCD2D88E24}">
            <x14:dataBar minLength="0" maxLength="100" border="1" negativeBarBorderColorSameAsPositive="0">
              <x14:cfvo type="autoMin"/>
              <x14:cfvo type="autoMax"/>
              <x14:borderColor rgb="FF63C384"/>
              <x14:negativeFillColor rgb="FFFF0000"/>
              <x14:negativeBorderColor rgb="FFFF0000"/>
              <x14:axisColor rgb="FF000000"/>
            </x14:dataBar>
          </x14:cfRule>
          <xm:sqref>Z641</xm:sqref>
        </x14:conditionalFormatting>
        <x14:conditionalFormatting xmlns:xm="http://schemas.microsoft.com/office/excel/2006/main">
          <x14:cfRule type="dataBar" id="{8B313FD6-185D-4FDF-A927-2F465D4FE3CA}">
            <x14:dataBar minLength="0" maxLength="100" border="1" negativeBarBorderColorSameAsPositive="0">
              <x14:cfvo type="autoMin"/>
              <x14:cfvo type="autoMax"/>
              <x14:borderColor rgb="FF63C384"/>
              <x14:negativeFillColor rgb="FFFF0000"/>
              <x14:negativeBorderColor rgb="FFFF0000"/>
              <x14:axisColor rgb="FF000000"/>
            </x14:dataBar>
          </x14:cfRule>
          <xm:sqref>Z642</xm:sqref>
        </x14:conditionalFormatting>
        <x14:conditionalFormatting xmlns:xm="http://schemas.microsoft.com/office/excel/2006/main">
          <x14:cfRule type="dataBar" id="{BDF2F4EF-A112-4B6F-AD85-3977F2541DBE}">
            <x14:dataBar minLength="0" maxLength="100" border="1" negativeBarBorderColorSameAsPositive="0">
              <x14:cfvo type="autoMin"/>
              <x14:cfvo type="autoMax"/>
              <x14:borderColor rgb="FF63C384"/>
              <x14:negativeFillColor rgb="FFFF0000"/>
              <x14:negativeBorderColor rgb="FFFF0000"/>
              <x14:axisColor rgb="FF000000"/>
            </x14:dataBar>
          </x14:cfRule>
          <xm:sqref>Z642</xm:sqref>
        </x14:conditionalFormatting>
        <x14:conditionalFormatting xmlns:xm="http://schemas.microsoft.com/office/excel/2006/main">
          <x14:cfRule type="dataBar" id="{EDFE05E0-0BC8-4913-B741-44F37D6A5CB1}">
            <x14:dataBar minLength="0" maxLength="100" border="1" negativeBarBorderColorSameAsPositive="0">
              <x14:cfvo type="autoMin"/>
              <x14:cfvo type="autoMax"/>
              <x14:borderColor rgb="FF63C384"/>
              <x14:negativeFillColor rgb="FFFF0000"/>
              <x14:negativeBorderColor rgb="FFFF0000"/>
              <x14:axisColor rgb="FF000000"/>
            </x14:dataBar>
          </x14:cfRule>
          <xm:sqref>Z643</xm:sqref>
        </x14:conditionalFormatting>
        <x14:conditionalFormatting xmlns:xm="http://schemas.microsoft.com/office/excel/2006/main">
          <x14:cfRule type="dataBar" id="{9B2F479B-22E0-409E-9DE1-3A1ECC8CD261}">
            <x14:dataBar minLength="0" maxLength="100" border="1" negativeBarBorderColorSameAsPositive="0">
              <x14:cfvo type="autoMin"/>
              <x14:cfvo type="autoMax"/>
              <x14:borderColor rgb="FF63C384"/>
              <x14:negativeFillColor rgb="FFFF0000"/>
              <x14:negativeBorderColor rgb="FFFF0000"/>
              <x14:axisColor rgb="FF000000"/>
            </x14:dataBar>
          </x14:cfRule>
          <xm:sqref>Z643</xm:sqref>
        </x14:conditionalFormatting>
        <x14:conditionalFormatting xmlns:xm="http://schemas.microsoft.com/office/excel/2006/main">
          <x14:cfRule type="dataBar" id="{2E4A5C80-DAB4-4EED-91BA-8DA253A3550A}">
            <x14:dataBar minLength="0" maxLength="100" border="1" negativeBarBorderColorSameAsPositive="0">
              <x14:cfvo type="autoMin"/>
              <x14:cfvo type="autoMax"/>
              <x14:borderColor rgb="FF63C384"/>
              <x14:negativeFillColor rgb="FFFF0000"/>
              <x14:negativeBorderColor rgb="FFFF0000"/>
              <x14:axisColor rgb="FF000000"/>
            </x14:dataBar>
          </x14:cfRule>
          <xm:sqref>Z644</xm:sqref>
        </x14:conditionalFormatting>
        <x14:conditionalFormatting xmlns:xm="http://schemas.microsoft.com/office/excel/2006/main">
          <x14:cfRule type="dataBar" id="{BADC91EE-35E3-47E8-A1FE-0E17900E9530}">
            <x14:dataBar minLength="0" maxLength="100" border="1" negativeBarBorderColorSameAsPositive="0">
              <x14:cfvo type="autoMin"/>
              <x14:cfvo type="autoMax"/>
              <x14:borderColor rgb="FF63C384"/>
              <x14:negativeFillColor rgb="FFFF0000"/>
              <x14:negativeBorderColor rgb="FFFF0000"/>
              <x14:axisColor rgb="FF000000"/>
            </x14:dataBar>
          </x14:cfRule>
          <xm:sqref>Z644</xm:sqref>
        </x14:conditionalFormatting>
        <x14:conditionalFormatting xmlns:xm="http://schemas.microsoft.com/office/excel/2006/main">
          <x14:cfRule type="dataBar" id="{BEA86F44-4348-4CE1-A55B-50C1736D242E}">
            <x14:dataBar minLength="0" maxLength="100" border="1" negativeBarBorderColorSameAsPositive="0">
              <x14:cfvo type="autoMin"/>
              <x14:cfvo type="autoMax"/>
              <x14:borderColor rgb="FF63C384"/>
              <x14:negativeFillColor rgb="FFFF0000"/>
              <x14:negativeBorderColor rgb="FFFF0000"/>
              <x14:axisColor rgb="FF000000"/>
            </x14:dataBar>
          </x14:cfRule>
          <xm:sqref>Z645</xm:sqref>
        </x14:conditionalFormatting>
        <x14:conditionalFormatting xmlns:xm="http://schemas.microsoft.com/office/excel/2006/main">
          <x14:cfRule type="dataBar" id="{D722061C-CC76-4C52-9FC0-FE406A1C2259}">
            <x14:dataBar minLength="0" maxLength="100" border="1" negativeBarBorderColorSameAsPositive="0">
              <x14:cfvo type="autoMin"/>
              <x14:cfvo type="autoMax"/>
              <x14:borderColor rgb="FF63C384"/>
              <x14:negativeFillColor rgb="FFFF0000"/>
              <x14:negativeBorderColor rgb="FFFF0000"/>
              <x14:axisColor rgb="FF000000"/>
            </x14:dataBar>
          </x14:cfRule>
          <xm:sqref>Z645</xm:sqref>
        </x14:conditionalFormatting>
        <x14:conditionalFormatting xmlns:xm="http://schemas.microsoft.com/office/excel/2006/main">
          <x14:cfRule type="dataBar" id="{BA419072-9EB5-4FFD-8B12-E3FFA4402C67}">
            <x14:dataBar minLength="0" maxLength="100" border="1" negativeBarBorderColorSameAsPositive="0">
              <x14:cfvo type="autoMin"/>
              <x14:cfvo type="autoMax"/>
              <x14:borderColor rgb="FF63C384"/>
              <x14:negativeFillColor rgb="FFFF0000"/>
              <x14:negativeBorderColor rgb="FFFF0000"/>
              <x14:axisColor rgb="FF000000"/>
            </x14:dataBar>
          </x14:cfRule>
          <xm:sqref>Z646</xm:sqref>
        </x14:conditionalFormatting>
        <x14:conditionalFormatting xmlns:xm="http://schemas.microsoft.com/office/excel/2006/main">
          <x14:cfRule type="dataBar" id="{CC96BB2F-AA4E-43BC-9D03-EB627FF9C43A}">
            <x14:dataBar minLength="0" maxLength="100" border="1" negativeBarBorderColorSameAsPositive="0">
              <x14:cfvo type="autoMin"/>
              <x14:cfvo type="autoMax"/>
              <x14:borderColor rgb="FF63C384"/>
              <x14:negativeFillColor rgb="FFFF0000"/>
              <x14:negativeBorderColor rgb="FFFF0000"/>
              <x14:axisColor rgb="FF000000"/>
            </x14:dataBar>
          </x14:cfRule>
          <xm:sqref>Z646</xm:sqref>
        </x14:conditionalFormatting>
        <x14:conditionalFormatting xmlns:xm="http://schemas.microsoft.com/office/excel/2006/main">
          <x14:cfRule type="dataBar" id="{21927F43-4015-402D-8A42-F644AA387275}">
            <x14:dataBar minLength="0" maxLength="100" border="1" negativeBarBorderColorSameAsPositive="0">
              <x14:cfvo type="autoMin"/>
              <x14:cfvo type="autoMax"/>
              <x14:borderColor rgb="FF63C384"/>
              <x14:negativeFillColor rgb="FFFF0000"/>
              <x14:negativeBorderColor rgb="FFFF0000"/>
              <x14:axisColor rgb="FF000000"/>
            </x14:dataBar>
          </x14:cfRule>
          <xm:sqref>Z647</xm:sqref>
        </x14:conditionalFormatting>
        <x14:conditionalFormatting xmlns:xm="http://schemas.microsoft.com/office/excel/2006/main">
          <x14:cfRule type="dataBar" id="{5FEC6039-2EAD-40D1-8625-74C59981C4DF}">
            <x14:dataBar minLength="0" maxLength="100" border="1" negativeBarBorderColorSameAsPositive="0">
              <x14:cfvo type="autoMin"/>
              <x14:cfvo type="autoMax"/>
              <x14:borderColor rgb="FF63C384"/>
              <x14:negativeFillColor rgb="FFFF0000"/>
              <x14:negativeBorderColor rgb="FFFF0000"/>
              <x14:axisColor rgb="FF000000"/>
            </x14:dataBar>
          </x14:cfRule>
          <xm:sqref>Z647</xm:sqref>
        </x14:conditionalFormatting>
        <x14:conditionalFormatting xmlns:xm="http://schemas.microsoft.com/office/excel/2006/main">
          <x14:cfRule type="dataBar" id="{71B61EB9-229C-494E-BB77-B4E732EFFC50}">
            <x14:dataBar minLength="0" maxLength="100" border="1" negativeBarBorderColorSameAsPositive="0">
              <x14:cfvo type="autoMin"/>
              <x14:cfvo type="autoMax"/>
              <x14:borderColor rgb="FF63C384"/>
              <x14:negativeFillColor rgb="FFFF0000"/>
              <x14:negativeBorderColor rgb="FFFF0000"/>
              <x14:axisColor rgb="FF000000"/>
            </x14:dataBar>
          </x14:cfRule>
          <xm:sqref>Z648</xm:sqref>
        </x14:conditionalFormatting>
        <x14:conditionalFormatting xmlns:xm="http://schemas.microsoft.com/office/excel/2006/main">
          <x14:cfRule type="dataBar" id="{EE89AA07-6547-402F-A78F-482CF04A4E5A}">
            <x14:dataBar minLength="0" maxLength="100" border="1" negativeBarBorderColorSameAsPositive="0">
              <x14:cfvo type="autoMin"/>
              <x14:cfvo type="autoMax"/>
              <x14:borderColor rgb="FF63C384"/>
              <x14:negativeFillColor rgb="FFFF0000"/>
              <x14:negativeBorderColor rgb="FFFF0000"/>
              <x14:axisColor rgb="FF000000"/>
            </x14:dataBar>
          </x14:cfRule>
          <xm:sqref>Z648</xm:sqref>
        </x14:conditionalFormatting>
        <x14:conditionalFormatting xmlns:xm="http://schemas.microsoft.com/office/excel/2006/main">
          <x14:cfRule type="dataBar" id="{36A75BFB-E4F4-4BB7-8B20-EADE54518D85}">
            <x14:dataBar minLength="0" maxLength="100" border="1" negativeBarBorderColorSameAsPositive="0">
              <x14:cfvo type="autoMin"/>
              <x14:cfvo type="autoMax"/>
              <x14:borderColor rgb="FF63C384"/>
              <x14:negativeFillColor rgb="FFFF0000"/>
              <x14:negativeBorderColor rgb="FFFF0000"/>
              <x14:axisColor rgb="FF000000"/>
            </x14:dataBar>
          </x14:cfRule>
          <xm:sqref>Z649</xm:sqref>
        </x14:conditionalFormatting>
        <x14:conditionalFormatting xmlns:xm="http://schemas.microsoft.com/office/excel/2006/main">
          <x14:cfRule type="dataBar" id="{4FA4C3C2-9A78-449A-AA50-694EE6C19854}">
            <x14:dataBar minLength="0" maxLength="100" border="1" negativeBarBorderColorSameAsPositive="0">
              <x14:cfvo type="autoMin"/>
              <x14:cfvo type="autoMax"/>
              <x14:borderColor rgb="FF63C384"/>
              <x14:negativeFillColor rgb="FFFF0000"/>
              <x14:negativeBorderColor rgb="FFFF0000"/>
              <x14:axisColor rgb="FF000000"/>
            </x14:dataBar>
          </x14:cfRule>
          <xm:sqref>Z649</xm:sqref>
        </x14:conditionalFormatting>
        <x14:conditionalFormatting xmlns:xm="http://schemas.microsoft.com/office/excel/2006/main">
          <x14:cfRule type="dataBar" id="{9D2AB5BC-8954-445E-8C46-DDD2BD30CEAA}">
            <x14:dataBar minLength="0" maxLength="100" border="1" negativeBarBorderColorSameAsPositive="0">
              <x14:cfvo type="autoMin"/>
              <x14:cfvo type="autoMax"/>
              <x14:borderColor rgb="FF63C384"/>
              <x14:negativeFillColor rgb="FFFF0000"/>
              <x14:negativeBorderColor rgb="FFFF0000"/>
              <x14:axisColor rgb="FF000000"/>
            </x14:dataBar>
          </x14:cfRule>
          <xm:sqref>Z650</xm:sqref>
        </x14:conditionalFormatting>
        <x14:conditionalFormatting xmlns:xm="http://schemas.microsoft.com/office/excel/2006/main">
          <x14:cfRule type="dataBar" id="{1137006C-F702-4B3A-B287-BA23F411DB29}">
            <x14:dataBar minLength="0" maxLength="100" border="1" negativeBarBorderColorSameAsPositive="0">
              <x14:cfvo type="autoMin"/>
              <x14:cfvo type="autoMax"/>
              <x14:borderColor rgb="FF63C384"/>
              <x14:negativeFillColor rgb="FFFF0000"/>
              <x14:negativeBorderColor rgb="FFFF0000"/>
              <x14:axisColor rgb="FF000000"/>
            </x14:dataBar>
          </x14:cfRule>
          <xm:sqref>Z650</xm:sqref>
        </x14:conditionalFormatting>
        <x14:conditionalFormatting xmlns:xm="http://schemas.microsoft.com/office/excel/2006/main">
          <x14:cfRule type="dataBar" id="{B853D4FE-0065-4032-900D-D2D9A653F1B0}">
            <x14:dataBar minLength="0" maxLength="100" border="1" negativeBarBorderColorSameAsPositive="0">
              <x14:cfvo type="autoMin"/>
              <x14:cfvo type="autoMax"/>
              <x14:borderColor rgb="FF63C384"/>
              <x14:negativeFillColor rgb="FFFF0000"/>
              <x14:negativeBorderColor rgb="FFFF0000"/>
              <x14:axisColor rgb="FF000000"/>
            </x14:dataBar>
          </x14:cfRule>
          <xm:sqref>Z651</xm:sqref>
        </x14:conditionalFormatting>
        <x14:conditionalFormatting xmlns:xm="http://schemas.microsoft.com/office/excel/2006/main">
          <x14:cfRule type="dataBar" id="{259D0E5D-6A76-4936-9B19-C058BB036D9F}">
            <x14:dataBar minLength="0" maxLength="100" border="1" negativeBarBorderColorSameAsPositive="0">
              <x14:cfvo type="autoMin"/>
              <x14:cfvo type="autoMax"/>
              <x14:borderColor rgb="FF63C384"/>
              <x14:negativeFillColor rgb="FFFF0000"/>
              <x14:negativeBorderColor rgb="FFFF0000"/>
              <x14:axisColor rgb="FF000000"/>
            </x14:dataBar>
          </x14:cfRule>
          <xm:sqref>Z651</xm:sqref>
        </x14:conditionalFormatting>
        <x14:conditionalFormatting xmlns:xm="http://schemas.microsoft.com/office/excel/2006/main">
          <x14:cfRule type="dataBar" id="{9E1A8D88-45BD-4A70-A3A7-8537DD9BC5A0}">
            <x14:dataBar minLength="0" maxLength="100" border="1" negativeBarBorderColorSameAsPositive="0">
              <x14:cfvo type="autoMin"/>
              <x14:cfvo type="autoMax"/>
              <x14:borderColor rgb="FF63C384"/>
              <x14:negativeFillColor rgb="FFFF0000"/>
              <x14:negativeBorderColor rgb="FFFF0000"/>
              <x14:axisColor rgb="FF000000"/>
            </x14:dataBar>
          </x14:cfRule>
          <xm:sqref>Z651</xm:sqref>
        </x14:conditionalFormatting>
        <x14:conditionalFormatting xmlns:xm="http://schemas.microsoft.com/office/excel/2006/main">
          <x14:cfRule type="dataBar" id="{C58C59AD-5367-47B8-848B-CBC9A4CD5426}">
            <x14:dataBar minLength="0" maxLength="100" border="1" negativeBarBorderColorSameAsPositive="0">
              <x14:cfvo type="autoMin"/>
              <x14:cfvo type="autoMax"/>
              <x14:borderColor rgb="FF63C384"/>
              <x14:negativeFillColor rgb="FFFF0000"/>
              <x14:negativeBorderColor rgb="FFFF0000"/>
              <x14:axisColor rgb="FF000000"/>
            </x14:dataBar>
          </x14:cfRule>
          <xm:sqref>Z651</xm:sqref>
        </x14:conditionalFormatting>
        <x14:conditionalFormatting xmlns:xm="http://schemas.microsoft.com/office/excel/2006/main">
          <x14:cfRule type="dataBar" id="{F583687F-996B-49C6-9985-5A2CF1687C50}">
            <x14:dataBar minLength="0" maxLength="100" border="1" negativeBarBorderColorSameAsPositive="0">
              <x14:cfvo type="autoMin"/>
              <x14:cfvo type="autoMax"/>
              <x14:borderColor rgb="FF63C384"/>
              <x14:negativeFillColor rgb="FFFF0000"/>
              <x14:negativeBorderColor rgb="FFFF0000"/>
              <x14:axisColor rgb="FF000000"/>
            </x14:dataBar>
          </x14:cfRule>
          <xm:sqref>Z652</xm:sqref>
        </x14:conditionalFormatting>
        <x14:conditionalFormatting xmlns:xm="http://schemas.microsoft.com/office/excel/2006/main">
          <x14:cfRule type="dataBar" id="{33F2D88D-9F48-44D1-BAC9-74460E292F13}">
            <x14:dataBar minLength="0" maxLength="100" border="1" negativeBarBorderColorSameAsPositive="0">
              <x14:cfvo type="autoMin"/>
              <x14:cfvo type="autoMax"/>
              <x14:borderColor rgb="FF63C384"/>
              <x14:negativeFillColor rgb="FFFF0000"/>
              <x14:negativeBorderColor rgb="FFFF0000"/>
              <x14:axisColor rgb="FF000000"/>
            </x14:dataBar>
          </x14:cfRule>
          <xm:sqref>Z652</xm:sqref>
        </x14:conditionalFormatting>
        <x14:conditionalFormatting xmlns:xm="http://schemas.microsoft.com/office/excel/2006/main">
          <x14:cfRule type="dataBar" id="{08D48FBC-EF68-47C7-B8AE-247603089371}">
            <x14:dataBar minLength="0" maxLength="100" border="1" negativeBarBorderColorSameAsPositive="0">
              <x14:cfvo type="autoMin"/>
              <x14:cfvo type="autoMax"/>
              <x14:borderColor rgb="FF63C384"/>
              <x14:negativeFillColor rgb="FFFF0000"/>
              <x14:negativeBorderColor rgb="FFFF0000"/>
              <x14:axisColor rgb="FF000000"/>
            </x14:dataBar>
          </x14:cfRule>
          <xm:sqref>Z652</xm:sqref>
        </x14:conditionalFormatting>
        <x14:conditionalFormatting xmlns:xm="http://schemas.microsoft.com/office/excel/2006/main">
          <x14:cfRule type="dataBar" id="{9D6F7100-C392-4D97-9506-78615FDF8AFC}">
            <x14:dataBar minLength="0" maxLength="100" border="1" negativeBarBorderColorSameAsPositive="0">
              <x14:cfvo type="autoMin"/>
              <x14:cfvo type="autoMax"/>
              <x14:borderColor rgb="FF63C384"/>
              <x14:negativeFillColor rgb="FFFF0000"/>
              <x14:negativeBorderColor rgb="FFFF0000"/>
              <x14:axisColor rgb="FF000000"/>
            </x14:dataBar>
          </x14:cfRule>
          <xm:sqref>Z652</xm:sqref>
        </x14:conditionalFormatting>
        <x14:conditionalFormatting xmlns:xm="http://schemas.microsoft.com/office/excel/2006/main">
          <x14:cfRule type="dataBar" id="{20CFCB67-F164-4F80-9B45-8704F43457EC}">
            <x14:dataBar minLength="0" maxLength="100" border="1" negativeBarBorderColorSameAsPositive="0">
              <x14:cfvo type="autoMin"/>
              <x14:cfvo type="autoMax"/>
              <x14:borderColor rgb="FF63C384"/>
              <x14:negativeFillColor rgb="FFFF0000"/>
              <x14:negativeBorderColor rgb="FFFF0000"/>
              <x14:axisColor rgb="FF000000"/>
            </x14:dataBar>
          </x14:cfRule>
          <xm:sqref>Z652</xm:sqref>
        </x14:conditionalFormatting>
        <x14:conditionalFormatting xmlns:xm="http://schemas.microsoft.com/office/excel/2006/main">
          <x14:cfRule type="dataBar" id="{3D1CBCFE-6025-4192-B3D9-B241A7819567}">
            <x14:dataBar minLength="0" maxLength="100" border="1" negativeBarBorderColorSameAsPositive="0">
              <x14:cfvo type="autoMin"/>
              <x14:cfvo type="autoMax"/>
              <x14:borderColor rgb="FF63C384"/>
              <x14:negativeFillColor rgb="FFFF0000"/>
              <x14:negativeBorderColor rgb="FFFF0000"/>
              <x14:axisColor rgb="FF000000"/>
            </x14:dataBar>
          </x14:cfRule>
          <xm:sqref>Z652</xm:sqref>
        </x14:conditionalFormatting>
        <x14:conditionalFormatting xmlns:xm="http://schemas.microsoft.com/office/excel/2006/main">
          <x14:cfRule type="dataBar" id="{B5EE375A-66F2-4000-B2E8-823C22E919CD}">
            <x14:dataBar minLength="0" maxLength="100" border="1" negativeBarBorderColorSameAsPositive="0">
              <x14:cfvo type="autoMin"/>
              <x14:cfvo type="autoMax"/>
              <x14:borderColor rgb="FF63C384"/>
              <x14:negativeFillColor rgb="FFFF0000"/>
              <x14:negativeBorderColor rgb="FFFF0000"/>
              <x14:axisColor rgb="FF000000"/>
            </x14:dataBar>
          </x14:cfRule>
          <xm:sqref>Z652</xm:sqref>
        </x14:conditionalFormatting>
        <x14:conditionalFormatting xmlns:xm="http://schemas.microsoft.com/office/excel/2006/main">
          <x14:cfRule type="dataBar" id="{7B923603-79F5-4722-95A9-9AC52078DF2F}">
            <x14:dataBar minLength="0" maxLength="100" border="1" negativeBarBorderColorSameAsPositive="0">
              <x14:cfvo type="autoMin"/>
              <x14:cfvo type="autoMax"/>
              <x14:borderColor rgb="FF63C384"/>
              <x14:negativeFillColor rgb="FFFF0000"/>
              <x14:negativeBorderColor rgb="FFFF0000"/>
              <x14:axisColor rgb="FF000000"/>
            </x14:dataBar>
          </x14:cfRule>
          <xm:sqref>Z652</xm:sqref>
        </x14:conditionalFormatting>
        <x14:conditionalFormatting xmlns:xm="http://schemas.microsoft.com/office/excel/2006/main">
          <x14:cfRule type="dataBar" id="{D54C8BCF-F6C1-48E0-818B-83831F29C4D2}">
            <x14:dataBar minLength="0" maxLength="100" border="1" negativeBarBorderColorSameAsPositive="0">
              <x14:cfvo type="autoMin"/>
              <x14:cfvo type="autoMax"/>
              <x14:borderColor rgb="FF63C384"/>
              <x14:negativeFillColor rgb="FFFF0000"/>
              <x14:negativeBorderColor rgb="FFFF0000"/>
              <x14:axisColor rgb="FF000000"/>
            </x14:dataBar>
          </x14:cfRule>
          <xm:sqref>Z653</xm:sqref>
        </x14:conditionalFormatting>
        <x14:conditionalFormatting xmlns:xm="http://schemas.microsoft.com/office/excel/2006/main">
          <x14:cfRule type="dataBar" id="{36C889EE-20DA-4C55-B031-DCCAD3F9C8BF}">
            <x14:dataBar minLength="0" maxLength="100" border="1" negativeBarBorderColorSameAsPositive="0">
              <x14:cfvo type="autoMin"/>
              <x14:cfvo type="autoMax"/>
              <x14:borderColor rgb="FF63C384"/>
              <x14:negativeFillColor rgb="FFFF0000"/>
              <x14:negativeBorderColor rgb="FFFF0000"/>
              <x14:axisColor rgb="FF000000"/>
            </x14:dataBar>
          </x14:cfRule>
          <xm:sqref>Z653</xm:sqref>
        </x14:conditionalFormatting>
        <x14:conditionalFormatting xmlns:xm="http://schemas.microsoft.com/office/excel/2006/main">
          <x14:cfRule type="dataBar" id="{ED72953F-91A6-4587-B7BE-AE5164BA4A99}">
            <x14:dataBar minLength="0" maxLength="100" border="1" negativeBarBorderColorSameAsPositive="0">
              <x14:cfvo type="autoMin"/>
              <x14:cfvo type="autoMax"/>
              <x14:borderColor rgb="FF63C384"/>
              <x14:negativeFillColor rgb="FFFF0000"/>
              <x14:negativeBorderColor rgb="FFFF0000"/>
              <x14:axisColor rgb="FF000000"/>
            </x14:dataBar>
          </x14:cfRule>
          <xm:sqref>Z654</xm:sqref>
        </x14:conditionalFormatting>
        <x14:conditionalFormatting xmlns:xm="http://schemas.microsoft.com/office/excel/2006/main">
          <x14:cfRule type="dataBar" id="{3425BAA3-4DC5-4277-8B04-A6C8FD0BE723}">
            <x14:dataBar minLength="0" maxLength="100" border="1" negativeBarBorderColorSameAsPositive="0">
              <x14:cfvo type="autoMin"/>
              <x14:cfvo type="autoMax"/>
              <x14:borderColor rgb="FF63C384"/>
              <x14:negativeFillColor rgb="FFFF0000"/>
              <x14:negativeBorderColor rgb="FFFF0000"/>
              <x14:axisColor rgb="FF000000"/>
            </x14:dataBar>
          </x14:cfRule>
          <xm:sqref>Z654</xm:sqref>
        </x14:conditionalFormatting>
        <x14:conditionalFormatting xmlns:xm="http://schemas.microsoft.com/office/excel/2006/main">
          <x14:cfRule type="dataBar" id="{DA803794-7192-4740-A4CF-40677CB17A99}">
            <x14:dataBar minLength="0" maxLength="100" border="1" negativeBarBorderColorSameAsPositive="0">
              <x14:cfvo type="autoMin"/>
              <x14:cfvo type="autoMax"/>
              <x14:borderColor rgb="FF63C384"/>
              <x14:negativeFillColor rgb="FFFF0000"/>
              <x14:negativeBorderColor rgb="FFFF0000"/>
              <x14:axisColor rgb="FF000000"/>
            </x14:dataBar>
          </x14:cfRule>
          <xm:sqref>Z654</xm:sqref>
        </x14:conditionalFormatting>
        <x14:conditionalFormatting xmlns:xm="http://schemas.microsoft.com/office/excel/2006/main">
          <x14:cfRule type="dataBar" id="{5CBCC5CE-BE5F-40DC-B67F-EE985BB21192}">
            <x14:dataBar minLength="0" maxLength="100" border="1" negativeBarBorderColorSameAsPositive="0">
              <x14:cfvo type="autoMin"/>
              <x14:cfvo type="autoMax"/>
              <x14:borderColor rgb="FF63C384"/>
              <x14:negativeFillColor rgb="FFFF0000"/>
              <x14:negativeBorderColor rgb="FFFF0000"/>
              <x14:axisColor rgb="FF000000"/>
            </x14:dataBar>
          </x14:cfRule>
          <xm:sqref>Z654</xm:sqref>
        </x14:conditionalFormatting>
        <x14:conditionalFormatting xmlns:xm="http://schemas.microsoft.com/office/excel/2006/main">
          <x14:cfRule type="dataBar" id="{0471F148-DB16-4F6D-BBC6-D22FFAC04B2F}">
            <x14:dataBar minLength="0" maxLength="100" border="1" negativeBarBorderColorSameAsPositive="0">
              <x14:cfvo type="autoMin"/>
              <x14:cfvo type="autoMax"/>
              <x14:borderColor rgb="FF63C384"/>
              <x14:negativeFillColor rgb="FFFF0000"/>
              <x14:negativeBorderColor rgb="FFFF0000"/>
              <x14:axisColor rgb="FF000000"/>
            </x14:dataBar>
          </x14:cfRule>
          <xm:sqref>Z655</xm:sqref>
        </x14:conditionalFormatting>
        <x14:conditionalFormatting xmlns:xm="http://schemas.microsoft.com/office/excel/2006/main">
          <x14:cfRule type="dataBar" id="{709DF995-A020-48FF-8662-F8B1A43CC5AB}">
            <x14:dataBar minLength="0" maxLength="100" border="1" negativeBarBorderColorSameAsPositive="0">
              <x14:cfvo type="autoMin"/>
              <x14:cfvo type="autoMax"/>
              <x14:borderColor rgb="FF63C384"/>
              <x14:negativeFillColor rgb="FFFF0000"/>
              <x14:negativeBorderColor rgb="FFFF0000"/>
              <x14:axisColor rgb="FF000000"/>
            </x14:dataBar>
          </x14:cfRule>
          <xm:sqref>Z655</xm:sqref>
        </x14:conditionalFormatting>
        <x14:conditionalFormatting xmlns:xm="http://schemas.microsoft.com/office/excel/2006/main">
          <x14:cfRule type="dataBar" id="{D9176763-6CE0-478E-99D0-281A95D4800B}">
            <x14:dataBar minLength="0" maxLength="100" border="1" negativeBarBorderColorSameAsPositive="0">
              <x14:cfvo type="autoMin"/>
              <x14:cfvo type="autoMax"/>
              <x14:borderColor rgb="FF63C384"/>
              <x14:negativeFillColor rgb="FFFF0000"/>
              <x14:negativeBorderColor rgb="FFFF0000"/>
              <x14:axisColor rgb="FF000000"/>
            </x14:dataBar>
          </x14:cfRule>
          <xm:sqref>Z656</xm:sqref>
        </x14:conditionalFormatting>
        <x14:conditionalFormatting xmlns:xm="http://schemas.microsoft.com/office/excel/2006/main">
          <x14:cfRule type="dataBar" id="{20C815F6-4646-4ADB-9DE6-D8DF661D27B3}">
            <x14:dataBar minLength="0" maxLength="100" border="1" negativeBarBorderColorSameAsPositive="0">
              <x14:cfvo type="autoMin"/>
              <x14:cfvo type="autoMax"/>
              <x14:borderColor rgb="FF63C384"/>
              <x14:negativeFillColor rgb="FFFF0000"/>
              <x14:negativeBorderColor rgb="FFFF0000"/>
              <x14:axisColor rgb="FF000000"/>
            </x14:dataBar>
          </x14:cfRule>
          <xm:sqref>Z656</xm:sqref>
        </x14:conditionalFormatting>
        <x14:conditionalFormatting xmlns:xm="http://schemas.microsoft.com/office/excel/2006/main">
          <x14:cfRule type="dataBar" id="{4370850F-4C80-461B-BBAE-92D6BEBAE953}">
            <x14:dataBar minLength="0" maxLength="100" border="1" negativeBarBorderColorSameAsPositive="0">
              <x14:cfvo type="autoMin"/>
              <x14:cfvo type="autoMax"/>
              <x14:borderColor rgb="FF63C384"/>
              <x14:negativeFillColor rgb="FFFF0000"/>
              <x14:negativeBorderColor rgb="FFFF0000"/>
              <x14:axisColor rgb="FF000000"/>
            </x14:dataBar>
          </x14:cfRule>
          <xm:sqref>Z657</xm:sqref>
        </x14:conditionalFormatting>
        <x14:conditionalFormatting xmlns:xm="http://schemas.microsoft.com/office/excel/2006/main">
          <x14:cfRule type="dataBar" id="{7F7FD966-1859-4AE5-A1DB-A06EDE3AB4A0}">
            <x14:dataBar minLength="0" maxLength="100" border="1" negativeBarBorderColorSameAsPositive="0">
              <x14:cfvo type="autoMin"/>
              <x14:cfvo type="autoMax"/>
              <x14:borderColor rgb="FF63C384"/>
              <x14:negativeFillColor rgb="FFFF0000"/>
              <x14:negativeBorderColor rgb="FFFF0000"/>
              <x14:axisColor rgb="FF000000"/>
            </x14:dataBar>
          </x14:cfRule>
          <xm:sqref>Z657</xm:sqref>
        </x14:conditionalFormatting>
        <x14:conditionalFormatting xmlns:xm="http://schemas.microsoft.com/office/excel/2006/main">
          <x14:cfRule type="dataBar" id="{DF16C273-F646-48A8-A2D4-1F77106CE3A4}">
            <x14:dataBar minLength="0" maxLength="100" border="1" negativeBarBorderColorSameAsPositive="0">
              <x14:cfvo type="autoMin"/>
              <x14:cfvo type="autoMax"/>
              <x14:borderColor rgb="FF63C384"/>
              <x14:negativeFillColor rgb="FFFF0000"/>
              <x14:negativeBorderColor rgb="FFFF0000"/>
              <x14:axisColor rgb="FF000000"/>
            </x14:dataBar>
          </x14:cfRule>
          <xm:sqref>Z658</xm:sqref>
        </x14:conditionalFormatting>
        <x14:conditionalFormatting xmlns:xm="http://schemas.microsoft.com/office/excel/2006/main">
          <x14:cfRule type="dataBar" id="{35EC2F7C-86C9-4259-9F11-36BF0375B7C7}">
            <x14:dataBar minLength="0" maxLength="100" border="1" negativeBarBorderColorSameAsPositive="0">
              <x14:cfvo type="autoMin"/>
              <x14:cfvo type="autoMax"/>
              <x14:borderColor rgb="FF63C384"/>
              <x14:negativeFillColor rgb="FFFF0000"/>
              <x14:negativeBorderColor rgb="FFFF0000"/>
              <x14:axisColor rgb="FF000000"/>
            </x14:dataBar>
          </x14:cfRule>
          <xm:sqref>Z658</xm:sqref>
        </x14:conditionalFormatting>
        <x14:conditionalFormatting xmlns:xm="http://schemas.microsoft.com/office/excel/2006/main">
          <x14:cfRule type="dataBar" id="{76556758-C5F9-45C5-B792-A19B783E36CD}">
            <x14:dataBar minLength="0" maxLength="100" border="1" negativeBarBorderColorSameAsPositive="0">
              <x14:cfvo type="autoMin"/>
              <x14:cfvo type="autoMax"/>
              <x14:borderColor rgb="FF63C384"/>
              <x14:negativeFillColor rgb="FFFF0000"/>
              <x14:negativeBorderColor rgb="FFFF0000"/>
              <x14:axisColor rgb="FF000000"/>
            </x14:dataBar>
          </x14:cfRule>
          <xm:sqref>Z659</xm:sqref>
        </x14:conditionalFormatting>
        <x14:conditionalFormatting xmlns:xm="http://schemas.microsoft.com/office/excel/2006/main">
          <x14:cfRule type="dataBar" id="{8C492E93-B6B3-4050-80DA-D8B30AEF4E0B}">
            <x14:dataBar minLength="0" maxLength="100" border="1" negativeBarBorderColorSameAsPositive="0">
              <x14:cfvo type="autoMin"/>
              <x14:cfvo type="autoMax"/>
              <x14:borderColor rgb="FF63C384"/>
              <x14:negativeFillColor rgb="FFFF0000"/>
              <x14:negativeBorderColor rgb="FFFF0000"/>
              <x14:axisColor rgb="FF000000"/>
            </x14:dataBar>
          </x14:cfRule>
          <xm:sqref>Z659</xm:sqref>
        </x14:conditionalFormatting>
        <x14:conditionalFormatting xmlns:xm="http://schemas.microsoft.com/office/excel/2006/main">
          <x14:cfRule type="dataBar" id="{5490E517-3D2B-4581-8DE5-611A77F62F3B}">
            <x14:dataBar minLength="0" maxLength="100" border="1" negativeBarBorderColorSameAsPositive="0">
              <x14:cfvo type="autoMin"/>
              <x14:cfvo type="autoMax"/>
              <x14:borderColor rgb="FF63C384"/>
              <x14:negativeFillColor rgb="FFFF0000"/>
              <x14:negativeBorderColor rgb="FFFF0000"/>
              <x14:axisColor rgb="FF000000"/>
            </x14:dataBar>
          </x14:cfRule>
          <xm:sqref>Z660</xm:sqref>
        </x14:conditionalFormatting>
        <x14:conditionalFormatting xmlns:xm="http://schemas.microsoft.com/office/excel/2006/main">
          <x14:cfRule type="dataBar" id="{3B655B78-5EAC-40DA-B72E-5D0527485E5E}">
            <x14:dataBar minLength="0" maxLength="100" border="1" negativeBarBorderColorSameAsPositive="0">
              <x14:cfvo type="autoMin"/>
              <x14:cfvo type="autoMax"/>
              <x14:borderColor rgb="FF63C384"/>
              <x14:negativeFillColor rgb="FFFF0000"/>
              <x14:negativeBorderColor rgb="FFFF0000"/>
              <x14:axisColor rgb="FF000000"/>
            </x14:dataBar>
          </x14:cfRule>
          <xm:sqref>Z660</xm:sqref>
        </x14:conditionalFormatting>
        <x14:conditionalFormatting xmlns:xm="http://schemas.microsoft.com/office/excel/2006/main">
          <x14:cfRule type="dataBar" id="{A2C52626-8C06-4C68-B6EE-2BE85F663187}">
            <x14:dataBar minLength="0" maxLength="100" border="1" negativeBarBorderColorSameAsPositive="0">
              <x14:cfvo type="autoMin"/>
              <x14:cfvo type="autoMax"/>
              <x14:borderColor rgb="FF63C384"/>
              <x14:negativeFillColor rgb="FFFF0000"/>
              <x14:negativeBorderColor rgb="FFFF0000"/>
              <x14:axisColor rgb="FF000000"/>
            </x14:dataBar>
          </x14:cfRule>
          <xm:sqref>Z661</xm:sqref>
        </x14:conditionalFormatting>
        <x14:conditionalFormatting xmlns:xm="http://schemas.microsoft.com/office/excel/2006/main">
          <x14:cfRule type="dataBar" id="{9EE6AAB5-1CB0-4D02-B678-73F589EB0F05}">
            <x14:dataBar minLength="0" maxLength="100" border="1" negativeBarBorderColorSameAsPositive="0">
              <x14:cfvo type="autoMin"/>
              <x14:cfvo type="autoMax"/>
              <x14:borderColor rgb="FF63C384"/>
              <x14:negativeFillColor rgb="FFFF0000"/>
              <x14:negativeBorderColor rgb="FFFF0000"/>
              <x14:axisColor rgb="FF000000"/>
            </x14:dataBar>
          </x14:cfRule>
          <xm:sqref>Z661</xm:sqref>
        </x14:conditionalFormatting>
        <x14:conditionalFormatting xmlns:xm="http://schemas.microsoft.com/office/excel/2006/main">
          <x14:cfRule type="dataBar" id="{FBF8F982-8F53-4D1B-A683-256D64CE7D18}">
            <x14:dataBar minLength="0" maxLength="100" border="1" negativeBarBorderColorSameAsPositive="0">
              <x14:cfvo type="autoMin"/>
              <x14:cfvo type="autoMax"/>
              <x14:borderColor rgb="FF63C384"/>
              <x14:negativeFillColor rgb="FFFF0000"/>
              <x14:negativeBorderColor rgb="FFFF0000"/>
              <x14:axisColor rgb="FF000000"/>
            </x14:dataBar>
          </x14:cfRule>
          <xm:sqref>Z662</xm:sqref>
        </x14:conditionalFormatting>
        <x14:conditionalFormatting xmlns:xm="http://schemas.microsoft.com/office/excel/2006/main">
          <x14:cfRule type="dataBar" id="{6757B6C4-3035-4A79-A8B1-CDB013C70289}">
            <x14:dataBar minLength="0" maxLength="100" border="1" negativeBarBorderColorSameAsPositive="0">
              <x14:cfvo type="autoMin"/>
              <x14:cfvo type="autoMax"/>
              <x14:borderColor rgb="FF63C384"/>
              <x14:negativeFillColor rgb="FFFF0000"/>
              <x14:negativeBorderColor rgb="FFFF0000"/>
              <x14:axisColor rgb="FF000000"/>
            </x14:dataBar>
          </x14:cfRule>
          <xm:sqref>Z662</xm:sqref>
        </x14:conditionalFormatting>
        <x14:conditionalFormatting xmlns:xm="http://schemas.microsoft.com/office/excel/2006/main">
          <x14:cfRule type="dataBar" id="{C94F19CE-8152-476F-8AD1-EBF53FE44FA2}">
            <x14:dataBar minLength="0" maxLength="100" border="1" negativeBarBorderColorSameAsPositive="0">
              <x14:cfvo type="autoMin"/>
              <x14:cfvo type="autoMax"/>
              <x14:borderColor rgb="FF63C384"/>
              <x14:negativeFillColor rgb="FFFF0000"/>
              <x14:negativeBorderColor rgb="FFFF0000"/>
              <x14:axisColor rgb="FF000000"/>
            </x14:dataBar>
          </x14:cfRule>
          <xm:sqref>Z663</xm:sqref>
        </x14:conditionalFormatting>
        <x14:conditionalFormatting xmlns:xm="http://schemas.microsoft.com/office/excel/2006/main">
          <x14:cfRule type="dataBar" id="{579F241D-29BC-44CC-BC12-2469E297E977}">
            <x14:dataBar minLength="0" maxLength="100" border="1" negativeBarBorderColorSameAsPositive="0">
              <x14:cfvo type="autoMin"/>
              <x14:cfvo type="autoMax"/>
              <x14:borderColor rgb="FF63C384"/>
              <x14:negativeFillColor rgb="FFFF0000"/>
              <x14:negativeBorderColor rgb="FFFF0000"/>
              <x14:axisColor rgb="FF000000"/>
            </x14:dataBar>
          </x14:cfRule>
          <xm:sqref>Z663</xm:sqref>
        </x14:conditionalFormatting>
        <x14:conditionalFormatting xmlns:xm="http://schemas.microsoft.com/office/excel/2006/main">
          <x14:cfRule type="dataBar" id="{EC59D547-8BD2-4D16-B599-B61621942AAE}">
            <x14:dataBar minLength="0" maxLength="100" border="1" negativeBarBorderColorSameAsPositive="0">
              <x14:cfvo type="autoMin"/>
              <x14:cfvo type="autoMax"/>
              <x14:borderColor rgb="FF63C384"/>
              <x14:negativeFillColor rgb="FFFF0000"/>
              <x14:negativeBorderColor rgb="FFFF0000"/>
              <x14:axisColor rgb="FF000000"/>
            </x14:dataBar>
          </x14:cfRule>
          <xm:sqref>Z659</xm:sqref>
        </x14:conditionalFormatting>
        <x14:conditionalFormatting xmlns:xm="http://schemas.microsoft.com/office/excel/2006/main">
          <x14:cfRule type="dataBar" id="{0032421A-F09F-4A73-B85F-ABA63EF4F9DD}">
            <x14:dataBar minLength="0" maxLength="100" border="1" negativeBarBorderColorSameAsPositive="0">
              <x14:cfvo type="autoMin"/>
              <x14:cfvo type="autoMax"/>
              <x14:borderColor rgb="FF63C384"/>
              <x14:negativeFillColor rgb="FFFF0000"/>
              <x14:negativeBorderColor rgb="FFFF0000"/>
              <x14:axisColor rgb="FF000000"/>
            </x14:dataBar>
          </x14:cfRule>
          <xm:sqref>Z659</xm:sqref>
        </x14:conditionalFormatting>
        <x14:conditionalFormatting xmlns:xm="http://schemas.microsoft.com/office/excel/2006/main">
          <x14:cfRule type="dataBar" id="{704B017E-F823-45D4-8490-1166B444E314}">
            <x14:dataBar minLength="0" maxLength="100" border="1" negativeBarBorderColorSameAsPositive="0">
              <x14:cfvo type="autoMin"/>
              <x14:cfvo type="autoMax"/>
              <x14:borderColor rgb="FF63C384"/>
              <x14:negativeFillColor rgb="FFFF0000"/>
              <x14:negativeBorderColor rgb="FFFF0000"/>
              <x14:axisColor rgb="FF000000"/>
            </x14:dataBar>
          </x14:cfRule>
          <xm:sqref>Z660</xm:sqref>
        </x14:conditionalFormatting>
        <x14:conditionalFormatting xmlns:xm="http://schemas.microsoft.com/office/excel/2006/main">
          <x14:cfRule type="dataBar" id="{8A3A1F44-603D-4DE6-BD79-AFEA73697B1B}">
            <x14:dataBar minLength="0" maxLength="100" border="1" negativeBarBorderColorSameAsPositive="0">
              <x14:cfvo type="autoMin"/>
              <x14:cfvo type="autoMax"/>
              <x14:borderColor rgb="FF63C384"/>
              <x14:negativeFillColor rgb="FFFF0000"/>
              <x14:negativeBorderColor rgb="FFFF0000"/>
              <x14:axisColor rgb="FF000000"/>
            </x14:dataBar>
          </x14:cfRule>
          <xm:sqref>Z660</xm:sqref>
        </x14:conditionalFormatting>
        <x14:conditionalFormatting xmlns:xm="http://schemas.microsoft.com/office/excel/2006/main">
          <x14:cfRule type="dataBar" id="{D19A0596-8D9B-4BD1-AFA1-50240469241C}">
            <x14:dataBar minLength="0" maxLength="100" border="1" negativeBarBorderColorSameAsPositive="0">
              <x14:cfvo type="autoMin"/>
              <x14:cfvo type="autoMax"/>
              <x14:borderColor rgb="FF63C384"/>
              <x14:negativeFillColor rgb="FFFF0000"/>
              <x14:negativeBorderColor rgb="FFFF0000"/>
              <x14:axisColor rgb="FF000000"/>
            </x14:dataBar>
          </x14:cfRule>
          <xm:sqref>Z661</xm:sqref>
        </x14:conditionalFormatting>
        <x14:conditionalFormatting xmlns:xm="http://schemas.microsoft.com/office/excel/2006/main">
          <x14:cfRule type="dataBar" id="{C394A8E0-0FD7-45AF-BA0B-5A92E47F4868}">
            <x14:dataBar minLength="0" maxLength="100" border="1" negativeBarBorderColorSameAsPositive="0">
              <x14:cfvo type="autoMin"/>
              <x14:cfvo type="autoMax"/>
              <x14:borderColor rgb="FF63C384"/>
              <x14:negativeFillColor rgb="FFFF0000"/>
              <x14:negativeBorderColor rgb="FFFF0000"/>
              <x14:axisColor rgb="FF000000"/>
            </x14:dataBar>
          </x14:cfRule>
          <xm:sqref>Z661</xm:sqref>
        </x14:conditionalFormatting>
        <x14:conditionalFormatting xmlns:xm="http://schemas.microsoft.com/office/excel/2006/main">
          <x14:cfRule type="dataBar" id="{A397E04F-5709-4A96-9B29-30453CB1E821}">
            <x14:dataBar minLength="0" maxLength="100" border="1" negativeBarBorderColorSameAsPositive="0">
              <x14:cfvo type="autoMin"/>
              <x14:cfvo type="autoMax"/>
              <x14:borderColor rgb="FF63C384"/>
              <x14:negativeFillColor rgb="FFFF0000"/>
              <x14:negativeBorderColor rgb="FFFF0000"/>
              <x14:axisColor rgb="FF000000"/>
            </x14:dataBar>
          </x14:cfRule>
          <xm:sqref>Z662</xm:sqref>
        </x14:conditionalFormatting>
        <x14:conditionalFormatting xmlns:xm="http://schemas.microsoft.com/office/excel/2006/main">
          <x14:cfRule type="dataBar" id="{3940564D-EF95-4766-8C3D-7341A6FD3FDB}">
            <x14:dataBar minLength="0" maxLength="100" border="1" negativeBarBorderColorSameAsPositive="0">
              <x14:cfvo type="autoMin"/>
              <x14:cfvo type="autoMax"/>
              <x14:borderColor rgb="FF63C384"/>
              <x14:negativeFillColor rgb="FFFF0000"/>
              <x14:negativeBorderColor rgb="FFFF0000"/>
              <x14:axisColor rgb="FF000000"/>
            </x14:dataBar>
          </x14:cfRule>
          <xm:sqref>Z662</xm:sqref>
        </x14:conditionalFormatting>
        <x14:conditionalFormatting xmlns:xm="http://schemas.microsoft.com/office/excel/2006/main">
          <x14:cfRule type="dataBar" id="{FA5115A2-2C00-4C77-8A95-6C0DCABEC76C}">
            <x14:dataBar minLength="0" maxLength="100" border="1" negativeBarBorderColorSameAsPositive="0">
              <x14:cfvo type="autoMin"/>
              <x14:cfvo type="autoMax"/>
              <x14:borderColor rgb="FF63C384"/>
              <x14:negativeFillColor rgb="FFFF0000"/>
              <x14:negativeBorderColor rgb="FFFF0000"/>
              <x14:axisColor rgb="FF000000"/>
            </x14:dataBar>
          </x14:cfRule>
          <xm:sqref>Z663</xm:sqref>
        </x14:conditionalFormatting>
        <x14:conditionalFormatting xmlns:xm="http://schemas.microsoft.com/office/excel/2006/main">
          <x14:cfRule type="dataBar" id="{B3E9B723-09EE-4A58-9177-697E9F54FDAA}">
            <x14:dataBar minLength="0" maxLength="100" border="1" negativeBarBorderColorSameAsPositive="0">
              <x14:cfvo type="autoMin"/>
              <x14:cfvo type="autoMax"/>
              <x14:borderColor rgb="FF63C384"/>
              <x14:negativeFillColor rgb="FFFF0000"/>
              <x14:negativeBorderColor rgb="FFFF0000"/>
              <x14:axisColor rgb="FF000000"/>
            </x14:dataBar>
          </x14:cfRule>
          <xm:sqref>Z663</xm:sqref>
        </x14:conditionalFormatting>
        <x14:conditionalFormatting xmlns:xm="http://schemas.microsoft.com/office/excel/2006/main">
          <x14:cfRule type="dataBar" id="{56A0470D-0DA3-4787-A9B5-9891679B417A}">
            <x14:dataBar minLength="0" maxLength="100" border="1" negativeBarBorderColorSameAsPositive="0">
              <x14:cfvo type="autoMin"/>
              <x14:cfvo type="autoMax"/>
              <x14:borderColor rgb="FF63C384"/>
              <x14:negativeFillColor rgb="FFFF0000"/>
              <x14:negativeBorderColor rgb="FFFF0000"/>
              <x14:axisColor rgb="FF000000"/>
            </x14:dataBar>
          </x14:cfRule>
          <xm:sqref>Z664</xm:sqref>
        </x14:conditionalFormatting>
        <x14:conditionalFormatting xmlns:xm="http://schemas.microsoft.com/office/excel/2006/main">
          <x14:cfRule type="dataBar" id="{89FCBB78-F919-4ED1-9AEC-D61C4C5AAD10}">
            <x14:dataBar minLength="0" maxLength="100" border="1" negativeBarBorderColorSameAsPositive="0">
              <x14:cfvo type="autoMin"/>
              <x14:cfvo type="autoMax"/>
              <x14:borderColor rgb="FF63C384"/>
              <x14:negativeFillColor rgb="FFFF0000"/>
              <x14:negativeBorderColor rgb="FFFF0000"/>
              <x14:axisColor rgb="FF000000"/>
            </x14:dataBar>
          </x14:cfRule>
          <xm:sqref>Z664</xm:sqref>
        </x14:conditionalFormatting>
        <x14:conditionalFormatting xmlns:xm="http://schemas.microsoft.com/office/excel/2006/main">
          <x14:cfRule type="dataBar" id="{D2FB1FC1-FF65-4821-83AB-F882F1954415}">
            <x14:dataBar minLength="0" maxLength="100" border="1" negativeBarBorderColorSameAsPositive="0">
              <x14:cfvo type="autoMin"/>
              <x14:cfvo type="autoMax"/>
              <x14:borderColor rgb="FF63C384"/>
              <x14:negativeFillColor rgb="FFFF0000"/>
              <x14:negativeBorderColor rgb="FFFF0000"/>
              <x14:axisColor rgb="FF000000"/>
            </x14:dataBar>
          </x14:cfRule>
          <xm:sqref>Z665</xm:sqref>
        </x14:conditionalFormatting>
        <x14:conditionalFormatting xmlns:xm="http://schemas.microsoft.com/office/excel/2006/main">
          <x14:cfRule type="dataBar" id="{A40EEE4C-DCBB-4004-875E-AA8FF5FEC597}">
            <x14:dataBar minLength="0" maxLength="100" border="1" negativeBarBorderColorSameAsPositive="0">
              <x14:cfvo type="autoMin"/>
              <x14:cfvo type="autoMax"/>
              <x14:borderColor rgb="FF63C384"/>
              <x14:negativeFillColor rgb="FFFF0000"/>
              <x14:negativeBorderColor rgb="FFFF0000"/>
              <x14:axisColor rgb="FF000000"/>
            </x14:dataBar>
          </x14:cfRule>
          <xm:sqref>Z665</xm:sqref>
        </x14:conditionalFormatting>
        <x14:conditionalFormatting xmlns:xm="http://schemas.microsoft.com/office/excel/2006/main">
          <x14:cfRule type="dataBar" id="{7B5313BF-674E-4053-9712-DCE12C6C6931}">
            <x14:dataBar minLength="0" maxLength="100" border="1" negativeBarBorderColorSameAsPositive="0">
              <x14:cfvo type="autoMin"/>
              <x14:cfvo type="autoMax"/>
              <x14:borderColor rgb="FF63C384"/>
              <x14:negativeFillColor rgb="FFFF0000"/>
              <x14:negativeBorderColor rgb="FFFF0000"/>
              <x14:axisColor rgb="FF000000"/>
            </x14:dataBar>
          </x14:cfRule>
          <xm:sqref>Z665</xm:sqref>
        </x14:conditionalFormatting>
        <x14:conditionalFormatting xmlns:xm="http://schemas.microsoft.com/office/excel/2006/main">
          <x14:cfRule type="dataBar" id="{E41A0CB7-CB96-4F17-B0AC-337E1DD3D323}">
            <x14:dataBar minLength="0" maxLength="100" border="1" negativeBarBorderColorSameAsPositive="0">
              <x14:cfvo type="autoMin"/>
              <x14:cfvo type="autoMax"/>
              <x14:borderColor rgb="FF63C384"/>
              <x14:negativeFillColor rgb="FFFF0000"/>
              <x14:negativeBorderColor rgb="FFFF0000"/>
              <x14:axisColor rgb="FF000000"/>
            </x14:dataBar>
          </x14:cfRule>
          <xm:sqref>Z665</xm:sqref>
        </x14:conditionalFormatting>
        <x14:conditionalFormatting xmlns:xm="http://schemas.microsoft.com/office/excel/2006/main">
          <x14:cfRule type="dataBar" id="{31E0C261-D90C-4F19-9123-F63981F3FBEC}">
            <x14:dataBar minLength="0" maxLength="100" border="1" negativeBarBorderColorSameAsPositive="0">
              <x14:cfvo type="autoMin"/>
              <x14:cfvo type="autoMax"/>
              <x14:borderColor rgb="FF63C384"/>
              <x14:negativeFillColor rgb="FFFF0000"/>
              <x14:negativeBorderColor rgb="FFFF0000"/>
              <x14:axisColor rgb="FF000000"/>
            </x14:dataBar>
          </x14:cfRule>
          <xm:sqref>Z666</xm:sqref>
        </x14:conditionalFormatting>
        <x14:conditionalFormatting xmlns:xm="http://schemas.microsoft.com/office/excel/2006/main">
          <x14:cfRule type="dataBar" id="{048DC636-A7A7-4253-A34F-23D233AC9837}">
            <x14:dataBar minLength="0" maxLength="100" border="1" negativeBarBorderColorSameAsPositive="0">
              <x14:cfvo type="autoMin"/>
              <x14:cfvo type="autoMax"/>
              <x14:borderColor rgb="FF63C384"/>
              <x14:negativeFillColor rgb="FFFF0000"/>
              <x14:negativeBorderColor rgb="FFFF0000"/>
              <x14:axisColor rgb="FF000000"/>
            </x14:dataBar>
          </x14:cfRule>
          <xm:sqref>Z666</xm:sqref>
        </x14:conditionalFormatting>
        <x14:conditionalFormatting xmlns:xm="http://schemas.microsoft.com/office/excel/2006/main">
          <x14:cfRule type="dataBar" id="{AB93CB57-9B94-4B1A-A9FC-EC1A2705C376}">
            <x14:dataBar minLength="0" maxLength="100" border="1" negativeBarBorderColorSameAsPositive="0">
              <x14:cfvo type="autoMin"/>
              <x14:cfvo type="autoMax"/>
              <x14:borderColor rgb="FF63C384"/>
              <x14:negativeFillColor rgb="FFFF0000"/>
              <x14:negativeBorderColor rgb="FFFF0000"/>
              <x14:axisColor rgb="FF000000"/>
            </x14:dataBar>
          </x14:cfRule>
          <xm:sqref>Z666</xm:sqref>
        </x14:conditionalFormatting>
        <x14:conditionalFormatting xmlns:xm="http://schemas.microsoft.com/office/excel/2006/main">
          <x14:cfRule type="dataBar" id="{ABD78328-AB66-4CDE-9D33-C95F37A87B9D}">
            <x14:dataBar minLength="0" maxLength="100" border="1" negativeBarBorderColorSameAsPositive="0">
              <x14:cfvo type="autoMin"/>
              <x14:cfvo type="autoMax"/>
              <x14:borderColor rgb="FF63C384"/>
              <x14:negativeFillColor rgb="FFFF0000"/>
              <x14:negativeBorderColor rgb="FFFF0000"/>
              <x14:axisColor rgb="FF000000"/>
            </x14:dataBar>
          </x14:cfRule>
          <xm:sqref>Z666</xm:sqref>
        </x14:conditionalFormatting>
        <x14:conditionalFormatting xmlns:xm="http://schemas.microsoft.com/office/excel/2006/main">
          <x14:cfRule type="dataBar" id="{FC889D9E-19C8-46A4-ADE6-389D78C30FC4}">
            <x14:dataBar minLength="0" maxLength="100" border="1" negativeBarBorderColorSameAsPositive="0">
              <x14:cfvo type="autoMin"/>
              <x14:cfvo type="autoMax"/>
              <x14:borderColor rgb="FF63C384"/>
              <x14:negativeFillColor rgb="FFFF0000"/>
              <x14:negativeBorderColor rgb="FFFF0000"/>
              <x14:axisColor rgb="FF000000"/>
            </x14:dataBar>
          </x14:cfRule>
          <xm:sqref>Z667</xm:sqref>
        </x14:conditionalFormatting>
        <x14:conditionalFormatting xmlns:xm="http://schemas.microsoft.com/office/excel/2006/main">
          <x14:cfRule type="dataBar" id="{069A2D1D-AD72-4859-952A-A5970135CAA9}">
            <x14:dataBar minLength="0" maxLength="100" border="1" negativeBarBorderColorSameAsPositive="0">
              <x14:cfvo type="autoMin"/>
              <x14:cfvo type="autoMax"/>
              <x14:borderColor rgb="FF63C384"/>
              <x14:negativeFillColor rgb="FFFF0000"/>
              <x14:negativeBorderColor rgb="FFFF0000"/>
              <x14:axisColor rgb="FF000000"/>
            </x14:dataBar>
          </x14:cfRule>
          <xm:sqref>Z667</xm:sqref>
        </x14:conditionalFormatting>
        <x14:conditionalFormatting xmlns:xm="http://schemas.microsoft.com/office/excel/2006/main">
          <x14:cfRule type="dataBar" id="{5B007BBB-C4B0-4BFA-B119-304006E88AD1}">
            <x14:dataBar minLength="0" maxLength="100" border="1" negativeBarBorderColorSameAsPositive="0">
              <x14:cfvo type="autoMin"/>
              <x14:cfvo type="autoMax"/>
              <x14:borderColor rgb="FF63C384"/>
              <x14:negativeFillColor rgb="FFFF0000"/>
              <x14:negativeBorderColor rgb="FFFF0000"/>
              <x14:axisColor rgb="FF000000"/>
            </x14:dataBar>
          </x14:cfRule>
          <xm:sqref>Z667</xm:sqref>
        </x14:conditionalFormatting>
        <x14:conditionalFormatting xmlns:xm="http://schemas.microsoft.com/office/excel/2006/main">
          <x14:cfRule type="dataBar" id="{A4B7D7E5-A70A-4C18-A885-67EF73891791}">
            <x14:dataBar minLength="0" maxLength="100" border="1" negativeBarBorderColorSameAsPositive="0">
              <x14:cfvo type="autoMin"/>
              <x14:cfvo type="autoMax"/>
              <x14:borderColor rgb="FF63C384"/>
              <x14:negativeFillColor rgb="FFFF0000"/>
              <x14:negativeBorderColor rgb="FFFF0000"/>
              <x14:axisColor rgb="FF000000"/>
            </x14:dataBar>
          </x14:cfRule>
          <xm:sqref>Z667</xm:sqref>
        </x14:conditionalFormatting>
        <x14:conditionalFormatting xmlns:xm="http://schemas.microsoft.com/office/excel/2006/main">
          <x14:cfRule type="dataBar" id="{713E67DA-B0F4-45E2-9F89-1D20CAFCB521}">
            <x14:dataBar minLength="0" maxLength="100" border="1" negativeBarBorderColorSameAsPositive="0">
              <x14:cfvo type="autoMin"/>
              <x14:cfvo type="autoMax"/>
              <x14:borderColor rgb="FF63C384"/>
              <x14:negativeFillColor rgb="FFFF0000"/>
              <x14:negativeBorderColor rgb="FFFF0000"/>
              <x14:axisColor rgb="FF000000"/>
            </x14:dataBar>
          </x14:cfRule>
          <xm:sqref>Z668</xm:sqref>
        </x14:conditionalFormatting>
        <x14:conditionalFormatting xmlns:xm="http://schemas.microsoft.com/office/excel/2006/main">
          <x14:cfRule type="dataBar" id="{599723C4-FD61-4717-B8F3-1E557ACAA8CA}">
            <x14:dataBar minLength="0" maxLength="100" border="1" negativeBarBorderColorSameAsPositive="0">
              <x14:cfvo type="autoMin"/>
              <x14:cfvo type="autoMax"/>
              <x14:borderColor rgb="FF63C384"/>
              <x14:negativeFillColor rgb="FFFF0000"/>
              <x14:negativeBorderColor rgb="FFFF0000"/>
              <x14:axisColor rgb="FF000000"/>
            </x14:dataBar>
          </x14:cfRule>
          <xm:sqref>Z668</xm:sqref>
        </x14:conditionalFormatting>
        <x14:conditionalFormatting xmlns:xm="http://schemas.microsoft.com/office/excel/2006/main">
          <x14:cfRule type="dataBar" id="{BCA2235B-06F5-4E2F-A11B-30AF33A589CB}">
            <x14:dataBar minLength="0" maxLength="100" border="1" negativeBarBorderColorSameAsPositive="0">
              <x14:cfvo type="autoMin"/>
              <x14:cfvo type="autoMax"/>
              <x14:borderColor rgb="FF63C384"/>
              <x14:negativeFillColor rgb="FFFF0000"/>
              <x14:negativeBorderColor rgb="FFFF0000"/>
              <x14:axisColor rgb="FF000000"/>
            </x14:dataBar>
          </x14:cfRule>
          <xm:sqref>Z669</xm:sqref>
        </x14:conditionalFormatting>
        <x14:conditionalFormatting xmlns:xm="http://schemas.microsoft.com/office/excel/2006/main">
          <x14:cfRule type="dataBar" id="{770B39CF-B18F-4B7F-AC80-9DDE4C4611F1}">
            <x14:dataBar minLength="0" maxLength="100" border="1" negativeBarBorderColorSameAsPositive="0">
              <x14:cfvo type="autoMin"/>
              <x14:cfvo type="autoMax"/>
              <x14:borderColor rgb="FF63C384"/>
              <x14:negativeFillColor rgb="FFFF0000"/>
              <x14:negativeBorderColor rgb="FFFF0000"/>
              <x14:axisColor rgb="FF000000"/>
            </x14:dataBar>
          </x14:cfRule>
          <xm:sqref>Z669</xm:sqref>
        </x14:conditionalFormatting>
        <x14:conditionalFormatting xmlns:xm="http://schemas.microsoft.com/office/excel/2006/main">
          <x14:cfRule type="dataBar" id="{582D5AFF-6205-4522-8151-F3759295C55D}">
            <x14:dataBar minLength="0" maxLength="100" border="1" negativeBarBorderColorSameAsPositive="0">
              <x14:cfvo type="autoMin"/>
              <x14:cfvo type="autoMax"/>
              <x14:borderColor rgb="FF63C384"/>
              <x14:negativeFillColor rgb="FFFF0000"/>
              <x14:negativeBorderColor rgb="FFFF0000"/>
              <x14:axisColor rgb="FF000000"/>
            </x14:dataBar>
          </x14:cfRule>
          <xm:sqref>Z670</xm:sqref>
        </x14:conditionalFormatting>
        <x14:conditionalFormatting xmlns:xm="http://schemas.microsoft.com/office/excel/2006/main">
          <x14:cfRule type="dataBar" id="{D5EDC331-F584-4728-BE24-2A7A78460254}">
            <x14:dataBar minLength="0" maxLength="100" border="1" negativeBarBorderColorSameAsPositive="0">
              <x14:cfvo type="autoMin"/>
              <x14:cfvo type="autoMax"/>
              <x14:borderColor rgb="FF63C384"/>
              <x14:negativeFillColor rgb="FFFF0000"/>
              <x14:negativeBorderColor rgb="FFFF0000"/>
              <x14:axisColor rgb="FF000000"/>
            </x14:dataBar>
          </x14:cfRule>
          <xm:sqref>Z670</xm:sqref>
        </x14:conditionalFormatting>
        <x14:conditionalFormatting xmlns:xm="http://schemas.microsoft.com/office/excel/2006/main">
          <x14:cfRule type="dataBar" id="{99239DD2-61DC-464C-9A7C-024D7884AF3D}">
            <x14:dataBar minLength="0" maxLength="100" border="1" negativeBarBorderColorSameAsPositive="0">
              <x14:cfvo type="autoMin"/>
              <x14:cfvo type="autoMax"/>
              <x14:borderColor rgb="FF63C384"/>
              <x14:negativeFillColor rgb="FFFF0000"/>
              <x14:negativeBorderColor rgb="FFFF0000"/>
              <x14:axisColor rgb="FF000000"/>
            </x14:dataBar>
          </x14:cfRule>
          <xm:sqref>Z671</xm:sqref>
        </x14:conditionalFormatting>
        <x14:conditionalFormatting xmlns:xm="http://schemas.microsoft.com/office/excel/2006/main">
          <x14:cfRule type="dataBar" id="{B80E044A-96E7-42CF-8224-CB0DFCEB6F74}">
            <x14:dataBar minLength="0" maxLength="100" border="1" negativeBarBorderColorSameAsPositive="0">
              <x14:cfvo type="autoMin"/>
              <x14:cfvo type="autoMax"/>
              <x14:borderColor rgb="FF63C384"/>
              <x14:negativeFillColor rgb="FFFF0000"/>
              <x14:negativeBorderColor rgb="FFFF0000"/>
              <x14:axisColor rgb="FF000000"/>
            </x14:dataBar>
          </x14:cfRule>
          <xm:sqref>Z671</xm:sqref>
        </x14:conditionalFormatting>
        <x14:conditionalFormatting xmlns:xm="http://schemas.microsoft.com/office/excel/2006/main">
          <x14:cfRule type="dataBar" id="{0C8E3DC9-CF52-4899-B7A4-651D9A70F0B3}">
            <x14:dataBar minLength="0" maxLength="100" border="1" negativeBarBorderColorSameAsPositive="0">
              <x14:cfvo type="autoMin"/>
              <x14:cfvo type="autoMax"/>
              <x14:borderColor rgb="FF63C384"/>
              <x14:negativeFillColor rgb="FFFF0000"/>
              <x14:negativeBorderColor rgb="FFFF0000"/>
              <x14:axisColor rgb="FF000000"/>
            </x14:dataBar>
          </x14:cfRule>
          <xm:sqref>Z672</xm:sqref>
        </x14:conditionalFormatting>
        <x14:conditionalFormatting xmlns:xm="http://schemas.microsoft.com/office/excel/2006/main">
          <x14:cfRule type="dataBar" id="{4BDF6141-21AF-482D-93B8-02210B8D27AF}">
            <x14:dataBar minLength="0" maxLength="100" border="1" negativeBarBorderColorSameAsPositive="0">
              <x14:cfvo type="autoMin"/>
              <x14:cfvo type="autoMax"/>
              <x14:borderColor rgb="FF63C384"/>
              <x14:negativeFillColor rgb="FFFF0000"/>
              <x14:negativeBorderColor rgb="FFFF0000"/>
              <x14:axisColor rgb="FF000000"/>
            </x14:dataBar>
          </x14:cfRule>
          <xm:sqref>Z672</xm:sqref>
        </x14:conditionalFormatting>
        <x14:conditionalFormatting xmlns:xm="http://schemas.microsoft.com/office/excel/2006/main">
          <x14:cfRule type="dataBar" id="{631EA222-73EB-4BB6-8ED9-975DBEA4503F}">
            <x14:dataBar minLength="0" maxLength="100" border="1" negativeBarBorderColorSameAsPositive="0">
              <x14:cfvo type="autoMin"/>
              <x14:cfvo type="autoMax"/>
              <x14:borderColor rgb="FF63C384"/>
              <x14:negativeFillColor rgb="FFFF0000"/>
              <x14:negativeBorderColor rgb="FFFF0000"/>
              <x14:axisColor rgb="FF000000"/>
            </x14:dataBar>
          </x14:cfRule>
          <xm:sqref>Z673</xm:sqref>
        </x14:conditionalFormatting>
        <x14:conditionalFormatting xmlns:xm="http://schemas.microsoft.com/office/excel/2006/main">
          <x14:cfRule type="dataBar" id="{0D2C79F4-0AFC-4959-B4F8-6180BE55AD8A}">
            <x14:dataBar minLength="0" maxLength="100" border="1" negativeBarBorderColorSameAsPositive="0">
              <x14:cfvo type="autoMin"/>
              <x14:cfvo type="autoMax"/>
              <x14:borderColor rgb="FF63C384"/>
              <x14:negativeFillColor rgb="FFFF0000"/>
              <x14:negativeBorderColor rgb="FFFF0000"/>
              <x14:axisColor rgb="FF000000"/>
            </x14:dataBar>
          </x14:cfRule>
          <xm:sqref>Z673</xm:sqref>
        </x14:conditionalFormatting>
        <x14:conditionalFormatting xmlns:xm="http://schemas.microsoft.com/office/excel/2006/main">
          <x14:cfRule type="dataBar" id="{41CD139A-9E3F-4155-96D6-C890F6A1AE1F}">
            <x14:dataBar minLength="0" maxLength="100" border="1" negativeBarBorderColorSameAsPositive="0">
              <x14:cfvo type="autoMin"/>
              <x14:cfvo type="autoMax"/>
              <x14:borderColor rgb="FF63C384"/>
              <x14:negativeFillColor rgb="FFFF0000"/>
              <x14:negativeBorderColor rgb="FFFF0000"/>
              <x14:axisColor rgb="FF000000"/>
            </x14:dataBar>
          </x14:cfRule>
          <xm:sqref>Z674</xm:sqref>
        </x14:conditionalFormatting>
        <x14:conditionalFormatting xmlns:xm="http://schemas.microsoft.com/office/excel/2006/main">
          <x14:cfRule type="dataBar" id="{160ADF10-5FBA-45D4-80BB-4DC6B859FEB8}">
            <x14:dataBar minLength="0" maxLength="100" border="1" negativeBarBorderColorSameAsPositive="0">
              <x14:cfvo type="autoMin"/>
              <x14:cfvo type="autoMax"/>
              <x14:borderColor rgb="FF63C384"/>
              <x14:negativeFillColor rgb="FFFF0000"/>
              <x14:negativeBorderColor rgb="FFFF0000"/>
              <x14:axisColor rgb="FF000000"/>
            </x14:dataBar>
          </x14:cfRule>
          <xm:sqref>Z674</xm:sqref>
        </x14:conditionalFormatting>
        <x14:conditionalFormatting xmlns:xm="http://schemas.microsoft.com/office/excel/2006/main">
          <x14:cfRule type="dataBar" id="{48451854-0E15-445A-B863-DA756800589C}">
            <x14:dataBar minLength="0" maxLength="100" border="1" negativeBarBorderColorSameAsPositive="0">
              <x14:cfvo type="autoMin"/>
              <x14:cfvo type="autoMax"/>
              <x14:borderColor rgb="FF63C384"/>
              <x14:negativeFillColor rgb="FFFF0000"/>
              <x14:negativeBorderColor rgb="FFFF0000"/>
              <x14:axisColor rgb="FF000000"/>
            </x14:dataBar>
          </x14:cfRule>
          <xm:sqref>Z674</xm:sqref>
        </x14:conditionalFormatting>
        <x14:conditionalFormatting xmlns:xm="http://schemas.microsoft.com/office/excel/2006/main">
          <x14:cfRule type="dataBar" id="{9F428587-7162-4AC3-BBC2-E551B9526CE5}">
            <x14:dataBar minLength="0" maxLength="100" border="1" negativeBarBorderColorSameAsPositive="0">
              <x14:cfvo type="autoMin"/>
              <x14:cfvo type="autoMax"/>
              <x14:borderColor rgb="FF63C384"/>
              <x14:negativeFillColor rgb="FFFF0000"/>
              <x14:negativeBorderColor rgb="FFFF0000"/>
              <x14:axisColor rgb="FF000000"/>
            </x14:dataBar>
          </x14:cfRule>
          <xm:sqref>Z674</xm:sqref>
        </x14:conditionalFormatting>
        <x14:conditionalFormatting xmlns:xm="http://schemas.microsoft.com/office/excel/2006/main">
          <x14:cfRule type="dataBar" id="{B3030058-4CB5-42F8-B08F-BFDEC249F85A}">
            <x14:dataBar minLength="0" maxLength="100" border="1" negativeBarBorderColorSameAsPositive="0">
              <x14:cfvo type="autoMin"/>
              <x14:cfvo type="autoMax"/>
              <x14:borderColor rgb="FF63C384"/>
              <x14:negativeFillColor rgb="FFFF0000"/>
              <x14:negativeBorderColor rgb="FFFF0000"/>
              <x14:axisColor rgb="FF000000"/>
            </x14:dataBar>
          </x14:cfRule>
          <xm:sqref>Z674</xm:sqref>
        </x14:conditionalFormatting>
        <x14:conditionalFormatting xmlns:xm="http://schemas.microsoft.com/office/excel/2006/main">
          <x14:cfRule type="dataBar" id="{F14BB69B-37C6-43F9-B7CE-065BB2AF4686}">
            <x14:dataBar minLength="0" maxLength="100" border="1" negativeBarBorderColorSameAsPositive="0">
              <x14:cfvo type="autoMin"/>
              <x14:cfvo type="autoMax"/>
              <x14:borderColor rgb="FF63C384"/>
              <x14:negativeFillColor rgb="FFFF0000"/>
              <x14:negativeBorderColor rgb="FFFF0000"/>
              <x14:axisColor rgb="FF000000"/>
            </x14:dataBar>
          </x14:cfRule>
          <xm:sqref>Z674</xm:sqref>
        </x14:conditionalFormatting>
        <x14:conditionalFormatting xmlns:xm="http://schemas.microsoft.com/office/excel/2006/main">
          <x14:cfRule type="dataBar" id="{B6DDB214-B46D-4CDC-A842-9782EF4F0D4C}">
            <x14:dataBar minLength="0" maxLength="100" border="1" negativeBarBorderColorSameAsPositive="0">
              <x14:cfvo type="autoMin"/>
              <x14:cfvo type="autoMax"/>
              <x14:borderColor rgb="FF63C384"/>
              <x14:negativeFillColor rgb="FFFF0000"/>
              <x14:negativeBorderColor rgb="FFFF0000"/>
              <x14:axisColor rgb="FF000000"/>
            </x14:dataBar>
          </x14:cfRule>
          <xm:sqref>Z674</xm:sqref>
        </x14:conditionalFormatting>
        <x14:conditionalFormatting xmlns:xm="http://schemas.microsoft.com/office/excel/2006/main">
          <x14:cfRule type="dataBar" id="{71D548C7-5279-4B0C-AA94-BBFAB9197E58}">
            <x14:dataBar minLength="0" maxLength="100" border="1" negativeBarBorderColorSameAsPositive="0">
              <x14:cfvo type="autoMin"/>
              <x14:cfvo type="autoMax"/>
              <x14:borderColor rgb="FF63C384"/>
              <x14:negativeFillColor rgb="FFFF0000"/>
              <x14:negativeBorderColor rgb="FFFF0000"/>
              <x14:axisColor rgb="FF000000"/>
            </x14:dataBar>
          </x14:cfRule>
          <xm:sqref>Z674</xm:sqref>
        </x14:conditionalFormatting>
        <x14:conditionalFormatting xmlns:xm="http://schemas.microsoft.com/office/excel/2006/main">
          <x14:cfRule type="dataBar" id="{107394ED-7F3B-45C8-B698-22B084FF915B}">
            <x14:dataBar minLength="0" maxLength="100" border="1" negativeBarBorderColorSameAsPositive="0">
              <x14:cfvo type="autoMin"/>
              <x14:cfvo type="autoMax"/>
              <x14:borderColor rgb="FF63C384"/>
              <x14:negativeFillColor rgb="FFFF0000"/>
              <x14:negativeBorderColor rgb="FFFF0000"/>
              <x14:axisColor rgb="FF000000"/>
            </x14:dataBar>
          </x14:cfRule>
          <xm:sqref>Z675</xm:sqref>
        </x14:conditionalFormatting>
        <x14:conditionalFormatting xmlns:xm="http://schemas.microsoft.com/office/excel/2006/main">
          <x14:cfRule type="dataBar" id="{96B2E543-345C-40A1-BD35-FFED1DEE2892}">
            <x14:dataBar minLength="0" maxLength="100" border="1" negativeBarBorderColorSameAsPositive="0">
              <x14:cfvo type="autoMin"/>
              <x14:cfvo type="autoMax"/>
              <x14:borderColor rgb="FF63C384"/>
              <x14:negativeFillColor rgb="FFFF0000"/>
              <x14:negativeBorderColor rgb="FFFF0000"/>
              <x14:axisColor rgb="FF000000"/>
            </x14:dataBar>
          </x14:cfRule>
          <xm:sqref>Z675</xm:sqref>
        </x14:conditionalFormatting>
        <x14:conditionalFormatting xmlns:xm="http://schemas.microsoft.com/office/excel/2006/main">
          <x14:cfRule type="dataBar" id="{8A6697CE-E932-4F3A-8915-FEA1C915B935}">
            <x14:dataBar minLength="0" maxLength="100" border="1" negativeBarBorderColorSameAsPositive="0">
              <x14:cfvo type="autoMin"/>
              <x14:cfvo type="autoMax"/>
              <x14:borderColor rgb="FF63C384"/>
              <x14:negativeFillColor rgb="FFFF0000"/>
              <x14:negativeBorderColor rgb="FFFF0000"/>
              <x14:axisColor rgb="FF000000"/>
            </x14:dataBar>
          </x14:cfRule>
          <xm:sqref>Z676</xm:sqref>
        </x14:conditionalFormatting>
        <x14:conditionalFormatting xmlns:xm="http://schemas.microsoft.com/office/excel/2006/main">
          <x14:cfRule type="dataBar" id="{A9C234E3-03D9-4BF3-A69D-4EF8BA43176C}">
            <x14:dataBar minLength="0" maxLength="100" border="1" negativeBarBorderColorSameAsPositive="0">
              <x14:cfvo type="autoMin"/>
              <x14:cfvo type="autoMax"/>
              <x14:borderColor rgb="FF63C384"/>
              <x14:negativeFillColor rgb="FFFF0000"/>
              <x14:negativeBorderColor rgb="FFFF0000"/>
              <x14:axisColor rgb="FF000000"/>
            </x14:dataBar>
          </x14:cfRule>
          <xm:sqref>Z676</xm:sqref>
        </x14:conditionalFormatting>
        <x14:conditionalFormatting xmlns:xm="http://schemas.microsoft.com/office/excel/2006/main">
          <x14:cfRule type="dataBar" id="{8B676FD3-13C7-4BCC-986E-0CC8BB310F49}">
            <x14:dataBar minLength="0" maxLength="100" border="1" negativeBarBorderColorSameAsPositive="0">
              <x14:cfvo type="autoMin"/>
              <x14:cfvo type="autoMax"/>
              <x14:borderColor rgb="FF63C384"/>
              <x14:negativeFillColor rgb="FFFF0000"/>
              <x14:negativeBorderColor rgb="FFFF0000"/>
              <x14:axisColor rgb="FF000000"/>
            </x14:dataBar>
          </x14:cfRule>
          <xm:sqref>Z677</xm:sqref>
        </x14:conditionalFormatting>
        <x14:conditionalFormatting xmlns:xm="http://schemas.microsoft.com/office/excel/2006/main">
          <x14:cfRule type="dataBar" id="{069230A6-1821-46BE-BBB5-3070132A8FCA}">
            <x14:dataBar minLength="0" maxLength="100" border="1" negativeBarBorderColorSameAsPositive="0">
              <x14:cfvo type="autoMin"/>
              <x14:cfvo type="autoMax"/>
              <x14:borderColor rgb="FF63C384"/>
              <x14:negativeFillColor rgb="FFFF0000"/>
              <x14:negativeBorderColor rgb="FFFF0000"/>
              <x14:axisColor rgb="FF000000"/>
            </x14:dataBar>
          </x14:cfRule>
          <xm:sqref>Z677</xm:sqref>
        </x14:conditionalFormatting>
        <x14:conditionalFormatting xmlns:xm="http://schemas.microsoft.com/office/excel/2006/main">
          <x14:cfRule type="dataBar" id="{04B52CCA-E06D-4ECB-836F-72AA09EF3351}">
            <x14:dataBar minLength="0" maxLength="100" border="1" negativeBarBorderColorSameAsPositive="0">
              <x14:cfvo type="autoMin"/>
              <x14:cfvo type="autoMax"/>
              <x14:borderColor rgb="FF63C384"/>
              <x14:negativeFillColor rgb="FFFF0000"/>
              <x14:negativeBorderColor rgb="FFFF0000"/>
              <x14:axisColor rgb="FF000000"/>
            </x14:dataBar>
          </x14:cfRule>
          <xm:sqref>Z678</xm:sqref>
        </x14:conditionalFormatting>
        <x14:conditionalFormatting xmlns:xm="http://schemas.microsoft.com/office/excel/2006/main">
          <x14:cfRule type="dataBar" id="{6DFB1878-1D34-45F4-B93B-1A67C42B24C6}">
            <x14:dataBar minLength="0" maxLength="100" border="1" negativeBarBorderColorSameAsPositive="0">
              <x14:cfvo type="autoMin"/>
              <x14:cfvo type="autoMax"/>
              <x14:borderColor rgb="FF63C384"/>
              <x14:negativeFillColor rgb="FFFF0000"/>
              <x14:negativeBorderColor rgb="FFFF0000"/>
              <x14:axisColor rgb="FF000000"/>
            </x14:dataBar>
          </x14:cfRule>
          <xm:sqref>Z678</xm:sqref>
        </x14:conditionalFormatting>
        <x14:conditionalFormatting xmlns:xm="http://schemas.microsoft.com/office/excel/2006/main">
          <x14:cfRule type="dataBar" id="{C016566A-81C5-4B47-99F3-C325DC72D571}">
            <x14:dataBar minLength="0" maxLength="100" border="1" negativeBarBorderColorSameAsPositive="0">
              <x14:cfvo type="autoMin"/>
              <x14:cfvo type="autoMax"/>
              <x14:borderColor rgb="FF63C384"/>
              <x14:negativeFillColor rgb="FFFF0000"/>
              <x14:negativeBorderColor rgb="FFFF0000"/>
              <x14:axisColor rgb="FF000000"/>
            </x14:dataBar>
          </x14:cfRule>
          <xm:sqref>Z679</xm:sqref>
        </x14:conditionalFormatting>
        <x14:conditionalFormatting xmlns:xm="http://schemas.microsoft.com/office/excel/2006/main">
          <x14:cfRule type="dataBar" id="{CA1B7767-5B8A-4176-B031-B17D1EF88FB6}">
            <x14:dataBar minLength="0" maxLength="100" border="1" negativeBarBorderColorSameAsPositive="0">
              <x14:cfvo type="autoMin"/>
              <x14:cfvo type="autoMax"/>
              <x14:borderColor rgb="FF63C384"/>
              <x14:negativeFillColor rgb="FFFF0000"/>
              <x14:negativeBorderColor rgb="FFFF0000"/>
              <x14:axisColor rgb="FF000000"/>
            </x14:dataBar>
          </x14:cfRule>
          <xm:sqref>Z679</xm:sqref>
        </x14:conditionalFormatting>
        <x14:conditionalFormatting xmlns:xm="http://schemas.microsoft.com/office/excel/2006/main">
          <x14:cfRule type="dataBar" id="{0AFFDE62-032F-4C7E-97D2-B0F95AABB4CE}">
            <x14:dataBar minLength="0" maxLength="100" border="1" negativeBarBorderColorSameAsPositive="0">
              <x14:cfvo type="autoMin"/>
              <x14:cfvo type="autoMax"/>
              <x14:borderColor rgb="FF63C384"/>
              <x14:negativeFillColor rgb="FFFF0000"/>
              <x14:negativeBorderColor rgb="FFFF0000"/>
              <x14:axisColor rgb="FF000000"/>
            </x14:dataBar>
          </x14:cfRule>
          <xm:sqref>Z679</xm:sqref>
        </x14:conditionalFormatting>
        <x14:conditionalFormatting xmlns:xm="http://schemas.microsoft.com/office/excel/2006/main">
          <x14:cfRule type="dataBar" id="{0EC474F7-5E41-4E97-AB38-987FA26E5116}">
            <x14:dataBar minLength="0" maxLength="100" border="1" negativeBarBorderColorSameAsPositive="0">
              <x14:cfvo type="autoMin"/>
              <x14:cfvo type="autoMax"/>
              <x14:borderColor rgb="FF63C384"/>
              <x14:negativeFillColor rgb="FFFF0000"/>
              <x14:negativeBorderColor rgb="FFFF0000"/>
              <x14:axisColor rgb="FF000000"/>
            </x14:dataBar>
          </x14:cfRule>
          <xm:sqref>Z679</xm:sqref>
        </x14:conditionalFormatting>
        <x14:conditionalFormatting xmlns:xm="http://schemas.microsoft.com/office/excel/2006/main">
          <x14:cfRule type="dataBar" id="{A3A4F96E-95A9-4E32-932D-4693A73ABD18}">
            <x14:dataBar minLength="0" maxLength="100" border="1" negativeBarBorderColorSameAsPositive="0">
              <x14:cfvo type="autoMin"/>
              <x14:cfvo type="autoMax"/>
              <x14:borderColor rgb="FF63C384"/>
              <x14:negativeFillColor rgb="FFFF0000"/>
              <x14:negativeBorderColor rgb="FFFF0000"/>
              <x14:axisColor rgb="FF000000"/>
            </x14:dataBar>
          </x14:cfRule>
          <xm:sqref>Z679</xm:sqref>
        </x14:conditionalFormatting>
        <x14:conditionalFormatting xmlns:xm="http://schemas.microsoft.com/office/excel/2006/main">
          <x14:cfRule type="dataBar" id="{78D9197E-FE0D-496C-B0FD-64BCA43C57FD}">
            <x14:dataBar minLength="0" maxLength="100" border="1" negativeBarBorderColorSameAsPositive="0">
              <x14:cfvo type="autoMin"/>
              <x14:cfvo type="autoMax"/>
              <x14:borderColor rgb="FF63C384"/>
              <x14:negativeFillColor rgb="FFFF0000"/>
              <x14:negativeBorderColor rgb="FFFF0000"/>
              <x14:axisColor rgb="FF000000"/>
            </x14:dataBar>
          </x14:cfRule>
          <xm:sqref>Z679</xm:sqref>
        </x14:conditionalFormatting>
        <x14:conditionalFormatting xmlns:xm="http://schemas.microsoft.com/office/excel/2006/main">
          <x14:cfRule type="dataBar" id="{60184D2B-4785-425C-8B30-23797ACE8DA9}">
            <x14:dataBar minLength="0" maxLength="100" border="1" negativeBarBorderColorSameAsPositive="0">
              <x14:cfvo type="autoMin"/>
              <x14:cfvo type="autoMax"/>
              <x14:borderColor rgb="FF63C384"/>
              <x14:negativeFillColor rgb="FFFF0000"/>
              <x14:negativeBorderColor rgb="FFFF0000"/>
              <x14:axisColor rgb="FF000000"/>
            </x14:dataBar>
          </x14:cfRule>
          <xm:sqref>Z679</xm:sqref>
        </x14:conditionalFormatting>
        <x14:conditionalFormatting xmlns:xm="http://schemas.microsoft.com/office/excel/2006/main">
          <x14:cfRule type="dataBar" id="{09128AB2-D95F-40F8-B006-7FB1E74C0523}">
            <x14:dataBar minLength="0" maxLength="100" border="1" negativeBarBorderColorSameAsPositive="0">
              <x14:cfvo type="autoMin"/>
              <x14:cfvo type="autoMax"/>
              <x14:borderColor rgb="FF63C384"/>
              <x14:negativeFillColor rgb="FFFF0000"/>
              <x14:negativeBorderColor rgb="FFFF0000"/>
              <x14:axisColor rgb="FF000000"/>
            </x14:dataBar>
          </x14:cfRule>
          <xm:sqref>Z679</xm:sqref>
        </x14:conditionalFormatting>
        <x14:conditionalFormatting xmlns:xm="http://schemas.microsoft.com/office/excel/2006/main">
          <x14:cfRule type="dataBar" id="{A44A4216-1745-4330-9456-45803BAF9371}">
            <x14:dataBar minLength="0" maxLength="100" border="1" negativeBarBorderColorSameAsPositive="0">
              <x14:cfvo type="autoMin"/>
              <x14:cfvo type="autoMax"/>
              <x14:borderColor rgb="FF63C384"/>
              <x14:negativeFillColor rgb="FFFF0000"/>
              <x14:negativeBorderColor rgb="FFFF0000"/>
              <x14:axisColor rgb="FF000000"/>
            </x14:dataBar>
          </x14:cfRule>
          <xm:sqref>Z680</xm:sqref>
        </x14:conditionalFormatting>
        <x14:conditionalFormatting xmlns:xm="http://schemas.microsoft.com/office/excel/2006/main">
          <x14:cfRule type="dataBar" id="{2B5C69CA-2489-4FE1-95B4-F115E7CE09E7}">
            <x14:dataBar minLength="0" maxLength="100" border="1" negativeBarBorderColorSameAsPositive="0">
              <x14:cfvo type="autoMin"/>
              <x14:cfvo type="autoMax"/>
              <x14:borderColor rgb="FF63C384"/>
              <x14:negativeFillColor rgb="FFFF0000"/>
              <x14:negativeBorderColor rgb="FFFF0000"/>
              <x14:axisColor rgb="FF000000"/>
            </x14:dataBar>
          </x14:cfRule>
          <xm:sqref>Z680</xm:sqref>
        </x14:conditionalFormatting>
        <x14:conditionalFormatting xmlns:xm="http://schemas.microsoft.com/office/excel/2006/main">
          <x14:cfRule type="dataBar" id="{63DB0569-C70A-49C5-9631-D9B9C396DE87}">
            <x14:dataBar minLength="0" maxLength="100" border="1" negativeBarBorderColorSameAsPositive="0">
              <x14:cfvo type="autoMin"/>
              <x14:cfvo type="autoMax"/>
              <x14:borderColor rgb="FF63C384"/>
              <x14:negativeFillColor rgb="FFFF0000"/>
              <x14:negativeBorderColor rgb="FFFF0000"/>
              <x14:axisColor rgb="FF000000"/>
            </x14:dataBar>
          </x14:cfRule>
          <xm:sqref>Z681</xm:sqref>
        </x14:conditionalFormatting>
        <x14:conditionalFormatting xmlns:xm="http://schemas.microsoft.com/office/excel/2006/main">
          <x14:cfRule type="dataBar" id="{82024255-D9FB-444C-A722-7CF6AE554FE1}">
            <x14:dataBar minLength="0" maxLength="100" border="1" negativeBarBorderColorSameAsPositive="0">
              <x14:cfvo type="autoMin"/>
              <x14:cfvo type="autoMax"/>
              <x14:borderColor rgb="FF63C384"/>
              <x14:negativeFillColor rgb="FFFF0000"/>
              <x14:negativeBorderColor rgb="FFFF0000"/>
              <x14:axisColor rgb="FF000000"/>
            </x14:dataBar>
          </x14:cfRule>
          <xm:sqref>Z681</xm:sqref>
        </x14:conditionalFormatting>
        <x14:conditionalFormatting xmlns:xm="http://schemas.microsoft.com/office/excel/2006/main">
          <x14:cfRule type="dataBar" id="{33606D0D-B34D-4652-A9E2-0FDABB450D6A}">
            <x14:dataBar minLength="0" maxLength="100" border="1" negativeBarBorderColorSameAsPositive="0">
              <x14:cfvo type="autoMin"/>
              <x14:cfvo type="autoMax"/>
              <x14:borderColor rgb="FF63C384"/>
              <x14:negativeFillColor rgb="FFFF0000"/>
              <x14:negativeBorderColor rgb="FFFF0000"/>
              <x14:axisColor rgb="FF000000"/>
            </x14:dataBar>
          </x14:cfRule>
          <xm:sqref>Z681</xm:sqref>
        </x14:conditionalFormatting>
        <x14:conditionalFormatting xmlns:xm="http://schemas.microsoft.com/office/excel/2006/main">
          <x14:cfRule type="dataBar" id="{6147E168-1012-4C79-BF8A-4EE89A6F2808}">
            <x14:dataBar minLength="0" maxLength="100" border="1" negativeBarBorderColorSameAsPositive="0">
              <x14:cfvo type="autoMin"/>
              <x14:cfvo type="autoMax"/>
              <x14:borderColor rgb="FF63C384"/>
              <x14:negativeFillColor rgb="FFFF0000"/>
              <x14:negativeBorderColor rgb="FFFF0000"/>
              <x14:axisColor rgb="FF000000"/>
            </x14:dataBar>
          </x14:cfRule>
          <xm:sqref>Z681</xm:sqref>
        </x14:conditionalFormatting>
        <x14:conditionalFormatting xmlns:xm="http://schemas.microsoft.com/office/excel/2006/main">
          <x14:cfRule type="dataBar" id="{8F2A1DDF-5DCD-41A7-B5FE-FEC49ED0DBC9}">
            <x14:dataBar minLength="0" maxLength="100" border="1" negativeBarBorderColorSameAsPositive="0">
              <x14:cfvo type="autoMin"/>
              <x14:cfvo type="autoMax"/>
              <x14:borderColor rgb="FF63C384"/>
              <x14:negativeFillColor rgb="FFFF0000"/>
              <x14:negativeBorderColor rgb="FFFF0000"/>
              <x14:axisColor rgb="FF000000"/>
            </x14:dataBar>
          </x14:cfRule>
          <xm:sqref>Z682</xm:sqref>
        </x14:conditionalFormatting>
        <x14:conditionalFormatting xmlns:xm="http://schemas.microsoft.com/office/excel/2006/main">
          <x14:cfRule type="dataBar" id="{2F1A3E5E-2F29-4C9F-B944-8F63326D336A}">
            <x14:dataBar minLength="0" maxLength="100" border="1" negativeBarBorderColorSameAsPositive="0">
              <x14:cfvo type="autoMin"/>
              <x14:cfvo type="autoMax"/>
              <x14:borderColor rgb="FF63C384"/>
              <x14:negativeFillColor rgb="FFFF0000"/>
              <x14:negativeBorderColor rgb="FFFF0000"/>
              <x14:axisColor rgb="FF000000"/>
            </x14:dataBar>
          </x14:cfRule>
          <xm:sqref>Z682</xm:sqref>
        </x14:conditionalFormatting>
        <x14:conditionalFormatting xmlns:xm="http://schemas.microsoft.com/office/excel/2006/main">
          <x14:cfRule type="dataBar" id="{AA5B0977-9B75-4D46-BD70-714A237595D6}">
            <x14:dataBar minLength="0" maxLength="100" border="1" negativeBarBorderColorSameAsPositive="0">
              <x14:cfvo type="autoMin"/>
              <x14:cfvo type="autoMax"/>
              <x14:borderColor rgb="FF63C384"/>
              <x14:negativeFillColor rgb="FFFF0000"/>
              <x14:negativeBorderColor rgb="FFFF0000"/>
              <x14:axisColor rgb="FF000000"/>
            </x14:dataBar>
          </x14:cfRule>
          <xm:sqref>Z682</xm:sqref>
        </x14:conditionalFormatting>
        <x14:conditionalFormatting xmlns:xm="http://schemas.microsoft.com/office/excel/2006/main">
          <x14:cfRule type="dataBar" id="{39AAA755-71DE-4B0A-AECA-6EC90FCD9BDC}">
            <x14:dataBar minLength="0" maxLength="100" border="1" negativeBarBorderColorSameAsPositive="0">
              <x14:cfvo type="autoMin"/>
              <x14:cfvo type="autoMax"/>
              <x14:borderColor rgb="FF63C384"/>
              <x14:negativeFillColor rgb="FFFF0000"/>
              <x14:negativeBorderColor rgb="FFFF0000"/>
              <x14:axisColor rgb="FF000000"/>
            </x14:dataBar>
          </x14:cfRule>
          <xm:sqref>Z682</xm:sqref>
        </x14:conditionalFormatting>
        <x14:conditionalFormatting xmlns:xm="http://schemas.microsoft.com/office/excel/2006/main">
          <x14:cfRule type="dataBar" id="{7D1C67A1-D2E4-4ED6-BD9D-112FCD9D621F}">
            <x14:dataBar minLength="0" maxLength="100" border="1" negativeBarBorderColorSameAsPositive="0">
              <x14:cfvo type="autoMin"/>
              <x14:cfvo type="autoMax"/>
              <x14:borderColor rgb="FF63C384"/>
              <x14:negativeFillColor rgb="FFFF0000"/>
              <x14:negativeBorderColor rgb="FFFF0000"/>
              <x14:axisColor rgb="FF000000"/>
            </x14:dataBar>
          </x14:cfRule>
          <xm:sqref>Z683</xm:sqref>
        </x14:conditionalFormatting>
        <x14:conditionalFormatting xmlns:xm="http://schemas.microsoft.com/office/excel/2006/main">
          <x14:cfRule type="dataBar" id="{CA14CB3F-B669-4A79-AF5D-357FCBE3A186}">
            <x14:dataBar minLength="0" maxLength="100" border="1" negativeBarBorderColorSameAsPositive="0">
              <x14:cfvo type="autoMin"/>
              <x14:cfvo type="autoMax"/>
              <x14:borderColor rgb="FF63C384"/>
              <x14:negativeFillColor rgb="FFFF0000"/>
              <x14:negativeBorderColor rgb="FFFF0000"/>
              <x14:axisColor rgb="FF000000"/>
            </x14:dataBar>
          </x14:cfRule>
          <xm:sqref>Z683</xm:sqref>
        </x14:conditionalFormatting>
        <x14:conditionalFormatting xmlns:xm="http://schemas.microsoft.com/office/excel/2006/main">
          <x14:cfRule type="dataBar" id="{9685578E-B955-4AD2-B59E-3F38B7780424}">
            <x14:dataBar minLength="0" maxLength="100" border="1" negativeBarBorderColorSameAsPositive="0">
              <x14:cfvo type="autoMin"/>
              <x14:cfvo type="autoMax"/>
              <x14:borderColor rgb="FF63C384"/>
              <x14:negativeFillColor rgb="FFFF0000"/>
              <x14:negativeBorderColor rgb="FFFF0000"/>
              <x14:axisColor rgb="FF000000"/>
            </x14:dataBar>
          </x14:cfRule>
          <xm:sqref>Z684</xm:sqref>
        </x14:conditionalFormatting>
        <x14:conditionalFormatting xmlns:xm="http://schemas.microsoft.com/office/excel/2006/main">
          <x14:cfRule type="dataBar" id="{AABA2AEA-80E2-41A2-8CEA-D79CB73B167F}">
            <x14:dataBar minLength="0" maxLength="100" border="1" negativeBarBorderColorSameAsPositive="0">
              <x14:cfvo type="autoMin"/>
              <x14:cfvo type="autoMax"/>
              <x14:borderColor rgb="FF63C384"/>
              <x14:negativeFillColor rgb="FFFF0000"/>
              <x14:negativeBorderColor rgb="FFFF0000"/>
              <x14:axisColor rgb="FF000000"/>
            </x14:dataBar>
          </x14:cfRule>
          <xm:sqref>Z684</xm:sqref>
        </x14:conditionalFormatting>
        <x14:conditionalFormatting xmlns:xm="http://schemas.microsoft.com/office/excel/2006/main">
          <x14:cfRule type="dataBar" id="{8E60E772-52AA-4CCC-9F05-62536D29BBD2}">
            <x14:dataBar minLength="0" maxLength="100" border="1" negativeBarBorderColorSameAsPositive="0">
              <x14:cfvo type="autoMin"/>
              <x14:cfvo type="autoMax"/>
              <x14:borderColor rgb="FF63C384"/>
              <x14:negativeFillColor rgb="FFFF0000"/>
              <x14:negativeBorderColor rgb="FFFF0000"/>
              <x14:axisColor rgb="FF000000"/>
            </x14:dataBar>
          </x14:cfRule>
          <xm:sqref>Z685</xm:sqref>
        </x14:conditionalFormatting>
        <x14:conditionalFormatting xmlns:xm="http://schemas.microsoft.com/office/excel/2006/main">
          <x14:cfRule type="dataBar" id="{2906F442-0788-48A2-B781-BD69171C84F4}">
            <x14:dataBar minLength="0" maxLength="100" border="1" negativeBarBorderColorSameAsPositive="0">
              <x14:cfvo type="autoMin"/>
              <x14:cfvo type="autoMax"/>
              <x14:borderColor rgb="FF63C384"/>
              <x14:negativeFillColor rgb="FFFF0000"/>
              <x14:negativeBorderColor rgb="FFFF0000"/>
              <x14:axisColor rgb="FF000000"/>
            </x14:dataBar>
          </x14:cfRule>
          <xm:sqref>Z685</xm:sqref>
        </x14:conditionalFormatting>
        <x14:conditionalFormatting xmlns:xm="http://schemas.microsoft.com/office/excel/2006/main">
          <x14:cfRule type="dataBar" id="{011C5422-5833-468F-8A71-6A9FE224688E}">
            <x14:dataBar minLength="0" maxLength="100" border="1" negativeBarBorderColorSameAsPositive="0">
              <x14:cfvo type="autoMin"/>
              <x14:cfvo type="autoMax"/>
              <x14:borderColor rgb="FF63C384"/>
              <x14:negativeFillColor rgb="FFFF0000"/>
              <x14:negativeBorderColor rgb="FFFF0000"/>
              <x14:axisColor rgb="FF000000"/>
            </x14:dataBar>
          </x14:cfRule>
          <xm:sqref>Z686</xm:sqref>
        </x14:conditionalFormatting>
        <x14:conditionalFormatting xmlns:xm="http://schemas.microsoft.com/office/excel/2006/main">
          <x14:cfRule type="dataBar" id="{07F51ABE-8A7F-4B79-8709-E29C61973FEE}">
            <x14:dataBar minLength="0" maxLength="100" border="1" negativeBarBorderColorSameAsPositive="0">
              <x14:cfvo type="autoMin"/>
              <x14:cfvo type="autoMax"/>
              <x14:borderColor rgb="FF63C384"/>
              <x14:negativeFillColor rgb="FFFF0000"/>
              <x14:negativeBorderColor rgb="FFFF0000"/>
              <x14:axisColor rgb="FF000000"/>
            </x14:dataBar>
          </x14:cfRule>
          <xm:sqref>Z686</xm:sqref>
        </x14:conditionalFormatting>
        <x14:conditionalFormatting xmlns:xm="http://schemas.microsoft.com/office/excel/2006/main">
          <x14:cfRule type="dataBar" id="{4AE24ED1-94FD-4C9A-A6BA-F2D387A4C58D}">
            <x14:dataBar minLength="0" maxLength="100" border="1" negativeBarBorderColorSameAsPositive="0">
              <x14:cfvo type="autoMin"/>
              <x14:cfvo type="autoMax"/>
              <x14:borderColor rgb="FF63C384"/>
              <x14:negativeFillColor rgb="FFFF0000"/>
              <x14:negativeBorderColor rgb="FFFF0000"/>
              <x14:axisColor rgb="FF000000"/>
            </x14:dataBar>
          </x14:cfRule>
          <xm:sqref>Z687</xm:sqref>
        </x14:conditionalFormatting>
        <x14:conditionalFormatting xmlns:xm="http://schemas.microsoft.com/office/excel/2006/main">
          <x14:cfRule type="dataBar" id="{79CADB65-B1CD-4E5A-9E72-E92AC1A9C7D1}">
            <x14:dataBar minLength="0" maxLength="100" border="1" negativeBarBorderColorSameAsPositive="0">
              <x14:cfvo type="autoMin"/>
              <x14:cfvo type="autoMax"/>
              <x14:borderColor rgb="FF63C384"/>
              <x14:negativeFillColor rgb="FFFF0000"/>
              <x14:negativeBorderColor rgb="FFFF0000"/>
              <x14:axisColor rgb="FF000000"/>
            </x14:dataBar>
          </x14:cfRule>
          <xm:sqref>Z687</xm:sqref>
        </x14:conditionalFormatting>
        <x14:conditionalFormatting xmlns:xm="http://schemas.microsoft.com/office/excel/2006/main">
          <x14:cfRule type="dataBar" id="{0EAD1A2F-DF45-43CA-9C4D-9513C320A930}">
            <x14:dataBar minLength="0" maxLength="100" border="1" negativeBarBorderColorSameAsPositive="0">
              <x14:cfvo type="autoMin"/>
              <x14:cfvo type="autoMax"/>
              <x14:borderColor rgb="FF63C384"/>
              <x14:negativeFillColor rgb="FFFF0000"/>
              <x14:negativeBorderColor rgb="FFFF0000"/>
              <x14:axisColor rgb="FF000000"/>
            </x14:dataBar>
          </x14:cfRule>
          <xm:sqref>Z687</xm:sqref>
        </x14:conditionalFormatting>
        <x14:conditionalFormatting xmlns:xm="http://schemas.microsoft.com/office/excel/2006/main">
          <x14:cfRule type="dataBar" id="{86FE174C-7D65-4E52-838A-2BC933B8D9F4}">
            <x14:dataBar minLength="0" maxLength="100" border="1" negativeBarBorderColorSameAsPositive="0">
              <x14:cfvo type="autoMin"/>
              <x14:cfvo type="autoMax"/>
              <x14:borderColor rgb="FF63C384"/>
              <x14:negativeFillColor rgb="FFFF0000"/>
              <x14:negativeBorderColor rgb="FFFF0000"/>
              <x14:axisColor rgb="FF000000"/>
            </x14:dataBar>
          </x14:cfRule>
          <xm:sqref>Z687</xm:sqref>
        </x14:conditionalFormatting>
        <x14:conditionalFormatting xmlns:xm="http://schemas.microsoft.com/office/excel/2006/main">
          <x14:cfRule type="dataBar" id="{661B58C1-5080-4BB8-B6CF-06F0E23BFE2E}">
            <x14:dataBar minLength="0" maxLength="100" border="1" negativeBarBorderColorSameAsPositive="0">
              <x14:cfvo type="autoMin"/>
              <x14:cfvo type="autoMax"/>
              <x14:borderColor rgb="FF63C384"/>
              <x14:negativeFillColor rgb="FFFF0000"/>
              <x14:negativeBorderColor rgb="FFFF0000"/>
              <x14:axisColor rgb="FF000000"/>
            </x14:dataBar>
          </x14:cfRule>
          <xm:sqref>Z688</xm:sqref>
        </x14:conditionalFormatting>
        <x14:conditionalFormatting xmlns:xm="http://schemas.microsoft.com/office/excel/2006/main">
          <x14:cfRule type="dataBar" id="{DC67D777-35BE-40C8-818D-27F771ACF638}">
            <x14:dataBar minLength="0" maxLength="100" border="1" negativeBarBorderColorSameAsPositive="0">
              <x14:cfvo type="autoMin"/>
              <x14:cfvo type="autoMax"/>
              <x14:borderColor rgb="FF63C384"/>
              <x14:negativeFillColor rgb="FFFF0000"/>
              <x14:negativeBorderColor rgb="FFFF0000"/>
              <x14:axisColor rgb="FF000000"/>
            </x14:dataBar>
          </x14:cfRule>
          <xm:sqref>Z688</xm:sqref>
        </x14:conditionalFormatting>
        <x14:conditionalFormatting xmlns:xm="http://schemas.microsoft.com/office/excel/2006/main">
          <x14:cfRule type="dataBar" id="{2342EAA4-4A93-4E18-AA4B-3D5500E67DCD}">
            <x14:dataBar minLength="0" maxLength="100" border="1" negativeBarBorderColorSameAsPositive="0">
              <x14:cfvo type="autoMin"/>
              <x14:cfvo type="autoMax"/>
              <x14:borderColor rgb="FF63C384"/>
              <x14:negativeFillColor rgb="FFFF0000"/>
              <x14:negativeBorderColor rgb="FFFF0000"/>
              <x14:axisColor rgb="FF000000"/>
            </x14:dataBar>
          </x14:cfRule>
          <xm:sqref>Z689</xm:sqref>
        </x14:conditionalFormatting>
        <x14:conditionalFormatting xmlns:xm="http://schemas.microsoft.com/office/excel/2006/main">
          <x14:cfRule type="dataBar" id="{4934BB4E-4432-4A3B-8411-C1D96774DBB6}">
            <x14:dataBar minLength="0" maxLength="100" border="1" negativeBarBorderColorSameAsPositive="0">
              <x14:cfvo type="autoMin"/>
              <x14:cfvo type="autoMax"/>
              <x14:borderColor rgb="FF63C384"/>
              <x14:negativeFillColor rgb="FFFF0000"/>
              <x14:negativeBorderColor rgb="FFFF0000"/>
              <x14:axisColor rgb="FF000000"/>
            </x14:dataBar>
          </x14:cfRule>
          <xm:sqref>Z689</xm:sqref>
        </x14:conditionalFormatting>
        <x14:conditionalFormatting xmlns:xm="http://schemas.microsoft.com/office/excel/2006/main">
          <x14:cfRule type="dataBar" id="{92D52FD1-8179-43A2-A879-670D57F7EAFC}">
            <x14:dataBar minLength="0" maxLength="100" border="1" negativeBarBorderColorSameAsPositive="0">
              <x14:cfvo type="autoMin"/>
              <x14:cfvo type="autoMax"/>
              <x14:borderColor rgb="FF63C384"/>
              <x14:negativeFillColor rgb="FFFF0000"/>
              <x14:negativeBorderColor rgb="FFFF0000"/>
              <x14:axisColor rgb="FF000000"/>
            </x14:dataBar>
          </x14:cfRule>
          <xm:sqref>Z690</xm:sqref>
        </x14:conditionalFormatting>
        <x14:conditionalFormatting xmlns:xm="http://schemas.microsoft.com/office/excel/2006/main">
          <x14:cfRule type="dataBar" id="{F0B17ECA-15AC-43CD-ABA4-680780A364A3}">
            <x14:dataBar minLength="0" maxLength="100" border="1" negativeBarBorderColorSameAsPositive="0">
              <x14:cfvo type="autoMin"/>
              <x14:cfvo type="autoMax"/>
              <x14:borderColor rgb="FF63C384"/>
              <x14:negativeFillColor rgb="FFFF0000"/>
              <x14:negativeBorderColor rgb="FFFF0000"/>
              <x14:axisColor rgb="FF000000"/>
            </x14:dataBar>
          </x14:cfRule>
          <xm:sqref>Z690</xm:sqref>
        </x14:conditionalFormatting>
        <x14:conditionalFormatting xmlns:xm="http://schemas.microsoft.com/office/excel/2006/main">
          <x14:cfRule type="dataBar" id="{94B1F0A6-C62A-4427-8855-6E304F25A027}">
            <x14:dataBar minLength="0" maxLength="100" border="1" negativeBarBorderColorSameAsPositive="0">
              <x14:cfvo type="autoMin"/>
              <x14:cfvo type="autoMax"/>
              <x14:borderColor rgb="FF63C384"/>
              <x14:negativeFillColor rgb="FFFF0000"/>
              <x14:negativeBorderColor rgb="FFFF0000"/>
              <x14:axisColor rgb="FF000000"/>
            </x14:dataBar>
          </x14:cfRule>
          <xm:sqref>Z690</xm:sqref>
        </x14:conditionalFormatting>
        <x14:conditionalFormatting xmlns:xm="http://schemas.microsoft.com/office/excel/2006/main">
          <x14:cfRule type="dataBar" id="{4BCAD1E7-C47B-4D0F-969D-086F5C5DEC29}">
            <x14:dataBar minLength="0" maxLength="100" border="1" negativeBarBorderColorSameAsPositive="0">
              <x14:cfvo type="autoMin"/>
              <x14:cfvo type="autoMax"/>
              <x14:borderColor rgb="FF63C384"/>
              <x14:negativeFillColor rgb="FFFF0000"/>
              <x14:negativeBorderColor rgb="FFFF0000"/>
              <x14:axisColor rgb="FF000000"/>
            </x14:dataBar>
          </x14:cfRule>
          <xm:sqref>Z690</xm:sqref>
        </x14:conditionalFormatting>
        <x14:conditionalFormatting xmlns:xm="http://schemas.microsoft.com/office/excel/2006/main">
          <x14:cfRule type="dataBar" id="{51989A05-EDA7-4E1E-B33D-215755D89796}">
            <x14:dataBar minLength="0" maxLength="100" border="1" negativeBarBorderColorSameAsPositive="0">
              <x14:cfvo type="autoMin"/>
              <x14:cfvo type="autoMax"/>
              <x14:borderColor rgb="FF63C384"/>
              <x14:negativeFillColor rgb="FFFF0000"/>
              <x14:negativeBorderColor rgb="FFFF0000"/>
              <x14:axisColor rgb="FF000000"/>
            </x14:dataBar>
          </x14:cfRule>
          <xm:sqref>Z690</xm:sqref>
        </x14:conditionalFormatting>
        <x14:conditionalFormatting xmlns:xm="http://schemas.microsoft.com/office/excel/2006/main">
          <x14:cfRule type="dataBar" id="{5EFE8D04-3D31-42AE-8150-E61025850134}">
            <x14:dataBar minLength="0" maxLength="100" border="1" negativeBarBorderColorSameAsPositive="0">
              <x14:cfvo type="autoMin"/>
              <x14:cfvo type="autoMax"/>
              <x14:borderColor rgb="FF63C384"/>
              <x14:negativeFillColor rgb="FFFF0000"/>
              <x14:negativeBorderColor rgb="FFFF0000"/>
              <x14:axisColor rgb="FF000000"/>
            </x14:dataBar>
          </x14:cfRule>
          <xm:sqref>Z690</xm:sqref>
        </x14:conditionalFormatting>
        <x14:conditionalFormatting xmlns:xm="http://schemas.microsoft.com/office/excel/2006/main">
          <x14:cfRule type="dataBar" id="{9A6D50E9-E800-472E-9589-D3B632DCD507}">
            <x14:dataBar minLength="0" maxLength="100" border="1" negativeBarBorderColorSameAsPositive="0">
              <x14:cfvo type="autoMin"/>
              <x14:cfvo type="autoMax"/>
              <x14:borderColor rgb="FF63C384"/>
              <x14:negativeFillColor rgb="FFFF0000"/>
              <x14:negativeBorderColor rgb="FFFF0000"/>
              <x14:axisColor rgb="FF000000"/>
            </x14:dataBar>
          </x14:cfRule>
          <xm:sqref>Z690</xm:sqref>
        </x14:conditionalFormatting>
        <x14:conditionalFormatting xmlns:xm="http://schemas.microsoft.com/office/excel/2006/main">
          <x14:cfRule type="dataBar" id="{05D054A3-A6C6-4D30-BA18-D339C78436E5}">
            <x14:dataBar minLength="0" maxLength="100" border="1" negativeBarBorderColorSameAsPositive="0">
              <x14:cfvo type="autoMin"/>
              <x14:cfvo type="autoMax"/>
              <x14:borderColor rgb="FF63C384"/>
              <x14:negativeFillColor rgb="FFFF0000"/>
              <x14:negativeBorderColor rgb="FFFF0000"/>
              <x14:axisColor rgb="FF000000"/>
            </x14:dataBar>
          </x14:cfRule>
          <xm:sqref>Z690</xm:sqref>
        </x14:conditionalFormatting>
        <x14:conditionalFormatting xmlns:xm="http://schemas.microsoft.com/office/excel/2006/main">
          <x14:cfRule type="dataBar" id="{0129E45C-58EA-471F-A0C9-BE60195BCC5B}">
            <x14:dataBar minLength="0" maxLength="100" border="1" negativeBarBorderColorSameAsPositive="0">
              <x14:cfvo type="autoMin"/>
              <x14:cfvo type="autoMax"/>
              <x14:borderColor rgb="FF63C384"/>
              <x14:negativeFillColor rgb="FFFF0000"/>
              <x14:negativeBorderColor rgb="FFFF0000"/>
              <x14:axisColor rgb="FF000000"/>
            </x14:dataBar>
          </x14:cfRule>
          <xm:sqref>Z691</xm:sqref>
        </x14:conditionalFormatting>
        <x14:conditionalFormatting xmlns:xm="http://schemas.microsoft.com/office/excel/2006/main">
          <x14:cfRule type="dataBar" id="{912A38F5-0539-47F8-AD84-5C0EAE3CE740}">
            <x14:dataBar minLength="0" maxLength="100" border="1" negativeBarBorderColorSameAsPositive="0">
              <x14:cfvo type="autoMin"/>
              <x14:cfvo type="autoMax"/>
              <x14:borderColor rgb="FF63C384"/>
              <x14:negativeFillColor rgb="FFFF0000"/>
              <x14:negativeBorderColor rgb="FFFF0000"/>
              <x14:axisColor rgb="FF000000"/>
            </x14:dataBar>
          </x14:cfRule>
          <xm:sqref>Z691</xm:sqref>
        </x14:conditionalFormatting>
        <x14:conditionalFormatting xmlns:xm="http://schemas.microsoft.com/office/excel/2006/main">
          <x14:cfRule type="dataBar" id="{C79D1B04-20D3-43CF-9C02-F608A601BC99}">
            <x14:dataBar minLength="0" maxLength="100" border="1" negativeBarBorderColorSameAsPositive="0">
              <x14:cfvo type="autoMin"/>
              <x14:cfvo type="autoMax"/>
              <x14:borderColor rgb="FF63C384"/>
              <x14:negativeFillColor rgb="FFFF0000"/>
              <x14:negativeBorderColor rgb="FFFF0000"/>
              <x14:axisColor rgb="FF000000"/>
            </x14:dataBar>
          </x14:cfRule>
          <xm:sqref>Z692</xm:sqref>
        </x14:conditionalFormatting>
        <x14:conditionalFormatting xmlns:xm="http://schemas.microsoft.com/office/excel/2006/main">
          <x14:cfRule type="dataBar" id="{DFA1A366-9FAC-4483-B70B-F73EFF725009}">
            <x14:dataBar minLength="0" maxLength="100" border="1" negativeBarBorderColorSameAsPositive="0">
              <x14:cfvo type="autoMin"/>
              <x14:cfvo type="autoMax"/>
              <x14:borderColor rgb="FF63C384"/>
              <x14:negativeFillColor rgb="FFFF0000"/>
              <x14:negativeBorderColor rgb="FFFF0000"/>
              <x14:axisColor rgb="FF000000"/>
            </x14:dataBar>
          </x14:cfRule>
          <xm:sqref>Z692</xm:sqref>
        </x14:conditionalFormatting>
        <x14:conditionalFormatting xmlns:xm="http://schemas.microsoft.com/office/excel/2006/main">
          <x14:cfRule type="dataBar" id="{90A6C811-0405-48FE-A1E8-8B9E057C9FF7}">
            <x14:dataBar minLength="0" maxLength="100" border="1" negativeBarBorderColorSameAsPositive="0">
              <x14:cfvo type="autoMin"/>
              <x14:cfvo type="autoMax"/>
              <x14:borderColor rgb="FF63C384"/>
              <x14:negativeFillColor rgb="FFFF0000"/>
              <x14:negativeBorderColor rgb="FFFF0000"/>
              <x14:axisColor rgb="FF000000"/>
            </x14:dataBar>
          </x14:cfRule>
          <xm:sqref>Z693</xm:sqref>
        </x14:conditionalFormatting>
        <x14:conditionalFormatting xmlns:xm="http://schemas.microsoft.com/office/excel/2006/main">
          <x14:cfRule type="dataBar" id="{6EDF9E18-7F89-4160-9676-B049EF51C9BE}">
            <x14:dataBar minLength="0" maxLength="100" border="1" negativeBarBorderColorSameAsPositive="0">
              <x14:cfvo type="autoMin"/>
              <x14:cfvo type="autoMax"/>
              <x14:borderColor rgb="FF63C384"/>
              <x14:negativeFillColor rgb="FFFF0000"/>
              <x14:negativeBorderColor rgb="FFFF0000"/>
              <x14:axisColor rgb="FF000000"/>
            </x14:dataBar>
          </x14:cfRule>
          <xm:sqref>Z693</xm:sqref>
        </x14:conditionalFormatting>
        <x14:conditionalFormatting xmlns:xm="http://schemas.microsoft.com/office/excel/2006/main">
          <x14:cfRule type="dataBar" id="{692176AF-BA84-4DBB-8C4A-CE643B28512E}">
            <x14:dataBar minLength="0" maxLength="100" border="1" negativeBarBorderColorSameAsPositive="0">
              <x14:cfvo type="autoMin"/>
              <x14:cfvo type="autoMax"/>
              <x14:borderColor rgb="FF63C384"/>
              <x14:negativeFillColor rgb="FFFF0000"/>
              <x14:negativeBorderColor rgb="FFFF0000"/>
              <x14:axisColor rgb="FF000000"/>
            </x14:dataBar>
          </x14:cfRule>
          <xm:sqref>Z694</xm:sqref>
        </x14:conditionalFormatting>
        <x14:conditionalFormatting xmlns:xm="http://schemas.microsoft.com/office/excel/2006/main">
          <x14:cfRule type="dataBar" id="{8CCEA6AA-BBEC-4AA1-A3B1-FC05B956BFA8}">
            <x14:dataBar minLength="0" maxLength="100" border="1" negativeBarBorderColorSameAsPositive="0">
              <x14:cfvo type="autoMin"/>
              <x14:cfvo type="autoMax"/>
              <x14:borderColor rgb="FF63C384"/>
              <x14:negativeFillColor rgb="FFFF0000"/>
              <x14:negativeBorderColor rgb="FFFF0000"/>
              <x14:axisColor rgb="FF000000"/>
            </x14:dataBar>
          </x14:cfRule>
          <xm:sqref>Z694</xm:sqref>
        </x14:conditionalFormatting>
        <x14:conditionalFormatting xmlns:xm="http://schemas.microsoft.com/office/excel/2006/main">
          <x14:cfRule type="dataBar" id="{1EA6EBAB-DB0B-426C-8236-426FEA5A4A2B}">
            <x14:dataBar minLength="0" maxLength="100" border="1" negativeBarBorderColorSameAsPositive="0">
              <x14:cfvo type="autoMin"/>
              <x14:cfvo type="autoMax"/>
              <x14:borderColor rgb="FF63C384"/>
              <x14:negativeFillColor rgb="FFFF0000"/>
              <x14:negativeBorderColor rgb="FFFF0000"/>
              <x14:axisColor rgb="FF000000"/>
            </x14:dataBar>
          </x14:cfRule>
          <xm:sqref>Z695</xm:sqref>
        </x14:conditionalFormatting>
        <x14:conditionalFormatting xmlns:xm="http://schemas.microsoft.com/office/excel/2006/main">
          <x14:cfRule type="dataBar" id="{99F2FCD3-8D02-4879-A420-FE4B80AD3DF7}">
            <x14:dataBar minLength="0" maxLength="100" border="1" negativeBarBorderColorSameAsPositive="0">
              <x14:cfvo type="autoMin"/>
              <x14:cfvo type="autoMax"/>
              <x14:borderColor rgb="FF63C384"/>
              <x14:negativeFillColor rgb="FFFF0000"/>
              <x14:negativeBorderColor rgb="FFFF0000"/>
              <x14:axisColor rgb="FF000000"/>
            </x14:dataBar>
          </x14:cfRule>
          <xm:sqref>Z695</xm:sqref>
        </x14:conditionalFormatting>
        <x14:conditionalFormatting xmlns:xm="http://schemas.microsoft.com/office/excel/2006/main">
          <x14:cfRule type="dataBar" id="{149E3D5F-A4C9-4F2A-9A4D-D340A8CA5322}">
            <x14:dataBar minLength="0" maxLength="100" border="1" negativeBarBorderColorSameAsPositive="0">
              <x14:cfvo type="autoMin"/>
              <x14:cfvo type="autoMax"/>
              <x14:borderColor rgb="FF63C384"/>
              <x14:negativeFillColor rgb="FFFF0000"/>
              <x14:negativeBorderColor rgb="FFFF0000"/>
              <x14:axisColor rgb="FF000000"/>
            </x14:dataBar>
          </x14:cfRule>
          <xm:sqref>Z696</xm:sqref>
        </x14:conditionalFormatting>
        <x14:conditionalFormatting xmlns:xm="http://schemas.microsoft.com/office/excel/2006/main">
          <x14:cfRule type="dataBar" id="{D9B9F794-B839-4C6C-8686-1F73F7830C00}">
            <x14:dataBar minLength="0" maxLength="100" border="1" negativeBarBorderColorSameAsPositive="0">
              <x14:cfvo type="autoMin"/>
              <x14:cfvo type="autoMax"/>
              <x14:borderColor rgb="FF63C384"/>
              <x14:negativeFillColor rgb="FFFF0000"/>
              <x14:negativeBorderColor rgb="FFFF0000"/>
              <x14:axisColor rgb="FF000000"/>
            </x14:dataBar>
          </x14:cfRule>
          <xm:sqref>Z696</xm:sqref>
        </x14:conditionalFormatting>
        <x14:conditionalFormatting xmlns:xm="http://schemas.microsoft.com/office/excel/2006/main">
          <x14:cfRule type="dataBar" id="{0CB9BB0F-B733-4A31-8503-4C25BEC37522}">
            <x14:dataBar minLength="0" maxLength="100" border="1" negativeBarBorderColorSameAsPositive="0">
              <x14:cfvo type="autoMin"/>
              <x14:cfvo type="autoMax"/>
              <x14:borderColor rgb="FF63C384"/>
              <x14:negativeFillColor rgb="FFFF0000"/>
              <x14:negativeBorderColor rgb="FFFF0000"/>
              <x14:axisColor rgb="FF000000"/>
            </x14:dataBar>
          </x14:cfRule>
          <xm:sqref>Z697</xm:sqref>
        </x14:conditionalFormatting>
        <x14:conditionalFormatting xmlns:xm="http://schemas.microsoft.com/office/excel/2006/main">
          <x14:cfRule type="dataBar" id="{25F99F73-9C69-4576-A19C-FD422FFF7CA3}">
            <x14:dataBar minLength="0" maxLength="100" border="1" negativeBarBorderColorSameAsPositive="0">
              <x14:cfvo type="autoMin"/>
              <x14:cfvo type="autoMax"/>
              <x14:borderColor rgb="FF63C384"/>
              <x14:negativeFillColor rgb="FFFF0000"/>
              <x14:negativeBorderColor rgb="FFFF0000"/>
              <x14:axisColor rgb="FF000000"/>
            </x14:dataBar>
          </x14:cfRule>
          <xm:sqref>Z697</xm:sqref>
        </x14:conditionalFormatting>
        <x14:conditionalFormatting xmlns:xm="http://schemas.microsoft.com/office/excel/2006/main">
          <x14:cfRule type="dataBar" id="{07F02A2F-F561-4B35-8FB3-490EB5735D1F}">
            <x14:dataBar minLength="0" maxLength="100" border="1" negativeBarBorderColorSameAsPositive="0">
              <x14:cfvo type="autoMin"/>
              <x14:cfvo type="autoMax"/>
              <x14:borderColor rgb="FF63C384"/>
              <x14:negativeFillColor rgb="FFFF0000"/>
              <x14:negativeBorderColor rgb="FFFF0000"/>
              <x14:axisColor rgb="FF000000"/>
            </x14:dataBar>
          </x14:cfRule>
          <xm:sqref>Z697</xm:sqref>
        </x14:conditionalFormatting>
        <x14:conditionalFormatting xmlns:xm="http://schemas.microsoft.com/office/excel/2006/main">
          <x14:cfRule type="dataBar" id="{71F93314-259D-4188-B60A-CAB060ECC7AE}">
            <x14:dataBar minLength="0" maxLength="100" border="1" negativeBarBorderColorSameAsPositive="0">
              <x14:cfvo type="autoMin"/>
              <x14:cfvo type="autoMax"/>
              <x14:borderColor rgb="FF63C384"/>
              <x14:negativeFillColor rgb="FFFF0000"/>
              <x14:negativeBorderColor rgb="FFFF0000"/>
              <x14:axisColor rgb="FF000000"/>
            </x14:dataBar>
          </x14:cfRule>
          <xm:sqref>Z697</xm:sqref>
        </x14:conditionalFormatting>
        <x14:conditionalFormatting xmlns:xm="http://schemas.microsoft.com/office/excel/2006/main">
          <x14:cfRule type="dataBar" id="{3E60D1B6-4AF5-4FB1-A108-144E860B039D}">
            <x14:dataBar minLength="0" maxLength="100" border="1" negativeBarBorderColorSameAsPositive="0">
              <x14:cfvo type="autoMin"/>
              <x14:cfvo type="autoMax"/>
              <x14:borderColor rgb="FF63C384"/>
              <x14:negativeFillColor rgb="FFFF0000"/>
              <x14:negativeBorderColor rgb="FFFF0000"/>
              <x14:axisColor rgb="FF000000"/>
            </x14:dataBar>
          </x14:cfRule>
          <xm:sqref>Z698</xm:sqref>
        </x14:conditionalFormatting>
        <x14:conditionalFormatting xmlns:xm="http://schemas.microsoft.com/office/excel/2006/main">
          <x14:cfRule type="dataBar" id="{953616A0-0DA0-4B85-A9EA-37F927259AD0}">
            <x14:dataBar minLength="0" maxLength="100" border="1" negativeBarBorderColorSameAsPositive="0">
              <x14:cfvo type="autoMin"/>
              <x14:cfvo type="autoMax"/>
              <x14:borderColor rgb="FF63C384"/>
              <x14:negativeFillColor rgb="FFFF0000"/>
              <x14:negativeBorderColor rgb="FFFF0000"/>
              <x14:axisColor rgb="FF000000"/>
            </x14:dataBar>
          </x14:cfRule>
          <xm:sqref>Z698</xm:sqref>
        </x14:conditionalFormatting>
        <x14:conditionalFormatting xmlns:xm="http://schemas.microsoft.com/office/excel/2006/main">
          <x14:cfRule type="dataBar" id="{B765B9DD-D52D-4127-AA23-AE58E4379DA8}">
            <x14:dataBar minLength="0" maxLength="100" border="1" negativeBarBorderColorSameAsPositive="0">
              <x14:cfvo type="autoMin"/>
              <x14:cfvo type="autoMax"/>
              <x14:borderColor rgb="FF63C384"/>
              <x14:negativeFillColor rgb="FFFF0000"/>
              <x14:negativeBorderColor rgb="FFFF0000"/>
              <x14:axisColor rgb="FF000000"/>
            </x14:dataBar>
          </x14:cfRule>
          <xm:sqref>Z698</xm:sqref>
        </x14:conditionalFormatting>
        <x14:conditionalFormatting xmlns:xm="http://schemas.microsoft.com/office/excel/2006/main">
          <x14:cfRule type="dataBar" id="{1A29195D-F4CE-41A6-B7C6-F285091611B3}">
            <x14:dataBar minLength="0" maxLength="100" border="1" negativeBarBorderColorSameAsPositive="0">
              <x14:cfvo type="autoMin"/>
              <x14:cfvo type="autoMax"/>
              <x14:borderColor rgb="FF63C384"/>
              <x14:negativeFillColor rgb="FFFF0000"/>
              <x14:negativeBorderColor rgb="FFFF0000"/>
              <x14:axisColor rgb="FF000000"/>
            </x14:dataBar>
          </x14:cfRule>
          <xm:sqref>Z698</xm:sqref>
        </x14:conditionalFormatting>
        <x14:conditionalFormatting xmlns:xm="http://schemas.microsoft.com/office/excel/2006/main">
          <x14:cfRule type="dataBar" id="{57477521-88E1-4E41-ADC3-6EEEE463EF65}">
            <x14:dataBar minLength="0" maxLength="100" border="1" negativeBarBorderColorSameAsPositive="0">
              <x14:cfvo type="autoMin"/>
              <x14:cfvo type="autoMax"/>
              <x14:borderColor rgb="FF63C384"/>
              <x14:negativeFillColor rgb="FFFF0000"/>
              <x14:negativeBorderColor rgb="FFFF0000"/>
              <x14:axisColor rgb="FF000000"/>
            </x14:dataBar>
          </x14:cfRule>
          <xm:sqref>Z699</xm:sqref>
        </x14:conditionalFormatting>
        <x14:conditionalFormatting xmlns:xm="http://schemas.microsoft.com/office/excel/2006/main">
          <x14:cfRule type="dataBar" id="{D64F54BB-849E-46F6-87AB-86DC07C58118}">
            <x14:dataBar minLength="0" maxLength="100" border="1" negativeBarBorderColorSameAsPositive="0">
              <x14:cfvo type="autoMin"/>
              <x14:cfvo type="autoMax"/>
              <x14:borderColor rgb="FF63C384"/>
              <x14:negativeFillColor rgb="FFFF0000"/>
              <x14:negativeBorderColor rgb="FFFF0000"/>
              <x14:axisColor rgb="FF000000"/>
            </x14:dataBar>
          </x14:cfRule>
          <xm:sqref>Z699</xm:sqref>
        </x14:conditionalFormatting>
        <x14:conditionalFormatting xmlns:xm="http://schemas.microsoft.com/office/excel/2006/main">
          <x14:cfRule type="dataBar" id="{5A5B1EC1-14F7-4E57-9049-0CE3387B9AEE}">
            <x14:dataBar minLength="0" maxLength="100" border="1" negativeBarBorderColorSameAsPositive="0">
              <x14:cfvo type="autoMin"/>
              <x14:cfvo type="autoMax"/>
              <x14:borderColor rgb="FF63C384"/>
              <x14:negativeFillColor rgb="FFFF0000"/>
              <x14:negativeBorderColor rgb="FFFF0000"/>
              <x14:axisColor rgb="FF000000"/>
            </x14:dataBar>
          </x14:cfRule>
          <xm:sqref>Z700</xm:sqref>
        </x14:conditionalFormatting>
        <x14:conditionalFormatting xmlns:xm="http://schemas.microsoft.com/office/excel/2006/main">
          <x14:cfRule type="dataBar" id="{0F2A7C4E-5D11-4AD8-8F8D-B94285675F67}">
            <x14:dataBar minLength="0" maxLength="100" border="1" negativeBarBorderColorSameAsPositive="0">
              <x14:cfvo type="autoMin"/>
              <x14:cfvo type="autoMax"/>
              <x14:borderColor rgb="FF63C384"/>
              <x14:negativeFillColor rgb="FFFF0000"/>
              <x14:negativeBorderColor rgb="FFFF0000"/>
              <x14:axisColor rgb="FF000000"/>
            </x14:dataBar>
          </x14:cfRule>
          <xm:sqref>Z700</xm:sqref>
        </x14:conditionalFormatting>
        <x14:conditionalFormatting xmlns:xm="http://schemas.microsoft.com/office/excel/2006/main">
          <x14:cfRule type="dataBar" id="{FF8896D3-DE0F-403B-B118-1351CCFEA4EE}">
            <x14:dataBar minLength="0" maxLength="100" border="1" negativeBarBorderColorSameAsPositive="0">
              <x14:cfvo type="autoMin"/>
              <x14:cfvo type="autoMax"/>
              <x14:borderColor rgb="FF63C384"/>
              <x14:negativeFillColor rgb="FFFF0000"/>
              <x14:negativeBorderColor rgb="FFFF0000"/>
              <x14:axisColor rgb="FF000000"/>
            </x14:dataBar>
          </x14:cfRule>
          <xm:sqref>Z701</xm:sqref>
        </x14:conditionalFormatting>
        <x14:conditionalFormatting xmlns:xm="http://schemas.microsoft.com/office/excel/2006/main">
          <x14:cfRule type="dataBar" id="{E2B5F383-888E-4BCB-AB88-A92CB3E0D844}">
            <x14:dataBar minLength="0" maxLength="100" border="1" negativeBarBorderColorSameAsPositive="0">
              <x14:cfvo type="autoMin"/>
              <x14:cfvo type="autoMax"/>
              <x14:borderColor rgb="FF63C384"/>
              <x14:negativeFillColor rgb="FFFF0000"/>
              <x14:negativeBorderColor rgb="FFFF0000"/>
              <x14:axisColor rgb="FF000000"/>
            </x14:dataBar>
          </x14:cfRule>
          <xm:sqref>Z701</xm:sqref>
        </x14:conditionalFormatting>
        <x14:conditionalFormatting xmlns:xm="http://schemas.microsoft.com/office/excel/2006/main">
          <x14:cfRule type="dataBar" id="{B5B77E95-C2F8-4FB9-B238-31CD771B25E2}">
            <x14:dataBar minLength="0" maxLength="100" border="1" negativeBarBorderColorSameAsPositive="0">
              <x14:cfvo type="autoMin"/>
              <x14:cfvo type="autoMax"/>
              <x14:borderColor rgb="FF63C384"/>
              <x14:negativeFillColor rgb="FFFF0000"/>
              <x14:negativeBorderColor rgb="FFFF0000"/>
              <x14:axisColor rgb="FF000000"/>
            </x14:dataBar>
          </x14:cfRule>
          <xm:sqref>Z702</xm:sqref>
        </x14:conditionalFormatting>
        <x14:conditionalFormatting xmlns:xm="http://schemas.microsoft.com/office/excel/2006/main">
          <x14:cfRule type="dataBar" id="{A25BC48C-E812-455F-A70A-9CF2BEF03BD9}">
            <x14:dataBar minLength="0" maxLength="100" border="1" negativeBarBorderColorSameAsPositive="0">
              <x14:cfvo type="autoMin"/>
              <x14:cfvo type="autoMax"/>
              <x14:borderColor rgb="FF63C384"/>
              <x14:negativeFillColor rgb="FFFF0000"/>
              <x14:negativeBorderColor rgb="FFFF0000"/>
              <x14:axisColor rgb="FF000000"/>
            </x14:dataBar>
          </x14:cfRule>
          <xm:sqref>Z702</xm:sqref>
        </x14:conditionalFormatting>
        <x14:conditionalFormatting xmlns:xm="http://schemas.microsoft.com/office/excel/2006/main">
          <x14:cfRule type="dataBar" id="{9AFA9577-8761-4977-B74C-F28A48E993A1}">
            <x14:dataBar minLength="0" maxLength="100" border="1" negativeBarBorderColorSameAsPositive="0">
              <x14:cfvo type="autoMin"/>
              <x14:cfvo type="autoMax"/>
              <x14:borderColor rgb="FF63C384"/>
              <x14:negativeFillColor rgb="FFFF0000"/>
              <x14:negativeBorderColor rgb="FFFF0000"/>
              <x14:axisColor rgb="FF000000"/>
            </x14:dataBar>
          </x14:cfRule>
          <xm:sqref>Z703</xm:sqref>
        </x14:conditionalFormatting>
        <x14:conditionalFormatting xmlns:xm="http://schemas.microsoft.com/office/excel/2006/main">
          <x14:cfRule type="dataBar" id="{4B5DFCF9-E024-4CDB-A6B6-A88C32FDE108}">
            <x14:dataBar minLength="0" maxLength="100" border="1" negativeBarBorderColorSameAsPositive="0">
              <x14:cfvo type="autoMin"/>
              <x14:cfvo type="autoMax"/>
              <x14:borderColor rgb="FF63C384"/>
              <x14:negativeFillColor rgb="FFFF0000"/>
              <x14:negativeBorderColor rgb="FFFF0000"/>
              <x14:axisColor rgb="FF000000"/>
            </x14:dataBar>
          </x14:cfRule>
          <xm:sqref>Z703</xm:sqref>
        </x14:conditionalFormatting>
        <x14:conditionalFormatting xmlns:xm="http://schemas.microsoft.com/office/excel/2006/main">
          <x14:cfRule type="dataBar" id="{23A79C38-4BE5-4967-A7FB-1307434D2181}">
            <x14:dataBar minLength="0" maxLength="100" border="1" negativeBarBorderColorSameAsPositive="0">
              <x14:cfvo type="autoMin"/>
              <x14:cfvo type="autoMax"/>
              <x14:borderColor rgb="FF63C384"/>
              <x14:negativeFillColor rgb="FFFF0000"/>
              <x14:negativeBorderColor rgb="FFFF0000"/>
              <x14:axisColor rgb="FF000000"/>
            </x14:dataBar>
          </x14:cfRule>
          <xm:sqref>Z704</xm:sqref>
        </x14:conditionalFormatting>
        <x14:conditionalFormatting xmlns:xm="http://schemas.microsoft.com/office/excel/2006/main">
          <x14:cfRule type="dataBar" id="{00EE9F4A-91A8-4E1A-87FF-DE2743457CDE}">
            <x14:dataBar minLength="0" maxLength="100" border="1" negativeBarBorderColorSameAsPositive="0">
              <x14:cfvo type="autoMin"/>
              <x14:cfvo type="autoMax"/>
              <x14:borderColor rgb="FF63C384"/>
              <x14:negativeFillColor rgb="FFFF0000"/>
              <x14:negativeBorderColor rgb="FFFF0000"/>
              <x14:axisColor rgb="FF000000"/>
            </x14:dataBar>
          </x14:cfRule>
          <xm:sqref>Z704</xm:sqref>
        </x14:conditionalFormatting>
        <x14:conditionalFormatting xmlns:xm="http://schemas.microsoft.com/office/excel/2006/main">
          <x14:cfRule type="dataBar" id="{C3B52C5C-BC69-49A6-B024-DBF3FBD7109C}">
            <x14:dataBar minLength="0" maxLength="100" border="1" negativeBarBorderColorSameAsPositive="0">
              <x14:cfvo type="autoMin"/>
              <x14:cfvo type="autoMax"/>
              <x14:borderColor rgb="FF63C384"/>
              <x14:negativeFillColor rgb="FFFF0000"/>
              <x14:negativeBorderColor rgb="FFFF0000"/>
              <x14:axisColor rgb="FF000000"/>
            </x14:dataBar>
          </x14:cfRule>
          <xm:sqref>Z704</xm:sqref>
        </x14:conditionalFormatting>
        <x14:conditionalFormatting xmlns:xm="http://schemas.microsoft.com/office/excel/2006/main">
          <x14:cfRule type="dataBar" id="{9C9712F0-3DAB-472B-B827-8768DE58724A}">
            <x14:dataBar minLength="0" maxLength="100" border="1" negativeBarBorderColorSameAsPositive="0">
              <x14:cfvo type="autoMin"/>
              <x14:cfvo type="autoMax"/>
              <x14:borderColor rgb="FF63C384"/>
              <x14:negativeFillColor rgb="FFFF0000"/>
              <x14:negativeBorderColor rgb="FFFF0000"/>
              <x14:axisColor rgb="FF000000"/>
            </x14:dataBar>
          </x14:cfRule>
          <xm:sqref>Z704</xm:sqref>
        </x14:conditionalFormatting>
        <x14:conditionalFormatting xmlns:xm="http://schemas.microsoft.com/office/excel/2006/main">
          <x14:cfRule type="dataBar" id="{F18163DB-F9D1-46A4-AB68-84E53D0C2C1F}">
            <x14:dataBar minLength="0" maxLength="100" border="1" negativeBarBorderColorSameAsPositive="0">
              <x14:cfvo type="autoMin"/>
              <x14:cfvo type="autoMax"/>
              <x14:borderColor rgb="FF63C384"/>
              <x14:negativeFillColor rgb="FFFF0000"/>
              <x14:negativeBorderColor rgb="FFFF0000"/>
              <x14:axisColor rgb="FF000000"/>
            </x14:dataBar>
          </x14:cfRule>
          <xm:sqref>Z704</xm:sqref>
        </x14:conditionalFormatting>
        <x14:conditionalFormatting xmlns:xm="http://schemas.microsoft.com/office/excel/2006/main">
          <x14:cfRule type="dataBar" id="{5D11583B-BB5E-40BC-B5BC-644F9652EEC1}">
            <x14:dataBar minLength="0" maxLength="100" border="1" negativeBarBorderColorSameAsPositive="0">
              <x14:cfvo type="autoMin"/>
              <x14:cfvo type="autoMax"/>
              <x14:borderColor rgb="FF63C384"/>
              <x14:negativeFillColor rgb="FFFF0000"/>
              <x14:negativeBorderColor rgb="FFFF0000"/>
              <x14:axisColor rgb="FF000000"/>
            </x14:dataBar>
          </x14:cfRule>
          <xm:sqref>Z704</xm:sqref>
        </x14:conditionalFormatting>
        <x14:conditionalFormatting xmlns:xm="http://schemas.microsoft.com/office/excel/2006/main">
          <x14:cfRule type="dataBar" id="{0AA03799-ADB0-47D7-B87D-D32A34D2C568}">
            <x14:dataBar minLength="0" maxLength="100" border="1" negativeBarBorderColorSameAsPositive="0">
              <x14:cfvo type="autoMin"/>
              <x14:cfvo type="autoMax"/>
              <x14:borderColor rgb="FF63C384"/>
              <x14:negativeFillColor rgb="FFFF0000"/>
              <x14:negativeBorderColor rgb="FFFF0000"/>
              <x14:axisColor rgb="FF000000"/>
            </x14:dataBar>
          </x14:cfRule>
          <xm:sqref>Z704</xm:sqref>
        </x14:conditionalFormatting>
        <x14:conditionalFormatting xmlns:xm="http://schemas.microsoft.com/office/excel/2006/main">
          <x14:cfRule type="dataBar" id="{DAB836B9-FD84-4265-9BCC-B6E6B91C6962}">
            <x14:dataBar minLength="0" maxLength="100" border="1" negativeBarBorderColorSameAsPositive="0">
              <x14:cfvo type="autoMin"/>
              <x14:cfvo type="autoMax"/>
              <x14:borderColor rgb="FF63C384"/>
              <x14:negativeFillColor rgb="FFFF0000"/>
              <x14:negativeBorderColor rgb="FFFF0000"/>
              <x14:axisColor rgb="FF000000"/>
            </x14:dataBar>
          </x14:cfRule>
          <xm:sqref>Z704</xm:sqref>
        </x14:conditionalFormatting>
        <x14:conditionalFormatting xmlns:xm="http://schemas.microsoft.com/office/excel/2006/main">
          <x14:cfRule type="dataBar" id="{15207DB1-4A4E-4028-AE36-B142E851CD11}">
            <x14:dataBar minLength="0" maxLength="100" border="1" negativeBarBorderColorSameAsPositive="0">
              <x14:cfvo type="autoMin"/>
              <x14:cfvo type="autoMax"/>
              <x14:borderColor rgb="FF63C384"/>
              <x14:negativeFillColor rgb="FFFF0000"/>
              <x14:negativeBorderColor rgb="FFFF0000"/>
              <x14:axisColor rgb="FF000000"/>
            </x14:dataBar>
          </x14:cfRule>
          <xm:sqref>Z706</xm:sqref>
        </x14:conditionalFormatting>
        <x14:conditionalFormatting xmlns:xm="http://schemas.microsoft.com/office/excel/2006/main">
          <x14:cfRule type="dataBar" id="{1ECBA807-555F-43B3-8ADF-C105DBA11042}">
            <x14:dataBar minLength="0" maxLength="100" border="1" negativeBarBorderColorSameAsPositive="0">
              <x14:cfvo type="autoMin"/>
              <x14:cfvo type="autoMax"/>
              <x14:borderColor rgb="FF63C384"/>
              <x14:negativeFillColor rgb="FFFF0000"/>
              <x14:negativeBorderColor rgb="FFFF0000"/>
              <x14:axisColor rgb="FF000000"/>
            </x14:dataBar>
          </x14:cfRule>
          <xm:sqref>Z706</xm:sqref>
        </x14:conditionalFormatting>
        <x14:conditionalFormatting xmlns:xm="http://schemas.microsoft.com/office/excel/2006/main">
          <x14:cfRule type="dataBar" id="{05F26461-F588-47CA-8C53-A0F7D511E2DD}">
            <x14:dataBar minLength="0" maxLength="100" border="1" negativeBarBorderColorSameAsPositive="0">
              <x14:cfvo type="autoMin"/>
              <x14:cfvo type="autoMax"/>
              <x14:borderColor rgb="FF63C384"/>
              <x14:negativeFillColor rgb="FFFF0000"/>
              <x14:negativeBorderColor rgb="FFFF0000"/>
              <x14:axisColor rgb="FF000000"/>
            </x14:dataBar>
          </x14:cfRule>
          <xm:sqref>Z706</xm:sqref>
        </x14:conditionalFormatting>
        <x14:conditionalFormatting xmlns:xm="http://schemas.microsoft.com/office/excel/2006/main">
          <x14:cfRule type="dataBar" id="{6881A1F0-13C1-4FE8-86C8-3995CE59B593}">
            <x14:dataBar minLength="0" maxLength="100" border="1" negativeBarBorderColorSameAsPositive="0">
              <x14:cfvo type="autoMin"/>
              <x14:cfvo type="autoMax"/>
              <x14:borderColor rgb="FF63C384"/>
              <x14:negativeFillColor rgb="FFFF0000"/>
              <x14:negativeBorderColor rgb="FFFF0000"/>
              <x14:axisColor rgb="FF000000"/>
            </x14:dataBar>
          </x14:cfRule>
          <xm:sqref>Z706</xm:sqref>
        </x14:conditionalFormatting>
        <x14:conditionalFormatting xmlns:xm="http://schemas.microsoft.com/office/excel/2006/main">
          <x14:cfRule type="dataBar" id="{C579E329-DF09-4561-AFD3-16B9F4F09609}">
            <x14:dataBar minLength="0" maxLength="100" border="1" negativeBarBorderColorSameAsPositive="0">
              <x14:cfvo type="autoMin"/>
              <x14:cfvo type="autoMax"/>
              <x14:borderColor rgb="FF63C384"/>
              <x14:negativeFillColor rgb="FFFF0000"/>
              <x14:negativeBorderColor rgb="FFFF0000"/>
              <x14:axisColor rgb="FF000000"/>
            </x14:dataBar>
          </x14:cfRule>
          <xm:sqref>Z707</xm:sqref>
        </x14:conditionalFormatting>
        <x14:conditionalFormatting xmlns:xm="http://schemas.microsoft.com/office/excel/2006/main">
          <x14:cfRule type="dataBar" id="{BEEDFC7D-93B7-45A1-9A47-7EE0D0055079}">
            <x14:dataBar minLength="0" maxLength="100" border="1" negativeBarBorderColorSameAsPositive="0">
              <x14:cfvo type="autoMin"/>
              <x14:cfvo type="autoMax"/>
              <x14:borderColor rgb="FF63C384"/>
              <x14:negativeFillColor rgb="FFFF0000"/>
              <x14:negativeBorderColor rgb="FFFF0000"/>
              <x14:axisColor rgb="FF000000"/>
            </x14:dataBar>
          </x14:cfRule>
          <xm:sqref>Z707</xm:sqref>
        </x14:conditionalFormatting>
        <x14:conditionalFormatting xmlns:xm="http://schemas.microsoft.com/office/excel/2006/main">
          <x14:cfRule type="dataBar" id="{7D48A5E4-2554-4A69-B8F1-A769BC8947F4}">
            <x14:dataBar minLength="0" maxLength="100" border="1" negativeBarBorderColorSameAsPositive="0">
              <x14:cfvo type="autoMin"/>
              <x14:cfvo type="autoMax"/>
              <x14:borderColor rgb="FF63C384"/>
              <x14:negativeFillColor rgb="FFFF0000"/>
              <x14:negativeBorderColor rgb="FFFF0000"/>
              <x14:axisColor rgb="FF000000"/>
            </x14:dataBar>
          </x14:cfRule>
          <xm:sqref>Z705</xm:sqref>
        </x14:conditionalFormatting>
        <x14:conditionalFormatting xmlns:xm="http://schemas.microsoft.com/office/excel/2006/main">
          <x14:cfRule type="dataBar" id="{437DFD45-C8CF-4652-8FEE-D0B4338C06BF}">
            <x14:dataBar minLength="0" maxLength="100" border="1" negativeBarBorderColorSameAsPositive="0">
              <x14:cfvo type="autoMin"/>
              <x14:cfvo type="autoMax"/>
              <x14:borderColor rgb="FF63C384"/>
              <x14:negativeFillColor rgb="FFFF0000"/>
              <x14:negativeBorderColor rgb="FFFF0000"/>
              <x14:axisColor rgb="FF000000"/>
            </x14:dataBar>
          </x14:cfRule>
          <xm:sqref>Z705</xm:sqref>
        </x14:conditionalFormatting>
        <x14:conditionalFormatting xmlns:xm="http://schemas.microsoft.com/office/excel/2006/main">
          <x14:cfRule type="dataBar" id="{AE935994-29D3-4433-B374-931DCA34D946}">
            <x14:dataBar minLength="0" maxLength="100" border="1" negativeBarBorderColorSameAsPositive="0">
              <x14:cfvo type="autoMin"/>
              <x14:cfvo type="autoMax"/>
              <x14:borderColor rgb="FF63C384"/>
              <x14:negativeFillColor rgb="FFFF0000"/>
              <x14:negativeBorderColor rgb="FFFF0000"/>
              <x14:axisColor rgb="FF000000"/>
            </x14:dataBar>
          </x14:cfRule>
          <xm:sqref>Z708</xm:sqref>
        </x14:conditionalFormatting>
        <x14:conditionalFormatting xmlns:xm="http://schemas.microsoft.com/office/excel/2006/main">
          <x14:cfRule type="dataBar" id="{5D466019-D6BB-4738-9FD7-98E6FF6947C6}">
            <x14:dataBar minLength="0" maxLength="100" border="1" negativeBarBorderColorSameAsPositive="0">
              <x14:cfvo type="autoMin"/>
              <x14:cfvo type="autoMax"/>
              <x14:borderColor rgb="FF63C384"/>
              <x14:negativeFillColor rgb="FFFF0000"/>
              <x14:negativeBorderColor rgb="FFFF0000"/>
              <x14:axisColor rgb="FF000000"/>
            </x14:dataBar>
          </x14:cfRule>
          <xm:sqref>Z708</xm:sqref>
        </x14:conditionalFormatting>
        <x14:conditionalFormatting xmlns:xm="http://schemas.microsoft.com/office/excel/2006/main">
          <x14:cfRule type="dataBar" id="{80FA0C85-D5E7-4D57-B32C-6E5D0F16F1BD}">
            <x14:dataBar minLength="0" maxLength="100" border="1" negativeBarBorderColorSameAsPositive="0">
              <x14:cfvo type="autoMin"/>
              <x14:cfvo type="autoMax"/>
              <x14:borderColor rgb="FF63C384"/>
              <x14:negativeFillColor rgb="FFFF0000"/>
              <x14:negativeBorderColor rgb="FFFF0000"/>
              <x14:axisColor rgb="FF000000"/>
            </x14:dataBar>
          </x14:cfRule>
          <xm:sqref>Z708</xm:sqref>
        </x14:conditionalFormatting>
        <x14:conditionalFormatting xmlns:xm="http://schemas.microsoft.com/office/excel/2006/main">
          <x14:cfRule type="dataBar" id="{62262236-9533-48E5-B581-FFC2ED3F54CD}">
            <x14:dataBar minLength="0" maxLength="100" border="1" negativeBarBorderColorSameAsPositive="0">
              <x14:cfvo type="autoMin"/>
              <x14:cfvo type="autoMax"/>
              <x14:borderColor rgb="FF63C384"/>
              <x14:negativeFillColor rgb="FFFF0000"/>
              <x14:negativeBorderColor rgb="FFFF0000"/>
              <x14:axisColor rgb="FF000000"/>
            </x14:dataBar>
          </x14:cfRule>
          <xm:sqref>Z708</xm:sqref>
        </x14:conditionalFormatting>
        <x14:conditionalFormatting xmlns:xm="http://schemas.microsoft.com/office/excel/2006/main">
          <x14:cfRule type="dataBar" id="{F41FBD43-E832-4683-949C-5E900F00149E}">
            <x14:dataBar minLength="0" maxLength="100" border="1" negativeBarBorderColorSameAsPositive="0">
              <x14:cfvo type="autoMin"/>
              <x14:cfvo type="autoMax"/>
              <x14:borderColor rgb="FF63C384"/>
              <x14:negativeFillColor rgb="FFFF0000"/>
              <x14:negativeBorderColor rgb="FFFF0000"/>
              <x14:axisColor rgb="FF000000"/>
            </x14:dataBar>
          </x14:cfRule>
          <xm:sqref>Z710</xm:sqref>
        </x14:conditionalFormatting>
        <x14:conditionalFormatting xmlns:xm="http://schemas.microsoft.com/office/excel/2006/main">
          <x14:cfRule type="dataBar" id="{98D7C928-13EB-4D31-8A6C-DB13A242AB6F}">
            <x14:dataBar minLength="0" maxLength="100" border="1" negativeBarBorderColorSameAsPositive="0">
              <x14:cfvo type="autoMin"/>
              <x14:cfvo type="autoMax"/>
              <x14:borderColor rgb="FF63C384"/>
              <x14:negativeFillColor rgb="FFFF0000"/>
              <x14:negativeBorderColor rgb="FFFF0000"/>
              <x14:axisColor rgb="FF000000"/>
            </x14:dataBar>
          </x14:cfRule>
          <xm:sqref>Z710</xm:sqref>
        </x14:conditionalFormatting>
        <x14:conditionalFormatting xmlns:xm="http://schemas.microsoft.com/office/excel/2006/main">
          <x14:cfRule type="dataBar" id="{9E967017-7294-4E75-A39A-94BC158FE4CE}">
            <x14:dataBar minLength="0" maxLength="100" border="1" negativeBarBorderColorSameAsPositive="0">
              <x14:cfvo type="autoMin"/>
              <x14:cfvo type="autoMax"/>
              <x14:borderColor rgb="FF63C384"/>
              <x14:negativeFillColor rgb="FFFF0000"/>
              <x14:negativeBorderColor rgb="FFFF0000"/>
              <x14:axisColor rgb="FF000000"/>
            </x14:dataBar>
          </x14:cfRule>
          <xm:sqref>Z711</xm:sqref>
        </x14:conditionalFormatting>
        <x14:conditionalFormatting xmlns:xm="http://schemas.microsoft.com/office/excel/2006/main">
          <x14:cfRule type="dataBar" id="{384FF560-29F7-449D-A7E0-DFE890FB2A03}">
            <x14:dataBar minLength="0" maxLength="100" border="1" negativeBarBorderColorSameAsPositive="0">
              <x14:cfvo type="autoMin"/>
              <x14:cfvo type="autoMax"/>
              <x14:borderColor rgb="FF63C384"/>
              <x14:negativeFillColor rgb="FFFF0000"/>
              <x14:negativeBorderColor rgb="FFFF0000"/>
              <x14:axisColor rgb="FF000000"/>
            </x14:dataBar>
          </x14:cfRule>
          <xm:sqref>Z711</xm:sqref>
        </x14:conditionalFormatting>
        <x14:conditionalFormatting xmlns:xm="http://schemas.microsoft.com/office/excel/2006/main">
          <x14:cfRule type="dataBar" id="{541F4592-AFD5-4D47-9510-66B57D631CB4}">
            <x14:dataBar minLength="0" maxLength="100" border="1" negativeBarBorderColorSameAsPositive="0">
              <x14:cfvo type="autoMin"/>
              <x14:cfvo type="autoMax"/>
              <x14:borderColor rgb="FF63C384"/>
              <x14:negativeFillColor rgb="FFFF0000"/>
              <x14:negativeBorderColor rgb="FFFF0000"/>
              <x14:axisColor rgb="FF000000"/>
            </x14:dataBar>
          </x14:cfRule>
          <xm:sqref>Z711</xm:sqref>
        </x14:conditionalFormatting>
        <x14:conditionalFormatting xmlns:xm="http://schemas.microsoft.com/office/excel/2006/main">
          <x14:cfRule type="dataBar" id="{FA1A007F-BE82-41D1-A24B-CB5B5A1B65B2}">
            <x14:dataBar minLength="0" maxLength="100" border="1" negativeBarBorderColorSameAsPositive="0">
              <x14:cfvo type="autoMin"/>
              <x14:cfvo type="autoMax"/>
              <x14:borderColor rgb="FF63C384"/>
              <x14:negativeFillColor rgb="FFFF0000"/>
              <x14:negativeBorderColor rgb="FFFF0000"/>
              <x14:axisColor rgb="FF000000"/>
            </x14:dataBar>
          </x14:cfRule>
          <xm:sqref>Z711</xm:sqref>
        </x14:conditionalFormatting>
        <x14:conditionalFormatting xmlns:xm="http://schemas.microsoft.com/office/excel/2006/main">
          <x14:cfRule type="dataBar" id="{6F8AABEE-9EED-4FF1-8816-857286DC5472}">
            <x14:dataBar minLength="0" maxLength="100" border="1" negativeBarBorderColorSameAsPositive="0">
              <x14:cfvo type="autoMin"/>
              <x14:cfvo type="autoMax"/>
              <x14:borderColor rgb="FF63C384"/>
              <x14:negativeFillColor rgb="FFFF0000"/>
              <x14:negativeBorderColor rgb="FFFF0000"/>
              <x14:axisColor rgb="FF000000"/>
            </x14:dataBar>
          </x14:cfRule>
          <xm:sqref>Z710</xm:sqref>
        </x14:conditionalFormatting>
        <x14:conditionalFormatting xmlns:xm="http://schemas.microsoft.com/office/excel/2006/main">
          <x14:cfRule type="dataBar" id="{87DA21E7-F7FE-4794-A187-5636991FCC7E}">
            <x14:dataBar minLength="0" maxLength="100" border="1" negativeBarBorderColorSameAsPositive="0">
              <x14:cfvo type="autoMin"/>
              <x14:cfvo type="autoMax"/>
              <x14:borderColor rgb="FF63C384"/>
              <x14:negativeFillColor rgb="FFFF0000"/>
              <x14:negativeBorderColor rgb="FFFF0000"/>
              <x14:axisColor rgb="FF000000"/>
            </x14:dataBar>
          </x14:cfRule>
          <xm:sqref>Z710</xm:sqref>
        </x14:conditionalFormatting>
        <x14:conditionalFormatting xmlns:xm="http://schemas.microsoft.com/office/excel/2006/main">
          <x14:cfRule type="dataBar" id="{41DBF123-9337-44C0-A5B5-CB104DBFCB34}">
            <x14:dataBar minLength="0" maxLength="100" border="1" negativeBarBorderColorSameAsPositive="0">
              <x14:cfvo type="autoMin"/>
              <x14:cfvo type="autoMax"/>
              <x14:borderColor rgb="FF63C384"/>
              <x14:negativeFillColor rgb="FFFF0000"/>
              <x14:negativeBorderColor rgb="FFFF0000"/>
              <x14:axisColor rgb="FF000000"/>
            </x14:dataBar>
          </x14:cfRule>
          <xm:sqref>Z711</xm:sqref>
        </x14:conditionalFormatting>
        <x14:conditionalFormatting xmlns:xm="http://schemas.microsoft.com/office/excel/2006/main">
          <x14:cfRule type="dataBar" id="{2DC70C85-8CD0-4088-A4BD-59972D964A2D}">
            <x14:dataBar minLength="0" maxLength="100" border="1" negativeBarBorderColorSameAsPositive="0">
              <x14:cfvo type="autoMin"/>
              <x14:cfvo type="autoMax"/>
              <x14:borderColor rgb="FF63C384"/>
              <x14:negativeFillColor rgb="FFFF0000"/>
              <x14:negativeBorderColor rgb="FFFF0000"/>
              <x14:axisColor rgb="FF000000"/>
            </x14:dataBar>
          </x14:cfRule>
          <xm:sqref>Z711</xm:sqref>
        </x14:conditionalFormatting>
        <x14:conditionalFormatting xmlns:xm="http://schemas.microsoft.com/office/excel/2006/main">
          <x14:cfRule type="dataBar" id="{4E1E4C7B-1A3F-47BE-9DD4-620CC1828F73}">
            <x14:dataBar minLength="0" maxLength="100" border="1" negativeBarBorderColorSameAsPositive="0">
              <x14:cfvo type="autoMin"/>
              <x14:cfvo type="autoMax"/>
              <x14:borderColor rgb="FF63C384"/>
              <x14:negativeFillColor rgb="FFFF0000"/>
              <x14:negativeBorderColor rgb="FFFF0000"/>
              <x14:axisColor rgb="FF000000"/>
            </x14:dataBar>
          </x14:cfRule>
          <xm:sqref>Z712</xm:sqref>
        </x14:conditionalFormatting>
        <x14:conditionalFormatting xmlns:xm="http://schemas.microsoft.com/office/excel/2006/main">
          <x14:cfRule type="dataBar" id="{253DDE69-B8F1-456E-BAB4-44825372D361}">
            <x14:dataBar minLength="0" maxLength="100" border="1" negativeBarBorderColorSameAsPositive="0">
              <x14:cfvo type="autoMin"/>
              <x14:cfvo type="autoMax"/>
              <x14:borderColor rgb="FF63C384"/>
              <x14:negativeFillColor rgb="FFFF0000"/>
              <x14:negativeBorderColor rgb="FFFF0000"/>
              <x14:axisColor rgb="FF000000"/>
            </x14:dataBar>
          </x14:cfRule>
          <xm:sqref>Z712</xm:sqref>
        </x14:conditionalFormatting>
        <x14:conditionalFormatting xmlns:xm="http://schemas.microsoft.com/office/excel/2006/main">
          <x14:cfRule type="dataBar" id="{1997F0F4-D608-4C60-8367-EF1D14D03800}">
            <x14:dataBar minLength="0" maxLength="100" border="1" negativeBarBorderColorSameAsPositive="0">
              <x14:cfvo type="autoMin"/>
              <x14:cfvo type="autoMax"/>
              <x14:borderColor rgb="FF63C384"/>
              <x14:negativeFillColor rgb="FFFF0000"/>
              <x14:negativeBorderColor rgb="FFFF0000"/>
              <x14:axisColor rgb="FF000000"/>
            </x14:dataBar>
          </x14:cfRule>
          <xm:sqref>Z712</xm:sqref>
        </x14:conditionalFormatting>
        <x14:conditionalFormatting xmlns:xm="http://schemas.microsoft.com/office/excel/2006/main">
          <x14:cfRule type="dataBar" id="{73C2E97E-E20A-429D-971B-6247A84652CF}">
            <x14:dataBar minLength="0" maxLength="100" border="1" negativeBarBorderColorSameAsPositive="0">
              <x14:cfvo type="autoMin"/>
              <x14:cfvo type="autoMax"/>
              <x14:borderColor rgb="FF63C384"/>
              <x14:negativeFillColor rgb="FFFF0000"/>
              <x14:negativeBorderColor rgb="FFFF0000"/>
              <x14:axisColor rgb="FF000000"/>
            </x14:dataBar>
          </x14:cfRule>
          <xm:sqref>Z712</xm:sqref>
        </x14:conditionalFormatting>
        <x14:conditionalFormatting xmlns:xm="http://schemas.microsoft.com/office/excel/2006/main">
          <x14:cfRule type="dataBar" id="{54F51F2D-1A30-474E-B1F1-9772BDB535A3}">
            <x14:dataBar minLength="0" maxLength="100" border="1" negativeBarBorderColorSameAsPositive="0">
              <x14:cfvo type="autoMin"/>
              <x14:cfvo type="autoMax"/>
              <x14:borderColor rgb="FF63C384"/>
              <x14:negativeFillColor rgb="FFFF0000"/>
              <x14:negativeBorderColor rgb="FFFF0000"/>
              <x14:axisColor rgb="FF000000"/>
            </x14:dataBar>
          </x14:cfRule>
          <xm:sqref>Z709</xm:sqref>
        </x14:conditionalFormatting>
        <x14:conditionalFormatting xmlns:xm="http://schemas.microsoft.com/office/excel/2006/main">
          <x14:cfRule type="dataBar" id="{74CE74F2-6A7C-4983-92CA-D261374F8ABF}">
            <x14:dataBar minLength="0" maxLength="100" border="1" negativeBarBorderColorSameAsPositive="0">
              <x14:cfvo type="autoMin"/>
              <x14:cfvo type="autoMax"/>
              <x14:borderColor rgb="FF63C384"/>
              <x14:negativeFillColor rgb="FFFF0000"/>
              <x14:negativeBorderColor rgb="FFFF0000"/>
              <x14:axisColor rgb="FF000000"/>
            </x14:dataBar>
          </x14:cfRule>
          <xm:sqref>Z709</xm:sqref>
        </x14:conditionalFormatting>
        <x14:conditionalFormatting xmlns:xm="http://schemas.microsoft.com/office/excel/2006/main">
          <x14:cfRule type="dataBar" id="{170A4F13-9D34-49B3-8529-EEF8F79A0B4B}">
            <x14:dataBar minLength="0" maxLength="100" border="1" negativeBarBorderColorSameAsPositive="0">
              <x14:cfvo type="autoMin"/>
              <x14:cfvo type="autoMax"/>
              <x14:borderColor rgb="FF63C384"/>
              <x14:negativeFillColor rgb="FFFF0000"/>
              <x14:negativeBorderColor rgb="FFFF0000"/>
              <x14:axisColor rgb="FF000000"/>
            </x14:dataBar>
          </x14:cfRule>
          <xm:sqref>Z713</xm:sqref>
        </x14:conditionalFormatting>
        <x14:conditionalFormatting xmlns:xm="http://schemas.microsoft.com/office/excel/2006/main">
          <x14:cfRule type="dataBar" id="{6A16745B-64EA-4500-A9FA-0B0625F94F0B}">
            <x14:dataBar minLength="0" maxLength="100" border="1" negativeBarBorderColorSameAsPositive="0">
              <x14:cfvo type="autoMin"/>
              <x14:cfvo type="autoMax"/>
              <x14:borderColor rgb="FF63C384"/>
              <x14:negativeFillColor rgb="FFFF0000"/>
              <x14:negativeBorderColor rgb="FFFF0000"/>
              <x14:axisColor rgb="FF000000"/>
            </x14:dataBar>
          </x14:cfRule>
          <xm:sqref>Z713</xm:sqref>
        </x14:conditionalFormatting>
        <x14:conditionalFormatting xmlns:xm="http://schemas.microsoft.com/office/excel/2006/main">
          <x14:cfRule type="dataBar" id="{E5AB2C4B-FE03-4171-A551-38D02E3945D9}">
            <x14:dataBar minLength="0" maxLength="100" border="1" negativeBarBorderColorSameAsPositive="0">
              <x14:cfvo type="autoMin"/>
              <x14:cfvo type="autoMax"/>
              <x14:borderColor rgb="FF63C384"/>
              <x14:negativeFillColor rgb="FFFF0000"/>
              <x14:negativeBorderColor rgb="FFFF0000"/>
              <x14:axisColor rgb="FF000000"/>
            </x14:dataBar>
          </x14:cfRule>
          <xm:sqref>Z713</xm:sqref>
        </x14:conditionalFormatting>
        <x14:conditionalFormatting xmlns:xm="http://schemas.microsoft.com/office/excel/2006/main">
          <x14:cfRule type="dataBar" id="{84910E43-7244-43DD-A437-0038AA8CE5E0}">
            <x14:dataBar minLength="0" maxLength="100" border="1" negativeBarBorderColorSameAsPositive="0">
              <x14:cfvo type="autoMin"/>
              <x14:cfvo type="autoMax"/>
              <x14:borderColor rgb="FF63C384"/>
              <x14:negativeFillColor rgb="FFFF0000"/>
              <x14:negativeBorderColor rgb="FFFF0000"/>
              <x14:axisColor rgb="FF000000"/>
            </x14:dataBar>
          </x14:cfRule>
          <xm:sqref>Z713</xm:sqref>
        </x14:conditionalFormatting>
        <x14:conditionalFormatting xmlns:xm="http://schemas.microsoft.com/office/excel/2006/main">
          <x14:cfRule type="dataBar" id="{4F3F01E1-372C-4CD5-9F62-8FD340120F8E}">
            <x14:dataBar minLength="0" maxLength="100" border="1" negativeBarBorderColorSameAsPositive="0">
              <x14:cfvo type="autoMin"/>
              <x14:cfvo type="autoMax"/>
              <x14:borderColor rgb="FF63C384"/>
              <x14:negativeFillColor rgb="FFFF0000"/>
              <x14:negativeBorderColor rgb="FFFF0000"/>
              <x14:axisColor rgb="FF000000"/>
            </x14:dataBar>
          </x14:cfRule>
          <xm:sqref>Z714</xm:sqref>
        </x14:conditionalFormatting>
        <x14:conditionalFormatting xmlns:xm="http://schemas.microsoft.com/office/excel/2006/main">
          <x14:cfRule type="dataBar" id="{99F2C83D-BC42-44A6-8093-25CE5864FD18}">
            <x14:dataBar minLength="0" maxLength="100" border="1" negativeBarBorderColorSameAsPositive="0">
              <x14:cfvo type="autoMin"/>
              <x14:cfvo type="autoMax"/>
              <x14:borderColor rgb="FF63C384"/>
              <x14:negativeFillColor rgb="FFFF0000"/>
              <x14:negativeBorderColor rgb="FFFF0000"/>
              <x14:axisColor rgb="FF000000"/>
            </x14:dataBar>
          </x14:cfRule>
          <xm:sqref>Z714</xm:sqref>
        </x14:conditionalFormatting>
        <x14:conditionalFormatting xmlns:xm="http://schemas.microsoft.com/office/excel/2006/main">
          <x14:cfRule type="dataBar" id="{5E925182-7B7E-40CC-A10F-E0223EF1E782}">
            <x14:dataBar minLength="0" maxLength="100" border="1" negativeBarBorderColorSameAsPositive="0">
              <x14:cfvo type="autoMin"/>
              <x14:cfvo type="autoMax"/>
              <x14:borderColor rgb="FF63C384"/>
              <x14:negativeFillColor rgb="FFFF0000"/>
              <x14:negativeBorderColor rgb="FFFF0000"/>
              <x14:axisColor rgb="FF000000"/>
            </x14:dataBar>
          </x14:cfRule>
          <xm:sqref>Z715</xm:sqref>
        </x14:conditionalFormatting>
        <x14:conditionalFormatting xmlns:xm="http://schemas.microsoft.com/office/excel/2006/main">
          <x14:cfRule type="dataBar" id="{8FE030EA-E046-4145-A6E8-648D8D463649}">
            <x14:dataBar minLength="0" maxLength="100" border="1" negativeBarBorderColorSameAsPositive="0">
              <x14:cfvo type="autoMin"/>
              <x14:cfvo type="autoMax"/>
              <x14:borderColor rgb="FF63C384"/>
              <x14:negativeFillColor rgb="FFFF0000"/>
              <x14:negativeBorderColor rgb="FFFF0000"/>
              <x14:axisColor rgb="FF000000"/>
            </x14:dataBar>
          </x14:cfRule>
          <xm:sqref>Z715</xm:sqref>
        </x14:conditionalFormatting>
        <x14:conditionalFormatting xmlns:xm="http://schemas.microsoft.com/office/excel/2006/main">
          <x14:cfRule type="dataBar" id="{5EFBDF0D-B2FE-427D-9F5F-7CDDC43454E4}">
            <x14:dataBar minLength="0" maxLength="100" border="1" negativeBarBorderColorSameAsPositive="0">
              <x14:cfvo type="autoMin"/>
              <x14:cfvo type="autoMax"/>
              <x14:borderColor rgb="FF63C384"/>
              <x14:negativeFillColor rgb="FFFF0000"/>
              <x14:negativeBorderColor rgb="FFFF0000"/>
              <x14:axisColor rgb="FF000000"/>
            </x14:dataBar>
          </x14:cfRule>
          <xm:sqref>Z716</xm:sqref>
        </x14:conditionalFormatting>
        <x14:conditionalFormatting xmlns:xm="http://schemas.microsoft.com/office/excel/2006/main">
          <x14:cfRule type="dataBar" id="{3C911C50-D2F1-4504-B1F4-1E95B6801133}">
            <x14:dataBar minLength="0" maxLength="100" border="1" negativeBarBorderColorSameAsPositive="0">
              <x14:cfvo type="autoMin"/>
              <x14:cfvo type="autoMax"/>
              <x14:borderColor rgb="FF63C384"/>
              <x14:negativeFillColor rgb="FFFF0000"/>
              <x14:negativeBorderColor rgb="FFFF0000"/>
              <x14:axisColor rgb="FF000000"/>
            </x14:dataBar>
          </x14:cfRule>
          <xm:sqref>Z716</xm:sqref>
        </x14:conditionalFormatting>
        <x14:conditionalFormatting xmlns:xm="http://schemas.microsoft.com/office/excel/2006/main">
          <x14:cfRule type="dataBar" id="{2F618E75-09BF-432B-ACB0-693C6A6DD643}">
            <x14:dataBar minLength="0" maxLength="100" border="1" negativeBarBorderColorSameAsPositive="0">
              <x14:cfvo type="autoMin"/>
              <x14:cfvo type="autoMax"/>
              <x14:borderColor rgb="FF63C384"/>
              <x14:negativeFillColor rgb="FFFF0000"/>
              <x14:negativeBorderColor rgb="FFFF0000"/>
              <x14:axisColor rgb="FF000000"/>
            </x14:dataBar>
          </x14:cfRule>
          <xm:sqref>Z717</xm:sqref>
        </x14:conditionalFormatting>
        <x14:conditionalFormatting xmlns:xm="http://schemas.microsoft.com/office/excel/2006/main">
          <x14:cfRule type="dataBar" id="{FD4D0F85-E898-443E-8C91-A7E645A27F85}">
            <x14:dataBar minLength="0" maxLength="100" border="1" negativeBarBorderColorSameAsPositive="0">
              <x14:cfvo type="autoMin"/>
              <x14:cfvo type="autoMax"/>
              <x14:borderColor rgb="FF63C384"/>
              <x14:negativeFillColor rgb="FFFF0000"/>
              <x14:negativeBorderColor rgb="FFFF0000"/>
              <x14:axisColor rgb="FF000000"/>
            </x14:dataBar>
          </x14:cfRule>
          <xm:sqref>Z717</xm:sqref>
        </x14:conditionalFormatting>
        <x14:conditionalFormatting xmlns:xm="http://schemas.microsoft.com/office/excel/2006/main">
          <x14:cfRule type="dataBar" id="{E2C1B980-05B9-4351-A7D1-D97CF15B87BE}">
            <x14:dataBar minLength="0" maxLength="100" border="1" negativeBarBorderColorSameAsPositive="0">
              <x14:cfvo type="autoMin"/>
              <x14:cfvo type="autoMax"/>
              <x14:borderColor rgb="FF63C384"/>
              <x14:negativeFillColor rgb="FFFF0000"/>
              <x14:negativeBorderColor rgb="FFFF0000"/>
              <x14:axisColor rgb="FF000000"/>
            </x14:dataBar>
          </x14:cfRule>
          <xm:sqref>Z717</xm:sqref>
        </x14:conditionalFormatting>
        <x14:conditionalFormatting xmlns:xm="http://schemas.microsoft.com/office/excel/2006/main">
          <x14:cfRule type="dataBar" id="{E2B93019-3543-48F4-8C18-D94E6FE70482}">
            <x14:dataBar minLength="0" maxLength="100" border="1" negativeBarBorderColorSameAsPositive="0">
              <x14:cfvo type="autoMin"/>
              <x14:cfvo type="autoMax"/>
              <x14:borderColor rgb="FF63C384"/>
              <x14:negativeFillColor rgb="FFFF0000"/>
              <x14:negativeBorderColor rgb="FFFF0000"/>
              <x14:axisColor rgb="FF000000"/>
            </x14:dataBar>
          </x14:cfRule>
          <xm:sqref>Z717</xm:sqref>
        </x14:conditionalFormatting>
        <x14:conditionalFormatting xmlns:xm="http://schemas.microsoft.com/office/excel/2006/main">
          <x14:cfRule type="dataBar" id="{C6AF5600-ADF3-457D-B0B0-90C1088645EB}">
            <x14:dataBar minLength="0" maxLength="100" border="1" negativeBarBorderColorSameAsPositive="0">
              <x14:cfvo type="autoMin"/>
              <x14:cfvo type="autoMax"/>
              <x14:borderColor rgb="FF63C384"/>
              <x14:negativeFillColor rgb="FFFF0000"/>
              <x14:negativeBorderColor rgb="FFFF0000"/>
              <x14:axisColor rgb="FF000000"/>
            </x14:dataBar>
          </x14:cfRule>
          <xm:sqref>Z718</xm:sqref>
        </x14:conditionalFormatting>
        <x14:conditionalFormatting xmlns:xm="http://schemas.microsoft.com/office/excel/2006/main">
          <x14:cfRule type="dataBar" id="{964D77A3-DF58-4F55-9508-DEF47C66772E}">
            <x14:dataBar minLength="0" maxLength="100" border="1" negativeBarBorderColorSameAsPositive="0">
              <x14:cfvo type="autoMin"/>
              <x14:cfvo type="autoMax"/>
              <x14:borderColor rgb="FF63C384"/>
              <x14:negativeFillColor rgb="FFFF0000"/>
              <x14:negativeBorderColor rgb="FFFF0000"/>
              <x14:axisColor rgb="FF000000"/>
            </x14:dataBar>
          </x14:cfRule>
          <xm:sqref>Z718</xm:sqref>
        </x14:conditionalFormatting>
        <x14:conditionalFormatting xmlns:xm="http://schemas.microsoft.com/office/excel/2006/main">
          <x14:cfRule type="dataBar" id="{36DC69F2-D123-487A-84DD-1FE3D1DB95ED}">
            <x14:dataBar minLength="0" maxLength="100" border="1" negativeBarBorderColorSameAsPositive="0">
              <x14:cfvo type="autoMin"/>
              <x14:cfvo type="autoMax"/>
              <x14:borderColor rgb="FF63C384"/>
              <x14:negativeFillColor rgb="FFFF0000"/>
              <x14:negativeBorderColor rgb="FFFF0000"/>
              <x14:axisColor rgb="FF000000"/>
            </x14:dataBar>
          </x14:cfRule>
          <xm:sqref>Z719</xm:sqref>
        </x14:conditionalFormatting>
        <x14:conditionalFormatting xmlns:xm="http://schemas.microsoft.com/office/excel/2006/main">
          <x14:cfRule type="dataBar" id="{C62318FA-0FB7-4E81-9F50-7B78554E011E}">
            <x14:dataBar minLength="0" maxLength="100" border="1" negativeBarBorderColorSameAsPositive="0">
              <x14:cfvo type="autoMin"/>
              <x14:cfvo type="autoMax"/>
              <x14:borderColor rgb="FF63C384"/>
              <x14:negativeFillColor rgb="FFFF0000"/>
              <x14:negativeBorderColor rgb="FFFF0000"/>
              <x14:axisColor rgb="FF000000"/>
            </x14:dataBar>
          </x14:cfRule>
          <xm:sqref>Z719</xm:sqref>
        </x14:conditionalFormatting>
        <x14:conditionalFormatting xmlns:xm="http://schemas.microsoft.com/office/excel/2006/main">
          <x14:cfRule type="dataBar" id="{50B27DBA-56EE-496D-844D-93BABD16C699}">
            <x14:dataBar minLength="0" maxLength="100" border="1" negativeBarBorderColorSameAsPositive="0">
              <x14:cfvo type="autoMin"/>
              <x14:cfvo type="autoMax"/>
              <x14:borderColor rgb="FF63C384"/>
              <x14:negativeFillColor rgb="FFFF0000"/>
              <x14:negativeBorderColor rgb="FFFF0000"/>
              <x14:axisColor rgb="FF000000"/>
            </x14:dataBar>
          </x14:cfRule>
          <xm:sqref>Z719</xm:sqref>
        </x14:conditionalFormatting>
        <x14:conditionalFormatting xmlns:xm="http://schemas.microsoft.com/office/excel/2006/main">
          <x14:cfRule type="dataBar" id="{977A0683-2C07-4066-AB5A-28E30355139A}">
            <x14:dataBar minLength="0" maxLength="100" border="1" negativeBarBorderColorSameAsPositive="0">
              <x14:cfvo type="autoMin"/>
              <x14:cfvo type="autoMax"/>
              <x14:borderColor rgb="FF63C384"/>
              <x14:negativeFillColor rgb="FFFF0000"/>
              <x14:negativeBorderColor rgb="FFFF0000"/>
              <x14:axisColor rgb="FF000000"/>
            </x14:dataBar>
          </x14:cfRule>
          <xm:sqref>Z719</xm:sqref>
        </x14:conditionalFormatting>
        <x14:conditionalFormatting xmlns:xm="http://schemas.microsoft.com/office/excel/2006/main">
          <x14:cfRule type="dataBar" id="{6D5C2703-2FD0-480A-9068-3FE195F2FE9F}">
            <x14:dataBar minLength="0" maxLength="100" border="1" negativeBarBorderColorSameAsPositive="0">
              <x14:cfvo type="autoMin"/>
              <x14:cfvo type="autoMax"/>
              <x14:borderColor rgb="FF63C384"/>
              <x14:negativeFillColor rgb="FFFF0000"/>
              <x14:negativeBorderColor rgb="FFFF0000"/>
              <x14:axisColor rgb="FF000000"/>
            </x14:dataBar>
          </x14:cfRule>
          <xm:sqref>Z720</xm:sqref>
        </x14:conditionalFormatting>
        <x14:conditionalFormatting xmlns:xm="http://schemas.microsoft.com/office/excel/2006/main">
          <x14:cfRule type="dataBar" id="{949A4767-11B9-4F7E-94D5-1C4C108EAF60}">
            <x14:dataBar minLength="0" maxLength="100" border="1" negativeBarBorderColorSameAsPositive="0">
              <x14:cfvo type="autoMin"/>
              <x14:cfvo type="autoMax"/>
              <x14:borderColor rgb="FF63C384"/>
              <x14:negativeFillColor rgb="FFFF0000"/>
              <x14:negativeBorderColor rgb="FFFF0000"/>
              <x14:axisColor rgb="FF000000"/>
            </x14:dataBar>
          </x14:cfRule>
          <xm:sqref>Z720</xm:sqref>
        </x14:conditionalFormatting>
        <x14:conditionalFormatting xmlns:xm="http://schemas.microsoft.com/office/excel/2006/main">
          <x14:cfRule type="dataBar" id="{DFF012AF-16F5-4DBC-BFB9-58B40F9FE7FA}">
            <x14:dataBar minLength="0" maxLength="100" border="1" negativeBarBorderColorSameAsPositive="0">
              <x14:cfvo type="autoMin"/>
              <x14:cfvo type="autoMax"/>
              <x14:borderColor rgb="FF63C384"/>
              <x14:negativeFillColor rgb="FFFF0000"/>
              <x14:negativeBorderColor rgb="FFFF0000"/>
              <x14:axisColor rgb="FF000000"/>
            </x14:dataBar>
          </x14:cfRule>
          <xm:sqref>Z721</xm:sqref>
        </x14:conditionalFormatting>
        <x14:conditionalFormatting xmlns:xm="http://schemas.microsoft.com/office/excel/2006/main">
          <x14:cfRule type="dataBar" id="{104EF69E-7508-4BDE-BDF5-2101AD61ADA6}">
            <x14:dataBar minLength="0" maxLength="100" border="1" negativeBarBorderColorSameAsPositive="0">
              <x14:cfvo type="autoMin"/>
              <x14:cfvo type="autoMax"/>
              <x14:borderColor rgb="FF63C384"/>
              <x14:negativeFillColor rgb="FFFF0000"/>
              <x14:negativeBorderColor rgb="FFFF0000"/>
              <x14:axisColor rgb="FF000000"/>
            </x14:dataBar>
          </x14:cfRule>
          <xm:sqref>Z721</xm:sqref>
        </x14:conditionalFormatting>
        <x14:conditionalFormatting xmlns:xm="http://schemas.microsoft.com/office/excel/2006/main">
          <x14:cfRule type="dataBar" id="{3CAA392C-04F0-43DA-9A8F-45156CFA7650}">
            <x14:dataBar minLength="0" maxLength="100" border="1" negativeBarBorderColorSameAsPositive="0">
              <x14:cfvo type="autoMin"/>
              <x14:cfvo type="autoMax"/>
              <x14:borderColor rgb="FF63C384"/>
              <x14:negativeFillColor rgb="FFFF0000"/>
              <x14:negativeBorderColor rgb="FFFF0000"/>
              <x14:axisColor rgb="FF000000"/>
            </x14:dataBar>
          </x14:cfRule>
          <xm:sqref>Z722</xm:sqref>
        </x14:conditionalFormatting>
        <x14:conditionalFormatting xmlns:xm="http://schemas.microsoft.com/office/excel/2006/main">
          <x14:cfRule type="dataBar" id="{4FB9C187-32A5-46C9-A521-F11C7DA9EDC1}">
            <x14:dataBar minLength="0" maxLength="100" border="1" negativeBarBorderColorSameAsPositive="0">
              <x14:cfvo type="autoMin"/>
              <x14:cfvo type="autoMax"/>
              <x14:borderColor rgb="FF63C384"/>
              <x14:negativeFillColor rgb="FFFF0000"/>
              <x14:negativeBorderColor rgb="FFFF0000"/>
              <x14:axisColor rgb="FF000000"/>
            </x14:dataBar>
          </x14:cfRule>
          <xm:sqref>Z722</xm:sqref>
        </x14:conditionalFormatting>
        <x14:conditionalFormatting xmlns:xm="http://schemas.microsoft.com/office/excel/2006/main">
          <x14:cfRule type="dataBar" id="{55C1DF71-3E64-4EE1-9E0B-815AA3CEADEC}">
            <x14:dataBar minLength="0" maxLength="100" border="1" negativeBarBorderColorSameAsPositive="0">
              <x14:cfvo type="autoMin"/>
              <x14:cfvo type="autoMax"/>
              <x14:borderColor rgb="FF63C384"/>
              <x14:negativeFillColor rgb="FFFF0000"/>
              <x14:negativeBorderColor rgb="FFFF0000"/>
              <x14:axisColor rgb="FF000000"/>
            </x14:dataBar>
          </x14:cfRule>
          <xm:sqref>Z722</xm:sqref>
        </x14:conditionalFormatting>
        <x14:conditionalFormatting xmlns:xm="http://schemas.microsoft.com/office/excel/2006/main">
          <x14:cfRule type="dataBar" id="{17B616C6-371F-4B16-AB54-B37928BB6E10}">
            <x14:dataBar minLength="0" maxLength="100" border="1" negativeBarBorderColorSameAsPositive="0">
              <x14:cfvo type="autoMin"/>
              <x14:cfvo type="autoMax"/>
              <x14:borderColor rgb="FF63C384"/>
              <x14:negativeFillColor rgb="FFFF0000"/>
              <x14:negativeBorderColor rgb="FFFF0000"/>
              <x14:axisColor rgb="FF000000"/>
            </x14:dataBar>
          </x14:cfRule>
          <xm:sqref>Z722</xm:sqref>
        </x14:conditionalFormatting>
        <x14:conditionalFormatting xmlns:xm="http://schemas.microsoft.com/office/excel/2006/main">
          <x14:cfRule type="dataBar" id="{44390AB0-CDEE-40C8-B899-D560D0DC3D1C}">
            <x14:dataBar minLength="0" maxLength="100" border="1" negativeBarBorderColorSameAsPositive="0">
              <x14:cfvo type="autoMin"/>
              <x14:cfvo type="autoMax"/>
              <x14:borderColor rgb="FF63C384"/>
              <x14:negativeFillColor rgb="FFFF0000"/>
              <x14:negativeBorderColor rgb="FFFF0000"/>
              <x14:axisColor rgb="FF000000"/>
            </x14:dataBar>
          </x14:cfRule>
          <xm:sqref>Z723</xm:sqref>
        </x14:conditionalFormatting>
        <x14:conditionalFormatting xmlns:xm="http://schemas.microsoft.com/office/excel/2006/main">
          <x14:cfRule type="dataBar" id="{384A7E4E-2F0E-41B2-950C-A9F292E7DE9E}">
            <x14:dataBar minLength="0" maxLength="100" border="1" negativeBarBorderColorSameAsPositive="0">
              <x14:cfvo type="autoMin"/>
              <x14:cfvo type="autoMax"/>
              <x14:borderColor rgb="FF63C384"/>
              <x14:negativeFillColor rgb="FFFF0000"/>
              <x14:negativeBorderColor rgb="FFFF0000"/>
              <x14:axisColor rgb="FF000000"/>
            </x14:dataBar>
          </x14:cfRule>
          <xm:sqref>Z723</xm:sqref>
        </x14:conditionalFormatting>
        <x14:conditionalFormatting xmlns:xm="http://schemas.microsoft.com/office/excel/2006/main">
          <x14:cfRule type="dataBar" id="{AAA83019-E70D-4C68-A4AC-989D1D83F878}">
            <x14:dataBar minLength="0" maxLength="100" border="1" negativeBarBorderColorSameAsPositive="0">
              <x14:cfvo type="autoMin"/>
              <x14:cfvo type="autoMax"/>
              <x14:borderColor rgb="FF63C384"/>
              <x14:negativeFillColor rgb="FFFF0000"/>
              <x14:negativeBorderColor rgb="FFFF0000"/>
              <x14:axisColor rgb="FF000000"/>
            </x14:dataBar>
          </x14:cfRule>
          <xm:sqref>Z724</xm:sqref>
        </x14:conditionalFormatting>
        <x14:conditionalFormatting xmlns:xm="http://schemas.microsoft.com/office/excel/2006/main">
          <x14:cfRule type="dataBar" id="{613D4B9A-5B01-413F-8F68-295230C9DC8D}">
            <x14:dataBar minLength="0" maxLength="100" border="1" negativeBarBorderColorSameAsPositive="0">
              <x14:cfvo type="autoMin"/>
              <x14:cfvo type="autoMax"/>
              <x14:borderColor rgb="FF63C384"/>
              <x14:negativeFillColor rgb="FFFF0000"/>
              <x14:negativeBorderColor rgb="FFFF0000"/>
              <x14:axisColor rgb="FF000000"/>
            </x14:dataBar>
          </x14:cfRule>
          <xm:sqref>Z724</xm:sqref>
        </x14:conditionalFormatting>
        <x14:conditionalFormatting xmlns:xm="http://schemas.microsoft.com/office/excel/2006/main">
          <x14:cfRule type="dataBar" id="{83CAA6A6-629F-4EA5-A874-C205DB31F1B8}">
            <x14:dataBar minLength="0" maxLength="100" border="1" negativeBarBorderColorSameAsPositive="0">
              <x14:cfvo type="autoMin"/>
              <x14:cfvo type="autoMax"/>
              <x14:borderColor rgb="FF63C384"/>
              <x14:negativeFillColor rgb="FFFF0000"/>
              <x14:negativeBorderColor rgb="FFFF0000"/>
              <x14:axisColor rgb="FF000000"/>
            </x14:dataBar>
          </x14:cfRule>
          <xm:sqref>Z724</xm:sqref>
        </x14:conditionalFormatting>
        <x14:conditionalFormatting xmlns:xm="http://schemas.microsoft.com/office/excel/2006/main">
          <x14:cfRule type="dataBar" id="{6A66C597-5640-4156-BF20-F1C0A62F89BA}">
            <x14:dataBar minLength="0" maxLength="100" border="1" negativeBarBorderColorSameAsPositive="0">
              <x14:cfvo type="autoMin"/>
              <x14:cfvo type="autoMax"/>
              <x14:borderColor rgb="FF63C384"/>
              <x14:negativeFillColor rgb="FFFF0000"/>
              <x14:negativeBorderColor rgb="FFFF0000"/>
              <x14:axisColor rgb="FF000000"/>
            </x14:dataBar>
          </x14:cfRule>
          <xm:sqref>Z724</xm:sqref>
        </x14:conditionalFormatting>
        <x14:conditionalFormatting xmlns:xm="http://schemas.microsoft.com/office/excel/2006/main">
          <x14:cfRule type="dataBar" id="{698DE54A-CC9E-448C-9710-0692A00272B4}">
            <x14:dataBar minLength="0" maxLength="100" border="1" negativeBarBorderColorSameAsPositive="0">
              <x14:cfvo type="autoMin"/>
              <x14:cfvo type="autoMax"/>
              <x14:borderColor rgb="FF63C384"/>
              <x14:negativeFillColor rgb="FFFF0000"/>
              <x14:negativeBorderColor rgb="FFFF0000"/>
              <x14:axisColor rgb="FF000000"/>
            </x14:dataBar>
          </x14:cfRule>
          <xm:sqref>Z724</xm:sqref>
        </x14:conditionalFormatting>
        <x14:conditionalFormatting xmlns:xm="http://schemas.microsoft.com/office/excel/2006/main">
          <x14:cfRule type="dataBar" id="{DB8CFA17-A90F-4FC1-9D69-7B14D8531E13}">
            <x14:dataBar minLength="0" maxLength="100" border="1" negativeBarBorderColorSameAsPositive="0">
              <x14:cfvo type="autoMin"/>
              <x14:cfvo type="autoMax"/>
              <x14:borderColor rgb="FF63C384"/>
              <x14:negativeFillColor rgb="FFFF0000"/>
              <x14:negativeBorderColor rgb="FFFF0000"/>
              <x14:axisColor rgb="FF000000"/>
            </x14:dataBar>
          </x14:cfRule>
          <xm:sqref>Z724</xm:sqref>
        </x14:conditionalFormatting>
        <x14:conditionalFormatting xmlns:xm="http://schemas.microsoft.com/office/excel/2006/main">
          <x14:cfRule type="dataBar" id="{E8CF27B5-CDF3-462B-A8C2-5083832DB6CE}">
            <x14:dataBar minLength="0" maxLength="100" border="1" negativeBarBorderColorSameAsPositive="0">
              <x14:cfvo type="autoMin"/>
              <x14:cfvo type="autoMax"/>
              <x14:borderColor rgb="FF63C384"/>
              <x14:negativeFillColor rgb="FFFF0000"/>
              <x14:negativeBorderColor rgb="FFFF0000"/>
              <x14:axisColor rgb="FF000000"/>
            </x14:dataBar>
          </x14:cfRule>
          <xm:sqref>Z724</xm:sqref>
        </x14:conditionalFormatting>
        <x14:conditionalFormatting xmlns:xm="http://schemas.microsoft.com/office/excel/2006/main">
          <x14:cfRule type="dataBar" id="{1799AE2F-7661-4783-948B-B284AB9A7814}">
            <x14:dataBar minLength="0" maxLength="100" border="1" negativeBarBorderColorSameAsPositive="0">
              <x14:cfvo type="autoMin"/>
              <x14:cfvo type="autoMax"/>
              <x14:borderColor rgb="FF63C384"/>
              <x14:negativeFillColor rgb="FFFF0000"/>
              <x14:negativeBorderColor rgb="FFFF0000"/>
              <x14:axisColor rgb="FF000000"/>
            </x14:dataBar>
          </x14:cfRule>
          <xm:sqref>Z724</xm:sqref>
        </x14:conditionalFormatting>
        <x14:conditionalFormatting xmlns:xm="http://schemas.microsoft.com/office/excel/2006/main">
          <x14:cfRule type="dataBar" id="{FFEC2A53-9811-4780-8E64-369D2E07F015}">
            <x14:dataBar minLength="0" maxLength="100" border="1" negativeBarBorderColorSameAsPositive="0">
              <x14:cfvo type="autoMin"/>
              <x14:cfvo type="autoMax"/>
              <x14:borderColor rgb="FF63C384"/>
              <x14:negativeFillColor rgb="FFFF0000"/>
              <x14:negativeBorderColor rgb="FFFF0000"/>
              <x14:axisColor rgb="FF000000"/>
            </x14:dataBar>
          </x14:cfRule>
          <xm:sqref>Z725</xm:sqref>
        </x14:conditionalFormatting>
        <x14:conditionalFormatting xmlns:xm="http://schemas.microsoft.com/office/excel/2006/main">
          <x14:cfRule type="dataBar" id="{D152D87F-172A-429F-9F60-E3C1B1FDFD31}">
            <x14:dataBar minLength="0" maxLength="100" border="1" negativeBarBorderColorSameAsPositive="0">
              <x14:cfvo type="autoMin"/>
              <x14:cfvo type="autoMax"/>
              <x14:borderColor rgb="FF63C384"/>
              <x14:negativeFillColor rgb="FFFF0000"/>
              <x14:negativeBorderColor rgb="FFFF0000"/>
              <x14:axisColor rgb="FF000000"/>
            </x14:dataBar>
          </x14:cfRule>
          <xm:sqref>Z725</xm:sqref>
        </x14:conditionalFormatting>
        <x14:conditionalFormatting xmlns:xm="http://schemas.microsoft.com/office/excel/2006/main">
          <x14:cfRule type="dataBar" id="{8E72E25B-4F00-4216-84CE-4AF97BA1DCF9}">
            <x14:dataBar minLength="0" maxLength="100" border="1" negativeBarBorderColorSameAsPositive="0">
              <x14:cfvo type="autoMin"/>
              <x14:cfvo type="autoMax"/>
              <x14:borderColor rgb="FF63C384"/>
              <x14:negativeFillColor rgb="FFFF0000"/>
              <x14:negativeBorderColor rgb="FFFF0000"/>
              <x14:axisColor rgb="FF000000"/>
            </x14:dataBar>
          </x14:cfRule>
          <xm:sqref>Z725</xm:sqref>
        </x14:conditionalFormatting>
        <x14:conditionalFormatting xmlns:xm="http://schemas.microsoft.com/office/excel/2006/main">
          <x14:cfRule type="dataBar" id="{A35D5B8B-A733-462C-8566-9642977AE339}">
            <x14:dataBar minLength="0" maxLength="100" border="1" negativeBarBorderColorSameAsPositive="0">
              <x14:cfvo type="autoMin"/>
              <x14:cfvo type="autoMax"/>
              <x14:borderColor rgb="FF63C384"/>
              <x14:negativeFillColor rgb="FFFF0000"/>
              <x14:negativeBorderColor rgb="FFFF0000"/>
              <x14:axisColor rgb="FF000000"/>
            </x14:dataBar>
          </x14:cfRule>
          <xm:sqref>Z725</xm:sqref>
        </x14:conditionalFormatting>
        <x14:conditionalFormatting xmlns:xm="http://schemas.microsoft.com/office/excel/2006/main">
          <x14:cfRule type="dataBar" id="{91497CDC-FB38-49EC-8435-0594F5AC0EC7}">
            <x14:dataBar minLength="0" maxLength="100" border="1" negativeBarBorderColorSameAsPositive="0">
              <x14:cfvo type="autoMin"/>
              <x14:cfvo type="autoMax"/>
              <x14:borderColor rgb="FF63C384"/>
              <x14:negativeFillColor rgb="FFFF0000"/>
              <x14:negativeBorderColor rgb="FFFF0000"/>
              <x14:axisColor rgb="FF000000"/>
            </x14:dataBar>
          </x14:cfRule>
          <xm:sqref>Z726</xm:sqref>
        </x14:conditionalFormatting>
        <x14:conditionalFormatting xmlns:xm="http://schemas.microsoft.com/office/excel/2006/main">
          <x14:cfRule type="dataBar" id="{5786A9B1-219C-4C5C-8D82-7526A06E2391}">
            <x14:dataBar minLength="0" maxLength="100" border="1" negativeBarBorderColorSameAsPositive="0">
              <x14:cfvo type="autoMin"/>
              <x14:cfvo type="autoMax"/>
              <x14:borderColor rgb="FF63C384"/>
              <x14:negativeFillColor rgb="FFFF0000"/>
              <x14:negativeBorderColor rgb="FFFF0000"/>
              <x14:axisColor rgb="FF000000"/>
            </x14:dataBar>
          </x14:cfRule>
          <xm:sqref>Z726</xm:sqref>
        </x14:conditionalFormatting>
        <x14:conditionalFormatting xmlns:xm="http://schemas.microsoft.com/office/excel/2006/main">
          <x14:cfRule type="dataBar" id="{24728180-8C51-437C-BBD1-56A6981326AA}">
            <x14:dataBar minLength="0" maxLength="100" border="1" negativeBarBorderColorSameAsPositive="0">
              <x14:cfvo type="autoMin"/>
              <x14:cfvo type="autoMax"/>
              <x14:borderColor rgb="FF63C384"/>
              <x14:negativeFillColor rgb="FFFF0000"/>
              <x14:negativeBorderColor rgb="FFFF0000"/>
              <x14:axisColor rgb="FF000000"/>
            </x14:dataBar>
          </x14:cfRule>
          <xm:sqref>Z727</xm:sqref>
        </x14:conditionalFormatting>
        <x14:conditionalFormatting xmlns:xm="http://schemas.microsoft.com/office/excel/2006/main">
          <x14:cfRule type="dataBar" id="{7A5D69D1-6A67-41D1-A68E-DC2AA7AAE006}">
            <x14:dataBar minLength="0" maxLength="100" border="1" negativeBarBorderColorSameAsPositive="0">
              <x14:cfvo type="autoMin"/>
              <x14:cfvo type="autoMax"/>
              <x14:borderColor rgb="FF63C384"/>
              <x14:negativeFillColor rgb="FFFF0000"/>
              <x14:negativeBorderColor rgb="FFFF0000"/>
              <x14:axisColor rgb="FF000000"/>
            </x14:dataBar>
          </x14:cfRule>
          <xm:sqref>Z727</xm:sqref>
        </x14:conditionalFormatting>
        <x14:conditionalFormatting xmlns:xm="http://schemas.microsoft.com/office/excel/2006/main">
          <x14:cfRule type="dataBar" id="{08466C1B-2257-4FF2-8CA0-E1AD16BA1B75}">
            <x14:dataBar minLength="0" maxLength="100" border="1" negativeBarBorderColorSameAsPositive="0">
              <x14:cfvo type="autoMin"/>
              <x14:cfvo type="autoMax"/>
              <x14:borderColor rgb="FF63C384"/>
              <x14:negativeFillColor rgb="FFFF0000"/>
              <x14:negativeBorderColor rgb="FFFF0000"/>
              <x14:axisColor rgb="FF000000"/>
            </x14:dataBar>
          </x14:cfRule>
          <xm:sqref>Z728</xm:sqref>
        </x14:conditionalFormatting>
        <x14:conditionalFormatting xmlns:xm="http://schemas.microsoft.com/office/excel/2006/main">
          <x14:cfRule type="dataBar" id="{B8A16982-C34B-4F87-9997-E7BE05CC397E}">
            <x14:dataBar minLength="0" maxLength="100" border="1" negativeBarBorderColorSameAsPositive="0">
              <x14:cfvo type="autoMin"/>
              <x14:cfvo type="autoMax"/>
              <x14:borderColor rgb="FF63C384"/>
              <x14:negativeFillColor rgb="FFFF0000"/>
              <x14:negativeBorderColor rgb="FFFF0000"/>
              <x14:axisColor rgb="FF000000"/>
            </x14:dataBar>
          </x14:cfRule>
          <xm:sqref>Z728</xm:sqref>
        </x14:conditionalFormatting>
        <x14:conditionalFormatting xmlns:xm="http://schemas.microsoft.com/office/excel/2006/main">
          <x14:cfRule type="dataBar" id="{A21E15F0-DB0C-4225-9DCD-576E51101E24}">
            <x14:dataBar minLength="0" maxLength="100" border="1" negativeBarBorderColorSameAsPositive="0">
              <x14:cfvo type="autoMin"/>
              <x14:cfvo type="autoMax"/>
              <x14:borderColor rgb="FF63C384"/>
              <x14:negativeFillColor rgb="FFFF0000"/>
              <x14:negativeBorderColor rgb="FFFF0000"/>
              <x14:axisColor rgb="FF000000"/>
            </x14:dataBar>
          </x14:cfRule>
          <xm:sqref>Z729</xm:sqref>
        </x14:conditionalFormatting>
        <x14:conditionalFormatting xmlns:xm="http://schemas.microsoft.com/office/excel/2006/main">
          <x14:cfRule type="dataBar" id="{17AC3072-1F1D-43C8-AFE1-F9EB1AD0C1D3}">
            <x14:dataBar minLength="0" maxLength="100" border="1" negativeBarBorderColorSameAsPositive="0">
              <x14:cfvo type="autoMin"/>
              <x14:cfvo type="autoMax"/>
              <x14:borderColor rgb="FF63C384"/>
              <x14:negativeFillColor rgb="FFFF0000"/>
              <x14:negativeBorderColor rgb="FFFF0000"/>
              <x14:axisColor rgb="FF000000"/>
            </x14:dataBar>
          </x14:cfRule>
          <xm:sqref>Z729</xm:sqref>
        </x14:conditionalFormatting>
        <x14:conditionalFormatting xmlns:xm="http://schemas.microsoft.com/office/excel/2006/main">
          <x14:cfRule type="dataBar" id="{DBBBAB64-C544-49AC-86DB-656FB4EA9CDE}">
            <x14:dataBar minLength="0" maxLength="100" border="1" negativeBarBorderColorSameAsPositive="0">
              <x14:cfvo type="autoMin"/>
              <x14:cfvo type="autoMax"/>
              <x14:borderColor rgb="FF63C384"/>
              <x14:negativeFillColor rgb="FFFF0000"/>
              <x14:negativeBorderColor rgb="FFFF0000"/>
              <x14:axisColor rgb="FF000000"/>
            </x14:dataBar>
          </x14:cfRule>
          <xm:sqref>Z729</xm:sqref>
        </x14:conditionalFormatting>
        <x14:conditionalFormatting xmlns:xm="http://schemas.microsoft.com/office/excel/2006/main">
          <x14:cfRule type="dataBar" id="{D61DD679-3604-46BE-A6B6-015221201E60}">
            <x14:dataBar minLength="0" maxLength="100" border="1" negativeBarBorderColorSameAsPositive="0">
              <x14:cfvo type="autoMin"/>
              <x14:cfvo type="autoMax"/>
              <x14:borderColor rgb="FF63C384"/>
              <x14:negativeFillColor rgb="FFFF0000"/>
              <x14:negativeBorderColor rgb="FFFF0000"/>
              <x14:axisColor rgb="FF000000"/>
            </x14:dataBar>
          </x14:cfRule>
          <xm:sqref>Z729</xm:sqref>
        </x14:conditionalFormatting>
        <x14:conditionalFormatting xmlns:xm="http://schemas.microsoft.com/office/excel/2006/main">
          <x14:cfRule type="dataBar" id="{D13F5F15-9BE9-488C-817C-99EC59153B41}">
            <x14:dataBar minLength="0" maxLength="100" border="1" negativeBarBorderColorSameAsPositive="0">
              <x14:cfvo type="autoMin"/>
              <x14:cfvo type="autoMax"/>
              <x14:borderColor rgb="FF63C384"/>
              <x14:negativeFillColor rgb="FFFF0000"/>
              <x14:negativeBorderColor rgb="FFFF0000"/>
              <x14:axisColor rgb="FF000000"/>
            </x14:dataBar>
          </x14:cfRule>
          <xm:sqref>Z730</xm:sqref>
        </x14:conditionalFormatting>
        <x14:conditionalFormatting xmlns:xm="http://schemas.microsoft.com/office/excel/2006/main">
          <x14:cfRule type="dataBar" id="{4FCF2CE6-F60E-44DC-943F-C70235DE51E7}">
            <x14:dataBar minLength="0" maxLength="100" border="1" negativeBarBorderColorSameAsPositive="0">
              <x14:cfvo type="autoMin"/>
              <x14:cfvo type="autoMax"/>
              <x14:borderColor rgb="FF63C384"/>
              <x14:negativeFillColor rgb="FFFF0000"/>
              <x14:negativeBorderColor rgb="FFFF0000"/>
              <x14:axisColor rgb="FF000000"/>
            </x14:dataBar>
          </x14:cfRule>
          <xm:sqref>Z730</xm:sqref>
        </x14:conditionalFormatting>
        <x14:conditionalFormatting xmlns:xm="http://schemas.microsoft.com/office/excel/2006/main">
          <x14:cfRule type="dataBar" id="{F68FE597-12C2-4DB6-9376-30B754365C6F}">
            <x14:dataBar minLength="0" maxLength="100" border="1" negativeBarBorderColorSameAsPositive="0">
              <x14:cfvo type="autoMin"/>
              <x14:cfvo type="autoMax"/>
              <x14:borderColor rgb="FF63C384"/>
              <x14:negativeFillColor rgb="FFFF0000"/>
              <x14:negativeBorderColor rgb="FFFF0000"/>
              <x14:axisColor rgb="FF000000"/>
            </x14:dataBar>
          </x14:cfRule>
          <xm:sqref>Z730</xm:sqref>
        </x14:conditionalFormatting>
        <x14:conditionalFormatting xmlns:xm="http://schemas.microsoft.com/office/excel/2006/main">
          <x14:cfRule type="dataBar" id="{5A3BFA55-3896-4F10-B1B0-828607AB01E6}">
            <x14:dataBar minLength="0" maxLength="100" border="1" negativeBarBorderColorSameAsPositive="0">
              <x14:cfvo type="autoMin"/>
              <x14:cfvo type="autoMax"/>
              <x14:borderColor rgb="FF63C384"/>
              <x14:negativeFillColor rgb="FFFF0000"/>
              <x14:negativeBorderColor rgb="FFFF0000"/>
              <x14:axisColor rgb="FF000000"/>
            </x14:dataBar>
          </x14:cfRule>
          <xm:sqref>Z730</xm:sqref>
        </x14:conditionalFormatting>
        <x14:conditionalFormatting xmlns:xm="http://schemas.microsoft.com/office/excel/2006/main">
          <x14:cfRule type="dataBar" id="{F67163B5-CB08-4BB8-BA41-1E6E6A703D0C}">
            <x14:dataBar minLength="0" maxLength="100" border="1" negativeBarBorderColorSameAsPositive="0">
              <x14:cfvo type="autoMin"/>
              <x14:cfvo type="autoMax"/>
              <x14:borderColor rgb="FF63C384"/>
              <x14:negativeFillColor rgb="FFFF0000"/>
              <x14:negativeBorderColor rgb="FFFF0000"/>
              <x14:axisColor rgb="FF000000"/>
            </x14:dataBar>
          </x14:cfRule>
          <xm:sqref>Z730</xm:sqref>
        </x14:conditionalFormatting>
        <x14:conditionalFormatting xmlns:xm="http://schemas.microsoft.com/office/excel/2006/main">
          <x14:cfRule type="dataBar" id="{212E396E-7F31-4866-8A59-73E21BF9159D}">
            <x14:dataBar minLength="0" maxLength="100" border="1" negativeBarBorderColorSameAsPositive="0">
              <x14:cfvo type="autoMin"/>
              <x14:cfvo type="autoMax"/>
              <x14:borderColor rgb="FF63C384"/>
              <x14:negativeFillColor rgb="FFFF0000"/>
              <x14:negativeBorderColor rgb="FFFF0000"/>
              <x14:axisColor rgb="FF000000"/>
            </x14:dataBar>
          </x14:cfRule>
          <xm:sqref>Z730</xm:sqref>
        </x14:conditionalFormatting>
        <x14:conditionalFormatting xmlns:xm="http://schemas.microsoft.com/office/excel/2006/main">
          <x14:cfRule type="dataBar" id="{317DEA42-1F99-461C-BC4A-FE0B9DFF68A8}">
            <x14:dataBar minLength="0" maxLength="100" border="1" negativeBarBorderColorSameAsPositive="0">
              <x14:cfvo type="autoMin"/>
              <x14:cfvo type="autoMax"/>
              <x14:borderColor rgb="FF63C384"/>
              <x14:negativeFillColor rgb="FFFF0000"/>
              <x14:negativeBorderColor rgb="FFFF0000"/>
              <x14:axisColor rgb="FF000000"/>
            </x14:dataBar>
          </x14:cfRule>
          <xm:sqref>Z731</xm:sqref>
        </x14:conditionalFormatting>
        <x14:conditionalFormatting xmlns:xm="http://schemas.microsoft.com/office/excel/2006/main">
          <x14:cfRule type="dataBar" id="{06E4AD41-E752-4EEF-9CB5-CDB8E685B4AC}">
            <x14:dataBar minLength="0" maxLength="100" border="1" negativeBarBorderColorSameAsPositive="0">
              <x14:cfvo type="autoMin"/>
              <x14:cfvo type="autoMax"/>
              <x14:borderColor rgb="FF63C384"/>
              <x14:negativeFillColor rgb="FFFF0000"/>
              <x14:negativeBorderColor rgb="FFFF0000"/>
              <x14:axisColor rgb="FF000000"/>
            </x14:dataBar>
          </x14:cfRule>
          <xm:sqref>Z731</xm:sqref>
        </x14:conditionalFormatting>
        <x14:conditionalFormatting xmlns:xm="http://schemas.microsoft.com/office/excel/2006/main">
          <x14:cfRule type="dataBar" id="{BB000913-3843-48B0-94D7-3ABB7EF728D4}">
            <x14:dataBar minLength="0" maxLength="100" border="1" negativeBarBorderColorSameAsPositive="0">
              <x14:cfvo type="autoMin"/>
              <x14:cfvo type="autoMax"/>
              <x14:borderColor rgb="FF63C384"/>
              <x14:negativeFillColor rgb="FFFF0000"/>
              <x14:negativeBorderColor rgb="FFFF0000"/>
              <x14:axisColor rgb="FF000000"/>
            </x14:dataBar>
          </x14:cfRule>
          <xm:sqref>Z731</xm:sqref>
        </x14:conditionalFormatting>
        <x14:conditionalFormatting xmlns:xm="http://schemas.microsoft.com/office/excel/2006/main">
          <x14:cfRule type="dataBar" id="{31F89302-8FAF-4CD7-A713-7134AA945F11}">
            <x14:dataBar minLength="0" maxLength="100" border="1" negativeBarBorderColorSameAsPositive="0">
              <x14:cfvo type="autoMin"/>
              <x14:cfvo type="autoMax"/>
              <x14:borderColor rgb="FF63C384"/>
              <x14:negativeFillColor rgb="FFFF0000"/>
              <x14:negativeBorderColor rgb="FFFF0000"/>
              <x14:axisColor rgb="FF000000"/>
            </x14:dataBar>
          </x14:cfRule>
          <xm:sqref>Z731</xm:sqref>
        </x14:conditionalFormatting>
        <x14:conditionalFormatting xmlns:xm="http://schemas.microsoft.com/office/excel/2006/main">
          <x14:cfRule type="dataBar" id="{3BFA6F9A-6537-44A7-A460-6CB278CA8873}">
            <x14:dataBar minLength="0" maxLength="100" border="1" negativeBarBorderColorSameAsPositive="0">
              <x14:cfvo type="autoMin"/>
              <x14:cfvo type="autoMax"/>
              <x14:borderColor rgb="FF63C384"/>
              <x14:negativeFillColor rgb="FFFF0000"/>
              <x14:negativeBorderColor rgb="FFFF0000"/>
              <x14:axisColor rgb="FF000000"/>
            </x14:dataBar>
          </x14:cfRule>
          <xm:sqref>Z732</xm:sqref>
        </x14:conditionalFormatting>
        <x14:conditionalFormatting xmlns:xm="http://schemas.microsoft.com/office/excel/2006/main">
          <x14:cfRule type="dataBar" id="{C7753EC5-2CF6-4D2F-9BA4-DA7F673A8E7D}">
            <x14:dataBar minLength="0" maxLength="100" border="1" negativeBarBorderColorSameAsPositive="0">
              <x14:cfvo type="autoMin"/>
              <x14:cfvo type="autoMax"/>
              <x14:borderColor rgb="FF63C384"/>
              <x14:negativeFillColor rgb="FFFF0000"/>
              <x14:negativeBorderColor rgb="FFFF0000"/>
              <x14:axisColor rgb="FF000000"/>
            </x14:dataBar>
          </x14:cfRule>
          <xm:sqref>Z732</xm:sqref>
        </x14:conditionalFormatting>
        <x14:conditionalFormatting xmlns:xm="http://schemas.microsoft.com/office/excel/2006/main">
          <x14:cfRule type="dataBar" id="{A6D95BB9-92A3-49F5-99E2-41EC3E816253}">
            <x14:dataBar minLength="0" maxLength="100" border="1" negativeBarBorderColorSameAsPositive="0">
              <x14:cfvo type="autoMin"/>
              <x14:cfvo type="autoMax"/>
              <x14:borderColor rgb="FF63C384"/>
              <x14:negativeFillColor rgb="FFFF0000"/>
              <x14:negativeBorderColor rgb="FFFF0000"/>
              <x14:axisColor rgb="FF000000"/>
            </x14:dataBar>
          </x14:cfRule>
          <xm:sqref>Z732</xm:sqref>
        </x14:conditionalFormatting>
        <x14:conditionalFormatting xmlns:xm="http://schemas.microsoft.com/office/excel/2006/main">
          <x14:cfRule type="dataBar" id="{B332CB2E-8E60-44ED-AACA-ACBE9670CD11}">
            <x14:dataBar minLength="0" maxLength="100" border="1" negativeBarBorderColorSameAsPositive="0">
              <x14:cfvo type="autoMin"/>
              <x14:cfvo type="autoMax"/>
              <x14:borderColor rgb="FF63C384"/>
              <x14:negativeFillColor rgb="FFFF0000"/>
              <x14:negativeBorderColor rgb="FFFF0000"/>
              <x14:axisColor rgb="FF000000"/>
            </x14:dataBar>
          </x14:cfRule>
          <xm:sqref>Z732</xm:sqref>
        </x14:conditionalFormatting>
        <x14:conditionalFormatting xmlns:xm="http://schemas.microsoft.com/office/excel/2006/main">
          <x14:cfRule type="dataBar" id="{872967FD-B504-4B30-9767-AE88A69D780B}">
            <x14:dataBar minLength="0" maxLength="100" border="1" negativeBarBorderColorSameAsPositive="0">
              <x14:cfvo type="autoMin"/>
              <x14:cfvo type="autoMax"/>
              <x14:borderColor rgb="FF63C384"/>
              <x14:negativeFillColor rgb="FFFF0000"/>
              <x14:negativeBorderColor rgb="FFFF0000"/>
              <x14:axisColor rgb="FF000000"/>
            </x14:dataBar>
          </x14:cfRule>
          <xm:sqref>Z733</xm:sqref>
        </x14:conditionalFormatting>
        <x14:conditionalFormatting xmlns:xm="http://schemas.microsoft.com/office/excel/2006/main">
          <x14:cfRule type="dataBar" id="{380E6D01-C459-47BC-8B51-9E60F80AF92C}">
            <x14:dataBar minLength="0" maxLength="100" border="1" negativeBarBorderColorSameAsPositive="0">
              <x14:cfvo type="autoMin"/>
              <x14:cfvo type="autoMax"/>
              <x14:borderColor rgb="FF63C384"/>
              <x14:negativeFillColor rgb="FFFF0000"/>
              <x14:negativeBorderColor rgb="FFFF0000"/>
              <x14:axisColor rgb="FF000000"/>
            </x14:dataBar>
          </x14:cfRule>
          <xm:sqref>Z733</xm:sqref>
        </x14:conditionalFormatting>
        <x14:conditionalFormatting xmlns:xm="http://schemas.microsoft.com/office/excel/2006/main">
          <x14:cfRule type="dataBar" id="{5045DFDB-71C8-4FBD-A6DE-7D26A68CBA12}">
            <x14:dataBar minLength="0" maxLength="100" border="1" negativeBarBorderColorSameAsPositive="0">
              <x14:cfvo type="autoMin"/>
              <x14:cfvo type="autoMax"/>
              <x14:borderColor rgb="FF63C384"/>
              <x14:negativeFillColor rgb="FFFF0000"/>
              <x14:negativeBorderColor rgb="FFFF0000"/>
              <x14:axisColor rgb="FF000000"/>
            </x14:dataBar>
          </x14:cfRule>
          <xm:sqref>Z734</xm:sqref>
        </x14:conditionalFormatting>
        <x14:conditionalFormatting xmlns:xm="http://schemas.microsoft.com/office/excel/2006/main">
          <x14:cfRule type="dataBar" id="{6C038A50-8BDA-42BF-9292-22B88EFB1A22}">
            <x14:dataBar minLength="0" maxLength="100" border="1" negativeBarBorderColorSameAsPositive="0">
              <x14:cfvo type="autoMin"/>
              <x14:cfvo type="autoMax"/>
              <x14:borderColor rgb="FF63C384"/>
              <x14:negativeFillColor rgb="FFFF0000"/>
              <x14:negativeBorderColor rgb="FFFF0000"/>
              <x14:axisColor rgb="FF000000"/>
            </x14:dataBar>
          </x14:cfRule>
          <xm:sqref>Z734</xm:sqref>
        </x14:conditionalFormatting>
        <x14:conditionalFormatting xmlns:xm="http://schemas.microsoft.com/office/excel/2006/main">
          <x14:cfRule type="dataBar" id="{4530D285-FE66-4BE9-B68A-1A6DB01EB4F6}">
            <x14:dataBar minLength="0" maxLength="100" border="1" negativeBarBorderColorSameAsPositive="0">
              <x14:cfvo type="autoMin"/>
              <x14:cfvo type="autoMax"/>
              <x14:borderColor rgb="FF63C384"/>
              <x14:negativeFillColor rgb="FFFF0000"/>
              <x14:negativeBorderColor rgb="FFFF0000"/>
              <x14:axisColor rgb="FF000000"/>
            </x14:dataBar>
          </x14:cfRule>
          <xm:sqref>Z735:Z736</xm:sqref>
        </x14:conditionalFormatting>
        <x14:conditionalFormatting xmlns:xm="http://schemas.microsoft.com/office/excel/2006/main">
          <x14:cfRule type="dataBar" id="{A5776515-EDDF-4A0D-B224-83225B2D440D}">
            <x14:dataBar minLength="0" maxLength="100" border="1" negativeBarBorderColorSameAsPositive="0">
              <x14:cfvo type="autoMin"/>
              <x14:cfvo type="autoMax"/>
              <x14:borderColor rgb="FF63C384"/>
              <x14:negativeFillColor rgb="FFFF0000"/>
              <x14:negativeBorderColor rgb="FFFF0000"/>
              <x14:axisColor rgb="FF000000"/>
            </x14:dataBar>
          </x14:cfRule>
          <xm:sqref>Z735:Z736</xm:sqref>
        </x14:conditionalFormatting>
        <x14:conditionalFormatting xmlns:xm="http://schemas.microsoft.com/office/excel/2006/main">
          <x14:cfRule type="dataBar" id="{C0263667-EBF8-4664-8DD9-997DDBC09D88}">
            <x14:dataBar minLength="0" maxLength="100" border="1" negativeBarBorderColorSameAsPositive="0">
              <x14:cfvo type="autoMin"/>
              <x14:cfvo type="autoMax"/>
              <x14:borderColor rgb="FF63C384"/>
              <x14:negativeFillColor rgb="FFFF0000"/>
              <x14:negativeBorderColor rgb="FFFF0000"/>
              <x14:axisColor rgb="FF000000"/>
            </x14:dataBar>
          </x14:cfRule>
          <xm:sqref>Z737</xm:sqref>
        </x14:conditionalFormatting>
        <x14:conditionalFormatting xmlns:xm="http://schemas.microsoft.com/office/excel/2006/main">
          <x14:cfRule type="dataBar" id="{857AED3F-5B8F-4D9C-866D-4A25C5BF85D9}">
            <x14:dataBar minLength="0" maxLength="100" border="1" negativeBarBorderColorSameAsPositive="0">
              <x14:cfvo type="autoMin"/>
              <x14:cfvo type="autoMax"/>
              <x14:borderColor rgb="FF63C384"/>
              <x14:negativeFillColor rgb="FFFF0000"/>
              <x14:negativeBorderColor rgb="FFFF0000"/>
              <x14:axisColor rgb="FF000000"/>
            </x14:dataBar>
          </x14:cfRule>
          <xm:sqref>Z737</xm:sqref>
        </x14:conditionalFormatting>
        <x14:conditionalFormatting xmlns:xm="http://schemas.microsoft.com/office/excel/2006/main">
          <x14:cfRule type="dataBar" id="{0FD0870C-55D9-4CEA-8DFB-B5C72AEE68A5}">
            <x14:dataBar minLength="0" maxLength="100" border="1" negativeBarBorderColorSameAsPositive="0">
              <x14:cfvo type="autoMin"/>
              <x14:cfvo type="autoMax"/>
              <x14:borderColor rgb="FF63C384"/>
              <x14:negativeFillColor rgb="FFFF0000"/>
              <x14:negativeBorderColor rgb="FFFF0000"/>
              <x14:axisColor rgb="FF000000"/>
            </x14:dataBar>
          </x14:cfRule>
          <xm:sqref>Z738</xm:sqref>
        </x14:conditionalFormatting>
        <x14:conditionalFormatting xmlns:xm="http://schemas.microsoft.com/office/excel/2006/main">
          <x14:cfRule type="dataBar" id="{491F538A-17BD-450A-9AB7-D99239E557FF}">
            <x14:dataBar minLength="0" maxLength="100" border="1" negativeBarBorderColorSameAsPositive="0">
              <x14:cfvo type="autoMin"/>
              <x14:cfvo type="autoMax"/>
              <x14:borderColor rgb="FF63C384"/>
              <x14:negativeFillColor rgb="FFFF0000"/>
              <x14:negativeBorderColor rgb="FFFF0000"/>
              <x14:axisColor rgb="FF000000"/>
            </x14:dataBar>
          </x14:cfRule>
          <xm:sqref>Z738</xm:sqref>
        </x14:conditionalFormatting>
        <x14:conditionalFormatting xmlns:xm="http://schemas.microsoft.com/office/excel/2006/main">
          <x14:cfRule type="dataBar" id="{BEECDF64-D42E-4E59-9793-C36B5993D0DB}">
            <x14:dataBar minLength="0" maxLength="100" border="1" negativeBarBorderColorSameAsPositive="0">
              <x14:cfvo type="autoMin"/>
              <x14:cfvo type="autoMax"/>
              <x14:borderColor rgb="FF63C384"/>
              <x14:negativeFillColor rgb="FFFF0000"/>
              <x14:negativeBorderColor rgb="FFFF0000"/>
              <x14:axisColor rgb="FF000000"/>
            </x14:dataBar>
          </x14:cfRule>
          <xm:sqref>Z739</xm:sqref>
        </x14:conditionalFormatting>
        <x14:conditionalFormatting xmlns:xm="http://schemas.microsoft.com/office/excel/2006/main">
          <x14:cfRule type="dataBar" id="{C688F630-3FA5-4863-B1CA-81BBF46B3631}">
            <x14:dataBar minLength="0" maxLength="100" border="1" negativeBarBorderColorSameAsPositive="0">
              <x14:cfvo type="autoMin"/>
              <x14:cfvo type="autoMax"/>
              <x14:borderColor rgb="FF63C384"/>
              <x14:negativeFillColor rgb="FFFF0000"/>
              <x14:negativeBorderColor rgb="FFFF0000"/>
              <x14:axisColor rgb="FF000000"/>
            </x14:dataBar>
          </x14:cfRule>
          <xm:sqref>Z739</xm:sqref>
        </x14:conditionalFormatting>
        <x14:conditionalFormatting xmlns:xm="http://schemas.microsoft.com/office/excel/2006/main">
          <x14:cfRule type="dataBar" id="{1B664634-82B5-4892-9E8A-7151866B5184}">
            <x14:dataBar minLength="0" maxLength="100" border="1" negativeBarBorderColorSameAsPositive="0">
              <x14:cfvo type="autoMin"/>
              <x14:cfvo type="autoMax"/>
              <x14:borderColor rgb="FF63C384"/>
              <x14:negativeFillColor rgb="FFFF0000"/>
              <x14:negativeBorderColor rgb="FFFF0000"/>
              <x14:axisColor rgb="FF000000"/>
            </x14:dataBar>
          </x14:cfRule>
          <xm:sqref>Z740</xm:sqref>
        </x14:conditionalFormatting>
        <x14:conditionalFormatting xmlns:xm="http://schemas.microsoft.com/office/excel/2006/main">
          <x14:cfRule type="dataBar" id="{F84029FD-2BEC-42EB-9B73-EDA9D4230E23}">
            <x14:dataBar minLength="0" maxLength="100" border="1" negativeBarBorderColorSameAsPositive="0">
              <x14:cfvo type="autoMin"/>
              <x14:cfvo type="autoMax"/>
              <x14:borderColor rgb="FF63C384"/>
              <x14:negativeFillColor rgb="FFFF0000"/>
              <x14:negativeBorderColor rgb="FFFF0000"/>
              <x14:axisColor rgb="FF000000"/>
            </x14:dataBar>
          </x14:cfRule>
          <xm:sqref>Z740</xm:sqref>
        </x14:conditionalFormatting>
        <x14:conditionalFormatting xmlns:xm="http://schemas.microsoft.com/office/excel/2006/main">
          <x14:cfRule type="dataBar" id="{B89FED65-655C-4007-B9B2-AEA5E1A6C7D3}">
            <x14:dataBar minLength="0" maxLength="100" border="1" negativeBarBorderColorSameAsPositive="0">
              <x14:cfvo type="autoMin"/>
              <x14:cfvo type="autoMax"/>
              <x14:borderColor rgb="FF63C384"/>
              <x14:negativeFillColor rgb="FFFF0000"/>
              <x14:negativeBorderColor rgb="FFFF0000"/>
              <x14:axisColor rgb="FF000000"/>
            </x14:dataBar>
          </x14:cfRule>
          <xm:sqref>Z740</xm:sqref>
        </x14:conditionalFormatting>
        <x14:conditionalFormatting xmlns:xm="http://schemas.microsoft.com/office/excel/2006/main">
          <x14:cfRule type="dataBar" id="{5347CC2C-E2AC-4BE9-9131-8963013552C2}">
            <x14:dataBar minLength="0" maxLength="100" border="1" negativeBarBorderColorSameAsPositive="0">
              <x14:cfvo type="autoMin"/>
              <x14:cfvo type="autoMax"/>
              <x14:borderColor rgb="FF63C384"/>
              <x14:negativeFillColor rgb="FFFF0000"/>
              <x14:negativeBorderColor rgb="FFFF0000"/>
              <x14:axisColor rgb="FF000000"/>
            </x14:dataBar>
          </x14:cfRule>
          <xm:sqref>Z740</xm:sqref>
        </x14:conditionalFormatting>
        <x14:conditionalFormatting xmlns:xm="http://schemas.microsoft.com/office/excel/2006/main">
          <x14:cfRule type="dataBar" id="{F5F8C02E-C71A-45F7-83D3-716908089DA3}">
            <x14:dataBar minLength="0" maxLength="100" border="1" negativeBarBorderColorSameAsPositive="0">
              <x14:cfvo type="autoMin"/>
              <x14:cfvo type="autoMax"/>
              <x14:borderColor rgb="FF63C384"/>
              <x14:negativeFillColor rgb="FFFF0000"/>
              <x14:negativeBorderColor rgb="FFFF0000"/>
              <x14:axisColor rgb="FF000000"/>
            </x14:dataBar>
          </x14:cfRule>
          <xm:sqref>Z741</xm:sqref>
        </x14:conditionalFormatting>
        <x14:conditionalFormatting xmlns:xm="http://schemas.microsoft.com/office/excel/2006/main">
          <x14:cfRule type="dataBar" id="{E36DE2F6-BB54-424D-B183-B09E98612E20}">
            <x14:dataBar minLength="0" maxLength="100" border="1" negativeBarBorderColorSameAsPositive="0">
              <x14:cfvo type="autoMin"/>
              <x14:cfvo type="autoMax"/>
              <x14:borderColor rgb="FF63C384"/>
              <x14:negativeFillColor rgb="FFFF0000"/>
              <x14:negativeBorderColor rgb="FFFF0000"/>
              <x14:axisColor rgb="FF000000"/>
            </x14:dataBar>
          </x14:cfRule>
          <xm:sqref>Z741</xm:sqref>
        </x14:conditionalFormatting>
        <x14:conditionalFormatting xmlns:xm="http://schemas.microsoft.com/office/excel/2006/main">
          <x14:cfRule type="dataBar" id="{09ACE16D-8E0A-43D6-ABEB-BD725730B752}">
            <x14:dataBar minLength="0" maxLength="100" border="1" negativeBarBorderColorSameAsPositive="0">
              <x14:cfvo type="autoMin"/>
              <x14:cfvo type="autoMax"/>
              <x14:borderColor rgb="FF63C384"/>
              <x14:negativeFillColor rgb="FFFF0000"/>
              <x14:negativeBorderColor rgb="FFFF0000"/>
              <x14:axisColor rgb="FF000000"/>
            </x14:dataBar>
          </x14:cfRule>
          <xm:sqref>Z741</xm:sqref>
        </x14:conditionalFormatting>
        <x14:conditionalFormatting xmlns:xm="http://schemas.microsoft.com/office/excel/2006/main">
          <x14:cfRule type="dataBar" id="{63371FFE-9F0A-4C94-BEBC-E1E99AB42408}">
            <x14:dataBar minLength="0" maxLength="100" border="1" negativeBarBorderColorSameAsPositive="0">
              <x14:cfvo type="autoMin"/>
              <x14:cfvo type="autoMax"/>
              <x14:borderColor rgb="FF63C384"/>
              <x14:negativeFillColor rgb="FFFF0000"/>
              <x14:negativeBorderColor rgb="FFFF0000"/>
              <x14:axisColor rgb="FF000000"/>
            </x14:dataBar>
          </x14:cfRule>
          <xm:sqref>Z741</xm:sqref>
        </x14:conditionalFormatting>
        <x14:conditionalFormatting xmlns:xm="http://schemas.microsoft.com/office/excel/2006/main">
          <x14:cfRule type="dataBar" id="{D5E40396-B6FE-4503-8F20-01962FBD6998}">
            <x14:dataBar minLength="0" maxLength="100" border="1" negativeBarBorderColorSameAsPositive="0">
              <x14:cfvo type="autoMin"/>
              <x14:cfvo type="autoMax"/>
              <x14:borderColor rgb="FF63C384"/>
              <x14:negativeFillColor rgb="FFFF0000"/>
              <x14:negativeBorderColor rgb="FFFF0000"/>
              <x14:axisColor rgb="FF000000"/>
            </x14:dataBar>
          </x14:cfRule>
          <xm:sqref>Z742</xm:sqref>
        </x14:conditionalFormatting>
        <x14:conditionalFormatting xmlns:xm="http://schemas.microsoft.com/office/excel/2006/main">
          <x14:cfRule type="dataBar" id="{A4D8135C-2968-413E-B223-ACE6861234BD}">
            <x14:dataBar minLength="0" maxLength="100" border="1" negativeBarBorderColorSameAsPositive="0">
              <x14:cfvo type="autoMin"/>
              <x14:cfvo type="autoMax"/>
              <x14:borderColor rgb="FF63C384"/>
              <x14:negativeFillColor rgb="FFFF0000"/>
              <x14:negativeBorderColor rgb="FFFF0000"/>
              <x14:axisColor rgb="FF000000"/>
            </x14:dataBar>
          </x14:cfRule>
          <xm:sqref>Z742</xm:sqref>
        </x14:conditionalFormatting>
        <x14:conditionalFormatting xmlns:xm="http://schemas.microsoft.com/office/excel/2006/main">
          <x14:cfRule type="dataBar" id="{443888C7-2240-43D3-AA28-EF35DCF2E1B1}">
            <x14:dataBar minLength="0" maxLength="100" border="1" negativeBarBorderColorSameAsPositive="0">
              <x14:cfvo type="autoMin"/>
              <x14:cfvo type="autoMax"/>
              <x14:borderColor rgb="FF63C384"/>
              <x14:negativeFillColor rgb="FFFF0000"/>
              <x14:negativeBorderColor rgb="FFFF0000"/>
              <x14:axisColor rgb="FF000000"/>
            </x14:dataBar>
          </x14:cfRule>
          <xm:sqref>Z742</xm:sqref>
        </x14:conditionalFormatting>
        <x14:conditionalFormatting xmlns:xm="http://schemas.microsoft.com/office/excel/2006/main">
          <x14:cfRule type="dataBar" id="{80F28E7A-58CC-4B59-931B-56E7818E018E}">
            <x14:dataBar minLength="0" maxLength="100" border="1" negativeBarBorderColorSameAsPositive="0">
              <x14:cfvo type="autoMin"/>
              <x14:cfvo type="autoMax"/>
              <x14:borderColor rgb="FF63C384"/>
              <x14:negativeFillColor rgb="FFFF0000"/>
              <x14:negativeBorderColor rgb="FFFF0000"/>
              <x14:axisColor rgb="FF000000"/>
            </x14:dataBar>
          </x14:cfRule>
          <xm:sqref>Z742</xm:sqref>
        </x14:conditionalFormatting>
        <x14:conditionalFormatting xmlns:xm="http://schemas.microsoft.com/office/excel/2006/main">
          <x14:cfRule type="dataBar" id="{383FA178-7843-4791-BB47-0C34CFA783AF}">
            <x14:dataBar minLength="0" maxLength="100" border="1" negativeBarBorderColorSameAsPositive="0">
              <x14:cfvo type="autoMin"/>
              <x14:cfvo type="autoMax"/>
              <x14:borderColor rgb="FF63C384"/>
              <x14:negativeFillColor rgb="FFFF0000"/>
              <x14:negativeBorderColor rgb="FFFF0000"/>
              <x14:axisColor rgb="FF000000"/>
            </x14:dataBar>
          </x14:cfRule>
          <xm:sqref>Z742</xm:sqref>
        </x14:conditionalFormatting>
        <x14:conditionalFormatting xmlns:xm="http://schemas.microsoft.com/office/excel/2006/main">
          <x14:cfRule type="dataBar" id="{BD5E3D34-EF68-4F30-8CEE-BA48707FA9CF}">
            <x14:dataBar minLength="0" maxLength="100" border="1" negativeBarBorderColorSameAsPositive="0">
              <x14:cfvo type="autoMin"/>
              <x14:cfvo type="autoMax"/>
              <x14:borderColor rgb="FF63C384"/>
              <x14:negativeFillColor rgb="FFFF0000"/>
              <x14:negativeBorderColor rgb="FFFF0000"/>
              <x14:axisColor rgb="FF000000"/>
            </x14:dataBar>
          </x14:cfRule>
          <xm:sqref>Z742</xm:sqref>
        </x14:conditionalFormatting>
        <x14:conditionalFormatting xmlns:xm="http://schemas.microsoft.com/office/excel/2006/main">
          <x14:cfRule type="dataBar" id="{10CDAA85-8A61-44AB-A2DC-711B43582F15}">
            <x14:dataBar minLength="0" maxLength="100" border="1" negativeBarBorderColorSameAsPositive="0">
              <x14:cfvo type="autoMin"/>
              <x14:cfvo type="autoMax"/>
              <x14:borderColor rgb="FF63C384"/>
              <x14:negativeFillColor rgb="FFFF0000"/>
              <x14:negativeBorderColor rgb="FFFF0000"/>
              <x14:axisColor rgb="FF000000"/>
            </x14:dataBar>
          </x14:cfRule>
          <xm:sqref>Z742</xm:sqref>
        </x14:conditionalFormatting>
        <x14:conditionalFormatting xmlns:xm="http://schemas.microsoft.com/office/excel/2006/main">
          <x14:cfRule type="dataBar" id="{193591D9-0FC5-4EE9-BA11-07FA53AD9276}">
            <x14:dataBar minLength="0" maxLength="100" border="1" negativeBarBorderColorSameAsPositive="0">
              <x14:cfvo type="autoMin"/>
              <x14:cfvo type="autoMax"/>
              <x14:borderColor rgb="FF63C384"/>
              <x14:negativeFillColor rgb="FFFF0000"/>
              <x14:negativeBorderColor rgb="FFFF0000"/>
              <x14:axisColor rgb="FF000000"/>
            </x14:dataBar>
          </x14:cfRule>
          <xm:sqref>Z742</xm:sqref>
        </x14:conditionalFormatting>
        <x14:conditionalFormatting xmlns:xm="http://schemas.microsoft.com/office/excel/2006/main">
          <x14:cfRule type="dataBar" id="{D37E0D3A-9FBC-4A59-A4F7-ED5C691C6726}">
            <x14:dataBar minLength="0" maxLength="100" border="1" negativeBarBorderColorSameAsPositive="0">
              <x14:cfvo type="autoMin"/>
              <x14:cfvo type="autoMax"/>
              <x14:borderColor rgb="FF63C384"/>
              <x14:negativeFillColor rgb="FFFF0000"/>
              <x14:negativeBorderColor rgb="FFFF0000"/>
              <x14:axisColor rgb="FF000000"/>
            </x14:dataBar>
          </x14:cfRule>
          <xm:sqref>Z743</xm:sqref>
        </x14:conditionalFormatting>
        <x14:conditionalFormatting xmlns:xm="http://schemas.microsoft.com/office/excel/2006/main">
          <x14:cfRule type="dataBar" id="{D13B13D1-D4D5-49D9-AEFE-042882D615BA}">
            <x14:dataBar minLength="0" maxLength="100" border="1" negativeBarBorderColorSameAsPositive="0">
              <x14:cfvo type="autoMin"/>
              <x14:cfvo type="autoMax"/>
              <x14:borderColor rgb="FF63C384"/>
              <x14:negativeFillColor rgb="FFFF0000"/>
              <x14:negativeBorderColor rgb="FFFF0000"/>
              <x14:axisColor rgb="FF000000"/>
            </x14:dataBar>
          </x14:cfRule>
          <xm:sqref>Z743</xm:sqref>
        </x14:conditionalFormatting>
        <x14:conditionalFormatting xmlns:xm="http://schemas.microsoft.com/office/excel/2006/main">
          <x14:cfRule type="dataBar" id="{1F766F4A-D29E-46EB-ABD8-40252D35698E}">
            <x14:dataBar minLength="0" maxLength="100" border="1" negativeBarBorderColorSameAsPositive="0">
              <x14:cfvo type="autoMin"/>
              <x14:cfvo type="autoMax"/>
              <x14:borderColor rgb="FF63C384"/>
              <x14:negativeFillColor rgb="FFFF0000"/>
              <x14:negativeBorderColor rgb="FFFF0000"/>
              <x14:axisColor rgb="FF000000"/>
            </x14:dataBar>
          </x14:cfRule>
          <xm:sqref>Z743</xm:sqref>
        </x14:conditionalFormatting>
        <x14:conditionalFormatting xmlns:xm="http://schemas.microsoft.com/office/excel/2006/main">
          <x14:cfRule type="dataBar" id="{5BFFB2FD-5CA6-42EF-963F-0858BD65154F}">
            <x14:dataBar minLength="0" maxLength="100" border="1" negativeBarBorderColorSameAsPositive="0">
              <x14:cfvo type="autoMin"/>
              <x14:cfvo type="autoMax"/>
              <x14:borderColor rgb="FF63C384"/>
              <x14:negativeFillColor rgb="FFFF0000"/>
              <x14:negativeBorderColor rgb="FFFF0000"/>
              <x14:axisColor rgb="FF000000"/>
            </x14:dataBar>
          </x14:cfRule>
          <xm:sqref>Z743</xm:sqref>
        </x14:conditionalFormatting>
        <x14:conditionalFormatting xmlns:xm="http://schemas.microsoft.com/office/excel/2006/main">
          <x14:cfRule type="dataBar" id="{BEC77773-5005-4186-804B-ADED0C37A6C3}">
            <x14:dataBar minLength="0" maxLength="100" border="1" negativeBarBorderColorSameAsPositive="0">
              <x14:cfvo type="autoMin"/>
              <x14:cfvo type="autoMax"/>
              <x14:borderColor rgb="FF63C384"/>
              <x14:negativeFillColor rgb="FFFF0000"/>
              <x14:negativeBorderColor rgb="FFFF0000"/>
              <x14:axisColor rgb="FF000000"/>
            </x14:dataBar>
          </x14:cfRule>
          <xm:sqref>Z744</xm:sqref>
        </x14:conditionalFormatting>
        <x14:conditionalFormatting xmlns:xm="http://schemas.microsoft.com/office/excel/2006/main">
          <x14:cfRule type="dataBar" id="{F01A1D0D-F568-4F4C-ABF7-ED986B3A7E81}">
            <x14:dataBar minLength="0" maxLength="100" border="1" negativeBarBorderColorSameAsPositive="0">
              <x14:cfvo type="autoMin"/>
              <x14:cfvo type="autoMax"/>
              <x14:borderColor rgb="FF63C384"/>
              <x14:negativeFillColor rgb="FFFF0000"/>
              <x14:negativeBorderColor rgb="FFFF0000"/>
              <x14:axisColor rgb="FF000000"/>
            </x14:dataBar>
          </x14:cfRule>
          <xm:sqref>Z744</xm:sqref>
        </x14:conditionalFormatting>
        <x14:conditionalFormatting xmlns:xm="http://schemas.microsoft.com/office/excel/2006/main">
          <x14:cfRule type="dataBar" id="{94D95395-9FDE-4B46-BB12-AD30D65FD1C4}">
            <x14:dataBar minLength="0" maxLength="100" border="1" negativeBarBorderColorSameAsPositive="0">
              <x14:cfvo type="autoMin"/>
              <x14:cfvo type="autoMax"/>
              <x14:borderColor rgb="FF63C384"/>
              <x14:negativeFillColor rgb="FFFF0000"/>
              <x14:negativeBorderColor rgb="FFFF0000"/>
              <x14:axisColor rgb="FF000000"/>
            </x14:dataBar>
          </x14:cfRule>
          <xm:sqref>Z745</xm:sqref>
        </x14:conditionalFormatting>
        <x14:conditionalFormatting xmlns:xm="http://schemas.microsoft.com/office/excel/2006/main">
          <x14:cfRule type="dataBar" id="{045FA197-2F53-4ECD-B195-BCCBB0434DB5}">
            <x14:dataBar minLength="0" maxLength="100" border="1" negativeBarBorderColorSameAsPositive="0">
              <x14:cfvo type="autoMin"/>
              <x14:cfvo type="autoMax"/>
              <x14:borderColor rgb="FF63C384"/>
              <x14:negativeFillColor rgb="FFFF0000"/>
              <x14:negativeBorderColor rgb="FFFF0000"/>
              <x14:axisColor rgb="FF000000"/>
            </x14:dataBar>
          </x14:cfRule>
          <xm:sqref>Z745</xm:sqref>
        </x14:conditionalFormatting>
        <x14:conditionalFormatting xmlns:xm="http://schemas.microsoft.com/office/excel/2006/main">
          <x14:cfRule type="dataBar" id="{495B0B6C-7D46-4FA1-A4F1-8A9D3D6E6A6A}">
            <x14:dataBar minLength="0" maxLength="100" border="1" negativeBarBorderColorSameAsPositive="0">
              <x14:cfvo type="autoMin"/>
              <x14:cfvo type="autoMax"/>
              <x14:borderColor rgb="FF63C384"/>
              <x14:negativeFillColor rgb="FFFF0000"/>
              <x14:negativeBorderColor rgb="FFFF0000"/>
              <x14:axisColor rgb="FF000000"/>
            </x14:dataBar>
          </x14:cfRule>
          <xm:sqref>Z745</xm:sqref>
        </x14:conditionalFormatting>
        <x14:conditionalFormatting xmlns:xm="http://schemas.microsoft.com/office/excel/2006/main">
          <x14:cfRule type="dataBar" id="{358A8ECC-7461-4AE0-9154-D0A7C6D4632B}">
            <x14:dataBar minLength="0" maxLength="100" border="1" negativeBarBorderColorSameAsPositive="0">
              <x14:cfvo type="autoMin"/>
              <x14:cfvo type="autoMax"/>
              <x14:borderColor rgb="FF63C384"/>
              <x14:negativeFillColor rgb="FFFF0000"/>
              <x14:negativeBorderColor rgb="FFFF0000"/>
              <x14:axisColor rgb="FF000000"/>
            </x14:dataBar>
          </x14:cfRule>
          <xm:sqref>Z745</xm:sqref>
        </x14:conditionalFormatting>
        <x14:conditionalFormatting xmlns:xm="http://schemas.microsoft.com/office/excel/2006/main">
          <x14:cfRule type="dataBar" id="{678670AD-4A5A-4011-9E52-559556432302}">
            <x14:dataBar minLength="0" maxLength="100" border="1" negativeBarBorderColorSameAsPositive="0">
              <x14:cfvo type="autoMin"/>
              <x14:cfvo type="autoMax"/>
              <x14:borderColor rgb="FF63C384"/>
              <x14:negativeFillColor rgb="FFFF0000"/>
              <x14:negativeBorderColor rgb="FFFF0000"/>
              <x14:axisColor rgb="FF000000"/>
            </x14:dataBar>
          </x14:cfRule>
          <xm:sqref>Z746</xm:sqref>
        </x14:conditionalFormatting>
        <x14:conditionalFormatting xmlns:xm="http://schemas.microsoft.com/office/excel/2006/main">
          <x14:cfRule type="dataBar" id="{5745501E-53D7-4568-B391-DA056219F8EA}">
            <x14:dataBar minLength="0" maxLength="100" border="1" negativeBarBorderColorSameAsPositive="0">
              <x14:cfvo type="autoMin"/>
              <x14:cfvo type="autoMax"/>
              <x14:borderColor rgb="FF63C384"/>
              <x14:negativeFillColor rgb="FFFF0000"/>
              <x14:negativeBorderColor rgb="FFFF0000"/>
              <x14:axisColor rgb="FF000000"/>
            </x14:dataBar>
          </x14:cfRule>
          <xm:sqref>Z746</xm:sqref>
        </x14:conditionalFormatting>
        <x14:conditionalFormatting xmlns:xm="http://schemas.microsoft.com/office/excel/2006/main">
          <x14:cfRule type="dataBar" id="{04923B7C-9CAB-4D3B-B661-9048E1970DE2}">
            <x14:dataBar minLength="0" maxLength="100" border="1" negativeBarBorderColorSameAsPositive="0">
              <x14:cfvo type="autoMin"/>
              <x14:cfvo type="autoMax"/>
              <x14:borderColor rgb="FF63C384"/>
              <x14:negativeFillColor rgb="FFFF0000"/>
              <x14:negativeBorderColor rgb="FFFF0000"/>
              <x14:axisColor rgb="FF000000"/>
            </x14:dataBar>
          </x14:cfRule>
          <xm:sqref>Z746</xm:sqref>
        </x14:conditionalFormatting>
        <x14:conditionalFormatting xmlns:xm="http://schemas.microsoft.com/office/excel/2006/main">
          <x14:cfRule type="dataBar" id="{DC64969B-5CC7-4EB3-AD71-1940FACDCE11}">
            <x14:dataBar minLength="0" maxLength="100" border="1" negativeBarBorderColorSameAsPositive="0">
              <x14:cfvo type="autoMin"/>
              <x14:cfvo type="autoMax"/>
              <x14:borderColor rgb="FF63C384"/>
              <x14:negativeFillColor rgb="FFFF0000"/>
              <x14:negativeBorderColor rgb="FFFF0000"/>
              <x14:axisColor rgb="FF000000"/>
            </x14:dataBar>
          </x14:cfRule>
          <xm:sqref>Z746</xm:sqref>
        </x14:conditionalFormatting>
        <x14:conditionalFormatting xmlns:xm="http://schemas.microsoft.com/office/excel/2006/main">
          <x14:cfRule type="dataBar" id="{7FC3920B-C6B9-4B70-B721-5900AF0732DA}">
            <x14:dataBar minLength="0" maxLength="100" border="1" negativeBarBorderColorSameAsPositive="0">
              <x14:cfvo type="autoMin"/>
              <x14:cfvo type="autoMax"/>
              <x14:borderColor rgb="FF63C384"/>
              <x14:negativeFillColor rgb="FFFF0000"/>
              <x14:negativeBorderColor rgb="FFFF0000"/>
              <x14:axisColor rgb="FF000000"/>
            </x14:dataBar>
          </x14:cfRule>
          <xm:sqref>Z746</xm:sqref>
        </x14:conditionalFormatting>
        <x14:conditionalFormatting xmlns:xm="http://schemas.microsoft.com/office/excel/2006/main">
          <x14:cfRule type="dataBar" id="{611B57CA-881D-493F-B2FB-5FBC59F64EB8}">
            <x14:dataBar minLength="0" maxLength="100" border="1" negativeBarBorderColorSameAsPositive="0">
              <x14:cfvo type="autoMin"/>
              <x14:cfvo type="autoMax"/>
              <x14:borderColor rgb="FF63C384"/>
              <x14:negativeFillColor rgb="FFFF0000"/>
              <x14:negativeBorderColor rgb="FFFF0000"/>
              <x14:axisColor rgb="FF000000"/>
            </x14:dataBar>
          </x14:cfRule>
          <xm:sqref>Z746</xm:sqref>
        </x14:conditionalFormatting>
        <x14:conditionalFormatting xmlns:xm="http://schemas.microsoft.com/office/excel/2006/main">
          <x14:cfRule type="dataBar" id="{4E8EBCE4-F236-497D-82F0-495F64484D9C}">
            <x14:dataBar minLength="0" maxLength="100" border="1" negativeBarBorderColorSameAsPositive="0">
              <x14:cfvo type="autoMin"/>
              <x14:cfvo type="autoMax"/>
              <x14:borderColor rgb="FF63C384"/>
              <x14:negativeFillColor rgb="FFFF0000"/>
              <x14:negativeBorderColor rgb="FFFF0000"/>
              <x14:axisColor rgb="FF000000"/>
            </x14:dataBar>
          </x14:cfRule>
          <xm:sqref>Z747</xm:sqref>
        </x14:conditionalFormatting>
        <x14:conditionalFormatting xmlns:xm="http://schemas.microsoft.com/office/excel/2006/main">
          <x14:cfRule type="dataBar" id="{946460FA-6FFE-4F29-9FC6-311FBE3921AD}">
            <x14:dataBar minLength="0" maxLength="100" border="1" negativeBarBorderColorSameAsPositive="0">
              <x14:cfvo type="autoMin"/>
              <x14:cfvo type="autoMax"/>
              <x14:borderColor rgb="FF63C384"/>
              <x14:negativeFillColor rgb="FFFF0000"/>
              <x14:negativeBorderColor rgb="FFFF0000"/>
              <x14:axisColor rgb="FF000000"/>
            </x14:dataBar>
          </x14:cfRule>
          <xm:sqref>Z747</xm:sqref>
        </x14:conditionalFormatting>
        <x14:conditionalFormatting xmlns:xm="http://schemas.microsoft.com/office/excel/2006/main">
          <x14:cfRule type="dataBar" id="{288FF286-1E2A-48DB-A65D-A6EF49ECE86C}">
            <x14:dataBar minLength="0" maxLength="100" border="1" negativeBarBorderColorSameAsPositive="0">
              <x14:cfvo type="autoMin"/>
              <x14:cfvo type="autoMax"/>
              <x14:borderColor rgb="FF63C384"/>
              <x14:negativeFillColor rgb="FFFF0000"/>
              <x14:negativeBorderColor rgb="FFFF0000"/>
              <x14:axisColor rgb="FF000000"/>
            </x14:dataBar>
          </x14:cfRule>
          <xm:sqref>Z748</xm:sqref>
        </x14:conditionalFormatting>
        <x14:conditionalFormatting xmlns:xm="http://schemas.microsoft.com/office/excel/2006/main">
          <x14:cfRule type="dataBar" id="{3DE21F00-30DB-4185-933F-C9B5C06E2C19}">
            <x14:dataBar minLength="0" maxLength="100" border="1" negativeBarBorderColorSameAsPositive="0">
              <x14:cfvo type="autoMin"/>
              <x14:cfvo type="autoMax"/>
              <x14:borderColor rgb="FF63C384"/>
              <x14:negativeFillColor rgb="FFFF0000"/>
              <x14:negativeBorderColor rgb="FFFF0000"/>
              <x14:axisColor rgb="FF000000"/>
            </x14:dataBar>
          </x14:cfRule>
          <xm:sqref>Z748</xm:sqref>
        </x14:conditionalFormatting>
        <x14:conditionalFormatting xmlns:xm="http://schemas.microsoft.com/office/excel/2006/main">
          <x14:cfRule type="dataBar" id="{A6EB2AA4-FE59-4C5E-985B-1DF4F7BA39B4}">
            <x14:dataBar minLength="0" maxLength="100" border="1" negativeBarBorderColorSameAsPositive="0">
              <x14:cfvo type="autoMin"/>
              <x14:cfvo type="autoMax"/>
              <x14:borderColor rgb="FF63C384"/>
              <x14:negativeFillColor rgb="FFFF0000"/>
              <x14:negativeBorderColor rgb="FFFF0000"/>
              <x14:axisColor rgb="FF000000"/>
            </x14:dataBar>
          </x14:cfRule>
          <xm:sqref>Z748</xm:sqref>
        </x14:conditionalFormatting>
        <x14:conditionalFormatting xmlns:xm="http://schemas.microsoft.com/office/excel/2006/main">
          <x14:cfRule type="dataBar" id="{A9DC9725-4C1D-4647-A158-3BD38771B223}">
            <x14:dataBar minLength="0" maxLength="100" border="1" negativeBarBorderColorSameAsPositive="0">
              <x14:cfvo type="autoMin"/>
              <x14:cfvo type="autoMax"/>
              <x14:borderColor rgb="FF63C384"/>
              <x14:negativeFillColor rgb="FFFF0000"/>
              <x14:negativeBorderColor rgb="FFFF0000"/>
              <x14:axisColor rgb="FF000000"/>
            </x14:dataBar>
          </x14:cfRule>
          <xm:sqref>Z748</xm:sqref>
        </x14:conditionalFormatting>
        <x14:conditionalFormatting xmlns:xm="http://schemas.microsoft.com/office/excel/2006/main">
          <x14:cfRule type="dataBar" id="{E1F13942-08C9-48EA-B142-F9CDE433B269}">
            <x14:dataBar minLength="0" maxLength="100" border="1" negativeBarBorderColorSameAsPositive="0">
              <x14:cfvo type="autoMin"/>
              <x14:cfvo type="autoMax"/>
              <x14:borderColor rgb="FF63C384"/>
              <x14:negativeFillColor rgb="FFFF0000"/>
              <x14:negativeBorderColor rgb="FFFF0000"/>
              <x14:axisColor rgb="FF000000"/>
            </x14:dataBar>
          </x14:cfRule>
          <xm:sqref>Z749</xm:sqref>
        </x14:conditionalFormatting>
        <x14:conditionalFormatting xmlns:xm="http://schemas.microsoft.com/office/excel/2006/main">
          <x14:cfRule type="dataBar" id="{FC034843-CD95-4533-A7CF-5AAFFD229F8F}">
            <x14:dataBar minLength="0" maxLength="100" border="1" negativeBarBorderColorSameAsPositive="0">
              <x14:cfvo type="autoMin"/>
              <x14:cfvo type="autoMax"/>
              <x14:borderColor rgb="FF63C384"/>
              <x14:negativeFillColor rgb="FFFF0000"/>
              <x14:negativeBorderColor rgb="FFFF0000"/>
              <x14:axisColor rgb="FF000000"/>
            </x14:dataBar>
          </x14:cfRule>
          <xm:sqref>Z749</xm:sqref>
        </x14:conditionalFormatting>
        <x14:conditionalFormatting xmlns:xm="http://schemas.microsoft.com/office/excel/2006/main">
          <x14:cfRule type="dataBar" id="{C3882AEF-8699-4906-8F2D-1F54C1BA0891}">
            <x14:dataBar minLength="0" maxLength="100" border="1" negativeBarBorderColorSameAsPositive="0">
              <x14:cfvo type="autoMin"/>
              <x14:cfvo type="autoMax"/>
              <x14:borderColor rgb="FF63C384"/>
              <x14:negativeFillColor rgb="FFFF0000"/>
              <x14:negativeBorderColor rgb="FFFF0000"/>
              <x14:axisColor rgb="FF000000"/>
            </x14:dataBar>
          </x14:cfRule>
          <xm:sqref>Z749</xm:sqref>
        </x14:conditionalFormatting>
        <x14:conditionalFormatting xmlns:xm="http://schemas.microsoft.com/office/excel/2006/main">
          <x14:cfRule type="dataBar" id="{4F784F42-16BF-4DBC-BB2B-11F79D453C9E}">
            <x14:dataBar minLength="0" maxLength="100" border="1" negativeBarBorderColorSameAsPositive="0">
              <x14:cfvo type="autoMin"/>
              <x14:cfvo type="autoMax"/>
              <x14:borderColor rgb="FF63C384"/>
              <x14:negativeFillColor rgb="FFFF0000"/>
              <x14:negativeBorderColor rgb="FFFF0000"/>
              <x14:axisColor rgb="FF000000"/>
            </x14:dataBar>
          </x14:cfRule>
          <xm:sqref>Z749</xm:sqref>
        </x14:conditionalFormatting>
        <x14:conditionalFormatting xmlns:xm="http://schemas.microsoft.com/office/excel/2006/main">
          <x14:cfRule type="dataBar" id="{E5CE3015-7021-4A60-9F1D-917A9DFA650B}">
            <x14:dataBar minLength="0" maxLength="100" border="1" negativeBarBorderColorSameAsPositive="0">
              <x14:cfvo type="autoMin"/>
              <x14:cfvo type="autoMax"/>
              <x14:borderColor rgb="FF63C384"/>
              <x14:negativeFillColor rgb="FFFF0000"/>
              <x14:negativeBorderColor rgb="FFFF0000"/>
              <x14:axisColor rgb="FF000000"/>
            </x14:dataBar>
          </x14:cfRule>
          <xm:sqref>Z750</xm:sqref>
        </x14:conditionalFormatting>
        <x14:conditionalFormatting xmlns:xm="http://schemas.microsoft.com/office/excel/2006/main">
          <x14:cfRule type="dataBar" id="{D99CE1B6-87CA-4637-ADA6-BEA80729380C}">
            <x14:dataBar minLength="0" maxLength="100" border="1" negativeBarBorderColorSameAsPositive="0">
              <x14:cfvo type="autoMin"/>
              <x14:cfvo type="autoMax"/>
              <x14:borderColor rgb="FF63C384"/>
              <x14:negativeFillColor rgb="FFFF0000"/>
              <x14:negativeBorderColor rgb="FFFF0000"/>
              <x14:axisColor rgb="FF000000"/>
            </x14:dataBar>
          </x14:cfRule>
          <xm:sqref>Z750</xm:sqref>
        </x14:conditionalFormatting>
        <x14:conditionalFormatting xmlns:xm="http://schemas.microsoft.com/office/excel/2006/main">
          <x14:cfRule type="dataBar" id="{C9ECD926-5E62-471C-8E2D-EA1BC5D97043}">
            <x14:dataBar minLength="0" maxLength="100" border="1" negativeBarBorderColorSameAsPositive="0">
              <x14:cfvo type="autoMin"/>
              <x14:cfvo type="autoMax"/>
              <x14:borderColor rgb="FF63C384"/>
              <x14:negativeFillColor rgb="FFFF0000"/>
              <x14:negativeBorderColor rgb="FFFF0000"/>
              <x14:axisColor rgb="FF000000"/>
            </x14:dataBar>
          </x14:cfRule>
          <xm:sqref>Z751</xm:sqref>
        </x14:conditionalFormatting>
        <x14:conditionalFormatting xmlns:xm="http://schemas.microsoft.com/office/excel/2006/main">
          <x14:cfRule type="dataBar" id="{FBE6A1D2-28B2-4F2B-8B3D-66119BD8AFA2}">
            <x14:dataBar minLength="0" maxLength="100" border="1" negativeBarBorderColorSameAsPositive="0">
              <x14:cfvo type="autoMin"/>
              <x14:cfvo type="autoMax"/>
              <x14:borderColor rgb="FF63C384"/>
              <x14:negativeFillColor rgb="FFFF0000"/>
              <x14:negativeBorderColor rgb="FFFF0000"/>
              <x14:axisColor rgb="FF000000"/>
            </x14:dataBar>
          </x14:cfRule>
          <xm:sqref>Z751</xm:sqref>
        </x14:conditionalFormatting>
        <x14:conditionalFormatting xmlns:xm="http://schemas.microsoft.com/office/excel/2006/main">
          <x14:cfRule type="dataBar" id="{355B36CB-3B5C-4BEA-8255-CB977D473169}">
            <x14:dataBar minLength="0" maxLength="100" border="1" negativeBarBorderColorSameAsPositive="0">
              <x14:cfvo type="autoMin"/>
              <x14:cfvo type="autoMax"/>
              <x14:borderColor rgb="FF63C384"/>
              <x14:negativeFillColor rgb="FFFF0000"/>
              <x14:negativeBorderColor rgb="FFFF0000"/>
              <x14:axisColor rgb="FF000000"/>
            </x14:dataBar>
          </x14:cfRule>
          <xm:sqref>Z752</xm:sqref>
        </x14:conditionalFormatting>
        <x14:conditionalFormatting xmlns:xm="http://schemas.microsoft.com/office/excel/2006/main">
          <x14:cfRule type="dataBar" id="{FD7CD2C4-428E-4D02-ACAC-8C8C784B8D5F}">
            <x14:dataBar minLength="0" maxLength="100" border="1" negativeBarBorderColorSameAsPositive="0">
              <x14:cfvo type="autoMin"/>
              <x14:cfvo type="autoMax"/>
              <x14:borderColor rgb="FF63C384"/>
              <x14:negativeFillColor rgb="FFFF0000"/>
              <x14:negativeBorderColor rgb="FFFF0000"/>
              <x14:axisColor rgb="FF000000"/>
            </x14:dataBar>
          </x14:cfRule>
          <xm:sqref>Z752</xm:sqref>
        </x14:conditionalFormatting>
        <x14:conditionalFormatting xmlns:xm="http://schemas.microsoft.com/office/excel/2006/main">
          <x14:cfRule type="dataBar" id="{4CB11191-02A0-40D6-A51D-C84B1352511D}">
            <x14:dataBar minLength="0" maxLength="100" border="1" negativeBarBorderColorSameAsPositive="0">
              <x14:cfvo type="autoMin"/>
              <x14:cfvo type="autoMax"/>
              <x14:borderColor rgb="FF63C384"/>
              <x14:negativeFillColor rgb="FFFF0000"/>
              <x14:negativeBorderColor rgb="FFFF0000"/>
              <x14:axisColor rgb="FF000000"/>
            </x14:dataBar>
          </x14:cfRule>
          <xm:sqref>Z753</xm:sqref>
        </x14:conditionalFormatting>
        <x14:conditionalFormatting xmlns:xm="http://schemas.microsoft.com/office/excel/2006/main">
          <x14:cfRule type="dataBar" id="{B8C64B80-64FC-4AE9-827F-30F152F541BC}">
            <x14:dataBar minLength="0" maxLength="100" border="1" negativeBarBorderColorSameAsPositive="0">
              <x14:cfvo type="autoMin"/>
              <x14:cfvo type="autoMax"/>
              <x14:borderColor rgb="FF63C384"/>
              <x14:negativeFillColor rgb="FFFF0000"/>
              <x14:negativeBorderColor rgb="FFFF0000"/>
              <x14:axisColor rgb="FF000000"/>
            </x14:dataBar>
          </x14:cfRule>
          <xm:sqref>Z753</xm:sqref>
        </x14:conditionalFormatting>
        <x14:conditionalFormatting xmlns:xm="http://schemas.microsoft.com/office/excel/2006/main">
          <x14:cfRule type="dataBar" id="{B88A08F4-B4EB-4883-84A8-B86CFC228BDC}">
            <x14:dataBar minLength="0" maxLength="100" border="1" negativeBarBorderColorSameAsPositive="0">
              <x14:cfvo type="autoMin"/>
              <x14:cfvo type="autoMax"/>
              <x14:borderColor rgb="FF63C384"/>
              <x14:negativeFillColor rgb="FFFF0000"/>
              <x14:negativeBorderColor rgb="FFFF0000"/>
              <x14:axisColor rgb="FF000000"/>
            </x14:dataBar>
          </x14:cfRule>
          <xm:sqref>Z754</xm:sqref>
        </x14:conditionalFormatting>
        <x14:conditionalFormatting xmlns:xm="http://schemas.microsoft.com/office/excel/2006/main">
          <x14:cfRule type="dataBar" id="{F1EED012-DA73-44E9-A643-3B11EB20A208}">
            <x14:dataBar minLength="0" maxLength="100" border="1" negativeBarBorderColorSameAsPositive="0">
              <x14:cfvo type="autoMin"/>
              <x14:cfvo type="autoMax"/>
              <x14:borderColor rgb="FF63C384"/>
              <x14:negativeFillColor rgb="FFFF0000"/>
              <x14:negativeBorderColor rgb="FFFF0000"/>
              <x14:axisColor rgb="FF000000"/>
            </x14:dataBar>
          </x14:cfRule>
          <xm:sqref>Z754</xm:sqref>
        </x14:conditionalFormatting>
        <x14:conditionalFormatting xmlns:xm="http://schemas.microsoft.com/office/excel/2006/main">
          <x14:cfRule type="dataBar" id="{520199BC-C646-417C-840B-D73520359927}">
            <x14:dataBar minLength="0" maxLength="100" border="1" negativeBarBorderColorSameAsPositive="0">
              <x14:cfvo type="autoMin"/>
              <x14:cfvo type="autoMax"/>
              <x14:borderColor rgb="FF63C384"/>
              <x14:negativeFillColor rgb="FFFF0000"/>
              <x14:negativeBorderColor rgb="FFFF0000"/>
              <x14:axisColor rgb="FF000000"/>
            </x14:dataBar>
          </x14:cfRule>
          <xm:sqref>Z754</xm:sqref>
        </x14:conditionalFormatting>
        <x14:conditionalFormatting xmlns:xm="http://schemas.microsoft.com/office/excel/2006/main">
          <x14:cfRule type="dataBar" id="{926A7F87-7C8C-4282-BA31-3A0BC0B19668}">
            <x14:dataBar minLength="0" maxLength="100" border="1" negativeBarBorderColorSameAsPositive="0">
              <x14:cfvo type="autoMin"/>
              <x14:cfvo type="autoMax"/>
              <x14:borderColor rgb="FF63C384"/>
              <x14:negativeFillColor rgb="FFFF0000"/>
              <x14:negativeBorderColor rgb="FFFF0000"/>
              <x14:axisColor rgb="FF000000"/>
            </x14:dataBar>
          </x14:cfRule>
          <xm:sqref>Z754</xm:sqref>
        </x14:conditionalFormatting>
        <x14:conditionalFormatting xmlns:xm="http://schemas.microsoft.com/office/excel/2006/main">
          <x14:cfRule type="dataBar" id="{171CCDA4-45EC-40CB-BD4E-BFBEB0A991CC}">
            <x14:dataBar minLength="0" maxLength="100" border="1" negativeBarBorderColorSameAsPositive="0">
              <x14:cfvo type="autoMin"/>
              <x14:cfvo type="autoMax"/>
              <x14:borderColor rgb="FF63C384"/>
              <x14:negativeFillColor rgb="FFFF0000"/>
              <x14:negativeBorderColor rgb="FFFF0000"/>
              <x14:axisColor rgb="FF000000"/>
            </x14:dataBar>
          </x14:cfRule>
          <xm:sqref>Z754</xm:sqref>
        </x14:conditionalFormatting>
        <x14:conditionalFormatting xmlns:xm="http://schemas.microsoft.com/office/excel/2006/main">
          <x14:cfRule type="dataBar" id="{DCC2D02A-6BB3-415D-B6A8-A6E4617F00FB}">
            <x14:dataBar minLength="0" maxLength="100" border="1" negativeBarBorderColorSameAsPositive="0">
              <x14:cfvo type="autoMin"/>
              <x14:cfvo type="autoMax"/>
              <x14:borderColor rgb="FF63C384"/>
              <x14:negativeFillColor rgb="FFFF0000"/>
              <x14:negativeBorderColor rgb="FFFF0000"/>
              <x14:axisColor rgb="FF000000"/>
            </x14:dataBar>
          </x14:cfRule>
          <xm:sqref>Z754</xm:sqref>
        </x14:conditionalFormatting>
        <x14:conditionalFormatting xmlns:xm="http://schemas.microsoft.com/office/excel/2006/main">
          <x14:cfRule type="dataBar" id="{491518CC-DB32-4D7D-9811-60478C3C170C}">
            <x14:dataBar minLength="0" maxLength="100" border="1" negativeBarBorderColorSameAsPositive="0">
              <x14:cfvo type="autoMin"/>
              <x14:cfvo type="autoMax"/>
              <x14:borderColor rgb="FF63C384"/>
              <x14:negativeFillColor rgb="FFFF0000"/>
              <x14:negativeBorderColor rgb="FFFF0000"/>
              <x14:axisColor rgb="FF000000"/>
            </x14:dataBar>
          </x14:cfRule>
          <xm:sqref>Z754</xm:sqref>
        </x14:conditionalFormatting>
        <x14:conditionalFormatting xmlns:xm="http://schemas.microsoft.com/office/excel/2006/main">
          <x14:cfRule type="dataBar" id="{09E5D1C6-730E-4227-ACF9-E9A2D5393CC7}">
            <x14:dataBar minLength="0" maxLength="100" border="1" negativeBarBorderColorSameAsPositive="0">
              <x14:cfvo type="autoMin"/>
              <x14:cfvo type="autoMax"/>
              <x14:borderColor rgb="FF63C384"/>
              <x14:negativeFillColor rgb="FFFF0000"/>
              <x14:negativeBorderColor rgb="FFFF0000"/>
              <x14:axisColor rgb="FF000000"/>
            </x14:dataBar>
          </x14:cfRule>
          <xm:sqref>Z754</xm:sqref>
        </x14:conditionalFormatting>
        <x14:conditionalFormatting xmlns:xm="http://schemas.microsoft.com/office/excel/2006/main">
          <x14:cfRule type="dataBar" id="{C1326701-1962-4711-9FDE-79C1E8F5FC20}">
            <x14:dataBar minLength="0" maxLength="100" border="1" negativeBarBorderColorSameAsPositive="0">
              <x14:cfvo type="autoMin"/>
              <x14:cfvo type="autoMax"/>
              <x14:borderColor rgb="FF63C384"/>
              <x14:negativeFillColor rgb="FFFF0000"/>
              <x14:negativeBorderColor rgb="FFFF0000"/>
              <x14:axisColor rgb="FF000000"/>
            </x14:dataBar>
          </x14:cfRule>
          <xm:sqref>Z755</xm:sqref>
        </x14:conditionalFormatting>
        <x14:conditionalFormatting xmlns:xm="http://schemas.microsoft.com/office/excel/2006/main">
          <x14:cfRule type="dataBar" id="{F495E703-F129-4902-B478-B17ABC3F3B2E}">
            <x14:dataBar minLength="0" maxLength="100" border="1" negativeBarBorderColorSameAsPositive="0">
              <x14:cfvo type="autoMin"/>
              <x14:cfvo type="autoMax"/>
              <x14:borderColor rgb="FF63C384"/>
              <x14:negativeFillColor rgb="FFFF0000"/>
              <x14:negativeBorderColor rgb="FFFF0000"/>
              <x14:axisColor rgb="FF000000"/>
            </x14:dataBar>
          </x14:cfRule>
          <xm:sqref>Z755</xm:sqref>
        </x14:conditionalFormatting>
        <x14:conditionalFormatting xmlns:xm="http://schemas.microsoft.com/office/excel/2006/main">
          <x14:cfRule type="dataBar" id="{C022BE1D-4135-42A1-B033-94195A98E26A}">
            <x14:dataBar minLength="0" maxLength="100" border="1" negativeBarBorderColorSameAsPositive="0">
              <x14:cfvo type="autoMin"/>
              <x14:cfvo type="autoMax"/>
              <x14:borderColor rgb="FF63C384"/>
              <x14:negativeFillColor rgb="FFFF0000"/>
              <x14:negativeBorderColor rgb="FFFF0000"/>
              <x14:axisColor rgb="FF000000"/>
            </x14:dataBar>
          </x14:cfRule>
          <xm:sqref>Z755</xm:sqref>
        </x14:conditionalFormatting>
        <x14:conditionalFormatting xmlns:xm="http://schemas.microsoft.com/office/excel/2006/main">
          <x14:cfRule type="dataBar" id="{9112CDF4-02A8-423B-8B1A-F3039FCB33B6}">
            <x14:dataBar minLength="0" maxLength="100" border="1" negativeBarBorderColorSameAsPositive="0">
              <x14:cfvo type="autoMin"/>
              <x14:cfvo type="autoMax"/>
              <x14:borderColor rgb="FF63C384"/>
              <x14:negativeFillColor rgb="FFFF0000"/>
              <x14:negativeBorderColor rgb="FFFF0000"/>
              <x14:axisColor rgb="FF000000"/>
            </x14:dataBar>
          </x14:cfRule>
          <xm:sqref>Z755</xm:sqref>
        </x14:conditionalFormatting>
        <x14:conditionalFormatting xmlns:xm="http://schemas.microsoft.com/office/excel/2006/main">
          <x14:cfRule type="dataBar" id="{AACCDD74-FAC5-4BF1-94F9-2EABB52A35E5}">
            <x14:dataBar minLength="0" maxLength="100" border="1" negativeBarBorderColorSameAsPositive="0">
              <x14:cfvo type="autoMin"/>
              <x14:cfvo type="autoMax"/>
              <x14:borderColor rgb="FF63C384"/>
              <x14:negativeFillColor rgb="FFFF0000"/>
              <x14:negativeBorderColor rgb="FFFF0000"/>
              <x14:axisColor rgb="FF000000"/>
            </x14:dataBar>
          </x14:cfRule>
          <xm:sqref>Z756</xm:sqref>
        </x14:conditionalFormatting>
        <x14:conditionalFormatting xmlns:xm="http://schemas.microsoft.com/office/excel/2006/main">
          <x14:cfRule type="dataBar" id="{23141205-0C01-49F5-9604-AC667EE12AF5}">
            <x14:dataBar minLength="0" maxLength="100" border="1" negativeBarBorderColorSameAsPositive="0">
              <x14:cfvo type="autoMin"/>
              <x14:cfvo type="autoMax"/>
              <x14:borderColor rgb="FF63C384"/>
              <x14:negativeFillColor rgb="FFFF0000"/>
              <x14:negativeBorderColor rgb="FFFF0000"/>
              <x14:axisColor rgb="FF000000"/>
            </x14:dataBar>
          </x14:cfRule>
          <xm:sqref>Z756</xm:sqref>
        </x14:conditionalFormatting>
        <x14:conditionalFormatting xmlns:xm="http://schemas.microsoft.com/office/excel/2006/main">
          <x14:cfRule type="dataBar" id="{5E8A1C53-18AD-4A86-9A09-C61AC935F2F4}">
            <x14:dataBar minLength="0" maxLength="100" border="1" negativeBarBorderColorSameAsPositive="0">
              <x14:cfvo type="autoMin"/>
              <x14:cfvo type="autoMax"/>
              <x14:borderColor rgb="FF63C384"/>
              <x14:negativeFillColor rgb="FFFF0000"/>
              <x14:negativeBorderColor rgb="FFFF0000"/>
              <x14:axisColor rgb="FF000000"/>
            </x14:dataBar>
          </x14:cfRule>
          <xm:sqref>Z756</xm:sqref>
        </x14:conditionalFormatting>
        <x14:conditionalFormatting xmlns:xm="http://schemas.microsoft.com/office/excel/2006/main">
          <x14:cfRule type="dataBar" id="{F90E809B-D743-4733-AF89-8EAB8CC68808}">
            <x14:dataBar minLength="0" maxLength="100" border="1" negativeBarBorderColorSameAsPositive="0">
              <x14:cfvo type="autoMin"/>
              <x14:cfvo type="autoMax"/>
              <x14:borderColor rgb="FF63C384"/>
              <x14:negativeFillColor rgb="FFFF0000"/>
              <x14:negativeBorderColor rgb="FFFF0000"/>
              <x14:axisColor rgb="FF000000"/>
            </x14:dataBar>
          </x14:cfRule>
          <xm:sqref>Z756</xm:sqref>
        </x14:conditionalFormatting>
        <x14:conditionalFormatting xmlns:xm="http://schemas.microsoft.com/office/excel/2006/main">
          <x14:cfRule type="dataBar" id="{3826156F-20F5-4AD7-B435-08B4DA476CDD}">
            <x14:dataBar minLength="0" maxLength="100" border="1" negativeBarBorderColorSameAsPositive="0">
              <x14:cfvo type="autoMin"/>
              <x14:cfvo type="autoMax"/>
              <x14:borderColor rgb="FF63C384"/>
              <x14:negativeFillColor rgb="FFFF0000"/>
              <x14:negativeBorderColor rgb="FFFF0000"/>
              <x14:axisColor rgb="FF000000"/>
            </x14:dataBar>
          </x14:cfRule>
          <xm:sqref>Z757</xm:sqref>
        </x14:conditionalFormatting>
        <x14:conditionalFormatting xmlns:xm="http://schemas.microsoft.com/office/excel/2006/main">
          <x14:cfRule type="dataBar" id="{D32E8936-DB83-46AD-9A2B-EF88A08B6B04}">
            <x14:dataBar minLength="0" maxLength="100" border="1" negativeBarBorderColorSameAsPositive="0">
              <x14:cfvo type="autoMin"/>
              <x14:cfvo type="autoMax"/>
              <x14:borderColor rgb="FF63C384"/>
              <x14:negativeFillColor rgb="FFFF0000"/>
              <x14:negativeBorderColor rgb="FFFF0000"/>
              <x14:axisColor rgb="FF000000"/>
            </x14:dataBar>
          </x14:cfRule>
          <xm:sqref>Z757</xm:sqref>
        </x14:conditionalFormatting>
        <x14:conditionalFormatting xmlns:xm="http://schemas.microsoft.com/office/excel/2006/main">
          <x14:cfRule type="dataBar" id="{8BF14692-A5CE-4508-AFFF-878AACC3E32D}">
            <x14:dataBar minLength="0" maxLength="100" border="1" negativeBarBorderColorSameAsPositive="0">
              <x14:cfvo type="autoMin"/>
              <x14:cfvo type="autoMax"/>
              <x14:borderColor rgb="FF63C384"/>
              <x14:negativeFillColor rgb="FFFF0000"/>
              <x14:negativeBorderColor rgb="FFFF0000"/>
              <x14:axisColor rgb="FF000000"/>
            </x14:dataBar>
          </x14:cfRule>
          <xm:sqref>Z757</xm:sqref>
        </x14:conditionalFormatting>
        <x14:conditionalFormatting xmlns:xm="http://schemas.microsoft.com/office/excel/2006/main">
          <x14:cfRule type="dataBar" id="{54D2D1DF-14CD-4288-9579-02FDDA258890}">
            <x14:dataBar minLength="0" maxLength="100" border="1" negativeBarBorderColorSameAsPositive="0">
              <x14:cfvo type="autoMin"/>
              <x14:cfvo type="autoMax"/>
              <x14:borderColor rgb="FF63C384"/>
              <x14:negativeFillColor rgb="FFFF0000"/>
              <x14:negativeBorderColor rgb="FFFF0000"/>
              <x14:axisColor rgb="FF000000"/>
            </x14:dataBar>
          </x14:cfRule>
          <xm:sqref>Z757</xm:sqref>
        </x14:conditionalFormatting>
        <x14:conditionalFormatting xmlns:xm="http://schemas.microsoft.com/office/excel/2006/main">
          <x14:cfRule type="dataBar" id="{8E634DC1-6772-4044-AE8C-B8E9EFB8DC13}">
            <x14:dataBar minLength="0" maxLength="100" border="1" negativeBarBorderColorSameAsPositive="0">
              <x14:cfvo type="autoMin"/>
              <x14:cfvo type="autoMax"/>
              <x14:borderColor rgb="FF63C384"/>
              <x14:negativeFillColor rgb="FFFF0000"/>
              <x14:negativeBorderColor rgb="FFFF0000"/>
              <x14:axisColor rgb="FF000000"/>
            </x14:dataBar>
          </x14:cfRule>
          <xm:sqref>Z758</xm:sqref>
        </x14:conditionalFormatting>
        <x14:conditionalFormatting xmlns:xm="http://schemas.microsoft.com/office/excel/2006/main">
          <x14:cfRule type="dataBar" id="{5634682A-DEDA-4FF7-8D38-6E82F06BD2CB}">
            <x14:dataBar minLength="0" maxLength="100" border="1" negativeBarBorderColorSameAsPositive="0">
              <x14:cfvo type="autoMin"/>
              <x14:cfvo type="autoMax"/>
              <x14:borderColor rgb="FF63C384"/>
              <x14:negativeFillColor rgb="FFFF0000"/>
              <x14:negativeBorderColor rgb="FFFF0000"/>
              <x14:axisColor rgb="FF000000"/>
            </x14:dataBar>
          </x14:cfRule>
          <xm:sqref>Z758</xm:sqref>
        </x14:conditionalFormatting>
        <x14:conditionalFormatting xmlns:xm="http://schemas.microsoft.com/office/excel/2006/main">
          <x14:cfRule type="dataBar" id="{E9FD6659-1FDA-479D-BA3A-DC36A7792223}">
            <x14:dataBar minLength="0" maxLength="100" border="1" negativeBarBorderColorSameAsPositive="0">
              <x14:cfvo type="autoMin"/>
              <x14:cfvo type="autoMax"/>
              <x14:borderColor rgb="FF63C384"/>
              <x14:negativeFillColor rgb="FFFF0000"/>
              <x14:negativeBorderColor rgb="FFFF0000"/>
              <x14:axisColor rgb="FF000000"/>
            </x14:dataBar>
          </x14:cfRule>
          <xm:sqref>Z759</xm:sqref>
        </x14:conditionalFormatting>
        <x14:conditionalFormatting xmlns:xm="http://schemas.microsoft.com/office/excel/2006/main">
          <x14:cfRule type="dataBar" id="{36D7E2BC-45E5-4DDD-A195-4B93A86C2B21}">
            <x14:dataBar minLength="0" maxLength="100" border="1" negativeBarBorderColorSameAsPositive="0">
              <x14:cfvo type="autoMin"/>
              <x14:cfvo type="autoMax"/>
              <x14:borderColor rgb="FF63C384"/>
              <x14:negativeFillColor rgb="FFFF0000"/>
              <x14:negativeBorderColor rgb="FFFF0000"/>
              <x14:axisColor rgb="FF000000"/>
            </x14:dataBar>
          </x14:cfRule>
          <xm:sqref>Z759</xm:sqref>
        </x14:conditionalFormatting>
        <x14:conditionalFormatting xmlns:xm="http://schemas.microsoft.com/office/excel/2006/main">
          <x14:cfRule type="dataBar" id="{B12CB253-E5E9-4BBC-BCD8-5B5DB7EAEA1F}">
            <x14:dataBar minLength="0" maxLength="100" border="1" negativeBarBorderColorSameAsPositive="0">
              <x14:cfvo type="autoMin"/>
              <x14:cfvo type="autoMax"/>
              <x14:borderColor rgb="FF63C384"/>
              <x14:negativeFillColor rgb="FFFF0000"/>
              <x14:negativeBorderColor rgb="FFFF0000"/>
              <x14:axisColor rgb="FF000000"/>
            </x14:dataBar>
          </x14:cfRule>
          <xm:sqref>Z760</xm:sqref>
        </x14:conditionalFormatting>
        <x14:conditionalFormatting xmlns:xm="http://schemas.microsoft.com/office/excel/2006/main">
          <x14:cfRule type="dataBar" id="{F132D66F-7438-4F48-9612-F5B8D2D6F9B9}">
            <x14:dataBar minLength="0" maxLength="100" border="1" negativeBarBorderColorSameAsPositive="0">
              <x14:cfvo type="autoMin"/>
              <x14:cfvo type="autoMax"/>
              <x14:borderColor rgb="FF63C384"/>
              <x14:negativeFillColor rgb="FFFF0000"/>
              <x14:negativeBorderColor rgb="FFFF0000"/>
              <x14:axisColor rgb="FF000000"/>
            </x14:dataBar>
          </x14:cfRule>
          <xm:sqref>Z760</xm:sqref>
        </x14:conditionalFormatting>
        <x14:conditionalFormatting xmlns:xm="http://schemas.microsoft.com/office/excel/2006/main">
          <x14:cfRule type="dataBar" id="{1CE62074-7E5B-4C1F-BD31-63CC35F76D9B}">
            <x14:dataBar minLength="0" maxLength="100" border="1" negativeBarBorderColorSameAsPositive="0">
              <x14:cfvo type="autoMin"/>
              <x14:cfvo type="autoMax"/>
              <x14:borderColor rgb="FF63C384"/>
              <x14:negativeFillColor rgb="FFFF0000"/>
              <x14:negativeBorderColor rgb="FFFF0000"/>
              <x14:axisColor rgb="FF000000"/>
            </x14:dataBar>
          </x14:cfRule>
          <xm:sqref>Z760</xm:sqref>
        </x14:conditionalFormatting>
        <x14:conditionalFormatting xmlns:xm="http://schemas.microsoft.com/office/excel/2006/main">
          <x14:cfRule type="dataBar" id="{5D84E637-2BA1-4874-A0AA-38A04429BDE9}">
            <x14:dataBar minLength="0" maxLength="100" border="1" negativeBarBorderColorSameAsPositive="0">
              <x14:cfvo type="autoMin"/>
              <x14:cfvo type="autoMax"/>
              <x14:borderColor rgb="FF63C384"/>
              <x14:negativeFillColor rgb="FFFF0000"/>
              <x14:negativeBorderColor rgb="FFFF0000"/>
              <x14:axisColor rgb="FF000000"/>
            </x14:dataBar>
          </x14:cfRule>
          <xm:sqref>Z760</xm:sqref>
        </x14:conditionalFormatting>
        <x14:conditionalFormatting xmlns:xm="http://schemas.microsoft.com/office/excel/2006/main">
          <x14:cfRule type="dataBar" id="{B27F31E9-A9D7-4D14-928B-13514D7D6A26}">
            <x14:dataBar minLength="0" maxLength="100" border="1" negativeBarBorderColorSameAsPositive="0">
              <x14:cfvo type="autoMin"/>
              <x14:cfvo type="autoMax"/>
              <x14:borderColor rgb="FF63C384"/>
              <x14:negativeFillColor rgb="FFFF0000"/>
              <x14:negativeBorderColor rgb="FFFF0000"/>
              <x14:axisColor rgb="FF000000"/>
            </x14:dataBar>
          </x14:cfRule>
          <xm:sqref>Z761</xm:sqref>
        </x14:conditionalFormatting>
        <x14:conditionalFormatting xmlns:xm="http://schemas.microsoft.com/office/excel/2006/main">
          <x14:cfRule type="dataBar" id="{834A6639-1041-48CB-AFA0-D32665D82E44}">
            <x14:dataBar minLength="0" maxLength="100" border="1" negativeBarBorderColorSameAsPositive="0">
              <x14:cfvo type="autoMin"/>
              <x14:cfvo type="autoMax"/>
              <x14:borderColor rgb="FF63C384"/>
              <x14:negativeFillColor rgb="FFFF0000"/>
              <x14:negativeBorderColor rgb="FFFF0000"/>
              <x14:axisColor rgb="FF000000"/>
            </x14:dataBar>
          </x14:cfRule>
          <xm:sqref>Z761</xm:sqref>
        </x14:conditionalFormatting>
        <x14:conditionalFormatting xmlns:xm="http://schemas.microsoft.com/office/excel/2006/main">
          <x14:cfRule type="dataBar" id="{8326A39C-FD47-4672-B81F-BD2DB0D0266E}">
            <x14:dataBar minLength="0" maxLength="100" border="1" negativeBarBorderColorSameAsPositive="0">
              <x14:cfvo type="autoMin"/>
              <x14:cfvo type="autoMax"/>
              <x14:borderColor rgb="FF63C384"/>
              <x14:negativeFillColor rgb="FFFF0000"/>
              <x14:negativeBorderColor rgb="FFFF0000"/>
              <x14:axisColor rgb="FF000000"/>
            </x14:dataBar>
          </x14:cfRule>
          <xm:sqref>Z762</xm:sqref>
        </x14:conditionalFormatting>
        <x14:conditionalFormatting xmlns:xm="http://schemas.microsoft.com/office/excel/2006/main">
          <x14:cfRule type="dataBar" id="{DBF3D769-77CD-408C-930C-5B60CB63E85B}">
            <x14:dataBar minLength="0" maxLength="100" border="1" negativeBarBorderColorSameAsPositive="0">
              <x14:cfvo type="autoMin"/>
              <x14:cfvo type="autoMax"/>
              <x14:borderColor rgb="FF63C384"/>
              <x14:negativeFillColor rgb="FFFF0000"/>
              <x14:negativeBorderColor rgb="FFFF0000"/>
              <x14:axisColor rgb="FF000000"/>
            </x14:dataBar>
          </x14:cfRule>
          <xm:sqref>Z762</xm:sqref>
        </x14:conditionalFormatting>
        <x14:conditionalFormatting xmlns:xm="http://schemas.microsoft.com/office/excel/2006/main">
          <x14:cfRule type="dataBar" id="{37865DB3-5A4E-46A6-8F2C-63AACD3D997D}">
            <x14:dataBar minLength="0" maxLength="100" border="1" negativeBarBorderColorSameAsPositive="0">
              <x14:cfvo type="autoMin"/>
              <x14:cfvo type="autoMax"/>
              <x14:borderColor rgb="FF63C384"/>
              <x14:negativeFillColor rgb="FFFF0000"/>
              <x14:negativeBorderColor rgb="FFFF0000"/>
              <x14:axisColor rgb="FF000000"/>
            </x14:dataBar>
          </x14:cfRule>
          <xm:sqref>Z762</xm:sqref>
        </x14:conditionalFormatting>
        <x14:conditionalFormatting xmlns:xm="http://schemas.microsoft.com/office/excel/2006/main">
          <x14:cfRule type="dataBar" id="{2C490446-C1AE-4B7C-A270-42244F228341}">
            <x14:dataBar minLength="0" maxLength="100" border="1" negativeBarBorderColorSameAsPositive="0">
              <x14:cfvo type="autoMin"/>
              <x14:cfvo type="autoMax"/>
              <x14:borderColor rgb="FF63C384"/>
              <x14:negativeFillColor rgb="FFFF0000"/>
              <x14:negativeBorderColor rgb="FFFF0000"/>
              <x14:axisColor rgb="FF000000"/>
            </x14:dataBar>
          </x14:cfRule>
          <xm:sqref>Z762</xm:sqref>
        </x14:conditionalFormatting>
        <x14:conditionalFormatting xmlns:xm="http://schemas.microsoft.com/office/excel/2006/main">
          <x14:cfRule type="dataBar" id="{DFD8E394-BA0A-4A8F-A734-AF0A96924D9D}">
            <x14:dataBar minLength="0" maxLength="100" border="1" negativeBarBorderColorSameAsPositive="0">
              <x14:cfvo type="autoMin"/>
              <x14:cfvo type="autoMax"/>
              <x14:borderColor rgb="FF63C384"/>
              <x14:negativeFillColor rgb="FFFF0000"/>
              <x14:negativeBorderColor rgb="FFFF0000"/>
              <x14:axisColor rgb="FF000000"/>
            </x14:dataBar>
          </x14:cfRule>
          <xm:sqref>Z762</xm:sqref>
        </x14:conditionalFormatting>
        <x14:conditionalFormatting xmlns:xm="http://schemas.microsoft.com/office/excel/2006/main">
          <x14:cfRule type="dataBar" id="{D42BB712-66DB-419F-AEE3-98BA0746457D}">
            <x14:dataBar minLength="0" maxLength="100" border="1" negativeBarBorderColorSameAsPositive="0">
              <x14:cfvo type="autoMin"/>
              <x14:cfvo type="autoMax"/>
              <x14:borderColor rgb="FF63C384"/>
              <x14:negativeFillColor rgb="FFFF0000"/>
              <x14:negativeBorderColor rgb="FFFF0000"/>
              <x14:axisColor rgb="FF000000"/>
            </x14:dataBar>
          </x14:cfRule>
          <xm:sqref>Z762</xm:sqref>
        </x14:conditionalFormatting>
        <x14:conditionalFormatting xmlns:xm="http://schemas.microsoft.com/office/excel/2006/main">
          <x14:cfRule type="dataBar" id="{6128E97E-3D01-4860-8415-B1BE3DDFDA82}">
            <x14:dataBar minLength="0" maxLength="100" border="1" negativeBarBorderColorSameAsPositive="0">
              <x14:cfvo type="autoMin"/>
              <x14:cfvo type="autoMax"/>
              <x14:borderColor rgb="FF63C384"/>
              <x14:negativeFillColor rgb="FFFF0000"/>
              <x14:negativeBorderColor rgb="FFFF0000"/>
              <x14:axisColor rgb="FF000000"/>
            </x14:dataBar>
          </x14:cfRule>
          <xm:sqref>Z763:Z764</xm:sqref>
        </x14:conditionalFormatting>
        <x14:conditionalFormatting xmlns:xm="http://schemas.microsoft.com/office/excel/2006/main">
          <x14:cfRule type="dataBar" id="{955D2FB3-5E1B-4783-9495-5D1B2E17BAD7}">
            <x14:dataBar minLength="0" maxLength="100" border="1" negativeBarBorderColorSameAsPositive="0">
              <x14:cfvo type="autoMin"/>
              <x14:cfvo type="autoMax"/>
              <x14:borderColor rgb="FF63C384"/>
              <x14:negativeFillColor rgb="FFFF0000"/>
              <x14:negativeBorderColor rgb="FFFF0000"/>
              <x14:axisColor rgb="FF000000"/>
            </x14:dataBar>
          </x14:cfRule>
          <xm:sqref>Z763:Z764</xm:sqref>
        </x14:conditionalFormatting>
        <x14:conditionalFormatting xmlns:xm="http://schemas.microsoft.com/office/excel/2006/main">
          <x14:cfRule type="dataBar" id="{232FD82E-D4AA-4A6E-A0E7-9BA3E30438AF}">
            <x14:dataBar minLength="0" maxLength="100" border="1" negativeBarBorderColorSameAsPositive="0">
              <x14:cfvo type="autoMin"/>
              <x14:cfvo type="autoMax"/>
              <x14:borderColor rgb="FF63C384"/>
              <x14:negativeFillColor rgb="FFFF0000"/>
              <x14:negativeBorderColor rgb="FFFF0000"/>
              <x14:axisColor rgb="FF000000"/>
            </x14:dataBar>
          </x14:cfRule>
          <xm:sqref>Z763:Z764</xm:sqref>
        </x14:conditionalFormatting>
        <x14:conditionalFormatting xmlns:xm="http://schemas.microsoft.com/office/excel/2006/main">
          <x14:cfRule type="dataBar" id="{68FA71DA-FF47-4F10-8DDE-3DEE841245F4}">
            <x14:dataBar minLength="0" maxLength="100" border="1" negativeBarBorderColorSameAsPositive="0">
              <x14:cfvo type="autoMin"/>
              <x14:cfvo type="autoMax"/>
              <x14:borderColor rgb="FF63C384"/>
              <x14:negativeFillColor rgb="FFFF0000"/>
              <x14:negativeBorderColor rgb="FFFF0000"/>
              <x14:axisColor rgb="FF000000"/>
            </x14:dataBar>
          </x14:cfRule>
          <xm:sqref>Z763:Z764</xm:sqref>
        </x14:conditionalFormatting>
        <x14:conditionalFormatting xmlns:xm="http://schemas.microsoft.com/office/excel/2006/main">
          <x14:cfRule type="dataBar" id="{C69CFB84-5BC3-4327-8A76-C45E9966F9D5}">
            <x14:dataBar minLength="0" maxLength="100" border="1" negativeBarBorderColorSameAsPositive="0">
              <x14:cfvo type="autoMin"/>
              <x14:cfvo type="autoMax"/>
              <x14:borderColor rgb="FF63C384"/>
              <x14:negativeFillColor rgb="FFFF0000"/>
              <x14:negativeBorderColor rgb="FFFF0000"/>
              <x14:axisColor rgb="FF000000"/>
            </x14:dataBar>
          </x14:cfRule>
          <xm:sqref>Z765</xm:sqref>
        </x14:conditionalFormatting>
        <x14:conditionalFormatting xmlns:xm="http://schemas.microsoft.com/office/excel/2006/main">
          <x14:cfRule type="dataBar" id="{0AD783F1-4CEC-49BF-8FD1-9F215E191AE0}">
            <x14:dataBar minLength="0" maxLength="100" border="1" negativeBarBorderColorSameAsPositive="0">
              <x14:cfvo type="autoMin"/>
              <x14:cfvo type="autoMax"/>
              <x14:borderColor rgb="FF63C384"/>
              <x14:negativeFillColor rgb="FFFF0000"/>
              <x14:negativeBorderColor rgb="FFFF0000"/>
              <x14:axisColor rgb="FF000000"/>
            </x14:dataBar>
          </x14:cfRule>
          <xm:sqref>Z765</xm:sqref>
        </x14:conditionalFormatting>
        <x14:conditionalFormatting xmlns:xm="http://schemas.microsoft.com/office/excel/2006/main">
          <x14:cfRule type="dataBar" id="{56128931-7776-4486-994F-752C213D1667}">
            <x14:dataBar minLength="0" maxLength="100" border="1" negativeBarBorderColorSameAsPositive="0">
              <x14:cfvo type="autoMin"/>
              <x14:cfvo type="autoMax"/>
              <x14:borderColor rgb="FF63C384"/>
              <x14:negativeFillColor rgb="FFFF0000"/>
              <x14:negativeBorderColor rgb="FFFF0000"/>
              <x14:axisColor rgb="FF000000"/>
            </x14:dataBar>
          </x14:cfRule>
          <xm:sqref>Z765</xm:sqref>
        </x14:conditionalFormatting>
        <x14:conditionalFormatting xmlns:xm="http://schemas.microsoft.com/office/excel/2006/main">
          <x14:cfRule type="dataBar" id="{0043B28B-0F78-4F80-879F-9F3A1DDCBD9C}">
            <x14:dataBar minLength="0" maxLength="100" border="1" negativeBarBorderColorSameAsPositive="0">
              <x14:cfvo type="autoMin"/>
              <x14:cfvo type="autoMax"/>
              <x14:borderColor rgb="FF63C384"/>
              <x14:negativeFillColor rgb="FFFF0000"/>
              <x14:negativeBorderColor rgb="FFFF0000"/>
              <x14:axisColor rgb="FF000000"/>
            </x14:dataBar>
          </x14:cfRule>
          <xm:sqref>Z765</xm:sqref>
        </x14:conditionalFormatting>
        <x14:conditionalFormatting xmlns:xm="http://schemas.microsoft.com/office/excel/2006/main">
          <x14:cfRule type="dataBar" id="{D1400695-8347-4F8F-A120-3AD07122851D}">
            <x14:dataBar minLength="0" maxLength="100" border="1" negativeBarBorderColorSameAsPositive="0">
              <x14:cfvo type="autoMin"/>
              <x14:cfvo type="autoMax"/>
              <x14:borderColor rgb="FF63C384"/>
              <x14:negativeFillColor rgb="FFFF0000"/>
              <x14:negativeBorderColor rgb="FFFF0000"/>
              <x14:axisColor rgb="FF000000"/>
            </x14:dataBar>
          </x14:cfRule>
          <xm:sqref>Z766</xm:sqref>
        </x14:conditionalFormatting>
        <x14:conditionalFormatting xmlns:xm="http://schemas.microsoft.com/office/excel/2006/main">
          <x14:cfRule type="dataBar" id="{2EED73C0-49DF-41F1-B6D8-24206622C148}">
            <x14:dataBar minLength="0" maxLength="100" border="1" negativeBarBorderColorSameAsPositive="0">
              <x14:cfvo type="autoMin"/>
              <x14:cfvo type="autoMax"/>
              <x14:borderColor rgb="FF63C384"/>
              <x14:negativeFillColor rgb="FFFF0000"/>
              <x14:negativeBorderColor rgb="FFFF0000"/>
              <x14:axisColor rgb="FF000000"/>
            </x14:dataBar>
          </x14:cfRule>
          <xm:sqref>Z766</xm:sqref>
        </x14:conditionalFormatting>
        <x14:conditionalFormatting xmlns:xm="http://schemas.microsoft.com/office/excel/2006/main">
          <x14:cfRule type="dataBar" id="{EC2303F3-1325-494B-89C3-F268CB6C5A8F}">
            <x14:dataBar minLength="0" maxLength="100" border="1" negativeBarBorderColorSameAsPositive="0">
              <x14:cfvo type="autoMin"/>
              <x14:cfvo type="autoMax"/>
              <x14:borderColor rgb="FF63C384"/>
              <x14:negativeFillColor rgb="FFFF0000"/>
              <x14:negativeBorderColor rgb="FFFF0000"/>
              <x14:axisColor rgb="FF000000"/>
            </x14:dataBar>
          </x14:cfRule>
          <xm:sqref>Z767</xm:sqref>
        </x14:conditionalFormatting>
        <x14:conditionalFormatting xmlns:xm="http://schemas.microsoft.com/office/excel/2006/main">
          <x14:cfRule type="dataBar" id="{C0C105B4-1103-4CE7-8EF6-26EFD98FA58B}">
            <x14:dataBar minLength="0" maxLength="100" border="1" negativeBarBorderColorSameAsPositive="0">
              <x14:cfvo type="autoMin"/>
              <x14:cfvo type="autoMax"/>
              <x14:borderColor rgb="FF63C384"/>
              <x14:negativeFillColor rgb="FFFF0000"/>
              <x14:negativeBorderColor rgb="FFFF0000"/>
              <x14:axisColor rgb="FF000000"/>
            </x14:dataBar>
          </x14:cfRule>
          <xm:sqref>Z767</xm:sqref>
        </x14:conditionalFormatting>
        <x14:conditionalFormatting xmlns:xm="http://schemas.microsoft.com/office/excel/2006/main">
          <x14:cfRule type="dataBar" id="{94FD635F-82F3-4C23-B3B9-77AC1A671D69}">
            <x14:dataBar minLength="0" maxLength="100" border="1" negativeBarBorderColorSameAsPositive="0">
              <x14:cfvo type="autoMin"/>
              <x14:cfvo type="autoMax"/>
              <x14:borderColor rgb="FF63C384"/>
              <x14:negativeFillColor rgb="FFFF0000"/>
              <x14:negativeBorderColor rgb="FFFF0000"/>
              <x14:axisColor rgb="FF000000"/>
            </x14:dataBar>
          </x14:cfRule>
          <xm:sqref>Z768</xm:sqref>
        </x14:conditionalFormatting>
        <x14:conditionalFormatting xmlns:xm="http://schemas.microsoft.com/office/excel/2006/main">
          <x14:cfRule type="dataBar" id="{3071E897-925A-4592-AD3A-764379081436}">
            <x14:dataBar minLength="0" maxLength="100" border="1" negativeBarBorderColorSameAsPositive="0">
              <x14:cfvo type="autoMin"/>
              <x14:cfvo type="autoMax"/>
              <x14:borderColor rgb="FF63C384"/>
              <x14:negativeFillColor rgb="FFFF0000"/>
              <x14:negativeBorderColor rgb="FFFF0000"/>
              <x14:axisColor rgb="FF000000"/>
            </x14:dataBar>
          </x14:cfRule>
          <xm:sqref>Z768</xm:sqref>
        </x14:conditionalFormatting>
        <x14:conditionalFormatting xmlns:xm="http://schemas.microsoft.com/office/excel/2006/main">
          <x14:cfRule type="dataBar" id="{A83CEC40-00C8-41A0-B71A-FDEA5D71D894}">
            <x14:dataBar minLength="0" maxLength="100" border="1" negativeBarBorderColorSameAsPositive="0">
              <x14:cfvo type="autoMin"/>
              <x14:cfvo type="autoMax"/>
              <x14:borderColor rgb="FF63C384"/>
              <x14:negativeFillColor rgb="FFFF0000"/>
              <x14:negativeBorderColor rgb="FFFF0000"/>
              <x14:axisColor rgb="FF000000"/>
            </x14:dataBar>
          </x14:cfRule>
          <xm:sqref>Z769</xm:sqref>
        </x14:conditionalFormatting>
        <x14:conditionalFormatting xmlns:xm="http://schemas.microsoft.com/office/excel/2006/main">
          <x14:cfRule type="dataBar" id="{D7B9FD5F-EB4B-45E4-9355-18C69952191C}">
            <x14:dataBar minLength="0" maxLength="100" border="1" negativeBarBorderColorSameAsPositive="0">
              <x14:cfvo type="autoMin"/>
              <x14:cfvo type="autoMax"/>
              <x14:borderColor rgb="FF63C384"/>
              <x14:negativeFillColor rgb="FFFF0000"/>
              <x14:negativeBorderColor rgb="FFFF0000"/>
              <x14:axisColor rgb="FF000000"/>
            </x14:dataBar>
          </x14:cfRule>
          <xm:sqref>Z769</xm:sqref>
        </x14:conditionalFormatting>
        <x14:conditionalFormatting xmlns:xm="http://schemas.microsoft.com/office/excel/2006/main">
          <x14:cfRule type="dataBar" id="{DECA8D41-7634-42C3-BE9C-233DD7C6B119}">
            <x14:dataBar minLength="0" maxLength="100" border="1" negativeBarBorderColorSameAsPositive="0">
              <x14:cfvo type="autoMin"/>
              <x14:cfvo type="autoMax"/>
              <x14:borderColor rgb="FF63C384"/>
              <x14:negativeFillColor rgb="FFFF0000"/>
              <x14:negativeBorderColor rgb="FFFF0000"/>
              <x14:axisColor rgb="FF000000"/>
            </x14:dataBar>
          </x14:cfRule>
          <xm:sqref>Z770</xm:sqref>
        </x14:conditionalFormatting>
        <x14:conditionalFormatting xmlns:xm="http://schemas.microsoft.com/office/excel/2006/main">
          <x14:cfRule type="dataBar" id="{CE84E434-43BD-4912-ADE0-89809FC191A8}">
            <x14:dataBar minLength="0" maxLength="100" border="1" negativeBarBorderColorSameAsPositive="0">
              <x14:cfvo type="autoMin"/>
              <x14:cfvo type="autoMax"/>
              <x14:borderColor rgb="FF63C384"/>
              <x14:negativeFillColor rgb="FFFF0000"/>
              <x14:negativeBorderColor rgb="FFFF0000"/>
              <x14:axisColor rgb="FF000000"/>
            </x14:dataBar>
          </x14:cfRule>
          <xm:sqref>Z770</xm:sqref>
        </x14:conditionalFormatting>
        <x14:conditionalFormatting xmlns:xm="http://schemas.microsoft.com/office/excel/2006/main">
          <x14:cfRule type="dataBar" id="{9C6FFEDC-FD39-4037-822A-38FC4E605FB1}">
            <x14:dataBar minLength="0" maxLength="100" border="1" negativeBarBorderColorSameAsPositive="0">
              <x14:cfvo type="autoMin"/>
              <x14:cfvo type="autoMax"/>
              <x14:borderColor rgb="FF63C384"/>
              <x14:negativeFillColor rgb="FFFF0000"/>
              <x14:negativeBorderColor rgb="FFFF0000"/>
              <x14:axisColor rgb="FF000000"/>
            </x14:dataBar>
          </x14:cfRule>
          <xm:sqref>Z770</xm:sqref>
        </x14:conditionalFormatting>
        <x14:conditionalFormatting xmlns:xm="http://schemas.microsoft.com/office/excel/2006/main">
          <x14:cfRule type="dataBar" id="{B86BBCA5-BBAD-4E9C-BA58-3847A2028906}">
            <x14:dataBar minLength="0" maxLength="100" border="1" negativeBarBorderColorSameAsPositive="0">
              <x14:cfvo type="autoMin"/>
              <x14:cfvo type="autoMax"/>
              <x14:borderColor rgb="FF63C384"/>
              <x14:negativeFillColor rgb="FFFF0000"/>
              <x14:negativeBorderColor rgb="FFFF0000"/>
              <x14:axisColor rgb="FF000000"/>
            </x14:dataBar>
          </x14:cfRule>
          <xm:sqref>Z770</xm:sqref>
        </x14:conditionalFormatting>
        <x14:conditionalFormatting xmlns:xm="http://schemas.microsoft.com/office/excel/2006/main">
          <x14:cfRule type="dataBar" id="{1BB19C2C-DB57-4584-AC20-3ACC79BB7AEB}">
            <x14:dataBar minLength="0" maxLength="100" border="1" negativeBarBorderColorSameAsPositive="0">
              <x14:cfvo type="autoMin"/>
              <x14:cfvo type="autoMax"/>
              <x14:borderColor rgb="FF63C384"/>
              <x14:negativeFillColor rgb="FFFF0000"/>
              <x14:negativeBorderColor rgb="FFFF0000"/>
              <x14:axisColor rgb="FF000000"/>
            </x14:dataBar>
          </x14:cfRule>
          <xm:sqref>Z771</xm:sqref>
        </x14:conditionalFormatting>
        <x14:conditionalFormatting xmlns:xm="http://schemas.microsoft.com/office/excel/2006/main">
          <x14:cfRule type="dataBar" id="{191A95A2-915D-4059-A2E4-BB7D3AA3E3B6}">
            <x14:dataBar minLength="0" maxLength="100" border="1" negativeBarBorderColorSameAsPositive="0">
              <x14:cfvo type="autoMin"/>
              <x14:cfvo type="autoMax"/>
              <x14:borderColor rgb="FF63C384"/>
              <x14:negativeFillColor rgb="FFFF0000"/>
              <x14:negativeBorderColor rgb="FFFF0000"/>
              <x14:axisColor rgb="FF000000"/>
            </x14:dataBar>
          </x14:cfRule>
          <xm:sqref>Z771</xm:sqref>
        </x14:conditionalFormatting>
        <x14:conditionalFormatting xmlns:xm="http://schemas.microsoft.com/office/excel/2006/main">
          <x14:cfRule type="dataBar" id="{4D365407-9E28-4A6D-B764-12022173D80B}">
            <x14:dataBar minLength="0" maxLength="100" border="1" negativeBarBorderColorSameAsPositive="0">
              <x14:cfvo type="autoMin"/>
              <x14:cfvo type="autoMax"/>
              <x14:borderColor rgb="FF63C384"/>
              <x14:negativeFillColor rgb="FFFF0000"/>
              <x14:negativeBorderColor rgb="FFFF0000"/>
              <x14:axisColor rgb="FF000000"/>
            </x14:dataBar>
          </x14:cfRule>
          <xm:sqref>Z772</xm:sqref>
        </x14:conditionalFormatting>
        <x14:conditionalFormatting xmlns:xm="http://schemas.microsoft.com/office/excel/2006/main">
          <x14:cfRule type="dataBar" id="{03CFD7DC-8405-4D52-9555-CD86E85A4E41}">
            <x14:dataBar minLength="0" maxLength="100" border="1" negativeBarBorderColorSameAsPositive="0">
              <x14:cfvo type="autoMin"/>
              <x14:cfvo type="autoMax"/>
              <x14:borderColor rgb="FF63C384"/>
              <x14:negativeFillColor rgb="FFFF0000"/>
              <x14:negativeBorderColor rgb="FFFF0000"/>
              <x14:axisColor rgb="FF000000"/>
            </x14:dataBar>
          </x14:cfRule>
          <xm:sqref>Z772</xm:sqref>
        </x14:conditionalFormatting>
        <x14:conditionalFormatting xmlns:xm="http://schemas.microsoft.com/office/excel/2006/main">
          <x14:cfRule type="dataBar" id="{300B5958-5491-404B-B557-2E45360F476E}">
            <x14:dataBar minLength="0" maxLength="100" border="1" negativeBarBorderColorSameAsPositive="0">
              <x14:cfvo type="autoMin"/>
              <x14:cfvo type="autoMax"/>
              <x14:borderColor rgb="FF63C384"/>
              <x14:negativeFillColor rgb="FFFF0000"/>
              <x14:negativeBorderColor rgb="FFFF0000"/>
              <x14:axisColor rgb="FF000000"/>
            </x14:dataBar>
          </x14:cfRule>
          <xm:sqref>Z772</xm:sqref>
        </x14:conditionalFormatting>
        <x14:conditionalFormatting xmlns:xm="http://schemas.microsoft.com/office/excel/2006/main">
          <x14:cfRule type="dataBar" id="{078C0C77-4BE5-43FB-BFE6-91DDA8904E10}">
            <x14:dataBar minLength="0" maxLength="100" border="1" negativeBarBorderColorSameAsPositive="0">
              <x14:cfvo type="autoMin"/>
              <x14:cfvo type="autoMax"/>
              <x14:borderColor rgb="FF63C384"/>
              <x14:negativeFillColor rgb="FFFF0000"/>
              <x14:negativeBorderColor rgb="FFFF0000"/>
              <x14:axisColor rgb="FF000000"/>
            </x14:dataBar>
          </x14:cfRule>
          <xm:sqref>Z772</xm:sqref>
        </x14:conditionalFormatting>
        <x14:conditionalFormatting xmlns:xm="http://schemas.microsoft.com/office/excel/2006/main">
          <x14:cfRule type="dataBar" id="{78B3AA9E-AC1B-4647-A7CF-D87B4234FAAF}">
            <x14:dataBar minLength="0" maxLength="100" border="1" negativeBarBorderColorSameAsPositive="0">
              <x14:cfvo type="autoMin"/>
              <x14:cfvo type="autoMax"/>
              <x14:borderColor rgb="FF63C384"/>
              <x14:negativeFillColor rgb="FFFF0000"/>
              <x14:negativeBorderColor rgb="FFFF0000"/>
              <x14:axisColor rgb="FF000000"/>
            </x14:dataBar>
          </x14:cfRule>
          <xm:sqref>Z772</xm:sqref>
        </x14:conditionalFormatting>
        <x14:conditionalFormatting xmlns:xm="http://schemas.microsoft.com/office/excel/2006/main">
          <x14:cfRule type="dataBar" id="{E2B36DB2-B98A-4002-A75B-679AC1AF3DF4}">
            <x14:dataBar minLength="0" maxLength="100" border="1" negativeBarBorderColorSameAsPositive="0">
              <x14:cfvo type="autoMin"/>
              <x14:cfvo type="autoMax"/>
              <x14:borderColor rgb="FF63C384"/>
              <x14:negativeFillColor rgb="FFFF0000"/>
              <x14:negativeBorderColor rgb="FFFF0000"/>
              <x14:axisColor rgb="FF000000"/>
            </x14:dataBar>
          </x14:cfRule>
          <xm:sqref>Z772</xm:sqref>
        </x14:conditionalFormatting>
        <x14:conditionalFormatting xmlns:xm="http://schemas.microsoft.com/office/excel/2006/main">
          <x14:cfRule type="dataBar" id="{0A1D4A18-9945-4FF7-9F38-0E9943F2510B}">
            <x14:dataBar minLength="0" maxLength="100" border="1" negativeBarBorderColorSameAsPositive="0">
              <x14:cfvo type="autoMin"/>
              <x14:cfvo type="autoMax"/>
              <x14:borderColor rgb="FF63C384"/>
              <x14:negativeFillColor rgb="FFFF0000"/>
              <x14:negativeBorderColor rgb="FFFF0000"/>
              <x14:axisColor rgb="FF000000"/>
            </x14:dataBar>
          </x14:cfRule>
          <xm:sqref>Z772</xm:sqref>
        </x14:conditionalFormatting>
        <x14:conditionalFormatting xmlns:xm="http://schemas.microsoft.com/office/excel/2006/main">
          <x14:cfRule type="dataBar" id="{1654D81B-EE91-4935-9264-4595264B09DE}">
            <x14:dataBar minLength="0" maxLength="100" border="1" negativeBarBorderColorSameAsPositive="0">
              <x14:cfvo type="autoMin"/>
              <x14:cfvo type="autoMax"/>
              <x14:borderColor rgb="FF63C384"/>
              <x14:negativeFillColor rgb="FFFF0000"/>
              <x14:negativeBorderColor rgb="FFFF0000"/>
              <x14:axisColor rgb="FF000000"/>
            </x14:dataBar>
          </x14:cfRule>
          <xm:sqref>Z772</xm:sqref>
        </x14:conditionalFormatting>
        <x14:conditionalFormatting xmlns:xm="http://schemas.microsoft.com/office/excel/2006/main">
          <x14:cfRule type="dataBar" id="{ABB25D97-16FF-4AF0-BE02-B210FB02EB6B}">
            <x14:dataBar minLength="0" maxLength="100" border="1" negativeBarBorderColorSameAsPositive="0">
              <x14:cfvo type="autoMin"/>
              <x14:cfvo type="autoMax"/>
              <x14:borderColor rgb="FF63C384"/>
              <x14:negativeFillColor rgb="FFFF0000"/>
              <x14:negativeBorderColor rgb="FFFF0000"/>
              <x14:axisColor rgb="FF000000"/>
            </x14:dataBar>
          </x14:cfRule>
          <xm:sqref>Z773</xm:sqref>
        </x14:conditionalFormatting>
        <x14:conditionalFormatting xmlns:xm="http://schemas.microsoft.com/office/excel/2006/main">
          <x14:cfRule type="dataBar" id="{5DDE3177-32D2-4B45-999E-958FD463AA52}">
            <x14:dataBar minLength="0" maxLength="100" border="1" negativeBarBorderColorSameAsPositive="0">
              <x14:cfvo type="autoMin"/>
              <x14:cfvo type="autoMax"/>
              <x14:borderColor rgb="FF63C384"/>
              <x14:negativeFillColor rgb="FFFF0000"/>
              <x14:negativeBorderColor rgb="FFFF0000"/>
              <x14:axisColor rgb="FF000000"/>
            </x14:dataBar>
          </x14:cfRule>
          <xm:sqref>Z773</xm:sqref>
        </x14:conditionalFormatting>
        <x14:conditionalFormatting xmlns:xm="http://schemas.microsoft.com/office/excel/2006/main">
          <x14:cfRule type="dataBar" id="{EFE21946-229F-4C2A-9907-D7811D1A5D5F}">
            <x14:dataBar minLength="0" maxLength="100" border="1" negativeBarBorderColorSameAsPositive="0">
              <x14:cfvo type="autoMin"/>
              <x14:cfvo type="autoMax"/>
              <x14:borderColor rgb="FF63C384"/>
              <x14:negativeFillColor rgb="FFFF0000"/>
              <x14:negativeBorderColor rgb="FFFF0000"/>
              <x14:axisColor rgb="FF000000"/>
            </x14:dataBar>
          </x14:cfRule>
          <xm:sqref>Z773</xm:sqref>
        </x14:conditionalFormatting>
        <x14:conditionalFormatting xmlns:xm="http://schemas.microsoft.com/office/excel/2006/main">
          <x14:cfRule type="dataBar" id="{2F37C84A-49C4-4EB2-9232-EDEF8C1E61C5}">
            <x14:dataBar minLength="0" maxLength="100" border="1" negativeBarBorderColorSameAsPositive="0">
              <x14:cfvo type="autoMin"/>
              <x14:cfvo type="autoMax"/>
              <x14:borderColor rgb="FF63C384"/>
              <x14:negativeFillColor rgb="FFFF0000"/>
              <x14:negativeBorderColor rgb="FFFF0000"/>
              <x14:axisColor rgb="FF000000"/>
            </x14:dataBar>
          </x14:cfRule>
          <xm:sqref>Z773</xm:sqref>
        </x14:conditionalFormatting>
        <x14:conditionalFormatting xmlns:xm="http://schemas.microsoft.com/office/excel/2006/main">
          <x14:cfRule type="dataBar" id="{6446231B-06A8-49C7-AB89-4CBBC224CE41}">
            <x14:dataBar minLength="0" maxLength="100" border="1" negativeBarBorderColorSameAsPositive="0">
              <x14:cfvo type="autoMin"/>
              <x14:cfvo type="autoMax"/>
              <x14:borderColor rgb="FF63C384"/>
              <x14:negativeFillColor rgb="FFFF0000"/>
              <x14:negativeBorderColor rgb="FFFF0000"/>
              <x14:axisColor rgb="FF000000"/>
            </x14:dataBar>
          </x14:cfRule>
          <xm:sqref>Z774</xm:sqref>
        </x14:conditionalFormatting>
        <x14:conditionalFormatting xmlns:xm="http://schemas.microsoft.com/office/excel/2006/main">
          <x14:cfRule type="dataBar" id="{305F7759-FF17-42A9-859D-0812D615C0C3}">
            <x14:dataBar minLength="0" maxLength="100" border="1" negativeBarBorderColorSameAsPositive="0">
              <x14:cfvo type="autoMin"/>
              <x14:cfvo type="autoMax"/>
              <x14:borderColor rgb="FF63C384"/>
              <x14:negativeFillColor rgb="FFFF0000"/>
              <x14:negativeBorderColor rgb="FFFF0000"/>
              <x14:axisColor rgb="FF000000"/>
            </x14:dataBar>
          </x14:cfRule>
          <xm:sqref>Z774</xm:sqref>
        </x14:conditionalFormatting>
        <x14:conditionalFormatting xmlns:xm="http://schemas.microsoft.com/office/excel/2006/main">
          <x14:cfRule type="dataBar" id="{B472969B-7C5B-4188-B3B7-AE379BCAD47F}">
            <x14:dataBar minLength="0" maxLength="100" border="1" negativeBarBorderColorSameAsPositive="0">
              <x14:cfvo type="autoMin"/>
              <x14:cfvo type="autoMax"/>
              <x14:borderColor rgb="FF63C384"/>
              <x14:negativeFillColor rgb="FFFF0000"/>
              <x14:negativeBorderColor rgb="FFFF0000"/>
              <x14:axisColor rgb="FF000000"/>
            </x14:dataBar>
          </x14:cfRule>
          <xm:sqref>Z774</xm:sqref>
        </x14:conditionalFormatting>
        <x14:conditionalFormatting xmlns:xm="http://schemas.microsoft.com/office/excel/2006/main">
          <x14:cfRule type="dataBar" id="{BA579742-1019-418F-A0E3-79A77456D777}">
            <x14:dataBar minLength="0" maxLength="100" border="1" negativeBarBorderColorSameAsPositive="0">
              <x14:cfvo type="autoMin"/>
              <x14:cfvo type="autoMax"/>
              <x14:borderColor rgb="FF63C384"/>
              <x14:negativeFillColor rgb="FFFF0000"/>
              <x14:negativeBorderColor rgb="FFFF0000"/>
              <x14:axisColor rgb="FF000000"/>
            </x14:dataBar>
          </x14:cfRule>
          <xm:sqref>Z774</xm:sqref>
        </x14:conditionalFormatting>
        <x14:conditionalFormatting xmlns:xm="http://schemas.microsoft.com/office/excel/2006/main">
          <x14:cfRule type="dataBar" id="{C0B0AF54-DDE5-4382-88FA-B7575EB611E9}">
            <x14:dataBar minLength="0" maxLength="100" border="1" negativeBarBorderColorSameAsPositive="0">
              <x14:cfvo type="autoMin"/>
              <x14:cfvo type="autoMax"/>
              <x14:borderColor rgb="FF63C384"/>
              <x14:negativeFillColor rgb="FFFF0000"/>
              <x14:negativeBorderColor rgb="FFFF0000"/>
              <x14:axisColor rgb="FF000000"/>
            </x14:dataBar>
          </x14:cfRule>
          <xm:sqref>Z775</xm:sqref>
        </x14:conditionalFormatting>
        <x14:conditionalFormatting xmlns:xm="http://schemas.microsoft.com/office/excel/2006/main">
          <x14:cfRule type="dataBar" id="{749B89D2-3FE4-48B5-9FF6-CCAC51C2443C}">
            <x14:dataBar minLength="0" maxLength="100" border="1" negativeBarBorderColorSameAsPositive="0">
              <x14:cfvo type="autoMin"/>
              <x14:cfvo type="autoMax"/>
              <x14:borderColor rgb="FF63C384"/>
              <x14:negativeFillColor rgb="FFFF0000"/>
              <x14:negativeBorderColor rgb="FFFF0000"/>
              <x14:axisColor rgb="FF000000"/>
            </x14:dataBar>
          </x14:cfRule>
          <xm:sqref>Z775</xm:sqref>
        </x14:conditionalFormatting>
        <x14:conditionalFormatting xmlns:xm="http://schemas.microsoft.com/office/excel/2006/main">
          <x14:cfRule type="dataBar" id="{79DB614A-3B2C-41BD-807C-452292062A77}">
            <x14:dataBar minLength="0" maxLength="100" border="1" negativeBarBorderColorSameAsPositive="0">
              <x14:cfvo type="autoMin"/>
              <x14:cfvo type="autoMax"/>
              <x14:borderColor rgb="FF63C384"/>
              <x14:negativeFillColor rgb="FFFF0000"/>
              <x14:negativeBorderColor rgb="FFFF0000"/>
              <x14:axisColor rgb="FF000000"/>
            </x14:dataBar>
          </x14:cfRule>
          <xm:sqref>Z776</xm:sqref>
        </x14:conditionalFormatting>
        <x14:conditionalFormatting xmlns:xm="http://schemas.microsoft.com/office/excel/2006/main">
          <x14:cfRule type="dataBar" id="{13DA5422-FEB9-4069-B692-156DE2B3FCD0}">
            <x14:dataBar minLength="0" maxLength="100" border="1" negativeBarBorderColorSameAsPositive="0">
              <x14:cfvo type="autoMin"/>
              <x14:cfvo type="autoMax"/>
              <x14:borderColor rgb="FF63C384"/>
              <x14:negativeFillColor rgb="FFFF0000"/>
              <x14:negativeBorderColor rgb="FFFF0000"/>
              <x14:axisColor rgb="FF000000"/>
            </x14:dataBar>
          </x14:cfRule>
          <xm:sqref>Z776</xm:sqref>
        </x14:conditionalFormatting>
        <x14:conditionalFormatting xmlns:xm="http://schemas.microsoft.com/office/excel/2006/main">
          <x14:cfRule type="dataBar" id="{3E968A8F-063F-4EEE-B7A6-B54F8416AA28}">
            <x14:dataBar minLength="0" maxLength="100" border="1" negativeBarBorderColorSameAsPositive="0">
              <x14:cfvo type="autoMin"/>
              <x14:cfvo type="autoMax"/>
              <x14:borderColor rgb="FF63C384"/>
              <x14:negativeFillColor rgb="FFFF0000"/>
              <x14:negativeBorderColor rgb="FFFF0000"/>
              <x14:axisColor rgb="FF000000"/>
            </x14:dataBar>
          </x14:cfRule>
          <xm:sqref>Z776</xm:sqref>
        </x14:conditionalFormatting>
        <x14:conditionalFormatting xmlns:xm="http://schemas.microsoft.com/office/excel/2006/main">
          <x14:cfRule type="dataBar" id="{675B43D5-1579-4DAE-B0E7-F729A98DD2B8}">
            <x14:dataBar minLength="0" maxLength="100" border="1" negativeBarBorderColorSameAsPositive="0">
              <x14:cfvo type="autoMin"/>
              <x14:cfvo type="autoMax"/>
              <x14:borderColor rgb="FF63C384"/>
              <x14:negativeFillColor rgb="FFFF0000"/>
              <x14:negativeBorderColor rgb="FFFF0000"/>
              <x14:axisColor rgb="FF000000"/>
            </x14:dataBar>
          </x14:cfRule>
          <xm:sqref>Z776</xm:sqref>
        </x14:conditionalFormatting>
        <x14:conditionalFormatting xmlns:xm="http://schemas.microsoft.com/office/excel/2006/main">
          <x14:cfRule type="dataBar" id="{6D72CA91-A0DC-4A1C-A6DB-ACEB8CA7065F}">
            <x14:dataBar minLength="0" maxLength="100" border="1" negativeBarBorderColorSameAsPositive="0">
              <x14:cfvo type="autoMin"/>
              <x14:cfvo type="autoMax"/>
              <x14:borderColor rgb="FF63C384"/>
              <x14:negativeFillColor rgb="FFFF0000"/>
              <x14:negativeBorderColor rgb="FFFF0000"/>
              <x14:axisColor rgb="FF000000"/>
            </x14:dataBar>
          </x14:cfRule>
          <xm:sqref>Z777</xm:sqref>
        </x14:conditionalFormatting>
        <x14:conditionalFormatting xmlns:xm="http://schemas.microsoft.com/office/excel/2006/main">
          <x14:cfRule type="dataBar" id="{9D50EB39-3681-45B8-9C60-A3302795AD66}">
            <x14:dataBar minLength="0" maxLength="100" border="1" negativeBarBorderColorSameAsPositive="0">
              <x14:cfvo type="autoMin"/>
              <x14:cfvo type="autoMax"/>
              <x14:borderColor rgb="FF63C384"/>
              <x14:negativeFillColor rgb="FFFF0000"/>
              <x14:negativeBorderColor rgb="FFFF0000"/>
              <x14:axisColor rgb="FF000000"/>
            </x14:dataBar>
          </x14:cfRule>
          <xm:sqref>Z777</xm:sqref>
        </x14:conditionalFormatting>
        <x14:conditionalFormatting xmlns:xm="http://schemas.microsoft.com/office/excel/2006/main">
          <x14:cfRule type="dataBar" id="{7DB3E4A8-6AC7-44A8-9D64-416B5A9A7639}">
            <x14:dataBar minLength="0" maxLength="100" border="1" negativeBarBorderColorSameAsPositive="0">
              <x14:cfvo type="autoMin"/>
              <x14:cfvo type="autoMax"/>
              <x14:borderColor rgb="FF63C384"/>
              <x14:negativeFillColor rgb="FFFF0000"/>
              <x14:negativeBorderColor rgb="FFFF0000"/>
              <x14:axisColor rgb="FF000000"/>
            </x14:dataBar>
          </x14:cfRule>
          <xm:sqref>Z777</xm:sqref>
        </x14:conditionalFormatting>
        <x14:conditionalFormatting xmlns:xm="http://schemas.microsoft.com/office/excel/2006/main">
          <x14:cfRule type="dataBar" id="{29A6F6D5-2155-437F-92F2-D14D1C8F7C9C}">
            <x14:dataBar minLength="0" maxLength="100" border="1" negativeBarBorderColorSameAsPositive="0">
              <x14:cfvo type="autoMin"/>
              <x14:cfvo type="autoMax"/>
              <x14:borderColor rgb="FF63C384"/>
              <x14:negativeFillColor rgb="FFFF0000"/>
              <x14:negativeBorderColor rgb="FFFF0000"/>
              <x14:axisColor rgb="FF000000"/>
            </x14:dataBar>
          </x14:cfRule>
          <xm:sqref>Z777</xm:sqref>
        </x14:conditionalFormatting>
        <x14:conditionalFormatting xmlns:xm="http://schemas.microsoft.com/office/excel/2006/main">
          <x14:cfRule type="dataBar" id="{E01768B6-30E6-4CA5-BAA1-C61C05E6394F}">
            <x14:dataBar minLength="0" maxLength="100" border="1" negativeBarBorderColorSameAsPositive="0">
              <x14:cfvo type="autoMin"/>
              <x14:cfvo type="autoMax"/>
              <x14:borderColor rgb="FF63C384"/>
              <x14:negativeFillColor rgb="FFFF0000"/>
              <x14:negativeBorderColor rgb="FFFF0000"/>
              <x14:axisColor rgb="FF000000"/>
            </x14:dataBar>
          </x14:cfRule>
          <xm:sqref>Z777</xm:sqref>
        </x14:conditionalFormatting>
        <x14:conditionalFormatting xmlns:xm="http://schemas.microsoft.com/office/excel/2006/main">
          <x14:cfRule type="dataBar" id="{D6382A3B-2E84-4AD1-BE19-31A956D9EB11}">
            <x14:dataBar minLength="0" maxLength="100" border="1" negativeBarBorderColorSameAsPositive="0">
              <x14:cfvo type="autoMin"/>
              <x14:cfvo type="autoMax"/>
              <x14:borderColor rgb="FF63C384"/>
              <x14:negativeFillColor rgb="FFFF0000"/>
              <x14:negativeBorderColor rgb="FFFF0000"/>
              <x14:axisColor rgb="FF000000"/>
            </x14:dataBar>
          </x14:cfRule>
          <xm:sqref>Z777</xm:sqref>
        </x14:conditionalFormatting>
        <x14:conditionalFormatting xmlns:xm="http://schemas.microsoft.com/office/excel/2006/main">
          <x14:cfRule type="dataBar" id="{22BE8336-B852-444F-B769-23D254C1F4D7}">
            <x14:dataBar minLength="0" maxLength="100" border="1" negativeBarBorderColorSameAsPositive="0">
              <x14:cfvo type="autoMin"/>
              <x14:cfvo type="autoMax"/>
              <x14:borderColor rgb="FF63C384"/>
              <x14:negativeFillColor rgb="FFFF0000"/>
              <x14:negativeBorderColor rgb="FFFF0000"/>
              <x14:axisColor rgb="FF000000"/>
            </x14:dataBar>
          </x14:cfRule>
          <xm:sqref>Z778</xm:sqref>
        </x14:conditionalFormatting>
        <x14:conditionalFormatting xmlns:xm="http://schemas.microsoft.com/office/excel/2006/main">
          <x14:cfRule type="dataBar" id="{92172E64-654B-4A77-9B9E-068ABFFB30E4}">
            <x14:dataBar minLength="0" maxLength="100" border="1" negativeBarBorderColorSameAsPositive="0">
              <x14:cfvo type="autoMin"/>
              <x14:cfvo type="autoMax"/>
              <x14:borderColor rgb="FF63C384"/>
              <x14:negativeFillColor rgb="FFFF0000"/>
              <x14:negativeBorderColor rgb="FFFF0000"/>
              <x14:axisColor rgb="FF000000"/>
            </x14:dataBar>
          </x14:cfRule>
          <xm:sqref>Z778</xm:sqref>
        </x14:conditionalFormatting>
        <x14:conditionalFormatting xmlns:xm="http://schemas.microsoft.com/office/excel/2006/main">
          <x14:cfRule type="dataBar" id="{A79FA08B-FA19-4688-9CB0-CC051BC64B47}">
            <x14:dataBar minLength="0" maxLength="100" border="1" negativeBarBorderColorSameAsPositive="0">
              <x14:cfvo type="autoMin"/>
              <x14:cfvo type="autoMax"/>
              <x14:borderColor rgb="FF63C384"/>
              <x14:negativeFillColor rgb="FFFF0000"/>
              <x14:negativeBorderColor rgb="FFFF0000"/>
              <x14:axisColor rgb="FF000000"/>
            </x14:dataBar>
          </x14:cfRule>
          <xm:sqref>Z779</xm:sqref>
        </x14:conditionalFormatting>
        <x14:conditionalFormatting xmlns:xm="http://schemas.microsoft.com/office/excel/2006/main">
          <x14:cfRule type="dataBar" id="{12DAE9FE-0C09-458C-9EE0-A4E03E507616}">
            <x14:dataBar minLength="0" maxLength="100" border="1" negativeBarBorderColorSameAsPositive="0">
              <x14:cfvo type="autoMin"/>
              <x14:cfvo type="autoMax"/>
              <x14:borderColor rgb="FF63C384"/>
              <x14:negativeFillColor rgb="FFFF0000"/>
              <x14:negativeBorderColor rgb="FFFF0000"/>
              <x14:axisColor rgb="FF000000"/>
            </x14:dataBar>
          </x14:cfRule>
          <xm:sqref>Z779</xm:sqref>
        </x14:conditionalFormatting>
        <x14:conditionalFormatting xmlns:xm="http://schemas.microsoft.com/office/excel/2006/main">
          <x14:cfRule type="dataBar" id="{3DE7BFC4-7E8F-436C-B936-B634A6ABEDC1}">
            <x14:dataBar minLength="0" maxLength="100" border="1" negativeBarBorderColorSameAsPositive="0">
              <x14:cfvo type="autoMin"/>
              <x14:cfvo type="autoMax"/>
              <x14:borderColor rgb="FF63C384"/>
              <x14:negativeFillColor rgb="FFFF0000"/>
              <x14:negativeBorderColor rgb="FFFF0000"/>
              <x14:axisColor rgb="FF000000"/>
            </x14:dataBar>
          </x14:cfRule>
          <xm:sqref>Z779</xm:sqref>
        </x14:conditionalFormatting>
        <x14:conditionalFormatting xmlns:xm="http://schemas.microsoft.com/office/excel/2006/main">
          <x14:cfRule type="dataBar" id="{AEB8C7CB-D95E-42EC-81E8-38613ED836C0}">
            <x14:dataBar minLength="0" maxLength="100" border="1" negativeBarBorderColorSameAsPositive="0">
              <x14:cfvo type="autoMin"/>
              <x14:cfvo type="autoMax"/>
              <x14:borderColor rgb="FF63C384"/>
              <x14:negativeFillColor rgb="FFFF0000"/>
              <x14:negativeBorderColor rgb="FFFF0000"/>
              <x14:axisColor rgb="FF000000"/>
            </x14:dataBar>
          </x14:cfRule>
          <xm:sqref>Z779</xm:sqref>
        </x14:conditionalFormatting>
        <x14:conditionalFormatting xmlns:xm="http://schemas.microsoft.com/office/excel/2006/main">
          <x14:cfRule type="dataBar" id="{436CBB4B-555C-4388-BDFD-A7A60B349701}">
            <x14:dataBar minLength="0" maxLength="100" border="1" negativeBarBorderColorSameAsPositive="0">
              <x14:cfvo type="autoMin"/>
              <x14:cfvo type="autoMax"/>
              <x14:borderColor rgb="FF63C384"/>
              <x14:negativeFillColor rgb="FFFF0000"/>
              <x14:negativeBorderColor rgb="FFFF0000"/>
              <x14:axisColor rgb="FF000000"/>
            </x14:dataBar>
          </x14:cfRule>
          <xm:sqref>Z780</xm:sqref>
        </x14:conditionalFormatting>
        <x14:conditionalFormatting xmlns:xm="http://schemas.microsoft.com/office/excel/2006/main">
          <x14:cfRule type="dataBar" id="{E149C67D-4C32-4770-AA04-8083073E58CD}">
            <x14:dataBar minLength="0" maxLength="100" border="1" negativeBarBorderColorSameAsPositive="0">
              <x14:cfvo type="autoMin"/>
              <x14:cfvo type="autoMax"/>
              <x14:borderColor rgb="FF63C384"/>
              <x14:negativeFillColor rgb="FFFF0000"/>
              <x14:negativeBorderColor rgb="FFFF0000"/>
              <x14:axisColor rgb="FF000000"/>
            </x14:dataBar>
          </x14:cfRule>
          <xm:sqref>Z780</xm:sqref>
        </x14:conditionalFormatting>
        <x14:conditionalFormatting xmlns:xm="http://schemas.microsoft.com/office/excel/2006/main">
          <x14:cfRule type="dataBar" id="{3AC21BF0-3B75-4D20-BD15-6394A099664B}">
            <x14:dataBar minLength="0" maxLength="100" border="1" negativeBarBorderColorSameAsPositive="0">
              <x14:cfvo type="autoMin"/>
              <x14:cfvo type="autoMax"/>
              <x14:borderColor rgb="FF63C384"/>
              <x14:negativeFillColor rgb="FFFF0000"/>
              <x14:negativeBorderColor rgb="FFFF0000"/>
              <x14:axisColor rgb="FF000000"/>
            </x14:dataBar>
          </x14:cfRule>
          <xm:sqref>Z780</xm:sqref>
        </x14:conditionalFormatting>
        <x14:conditionalFormatting xmlns:xm="http://schemas.microsoft.com/office/excel/2006/main">
          <x14:cfRule type="dataBar" id="{EF91E0A9-BFBC-4A95-AF7F-266D17629CF4}">
            <x14:dataBar minLength="0" maxLength="100" border="1" negativeBarBorderColorSameAsPositive="0">
              <x14:cfvo type="autoMin"/>
              <x14:cfvo type="autoMax"/>
              <x14:borderColor rgb="FF63C384"/>
              <x14:negativeFillColor rgb="FFFF0000"/>
              <x14:negativeBorderColor rgb="FFFF0000"/>
              <x14:axisColor rgb="FF000000"/>
            </x14:dataBar>
          </x14:cfRule>
          <xm:sqref>Z780</xm:sqref>
        </x14:conditionalFormatting>
        <x14:conditionalFormatting xmlns:xm="http://schemas.microsoft.com/office/excel/2006/main">
          <x14:cfRule type="dataBar" id="{4123EB37-2114-4B4B-A6B9-D327AE01C040}">
            <x14:dataBar minLength="0" maxLength="100" border="1" negativeBarBorderColorSameAsPositive="0">
              <x14:cfvo type="autoMin"/>
              <x14:cfvo type="autoMax"/>
              <x14:borderColor rgb="FF63C384"/>
              <x14:negativeFillColor rgb="FFFF0000"/>
              <x14:negativeBorderColor rgb="FFFF0000"/>
              <x14:axisColor rgb="FF000000"/>
            </x14:dataBar>
          </x14:cfRule>
          <xm:sqref>Z781:Z782</xm:sqref>
        </x14:conditionalFormatting>
        <x14:conditionalFormatting xmlns:xm="http://schemas.microsoft.com/office/excel/2006/main">
          <x14:cfRule type="dataBar" id="{B970F6BF-4C5D-4D6D-BF88-8146FFE7E0A2}">
            <x14:dataBar minLength="0" maxLength="100" border="1" negativeBarBorderColorSameAsPositive="0">
              <x14:cfvo type="autoMin"/>
              <x14:cfvo type="autoMax"/>
              <x14:borderColor rgb="FF63C384"/>
              <x14:negativeFillColor rgb="FFFF0000"/>
              <x14:negativeBorderColor rgb="FFFF0000"/>
              <x14:axisColor rgb="FF000000"/>
            </x14:dataBar>
          </x14:cfRule>
          <xm:sqref>Z781:Z782</xm:sqref>
        </x14:conditionalFormatting>
        <x14:conditionalFormatting xmlns:xm="http://schemas.microsoft.com/office/excel/2006/main">
          <x14:cfRule type="dataBar" id="{E32FE5B2-CF4B-46E4-8CA8-C8CDAC2FB317}">
            <x14:dataBar minLength="0" maxLength="100" border="1" negativeBarBorderColorSameAsPositive="0">
              <x14:cfvo type="autoMin"/>
              <x14:cfvo type="autoMax"/>
              <x14:borderColor rgb="FF63C384"/>
              <x14:negativeFillColor rgb="FFFF0000"/>
              <x14:negativeBorderColor rgb="FFFF0000"/>
              <x14:axisColor rgb="FF000000"/>
            </x14:dataBar>
          </x14:cfRule>
          <xm:sqref>Z783</xm:sqref>
        </x14:conditionalFormatting>
        <x14:conditionalFormatting xmlns:xm="http://schemas.microsoft.com/office/excel/2006/main">
          <x14:cfRule type="dataBar" id="{75C4B5BF-8088-4B15-96A1-5A3ECC8E4E69}">
            <x14:dataBar minLength="0" maxLength="100" border="1" negativeBarBorderColorSameAsPositive="0">
              <x14:cfvo type="autoMin"/>
              <x14:cfvo type="autoMax"/>
              <x14:borderColor rgb="FF63C384"/>
              <x14:negativeFillColor rgb="FFFF0000"/>
              <x14:negativeBorderColor rgb="FFFF0000"/>
              <x14:axisColor rgb="FF000000"/>
            </x14:dataBar>
          </x14:cfRule>
          <xm:sqref>Z783</xm:sqref>
        </x14:conditionalFormatting>
        <x14:conditionalFormatting xmlns:xm="http://schemas.microsoft.com/office/excel/2006/main">
          <x14:cfRule type="dataBar" id="{7C2FCD09-367A-4650-B7A7-1207A69E9D15}">
            <x14:dataBar minLength="0" maxLength="100" border="1" negativeBarBorderColorSameAsPositive="0">
              <x14:cfvo type="autoMin"/>
              <x14:cfvo type="autoMax"/>
              <x14:borderColor rgb="FF63C384"/>
              <x14:negativeFillColor rgb="FFFF0000"/>
              <x14:negativeBorderColor rgb="FFFF0000"/>
              <x14:axisColor rgb="FF000000"/>
            </x14:dataBar>
          </x14:cfRule>
          <xm:sqref>Z784</xm:sqref>
        </x14:conditionalFormatting>
        <x14:conditionalFormatting xmlns:xm="http://schemas.microsoft.com/office/excel/2006/main">
          <x14:cfRule type="dataBar" id="{BC5CE1C0-73BB-40EC-AF91-902CF8C571AA}">
            <x14:dataBar minLength="0" maxLength="100" border="1" negativeBarBorderColorSameAsPositive="0">
              <x14:cfvo type="autoMin"/>
              <x14:cfvo type="autoMax"/>
              <x14:borderColor rgb="FF63C384"/>
              <x14:negativeFillColor rgb="FFFF0000"/>
              <x14:negativeBorderColor rgb="FFFF0000"/>
              <x14:axisColor rgb="FF000000"/>
            </x14:dataBar>
          </x14:cfRule>
          <xm:sqref>Z784</xm:sqref>
        </x14:conditionalFormatting>
        <x14:conditionalFormatting xmlns:xm="http://schemas.microsoft.com/office/excel/2006/main">
          <x14:cfRule type="dataBar" id="{7B400E2B-0D41-4E86-BA4D-7CC35BACE49C}">
            <x14:dataBar minLength="0" maxLength="100" border="1" negativeBarBorderColorSameAsPositive="0">
              <x14:cfvo type="autoMin"/>
              <x14:cfvo type="autoMax"/>
              <x14:borderColor rgb="FF63C384"/>
              <x14:negativeFillColor rgb="FFFF0000"/>
              <x14:negativeBorderColor rgb="FFFF0000"/>
              <x14:axisColor rgb="FF000000"/>
            </x14:dataBar>
          </x14:cfRule>
          <xm:sqref>Z785</xm:sqref>
        </x14:conditionalFormatting>
        <x14:conditionalFormatting xmlns:xm="http://schemas.microsoft.com/office/excel/2006/main">
          <x14:cfRule type="dataBar" id="{CB8943E7-26E3-4294-9FF9-C9B941BD501C}">
            <x14:dataBar minLength="0" maxLength="100" border="1" negativeBarBorderColorSameAsPositive="0">
              <x14:cfvo type="autoMin"/>
              <x14:cfvo type="autoMax"/>
              <x14:borderColor rgb="FF63C384"/>
              <x14:negativeFillColor rgb="FFFF0000"/>
              <x14:negativeBorderColor rgb="FFFF0000"/>
              <x14:axisColor rgb="FF000000"/>
            </x14:dataBar>
          </x14:cfRule>
          <xm:sqref>Z785</xm:sqref>
        </x14:conditionalFormatting>
        <x14:conditionalFormatting xmlns:xm="http://schemas.microsoft.com/office/excel/2006/main">
          <x14:cfRule type="dataBar" id="{C75E638B-3359-4CCB-847C-D245CB1AB749}">
            <x14:dataBar minLength="0" maxLength="100" border="1" negativeBarBorderColorSameAsPositive="0">
              <x14:cfvo type="autoMin"/>
              <x14:cfvo type="autoMax"/>
              <x14:borderColor rgb="FF63C384"/>
              <x14:negativeFillColor rgb="FFFF0000"/>
              <x14:negativeBorderColor rgb="FFFF0000"/>
              <x14:axisColor rgb="FF000000"/>
            </x14:dataBar>
          </x14:cfRule>
          <xm:sqref>Z786</xm:sqref>
        </x14:conditionalFormatting>
        <x14:conditionalFormatting xmlns:xm="http://schemas.microsoft.com/office/excel/2006/main">
          <x14:cfRule type="dataBar" id="{F44A92EE-90CB-441D-9973-28024BC9834C}">
            <x14:dataBar minLength="0" maxLength="100" border="1" negativeBarBorderColorSameAsPositive="0">
              <x14:cfvo type="autoMin"/>
              <x14:cfvo type="autoMax"/>
              <x14:borderColor rgb="FF63C384"/>
              <x14:negativeFillColor rgb="FFFF0000"/>
              <x14:negativeBorderColor rgb="FFFF0000"/>
              <x14:axisColor rgb="FF000000"/>
            </x14:dataBar>
          </x14:cfRule>
          <xm:sqref>Z786</xm:sqref>
        </x14:conditionalFormatting>
        <x14:conditionalFormatting xmlns:xm="http://schemas.microsoft.com/office/excel/2006/main">
          <x14:cfRule type="dataBar" id="{242E536F-40B3-4E8D-87C7-81142F7BB163}">
            <x14:dataBar minLength="0" maxLength="100" border="1" negativeBarBorderColorSameAsPositive="0">
              <x14:cfvo type="autoMin"/>
              <x14:cfvo type="autoMax"/>
              <x14:borderColor rgb="FF63C384"/>
              <x14:negativeFillColor rgb="FFFF0000"/>
              <x14:negativeBorderColor rgb="FFFF0000"/>
              <x14:axisColor rgb="FF000000"/>
            </x14:dataBar>
          </x14:cfRule>
          <xm:sqref>Z786</xm:sqref>
        </x14:conditionalFormatting>
        <x14:conditionalFormatting xmlns:xm="http://schemas.microsoft.com/office/excel/2006/main">
          <x14:cfRule type="dataBar" id="{11C3BA9C-EAD4-49D9-BB59-6D62613B5BB5}">
            <x14:dataBar minLength="0" maxLength="100" border="1" negativeBarBorderColorSameAsPositive="0">
              <x14:cfvo type="autoMin"/>
              <x14:cfvo type="autoMax"/>
              <x14:borderColor rgb="FF63C384"/>
              <x14:negativeFillColor rgb="FFFF0000"/>
              <x14:negativeBorderColor rgb="FFFF0000"/>
              <x14:axisColor rgb="FF000000"/>
            </x14:dataBar>
          </x14:cfRule>
          <xm:sqref>Z786</xm:sqref>
        </x14:conditionalFormatting>
        <x14:conditionalFormatting xmlns:xm="http://schemas.microsoft.com/office/excel/2006/main">
          <x14:cfRule type="dataBar" id="{3AFA56C0-400A-4355-A02A-316A47950CAB}">
            <x14:dataBar minLength="0" maxLength="100" border="1" negativeBarBorderColorSameAsPositive="0">
              <x14:cfvo type="autoMin"/>
              <x14:cfvo type="autoMax"/>
              <x14:borderColor rgb="FF63C384"/>
              <x14:negativeFillColor rgb="FFFF0000"/>
              <x14:negativeBorderColor rgb="FFFF0000"/>
              <x14:axisColor rgb="FF000000"/>
            </x14:dataBar>
          </x14:cfRule>
          <xm:sqref>Z787</xm:sqref>
        </x14:conditionalFormatting>
        <x14:conditionalFormatting xmlns:xm="http://schemas.microsoft.com/office/excel/2006/main">
          <x14:cfRule type="dataBar" id="{B1DB8A41-CEE0-4EC0-BF20-D9062C6F8937}">
            <x14:dataBar minLength="0" maxLength="100" border="1" negativeBarBorderColorSameAsPositive="0">
              <x14:cfvo type="autoMin"/>
              <x14:cfvo type="autoMax"/>
              <x14:borderColor rgb="FF63C384"/>
              <x14:negativeFillColor rgb="FFFF0000"/>
              <x14:negativeBorderColor rgb="FFFF0000"/>
              <x14:axisColor rgb="FF000000"/>
            </x14:dataBar>
          </x14:cfRule>
          <xm:sqref>Z787</xm:sqref>
        </x14:conditionalFormatting>
        <x14:conditionalFormatting xmlns:xm="http://schemas.microsoft.com/office/excel/2006/main">
          <x14:cfRule type="dataBar" id="{562BC93D-D528-4CE8-A694-DB2B94325B78}">
            <x14:dataBar minLength="0" maxLength="100" border="1" negativeBarBorderColorSameAsPositive="0">
              <x14:cfvo type="autoMin"/>
              <x14:cfvo type="autoMax"/>
              <x14:borderColor rgb="FF63C384"/>
              <x14:negativeFillColor rgb="FFFF0000"/>
              <x14:negativeBorderColor rgb="FFFF0000"/>
              <x14:axisColor rgb="FF000000"/>
            </x14:dataBar>
          </x14:cfRule>
          <xm:sqref>Z788</xm:sqref>
        </x14:conditionalFormatting>
        <x14:conditionalFormatting xmlns:xm="http://schemas.microsoft.com/office/excel/2006/main">
          <x14:cfRule type="dataBar" id="{7A46ABCC-B7E3-441D-B681-59FFBD6197A8}">
            <x14:dataBar minLength="0" maxLength="100" border="1" negativeBarBorderColorSameAsPositive="0">
              <x14:cfvo type="autoMin"/>
              <x14:cfvo type="autoMax"/>
              <x14:borderColor rgb="FF63C384"/>
              <x14:negativeFillColor rgb="FFFF0000"/>
              <x14:negativeBorderColor rgb="FFFF0000"/>
              <x14:axisColor rgb="FF000000"/>
            </x14:dataBar>
          </x14:cfRule>
          <xm:sqref>Z788</xm:sqref>
        </x14:conditionalFormatting>
        <x14:conditionalFormatting xmlns:xm="http://schemas.microsoft.com/office/excel/2006/main">
          <x14:cfRule type="dataBar" id="{82AF5173-52F7-46CF-B551-53B6E1AA9C29}">
            <x14:dataBar minLength="0" maxLength="100" border="1" negativeBarBorderColorSameAsPositive="0">
              <x14:cfvo type="autoMin"/>
              <x14:cfvo type="autoMax"/>
              <x14:borderColor rgb="FF63C384"/>
              <x14:negativeFillColor rgb="FFFF0000"/>
              <x14:negativeBorderColor rgb="FFFF0000"/>
              <x14:axisColor rgb="FF000000"/>
            </x14:dataBar>
          </x14:cfRule>
          <xm:sqref>Z788</xm:sqref>
        </x14:conditionalFormatting>
        <x14:conditionalFormatting xmlns:xm="http://schemas.microsoft.com/office/excel/2006/main">
          <x14:cfRule type="dataBar" id="{02879506-2D12-4619-8050-57BE453AE8A5}">
            <x14:dataBar minLength="0" maxLength="100" border="1" negativeBarBorderColorSameAsPositive="0">
              <x14:cfvo type="autoMin"/>
              <x14:cfvo type="autoMax"/>
              <x14:borderColor rgb="FF63C384"/>
              <x14:negativeFillColor rgb="FFFF0000"/>
              <x14:negativeBorderColor rgb="FFFF0000"/>
              <x14:axisColor rgb="FF000000"/>
            </x14:dataBar>
          </x14:cfRule>
          <xm:sqref>Z788</xm:sqref>
        </x14:conditionalFormatting>
        <x14:conditionalFormatting xmlns:xm="http://schemas.microsoft.com/office/excel/2006/main">
          <x14:cfRule type="dataBar" id="{E026C56C-6886-4BB6-B1DD-3AA8BA770F08}">
            <x14:dataBar minLength="0" maxLength="100" border="1" negativeBarBorderColorSameAsPositive="0">
              <x14:cfvo type="autoMin"/>
              <x14:cfvo type="autoMax"/>
              <x14:borderColor rgb="FF63C384"/>
              <x14:negativeFillColor rgb="FFFF0000"/>
              <x14:negativeBorderColor rgb="FFFF0000"/>
              <x14:axisColor rgb="FF000000"/>
            </x14:dataBar>
          </x14:cfRule>
          <xm:sqref>Z788</xm:sqref>
        </x14:conditionalFormatting>
        <x14:conditionalFormatting xmlns:xm="http://schemas.microsoft.com/office/excel/2006/main">
          <x14:cfRule type="dataBar" id="{389CCBEA-FEF7-44AC-A430-044B5D615DF5}">
            <x14:dataBar minLength="0" maxLength="100" border="1" negativeBarBorderColorSameAsPositive="0">
              <x14:cfvo type="autoMin"/>
              <x14:cfvo type="autoMax"/>
              <x14:borderColor rgb="FF63C384"/>
              <x14:negativeFillColor rgb="FFFF0000"/>
              <x14:negativeBorderColor rgb="FFFF0000"/>
              <x14:axisColor rgb="FF000000"/>
            </x14:dataBar>
          </x14:cfRule>
          <xm:sqref>Z788</xm:sqref>
        </x14:conditionalFormatting>
        <x14:conditionalFormatting xmlns:xm="http://schemas.microsoft.com/office/excel/2006/main">
          <x14:cfRule type="dataBar" id="{B8529071-4A3F-48E3-8787-DB95B6D7DDAC}">
            <x14:dataBar minLength="0" maxLength="100" border="1" negativeBarBorderColorSameAsPositive="0">
              <x14:cfvo type="autoMin"/>
              <x14:cfvo type="autoMax"/>
              <x14:borderColor rgb="FF63C384"/>
              <x14:negativeFillColor rgb="FFFF0000"/>
              <x14:negativeBorderColor rgb="FFFF0000"/>
              <x14:axisColor rgb="FF000000"/>
            </x14:dataBar>
          </x14:cfRule>
          <xm:sqref>Z788</xm:sqref>
        </x14:conditionalFormatting>
        <x14:conditionalFormatting xmlns:xm="http://schemas.microsoft.com/office/excel/2006/main">
          <x14:cfRule type="dataBar" id="{E8A0E01F-BE86-480B-BCE6-1C9F1EEA858D}">
            <x14:dataBar minLength="0" maxLength="100" border="1" negativeBarBorderColorSameAsPositive="0">
              <x14:cfvo type="autoMin"/>
              <x14:cfvo type="autoMax"/>
              <x14:borderColor rgb="FF63C384"/>
              <x14:negativeFillColor rgb="FFFF0000"/>
              <x14:negativeBorderColor rgb="FFFF0000"/>
              <x14:axisColor rgb="FF000000"/>
            </x14:dataBar>
          </x14:cfRule>
          <xm:sqref>Z788</xm:sqref>
        </x14:conditionalFormatting>
        <x14:conditionalFormatting xmlns:xm="http://schemas.microsoft.com/office/excel/2006/main">
          <x14:cfRule type="dataBar" id="{96E16CBB-89E7-4EC8-9A5D-6013131BA7B7}">
            <x14:dataBar minLength="0" maxLength="100" border="1" negativeBarBorderColorSameAsPositive="0">
              <x14:cfvo type="autoMin"/>
              <x14:cfvo type="autoMax"/>
              <x14:borderColor rgb="FF63C384"/>
              <x14:negativeFillColor rgb="FFFF0000"/>
              <x14:negativeBorderColor rgb="FFFF0000"/>
              <x14:axisColor rgb="FF000000"/>
            </x14:dataBar>
          </x14:cfRule>
          <xm:sqref>Z789</xm:sqref>
        </x14:conditionalFormatting>
        <x14:conditionalFormatting xmlns:xm="http://schemas.microsoft.com/office/excel/2006/main">
          <x14:cfRule type="dataBar" id="{A9B4AB94-A5AE-427E-9A59-CE8D8B5885A1}">
            <x14:dataBar minLength="0" maxLength="100" border="1" negativeBarBorderColorSameAsPositive="0">
              <x14:cfvo type="autoMin"/>
              <x14:cfvo type="autoMax"/>
              <x14:borderColor rgb="FF63C384"/>
              <x14:negativeFillColor rgb="FFFF0000"/>
              <x14:negativeBorderColor rgb="FFFF0000"/>
              <x14:axisColor rgb="FF000000"/>
            </x14:dataBar>
          </x14:cfRule>
          <xm:sqref>Z789</xm:sqref>
        </x14:conditionalFormatting>
        <x14:conditionalFormatting xmlns:xm="http://schemas.microsoft.com/office/excel/2006/main">
          <x14:cfRule type="dataBar" id="{ED8825E6-8980-4F46-9FF4-C424F4A1FC82}">
            <x14:dataBar minLength="0" maxLength="100" border="1" negativeBarBorderColorSameAsPositive="0">
              <x14:cfvo type="autoMin"/>
              <x14:cfvo type="autoMax"/>
              <x14:borderColor rgb="FF63C384"/>
              <x14:negativeFillColor rgb="FFFF0000"/>
              <x14:negativeBorderColor rgb="FFFF0000"/>
              <x14:axisColor rgb="FF000000"/>
            </x14:dataBar>
          </x14:cfRule>
          <xm:sqref>Z789</xm:sqref>
        </x14:conditionalFormatting>
        <x14:conditionalFormatting xmlns:xm="http://schemas.microsoft.com/office/excel/2006/main">
          <x14:cfRule type="dataBar" id="{8DFA59F3-EA7D-4D50-986A-B9DADDE3BEFB}">
            <x14:dataBar minLength="0" maxLength="100" border="1" negativeBarBorderColorSameAsPositive="0">
              <x14:cfvo type="autoMin"/>
              <x14:cfvo type="autoMax"/>
              <x14:borderColor rgb="FF63C384"/>
              <x14:negativeFillColor rgb="FFFF0000"/>
              <x14:negativeBorderColor rgb="FFFF0000"/>
              <x14:axisColor rgb="FF000000"/>
            </x14:dataBar>
          </x14:cfRule>
          <xm:sqref>Z789</xm:sqref>
        </x14:conditionalFormatting>
        <x14:conditionalFormatting xmlns:xm="http://schemas.microsoft.com/office/excel/2006/main">
          <x14:cfRule type="dataBar" id="{3C9F94C1-4732-48CE-A452-F77C6E8CFD82}">
            <x14:dataBar minLength="0" maxLength="100" border="1" negativeBarBorderColorSameAsPositive="0">
              <x14:cfvo type="autoMin"/>
              <x14:cfvo type="autoMax"/>
              <x14:borderColor rgb="FF63C384"/>
              <x14:negativeFillColor rgb="FFFF0000"/>
              <x14:negativeBorderColor rgb="FFFF0000"/>
              <x14:axisColor rgb="FF000000"/>
            </x14:dataBar>
          </x14:cfRule>
          <xm:sqref>Z790</xm:sqref>
        </x14:conditionalFormatting>
        <x14:conditionalFormatting xmlns:xm="http://schemas.microsoft.com/office/excel/2006/main">
          <x14:cfRule type="dataBar" id="{B37DED0A-8031-4432-BF34-D6E139F7B0FC}">
            <x14:dataBar minLength="0" maxLength="100" border="1" negativeBarBorderColorSameAsPositive="0">
              <x14:cfvo type="autoMin"/>
              <x14:cfvo type="autoMax"/>
              <x14:borderColor rgb="FF63C384"/>
              <x14:negativeFillColor rgb="FFFF0000"/>
              <x14:negativeBorderColor rgb="FFFF0000"/>
              <x14:axisColor rgb="FF000000"/>
            </x14:dataBar>
          </x14:cfRule>
          <xm:sqref>Z790</xm:sqref>
        </x14:conditionalFormatting>
        <x14:conditionalFormatting xmlns:xm="http://schemas.microsoft.com/office/excel/2006/main">
          <x14:cfRule type="dataBar" id="{5F8E4360-55F6-4E80-A04A-87D223394A51}">
            <x14:dataBar minLength="0" maxLength="100" border="1" negativeBarBorderColorSameAsPositive="0">
              <x14:cfvo type="autoMin"/>
              <x14:cfvo type="autoMax"/>
              <x14:borderColor rgb="FF63C384"/>
              <x14:negativeFillColor rgb="FFFF0000"/>
              <x14:negativeBorderColor rgb="FFFF0000"/>
              <x14:axisColor rgb="FF000000"/>
            </x14:dataBar>
          </x14:cfRule>
          <xm:sqref>Z791</xm:sqref>
        </x14:conditionalFormatting>
        <x14:conditionalFormatting xmlns:xm="http://schemas.microsoft.com/office/excel/2006/main">
          <x14:cfRule type="dataBar" id="{6098C3C5-7FEC-4508-B6BF-856BB603F37E}">
            <x14:dataBar minLength="0" maxLength="100" border="1" negativeBarBorderColorSameAsPositive="0">
              <x14:cfvo type="autoMin"/>
              <x14:cfvo type="autoMax"/>
              <x14:borderColor rgb="FF63C384"/>
              <x14:negativeFillColor rgb="FFFF0000"/>
              <x14:negativeBorderColor rgb="FFFF0000"/>
              <x14:axisColor rgb="FF000000"/>
            </x14:dataBar>
          </x14:cfRule>
          <xm:sqref>Z791</xm:sqref>
        </x14:conditionalFormatting>
        <x14:conditionalFormatting xmlns:xm="http://schemas.microsoft.com/office/excel/2006/main">
          <x14:cfRule type="dataBar" id="{6BE738FF-6408-4105-878B-28DBCBC39E10}">
            <x14:dataBar minLength="0" maxLength="100" border="1" negativeBarBorderColorSameAsPositive="0">
              <x14:cfvo type="autoMin"/>
              <x14:cfvo type="autoMax"/>
              <x14:borderColor rgb="FF63C384"/>
              <x14:negativeFillColor rgb="FFFF0000"/>
              <x14:negativeBorderColor rgb="FFFF0000"/>
              <x14:axisColor rgb="FF000000"/>
            </x14:dataBar>
          </x14:cfRule>
          <xm:sqref>Z791</xm:sqref>
        </x14:conditionalFormatting>
        <x14:conditionalFormatting xmlns:xm="http://schemas.microsoft.com/office/excel/2006/main">
          <x14:cfRule type="dataBar" id="{704A7E46-8CA5-4E17-9FBA-769CE5DABEDD}">
            <x14:dataBar minLength="0" maxLength="100" border="1" negativeBarBorderColorSameAsPositive="0">
              <x14:cfvo type="autoMin"/>
              <x14:cfvo type="autoMax"/>
              <x14:borderColor rgb="FF63C384"/>
              <x14:negativeFillColor rgb="FFFF0000"/>
              <x14:negativeBorderColor rgb="FFFF0000"/>
              <x14:axisColor rgb="FF000000"/>
            </x14:dataBar>
          </x14:cfRule>
          <xm:sqref>Z791</xm:sqref>
        </x14:conditionalFormatting>
        <x14:conditionalFormatting xmlns:xm="http://schemas.microsoft.com/office/excel/2006/main">
          <x14:cfRule type="dataBar" id="{E728A7BC-8326-4811-911D-8C2A33DFA753}">
            <x14:dataBar minLength="0" maxLength="100" border="1" negativeBarBorderColorSameAsPositive="0">
              <x14:cfvo type="autoMin"/>
              <x14:cfvo type="autoMax"/>
              <x14:borderColor rgb="FF63C384"/>
              <x14:negativeFillColor rgb="FFFF0000"/>
              <x14:negativeBorderColor rgb="FFFF0000"/>
              <x14:axisColor rgb="FF000000"/>
            </x14:dataBar>
          </x14:cfRule>
          <xm:sqref>Z792</xm:sqref>
        </x14:conditionalFormatting>
        <x14:conditionalFormatting xmlns:xm="http://schemas.microsoft.com/office/excel/2006/main">
          <x14:cfRule type="dataBar" id="{503FEB1A-D114-419E-95D0-E98768AD05EB}">
            <x14:dataBar minLength="0" maxLength="100" border="1" negativeBarBorderColorSameAsPositive="0">
              <x14:cfvo type="autoMin"/>
              <x14:cfvo type="autoMax"/>
              <x14:borderColor rgb="FF63C384"/>
              <x14:negativeFillColor rgb="FFFF0000"/>
              <x14:negativeBorderColor rgb="FFFF0000"/>
              <x14:axisColor rgb="FF000000"/>
            </x14:dataBar>
          </x14:cfRule>
          <xm:sqref>Z792</xm:sqref>
        </x14:conditionalFormatting>
        <x14:conditionalFormatting xmlns:xm="http://schemas.microsoft.com/office/excel/2006/main">
          <x14:cfRule type="dataBar" id="{E20A5A8B-BD40-4799-BB75-325693B2281F}">
            <x14:dataBar minLength="0" maxLength="100" border="1" negativeBarBorderColorSameAsPositive="0">
              <x14:cfvo type="autoMin"/>
              <x14:cfvo type="autoMax"/>
              <x14:borderColor rgb="FF63C384"/>
              <x14:negativeFillColor rgb="FFFF0000"/>
              <x14:negativeBorderColor rgb="FFFF0000"/>
              <x14:axisColor rgb="FF000000"/>
            </x14:dataBar>
          </x14:cfRule>
          <xm:sqref>Z792</xm:sqref>
        </x14:conditionalFormatting>
        <x14:conditionalFormatting xmlns:xm="http://schemas.microsoft.com/office/excel/2006/main">
          <x14:cfRule type="dataBar" id="{9190DE84-E5DD-4E94-9244-607BFF51E7DB}">
            <x14:dataBar minLength="0" maxLength="100" border="1" negativeBarBorderColorSameAsPositive="0">
              <x14:cfvo type="autoMin"/>
              <x14:cfvo type="autoMax"/>
              <x14:borderColor rgb="FF63C384"/>
              <x14:negativeFillColor rgb="FFFF0000"/>
              <x14:negativeBorderColor rgb="FFFF0000"/>
              <x14:axisColor rgb="FF000000"/>
            </x14:dataBar>
          </x14:cfRule>
          <xm:sqref>Z792</xm:sqref>
        </x14:conditionalFormatting>
        <x14:conditionalFormatting xmlns:xm="http://schemas.microsoft.com/office/excel/2006/main">
          <x14:cfRule type="dataBar" id="{EF4AA4F1-2CA6-452D-A0C7-B566EB169495}">
            <x14:dataBar minLength="0" maxLength="100" border="1" negativeBarBorderColorSameAsPositive="0">
              <x14:cfvo type="autoMin"/>
              <x14:cfvo type="autoMax"/>
              <x14:borderColor rgb="FF63C384"/>
              <x14:negativeFillColor rgb="FFFF0000"/>
              <x14:negativeBorderColor rgb="FFFF0000"/>
              <x14:axisColor rgb="FF000000"/>
            </x14:dataBar>
          </x14:cfRule>
          <xm:sqref>Z792</xm:sqref>
        </x14:conditionalFormatting>
        <x14:conditionalFormatting xmlns:xm="http://schemas.microsoft.com/office/excel/2006/main">
          <x14:cfRule type="dataBar" id="{38D6CBC0-899E-4E3D-8A44-7CF1B3AA91FF}">
            <x14:dataBar minLength="0" maxLength="100" border="1" negativeBarBorderColorSameAsPositive="0">
              <x14:cfvo type="autoMin"/>
              <x14:cfvo type="autoMax"/>
              <x14:borderColor rgb="FF63C384"/>
              <x14:negativeFillColor rgb="FFFF0000"/>
              <x14:negativeBorderColor rgb="FFFF0000"/>
              <x14:axisColor rgb="FF000000"/>
            </x14:dataBar>
          </x14:cfRule>
          <xm:sqref>Z792</xm:sqref>
        </x14:conditionalFormatting>
        <x14:conditionalFormatting xmlns:xm="http://schemas.microsoft.com/office/excel/2006/main">
          <x14:cfRule type="dataBar" id="{BB75260F-B277-41D9-AC5F-7C72DE657C8E}">
            <x14:dataBar minLength="0" maxLength="100" border="1" negativeBarBorderColorSameAsPositive="0">
              <x14:cfvo type="autoMin"/>
              <x14:cfvo type="autoMax"/>
              <x14:borderColor rgb="FF63C384"/>
              <x14:negativeFillColor rgb="FFFF0000"/>
              <x14:negativeBorderColor rgb="FFFF0000"/>
              <x14:axisColor rgb="FF000000"/>
            </x14:dataBar>
          </x14:cfRule>
          <xm:sqref>Z793</xm:sqref>
        </x14:conditionalFormatting>
        <x14:conditionalFormatting xmlns:xm="http://schemas.microsoft.com/office/excel/2006/main">
          <x14:cfRule type="dataBar" id="{533D8090-737E-4239-A367-E91B7465D20D}">
            <x14:dataBar minLength="0" maxLength="100" border="1" negativeBarBorderColorSameAsPositive="0">
              <x14:cfvo type="autoMin"/>
              <x14:cfvo type="autoMax"/>
              <x14:borderColor rgb="FF63C384"/>
              <x14:negativeFillColor rgb="FFFF0000"/>
              <x14:negativeBorderColor rgb="FFFF0000"/>
              <x14:axisColor rgb="FF000000"/>
            </x14:dataBar>
          </x14:cfRule>
          <xm:sqref>Z793</xm:sqref>
        </x14:conditionalFormatting>
        <x14:conditionalFormatting xmlns:xm="http://schemas.microsoft.com/office/excel/2006/main">
          <x14:cfRule type="dataBar" id="{B2621FE3-75EA-4643-AAF8-6215BD33CA14}">
            <x14:dataBar minLength="0" maxLength="100" border="1" negativeBarBorderColorSameAsPositive="0">
              <x14:cfvo type="autoMin"/>
              <x14:cfvo type="autoMax"/>
              <x14:borderColor rgb="FF63C384"/>
              <x14:negativeFillColor rgb="FFFF0000"/>
              <x14:negativeBorderColor rgb="FFFF0000"/>
              <x14:axisColor rgb="FF000000"/>
            </x14:dataBar>
          </x14:cfRule>
          <xm:sqref>Z794</xm:sqref>
        </x14:conditionalFormatting>
        <x14:conditionalFormatting xmlns:xm="http://schemas.microsoft.com/office/excel/2006/main">
          <x14:cfRule type="dataBar" id="{13DBF46C-D8DB-43B3-9A5E-A1FD3BC96063}">
            <x14:dataBar minLength="0" maxLength="100" border="1" negativeBarBorderColorSameAsPositive="0">
              <x14:cfvo type="autoMin"/>
              <x14:cfvo type="autoMax"/>
              <x14:borderColor rgb="FF63C384"/>
              <x14:negativeFillColor rgb="FFFF0000"/>
              <x14:negativeBorderColor rgb="FFFF0000"/>
              <x14:axisColor rgb="FF000000"/>
            </x14:dataBar>
          </x14:cfRule>
          <xm:sqref>Z794</xm:sqref>
        </x14:conditionalFormatting>
        <x14:conditionalFormatting xmlns:xm="http://schemas.microsoft.com/office/excel/2006/main">
          <x14:cfRule type="dataBar" id="{50E20033-3275-47C7-A38B-0591B03E674B}">
            <x14:dataBar minLength="0" maxLength="100" border="1" negativeBarBorderColorSameAsPositive="0">
              <x14:cfvo type="autoMin"/>
              <x14:cfvo type="autoMax"/>
              <x14:borderColor rgb="FF63C384"/>
              <x14:negativeFillColor rgb="FFFF0000"/>
              <x14:negativeBorderColor rgb="FFFF0000"/>
              <x14:axisColor rgb="FF000000"/>
            </x14:dataBar>
          </x14:cfRule>
          <xm:sqref>Z795</xm:sqref>
        </x14:conditionalFormatting>
        <x14:conditionalFormatting xmlns:xm="http://schemas.microsoft.com/office/excel/2006/main">
          <x14:cfRule type="dataBar" id="{3E1E2ACC-284A-487F-A21E-B0E9249D7E53}">
            <x14:dataBar minLength="0" maxLength="100" border="1" negativeBarBorderColorSameAsPositive="0">
              <x14:cfvo type="autoMin"/>
              <x14:cfvo type="autoMax"/>
              <x14:borderColor rgb="FF63C384"/>
              <x14:negativeFillColor rgb="FFFF0000"/>
              <x14:negativeBorderColor rgb="FFFF0000"/>
              <x14:axisColor rgb="FF000000"/>
            </x14:dataBar>
          </x14:cfRule>
          <xm:sqref>Z795</xm:sqref>
        </x14:conditionalFormatting>
        <x14:conditionalFormatting xmlns:xm="http://schemas.microsoft.com/office/excel/2006/main">
          <x14:cfRule type="dataBar" id="{838E4218-2F41-40C1-92BB-7EF664CBBEED}">
            <x14:dataBar minLength="0" maxLength="100" border="1" negativeBarBorderColorSameAsPositive="0">
              <x14:cfvo type="autoMin"/>
              <x14:cfvo type="autoMax"/>
              <x14:borderColor rgb="FF63C384"/>
              <x14:negativeFillColor rgb="FFFF0000"/>
              <x14:negativeBorderColor rgb="FFFF0000"/>
              <x14:axisColor rgb="FF000000"/>
            </x14:dataBar>
          </x14:cfRule>
          <xm:sqref>Z795</xm:sqref>
        </x14:conditionalFormatting>
        <x14:conditionalFormatting xmlns:xm="http://schemas.microsoft.com/office/excel/2006/main">
          <x14:cfRule type="dataBar" id="{0EAFEA9F-86C1-4717-A4BF-302D54E18C2D}">
            <x14:dataBar minLength="0" maxLength="100" border="1" negativeBarBorderColorSameAsPositive="0">
              <x14:cfvo type="autoMin"/>
              <x14:cfvo type="autoMax"/>
              <x14:borderColor rgb="FF63C384"/>
              <x14:negativeFillColor rgb="FFFF0000"/>
              <x14:negativeBorderColor rgb="FFFF0000"/>
              <x14:axisColor rgb="FF000000"/>
            </x14:dataBar>
          </x14:cfRule>
          <xm:sqref>Z795</xm:sqref>
        </x14:conditionalFormatting>
        <x14:conditionalFormatting xmlns:xm="http://schemas.microsoft.com/office/excel/2006/main">
          <x14:cfRule type="dataBar" id="{F9349225-14DE-49C5-A781-E550D6E53DD1}">
            <x14:dataBar minLength="0" maxLength="100" border="1" negativeBarBorderColorSameAsPositive="0">
              <x14:cfvo type="autoMin"/>
              <x14:cfvo type="autoMax"/>
              <x14:borderColor rgb="FF63C384"/>
              <x14:negativeFillColor rgb="FFFF0000"/>
              <x14:negativeBorderColor rgb="FFFF0000"/>
              <x14:axisColor rgb="FF000000"/>
            </x14:dataBar>
          </x14:cfRule>
          <xm:sqref>Z796</xm:sqref>
        </x14:conditionalFormatting>
        <x14:conditionalFormatting xmlns:xm="http://schemas.microsoft.com/office/excel/2006/main">
          <x14:cfRule type="dataBar" id="{C0E0857F-114D-438A-A7B1-9BEC06FFF5D5}">
            <x14:dataBar minLength="0" maxLength="100" border="1" negativeBarBorderColorSameAsPositive="0">
              <x14:cfvo type="autoMin"/>
              <x14:cfvo type="autoMax"/>
              <x14:borderColor rgb="FF63C384"/>
              <x14:negativeFillColor rgb="FFFF0000"/>
              <x14:negativeBorderColor rgb="FFFF0000"/>
              <x14:axisColor rgb="FF000000"/>
            </x14:dataBar>
          </x14:cfRule>
          <xm:sqref>Z796</xm:sqref>
        </x14:conditionalFormatting>
        <x14:conditionalFormatting xmlns:xm="http://schemas.microsoft.com/office/excel/2006/main">
          <x14:cfRule type="dataBar" id="{24609CF7-4822-4D38-A75C-2DAB983010BC}">
            <x14:dataBar minLength="0" maxLength="100" border="1" negativeBarBorderColorSameAsPositive="0">
              <x14:cfvo type="autoMin"/>
              <x14:cfvo type="autoMax"/>
              <x14:borderColor rgb="FF63C384"/>
              <x14:negativeFillColor rgb="FFFF0000"/>
              <x14:negativeBorderColor rgb="FFFF0000"/>
              <x14:axisColor rgb="FF000000"/>
            </x14:dataBar>
          </x14:cfRule>
          <xm:sqref>Z796</xm:sqref>
        </x14:conditionalFormatting>
        <x14:conditionalFormatting xmlns:xm="http://schemas.microsoft.com/office/excel/2006/main">
          <x14:cfRule type="dataBar" id="{7FAFCD00-8558-4CAB-BA4E-46A1766FF25F}">
            <x14:dataBar minLength="0" maxLength="100" border="1" negativeBarBorderColorSameAsPositive="0">
              <x14:cfvo type="autoMin"/>
              <x14:cfvo type="autoMax"/>
              <x14:borderColor rgb="FF63C384"/>
              <x14:negativeFillColor rgb="FFFF0000"/>
              <x14:negativeBorderColor rgb="FFFF0000"/>
              <x14:axisColor rgb="FF000000"/>
            </x14:dataBar>
          </x14:cfRule>
          <xm:sqref>Z796</xm:sqref>
        </x14:conditionalFormatting>
        <x14:conditionalFormatting xmlns:xm="http://schemas.microsoft.com/office/excel/2006/main">
          <x14:cfRule type="dataBar" id="{5B6CE4C5-4335-43A3-A41C-91873ABFF796}">
            <x14:dataBar minLength="0" maxLength="100" border="1" negativeBarBorderColorSameAsPositive="0">
              <x14:cfvo type="autoMin"/>
              <x14:cfvo type="autoMax"/>
              <x14:borderColor rgb="FF63C384"/>
              <x14:negativeFillColor rgb="FFFF0000"/>
              <x14:negativeBorderColor rgb="FFFF0000"/>
              <x14:axisColor rgb="FF000000"/>
            </x14:dataBar>
          </x14:cfRule>
          <xm:sqref>Z797</xm:sqref>
        </x14:conditionalFormatting>
        <x14:conditionalFormatting xmlns:xm="http://schemas.microsoft.com/office/excel/2006/main">
          <x14:cfRule type="dataBar" id="{09C70B80-C822-424A-887C-9943E8CDCA7E}">
            <x14:dataBar minLength="0" maxLength="100" border="1" negativeBarBorderColorSameAsPositive="0">
              <x14:cfvo type="autoMin"/>
              <x14:cfvo type="autoMax"/>
              <x14:borderColor rgb="FF63C384"/>
              <x14:negativeFillColor rgb="FFFF0000"/>
              <x14:negativeBorderColor rgb="FFFF0000"/>
              <x14:axisColor rgb="FF000000"/>
            </x14:dataBar>
          </x14:cfRule>
          <xm:sqref>Z797</xm:sqref>
        </x14:conditionalFormatting>
        <x14:conditionalFormatting xmlns:xm="http://schemas.microsoft.com/office/excel/2006/main">
          <x14:cfRule type="dataBar" id="{CE26E332-D9CD-415C-AF65-9F20670EBC0E}">
            <x14:dataBar minLength="0" maxLength="100" border="1" negativeBarBorderColorSameAsPositive="0">
              <x14:cfvo type="autoMin"/>
              <x14:cfvo type="autoMax"/>
              <x14:borderColor rgb="FF63C384"/>
              <x14:negativeFillColor rgb="FFFF0000"/>
              <x14:negativeBorderColor rgb="FFFF0000"/>
              <x14:axisColor rgb="FF000000"/>
            </x14:dataBar>
          </x14:cfRule>
          <xm:sqref>Z798</xm:sqref>
        </x14:conditionalFormatting>
        <x14:conditionalFormatting xmlns:xm="http://schemas.microsoft.com/office/excel/2006/main">
          <x14:cfRule type="dataBar" id="{192CFFF7-6AE1-4D05-9CC7-06891EDFF202}">
            <x14:dataBar minLength="0" maxLength="100" border="1" negativeBarBorderColorSameAsPositive="0">
              <x14:cfvo type="autoMin"/>
              <x14:cfvo type="autoMax"/>
              <x14:borderColor rgb="FF63C384"/>
              <x14:negativeFillColor rgb="FFFF0000"/>
              <x14:negativeBorderColor rgb="FFFF0000"/>
              <x14:axisColor rgb="FF000000"/>
            </x14:dataBar>
          </x14:cfRule>
          <xm:sqref>Z798</xm:sqref>
        </x14:conditionalFormatting>
        <x14:conditionalFormatting xmlns:xm="http://schemas.microsoft.com/office/excel/2006/main">
          <x14:cfRule type="dataBar" id="{A95B72FD-60E6-4EC0-85A1-F6536EA01A19}">
            <x14:dataBar minLength="0" maxLength="100" border="1" negativeBarBorderColorSameAsPositive="0">
              <x14:cfvo type="autoMin"/>
              <x14:cfvo type="autoMax"/>
              <x14:borderColor rgb="FF63C384"/>
              <x14:negativeFillColor rgb="FFFF0000"/>
              <x14:negativeBorderColor rgb="FFFF0000"/>
              <x14:axisColor rgb="FF000000"/>
            </x14:dataBar>
          </x14:cfRule>
          <xm:sqref>Z798</xm:sqref>
        </x14:conditionalFormatting>
        <x14:conditionalFormatting xmlns:xm="http://schemas.microsoft.com/office/excel/2006/main">
          <x14:cfRule type="dataBar" id="{B186BE6F-27E3-4C08-BBB8-B89EDC446345}">
            <x14:dataBar minLength="0" maxLength="100" border="1" negativeBarBorderColorSameAsPositive="0">
              <x14:cfvo type="autoMin"/>
              <x14:cfvo type="autoMax"/>
              <x14:borderColor rgb="FF63C384"/>
              <x14:negativeFillColor rgb="FFFF0000"/>
              <x14:negativeBorderColor rgb="FFFF0000"/>
              <x14:axisColor rgb="FF000000"/>
            </x14:dataBar>
          </x14:cfRule>
          <xm:sqref>Z798</xm:sqref>
        </x14:conditionalFormatting>
        <x14:conditionalFormatting xmlns:xm="http://schemas.microsoft.com/office/excel/2006/main">
          <x14:cfRule type="dataBar" id="{FE8C27EB-631B-46F7-9C61-6842BDE93D2E}">
            <x14:dataBar minLength="0" maxLength="100" border="1" negativeBarBorderColorSameAsPositive="0">
              <x14:cfvo type="autoMin"/>
              <x14:cfvo type="autoMax"/>
              <x14:borderColor rgb="FF63C384"/>
              <x14:negativeFillColor rgb="FFFF0000"/>
              <x14:negativeBorderColor rgb="FFFF0000"/>
              <x14:axisColor rgb="FF000000"/>
            </x14:dataBar>
          </x14:cfRule>
          <xm:sqref>Z800</xm:sqref>
        </x14:conditionalFormatting>
        <x14:conditionalFormatting xmlns:xm="http://schemas.microsoft.com/office/excel/2006/main">
          <x14:cfRule type="dataBar" id="{01CA7C2B-F629-453E-825A-E57644CA59CC}">
            <x14:dataBar minLength="0" maxLength="100" border="1" negativeBarBorderColorSameAsPositive="0">
              <x14:cfvo type="autoMin"/>
              <x14:cfvo type="autoMax"/>
              <x14:borderColor rgb="FF63C384"/>
              <x14:negativeFillColor rgb="FFFF0000"/>
              <x14:negativeBorderColor rgb="FFFF0000"/>
              <x14:axisColor rgb="FF000000"/>
            </x14:dataBar>
          </x14:cfRule>
          <xm:sqref>Z800</xm:sqref>
        </x14:conditionalFormatting>
        <x14:conditionalFormatting xmlns:xm="http://schemas.microsoft.com/office/excel/2006/main">
          <x14:cfRule type="dataBar" id="{39C46D70-7DA4-4730-86CB-26FDA363A66A}">
            <x14:dataBar minLength="0" maxLength="100" border="1" negativeBarBorderColorSameAsPositive="0">
              <x14:cfvo type="autoMin"/>
              <x14:cfvo type="autoMax"/>
              <x14:borderColor rgb="FF63C384"/>
              <x14:negativeFillColor rgb="FFFF0000"/>
              <x14:negativeBorderColor rgb="FFFF0000"/>
              <x14:axisColor rgb="FF000000"/>
            </x14:dataBar>
          </x14:cfRule>
          <xm:sqref>Z801</xm:sqref>
        </x14:conditionalFormatting>
        <x14:conditionalFormatting xmlns:xm="http://schemas.microsoft.com/office/excel/2006/main">
          <x14:cfRule type="dataBar" id="{650FC785-4C0A-42A8-A934-156E79050281}">
            <x14:dataBar minLength="0" maxLength="100" border="1" negativeBarBorderColorSameAsPositive="0">
              <x14:cfvo type="autoMin"/>
              <x14:cfvo type="autoMax"/>
              <x14:borderColor rgb="FF63C384"/>
              <x14:negativeFillColor rgb="FFFF0000"/>
              <x14:negativeBorderColor rgb="FFFF0000"/>
              <x14:axisColor rgb="FF000000"/>
            </x14:dataBar>
          </x14:cfRule>
          <xm:sqref>Z801</xm:sqref>
        </x14:conditionalFormatting>
        <x14:conditionalFormatting xmlns:xm="http://schemas.microsoft.com/office/excel/2006/main">
          <x14:cfRule type="dataBar" id="{26DD497C-D5CB-44C8-A38B-0D661013B80B}">
            <x14:dataBar minLength="0" maxLength="100" border="1" negativeBarBorderColorSameAsPositive="0">
              <x14:cfvo type="autoMin"/>
              <x14:cfvo type="autoMax"/>
              <x14:borderColor rgb="FF63C384"/>
              <x14:negativeFillColor rgb="FFFF0000"/>
              <x14:negativeBorderColor rgb="FFFF0000"/>
              <x14:axisColor rgb="FF000000"/>
            </x14:dataBar>
          </x14:cfRule>
          <xm:sqref>Z801</xm:sqref>
        </x14:conditionalFormatting>
        <x14:conditionalFormatting xmlns:xm="http://schemas.microsoft.com/office/excel/2006/main">
          <x14:cfRule type="dataBar" id="{7EE9FCE4-84ED-462E-BCBC-A5F934323C72}">
            <x14:dataBar minLength="0" maxLength="100" border="1" negativeBarBorderColorSameAsPositive="0">
              <x14:cfvo type="autoMin"/>
              <x14:cfvo type="autoMax"/>
              <x14:borderColor rgb="FF63C384"/>
              <x14:negativeFillColor rgb="FFFF0000"/>
              <x14:negativeBorderColor rgb="FFFF0000"/>
              <x14:axisColor rgb="FF000000"/>
            </x14:dataBar>
          </x14:cfRule>
          <xm:sqref>Z801</xm:sqref>
        </x14:conditionalFormatting>
        <x14:conditionalFormatting xmlns:xm="http://schemas.microsoft.com/office/excel/2006/main">
          <x14:cfRule type="dataBar" id="{D7755F04-ABFD-49E8-B0E7-67F8B4654590}">
            <x14:dataBar minLength="0" maxLength="100" border="1" negativeBarBorderColorSameAsPositive="0">
              <x14:cfvo type="autoMin"/>
              <x14:cfvo type="autoMax"/>
              <x14:borderColor rgb="FF63C384"/>
              <x14:negativeFillColor rgb="FFFF0000"/>
              <x14:negativeBorderColor rgb="FFFF0000"/>
              <x14:axisColor rgb="FF000000"/>
            </x14:dataBar>
          </x14:cfRule>
          <xm:sqref>Z801</xm:sqref>
        </x14:conditionalFormatting>
        <x14:conditionalFormatting xmlns:xm="http://schemas.microsoft.com/office/excel/2006/main">
          <x14:cfRule type="dataBar" id="{99DF945A-5046-4DC3-95D3-47CAD96E5193}">
            <x14:dataBar minLength="0" maxLength="100" border="1" negativeBarBorderColorSameAsPositive="0">
              <x14:cfvo type="autoMin"/>
              <x14:cfvo type="autoMax"/>
              <x14:borderColor rgb="FF63C384"/>
              <x14:negativeFillColor rgb="FFFF0000"/>
              <x14:negativeBorderColor rgb="FFFF0000"/>
              <x14:axisColor rgb="FF000000"/>
            </x14:dataBar>
          </x14:cfRule>
          <xm:sqref>Z801</xm:sqref>
        </x14:conditionalFormatting>
        <x14:conditionalFormatting xmlns:xm="http://schemas.microsoft.com/office/excel/2006/main">
          <x14:cfRule type="dataBar" id="{70DA86DD-5E93-4FC1-9D2F-D146A60E2776}">
            <x14:dataBar minLength="0" maxLength="100" border="1" negativeBarBorderColorSameAsPositive="0">
              <x14:cfvo type="autoMin"/>
              <x14:cfvo type="autoMax"/>
              <x14:borderColor rgb="FF63C384"/>
              <x14:negativeFillColor rgb="FFFF0000"/>
              <x14:negativeBorderColor rgb="FFFF0000"/>
              <x14:axisColor rgb="FF000000"/>
            </x14:dataBar>
          </x14:cfRule>
          <xm:sqref>Z801</xm:sqref>
        </x14:conditionalFormatting>
        <x14:conditionalFormatting xmlns:xm="http://schemas.microsoft.com/office/excel/2006/main">
          <x14:cfRule type="dataBar" id="{B44F3C7A-FB83-4939-A274-04F320346158}">
            <x14:dataBar minLength="0" maxLength="100" border="1" negativeBarBorderColorSameAsPositive="0">
              <x14:cfvo type="autoMin"/>
              <x14:cfvo type="autoMax"/>
              <x14:borderColor rgb="FF63C384"/>
              <x14:negativeFillColor rgb="FFFF0000"/>
              <x14:negativeBorderColor rgb="FFFF0000"/>
              <x14:axisColor rgb="FF000000"/>
            </x14:dataBar>
          </x14:cfRule>
          <xm:sqref>Z801</xm:sqref>
        </x14:conditionalFormatting>
        <x14:conditionalFormatting xmlns:xm="http://schemas.microsoft.com/office/excel/2006/main">
          <x14:cfRule type="dataBar" id="{298A09E9-77D5-4593-AEA5-52549AC33270}">
            <x14:dataBar minLength="0" maxLength="100" border="1" negativeBarBorderColorSameAsPositive="0">
              <x14:cfvo type="autoMin"/>
              <x14:cfvo type="autoMax"/>
              <x14:borderColor rgb="FF63C384"/>
              <x14:negativeFillColor rgb="FFFF0000"/>
              <x14:negativeBorderColor rgb="FFFF0000"/>
              <x14:axisColor rgb="FF000000"/>
            </x14:dataBar>
          </x14:cfRule>
          <xm:sqref>Z802</xm:sqref>
        </x14:conditionalFormatting>
        <x14:conditionalFormatting xmlns:xm="http://schemas.microsoft.com/office/excel/2006/main">
          <x14:cfRule type="dataBar" id="{C5EF401C-FA2A-4A26-879D-3EE88A167449}">
            <x14:dataBar minLength="0" maxLength="100" border="1" negativeBarBorderColorSameAsPositive="0">
              <x14:cfvo type="autoMin"/>
              <x14:cfvo type="autoMax"/>
              <x14:borderColor rgb="FF63C384"/>
              <x14:negativeFillColor rgb="FFFF0000"/>
              <x14:negativeBorderColor rgb="FFFF0000"/>
              <x14:axisColor rgb="FF000000"/>
            </x14:dataBar>
          </x14:cfRule>
          <xm:sqref>Z802</xm:sqref>
        </x14:conditionalFormatting>
        <x14:conditionalFormatting xmlns:xm="http://schemas.microsoft.com/office/excel/2006/main">
          <x14:cfRule type="dataBar" id="{6F087AAB-9BC6-42B8-AE0A-932E36FE9259}">
            <x14:dataBar minLength="0" maxLength="100" border="1" negativeBarBorderColorSameAsPositive="0">
              <x14:cfvo type="autoMin"/>
              <x14:cfvo type="autoMax"/>
              <x14:borderColor rgb="FF63C384"/>
              <x14:negativeFillColor rgb="FFFF0000"/>
              <x14:negativeBorderColor rgb="FFFF0000"/>
              <x14:axisColor rgb="FF000000"/>
            </x14:dataBar>
          </x14:cfRule>
          <xm:sqref>Z802</xm:sqref>
        </x14:conditionalFormatting>
        <x14:conditionalFormatting xmlns:xm="http://schemas.microsoft.com/office/excel/2006/main">
          <x14:cfRule type="dataBar" id="{A6C93F2E-405F-4E20-A6B9-7030900EF874}">
            <x14:dataBar minLength="0" maxLength="100" border="1" negativeBarBorderColorSameAsPositive="0">
              <x14:cfvo type="autoMin"/>
              <x14:cfvo type="autoMax"/>
              <x14:borderColor rgb="FF63C384"/>
              <x14:negativeFillColor rgb="FFFF0000"/>
              <x14:negativeBorderColor rgb="FFFF0000"/>
              <x14:axisColor rgb="FF000000"/>
            </x14:dataBar>
          </x14:cfRule>
          <xm:sqref>Z802</xm:sqref>
        </x14:conditionalFormatting>
        <x14:conditionalFormatting xmlns:xm="http://schemas.microsoft.com/office/excel/2006/main">
          <x14:cfRule type="dataBar" id="{7D97F521-4527-42B2-AD1A-76E2E3FCF464}">
            <x14:dataBar minLength="0" maxLength="100" border="1" negativeBarBorderColorSameAsPositive="0">
              <x14:cfvo type="autoMin"/>
              <x14:cfvo type="autoMax"/>
              <x14:borderColor rgb="FF63C384"/>
              <x14:negativeFillColor rgb="FFFF0000"/>
              <x14:negativeBorderColor rgb="FFFF0000"/>
              <x14:axisColor rgb="FF000000"/>
            </x14:dataBar>
          </x14:cfRule>
          <xm:sqref>Z803</xm:sqref>
        </x14:conditionalFormatting>
        <x14:conditionalFormatting xmlns:xm="http://schemas.microsoft.com/office/excel/2006/main">
          <x14:cfRule type="dataBar" id="{D0FAC80D-628C-420F-BB09-F09721140125}">
            <x14:dataBar minLength="0" maxLength="100" border="1" negativeBarBorderColorSameAsPositive="0">
              <x14:cfvo type="autoMin"/>
              <x14:cfvo type="autoMax"/>
              <x14:borderColor rgb="FF63C384"/>
              <x14:negativeFillColor rgb="FFFF0000"/>
              <x14:negativeBorderColor rgb="FFFF0000"/>
              <x14:axisColor rgb="FF000000"/>
            </x14:dataBar>
          </x14:cfRule>
          <xm:sqref>Z803</xm:sqref>
        </x14:conditionalFormatting>
        <x14:conditionalFormatting xmlns:xm="http://schemas.microsoft.com/office/excel/2006/main">
          <x14:cfRule type="dataBar" id="{CD94A4EA-5EB4-47B6-82EA-37B3EA5C9F51}">
            <x14:dataBar minLength="0" maxLength="100" border="1" negativeBarBorderColorSameAsPositive="0">
              <x14:cfvo type="autoMin"/>
              <x14:cfvo type="autoMax"/>
              <x14:borderColor rgb="FF63C384"/>
              <x14:negativeFillColor rgb="FFFF0000"/>
              <x14:negativeBorderColor rgb="FFFF0000"/>
              <x14:axisColor rgb="FF000000"/>
            </x14:dataBar>
          </x14:cfRule>
          <xm:sqref>Z804</xm:sqref>
        </x14:conditionalFormatting>
        <x14:conditionalFormatting xmlns:xm="http://schemas.microsoft.com/office/excel/2006/main">
          <x14:cfRule type="dataBar" id="{5539B433-BF42-4BEA-BF28-3671613C0445}">
            <x14:dataBar minLength="0" maxLength="100" border="1" negativeBarBorderColorSameAsPositive="0">
              <x14:cfvo type="autoMin"/>
              <x14:cfvo type="autoMax"/>
              <x14:borderColor rgb="FF63C384"/>
              <x14:negativeFillColor rgb="FFFF0000"/>
              <x14:negativeBorderColor rgb="FFFF0000"/>
              <x14:axisColor rgb="FF000000"/>
            </x14:dataBar>
          </x14:cfRule>
          <xm:sqref>Z804</xm:sqref>
        </x14:conditionalFormatting>
        <x14:conditionalFormatting xmlns:xm="http://schemas.microsoft.com/office/excel/2006/main">
          <x14:cfRule type="dataBar" id="{A9E4B5A6-A7EE-4910-99BA-F16F61B6E75B}">
            <x14:dataBar minLength="0" maxLength="100" border="1" negativeBarBorderColorSameAsPositive="0">
              <x14:cfvo type="autoMin"/>
              <x14:cfvo type="autoMax"/>
              <x14:borderColor rgb="FF63C384"/>
              <x14:negativeFillColor rgb="FFFF0000"/>
              <x14:negativeBorderColor rgb="FFFF0000"/>
              <x14:axisColor rgb="FF000000"/>
            </x14:dataBar>
          </x14:cfRule>
          <xm:sqref>Z804</xm:sqref>
        </x14:conditionalFormatting>
        <x14:conditionalFormatting xmlns:xm="http://schemas.microsoft.com/office/excel/2006/main">
          <x14:cfRule type="dataBar" id="{F7373FED-8FD4-443B-81A6-9C43C6C4E659}">
            <x14:dataBar minLength="0" maxLength="100" border="1" negativeBarBorderColorSameAsPositive="0">
              <x14:cfvo type="autoMin"/>
              <x14:cfvo type="autoMax"/>
              <x14:borderColor rgb="FF63C384"/>
              <x14:negativeFillColor rgb="FFFF0000"/>
              <x14:negativeBorderColor rgb="FFFF0000"/>
              <x14:axisColor rgb="FF000000"/>
            </x14:dataBar>
          </x14:cfRule>
          <xm:sqref>Z804</xm:sqref>
        </x14:conditionalFormatting>
        <x14:conditionalFormatting xmlns:xm="http://schemas.microsoft.com/office/excel/2006/main">
          <x14:cfRule type="dataBar" id="{EC8DADAD-D804-433C-ACFD-A24CFC58F6AA}">
            <x14:dataBar minLength="0" maxLength="100" border="1" negativeBarBorderColorSameAsPositive="0">
              <x14:cfvo type="autoMin"/>
              <x14:cfvo type="autoMax"/>
              <x14:borderColor rgb="FF63C384"/>
              <x14:negativeFillColor rgb="FFFF0000"/>
              <x14:negativeBorderColor rgb="FFFF0000"/>
              <x14:axisColor rgb="FF000000"/>
            </x14:dataBar>
          </x14:cfRule>
          <xm:sqref>Z805</xm:sqref>
        </x14:conditionalFormatting>
        <x14:conditionalFormatting xmlns:xm="http://schemas.microsoft.com/office/excel/2006/main">
          <x14:cfRule type="dataBar" id="{E737D207-B781-41FA-BC1A-0C12E19C501D}">
            <x14:dataBar minLength="0" maxLength="100" border="1" negativeBarBorderColorSameAsPositive="0">
              <x14:cfvo type="autoMin"/>
              <x14:cfvo type="autoMax"/>
              <x14:borderColor rgb="FF63C384"/>
              <x14:negativeFillColor rgb="FFFF0000"/>
              <x14:negativeBorderColor rgb="FFFF0000"/>
              <x14:axisColor rgb="FF000000"/>
            </x14:dataBar>
          </x14:cfRule>
          <xm:sqref>Z805</xm:sqref>
        </x14:conditionalFormatting>
        <x14:conditionalFormatting xmlns:xm="http://schemas.microsoft.com/office/excel/2006/main">
          <x14:cfRule type="dataBar" id="{5C5EC247-58CE-4395-8574-9A35362DC5BB}">
            <x14:dataBar minLength="0" maxLength="100" border="1" negativeBarBorderColorSameAsPositive="0">
              <x14:cfvo type="autoMin"/>
              <x14:cfvo type="autoMax"/>
              <x14:borderColor rgb="FF63C384"/>
              <x14:negativeFillColor rgb="FFFF0000"/>
              <x14:negativeBorderColor rgb="FFFF0000"/>
              <x14:axisColor rgb="FF000000"/>
            </x14:dataBar>
          </x14:cfRule>
          <xm:sqref>Z805</xm:sqref>
        </x14:conditionalFormatting>
        <x14:conditionalFormatting xmlns:xm="http://schemas.microsoft.com/office/excel/2006/main">
          <x14:cfRule type="dataBar" id="{8255544A-7B36-4F6B-B45F-0938795228DF}">
            <x14:dataBar minLength="0" maxLength="100" border="1" negativeBarBorderColorSameAsPositive="0">
              <x14:cfvo type="autoMin"/>
              <x14:cfvo type="autoMax"/>
              <x14:borderColor rgb="FF63C384"/>
              <x14:negativeFillColor rgb="FFFF0000"/>
              <x14:negativeBorderColor rgb="FFFF0000"/>
              <x14:axisColor rgb="FF000000"/>
            </x14:dataBar>
          </x14:cfRule>
          <xm:sqref>Z805</xm:sqref>
        </x14:conditionalFormatting>
        <x14:conditionalFormatting xmlns:xm="http://schemas.microsoft.com/office/excel/2006/main">
          <x14:cfRule type="dataBar" id="{3DFE193C-72E0-4B3D-B1AB-C611D970331A}">
            <x14:dataBar minLength="0" maxLength="100" border="1" negativeBarBorderColorSameAsPositive="0">
              <x14:cfvo type="autoMin"/>
              <x14:cfvo type="autoMax"/>
              <x14:borderColor rgb="FF63C384"/>
              <x14:negativeFillColor rgb="FFFF0000"/>
              <x14:negativeBorderColor rgb="FFFF0000"/>
              <x14:axisColor rgb="FF000000"/>
            </x14:dataBar>
          </x14:cfRule>
          <xm:sqref>Z805</xm:sqref>
        </x14:conditionalFormatting>
        <x14:conditionalFormatting xmlns:xm="http://schemas.microsoft.com/office/excel/2006/main">
          <x14:cfRule type="dataBar" id="{F4473A56-487D-4C15-A03D-FFE34FA53838}">
            <x14:dataBar minLength="0" maxLength="100" border="1" negativeBarBorderColorSameAsPositive="0">
              <x14:cfvo type="autoMin"/>
              <x14:cfvo type="autoMax"/>
              <x14:borderColor rgb="FF63C384"/>
              <x14:negativeFillColor rgb="FFFF0000"/>
              <x14:negativeBorderColor rgb="FFFF0000"/>
              <x14:axisColor rgb="FF000000"/>
            </x14:dataBar>
          </x14:cfRule>
          <xm:sqref>Z805</xm:sqref>
        </x14:conditionalFormatting>
        <x14:conditionalFormatting xmlns:xm="http://schemas.microsoft.com/office/excel/2006/main">
          <x14:cfRule type="dataBar" id="{3AB7E557-076A-454F-B7CE-9504EF53BBAF}">
            <x14:dataBar minLength="0" maxLength="100" border="1" negativeBarBorderColorSameAsPositive="0">
              <x14:cfvo type="autoMin"/>
              <x14:cfvo type="autoMax"/>
              <x14:borderColor rgb="FF63C384"/>
              <x14:negativeFillColor rgb="FFFF0000"/>
              <x14:negativeBorderColor rgb="FFFF0000"/>
              <x14:axisColor rgb="FF000000"/>
            </x14:dataBar>
          </x14:cfRule>
          <xm:sqref>Z806</xm:sqref>
        </x14:conditionalFormatting>
        <x14:conditionalFormatting xmlns:xm="http://schemas.microsoft.com/office/excel/2006/main">
          <x14:cfRule type="dataBar" id="{DE721446-5110-40C1-B857-814AAF1270AC}">
            <x14:dataBar minLength="0" maxLength="100" border="1" negativeBarBorderColorSameAsPositive="0">
              <x14:cfvo type="autoMin"/>
              <x14:cfvo type="autoMax"/>
              <x14:borderColor rgb="FF63C384"/>
              <x14:negativeFillColor rgb="FFFF0000"/>
              <x14:negativeBorderColor rgb="FFFF0000"/>
              <x14:axisColor rgb="FF000000"/>
            </x14:dataBar>
          </x14:cfRule>
          <xm:sqref>Z806</xm:sqref>
        </x14:conditionalFormatting>
        <x14:conditionalFormatting xmlns:xm="http://schemas.microsoft.com/office/excel/2006/main">
          <x14:cfRule type="dataBar" id="{231E4137-CF52-4DF3-ABE1-B23C44CEDAAC}">
            <x14:dataBar minLength="0" maxLength="100" border="1" negativeBarBorderColorSameAsPositive="0">
              <x14:cfvo type="autoMin"/>
              <x14:cfvo type="autoMax"/>
              <x14:borderColor rgb="FF63C384"/>
              <x14:negativeFillColor rgb="FFFF0000"/>
              <x14:negativeBorderColor rgb="FFFF0000"/>
              <x14:axisColor rgb="FF000000"/>
            </x14:dataBar>
          </x14:cfRule>
          <xm:sqref>Z806</xm:sqref>
        </x14:conditionalFormatting>
        <x14:conditionalFormatting xmlns:xm="http://schemas.microsoft.com/office/excel/2006/main">
          <x14:cfRule type="dataBar" id="{4ADE7F25-2176-4031-B4B6-FC853B10E647}">
            <x14:dataBar minLength="0" maxLength="100" border="1" negativeBarBorderColorSameAsPositive="0">
              <x14:cfvo type="autoMin"/>
              <x14:cfvo type="autoMax"/>
              <x14:borderColor rgb="FF63C384"/>
              <x14:negativeFillColor rgb="FFFF0000"/>
              <x14:negativeBorderColor rgb="FFFF0000"/>
              <x14:axisColor rgb="FF000000"/>
            </x14:dataBar>
          </x14:cfRule>
          <xm:sqref>Z806</xm:sqref>
        </x14:conditionalFormatting>
        <x14:conditionalFormatting xmlns:xm="http://schemas.microsoft.com/office/excel/2006/main">
          <x14:cfRule type="dataBar" id="{8C5D1289-EA79-4228-A514-01DF900632DF}">
            <x14:dataBar minLength="0" maxLength="100" border="1" negativeBarBorderColorSameAsPositive="0">
              <x14:cfvo type="autoMin"/>
              <x14:cfvo type="autoMax"/>
              <x14:borderColor rgb="FF63C384"/>
              <x14:negativeFillColor rgb="FFFF0000"/>
              <x14:negativeBorderColor rgb="FFFF0000"/>
              <x14:axisColor rgb="FF000000"/>
            </x14:dataBar>
          </x14:cfRule>
          <xm:sqref>Z807</xm:sqref>
        </x14:conditionalFormatting>
        <x14:conditionalFormatting xmlns:xm="http://schemas.microsoft.com/office/excel/2006/main">
          <x14:cfRule type="dataBar" id="{8D1F79BA-6FC9-465F-AA33-A4F8983BA653}">
            <x14:dataBar minLength="0" maxLength="100" border="1" negativeBarBorderColorSameAsPositive="0">
              <x14:cfvo type="autoMin"/>
              <x14:cfvo type="autoMax"/>
              <x14:borderColor rgb="FF63C384"/>
              <x14:negativeFillColor rgb="FFFF0000"/>
              <x14:negativeBorderColor rgb="FFFF0000"/>
              <x14:axisColor rgb="FF000000"/>
            </x14:dataBar>
          </x14:cfRule>
          <xm:sqref>Z807</xm:sqref>
        </x14:conditionalFormatting>
        <x14:conditionalFormatting xmlns:xm="http://schemas.microsoft.com/office/excel/2006/main">
          <x14:cfRule type="dataBar" id="{36C67DAC-0D59-45E2-AE50-413991976EA8}">
            <x14:dataBar minLength="0" maxLength="100" border="1" negativeBarBorderColorSameAsPositive="0">
              <x14:cfvo type="autoMin"/>
              <x14:cfvo type="autoMax"/>
              <x14:borderColor rgb="FF63C384"/>
              <x14:negativeFillColor rgb="FFFF0000"/>
              <x14:negativeBorderColor rgb="FFFF0000"/>
              <x14:axisColor rgb="FF000000"/>
            </x14:dataBar>
          </x14:cfRule>
          <xm:sqref>Z807</xm:sqref>
        </x14:conditionalFormatting>
        <x14:conditionalFormatting xmlns:xm="http://schemas.microsoft.com/office/excel/2006/main">
          <x14:cfRule type="dataBar" id="{10DF7DF7-94FE-4F16-A925-816AD51D79EE}">
            <x14:dataBar minLength="0" maxLength="100" border="1" negativeBarBorderColorSameAsPositive="0">
              <x14:cfvo type="autoMin"/>
              <x14:cfvo type="autoMax"/>
              <x14:borderColor rgb="FF63C384"/>
              <x14:negativeFillColor rgb="FFFF0000"/>
              <x14:negativeBorderColor rgb="FFFF0000"/>
              <x14:axisColor rgb="FF000000"/>
            </x14:dataBar>
          </x14:cfRule>
          <xm:sqref>Z807</xm:sqref>
        </x14:conditionalFormatting>
        <x14:conditionalFormatting xmlns:xm="http://schemas.microsoft.com/office/excel/2006/main">
          <x14:cfRule type="dataBar" id="{FFB40C58-591C-4D9E-B452-C4A93F6374F1}">
            <x14:dataBar minLength="0" maxLength="100" border="1" negativeBarBorderColorSameAsPositive="0">
              <x14:cfvo type="autoMin"/>
              <x14:cfvo type="autoMax"/>
              <x14:borderColor rgb="FF63C384"/>
              <x14:negativeFillColor rgb="FFFF0000"/>
              <x14:negativeBorderColor rgb="FFFF0000"/>
              <x14:axisColor rgb="FF000000"/>
            </x14:dataBar>
          </x14:cfRule>
          <xm:sqref>Z808</xm:sqref>
        </x14:conditionalFormatting>
        <x14:conditionalFormatting xmlns:xm="http://schemas.microsoft.com/office/excel/2006/main">
          <x14:cfRule type="dataBar" id="{CFB10579-FBAE-4175-9127-901DC4A6D197}">
            <x14:dataBar minLength="0" maxLength="100" border="1" negativeBarBorderColorSameAsPositive="0">
              <x14:cfvo type="autoMin"/>
              <x14:cfvo type="autoMax"/>
              <x14:borderColor rgb="FF63C384"/>
              <x14:negativeFillColor rgb="FFFF0000"/>
              <x14:negativeBorderColor rgb="FFFF0000"/>
              <x14:axisColor rgb="FF000000"/>
            </x14:dataBar>
          </x14:cfRule>
          <xm:sqref>Z808</xm:sqref>
        </x14:conditionalFormatting>
        <x14:conditionalFormatting xmlns:xm="http://schemas.microsoft.com/office/excel/2006/main">
          <x14:cfRule type="dataBar" id="{B0A87D7A-BC1F-42A1-928D-8495E69B41FB}">
            <x14:dataBar minLength="0" maxLength="100" border="1" negativeBarBorderColorSameAsPositive="0">
              <x14:cfvo type="autoMin"/>
              <x14:cfvo type="autoMax"/>
              <x14:borderColor rgb="FF63C384"/>
              <x14:negativeFillColor rgb="FFFF0000"/>
              <x14:negativeBorderColor rgb="FFFF0000"/>
              <x14:axisColor rgb="FF000000"/>
            </x14:dataBar>
          </x14:cfRule>
          <xm:sqref>Z808</xm:sqref>
        </x14:conditionalFormatting>
        <x14:conditionalFormatting xmlns:xm="http://schemas.microsoft.com/office/excel/2006/main">
          <x14:cfRule type="dataBar" id="{46970395-DA42-4127-9954-E4E6DDBB5B48}">
            <x14:dataBar minLength="0" maxLength="100" border="1" negativeBarBorderColorSameAsPositive="0">
              <x14:cfvo type="autoMin"/>
              <x14:cfvo type="autoMax"/>
              <x14:borderColor rgb="FF63C384"/>
              <x14:negativeFillColor rgb="FFFF0000"/>
              <x14:negativeBorderColor rgb="FFFF0000"/>
              <x14:axisColor rgb="FF000000"/>
            </x14:dataBar>
          </x14:cfRule>
          <xm:sqref>Z808</xm:sqref>
        </x14:conditionalFormatting>
        <x14:conditionalFormatting xmlns:xm="http://schemas.microsoft.com/office/excel/2006/main">
          <x14:cfRule type="dataBar" id="{F370C47F-19E8-45A8-9139-400E30B7B0B2}">
            <x14:dataBar minLength="0" maxLength="100" border="1" negativeBarBorderColorSameAsPositive="0">
              <x14:cfvo type="autoMin"/>
              <x14:cfvo type="autoMax"/>
              <x14:borderColor rgb="FF63C384"/>
              <x14:negativeFillColor rgb="FFFF0000"/>
              <x14:negativeBorderColor rgb="FFFF0000"/>
              <x14:axisColor rgb="FF000000"/>
            </x14:dataBar>
          </x14:cfRule>
          <xm:sqref>Z809:Z811</xm:sqref>
        </x14:conditionalFormatting>
        <x14:conditionalFormatting xmlns:xm="http://schemas.microsoft.com/office/excel/2006/main">
          <x14:cfRule type="dataBar" id="{226673B1-F7A7-4E13-87D2-15090BF7B224}">
            <x14:dataBar minLength="0" maxLength="100" border="1" negativeBarBorderColorSameAsPositive="0">
              <x14:cfvo type="autoMin"/>
              <x14:cfvo type="autoMax"/>
              <x14:borderColor rgb="FF63C384"/>
              <x14:negativeFillColor rgb="FFFF0000"/>
              <x14:negativeBorderColor rgb="FFFF0000"/>
              <x14:axisColor rgb="FF000000"/>
            </x14:dataBar>
          </x14:cfRule>
          <xm:sqref>Z809:Z811</xm:sqref>
        </x14:conditionalFormatting>
        <x14:conditionalFormatting xmlns:xm="http://schemas.microsoft.com/office/excel/2006/main">
          <x14:cfRule type="dataBar" id="{64B18863-AE24-49F2-AE13-0AC23E1A8789}">
            <x14:dataBar minLength="0" maxLength="100" border="1" negativeBarBorderColorSameAsPositive="0">
              <x14:cfvo type="autoMin"/>
              <x14:cfvo type="autoMax"/>
              <x14:borderColor rgb="FF63C384"/>
              <x14:negativeFillColor rgb="FFFF0000"/>
              <x14:negativeBorderColor rgb="FFFF0000"/>
              <x14:axisColor rgb="FF000000"/>
            </x14:dataBar>
          </x14:cfRule>
          <xm:sqref>Z812</xm:sqref>
        </x14:conditionalFormatting>
        <x14:conditionalFormatting xmlns:xm="http://schemas.microsoft.com/office/excel/2006/main">
          <x14:cfRule type="dataBar" id="{0A715637-2FC2-4AC4-813A-425AF6DAA0EB}">
            <x14:dataBar minLength="0" maxLength="100" border="1" negativeBarBorderColorSameAsPositive="0">
              <x14:cfvo type="autoMin"/>
              <x14:cfvo type="autoMax"/>
              <x14:borderColor rgb="FF63C384"/>
              <x14:negativeFillColor rgb="FFFF0000"/>
              <x14:negativeBorderColor rgb="FFFF0000"/>
              <x14:axisColor rgb="FF000000"/>
            </x14:dataBar>
          </x14:cfRule>
          <xm:sqref>Z812</xm:sqref>
        </x14:conditionalFormatting>
        <x14:conditionalFormatting xmlns:xm="http://schemas.microsoft.com/office/excel/2006/main">
          <x14:cfRule type="dataBar" id="{F49BF834-C812-4C12-8C86-79279BB70E94}">
            <x14:dataBar minLength="0" maxLength="100" border="1" negativeBarBorderColorSameAsPositive="0">
              <x14:cfvo type="autoMin"/>
              <x14:cfvo type="autoMax"/>
              <x14:borderColor rgb="FF63C384"/>
              <x14:negativeFillColor rgb="FFFF0000"/>
              <x14:negativeBorderColor rgb="FFFF0000"/>
              <x14:axisColor rgb="FF000000"/>
            </x14:dataBar>
          </x14:cfRule>
          <xm:sqref>Z813</xm:sqref>
        </x14:conditionalFormatting>
        <x14:conditionalFormatting xmlns:xm="http://schemas.microsoft.com/office/excel/2006/main">
          <x14:cfRule type="dataBar" id="{2710011E-8CF5-4EC8-BA2D-2522EB37C3BA}">
            <x14:dataBar minLength="0" maxLength="100" border="1" negativeBarBorderColorSameAsPositive="0">
              <x14:cfvo type="autoMin"/>
              <x14:cfvo type="autoMax"/>
              <x14:borderColor rgb="FF63C384"/>
              <x14:negativeFillColor rgb="FFFF0000"/>
              <x14:negativeBorderColor rgb="FFFF0000"/>
              <x14:axisColor rgb="FF000000"/>
            </x14:dataBar>
          </x14:cfRule>
          <xm:sqref>Z813</xm:sqref>
        </x14:conditionalFormatting>
        <x14:conditionalFormatting xmlns:xm="http://schemas.microsoft.com/office/excel/2006/main">
          <x14:cfRule type="dataBar" id="{654D6AE9-5319-4C55-BF5B-AE2DBCAF0ACF}">
            <x14:dataBar minLength="0" maxLength="100" border="1" negativeBarBorderColorSameAsPositive="0">
              <x14:cfvo type="autoMin"/>
              <x14:cfvo type="autoMax"/>
              <x14:borderColor rgb="FF63C384"/>
              <x14:negativeFillColor rgb="FFFF0000"/>
              <x14:negativeBorderColor rgb="FFFF0000"/>
              <x14:axisColor rgb="FF000000"/>
            </x14:dataBar>
          </x14:cfRule>
          <xm:sqref>Z813</xm:sqref>
        </x14:conditionalFormatting>
        <x14:conditionalFormatting xmlns:xm="http://schemas.microsoft.com/office/excel/2006/main">
          <x14:cfRule type="dataBar" id="{A0A6B3D7-8A29-4744-97C1-9302A684BFED}">
            <x14:dataBar minLength="0" maxLength="100" border="1" negativeBarBorderColorSameAsPositive="0">
              <x14:cfvo type="autoMin"/>
              <x14:cfvo type="autoMax"/>
              <x14:borderColor rgb="FF63C384"/>
              <x14:negativeFillColor rgb="FFFF0000"/>
              <x14:negativeBorderColor rgb="FFFF0000"/>
              <x14:axisColor rgb="FF000000"/>
            </x14:dataBar>
          </x14:cfRule>
          <xm:sqref>Z813</xm:sqref>
        </x14:conditionalFormatting>
        <x14:conditionalFormatting xmlns:xm="http://schemas.microsoft.com/office/excel/2006/main">
          <x14:cfRule type="dataBar" id="{DBAA7E3E-26D5-4C03-9CD6-063CB88B41A3}">
            <x14:dataBar minLength="0" maxLength="100" border="1" negativeBarBorderColorSameAsPositive="0">
              <x14:cfvo type="autoMin"/>
              <x14:cfvo type="autoMax"/>
              <x14:borderColor rgb="FF63C384"/>
              <x14:negativeFillColor rgb="FFFF0000"/>
              <x14:negativeBorderColor rgb="FFFF0000"/>
              <x14:axisColor rgb="FF000000"/>
            </x14:dataBar>
          </x14:cfRule>
          <xm:sqref>Z814</xm:sqref>
        </x14:conditionalFormatting>
        <x14:conditionalFormatting xmlns:xm="http://schemas.microsoft.com/office/excel/2006/main">
          <x14:cfRule type="dataBar" id="{2CE45685-0605-498D-9BF0-E82A032886CD}">
            <x14:dataBar minLength="0" maxLength="100" border="1" negativeBarBorderColorSameAsPositive="0">
              <x14:cfvo type="autoMin"/>
              <x14:cfvo type="autoMax"/>
              <x14:borderColor rgb="FF63C384"/>
              <x14:negativeFillColor rgb="FFFF0000"/>
              <x14:negativeBorderColor rgb="FFFF0000"/>
              <x14:axisColor rgb="FF000000"/>
            </x14:dataBar>
          </x14:cfRule>
          <xm:sqref>Z814</xm:sqref>
        </x14:conditionalFormatting>
        <x14:conditionalFormatting xmlns:xm="http://schemas.microsoft.com/office/excel/2006/main">
          <x14:cfRule type="dataBar" id="{272D1C46-B014-4509-946E-51BF66FB0A3C}">
            <x14:dataBar minLength="0" maxLength="100" border="1" negativeBarBorderColorSameAsPositive="0">
              <x14:cfvo type="autoMin"/>
              <x14:cfvo type="autoMax"/>
              <x14:borderColor rgb="FF63C384"/>
              <x14:negativeFillColor rgb="FFFF0000"/>
              <x14:negativeBorderColor rgb="FFFF0000"/>
              <x14:axisColor rgb="FF000000"/>
            </x14:dataBar>
          </x14:cfRule>
          <xm:sqref>Z815</xm:sqref>
        </x14:conditionalFormatting>
        <x14:conditionalFormatting xmlns:xm="http://schemas.microsoft.com/office/excel/2006/main">
          <x14:cfRule type="dataBar" id="{DD7B457F-202C-47B1-A000-D1813C70BF6C}">
            <x14:dataBar minLength="0" maxLength="100" border="1" negativeBarBorderColorSameAsPositive="0">
              <x14:cfvo type="autoMin"/>
              <x14:cfvo type="autoMax"/>
              <x14:borderColor rgb="FF63C384"/>
              <x14:negativeFillColor rgb="FFFF0000"/>
              <x14:negativeBorderColor rgb="FFFF0000"/>
              <x14:axisColor rgb="FF000000"/>
            </x14:dataBar>
          </x14:cfRule>
          <xm:sqref>Z815</xm:sqref>
        </x14:conditionalFormatting>
        <x14:conditionalFormatting xmlns:xm="http://schemas.microsoft.com/office/excel/2006/main">
          <x14:cfRule type="dataBar" id="{D6982FFD-1684-4E23-B1AF-7637FEDD4297}">
            <x14:dataBar minLength="0" maxLength="100" border="1" negativeBarBorderColorSameAsPositive="0">
              <x14:cfvo type="autoMin"/>
              <x14:cfvo type="autoMax"/>
              <x14:borderColor rgb="FF63C384"/>
              <x14:negativeFillColor rgb="FFFF0000"/>
              <x14:negativeBorderColor rgb="FFFF0000"/>
              <x14:axisColor rgb="FF000000"/>
            </x14:dataBar>
          </x14:cfRule>
          <xm:sqref>Z816:Z817</xm:sqref>
        </x14:conditionalFormatting>
        <x14:conditionalFormatting xmlns:xm="http://schemas.microsoft.com/office/excel/2006/main">
          <x14:cfRule type="dataBar" id="{62200C3E-43EA-4EBC-8C74-B884D2AC6DEE}">
            <x14:dataBar minLength="0" maxLength="100" border="1" negativeBarBorderColorSameAsPositive="0">
              <x14:cfvo type="autoMin"/>
              <x14:cfvo type="autoMax"/>
              <x14:borderColor rgb="FF63C384"/>
              <x14:negativeFillColor rgb="FFFF0000"/>
              <x14:negativeBorderColor rgb="FFFF0000"/>
              <x14:axisColor rgb="FF000000"/>
            </x14:dataBar>
          </x14:cfRule>
          <xm:sqref>Z816:Z817</xm:sqref>
        </x14:conditionalFormatting>
        <x14:conditionalFormatting xmlns:xm="http://schemas.microsoft.com/office/excel/2006/main">
          <x14:cfRule type="dataBar" id="{311896A1-4F06-4BE0-AB75-8F6B1C1D1C69}">
            <x14:dataBar minLength="0" maxLength="100" border="1" negativeBarBorderColorSameAsPositive="0">
              <x14:cfvo type="autoMin"/>
              <x14:cfvo type="autoMax"/>
              <x14:borderColor rgb="FF63C384"/>
              <x14:negativeFillColor rgb="FFFF0000"/>
              <x14:negativeBorderColor rgb="FFFF0000"/>
              <x14:axisColor rgb="FF000000"/>
            </x14:dataBar>
          </x14:cfRule>
          <xm:sqref>Z818</xm:sqref>
        </x14:conditionalFormatting>
        <x14:conditionalFormatting xmlns:xm="http://schemas.microsoft.com/office/excel/2006/main">
          <x14:cfRule type="dataBar" id="{04BD0B6F-7EC9-4974-A7DC-CB87F2005B28}">
            <x14:dataBar minLength="0" maxLength="100" border="1" negativeBarBorderColorSameAsPositive="0">
              <x14:cfvo type="autoMin"/>
              <x14:cfvo type="autoMax"/>
              <x14:borderColor rgb="FF63C384"/>
              <x14:negativeFillColor rgb="FFFF0000"/>
              <x14:negativeBorderColor rgb="FFFF0000"/>
              <x14:axisColor rgb="FF000000"/>
            </x14:dataBar>
          </x14:cfRule>
          <xm:sqref>Z818</xm:sqref>
        </x14:conditionalFormatting>
        <x14:conditionalFormatting xmlns:xm="http://schemas.microsoft.com/office/excel/2006/main">
          <x14:cfRule type="dataBar" id="{66E6357C-C4F1-45F4-82CE-BECC8794BC56}">
            <x14:dataBar minLength="0" maxLength="100" border="1" negativeBarBorderColorSameAsPositive="0">
              <x14:cfvo type="autoMin"/>
              <x14:cfvo type="autoMax"/>
              <x14:borderColor rgb="FF63C384"/>
              <x14:negativeFillColor rgb="FFFF0000"/>
              <x14:negativeBorderColor rgb="FFFF0000"/>
              <x14:axisColor rgb="FF000000"/>
            </x14:dataBar>
          </x14:cfRule>
          <xm:sqref>Z818</xm:sqref>
        </x14:conditionalFormatting>
        <x14:conditionalFormatting xmlns:xm="http://schemas.microsoft.com/office/excel/2006/main">
          <x14:cfRule type="dataBar" id="{5ED0950E-E629-414F-8A84-1704D5659504}">
            <x14:dataBar minLength="0" maxLength="100" border="1" negativeBarBorderColorSameAsPositive="0">
              <x14:cfvo type="autoMin"/>
              <x14:cfvo type="autoMax"/>
              <x14:borderColor rgb="FF63C384"/>
              <x14:negativeFillColor rgb="FFFF0000"/>
              <x14:negativeBorderColor rgb="FFFF0000"/>
              <x14:axisColor rgb="FF000000"/>
            </x14:dataBar>
          </x14:cfRule>
          <xm:sqref>Z818</xm:sqref>
        </x14:conditionalFormatting>
        <x14:conditionalFormatting xmlns:xm="http://schemas.microsoft.com/office/excel/2006/main">
          <x14:cfRule type="dataBar" id="{6AB5C624-8DD9-4D4D-89AD-E7B09477347A}">
            <x14:dataBar minLength="0" maxLength="100" border="1" negativeBarBorderColorSameAsPositive="0">
              <x14:cfvo type="autoMin"/>
              <x14:cfvo type="autoMax"/>
              <x14:borderColor rgb="FF63C384"/>
              <x14:negativeFillColor rgb="FFFF0000"/>
              <x14:negativeBorderColor rgb="FFFF0000"/>
              <x14:axisColor rgb="FF000000"/>
            </x14:dataBar>
          </x14:cfRule>
          <xm:sqref>Z819</xm:sqref>
        </x14:conditionalFormatting>
        <x14:conditionalFormatting xmlns:xm="http://schemas.microsoft.com/office/excel/2006/main">
          <x14:cfRule type="dataBar" id="{C6B215D6-B765-4311-9E30-35F4907EEB5D}">
            <x14:dataBar minLength="0" maxLength="100" border="1" negativeBarBorderColorSameAsPositive="0">
              <x14:cfvo type="autoMin"/>
              <x14:cfvo type="autoMax"/>
              <x14:borderColor rgb="FF63C384"/>
              <x14:negativeFillColor rgb="FFFF0000"/>
              <x14:negativeBorderColor rgb="FFFF0000"/>
              <x14:axisColor rgb="FF000000"/>
            </x14:dataBar>
          </x14:cfRule>
          <xm:sqref>Z819</xm:sqref>
        </x14:conditionalFormatting>
        <x14:conditionalFormatting xmlns:xm="http://schemas.microsoft.com/office/excel/2006/main">
          <x14:cfRule type="dataBar" id="{534E6380-25AF-48A6-AC80-3141F2F4D35E}">
            <x14:dataBar minLength="0" maxLength="100" border="1" negativeBarBorderColorSameAsPositive="0">
              <x14:cfvo type="autoMin"/>
              <x14:cfvo type="autoMax"/>
              <x14:borderColor rgb="FF63C384"/>
              <x14:negativeFillColor rgb="FFFF0000"/>
              <x14:negativeBorderColor rgb="FFFF0000"/>
              <x14:axisColor rgb="FF000000"/>
            </x14:dataBar>
          </x14:cfRule>
          <xm:sqref>Z819</xm:sqref>
        </x14:conditionalFormatting>
        <x14:conditionalFormatting xmlns:xm="http://schemas.microsoft.com/office/excel/2006/main">
          <x14:cfRule type="dataBar" id="{E3903CAC-8AF2-4796-ABA5-8E34250E0543}">
            <x14:dataBar minLength="0" maxLength="100" border="1" negativeBarBorderColorSameAsPositive="0">
              <x14:cfvo type="autoMin"/>
              <x14:cfvo type="autoMax"/>
              <x14:borderColor rgb="FF63C384"/>
              <x14:negativeFillColor rgb="FFFF0000"/>
              <x14:negativeBorderColor rgb="FFFF0000"/>
              <x14:axisColor rgb="FF000000"/>
            </x14:dataBar>
          </x14:cfRule>
          <xm:sqref>Z819</xm:sqref>
        </x14:conditionalFormatting>
        <x14:conditionalFormatting xmlns:xm="http://schemas.microsoft.com/office/excel/2006/main">
          <x14:cfRule type="dataBar" id="{CB97F2AF-AFFD-4440-A076-040206118249}">
            <x14:dataBar minLength="0" maxLength="100" border="1" negativeBarBorderColorSameAsPositive="0">
              <x14:cfvo type="autoMin"/>
              <x14:cfvo type="autoMax"/>
              <x14:borderColor rgb="FF63C384"/>
              <x14:negativeFillColor rgb="FFFF0000"/>
              <x14:negativeBorderColor rgb="FFFF0000"/>
              <x14:axisColor rgb="FF000000"/>
            </x14:dataBar>
          </x14:cfRule>
          <xm:sqref>Z820</xm:sqref>
        </x14:conditionalFormatting>
        <x14:conditionalFormatting xmlns:xm="http://schemas.microsoft.com/office/excel/2006/main">
          <x14:cfRule type="dataBar" id="{3CE26E1A-D17D-4F19-A345-0926A0306711}">
            <x14:dataBar minLength="0" maxLength="100" border="1" negativeBarBorderColorSameAsPositive="0">
              <x14:cfvo type="autoMin"/>
              <x14:cfvo type="autoMax"/>
              <x14:borderColor rgb="FF63C384"/>
              <x14:negativeFillColor rgb="FFFF0000"/>
              <x14:negativeBorderColor rgb="FFFF0000"/>
              <x14:axisColor rgb="FF000000"/>
            </x14:dataBar>
          </x14:cfRule>
          <xm:sqref>Z820</xm:sqref>
        </x14:conditionalFormatting>
        <x14:conditionalFormatting xmlns:xm="http://schemas.microsoft.com/office/excel/2006/main">
          <x14:cfRule type="dataBar" id="{9B144AB3-0B9B-42A2-893C-6D79B4384B88}">
            <x14:dataBar minLength="0" maxLength="100" border="1" negativeBarBorderColorSameAsPositive="0">
              <x14:cfvo type="autoMin"/>
              <x14:cfvo type="autoMax"/>
              <x14:borderColor rgb="FF63C384"/>
              <x14:negativeFillColor rgb="FFFF0000"/>
              <x14:negativeBorderColor rgb="FFFF0000"/>
              <x14:axisColor rgb="FF000000"/>
            </x14:dataBar>
          </x14:cfRule>
          <xm:sqref>Z820</xm:sqref>
        </x14:conditionalFormatting>
        <x14:conditionalFormatting xmlns:xm="http://schemas.microsoft.com/office/excel/2006/main">
          <x14:cfRule type="dataBar" id="{7B56F861-8D72-4794-BC44-B63C88A8336F}">
            <x14:dataBar minLength="0" maxLength="100" border="1" negativeBarBorderColorSameAsPositive="0">
              <x14:cfvo type="autoMin"/>
              <x14:cfvo type="autoMax"/>
              <x14:borderColor rgb="FF63C384"/>
              <x14:negativeFillColor rgb="FFFF0000"/>
              <x14:negativeBorderColor rgb="FFFF0000"/>
              <x14:axisColor rgb="FF000000"/>
            </x14:dataBar>
          </x14:cfRule>
          <xm:sqref>Z820</xm:sqref>
        </x14:conditionalFormatting>
        <x14:conditionalFormatting xmlns:xm="http://schemas.microsoft.com/office/excel/2006/main">
          <x14:cfRule type="dataBar" id="{37C21A52-F827-406B-BF9B-A1CA9D04A4CA}">
            <x14:dataBar minLength="0" maxLength="100" border="1" negativeBarBorderColorSameAsPositive="0">
              <x14:cfvo type="autoMin"/>
              <x14:cfvo type="autoMax"/>
              <x14:borderColor rgb="FF63C384"/>
              <x14:negativeFillColor rgb="FFFF0000"/>
              <x14:negativeBorderColor rgb="FFFF0000"/>
              <x14:axisColor rgb="FF000000"/>
            </x14:dataBar>
          </x14:cfRule>
          <xm:sqref>Z820</xm:sqref>
        </x14:conditionalFormatting>
        <x14:conditionalFormatting xmlns:xm="http://schemas.microsoft.com/office/excel/2006/main">
          <x14:cfRule type="dataBar" id="{C293426B-049E-485A-8840-7FFF8DDBED6D}">
            <x14:dataBar minLength="0" maxLength="100" border="1" negativeBarBorderColorSameAsPositive="0">
              <x14:cfvo type="autoMin"/>
              <x14:cfvo type="autoMax"/>
              <x14:borderColor rgb="FF63C384"/>
              <x14:negativeFillColor rgb="FFFF0000"/>
              <x14:negativeBorderColor rgb="FFFF0000"/>
              <x14:axisColor rgb="FF000000"/>
            </x14:dataBar>
          </x14:cfRule>
          <xm:sqref>Z820</xm:sqref>
        </x14:conditionalFormatting>
        <x14:conditionalFormatting xmlns:xm="http://schemas.microsoft.com/office/excel/2006/main">
          <x14:cfRule type="dataBar" id="{19F7B12D-7DA8-4DDA-ACD6-025EA64C8FF9}">
            <x14:dataBar minLength="0" maxLength="100" border="1" negativeBarBorderColorSameAsPositive="0">
              <x14:cfvo type="autoMin"/>
              <x14:cfvo type="autoMax"/>
              <x14:borderColor rgb="FF63C384"/>
              <x14:negativeFillColor rgb="FFFF0000"/>
              <x14:negativeBorderColor rgb="FFFF0000"/>
              <x14:axisColor rgb="FF000000"/>
            </x14:dataBar>
          </x14:cfRule>
          <xm:sqref>Z820</xm:sqref>
        </x14:conditionalFormatting>
        <x14:conditionalFormatting xmlns:xm="http://schemas.microsoft.com/office/excel/2006/main">
          <x14:cfRule type="dataBar" id="{5B0D807A-4733-4A1C-AEC6-7A2F90399C63}">
            <x14:dataBar minLength="0" maxLength="100" border="1" negativeBarBorderColorSameAsPositive="0">
              <x14:cfvo type="autoMin"/>
              <x14:cfvo type="autoMax"/>
              <x14:borderColor rgb="FF63C384"/>
              <x14:negativeFillColor rgb="FFFF0000"/>
              <x14:negativeBorderColor rgb="FFFF0000"/>
              <x14:axisColor rgb="FF000000"/>
            </x14:dataBar>
          </x14:cfRule>
          <xm:sqref>Z820</xm:sqref>
        </x14:conditionalFormatting>
        <x14:conditionalFormatting xmlns:xm="http://schemas.microsoft.com/office/excel/2006/main">
          <x14:cfRule type="dataBar" id="{597A387E-DA21-4077-845E-CE4FFABF805F}">
            <x14:dataBar minLength="0" maxLength="100" border="1" negativeBarBorderColorSameAsPositive="0">
              <x14:cfvo type="autoMin"/>
              <x14:cfvo type="autoMax"/>
              <x14:borderColor rgb="FF63C384"/>
              <x14:negativeFillColor rgb="FFFF0000"/>
              <x14:negativeBorderColor rgb="FFFF0000"/>
              <x14:axisColor rgb="FF000000"/>
            </x14:dataBar>
          </x14:cfRule>
          <xm:sqref>Z821</xm:sqref>
        </x14:conditionalFormatting>
        <x14:conditionalFormatting xmlns:xm="http://schemas.microsoft.com/office/excel/2006/main">
          <x14:cfRule type="dataBar" id="{9F57A5F0-651B-4F31-9C5F-FBFE8806D6AB}">
            <x14:dataBar minLength="0" maxLength="100" border="1" negativeBarBorderColorSameAsPositive="0">
              <x14:cfvo type="autoMin"/>
              <x14:cfvo type="autoMax"/>
              <x14:borderColor rgb="FF63C384"/>
              <x14:negativeFillColor rgb="FFFF0000"/>
              <x14:negativeBorderColor rgb="FFFF0000"/>
              <x14:axisColor rgb="FF000000"/>
            </x14:dataBar>
          </x14:cfRule>
          <xm:sqref>Z821</xm:sqref>
        </x14:conditionalFormatting>
        <x14:conditionalFormatting xmlns:xm="http://schemas.microsoft.com/office/excel/2006/main">
          <x14:cfRule type="dataBar" id="{312FF817-B8D1-47A3-83C0-8B6B8C83C06F}">
            <x14:dataBar minLength="0" maxLength="100" border="1" negativeBarBorderColorSameAsPositive="0">
              <x14:cfvo type="autoMin"/>
              <x14:cfvo type="autoMax"/>
              <x14:borderColor rgb="FF63C384"/>
              <x14:negativeFillColor rgb="FFFF0000"/>
              <x14:negativeBorderColor rgb="FFFF0000"/>
              <x14:axisColor rgb="FF000000"/>
            </x14:dataBar>
          </x14:cfRule>
          <xm:sqref>Z822</xm:sqref>
        </x14:conditionalFormatting>
        <x14:conditionalFormatting xmlns:xm="http://schemas.microsoft.com/office/excel/2006/main">
          <x14:cfRule type="dataBar" id="{2DB97329-8EB3-48B7-A532-C1121D5FF94C}">
            <x14:dataBar minLength="0" maxLength="100" border="1" negativeBarBorderColorSameAsPositive="0">
              <x14:cfvo type="autoMin"/>
              <x14:cfvo type="autoMax"/>
              <x14:borderColor rgb="FF63C384"/>
              <x14:negativeFillColor rgb="FFFF0000"/>
              <x14:negativeBorderColor rgb="FFFF0000"/>
              <x14:axisColor rgb="FF000000"/>
            </x14:dataBar>
          </x14:cfRule>
          <xm:sqref>Z822</xm:sqref>
        </x14:conditionalFormatting>
        <x14:conditionalFormatting xmlns:xm="http://schemas.microsoft.com/office/excel/2006/main">
          <x14:cfRule type="dataBar" id="{D9C4706D-A24A-4C96-84F7-1C89C3D6F1F1}">
            <x14:dataBar minLength="0" maxLength="100" border="1" negativeBarBorderColorSameAsPositive="0">
              <x14:cfvo type="autoMin"/>
              <x14:cfvo type="autoMax"/>
              <x14:borderColor rgb="FF63C384"/>
              <x14:negativeFillColor rgb="FFFF0000"/>
              <x14:negativeBorderColor rgb="FFFF0000"/>
              <x14:axisColor rgb="FF000000"/>
            </x14:dataBar>
          </x14:cfRule>
          <xm:sqref>Z823</xm:sqref>
        </x14:conditionalFormatting>
        <x14:conditionalFormatting xmlns:xm="http://schemas.microsoft.com/office/excel/2006/main">
          <x14:cfRule type="dataBar" id="{3D0D3776-24FD-4A7D-96C8-12636503031E}">
            <x14:dataBar minLength="0" maxLength="100" border="1" negativeBarBorderColorSameAsPositive="0">
              <x14:cfvo type="autoMin"/>
              <x14:cfvo type="autoMax"/>
              <x14:borderColor rgb="FF63C384"/>
              <x14:negativeFillColor rgb="FFFF0000"/>
              <x14:negativeBorderColor rgb="FFFF0000"/>
              <x14:axisColor rgb="FF000000"/>
            </x14:dataBar>
          </x14:cfRule>
          <xm:sqref>Z823</xm:sqref>
        </x14:conditionalFormatting>
        <x14:conditionalFormatting xmlns:xm="http://schemas.microsoft.com/office/excel/2006/main">
          <x14:cfRule type="dataBar" id="{E1A068AE-8C4B-4F16-B7AE-EFE3AF63B698}">
            <x14:dataBar minLength="0" maxLength="100" border="1" negativeBarBorderColorSameAsPositive="0">
              <x14:cfvo type="autoMin"/>
              <x14:cfvo type="autoMax"/>
              <x14:borderColor rgb="FF63C384"/>
              <x14:negativeFillColor rgb="FFFF0000"/>
              <x14:negativeBorderColor rgb="FFFF0000"/>
              <x14:axisColor rgb="FF000000"/>
            </x14:dataBar>
          </x14:cfRule>
          <xm:sqref>Z823</xm:sqref>
        </x14:conditionalFormatting>
        <x14:conditionalFormatting xmlns:xm="http://schemas.microsoft.com/office/excel/2006/main">
          <x14:cfRule type="dataBar" id="{83042432-75B1-43E3-AC83-2C11C0069CEF}">
            <x14:dataBar minLength="0" maxLength="100" border="1" negativeBarBorderColorSameAsPositive="0">
              <x14:cfvo type="autoMin"/>
              <x14:cfvo type="autoMax"/>
              <x14:borderColor rgb="FF63C384"/>
              <x14:negativeFillColor rgb="FFFF0000"/>
              <x14:negativeBorderColor rgb="FFFF0000"/>
              <x14:axisColor rgb="FF000000"/>
            </x14:dataBar>
          </x14:cfRule>
          <xm:sqref>Z823</xm:sqref>
        </x14:conditionalFormatting>
        <x14:conditionalFormatting xmlns:xm="http://schemas.microsoft.com/office/excel/2006/main">
          <x14:cfRule type="dataBar" id="{F3741370-3109-46FF-96E4-E4C70D6BF8CE}">
            <x14:dataBar minLength="0" maxLength="100" border="1" negativeBarBorderColorSameAsPositive="0">
              <x14:cfvo type="autoMin"/>
              <x14:cfvo type="autoMax"/>
              <x14:borderColor rgb="FF63C384"/>
              <x14:negativeFillColor rgb="FFFF0000"/>
              <x14:negativeBorderColor rgb="FFFF0000"/>
              <x14:axisColor rgb="FF000000"/>
            </x14:dataBar>
          </x14:cfRule>
          <xm:sqref>Z824</xm:sqref>
        </x14:conditionalFormatting>
        <x14:conditionalFormatting xmlns:xm="http://schemas.microsoft.com/office/excel/2006/main">
          <x14:cfRule type="dataBar" id="{A20D23C3-08DF-4895-A1A1-823D865BA849}">
            <x14:dataBar minLength="0" maxLength="100" border="1" negativeBarBorderColorSameAsPositive="0">
              <x14:cfvo type="autoMin"/>
              <x14:cfvo type="autoMax"/>
              <x14:borderColor rgb="FF63C384"/>
              <x14:negativeFillColor rgb="FFFF0000"/>
              <x14:negativeBorderColor rgb="FFFF0000"/>
              <x14:axisColor rgb="FF000000"/>
            </x14:dataBar>
          </x14:cfRule>
          <xm:sqref>Z824</xm:sqref>
        </x14:conditionalFormatting>
        <x14:conditionalFormatting xmlns:xm="http://schemas.microsoft.com/office/excel/2006/main">
          <x14:cfRule type="dataBar" id="{5FD8BA66-99A6-433A-9F71-463D57DEE823}">
            <x14:dataBar minLength="0" maxLength="100" border="1" negativeBarBorderColorSameAsPositive="0">
              <x14:cfvo type="autoMin"/>
              <x14:cfvo type="autoMax"/>
              <x14:borderColor rgb="FF63C384"/>
              <x14:negativeFillColor rgb="FFFF0000"/>
              <x14:negativeBorderColor rgb="FFFF0000"/>
              <x14:axisColor rgb="FF000000"/>
            </x14:dataBar>
          </x14:cfRule>
          <xm:sqref>Z825</xm:sqref>
        </x14:conditionalFormatting>
        <x14:conditionalFormatting xmlns:xm="http://schemas.microsoft.com/office/excel/2006/main">
          <x14:cfRule type="dataBar" id="{1EE5AFD8-BA97-4B5F-884E-6BAA90BC2180}">
            <x14:dataBar minLength="0" maxLength="100" border="1" negativeBarBorderColorSameAsPositive="0">
              <x14:cfvo type="autoMin"/>
              <x14:cfvo type="autoMax"/>
              <x14:borderColor rgb="FF63C384"/>
              <x14:negativeFillColor rgb="FFFF0000"/>
              <x14:negativeBorderColor rgb="FFFF0000"/>
              <x14:axisColor rgb="FF000000"/>
            </x14:dataBar>
          </x14:cfRule>
          <xm:sqref>Z825</xm:sqref>
        </x14:conditionalFormatting>
        <x14:conditionalFormatting xmlns:xm="http://schemas.microsoft.com/office/excel/2006/main">
          <x14:cfRule type="dataBar" id="{5ADB650A-1453-4DC9-BE25-39F52774D8E6}">
            <x14:dataBar minLength="0" maxLength="100" border="1" negativeBarBorderColorSameAsPositive="0">
              <x14:cfvo type="autoMin"/>
              <x14:cfvo type="autoMax"/>
              <x14:borderColor rgb="FF63C384"/>
              <x14:negativeFillColor rgb="FFFF0000"/>
              <x14:negativeBorderColor rgb="FFFF0000"/>
              <x14:axisColor rgb="FF000000"/>
            </x14:dataBar>
          </x14:cfRule>
          <xm:sqref>Z825</xm:sqref>
        </x14:conditionalFormatting>
        <x14:conditionalFormatting xmlns:xm="http://schemas.microsoft.com/office/excel/2006/main">
          <x14:cfRule type="dataBar" id="{E3DB642F-3799-4DB6-92EE-27BF0C6ED8F3}">
            <x14:dataBar minLength="0" maxLength="100" border="1" negativeBarBorderColorSameAsPositive="0">
              <x14:cfvo type="autoMin"/>
              <x14:cfvo type="autoMax"/>
              <x14:borderColor rgb="FF63C384"/>
              <x14:negativeFillColor rgb="FFFF0000"/>
              <x14:negativeBorderColor rgb="FFFF0000"/>
              <x14:axisColor rgb="FF000000"/>
            </x14:dataBar>
          </x14:cfRule>
          <xm:sqref>Z825</xm:sqref>
        </x14:conditionalFormatting>
        <x14:conditionalFormatting xmlns:xm="http://schemas.microsoft.com/office/excel/2006/main">
          <x14:cfRule type="dataBar" id="{332B8CBC-E0D1-41C3-AE00-87A8E603CF64}">
            <x14:dataBar minLength="0" maxLength="100" border="1" negativeBarBorderColorSameAsPositive="0">
              <x14:cfvo type="autoMin"/>
              <x14:cfvo type="autoMax"/>
              <x14:borderColor rgb="FF63C384"/>
              <x14:negativeFillColor rgb="FFFF0000"/>
              <x14:negativeBorderColor rgb="FFFF0000"/>
              <x14:axisColor rgb="FF000000"/>
            </x14:dataBar>
          </x14:cfRule>
          <xm:sqref>Z825</xm:sqref>
        </x14:conditionalFormatting>
        <x14:conditionalFormatting xmlns:xm="http://schemas.microsoft.com/office/excel/2006/main">
          <x14:cfRule type="dataBar" id="{2799A933-CC79-4393-B012-C7B0F95B1895}">
            <x14:dataBar minLength="0" maxLength="100" border="1" negativeBarBorderColorSameAsPositive="0">
              <x14:cfvo type="autoMin"/>
              <x14:cfvo type="autoMax"/>
              <x14:borderColor rgb="FF63C384"/>
              <x14:negativeFillColor rgb="FFFF0000"/>
              <x14:negativeBorderColor rgb="FFFF0000"/>
              <x14:axisColor rgb="FF000000"/>
            </x14:dataBar>
          </x14:cfRule>
          <xm:sqref>Z825</xm:sqref>
        </x14:conditionalFormatting>
        <x14:conditionalFormatting xmlns:xm="http://schemas.microsoft.com/office/excel/2006/main">
          <x14:cfRule type="dataBar" id="{9FFAB7A2-1B5E-41D0-AE90-25DCD4A5BBDD}">
            <x14:dataBar minLength="0" maxLength="100" border="1" negativeBarBorderColorSameAsPositive="0">
              <x14:cfvo type="autoMin"/>
              <x14:cfvo type="autoMax"/>
              <x14:borderColor rgb="FF63C384"/>
              <x14:negativeFillColor rgb="FFFF0000"/>
              <x14:negativeBorderColor rgb="FFFF0000"/>
              <x14:axisColor rgb="FF000000"/>
            </x14:dataBar>
          </x14:cfRule>
          <xm:sqref>Z826</xm:sqref>
        </x14:conditionalFormatting>
        <x14:conditionalFormatting xmlns:xm="http://schemas.microsoft.com/office/excel/2006/main">
          <x14:cfRule type="dataBar" id="{049F46AC-A262-4774-A97E-1CD031518D34}">
            <x14:dataBar minLength="0" maxLength="100" border="1" negativeBarBorderColorSameAsPositive="0">
              <x14:cfvo type="autoMin"/>
              <x14:cfvo type="autoMax"/>
              <x14:borderColor rgb="FF63C384"/>
              <x14:negativeFillColor rgb="FFFF0000"/>
              <x14:negativeBorderColor rgb="FFFF0000"/>
              <x14:axisColor rgb="FF000000"/>
            </x14:dataBar>
          </x14:cfRule>
          <xm:sqref>Z826</xm:sqref>
        </x14:conditionalFormatting>
        <x14:conditionalFormatting xmlns:xm="http://schemas.microsoft.com/office/excel/2006/main">
          <x14:cfRule type="dataBar" id="{07367015-E1CF-4288-9378-8077DCA8F1AC}">
            <x14:dataBar minLength="0" maxLength="100" border="1" negativeBarBorderColorSameAsPositive="0">
              <x14:cfvo type="autoMin"/>
              <x14:cfvo type="autoMax"/>
              <x14:borderColor rgb="FF63C384"/>
              <x14:negativeFillColor rgb="FFFF0000"/>
              <x14:negativeBorderColor rgb="FFFF0000"/>
              <x14:axisColor rgb="FF000000"/>
            </x14:dataBar>
          </x14:cfRule>
          <xm:sqref>Z826</xm:sqref>
        </x14:conditionalFormatting>
        <x14:conditionalFormatting xmlns:xm="http://schemas.microsoft.com/office/excel/2006/main">
          <x14:cfRule type="dataBar" id="{16FD8A45-BE71-4307-B408-3A652D742B6D}">
            <x14:dataBar minLength="0" maxLength="100" border="1" negativeBarBorderColorSameAsPositive="0">
              <x14:cfvo type="autoMin"/>
              <x14:cfvo type="autoMax"/>
              <x14:borderColor rgb="FF63C384"/>
              <x14:negativeFillColor rgb="FFFF0000"/>
              <x14:negativeBorderColor rgb="FFFF0000"/>
              <x14:axisColor rgb="FF000000"/>
            </x14:dataBar>
          </x14:cfRule>
          <xm:sqref>Z826</xm:sqref>
        </x14:conditionalFormatting>
        <x14:conditionalFormatting xmlns:xm="http://schemas.microsoft.com/office/excel/2006/main">
          <x14:cfRule type="dataBar" id="{CB362843-3909-4AAB-969C-FF8D4DCBCA41}">
            <x14:dataBar minLength="0" maxLength="100" border="1" negativeBarBorderColorSameAsPositive="0">
              <x14:cfvo type="autoMin"/>
              <x14:cfvo type="autoMax"/>
              <x14:borderColor rgb="FF63C384"/>
              <x14:negativeFillColor rgb="FFFF0000"/>
              <x14:negativeBorderColor rgb="FFFF0000"/>
              <x14:axisColor rgb="FF000000"/>
            </x14:dataBar>
          </x14:cfRule>
          <xm:sqref>Z827</xm:sqref>
        </x14:conditionalFormatting>
        <x14:conditionalFormatting xmlns:xm="http://schemas.microsoft.com/office/excel/2006/main">
          <x14:cfRule type="dataBar" id="{46682B41-93CE-4C9F-A609-7C08BD752764}">
            <x14:dataBar minLength="0" maxLength="100" border="1" negativeBarBorderColorSameAsPositive="0">
              <x14:cfvo type="autoMin"/>
              <x14:cfvo type="autoMax"/>
              <x14:borderColor rgb="FF63C384"/>
              <x14:negativeFillColor rgb="FFFF0000"/>
              <x14:negativeBorderColor rgb="FFFF0000"/>
              <x14:axisColor rgb="FF000000"/>
            </x14:dataBar>
          </x14:cfRule>
          <xm:sqref>Z827</xm:sqref>
        </x14:conditionalFormatting>
        <x14:conditionalFormatting xmlns:xm="http://schemas.microsoft.com/office/excel/2006/main">
          <x14:cfRule type="dataBar" id="{3CE89600-E4CB-4E83-A369-131CD26DE408}">
            <x14:dataBar minLength="0" maxLength="100" border="1" negativeBarBorderColorSameAsPositive="0">
              <x14:cfvo type="autoMin"/>
              <x14:cfvo type="autoMax"/>
              <x14:borderColor rgb="FF63C384"/>
              <x14:negativeFillColor rgb="FFFF0000"/>
              <x14:negativeBorderColor rgb="FFFF0000"/>
              <x14:axisColor rgb="FF000000"/>
            </x14:dataBar>
          </x14:cfRule>
          <xm:sqref>Z827</xm:sqref>
        </x14:conditionalFormatting>
        <x14:conditionalFormatting xmlns:xm="http://schemas.microsoft.com/office/excel/2006/main">
          <x14:cfRule type="dataBar" id="{C7984B8C-4650-4135-8F54-E8E6715B85FD}">
            <x14:dataBar minLength="0" maxLength="100" border="1" negativeBarBorderColorSameAsPositive="0">
              <x14:cfvo type="autoMin"/>
              <x14:cfvo type="autoMax"/>
              <x14:borderColor rgb="FF63C384"/>
              <x14:negativeFillColor rgb="FFFF0000"/>
              <x14:negativeBorderColor rgb="FFFF0000"/>
              <x14:axisColor rgb="FF000000"/>
            </x14:dataBar>
          </x14:cfRule>
          <xm:sqref>Z827</xm:sqref>
        </x14:conditionalFormatting>
        <x14:conditionalFormatting xmlns:xm="http://schemas.microsoft.com/office/excel/2006/main">
          <x14:cfRule type="dataBar" id="{ECFFCDAA-F310-4A78-B849-273D637E1463}">
            <x14:dataBar minLength="0" maxLength="100" border="1" negativeBarBorderColorSameAsPositive="0">
              <x14:cfvo type="autoMin"/>
              <x14:cfvo type="autoMax"/>
              <x14:borderColor rgb="FF63C384"/>
              <x14:negativeFillColor rgb="FFFF0000"/>
              <x14:negativeBorderColor rgb="FFFF0000"/>
              <x14:axisColor rgb="FF000000"/>
            </x14:dataBar>
          </x14:cfRule>
          <xm:sqref>Z828</xm:sqref>
        </x14:conditionalFormatting>
        <x14:conditionalFormatting xmlns:xm="http://schemas.microsoft.com/office/excel/2006/main">
          <x14:cfRule type="dataBar" id="{09379948-32A7-439D-A3F5-675BBC942F57}">
            <x14:dataBar minLength="0" maxLength="100" border="1" negativeBarBorderColorSameAsPositive="0">
              <x14:cfvo type="autoMin"/>
              <x14:cfvo type="autoMax"/>
              <x14:borderColor rgb="FF63C384"/>
              <x14:negativeFillColor rgb="FFFF0000"/>
              <x14:negativeBorderColor rgb="FFFF0000"/>
              <x14:axisColor rgb="FF000000"/>
            </x14:dataBar>
          </x14:cfRule>
          <xm:sqref>Z828</xm:sqref>
        </x14:conditionalFormatting>
        <x14:conditionalFormatting xmlns:xm="http://schemas.microsoft.com/office/excel/2006/main">
          <x14:cfRule type="dataBar" id="{E235CB09-45C7-4333-88DA-89CF78EA4F66}">
            <x14:dataBar minLength="0" maxLength="100" border="1" negativeBarBorderColorSameAsPositive="0">
              <x14:cfvo type="autoMin"/>
              <x14:cfvo type="autoMax"/>
              <x14:borderColor rgb="FF63C384"/>
              <x14:negativeFillColor rgb="FFFF0000"/>
              <x14:negativeBorderColor rgb="FFFF0000"/>
              <x14:axisColor rgb="FF000000"/>
            </x14:dataBar>
          </x14:cfRule>
          <xm:sqref>Z828</xm:sqref>
        </x14:conditionalFormatting>
        <x14:conditionalFormatting xmlns:xm="http://schemas.microsoft.com/office/excel/2006/main">
          <x14:cfRule type="dataBar" id="{05E68C12-9089-439F-B87A-20CCB68D79FE}">
            <x14:dataBar minLength="0" maxLength="100" border="1" negativeBarBorderColorSameAsPositive="0">
              <x14:cfvo type="autoMin"/>
              <x14:cfvo type="autoMax"/>
              <x14:borderColor rgb="FF63C384"/>
              <x14:negativeFillColor rgb="FFFF0000"/>
              <x14:negativeBorderColor rgb="FFFF0000"/>
              <x14:axisColor rgb="FF000000"/>
            </x14:dataBar>
          </x14:cfRule>
          <xm:sqref>Z828</xm:sqref>
        </x14:conditionalFormatting>
        <x14:conditionalFormatting xmlns:xm="http://schemas.microsoft.com/office/excel/2006/main">
          <x14:cfRule type="dataBar" id="{06D85428-DA14-4012-89E4-842F57202C15}">
            <x14:dataBar minLength="0" maxLength="100" border="1" negativeBarBorderColorSameAsPositive="0">
              <x14:cfvo type="autoMin"/>
              <x14:cfvo type="autoMax"/>
              <x14:borderColor rgb="FF63C384"/>
              <x14:negativeFillColor rgb="FFFF0000"/>
              <x14:negativeBorderColor rgb="FFFF0000"/>
              <x14:axisColor rgb="FF000000"/>
            </x14:dataBar>
          </x14:cfRule>
          <xm:sqref>Z829</xm:sqref>
        </x14:conditionalFormatting>
        <x14:conditionalFormatting xmlns:xm="http://schemas.microsoft.com/office/excel/2006/main">
          <x14:cfRule type="dataBar" id="{46B03A96-7946-446C-9EE2-A8D06E0A68EB}">
            <x14:dataBar minLength="0" maxLength="100" border="1" negativeBarBorderColorSameAsPositive="0">
              <x14:cfvo type="autoMin"/>
              <x14:cfvo type="autoMax"/>
              <x14:borderColor rgb="FF63C384"/>
              <x14:negativeFillColor rgb="FFFF0000"/>
              <x14:negativeBorderColor rgb="FFFF0000"/>
              <x14:axisColor rgb="FF000000"/>
            </x14:dataBar>
          </x14:cfRule>
          <xm:sqref>Z829</xm:sqref>
        </x14:conditionalFormatting>
        <x14:conditionalFormatting xmlns:xm="http://schemas.microsoft.com/office/excel/2006/main">
          <x14:cfRule type="dataBar" id="{1CCF34EA-9762-43B8-851B-3964E83C93CE}">
            <x14:dataBar minLength="0" maxLength="100" border="1" negativeBarBorderColorSameAsPositive="0">
              <x14:cfvo type="autoMin"/>
              <x14:cfvo type="autoMax"/>
              <x14:borderColor rgb="FF63C384"/>
              <x14:negativeFillColor rgb="FFFF0000"/>
              <x14:negativeBorderColor rgb="FFFF0000"/>
              <x14:axisColor rgb="FF000000"/>
            </x14:dataBar>
          </x14:cfRule>
          <xm:sqref>Z830</xm:sqref>
        </x14:conditionalFormatting>
        <x14:conditionalFormatting xmlns:xm="http://schemas.microsoft.com/office/excel/2006/main">
          <x14:cfRule type="dataBar" id="{6F04C125-D6DD-420E-9A14-A294BF1A3C4F}">
            <x14:dataBar minLength="0" maxLength="100" border="1" negativeBarBorderColorSameAsPositive="0">
              <x14:cfvo type="autoMin"/>
              <x14:cfvo type="autoMax"/>
              <x14:borderColor rgb="FF63C384"/>
              <x14:negativeFillColor rgb="FFFF0000"/>
              <x14:negativeBorderColor rgb="FFFF0000"/>
              <x14:axisColor rgb="FF000000"/>
            </x14:dataBar>
          </x14:cfRule>
          <xm:sqref>Z830</xm:sqref>
        </x14:conditionalFormatting>
        <x14:conditionalFormatting xmlns:xm="http://schemas.microsoft.com/office/excel/2006/main">
          <x14:cfRule type="dataBar" id="{08F96E04-289B-4D78-846B-8E179102B573}">
            <x14:dataBar minLength="0" maxLength="100" border="1" negativeBarBorderColorSameAsPositive="0">
              <x14:cfvo type="autoMin"/>
              <x14:cfvo type="autoMax"/>
              <x14:borderColor rgb="FF63C384"/>
              <x14:negativeFillColor rgb="FFFF0000"/>
              <x14:negativeBorderColor rgb="FFFF0000"/>
              <x14:axisColor rgb="FF000000"/>
            </x14:dataBar>
          </x14:cfRule>
          <xm:sqref>Z831</xm:sqref>
        </x14:conditionalFormatting>
        <x14:conditionalFormatting xmlns:xm="http://schemas.microsoft.com/office/excel/2006/main">
          <x14:cfRule type="dataBar" id="{F6A87175-D51D-4B65-A99A-2BA30D3FE295}">
            <x14:dataBar minLength="0" maxLength="100" border="1" negativeBarBorderColorSameAsPositive="0">
              <x14:cfvo type="autoMin"/>
              <x14:cfvo type="autoMax"/>
              <x14:borderColor rgb="FF63C384"/>
              <x14:negativeFillColor rgb="FFFF0000"/>
              <x14:negativeBorderColor rgb="FFFF0000"/>
              <x14:axisColor rgb="FF000000"/>
            </x14:dataBar>
          </x14:cfRule>
          <xm:sqref>Z831</xm:sqref>
        </x14:conditionalFormatting>
        <x14:conditionalFormatting xmlns:xm="http://schemas.microsoft.com/office/excel/2006/main">
          <x14:cfRule type="dataBar" id="{76C9DDF0-CFFA-4DC7-840C-3EB7996DF587}">
            <x14:dataBar minLength="0" maxLength="100" border="1" negativeBarBorderColorSameAsPositive="0">
              <x14:cfvo type="autoMin"/>
              <x14:cfvo type="autoMax"/>
              <x14:borderColor rgb="FF63C384"/>
              <x14:negativeFillColor rgb="FFFF0000"/>
              <x14:negativeBorderColor rgb="FFFF0000"/>
              <x14:axisColor rgb="FF000000"/>
            </x14:dataBar>
          </x14:cfRule>
          <xm:sqref>Z832</xm:sqref>
        </x14:conditionalFormatting>
        <x14:conditionalFormatting xmlns:xm="http://schemas.microsoft.com/office/excel/2006/main">
          <x14:cfRule type="dataBar" id="{0C832F8F-4185-4220-A226-DCA9838C229F}">
            <x14:dataBar minLength="0" maxLength="100" border="1" negativeBarBorderColorSameAsPositive="0">
              <x14:cfvo type="autoMin"/>
              <x14:cfvo type="autoMax"/>
              <x14:borderColor rgb="FF63C384"/>
              <x14:negativeFillColor rgb="FFFF0000"/>
              <x14:negativeBorderColor rgb="FFFF0000"/>
              <x14:axisColor rgb="FF000000"/>
            </x14:dataBar>
          </x14:cfRule>
          <xm:sqref>Z832</xm:sqref>
        </x14:conditionalFormatting>
        <x14:conditionalFormatting xmlns:xm="http://schemas.microsoft.com/office/excel/2006/main">
          <x14:cfRule type="dataBar" id="{7DBE4F84-F3D2-4B6A-B8A8-197174D7F1D5}">
            <x14:dataBar minLength="0" maxLength="100" border="1" negativeBarBorderColorSameAsPositive="0">
              <x14:cfvo type="autoMin"/>
              <x14:cfvo type="autoMax"/>
              <x14:borderColor rgb="FF63C384"/>
              <x14:negativeFillColor rgb="FFFF0000"/>
              <x14:negativeBorderColor rgb="FFFF0000"/>
              <x14:axisColor rgb="FF000000"/>
            </x14:dataBar>
          </x14:cfRule>
          <xm:sqref>Z832</xm:sqref>
        </x14:conditionalFormatting>
        <x14:conditionalFormatting xmlns:xm="http://schemas.microsoft.com/office/excel/2006/main">
          <x14:cfRule type="dataBar" id="{4DEA4757-8D4C-403F-B626-D11E5B5D9CF5}">
            <x14:dataBar minLength="0" maxLength="100" border="1" negativeBarBorderColorSameAsPositive="0">
              <x14:cfvo type="autoMin"/>
              <x14:cfvo type="autoMax"/>
              <x14:borderColor rgb="FF63C384"/>
              <x14:negativeFillColor rgb="FFFF0000"/>
              <x14:negativeBorderColor rgb="FFFF0000"/>
              <x14:axisColor rgb="FF000000"/>
            </x14:dataBar>
          </x14:cfRule>
          <xm:sqref>Z832</xm:sqref>
        </x14:conditionalFormatting>
        <x14:conditionalFormatting xmlns:xm="http://schemas.microsoft.com/office/excel/2006/main">
          <x14:cfRule type="dataBar" id="{4B61598C-8410-431C-B060-DC245ECFC7BB}">
            <x14:dataBar minLength="0" maxLength="100" border="1" negativeBarBorderColorSameAsPositive="0">
              <x14:cfvo type="autoMin"/>
              <x14:cfvo type="autoMax"/>
              <x14:borderColor rgb="FF63C384"/>
              <x14:negativeFillColor rgb="FFFF0000"/>
              <x14:negativeBorderColor rgb="FFFF0000"/>
              <x14:axisColor rgb="FF000000"/>
            </x14:dataBar>
          </x14:cfRule>
          <xm:sqref>Z833</xm:sqref>
        </x14:conditionalFormatting>
        <x14:conditionalFormatting xmlns:xm="http://schemas.microsoft.com/office/excel/2006/main">
          <x14:cfRule type="dataBar" id="{94AC1964-12FE-4D85-A886-7493E85C4F23}">
            <x14:dataBar minLength="0" maxLength="100" border="1" negativeBarBorderColorSameAsPositive="0">
              <x14:cfvo type="autoMin"/>
              <x14:cfvo type="autoMax"/>
              <x14:borderColor rgb="FF63C384"/>
              <x14:negativeFillColor rgb="FFFF0000"/>
              <x14:negativeBorderColor rgb="FFFF0000"/>
              <x14:axisColor rgb="FF000000"/>
            </x14:dataBar>
          </x14:cfRule>
          <xm:sqref>Z833</xm:sqref>
        </x14:conditionalFormatting>
        <x14:conditionalFormatting xmlns:xm="http://schemas.microsoft.com/office/excel/2006/main">
          <x14:cfRule type="dataBar" id="{7917C84F-0085-4F3A-AAAD-B39E896F0F27}">
            <x14:dataBar minLength="0" maxLength="100" border="1" negativeBarBorderColorSameAsPositive="0">
              <x14:cfvo type="autoMin"/>
              <x14:cfvo type="autoMax"/>
              <x14:borderColor rgb="FF63C384"/>
              <x14:negativeFillColor rgb="FFFF0000"/>
              <x14:negativeBorderColor rgb="FFFF0000"/>
              <x14:axisColor rgb="FF000000"/>
            </x14:dataBar>
          </x14:cfRule>
          <xm:sqref>Z834</xm:sqref>
        </x14:conditionalFormatting>
        <x14:conditionalFormatting xmlns:xm="http://schemas.microsoft.com/office/excel/2006/main">
          <x14:cfRule type="dataBar" id="{B1292CE8-7645-4B8F-97B4-D486F1ED0812}">
            <x14:dataBar minLength="0" maxLength="100" border="1" negativeBarBorderColorSameAsPositive="0">
              <x14:cfvo type="autoMin"/>
              <x14:cfvo type="autoMax"/>
              <x14:borderColor rgb="FF63C384"/>
              <x14:negativeFillColor rgb="FFFF0000"/>
              <x14:negativeBorderColor rgb="FFFF0000"/>
              <x14:axisColor rgb="FF000000"/>
            </x14:dataBar>
          </x14:cfRule>
          <xm:sqref>Z834</xm:sqref>
        </x14:conditionalFormatting>
        <x14:conditionalFormatting xmlns:xm="http://schemas.microsoft.com/office/excel/2006/main">
          <x14:cfRule type="dataBar" id="{5452F60F-6EC7-4362-921D-DCE5D373E6EE}">
            <x14:dataBar minLength="0" maxLength="100" border="1" negativeBarBorderColorSameAsPositive="0">
              <x14:cfvo type="autoMin"/>
              <x14:cfvo type="autoMax"/>
              <x14:borderColor rgb="FF63C384"/>
              <x14:negativeFillColor rgb="FFFF0000"/>
              <x14:negativeBorderColor rgb="FFFF0000"/>
              <x14:axisColor rgb="FF000000"/>
            </x14:dataBar>
          </x14:cfRule>
          <xm:sqref>Z835:Z840</xm:sqref>
        </x14:conditionalFormatting>
        <x14:conditionalFormatting xmlns:xm="http://schemas.microsoft.com/office/excel/2006/main">
          <x14:cfRule type="dataBar" id="{E7FC6718-E088-407A-B3D2-019AE4199A96}">
            <x14:dataBar minLength="0" maxLength="100" border="1" negativeBarBorderColorSameAsPositive="0">
              <x14:cfvo type="autoMin"/>
              <x14:cfvo type="autoMax"/>
              <x14:borderColor rgb="FF63C384"/>
              <x14:negativeFillColor rgb="FFFF0000"/>
              <x14:negativeBorderColor rgb="FFFF0000"/>
              <x14:axisColor rgb="FF000000"/>
            </x14:dataBar>
          </x14:cfRule>
          <xm:sqref>Z835:Z840</xm:sqref>
        </x14:conditionalFormatting>
        <x14:conditionalFormatting xmlns:xm="http://schemas.microsoft.com/office/excel/2006/main">
          <x14:cfRule type="dataBar" id="{2E192A56-8E56-4392-9D19-19E0087FF83B}">
            <x14:dataBar minLength="0" maxLength="100" border="1" negativeBarBorderColorSameAsPositive="0">
              <x14:cfvo type="autoMin"/>
              <x14:cfvo type="autoMax"/>
              <x14:borderColor rgb="FF63C384"/>
              <x14:negativeFillColor rgb="FFFF0000"/>
              <x14:negativeBorderColor rgb="FFFF0000"/>
              <x14:axisColor rgb="FF000000"/>
            </x14:dataBar>
          </x14:cfRule>
          <xm:sqref>Z841</xm:sqref>
        </x14:conditionalFormatting>
        <x14:conditionalFormatting xmlns:xm="http://schemas.microsoft.com/office/excel/2006/main">
          <x14:cfRule type="dataBar" id="{E2D18CD0-D96B-4437-8722-696115BAD4BC}">
            <x14:dataBar minLength="0" maxLength="100" border="1" negativeBarBorderColorSameAsPositive="0">
              <x14:cfvo type="autoMin"/>
              <x14:cfvo type="autoMax"/>
              <x14:borderColor rgb="FF63C384"/>
              <x14:negativeFillColor rgb="FFFF0000"/>
              <x14:negativeBorderColor rgb="FFFF0000"/>
              <x14:axisColor rgb="FF000000"/>
            </x14:dataBar>
          </x14:cfRule>
          <xm:sqref>Z841</xm:sqref>
        </x14:conditionalFormatting>
        <x14:conditionalFormatting xmlns:xm="http://schemas.microsoft.com/office/excel/2006/main">
          <x14:cfRule type="dataBar" id="{19171A1B-EADE-45F6-9336-02F767CE7935}">
            <x14:dataBar minLength="0" maxLength="100" border="1" negativeBarBorderColorSameAsPositive="0">
              <x14:cfvo type="autoMin"/>
              <x14:cfvo type="autoMax"/>
              <x14:borderColor rgb="FF63C384"/>
              <x14:negativeFillColor rgb="FFFF0000"/>
              <x14:negativeBorderColor rgb="FFFF0000"/>
              <x14:axisColor rgb="FF000000"/>
            </x14:dataBar>
          </x14:cfRule>
          <xm:sqref>Z841</xm:sqref>
        </x14:conditionalFormatting>
        <x14:conditionalFormatting xmlns:xm="http://schemas.microsoft.com/office/excel/2006/main">
          <x14:cfRule type="dataBar" id="{9C4D7E09-2DE4-48F2-AD02-A9021CE5A2F1}">
            <x14:dataBar minLength="0" maxLength="100" border="1" negativeBarBorderColorSameAsPositive="0">
              <x14:cfvo type="autoMin"/>
              <x14:cfvo type="autoMax"/>
              <x14:borderColor rgb="FF63C384"/>
              <x14:negativeFillColor rgb="FFFF0000"/>
              <x14:negativeBorderColor rgb="FFFF0000"/>
              <x14:axisColor rgb="FF000000"/>
            </x14:dataBar>
          </x14:cfRule>
          <xm:sqref>Z841</xm:sqref>
        </x14:conditionalFormatting>
        <x14:conditionalFormatting xmlns:xm="http://schemas.microsoft.com/office/excel/2006/main">
          <x14:cfRule type="dataBar" id="{BD321A4C-15CF-4F47-BE11-C8C9D6C966D5}">
            <x14:dataBar minLength="0" maxLength="100" border="1" negativeBarBorderColorSameAsPositive="0">
              <x14:cfvo type="autoMin"/>
              <x14:cfvo type="autoMax"/>
              <x14:borderColor rgb="FF63C384"/>
              <x14:negativeFillColor rgb="FFFF0000"/>
              <x14:negativeBorderColor rgb="FFFF0000"/>
              <x14:axisColor rgb="FF000000"/>
            </x14:dataBar>
          </x14:cfRule>
          <xm:sqref>Z841</xm:sqref>
        </x14:conditionalFormatting>
        <x14:conditionalFormatting xmlns:xm="http://schemas.microsoft.com/office/excel/2006/main">
          <x14:cfRule type="dataBar" id="{7D79CB5C-E156-403B-AFF1-E2A800D0EA4F}">
            <x14:dataBar minLength="0" maxLength="100" border="1" negativeBarBorderColorSameAsPositive="0">
              <x14:cfvo type="autoMin"/>
              <x14:cfvo type="autoMax"/>
              <x14:borderColor rgb="FF63C384"/>
              <x14:negativeFillColor rgb="FFFF0000"/>
              <x14:negativeBorderColor rgb="FFFF0000"/>
              <x14:axisColor rgb="FF000000"/>
            </x14:dataBar>
          </x14:cfRule>
          <xm:sqref>Z841</xm:sqref>
        </x14:conditionalFormatting>
        <x14:conditionalFormatting xmlns:xm="http://schemas.microsoft.com/office/excel/2006/main">
          <x14:cfRule type="dataBar" id="{0DE25322-39D9-4B9F-A400-750813ABC55D}">
            <x14:dataBar minLength="0" maxLength="100" border="1" negativeBarBorderColorSameAsPositive="0">
              <x14:cfvo type="autoMin"/>
              <x14:cfvo type="autoMax"/>
              <x14:borderColor rgb="FF63C384"/>
              <x14:negativeFillColor rgb="FFFF0000"/>
              <x14:negativeBorderColor rgb="FFFF0000"/>
              <x14:axisColor rgb="FF000000"/>
            </x14:dataBar>
          </x14:cfRule>
          <xm:sqref>Z841</xm:sqref>
        </x14:conditionalFormatting>
        <x14:conditionalFormatting xmlns:xm="http://schemas.microsoft.com/office/excel/2006/main">
          <x14:cfRule type="dataBar" id="{2A0160B9-FE7B-4F02-A6E3-A5C790E9685D}">
            <x14:dataBar minLength="0" maxLength="100" border="1" negativeBarBorderColorSameAsPositive="0">
              <x14:cfvo type="autoMin"/>
              <x14:cfvo type="autoMax"/>
              <x14:borderColor rgb="FF63C384"/>
              <x14:negativeFillColor rgb="FFFF0000"/>
              <x14:negativeBorderColor rgb="FFFF0000"/>
              <x14:axisColor rgb="FF000000"/>
            </x14:dataBar>
          </x14:cfRule>
          <xm:sqref>Z841</xm:sqref>
        </x14:conditionalFormatting>
        <x14:conditionalFormatting xmlns:xm="http://schemas.microsoft.com/office/excel/2006/main">
          <x14:cfRule type="dataBar" id="{A7A94FDA-5B96-4946-BB87-FC580504045F}">
            <x14:dataBar minLength="0" maxLength="100" border="1" negativeBarBorderColorSameAsPositive="0">
              <x14:cfvo type="autoMin"/>
              <x14:cfvo type="autoMax"/>
              <x14:borderColor rgb="FF63C384"/>
              <x14:negativeFillColor rgb="FFFF0000"/>
              <x14:negativeBorderColor rgb="FFFF0000"/>
              <x14:axisColor rgb="FF000000"/>
            </x14:dataBar>
          </x14:cfRule>
          <xm:sqref>Z843</xm:sqref>
        </x14:conditionalFormatting>
        <x14:conditionalFormatting xmlns:xm="http://schemas.microsoft.com/office/excel/2006/main">
          <x14:cfRule type="dataBar" id="{485CB69E-14E5-424C-92C0-8676AC24C4D4}">
            <x14:dataBar minLength="0" maxLength="100" border="1" negativeBarBorderColorSameAsPositive="0">
              <x14:cfvo type="autoMin"/>
              <x14:cfvo type="autoMax"/>
              <x14:borderColor rgb="FF63C384"/>
              <x14:negativeFillColor rgb="FFFF0000"/>
              <x14:negativeBorderColor rgb="FFFF0000"/>
              <x14:axisColor rgb="FF000000"/>
            </x14:dataBar>
          </x14:cfRule>
          <xm:sqref>Z843</xm:sqref>
        </x14:conditionalFormatting>
        <x14:conditionalFormatting xmlns:xm="http://schemas.microsoft.com/office/excel/2006/main">
          <x14:cfRule type="dataBar" id="{0AFE999D-12CF-47D8-9762-2B5AA8FC7781}">
            <x14:dataBar minLength="0" maxLength="100" border="1" negativeBarBorderColorSameAsPositive="0">
              <x14:cfvo type="autoMin"/>
              <x14:cfvo type="autoMax"/>
              <x14:borderColor rgb="FF63C384"/>
              <x14:negativeFillColor rgb="FFFF0000"/>
              <x14:negativeBorderColor rgb="FFFF0000"/>
              <x14:axisColor rgb="FF000000"/>
            </x14:dataBar>
          </x14:cfRule>
          <xm:sqref>Z844</xm:sqref>
        </x14:conditionalFormatting>
        <x14:conditionalFormatting xmlns:xm="http://schemas.microsoft.com/office/excel/2006/main">
          <x14:cfRule type="dataBar" id="{04F82ECA-7661-4275-8F25-13F62EC5F68D}">
            <x14:dataBar minLength="0" maxLength="100" border="1" negativeBarBorderColorSameAsPositive="0">
              <x14:cfvo type="autoMin"/>
              <x14:cfvo type="autoMax"/>
              <x14:borderColor rgb="FF63C384"/>
              <x14:negativeFillColor rgb="FFFF0000"/>
              <x14:negativeBorderColor rgb="FFFF0000"/>
              <x14:axisColor rgb="FF000000"/>
            </x14:dataBar>
          </x14:cfRule>
          <xm:sqref>Z844</xm:sqref>
        </x14:conditionalFormatting>
        <x14:conditionalFormatting xmlns:xm="http://schemas.microsoft.com/office/excel/2006/main">
          <x14:cfRule type="dataBar" id="{EFAE3856-D103-43B7-91B3-35891ED76AB6}">
            <x14:dataBar minLength="0" maxLength="100" border="1" negativeBarBorderColorSameAsPositive="0">
              <x14:cfvo type="autoMin"/>
              <x14:cfvo type="autoMax"/>
              <x14:borderColor rgb="FF63C384"/>
              <x14:negativeFillColor rgb="FFFF0000"/>
              <x14:negativeBorderColor rgb="FFFF0000"/>
              <x14:axisColor rgb="FF000000"/>
            </x14:dataBar>
          </x14:cfRule>
          <xm:sqref>Z844</xm:sqref>
        </x14:conditionalFormatting>
        <x14:conditionalFormatting xmlns:xm="http://schemas.microsoft.com/office/excel/2006/main">
          <x14:cfRule type="dataBar" id="{95465E36-2C84-4AFF-82EB-C12EE13754F6}">
            <x14:dataBar minLength="0" maxLength="100" border="1" negativeBarBorderColorSameAsPositive="0">
              <x14:cfvo type="autoMin"/>
              <x14:cfvo type="autoMax"/>
              <x14:borderColor rgb="FF63C384"/>
              <x14:negativeFillColor rgb="FFFF0000"/>
              <x14:negativeBorderColor rgb="FFFF0000"/>
              <x14:axisColor rgb="FF000000"/>
            </x14:dataBar>
          </x14:cfRule>
          <xm:sqref>Z844</xm:sqref>
        </x14:conditionalFormatting>
        <x14:conditionalFormatting xmlns:xm="http://schemas.microsoft.com/office/excel/2006/main">
          <x14:cfRule type="dataBar" id="{1CDFF151-11FA-4851-809D-FD03166534AA}">
            <x14:dataBar minLength="0" maxLength="100" border="1" negativeBarBorderColorSameAsPositive="0">
              <x14:cfvo type="autoMin"/>
              <x14:cfvo type="autoMax"/>
              <x14:borderColor rgb="FF63C384"/>
              <x14:negativeFillColor rgb="FFFF0000"/>
              <x14:negativeBorderColor rgb="FFFF0000"/>
              <x14:axisColor rgb="FF000000"/>
            </x14:dataBar>
          </x14:cfRule>
          <xm:sqref>Z845</xm:sqref>
        </x14:conditionalFormatting>
        <x14:conditionalFormatting xmlns:xm="http://schemas.microsoft.com/office/excel/2006/main">
          <x14:cfRule type="dataBar" id="{C5C959C0-E910-4910-A7A6-62AD4B197C1F}">
            <x14:dataBar minLength="0" maxLength="100" border="1" negativeBarBorderColorSameAsPositive="0">
              <x14:cfvo type="autoMin"/>
              <x14:cfvo type="autoMax"/>
              <x14:borderColor rgb="FF63C384"/>
              <x14:negativeFillColor rgb="FFFF0000"/>
              <x14:negativeBorderColor rgb="FFFF0000"/>
              <x14:axisColor rgb="FF000000"/>
            </x14:dataBar>
          </x14:cfRule>
          <xm:sqref>Z845</xm:sqref>
        </x14:conditionalFormatting>
        <x14:conditionalFormatting xmlns:xm="http://schemas.microsoft.com/office/excel/2006/main">
          <x14:cfRule type="dataBar" id="{29FA942C-8359-4BEF-AAA6-2CB0F51FC4D5}">
            <x14:dataBar minLength="0" maxLength="100" border="1" negativeBarBorderColorSameAsPositive="0">
              <x14:cfvo type="autoMin"/>
              <x14:cfvo type="autoMax"/>
              <x14:borderColor rgb="FF63C384"/>
              <x14:negativeFillColor rgb="FFFF0000"/>
              <x14:negativeBorderColor rgb="FFFF0000"/>
              <x14:axisColor rgb="FF000000"/>
            </x14:dataBar>
          </x14:cfRule>
          <xm:sqref>Z845</xm:sqref>
        </x14:conditionalFormatting>
        <x14:conditionalFormatting xmlns:xm="http://schemas.microsoft.com/office/excel/2006/main">
          <x14:cfRule type="dataBar" id="{69768B18-0A8C-4A96-A977-C111003DF61D}">
            <x14:dataBar minLength="0" maxLength="100" border="1" negativeBarBorderColorSameAsPositive="0">
              <x14:cfvo type="autoMin"/>
              <x14:cfvo type="autoMax"/>
              <x14:borderColor rgb="FF63C384"/>
              <x14:negativeFillColor rgb="FFFF0000"/>
              <x14:negativeBorderColor rgb="FFFF0000"/>
              <x14:axisColor rgb="FF000000"/>
            </x14:dataBar>
          </x14:cfRule>
          <xm:sqref>Z845</xm:sqref>
        </x14:conditionalFormatting>
        <x14:conditionalFormatting xmlns:xm="http://schemas.microsoft.com/office/excel/2006/main">
          <x14:cfRule type="dataBar" id="{98E01E16-B3D4-47ED-984B-F05FE560F51D}">
            <x14:dataBar minLength="0" maxLength="100" border="1" negativeBarBorderColorSameAsPositive="0">
              <x14:cfvo type="autoMin"/>
              <x14:cfvo type="autoMax"/>
              <x14:borderColor rgb="FF63C384"/>
              <x14:negativeFillColor rgb="FFFF0000"/>
              <x14:negativeBorderColor rgb="FFFF0000"/>
              <x14:axisColor rgb="FF000000"/>
            </x14:dataBar>
          </x14:cfRule>
          <xm:sqref>Z846:Z847</xm:sqref>
        </x14:conditionalFormatting>
        <x14:conditionalFormatting xmlns:xm="http://schemas.microsoft.com/office/excel/2006/main">
          <x14:cfRule type="dataBar" id="{69C9D07E-3E2A-4E93-B1D0-91EBEA84230E}">
            <x14:dataBar minLength="0" maxLength="100" border="1" negativeBarBorderColorSameAsPositive="0">
              <x14:cfvo type="autoMin"/>
              <x14:cfvo type="autoMax"/>
              <x14:borderColor rgb="FF63C384"/>
              <x14:negativeFillColor rgb="FFFF0000"/>
              <x14:negativeBorderColor rgb="FFFF0000"/>
              <x14:axisColor rgb="FF000000"/>
            </x14:dataBar>
          </x14:cfRule>
          <xm:sqref>Z846:Z847</xm:sqref>
        </x14:conditionalFormatting>
        <x14:conditionalFormatting xmlns:xm="http://schemas.microsoft.com/office/excel/2006/main">
          <x14:cfRule type="dataBar" id="{BCA0D30A-5391-4F5A-93F7-24C6E42252C9}">
            <x14:dataBar minLength="0" maxLength="100" border="1" negativeBarBorderColorSameAsPositive="0">
              <x14:cfvo type="autoMin"/>
              <x14:cfvo type="autoMax"/>
              <x14:borderColor rgb="FF63C384"/>
              <x14:negativeFillColor rgb="FFFF0000"/>
              <x14:negativeBorderColor rgb="FFFF0000"/>
              <x14:axisColor rgb="FF000000"/>
            </x14:dataBar>
          </x14:cfRule>
          <xm:sqref>Z846:Z847</xm:sqref>
        </x14:conditionalFormatting>
        <x14:conditionalFormatting xmlns:xm="http://schemas.microsoft.com/office/excel/2006/main">
          <x14:cfRule type="dataBar" id="{A9080E39-B282-4B53-9A53-F43A02281166}">
            <x14:dataBar minLength="0" maxLength="100" border="1" negativeBarBorderColorSameAsPositive="0">
              <x14:cfvo type="autoMin"/>
              <x14:cfvo type="autoMax"/>
              <x14:borderColor rgb="FF63C384"/>
              <x14:negativeFillColor rgb="FFFF0000"/>
              <x14:negativeBorderColor rgb="FFFF0000"/>
              <x14:axisColor rgb="FF000000"/>
            </x14:dataBar>
          </x14:cfRule>
          <xm:sqref>Z846:Z847</xm:sqref>
        </x14:conditionalFormatting>
        <x14:conditionalFormatting xmlns:xm="http://schemas.microsoft.com/office/excel/2006/main">
          <x14:cfRule type="dataBar" id="{4EC77F17-B369-487D-B283-D83E512BEF49}">
            <x14:dataBar minLength="0" maxLength="100" border="1" negativeBarBorderColorSameAsPositive="0">
              <x14:cfvo type="autoMin"/>
              <x14:cfvo type="autoMax"/>
              <x14:borderColor rgb="FF63C384"/>
              <x14:negativeFillColor rgb="FFFF0000"/>
              <x14:negativeBorderColor rgb="FFFF0000"/>
              <x14:axisColor rgb="FF000000"/>
            </x14:dataBar>
          </x14:cfRule>
          <xm:sqref>Z846:Z847</xm:sqref>
        </x14:conditionalFormatting>
        <x14:conditionalFormatting xmlns:xm="http://schemas.microsoft.com/office/excel/2006/main">
          <x14:cfRule type="dataBar" id="{E5C7BB92-7EF0-4359-9C8A-28B5C70A3F46}">
            <x14:dataBar minLength="0" maxLength="100" border="1" negativeBarBorderColorSameAsPositive="0">
              <x14:cfvo type="autoMin"/>
              <x14:cfvo type="autoMax"/>
              <x14:borderColor rgb="FF63C384"/>
              <x14:negativeFillColor rgb="FFFF0000"/>
              <x14:negativeBorderColor rgb="FFFF0000"/>
              <x14:axisColor rgb="FF000000"/>
            </x14:dataBar>
          </x14:cfRule>
          <xm:sqref>Z846:Z847</xm:sqref>
        </x14:conditionalFormatting>
        <x14:conditionalFormatting xmlns:xm="http://schemas.microsoft.com/office/excel/2006/main">
          <x14:cfRule type="dataBar" id="{1F7D4060-E441-4441-97DA-2D042C0637B3}">
            <x14:dataBar minLength="0" maxLength="100" border="1" negativeBarBorderColorSameAsPositive="0">
              <x14:cfvo type="autoMin"/>
              <x14:cfvo type="autoMax"/>
              <x14:borderColor rgb="FF63C384"/>
              <x14:negativeFillColor rgb="FFFF0000"/>
              <x14:negativeBorderColor rgb="FFFF0000"/>
              <x14:axisColor rgb="FF000000"/>
            </x14:dataBar>
          </x14:cfRule>
          <xm:sqref>Z842</xm:sqref>
        </x14:conditionalFormatting>
        <x14:conditionalFormatting xmlns:xm="http://schemas.microsoft.com/office/excel/2006/main">
          <x14:cfRule type="dataBar" id="{7C248D0F-E2E5-4566-86CD-8A5100DBA290}">
            <x14:dataBar minLength="0" maxLength="100" border="1" negativeBarBorderColorSameAsPositive="0">
              <x14:cfvo type="autoMin"/>
              <x14:cfvo type="autoMax"/>
              <x14:borderColor rgb="FF63C384"/>
              <x14:negativeFillColor rgb="FFFF0000"/>
              <x14:negativeBorderColor rgb="FFFF0000"/>
              <x14:axisColor rgb="FF000000"/>
            </x14:dataBar>
          </x14:cfRule>
          <xm:sqref>Z842</xm:sqref>
        </x14:conditionalFormatting>
        <x14:conditionalFormatting xmlns:xm="http://schemas.microsoft.com/office/excel/2006/main">
          <x14:cfRule type="dataBar" id="{FBF2B214-FBAD-4FAE-A258-F0241C65DFF3}">
            <x14:dataBar minLength="0" maxLength="100" border="1" negativeBarBorderColorSameAsPositive="0">
              <x14:cfvo type="autoMin"/>
              <x14:cfvo type="autoMax"/>
              <x14:borderColor rgb="FF63C384"/>
              <x14:negativeFillColor rgb="FFFF0000"/>
              <x14:negativeBorderColor rgb="FFFF0000"/>
              <x14:axisColor rgb="FF000000"/>
            </x14:dataBar>
          </x14:cfRule>
          <xm:sqref>Z842</xm:sqref>
        </x14:conditionalFormatting>
        <x14:conditionalFormatting xmlns:xm="http://schemas.microsoft.com/office/excel/2006/main">
          <x14:cfRule type="dataBar" id="{17E4B6D0-5372-4EC6-BA9E-DA680E6014CD}">
            <x14:dataBar minLength="0" maxLength="100" border="1" negativeBarBorderColorSameAsPositive="0">
              <x14:cfvo type="autoMin"/>
              <x14:cfvo type="autoMax"/>
              <x14:borderColor rgb="FF63C384"/>
              <x14:negativeFillColor rgb="FFFF0000"/>
              <x14:negativeBorderColor rgb="FFFF0000"/>
              <x14:axisColor rgb="FF000000"/>
            </x14:dataBar>
          </x14:cfRule>
          <xm:sqref>Z842</xm:sqref>
        </x14:conditionalFormatting>
        <x14:conditionalFormatting xmlns:xm="http://schemas.microsoft.com/office/excel/2006/main">
          <x14:cfRule type="dataBar" id="{93756DE7-26B7-43C6-B859-A1C4E996EBEA}">
            <x14:dataBar minLength="0" maxLength="100" border="1" negativeBarBorderColorSameAsPositive="0">
              <x14:cfvo type="autoMin"/>
              <x14:cfvo type="autoMax"/>
              <x14:borderColor rgb="FF63C384"/>
              <x14:negativeFillColor rgb="FFFF0000"/>
              <x14:negativeBorderColor rgb="FFFF0000"/>
              <x14:axisColor rgb="FF000000"/>
            </x14:dataBar>
          </x14:cfRule>
          <xm:sqref>Z848</xm:sqref>
        </x14:conditionalFormatting>
        <x14:conditionalFormatting xmlns:xm="http://schemas.microsoft.com/office/excel/2006/main">
          <x14:cfRule type="dataBar" id="{34952C3E-D2D0-432D-A463-E705713660DC}">
            <x14:dataBar minLength="0" maxLength="100" border="1" negativeBarBorderColorSameAsPositive="0">
              <x14:cfvo type="autoMin"/>
              <x14:cfvo type="autoMax"/>
              <x14:borderColor rgb="FF63C384"/>
              <x14:negativeFillColor rgb="FFFF0000"/>
              <x14:negativeBorderColor rgb="FFFF0000"/>
              <x14:axisColor rgb="FF000000"/>
            </x14:dataBar>
          </x14:cfRule>
          <xm:sqref>Z848</xm:sqref>
        </x14:conditionalFormatting>
        <x14:conditionalFormatting xmlns:xm="http://schemas.microsoft.com/office/excel/2006/main">
          <x14:cfRule type="dataBar" id="{0EF8D363-A683-47DE-A762-6037C4AC1F3D}">
            <x14:dataBar minLength="0" maxLength="100" border="1" negativeBarBorderColorSameAsPositive="0">
              <x14:cfvo type="autoMin"/>
              <x14:cfvo type="autoMax"/>
              <x14:borderColor rgb="FF63C384"/>
              <x14:negativeFillColor rgb="FFFF0000"/>
              <x14:negativeBorderColor rgb="FFFF0000"/>
              <x14:axisColor rgb="FF000000"/>
            </x14:dataBar>
          </x14:cfRule>
          <xm:sqref>Z848</xm:sqref>
        </x14:conditionalFormatting>
        <x14:conditionalFormatting xmlns:xm="http://schemas.microsoft.com/office/excel/2006/main">
          <x14:cfRule type="dataBar" id="{257058C4-0342-4B84-8721-748102F828CA}">
            <x14:dataBar minLength="0" maxLength="100" border="1" negativeBarBorderColorSameAsPositive="0">
              <x14:cfvo type="autoMin"/>
              <x14:cfvo type="autoMax"/>
              <x14:borderColor rgb="FF63C384"/>
              <x14:negativeFillColor rgb="FFFF0000"/>
              <x14:negativeBorderColor rgb="FFFF0000"/>
              <x14:axisColor rgb="FF000000"/>
            </x14:dataBar>
          </x14:cfRule>
          <xm:sqref>Z848</xm:sqref>
        </x14:conditionalFormatting>
        <x14:conditionalFormatting xmlns:xm="http://schemas.microsoft.com/office/excel/2006/main">
          <x14:cfRule type="dataBar" id="{DD1A99E7-380F-452C-B9C3-DEC443DBDAB3}">
            <x14:dataBar minLength="0" maxLength="100" border="1" negativeBarBorderColorSameAsPositive="0">
              <x14:cfvo type="autoMin"/>
              <x14:cfvo type="autoMax"/>
              <x14:borderColor rgb="FF63C384"/>
              <x14:negativeFillColor rgb="FFFF0000"/>
              <x14:negativeBorderColor rgb="FFFF0000"/>
              <x14:axisColor rgb="FF000000"/>
            </x14:dataBar>
          </x14:cfRule>
          <xm:sqref>Z849</xm:sqref>
        </x14:conditionalFormatting>
        <x14:conditionalFormatting xmlns:xm="http://schemas.microsoft.com/office/excel/2006/main">
          <x14:cfRule type="dataBar" id="{4739C9F9-EA33-4E27-8A7D-F01A03E912CE}">
            <x14:dataBar minLength="0" maxLength="100" border="1" negativeBarBorderColorSameAsPositive="0">
              <x14:cfvo type="autoMin"/>
              <x14:cfvo type="autoMax"/>
              <x14:borderColor rgb="FF63C384"/>
              <x14:negativeFillColor rgb="FFFF0000"/>
              <x14:negativeBorderColor rgb="FFFF0000"/>
              <x14:axisColor rgb="FF000000"/>
            </x14:dataBar>
          </x14:cfRule>
          <xm:sqref>Z849</xm:sqref>
        </x14:conditionalFormatting>
        <x14:conditionalFormatting xmlns:xm="http://schemas.microsoft.com/office/excel/2006/main">
          <x14:cfRule type="dataBar" id="{121DB077-5982-4680-BA5B-BE641102BA8D}">
            <x14:dataBar minLength="0" maxLength="100" border="1" negativeBarBorderColorSameAsPositive="0">
              <x14:cfvo type="autoMin"/>
              <x14:cfvo type="autoMax"/>
              <x14:borderColor rgb="FF63C384"/>
              <x14:negativeFillColor rgb="FFFF0000"/>
              <x14:negativeBorderColor rgb="FFFF0000"/>
              <x14:axisColor rgb="FF000000"/>
            </x14:dataBar>
          </x14:cfRule>
          <xm:sqref>Z849</xm:sqref>
        </x14:conditionalFormatting>
        <x14:conditionalFormatting xmlns:xm="http://schemas.microsoft.com/office/excel/2006/main">
          <x14:cfRule type="dataBar" id="{8E6E6F11-3E7A-4F2F-8841-16F65BF74E2F}">
            <x14:dataBar minLength="0" maxLength="100" border="1" negativeBarBorderColorSameAsPositive="0">
              <x14:cfvo type="autoMin"/>
              <x14:cfvo type="autoMax"/>
              <x14:borderColor rgb="FF63C384"/>
              <x14:negativeFillColor rgb="FFFF0000"/>
              <x14:negativeBorderColor rgb="FFFF0000"/>
              <x14:axisColor rgb="FF000000"/>
            </x14:dataBar>
          </x14:cfRule>
          <xm:sqref>Z849</xm:sqref>
        </x14:conditionalFormatting>
        <x14:conditionalFormatting xmlns:xm="http://schemas.microsoft.com/office/excel/2006/main">
          <x14:cfRule type="dataBar" id="{7AF20B6E-85D2-418C-BF76-0D4E9D8BF8C0}">
            <x14:dataBar minLength="0" maxLength="100" border="1" negativeBarBorderColorSameAsPositive="0">
              <x14:cfvo type="autoMin"/>
              <x14:cfvo type="autoMax"/>
              <x14:borderColor rgb="FF63C384"/>
              <x14:negativeFillColor rgb="FFFF0000"/>
              <x14:negativeBorderColor rgb="FFFF0000"/>
              <x14:axisColor rgb="FF000000"/>
            </x14:dataBar>
          </x14:cfRule>
          <xm:sqref>Z850</xm:sqref>
        </x14:conditionalFormatting>
        <x14:conditionalFormatting xmlns:xm="http://schemas.microsoft.com/office/excel/2006/main">
          <x14:cfRule type="dataBar" id="{45023191-6473-4A19-AC4D-63610C6041DF}">
            <x14:dataBar minLength="0" maxLength="100" border="1" negativeBarBorderColorSameAsPositive="0">
              <x14:cfvo type="autoMin"/>
              <x14:cfvo type="autoMax"/>
              <x14:borderColor rgb="FF63C384"/>
              <x14:negativeFillColor rgb="FFFF0000"/>
              <x14:negativeBorderColor rgb="FFFF0000"/>
              <x14:axisColor rgb="FF000000"/>
            </x14:dataBar>
          </x14:cfRule>
          <xm:sqref>Z850</xm:sqref>
        </x14:conditionalFormatting>
        <x14:conditionalFormatting xmlns:xm="http://schemas.microsoft.com/office/excel/2006/main">
          <x14:cfRule type="dataBar" id="{A3D86D87-6592-4217-9636-3CF5C67AF182}">
            <x14:dataBar minLength="0" maxLength="100" border="1" negativeBarBorderColorSameAsPositive="0">
              <x14:cfvo type="autoMin"/>
              <x14:cfvo type="autoMax"/>
              <x14:borderColor rgb="FF63C384"/>
              <x14:negativeFillColor rgb="FFFF0000"/>
              <x14:negativeBorderColor rgb="FFFF0000"/>
              <x14:axisColor rgb="FF000000"/>
            </x14:dataBar>
          </x14:cfRule>
          <xm:sqref>Z851</xm:sqref>
        </x14:conditionalFormatting>
        <x14:conditionalFormatting xmlns:xm="http://schemas.microsoft.com/office/excel/2006/main">
          <x14:cfRule type="dataBar" id="{EB41E929-1192-4ABD-9EE7-58C34C3D8C6E}">
            <x14:dataBar minLength="0" maxLength="100" border="1" negativeBarBorderColorSameAsPositive="0">
              <x14:cfvo type="autoMin"/>
              <x14:cfvo type="autoMax"/>
              <x14:borderColor rgb="FF63C384"/>
              <x14:negativeFillColor rgb="FFFF0000"/>
              <x14:negativeBorderColor rgb="FFFF0000"/>
              <x14:axisColor rgb="FF000000"/>
            </x14:dataBar>
          </x14:cfRule>
          <xm:sqref>Z851</xm:sqref>
        </x14:conditionalFormatting>
        <x14:conditionalFormatting xmlns:xm="http://schemas.microsoft.com/office/excel/2006/main">
          <x14:cfRule type="dataBar" id="{68E5F617-56B8-4581-A00F-925A133BEB6F}">
            <x14:dataBar minLength="0" maxLength="100" border="1" negativeBarBorderColorSameAsPositive="0">
              <x14:cfvo type="autoMin"/>
              <x14:cfvo type="autoMax"/>
              <x14:borderColor rgb="FF63C384"/>
              <x14:negativeFillColor rgb="FFFF0000"/>
              <x14:negativeBorderColor rgb="FFFF0000"/>
              <x14:axisColor rgb="FF000000"/>
            </x14:dataBar>
          </x14:cfRule>
          <xm:sqref>Z852</xm:sqref>
        </x14:conditionalFormatting>
        <x14:conditionalFormatting xmlns:xm="http://schemas.microsoft.com/office/excel/2006/main">
          <x14:cfRule type="dataBar" id="{0C64F455-8ED7-4C11-BB71-F0908F59EF08}">
            <x14:dataBar minLength="0" maxLength="100" border="1" negativeBarBorderColorSameAsPositive="0">
              <x14:cfvo type="autoMin"/>
              <x14:cfvo type="autoMax"/>
              <x14:borderColor rgb="FF63C384"/>
              <x14:negativeFillColor rgb="FFFF0000"/>
              <x14:negativeBorderColor rgb="FFFF0000"/>
              <x14:axisColor rgb="FF000000"/>
            </x14:dataBar>
          </x14:cfRule>
          <xm:sqref>Z852</xm:sqref>
        </x14:conditionalFormatting>
        <x14:conditionalFormatting xmlns:xm="http://schemas.microsoft.com/office/excel/2006/main">
          <x14:cfRule type="dataBar" id="{E4521439-151A-4F63-B28C-1EA10E6B178B}">
            <x14:dataBar minLength="0" maxLength="100" border="1" negativeBarBorderColorSameAsPositive="0">
              <x14:cfvo type="autoMin"/>
              <x14:cfvo type="autoMax"/>
              <x14:borderColor rgb="FF63C384"/>
              <x14:negativeFillColor rgb="FFFF0000"/>
              <x14:negativeBorderColor rgb="FFFF0000"/>
              <x14:axisColor rgb="FF000000"/>
            </x14:dataBar>
          </x14:cfRule>
          <xm:sqref>Z853</xm:sqref>
        </x14:conditionalFormatting>
        <x14:conditionalFormatting xmlns:xm="http://schemas.microsoft.com/office/excel/2006/main">
          <x14:cfRule type="dataBar" id="{DFE175CC-33A2-494D-A8FE-698FAEDBDBD9}">
            <x14:dataBar minLength="0" maxLength="100" border="1" negativeBarBorderColorSameAsPositive="0">
              <x14:cfvo type="autoMin"/>
              <x14:cfvo type="autoMax"/>
              <x14:borderColor rgb="FF63C384"/>
              <x14:negativeFillColor rgb="FFFF0000"/>
              <x14:negativeBorderColor rgb="FFFF0000"/>
              <x14:axisColor rgb="FF000000"/>
            </x14:dataBar>
          </x14:cfRule>
          <xm:sqref>Z853</xm:sqref>
        </x14:conditionalFormatting>
        <x14:conditionalFormatting xmlns:xm="http://schemas.microsoft.com/office/excel/2006/main">
          <x14:cfRule type="dataBar" id="{D5DE4852-DD67-424E-8BC3-989092DEFBC7}">
            <x14:dataBar minLength="0" maxLength="100" border="1" negativeBarBorderColorSameAsPositive="0">
              <x14:cfvo type="autoMin"/>
              <x14:cfvo type="autoMax"/>
              <x14:borderColor rgb="FF63C384"/>
              <x14:negativeFillColor rgb="FFFF0000"/>
              <x14:negativeBorderColor rgb="FFFF0000"/>
              <x14:axisColor rgb="FF000000"/>
            </x14:dataBar>
          </x14:cfRule>
          <xm:sqref>Z854</xm:sqref>
        </x14:conditionalFormatting>
        <x14:conditionalFormatting xmlns:xm="http://schemas.microsoft.com/office/excel/2006/main">
          <x14:cfRule type="dataBar" id="{4C99B578-B76F-4A5B-A072-1EA1AF58E0F7}">
            <x14:dataBar minLength="0" maxLength="100" border="1" negativeBarBorderColorSameAsPositive="0">
              <x14:cfvo type="autoMin"/>
              <x14:cfvo type="autoMax"/>
              <x14:borderColor rgb="FF63C384"/>
              <x14:negativeFillColor rgb="FFFF0000"/>
              <x14:negativeBorderColor rgb="FFFF0000"/>
              <x14:axisColor rgb="FF000000"/>
            </x14:dataBar>
          </x14:cfRule>
          <xm:sqref>Z854</xm:sqref>
        </x14:conditionalFormatting>
        <x14:conditionalFormatting xmlns:xm="http://schemas.microsoft.com/office/excel/2006/main">
          <x14:cfRule type="dataBar" id="{DA23CB67-F2F7-4BFD-8AEA-6B527EFE3612}">
            <x14:dataBar minLength="0" maxLength="100" border="1" negativeBarBorderColorSameAsPositive="0">
              <x14:cfvo type="autoMin"/>
              <x14:cfvo type="autoMax"/>
              <x14:borderColor rgb="FF63C384"/>
              <x14:negativeFillColor rgb="FFFF0000"/>
              <x14:negativeBorderColor rgb="FFFF0000"/>
              <x14:axisColor rgb="FF000000"/>
            </x14:dataBar>
          </x14:cfRule>
          <xm:sqref>Z854</xm:sqref>
        </x14:conditionalFormatting>
        <x14:conditionalFormatting xmlns:xm="http://schemas.microsoft.com/office/excel/2006/main">
          <x14:cfRule type="dataBar" id="{792E4A19-C9ED-49F8-AC8E-862B5C4B8771}">
            <x14:dataBar minLength="0" maxLength="100" border="1" negativeBarBorderColorSameAsPositive="0">
              <x14:cfvo type="autoMin"/>
              <x14:cfvo type="autoMax"/>
              <x14:borderColor rgb="FF63C384"/>
              <x14:negativeFillColor rgb="FFFF0000"/>
              <x14:negativeBorderColor rgb="FFFF0000"/>
              <x14:axisColor rgb="FF000000"/>
            </x14:dataBar>
          </x14:cfRule>
          <xm:sqref>Z854</xm:sqref>
        </x14:conditionalFormatting>
        <x14:conditionalFormatting xmlns:xm="http://schemas.microsoft.com/office/excel/2006/main">
          <x14:cfRule type="dataBar" id="{C8F5D773-A45C-4850-9BB9-5DFDD6273DF1}">
            <x14:dataBar minLength="0" maxLength="100" border="1" negativeBarBorderColorSameAsPositive="0">
              <x14:cfvo type="autoMin"/>
              <x14:cfvo type="autoMax"/>
              <x14:borderColor rgb="FF63C384"/>
              <x14:negativeFillColor rgb="FFFF0000"/>
              <x14:negativeBorderColor rgb="FFFF0000"/>
              <x14:axisColor rgb="FF000000"/>
            </x14:dataBar>
          </x14:cfRule>
          <xm:sqref>Z855</xm:sqref>
        </x14:conditionalFormatting>
        <x14:conditionalFormatting xmlns:xm="http://schemas.microsoft.com/office/excel/2006/main">
          <x14:cfRule type="dataBar" id="{E165BB43-2055-4AB2-B5BA-B3A4C0DCCED7}">
            <x14:dataBar minLength="0" maxLength="100" border="1" negativeBarBorderColorSameAsPositive="0">
              <x14:cfvo type="autoMin"/>
              <x14:cfvo type="autoMax"/>
              <x14:borderColor rgb="FF63C384"/>
              <x14:negativeFillColor rgb="FFFF0000"/>
              <x14:negativeBorderColor rgb="FFFF0000"/>
              <x14:axisColor rgb="FF000000"/>
            </x14:dataBar>
          </x14:cfRule>
          <xm:sqref>Z855</xm:sqref>
        </x14:conditionalFormatting>
        <x14:conditionalFormatting xmlns:xm="http://schemas.microsoft.com/office/excel/2006/main">
          <x14:cfRule type="dataBar" id="{239144C7-B92E-4FBC-8BCA-4F7DEDC1C249}">
            <x14:dataBar minLength="0" maxLength="100" border="1" negativeBarBorderColorSameAsPositive="0">
              <x14:cfvo type="autoMin"/>
              <x14:cfvo type="autoMax"/>
              <x14:borderColor rgb="FF63C384"/>
              <x14:negativeFillColor rgb="FFFF0000"/>
              <x14:negativeBorderColor rgb="FFFF0000"/>
              <x14:axisColor rgb="FF000000"/>
            </x14:dataBar>
          </x14:cfRule>
          <xm:sqref>Z856</xm:sqref>
        </x14:conditionalFormatting>
        <x14:conditionalFormatting xmlns:xm="http://schemas.microsoft.com/office/excel/2006/main">
          <x14:cfRule type="dataBar" id="{C2EA3590-8D23-4C57-847A-DB97ECA64ED7}">
            <x14:dataBar minLength="0" maxLength="100" border="1" negativeBarBorderColorSameAsPositive="0">
              <x14:cfvo type="autoMin"/>
              <x14:cfvo type="autoMax"/>
              <x14:borderColor rgb="FF63C384"/>
              <x14:negativeFillColor rgb="FFFF0000"/>
              <x14:negativeBorderColor rgb="FFFF0000"/>
              <x14:axisColor rgb="FF000000"/>
            </x14:dataBar>
          </x14:cfRule>
          <xm:sqref>Z856</xm:sqref>
        </x14:conditionalFormatting>
        <x14:conditionalFormatting xmlns:xm="http://schemas.microsoft.com/office/excel/2006/main">
          <x14:cfRule type="dataBar" id="{E14DC479-74C3-4F18-A056-AFFE89FCA70F}">
            <x14:dataBar minLength="0" maxLength="100" border="1" negativeBarBorderColorSameAsPositive="0">
              <x14:cfvo type="autoMin"/>
              <x14:cfvo type="autoMax"/>
              <x14:borderColor rgb="FF63C384"/>
              <x14:negativeFillColor rgb="FFFF0000"/>
              <x14:negativeBorderColor rgb="FFFF0000"/>
              <x14:axisColor rgb="FF000000"/>
            </x14:dataBar>
          </x14:cfRule>
          <xm:sqref>Z856</xm:sqref>
        </x14:conditionalFormatting>
        <x14:conditionalFormatting xmlns:xm="http://schemas.microsoft.com/office/excel/2006/main">
          <x14:cfRule type="dataBar" id="{CB5C2867-9BFE-4877-8218-CDFDFAC09EF9}">
            <x14:dataBar minLength="0" maxLength="100" border="1" negativeBarBorderColorSameAsPositive="0">
              <x14:cfvo type="autoMin"/>
              <x14:cfvo type="autoMax"/>
              <x14:borderColor rgb="FF63C384"/>
              <x14:negativeFillColor rgb="FFFF0000"/>
              <x14:negativeBorderColor rgb="FFFF0000"/>
              <x14:axisColor rgb="FF000000"/>
            </x14:dataBar>
          </x14:cfRule>
          <xm:sqref>Z856</xm:sqref>
        </x14:conditionalFormatting>
        <x14:conditionalFormatting xmlns:xm="http://schemas.microsoft.com/office/excel/2006/main">
          <x14:cfRule type="dataBar" id="{5722DDB9-C698-4806-A14A-073C506D1E3E}">
            <x14:dataBar minLength="0" maxLength="100" border="1" negativeBarBorderColorSameAsPositive="0">
              <x14:cfvo type="autoMin"/>
              <x14:cfvo type="autoMax"/>
              <x14:borderColor rgb="FF63C384"/>
              <x14:negativeFillColor rgb="FFFF0000"/>
              <x14:negativeBorderColor rgb="FFFF0000"/>
              <x14:axisColor rgb="FF000000"/>
            </x14:dataBar>
          </x14:cfRule>
          <xm:sqref>Z856</xm:sqref>
        </x14:conditionalFormatting>
        <x14:conditionalFormatting xmlns:xm="http://schemas.microsoft.com/office/excel/2006/main">
          <x14:cfRule type="dataBar" id="{AFF400FB-DD99-4B25-ADF7-58DD6B6794B0}">
            <x14:dataBar minLength="0" maxLength="100" border="1" negativeBarBorderColorSameAsPositive="0">
              <x14:cfvo type="autoMin"/>
              <x14:cfvo type="autoMax"/>
              <x14:borderColor rgb="FF63C384"/>
              <x14:negativeFillColor rgb="FFFF0000"/>
              <x14:negativeBorderColor rgb="FFFF0000"/>
              <x14:axisColor rgb="FF000000"/>
            </x14:dataBar>
          </x14:cfRule>
          <xm:sqref>Z856</xm:sqref>
        </x14:conditionalFormatting>
        <x14:conditionalFormatting xmlns:xm="http://schemas.microsoft.com/office/excel/2006/main">
          <x14:cfRule type="dataBar" id="{B25AA470-8444-40C9-92D5-2F91101FF741}">
            <x14:dataBar minLength="0" maxLength="100" border="1" negativeBarBorderColorSameAsPositive="0">
              <x14:cfvo type="autoMin"/>
              <x14:cfvo type="autoMax"/>
              <x14:borderColor rgb="FF63C384"/>
              <x14:negativeFillColor rgb="FFFF0000"/>
              <x14:negativeBorderColor rgb="FFFF0000"/>
              <x14:axisColor rgb="FF000000"/>
            </x14:dataBar>
          </x14:cfRule>
          <xm:sqref>Z856</xm:sqref>
        </x14:conditionalFormatting>
        <x14:conditionalFormatting xmlns:xm="http://schemas.microsoft.com/office/excel/2006/main">
          <x14:cfRule type="dataBar" id="{A1D782DC-E3B0-4E6E-99AB-65881F226268}">
            <x14:dataBar minLength="0" maxLength="100" border="1" negativeBarBorderColorSameAsPositive="0">
              <x14:cfvo type="autoMin"/>
              <x14:cfvo type="autoMax"/>
              <x14:borderColor rgb="FF63C384"/>
              <x14:negativeFillColor rgb="FFFF0000"/>
              <x14:negativeBorderColor rgb="FFFF0000"/>
              <x14:axisColor rgb="FF000000"/>
            </x14:dataBar>
          </x14:cfRule>
          <xm:sqref>Z856</xm:sqref>
        </x14:conditionalFormatting>
        <x14:conditionalFormatting xmlns:xm="http://schemas.microsoft.com/office/excel/2006/main">
          <x14:cfRule type="dataBar" id="{28D9F9C8-9E22-42CE-A766-CFC1DD215F27}">
            <x14:dataBar minLength="0" maxLength="100" border="1" negativeBarBorderColorSameAsPositive="0">
              <x14:cfvo type="autoMin"/>
              <x14:cfvo type="autoMax"/>
              <x14:borderColor rgb="FF63C384"/>
              <x14:negativeFillColor rgb="FFFF0000"/>
              <x14:negativeBorderColor rgb="FFFF0000"/>
              <x14:axisColor rgb="FF000000"/>
            </x14:dataBar>
          </x14:cfRule>
          <xm:sqref>Z857:Z858</xm:sqref>
        </x14:conditionalFormatting>
        <x14:conditionalFormatting xmlns:xm="http://schemas.microsoft.com/office/excel/2006/main">
          <x14:cfRule type="dataBar" id="{3ABB1F62-4BC9-4150-99B3-27015CD0ED13}">
            <x14:dataBar minLength="0" maxLength="100" border="1" negativeBarBorderColorSameAsPositive="0">
              <x14:cfvo type="autoMin"/>
              <x14:cfvo type="autoMax"/>
              <x14:borderColor rgb="FF63C384"/>
              <x14:negativeFillColor rgb="FFFF0000"/>
              <x14:negativeBorderColor rgb="FFFF0000"/>
              <x14:axisColor rgb="FF000000"/>
            </x14:dataBar>
          </x14:cfRule>
          <xm:sqref>Z857:Z858</xm:sqref>
        </x14:conditionalFormatting>
        <x14:conditionalFormatting xmlns:xm="http://schemas.microsoft.com/office/excel/2006/main">
          <x14:cfRule type="dataBar" id="{0C58A91C-4F34-4F87-9713-7D8DA4945927}">
            <x14:dataBar minLength="0" maxLength="100" border="1" negativeBarBorderColorSameAsPositive="0">
              <x14:cfvo type="autoMin"/>
              <x14:cfvo type="autoMax"/>
              <x14:borderColor rgb="FF63C384"/>
              <x14:negativeFillColor rgb="FFFF0000"/>
              <x14:negativeBorderColor rgb="FFFF0000"/>
              <x14:axisColor rgb="FF000000"/>
            </x14:dataBar>
          </x14:cfRule>
          <xm:sqref>Z857:Z858</xm:sqref>
        </x14:conditionalFormatting>
        <x14:conditionalFormatting xmlns:xm="http://schemas.microsoft.com/office/excel/2006/main">
          <x14:cfRule type="dataBar" id="{201182F8-77A5-4874-B4F0-12156B94858E}">
            <x14:dataBar minLength="0" maxLength="100" border="1" negativeBarBorderColorSameAsPositive="0">
              <x14:cfvo type="autoMin"/>
              <x14:cfvo type="autoMax"/>
              <x14:borderColor rgb="FF63C384"/>
              <x14:negativeFillColor rgb="FFFF0000"/>
              <x14:negativeBorderColor rgb="FFFF0000"/>
              <x14:axisColor rgb="FF000000"/>
            </x14:dataBar>
          </x14:cfRule>
          <xm:sqref>Z857:Z858</xm:sqref>
        </x14:conditionalFormatting>
        <x14:conditionalFormatting xmlns:xm="http://schemas.microsoft.com/office/excel/2006/main">
          <x14:cfRule type="dataBar" id="{59732DA7-E141-4275-AA6B-CE3A9F778F5A}">
            <x14:dataBar minLength="0" maxLength="100" border="1" negativeBarBorderColorSameAsPositive="0">
              <x14:cfvo type="autoMin"/>
              <x14:cfvo type="autoMax"/>
              <x14:borderColor rgb="FF63C384"/>
              <x14:negativeFillColor rgb="FFFF0000"/>
              <x14:negativeBorderColor rgb="FFFF0000"/>
              <x14:axisColor rgb="FF000000"/>
            </x14:dataBar>
          </x14:cfRule>
          <xm:sqref>Z859</xm:sqref>
        </x14:conditionalFormatting>
        <x14:conditionalFormatting xmlns:xm="http://schemas.microsoft.com/office/excel/2006/main">
          <x14:cfRule type="dataBar" id="{4D3A80DE-74FC-4EA2-9F05-8C717CEB14ED}">
            <x14:dataBar minLength="0" maxLength="100" border="1" negativeBarBorderColorSameAsPositive="0">
              <x14:cfvo type="autoMin"/>
              <x14:cfvo type="autoMax"/>
              <x14:borderColor rgb="FF63C384"/>
              <x14:negativeFillColor rgb="FFFF0000"/>
              <x14:negativeBorderColor rgb="FFFF0000"/>
              <x14:axisColor rgb="FF000000"/>
            </x14:dataBar>
          </x14:cfRule>
          <xm:sqref>Z859</xm:sqref>
        </x14:conditionalFormatting>
        <x14:conditionalFormatting xmlns:xm="http://schemas.microsoft.com/office/excel/2006/main">
          <x14:cfRule type="dataBar" id="{B1F5FE57-A327-41FE-BFCC-D4836DB8FD47}">
            <x14:dataBar minLength="0" maxLength="100" border="1" negativeBarBorderColorSameAsPositive="0">
              <x14:cfvo type="autoMin"/>
              <x14:cfvo type="autoMax"/>
              <x14:borderColor rgb="FF63C384"/>
              <x14:negativeFillColor rgb="FFFF0000"/>
              <x14:negativeBorderColor rgb="FFFF0000"/>
              <x14:axisColor rgb="FF000000"/>
            </x14:dataBar>
          </x14:cfRule>
          <xm:sqref>Z859</xm:sqref>
        </x14:conditionalFormatting>
        <x14:conditionalFormatting xmlns:xm="http://schemas.microsoft.com/office/excel/2006/main">
          <x14:cfRule type="dataBar" id="{A8CD8A60-4972-465E-B883-2FB8F23E4915}">
            <x14:dataBar minLength="0" maxLength="100" border="1" negativeBarBorderColorSameAsPositive="0">
              <x14:cfvo type="autoMin"/>
              <x14:cfvo type="autoMax"/>
              <x14:borderColor rgb="FF63C384"/>
              <x14:negativeFillColor rgb="FFFF0000"/>
              <x14:negativeBorderColor rgb="FFFF0000"/>
              <x14:axisColor rgb="FF000000"/>
            </x14:dataBar>
          </x14:cfRule>
          <xm:sqref>Z859</xm:sqref>
        </x14:conditionalFormatting>
        <x14:conditionalFormatting xmlns:xm="http://schemas.microsoft.com/office/excel/2006/main">
          <x14:cfRule type="dataBar" id="{717AD125-3564-47C3-9E32-3A98439DC2DF}">
            <x14:dataBar minLength="0" maxLength="100" border="1" negativeBarBorderColorSameAsPositive="0">
              <x14:cfvo type="autoMin"/>
              <x14:cfvo type="autoMax"/>
              <x14:borderColor rgb="FF63C384"/>
              <x14:negativeFillColor rgb="FFFF0000"/>
              <x14:negativeBorderColor rgb="FFFF0000"/>
              <x14:axisColor rgb="FF000000"/>
            </x14:dataBar>
          </x14:cfRule>
          <xm:sqref>Z860</xm:sqref>
        </x14:conditionalFormatting>
        <x14:conditionalFormatting xmlns:xm="http://schemas.microsoft.com/office/excel/2006/main">
          <x14:cfRule type="dataBar" id="{7C97F01D-0481-4BC4-9667-6B8F7C00E974}">
            <x14:dataBar minLength="0" maxLength="100" border="1" negativeBarBorderColorSameAsPositive="0">
              <x14:cfvo type="autoMin"/>
              <x14:cfvo type="autoMax"/>
              <x14:borderColor rgb="FF63C384"/>
              <x14:negativeFillColor rgb="FFFF0000"/>
              <x14:negativeBorderColor rgb="FFFF0000"/>
              <x14:axisColor rgb="FF000000"/>
            </x14:dataBar>
          </x14:cfRule>
          <xm:sqref>Z860</xm:sqref>
        </x14:conditionalFormatting>
        <x14:conditionalFormatting xmlns:xm="http://schemas.microsoft.com/office/excel/2006/main">
          <x14:cfRule type="dataBar" id="{C7B5EA4F-85A2-432E-B712-D565764A4064}">
            <x14:dataBar minLength="0" maxLength="100" border="1" negativeBarBorderColorSameAsPositive="0">
              <x14:cfvo type="autoMin"/>
              <x14:cfvo type="autoMax"/>
              <x14:borderColor rgb="FF63C384"/>
              <x14:negativeFillColor rgb="FFFF0000"/>
              <x14:negativeBorderColor rgb="FFFF0000"/>
              <x14:axisColor rgb="FF000000"/>
            </x14:dataBar>
          </x14:cfRule>
          <xm:sqref>Z860</xm:sqref>
        </x14:conditionalFormatting>
        <x14:conditionalFormatting xmlns:xm="http://schemas.microsoft.com/office/excel/2006/main">
          <x14:cfRule type="dataBar" id="{7A0911AD-EE65-48A1-90C5-6173F03B497B}">
            <x14:dataBar minLength="0" maxLength="100" border="1" negativeBarBorderColorSameAsPositive="0">
              <x14:cfvo type="autoMin"/>
              <x14:cfvo type="autoMax"/>
              <x14:borderColor rgb="FF63C384"/>
              <x14:negativeFillColor rgb="FFFF0000"/>
              <x14:negativeBorderColor rgb="FFFF0000"/>
              <x14:axisColor rgb="FF000000"/>
            </x14:dataBar>
          </x14:cfRule>
          <xm:sqref>Z860</xm:sqref>
        </x14:conditionalFormatting>
        <x14:conditionalFormatting xmlns:xm="http://schemas.microsoft.com/office/excel/2006/main">
          <x14:cfRule type="dataBar" id="{94CF9C29-C1F3-47FD-B7F2-4D5B05E8311B}">
            <x14:dataBar minLength="0" maxLength="100" border="1" negativeBarBorderColorSameAsPositive="0">
              <x14:cfvo type="autoMin"/>
              <x14:cfvo type="autoMax"/>
              <x14:borderColor rgb="FF63C384"/>
              <x14:negativeFillColor rgb="FFFF0000"/>
              <x14:negativeBorderColor rgb="FFFF0000"/>
              <x14:axisColor rgb="FF000000"/>
            </x14:dataBar>
          </x14:cfRule>
          <xm:sqref>Z861</xm:sqref>
        </x14:conditionalFormatting>
        <x14:conditionalFormatting xmlns:xm="http://schemas.microsoft.com/office/excel/2006/main">
          <x14:cfRule type="dataBar" id="{07DA3207-FB28-4E8A-B8A8-F9952228DEAA}">
            <x14:dataBar minLength="0" maxLength="100" border="1" negativeBarBorderColorSameAsPositive="0">
              <x14:cfvo type="autoMin"/>
              <x14:cfvo type="autoMax"/>
              <x14:borderColor rgb="FF63C384"/>
              <x14:negativeFillColor rgb="FFFF0000"/>
              <x14:negativeBorderColor rgb="FFFF0000"/>
              <x14:axisColor rgb="FF000000"/>
            </x14:dataBar>
          </x14:cfRule>
          <xm:sqref>Z861</xm:sqref>
        </x14:conditionalFormatting>
        <x14:conditionalFormatting xmlns:xm="http://schemas.microsoft.com/office/excel/2006/main">
          <x14:cfRule type="dataBar" id="{30D2F34C-EEE7-46A1-A35A-35A9B49B0861}">
            <x14:dataBar minLength="0" maxLength="100" border="1" negativeBarBorderColorSameAsPositive="0">
              <x14:cfvo type="autoMin"/>
              <x14:cfvo type="autoMax"/>
              <x14:borderColor rgb="FF63C384"/>
              <x14:negativeFillColor rgb="FFFF0000"/>
              <x14:negativeBorderColor rgb="FFFF0000"/>
              <x14:axisColor rgb="FF000000"/>
            </x14:dataBar>
          </x14:cfRule>
          <xm:sqref>Z862</xm:sqref>
        </x14:conditionalFormatting>
        <x14:conditionalFormatting xmlns:xm="http://schemas.microsoft.com/office/excel/2006/main">
          <x14:cfRule type="dataBar" id="{036A3B4D-7057-4935-8D4C-BDAB82789347}">
            <x14:dataBar minLength="0" maxLength="100" border="1" negativeBarBorderColorSameAsPositive="0">
              <x14:cfvo type="autoMin"/>
              <x14:cfvo type="autoMax"/>
              <x14:borderColor rgb="FF63C384"/>
              <x14:negativeFillColor rgb="FFFF0000"/>
              <x14:negativeBorderColor rgb="FFFF0000"/>
              <x14:axisColor rgb="FF000000"/>
            </x14:dataBar>
          </x14:cfRule>
          <xm:sqref>Z862</xm:sqref>
        </x14:conditionalFormatting>
        <x14:conditionalFormatting xmlns:xm="http://schemas.microsoft.com/office/excel/2006/main">
          <x14:cfRule type="dataBar" id="{3D8EBCA4-24E8-4251-9785-44E5242A4F55}">
            <x14:dataBar minLength="0" maxLength="100" border="1" negativeBarBorderColorSameAsPositive="0">
              <x14:cfvo type="autoMin"/>
              <x14:cfvo type="autoMax"/>
              <x14:borderColor rgb="FF63C384"/>
              <x14:negativeFillColor rgb="FFFF0000"/>
              <x14:negativeBorderColor rgb="FFFF0000"/>
              <x14:axisColor rgb="FF000000"/>
            </x14:dataBar>
          </x14:cfRule>
          <xm:sqref>Z862</xm:sqref>
        </x14:conditionalFormatting>
        <x14:conditionalFormatting xmlns:xm="http://schemas.microsoft.com/office/excel/2006/main">
          <x14:cfRule type="dataBar" id="{C0B27122-AF89-47FE-A0DC-07E3BC7F59B6}">
            <x14:dataBar minLength="0" maxLength="100" border="1" negativeBarBorderColorSameAsPositive="0">
              <x14:cfvo type="autoMin"/>
              <x14:cfvo type="autoMax"/>
              <x14:borderColor rgb="FF63C384"/>
              <x14:negativeFillColor rgb="FFFF0000"/>
              <x14:negativeBorderColor rgb="FFFF0000"/>
              <x14:axisColor rgb="FF000000"/>
            </x14:dataBar>
          </x14:cfRule>
          <xm:sqref>Z862</xm:sqref>
        </x14:conditionalFormatting>
        <x14:conditionalFormatting xmlns:xm="http://schemas.microsoft.com/office/excel/2006/main">
          <x14:cfRule type="dataBar" id="{FD820356-970D-4AC7-8BD2-7D73E3F8CD95}">
            <x14:dataBar minLength="0" maxLength="100" border="1" negativeBarBorderColorSameAsPositive="0">
              <x14:cfvo type="autoMin"/>
              <x14:cfvo type="autoMax"/>
              <x14:borderColor rgb="FF63C384"/>
              <x14:negativeFillColor rgb="FFFF0000"/>
              <x14:negativeBorderColor rgb="FFFF0000"/>
              <x14:axisColor rgb="FF000000"/>
            </x14:dataBar>
          </x14:cfRule>
          <xm:sqref>Z862</xm:sqref>
        </x14:conditionalFormatting>
        <x14:conditionalFormatting xmlns:xm="http://schemas.microsoft.com/office/excel/2006/main">
          <x14:cfRule type="dataBar" id="{4C923965-7277-43F4-A464-7474C85A97D6}">
            <x14:dataBar minLength="0" maxLength="100" border="1" negativeBarBorderColorSameAsPositive="0">
              <x14:cfvo type="autoMin"/>
              <x14:cfvo type="autoMax"/>
              <x14:borderColor rgb="FF63C384"/>
              <x14:negativeFillColor rgb="FFFF0000"/>
              <x14:negativeBorderColor rgb="FFFF0000"/>
              <x14:axisColor rgb="FF000000"/>
            </x14:dataBar>
          </x14:cfRule>
          <xm:sqref>Z862</xm:sqref>
        </x14:conditionalFormatting>
        <x14:conditionalFormatting xmlns:xm="http://schemas.microsoft.com/office/excel/2006/main">
          <x14:cfRule type="dataBar" id="{113CFAF2-EEF3-4B5E-B690-A2D5EDB1705F}">
            <x14:dataBar minLength="0" maxLength="100" border="1" negativeBarBorderColorSameAsPositive="0">
              <x14:cfvo type="autoMin"/>
              <x14:cfvo type="autoMax"/>
              <x14:borderColor rgb="FF63C384"/>
              <x14:negativeFillColor rgb="FFFF0000"/>
              <x14:negativeBorderColor rgb="FFFF0000"/>
              <x14:axisColor rgb="FF000000"/>
            </x14:dataBar>
          </x14:cfRule>
          <xm:sqref>Z863</xm:sqref>
        </x14:conditionalFormatting>
        <x14:conditionalFormatting xmlns:xm="http://schemas.microsoft.com/office/excel/2006/main">
          <x14:cfRule type="dataBar" id="{537B2DFD-8A28-4669-82C8-944B3BDEDD75}">
            <x14:dataBar minLength="0" maxLength="100" border="1" negativeBarBorderColorSameAsPositive="0">
              <x14:cfvo type="autoMin"/>
              <x14:cfvo type="autoMax"/>
              <x14:borderColor rgb="FF63C384"/>
              <x14:negativeFillColor rgb="FFFF0000"/>
              <x14:negativeBorderColor rgb="FFFF0000"/>
              <x14:axisColor rgb="FF000000"/>
            </x14:dataBar>
          </x14:cfRule>
          <xm:sqref>Z863</xm:sqref>
        </x14:conditionalFormatting>
        <x14:conditionalFormatting xmlns:xm="http://schemas.microsoft.com/office/excel/2006/main">
          <x14:cfRule type="dataBar" id="{B4F63778-AC0A-4964-939C-2592B40AB82A}">
            <x14:dataBar minLength="0" maxLength="100" border="1" negativeBarBorderColorSameAsPositive="0">
              <x14:cfvo type="autoMin"/>
              <x14:cfvo type="autoMax"/>
              <x14:borderColor rgb="FF63C384"/>
              <x14:negativeFillColor rgb="FFFF0000"/>
              <x14:negativeBorderColor rgb="FFFF0000"/>
              <x14:axisColor rgb="FF000000"/>
            </x14:dataBar>
          </x14:cfRule>
          <xm:sqref>Z864</xm:sqref>
        </x14:conditionalFormatting>
        <x14:conditionalFormatting xmlns:xm="http://schemas.microsoft.com/office/excel/2006/main">
          <x14:cfRule type="dataBar" id="{60CAEEE7-9966-4223-A18B-10E7098217CB}">
            <x14:dataBar minLength="0" maxLength="100" border="1" negativeBarBorderColorSameAsPositive="0">
              <x14:cfvo type="autoMin"/>
              <x14:cfvo type="autoMax"/>
              <x14:borderColor rgb="FF63C384"/>
              <x14:negativeFillColor rgb="FFFF0000"/>
              <x14:negativeBorderColor rgb="FFFF0000"/>
              <x14:axisColor rgb="FF000000"/>
            </x14:dataBar>
          </x14:cfRule>
          <xm:sqref>Z864</xm:sqref>
        </x14:conditionalFormatting>
        <x14:conditionalFormatting xmlns:xm="http://schemas.microsoft.com/office/excel/2006/main">
          <x14:cfRule type="dataBar" id="{A6940A9B-3690-4406-95D7-3106EE75B419}">
            <x14:dataBar minLength="0" maxLength="100" border="1" negativeBarBorderColorSameAsPositive="0">
              <x14:cfvo type="autoMin"/>
              <x14:cfvo type="autoMax"/>
              <x14:borderColor rgb="FF63C384"/>
              <x14:negativeFillColor rgb="FFFF0000"/>
              <x14:negativeBorderColor rgb="FFFF0000"/>
              <x14:axisColor rgb="FF000000"/>
            </x14:dataBar>
          </x14:cfRule>
          <xm:sqref>Z864</xm:sqref>
        </x14:conditionalFormatting>
        <x14:conditionalFormatting xmlns:xm="http://schemas.microsoft.com/office/excel/2006/main">
          <x14:cfRule type="dataBar" id="{CF8E9160-F2DA-4A81-8606-BD622EC0919F}">
            <x14:dataBar minLength="0" maxLength="100" border="1" negativeBarBorderColorSameAsPositive="0">
              <x14:cfvo type="autoMin"/>
              <x14:cfvo type="autoMax"/>
              <x14:borderColor rgb="FF63C384"/>
              <x14:negativeFillColor rgb="FFFF0000"/>
              <x14:negativeBorderColor rgb="FFFF0000"/>
              <x14:axisColor rgb="FF000000"/>
            </x14:dataBar>
          </x14:cfRule>
          <xm:sqref>Z864</xm:sqref>
        </x14:conditionalFormatting>
        <x14:conditionalFormatting xmlns:xm="http://schemas.microsoft.com/office/excel/2006/main">
          <x14:cfRule type="dataBar" id="{FDCC65E3-2CE3-4706-8B88-89406A02C452}">
            <x14:dataBar minLength="0" maxLength="100" border="1" negativeBarBorderColorSameAsPositive="0">
              <x14:cfvo type="autoMin"/>
              <x14:cfvo type="autoMax"/>
              <x14:borderColor rgb="FF63C384"/>
              <x14:negativeFillColor rgb="FFFF0000"/>
              <x14:negativeBorderColor rgb="FFFF0000"/>
              <x14:axisColor rgb="FF000000"/>
            </x14:dataBar>
          </x14:cfRule>
          <xm:sqref>Z865</xm:sqref>
        </x14:conditionalFormatting>
        <x14:conditionalFormatting xmlns:xm="http://schemas.microsoft.com/office/excel/2006/main">
          <x14:cfRule type="dataBar" id="{AADA401A-9CCC-4295-8572-F70090B71324}">
            <x14:dataBar minLength="0" maxLength="100" border="1" negativeBarBorderColorSameAsPositive="0">
              <x14:cfvo type="autoMin"/>
              <x14:cfvo type="autoMax"/>
              <x14:borderColor rgb="FF63C384"/>
              <x14:negativeFillColor rgb="FFFF0000"/>
              <x14:negativeBorderColor rgb="FFFF0000"/>
              <x14:axisColor rgb="FF000000"/>
            </x14:dataBar>
          </x14:cfRule>
          <xm:sqref>Z865</xm:sqref>
        </x14:conditionalFormatting>
        <x14:conditionalFormatting xmlns:xm="http://schemas.microsoft.com/office/excel/2006/main">
          <x14:cfRule type="dataBar" id="{6108E0B8-46A1-4C6C-8BA6-534E037046EB}">
            <x14:dataBar minLength="0" maxLength="100" border="1" negativeBarBorderColorSameAsPositive="0">
              <x14:cfvo type="autoMin"/>
              <x14:cfvo type="autoMax"/>
              <x14:borderColor rgb="FF63C384"/>
              <x14:negativeFillColor rgb="FFFF0000"/>
              <x14:negativeBorderColor rgb="FFFF0000"/>
              <x14:axisColor rgb="FF000000"/>
            </x14:dataBar>
          </x14:cfRule>
          <xm:sqref>Z865</xm:sqref>
        </x14:conditionalFormatting>
        <x14:conditionalFormatting xmlns:xm="http://schemas.microsoft.com/office/excel/2006/main">
          <x14:cfRule type="dataBar" id="{796C8869-5149-4AF0-864F-C3105AA1329C}">
            <x14:dataBar minLength="0" maxLength="100" border="1" negativeBarBorderColorSameAsPositive="0">
              <x14:cfvo type="autoMin"/>
              <x14:cfvo type="autoMax"/>
              <x14:borderColor rgb="FF63C384"/>
              <x14:negativeFillColor rgb="FFFF0000"/>
              <x14:negativeBorderColor rgb="FFFF0000"/>
              <x14:axisColor rgb="FF000000"/>
            </x14:dataBar>
          </x14:cfRule>
          <xm:sqref>Z865</xm:sqref>
        </x14:conditionalFormatting>
        <x14:conditionalFormatting xmlns:xm="http://schemas.microsoft.com/office/excel/2006/main">
          <x14:cfRule type="dataBar" id="{52FC99B3-8CEC-4553-9130-901E5F7908D6}">
            <x14:dataBar minLength="0" maxLength="100" border="1" negativeBarBorderColorSameAsPositive="0">
              <x14:cfvo type="autoMin"/>
              <x14:cfvo type="autoMax"/>
              <x14:borderColor rgb="FF63C384"/>
              <x14:negativeFillColor rgb="FFFF0000"/>
              <x14:negativeBorderColor rgb="FFFF0000"/>
              <x14:axisColor rgb="FF000000"/>
            </x14:dataBar>
          </x14:cfRule>
          <xm:sqref>Z866</xm:sqref>
        </x14:conditionalFormatting>
        <x14:conditionalFormatting xmlns:xm="http://schemas.microsoft.com/office/excel/2006/main">
          <x14:cfRule type="dataBar" id="{0EBED00A-203F-430F-BFF2-929218EEC540}">
            <x14:dataBar minLength="0" maxLength="100" border="1" negativeBarBorderColorSameAsPositive="0">
              <x14:cfvo type="autoMin"/>
              <x14:cfvo type="autoMax"/>
              <x14:borderColor rgb="FF63C384"/>
              <x14:negativeFillColor rgb="FFFF0000"/>
              <x14:negativeBorderColor rgb="FFFF0000"/>
              <x14:axisColor rgb="FF000000"/>
            </x14:dataBar>
          </x14:cfRule>
          <xm:sqref>Z866</xm:sqref>
        </x14:conditionalFormatting>
        <x14:conditionalFormatting xmlns:xm="http://schemas.microsoft.com/office/excel/2006/main">
          <x14:cfRule type="dataBar" id="{0FFA486D-90D6-4519-B546-7DA46B3DD950}">
            <x14:dataBar minLength="0" maxLength="100" border="1" negativeBarBorderColorSameAsPositive="0">
              <x14:cfvo type="autoMin"/>
              <x14:cfvo type="autoMax"/>
              <x14:borderColor rgb="FF63C384"/>
              <x14:negativeFillColor rgb="FFFF0000"/>
              <x14:negativeBorderColor rgb="FFFF0000"/>
              <x14:axisColor rgb="FF000000"/>
            </x14:dataBar>
          </x14:cfRule>
          <xm:sqref>Z866</xm:sqref>
        </x14:conditionalFormatting>
        <x14:conditionalFormatting xmlns:xm="http://schemas.microsoft.com/office/excel/2006/main">
          <x14:cfRule type="dataBar" id="{30DADE6B-5143-4870-92C9-8072EEF7D199}">
            <x14:dataBar minLength="0" maxLength="100" border="1" negativeBarBorderColorSameAsPositive="0">
              <x14:cfvo type="autoMin"/>
              <x14:cfvo type="autoMax"/>
              <x14:borderColor rgb="FF63C384"/>
              <x14:negativeFillColor rgb="FFFF0000"/>
              <x14:negativeBorderColor rgb="FFFF0000"/>
              <x14:axisColor rgb="FF000000"/>
            </x14:dataBar>
          </x14:cfRule>
          <xm:sqref>Z866</xm:sqref>
        </x14:conditionalFormatting>
        <x14:conditionalFormatting xmlns:xm="http://schemas.microsoft.com/office/excel/2006/main">
          <x14:cfRule type="dataBar" id="{012BAA12-0B31-4E86-9C83-2D46B3B2CCF0}">
            <x14:dataBar minLength="0" maxLength="100" border="1" negativeBarBorderColorSameAsPositive="0">
              <x14:cfvo type="autoMin"/>
              <x14:cfvo type="autoMax"/>
              <x14:borderColor rgb="FF63C384"/>
              <x14:negativeFillColor rgb="FFFF0000"/>
              <x14:negativeBorderColor rgb="FFFF0000"/>
              <x14:axisColor rgb="FF000000"/>
            </x14:dataBar>
          </x14:cfRule>
          <xm:sqref>Z867</xm:sqref>
        </x14:conditionalFormatting>
        <x14:conditionalFormatting xmlns:xm="http://schemas.microsoft.com/office/excel/2006/main">
          <x14:cfRule type="dataBar" id="{4EF90B01-3923-4D46-9D2E-C4CA255CE47E}">
            <x14:dataBar minLength="0" maxLength="100" border="1" negativeBarBorderColorSameAsPositive="0">
              <x14:cfvo type="autoMin"/>
              <x14:cfvo type="autoMax"/>
              <x14:borderColor rgb="FF63C384"/>
              <x14:negativeFillColor rgb="FFFF0000"/>
              <x14:negativeBorderColor rgb="FFFF0000"/>
              <x14:axisColor rgb="FF000000"/>
            </x14:dataBar>
          </x14:cfRule>
          <xm:sqref>Z867</xm:sqref>
        </x14:conditionalFormatting>
        <x14:conditionalFormatting xmlns:xm="http://schemas.microsoft.com/office/excel/2006/main">
          <x14:cfRule type="dataBar" id="{F25CDCE5-13BD-4B33-889B-2F7D0EA61591}">
            <x14:dataBar minLength="0" maxLength="100" border="1" negativeBarBorderColorSameAsPositive="0">
              <x14:cfvo type="autoMin"/>
              <x14:cfvo type="autoMax"/>
              <x14:borderColor rgb="FF63C384"/>
              <x14:negativeFillColor rgb="FFFF0000"/>
              <x14:negativeBorderColor rgb="FFFF0000"/>
              <x14:axisColor rgb="FF000000"/>
            </x14:dataBar>
          </x14:cfRule>
          <xm:sqref>Z868</xm:sqref>
        </x14:conditionalFormatting>
        <x14:conditionalFormatting xmlns:xm="http://schemas.microsoft.com/office/excel/2006/main">
          <x14:cfRule type="dataBar" id="{3D89CD9B-2E2D-444A-B6D6-AC754B0BB085}">
            <x14:dataBar minLength="0" maxLength="100" border="1" negativeBarBorderColorSameAsPositive="0">
              <x14:cfvo type="autoMin"/>
              <x14:cfvo type="autoMax"/>
              <x14:borderColor rgb="FF63C384"/>
              <x14:negativeFillColor rgb="FFFF0000"/>
              <x14:negativeBorderColor rgb="FFFF0000"/>
              <x14:axisColor rgb="FF000000"/>
            </x14:dataBar>
          </x14:cfRule>
          <xm:sqref>Z868</xm:sqref>
        </x14:conditionalFormatting>
        <x14:conditionalFormatting xmlns:xm="http://schemas.microsoft.com/office/excel/2006/main">
          <x14:cfRule type="dataBar" id="{35B1CBBC-A770-4770-9C92-DCF245963343}">
            <x14:dataBar minLength="0" maxLength="100" border="1" negativeBarBorderColorSameAsPositive="0">
              <x14:cfvo type="autoMin"/>
              <x14:cfvo type="autoMax"/>
              <x14:borderColor rgb="FF63C384"/>
              <x14:negativeFillColor rgb="FFFF0000"/>
              <x14:negativeBorderColor rgb="FFFF0000"/>
              <x14:axisColor rgb="FF000000"/>
            </x14:dataBar>
          </x14:cfRule>
          <xm:sqref>Z869:Z873</xm:sqref>
        </x14:conditionalFormatting>
        <x14:conditionalFormatting xmlns:xm="http://schemas.microsoft.com/office/excel/2006/main">
          <x14:cfRule type="dataBar" id="{55EAE034-ABF3-47BE-9C79-47DFAE2A7D5B}">
            <x14:dataBar minLength="0" maxLength="100" border="1" negativeBarBorderColorSameAsPositive="0">
              <x14:cfvo type="autoMin"/>
              <x14:cfvo type="autoMax"/>
              <x14:borderColor rgb="FF63C384"/>
              <x14:negativeFillColor rgb="FFFF0000"/>
              <x14:negativeBorderColor rgb="FFFF0000"/>
              <x14:axisColor rgb="FF000000"/>
            </x14:dataBar>
          </x14:cfRule>
          <xm:sqref>Z869:Z873</xm:sqref>
        </x14:conditionalFormatting>
        <x14:conditionalFormatting xmlns:xm="http://schemas.microsoft.com/office/excel/2006/main">
          <x14:cfRule type="dataBar" id="{E0DCB229-CC67-47B5-BAE4-71015B00B500}">
            <x14:dataBar minLength="0" maxLength="100" border="1" negativeBarBorderColorSameAsPositive="0">
              <x14:cfvo type="autoMin"/>
              <x14:cfvo type="autoMax"/>
              <x14:borderColor rgb="FF63C384"/>
              <x14:negativeFillColor rgb="FFFF0000"/>
              <x14:negativeBorderColor rgb="FFFF0000"/>
              <x14:axisColor rgb="FF000000"/>
            </x14:dataBar>
          </x14:cfRule>
          <xm:sqref>Z875</xm:sqref>
        </x14:conditionalFormatting>
        <x14:conditionalFormatting xmlns:xm="http://schemas.microsoft.com/office/excel/2006/main">
          <x14:cfRule type="dataBar" id="{3286EA5F-0FD5-4707-8526-E18DEFFAE56D}">
            <x14:dataBar minLength="0" maxLength="100" border="1" negativeBarBorderColorSameAsPositive="0">
              <x14:cfvo type="autoMin"/>
              <x14:cfvo type="autoMax"/>
              <x14:borderColor rgb="FF63C384"/>
              <x14:negativeFillColor rgb="FFFF0000"/>
              <x14:negativeBorderColor rgb="FFFF0000"/>
              <x14:axisColor rgb="FF000000"/>
            </x14:dataBar>
          </x14:cfRule>
          <xm:sqref>Z875</xm:sqref>
        </x14:conditionalFormatting>
        <x14:conditionalFormatting xmlns:xm="http://schemas.microsoft.com/office/excel/2006/main">
          <x14:cfRule type="dataBar" id="{47A83B23-7BBA-4AD9-B940-FD973D083AA8}">
            <x14:dataBar minLength="0" maxLength="100" border="1" negativeBarBorderColorSameAsPositive="0">
              <x14:cfvo type="autoMin"/>
              <x14:cfvo type="autoMax"/>
              <x14:borderColor rgb="FF63C384"/>
              <x14:negativeFillColor rgb="FFFF0000"/>
              <x14:negativeBorderColor rgb="FFFF0000"/>
              <x14:axisColor rgb="FF000000"/>
            </x14:dataBar>
          </x14:cfRule>
          <xm:sqref>Z875</xm:sqref>
        </x14:conditionalFormatting>
        <x14:conditionalFormatting xmlns:xm="http://schemas.microsoft.com/office/excel/2006/main">
          <x14:cfRule type="dataBar" id="{D12EE58B-3C1C-41DE-A509-75BACD0EBB35}">
            <x14:dataBar minLength="0" maxLength="100" border="1" negativeBarBorderColorSameAsPositive="0">
              <x14:cfvo type="autoMin"/>
              <x14:cfvo type="autoMax"/>
              <x14:borderColor rgb="FF63C384"/>
              <x14:negativeFillColor rgb="FFFF0000"/>
              <x14:negativeBorderColor rgb="FFFF0000"/>
              <x14:axisColor rgb="FF000000"/>
            </x14:dataBar>
          </x14:cfRule>
          <xm:sqref>Z875</xm:sqref>
        </x14:conditionalFormatting>
        <x14:conditionalFormatting xmlns:xm="http://schemas.microsoft.com/office/excel/2006/main">
          <x14:cfRule type="dataBar" id="{005622EF-D2A5-4D82-A1D8-429CC2154513}">
            <x14:dataBar minLength="0" maxLength="100" border="1" negativeBarBorderColorSameAsPositive="0">
              <x14:cfvo type="autoMin"/>
              <x14:cfvo type="autoMax"/>
              <x14:borderColor rgb="FF63C384"/>
              <x14:negativeFillColor rgb="FFFF0000"/>
              <x14:negativeBorderColor rgb="FFFF0000"/>
              <x14:axisColor rgb="FF000000"/>
            </x14:dataBar>
          </x14:cfRule>
          <xm:sqref>Z876</xm:sqref>
        </x14:conditionalFormatting>
        <x14:conditionalFormatting xmlns:xm="http://schemas.microsoft.com/office/excel/2006/main">
          <x14:cfRule type="dataBar" id="{1E37634A-1832-4F64-8A8B-D03951E064B2}">
            <x14:dataBar minLength="0" maxLength="100" border="1" negativeBarBorderColorSameAsPositive="0">
              <x14:cfvo type="autoMin"/>
              <x14:cfvo type="autoMax"/>
              <x14:borderColor rgb="FF63C384"/>
              <x14:negativeFillColor rgb="FFFF0000"/>
              <x14:negativeBorderColor rgb="FFFF0000"/>
              <x14:axisColor rgb="FF000000"/>
            </x14:dataBar>
          </x14:cfRule>
          <xm:sqref>Z876</xm:sqref>
        </x14:conditionalFormatting>
        <x14:conditionalFormatting xmlns:xm="http://schemas.microsoft.com/office/excel/2006/main">
          <x14:cfRule type="dataBar" id="{69F75EC6-D861-4705-AF51-B501624B0005}">
            <x14:dataBar minLength="0" maxLength="100" border="1" negativeBarBorderColorSameAsPositive="0">
              <x14:cfvo type="autoMin"/>
              <x14:cfvo type="autoMax"/>
              <x14:borderColor rgb="FF63C384"/>
              <x14:negativeFillColor rgb="FFFF0000"/>
              <x14:negativeBorderColor rgb="FFFF0000"/>
              <x14:axisColor rgb="FF000000"/>
            </x14:dataBar>
          </x14:cfRule>
          <xm:sqref>Z877</xm:sqref>
        </x14:conditionalFormatting>
        <x14:conditionalFormatting xmlns:xm="http://schemas.microsoft.com/office/excel/2006/main">
          <x14:cfRule type="dataBar" id="{8EC5ED43-0D64-4AD4-8FB7-8A9C23289BCA}">
            <x14:dataBar minLength="0" maxLength="100" border="1" negativeBarBorderColorSameAsPositive="0">
              <x14:cfvo type="autoMin"/>
              <x14:cfvo type="autoMax"/>
              <x14:borderColor rgb="FF63C384"/>
              <x14:negativeFillColor rgb="FFFF0000"/>
              <x14:negativeBorderColor rgb="FFFF0000"/>
              <x14:axisColor rgb="FF000000"/>
            </x14:dataBar>
          </x14:cfRule>
          <xm:sqref>Z877</xm:sqref>
        </x14:conditionalFormatting>
        <x14:conditionalFormatting xmlns:xm="http://schemas.microsoft.com/office/excel/2006/main">
          <x14:cfRule type="dataBar" id="{0F17CB90-2295-4283-B370-E4AD6C27054D}">
            <x14:dataBar minLength="0" maxLength="100" border="1" negativeBarBorderColorSameAsPositive="0">
              <x14:cfvo type="autoMin"/>
              <x14:cfvo type="autoMax"/>
              <x14:borderColor rgb="FF63C384"/>
              <x14:negativeFillColor rgb="FFFF0000"/>
              <x14:negativeBorderColor rgb="FFFF0000"/>
              <x14:axisColor rgb="FF000000"/>
            </x14:dataBar>
          </x14:cfRule>
          <xm:sqref>Z878</xm:sqref>
        </x14:conditionalFormatting>
        <x14:conditionalFormatting xmlns:xm="http://schemas.microsoft.com/office/excel/2006/main">
          <x14:cfRule type="dataBar" id="{683E37B3-3696-4F89-BA41-EC54C9DE5E5E}">
            <x14:dataBar minLength="0" maxLength="100" border="1" negativeBarBorderColorSameAsPositive="0">
              <x14:cfvo type="autoMin"/>
              <x14:cfvo type="autoMax"/>
              <x14:borderColor rgb="FF63C384"/>
              <x14:negativeFillColor rgb="FFFF0000"/>
              <x14:negativeBorderColor rgb="FFFF0000"/>
              <x14:axisColor rgb="FF000000"/>
            </x14:dataBar>
          </x14:cfRule>
          <xm:sqref>Z878</xm:sqref>
        </x14:conditionalFormatting>
        <x14:conditionalFormatting xmlns:xm="http://schemas.microsoft.com/office/excel/2006/main">
          <x14:cfRule type="dataBar" id="{E516D7D9-6B57-4AE0-A98C-1972FF40A9FE}">
            <x14:dataBar minLength="0" maxLength="100" border="1" negativeBarBorderColorSameAsPositive="0">
              <x14:cfvo type="autoMin"/>
              <x14:cfvo type="autoMax"/>
              <x14:borderColor rgb="FF63C384"/>
              <x14:negativeFillColor rgb="FFFF0000"/>
              <x14:negativeBorderColor rgb="FFFF0000"/>
              <x14:axisColor rgb="FF000000"/>
            </x14:dataBar>
          </x14:cfRule>
          <xm:sqref>Z879</xm:sqref>
        </x14:conditionalFormatting>
        <x14:conditionalFormatting xmlns:xm="http://schemas.microsoft.com/office/excel/2006/main">
          <x14:cfRule type="dataBar" id="{E04B4864-FF34-4CE5-834E-295AAD3EBF89}">
            <x14:dataBar minLength="0" maxLength="100" border="1" negativeBarBorderColorSameAsPositive="0">
              <x14:cfvo type="autoMin"/>
              <x14:cfvo type="autoMax"/>
              <x14:borderColor rgb="FF63C384"/>
              <x14:negativeFillColor rgb="FFFF0000"/>
              <x14:negativeBorderColor rgb="FFFF0000"/>
              <x14:axisColor rgb="FF000000"/>
            </x14:dataBar>
          </x14:cfRule>
          <xm:sqref>Z879</xm:sqref>
        </x14:conditionalFormatting>
        <x14:conditionalFormatting xmlns:xm="http://schemas.microsoft.com/office/excel/2006/main">
          <x14:cfRule type="dataBar" id="{279BEFBC-E2F5-4268-BA92-B8A09C3AB1B9}">
            <x14:dataBar minLength="0" maxLength="100" border="1" negativeBarBorderColorSameAsPositive="0">
              <x14:cfvo type="autoMin"/>
              <x14:cfvo type="autoMax"/>
              <x14:borderColor rgb="FF63C384"/>
              <x14:negativeFillColor rgb="FFFF0000"/>
              <x14:negativeBorderColor rgb="FFFF0000"/>
              <x14:axisColor rgb="FF000000"/>
            </x14:dataBar>
          </x14:cfRule>
          <xm:sqref>Z879</xm:sqref>
        </x14:conditionalFormatting>
        <x14:conditionalFormatting xmlns:xm="http://schemas.microsoft.com/office/excel/2006/main">
          <x14:cfRule type="dataBar" id="{A7163E2D-EBF1-4AA2-A537-10039FBFDF03}">
            <x14:dataBar minLength="0" maxLength="100" border="1" negativeBarBorderColorSameAsPositive="0">
              <x14:cfvo type="autoMin"/>
              <x14:cfvo type="autoMax"/>
              <x14:borderColor rgb="FF63C384"/>
              <x14:negativeFillColor rgb="FFFF0000"/>
              <x14:negativeBorderColor rgb="FFFF0000"/>
              <x14:axisColor rgb="FF000000"/>
            </x14:dataBar>
          </x14:cfRule>
          <xm:sqref>Z879</xm:sqref>
        </x14:conditionalFormatting>
        <x14:conditionalFormatting xmlns:xm="http://schemas.microsoft.com/office/excel/2006/main">
          <x14:cfRule type="dataBar" id="{741F5E54-28F7-45BA-B5B2-60453191FC7D}">
            <x14:dataBar minLength="0" maxLength="100" border="1" negativeBarBorderColorSameAsPositive="0">
              <x14:cfvo type="autoMin"/>
              <x14:cfvo type="autoMax"/>
              <x14:borderColor rgb="FF63C384"/>
              <x14:negativeFillColor rgb="FFFF0000"/>
              <x14:negativeBorderColor rgb="FFFF0000"/>
              <x14:axisColor rgb="FF000000"/>
            </x14:dataBar>
          </x14:cfRule>
          <xm:sqref>Z880</xm:sqref>
        </x14:conditionalFormatting>
        <x14:conditionalFormatting xmlns:xm="http://schemas.microsoft.com/office/excel/2006/main">
          <x14:cfRule type="dataBar" id="{79331C6D-56E9-49BF-8828-B145BC3A9BD3}">
            <x14:dataBar minLength="0" maxLength="100" border="1" negativeBarBorderColorSameAsPositive="0">
              <x14:cfvo type="autoMin"/>
              <x14:cfvo type="autoMax"/>
              <x14:borderColor rgb="FF63C384"/>
              <x14:negativeFillColor rgb="FFFF0000"/>
              <x14:negativeBorderColor rgb="FFFF0000"/>
              <x14:axisColor rgb="FF000000"/>
            </x14:dataBar>
          </x14:cfRule>
          <xm:sqref>Z880</xm:sqref>
        </x14:conditionalFormatting>
        <x14:conditionalFormatting xmlns:xm="http://schemas.microsoft.com/office/excel/2006/main">
          <x14:cfRule type="dataBar" id="{1784F201-0A73-4B22-B386-63E03A2908AD}">
            <x14:dataBar minLength="0" maxLength="100" border="1" negativeBarBorderColorSameAsPositive="0">
              <x14:cfvo type="autoMin"/>
              <x14:cfvo type="autoMax"/>
              <x14:borderColor rgb="FF63C384"/>
              <x14:negativeFillColor rgb="FFFF0000"/>
              <x14:negativeBorderColor rgb="FFFF0000"/>
              <x14:axisColor rgb="FF000000"/>
            </x14:dataBar>
          </x14:cfRule>
          <xm:sqref>Z880</xm:sqref>
        </x14:conditionalFormatting>
        <x14:conditionalFormatting xmlns:xm="http://schemas.microsoft.com/office/excel/2006/main">
          <x14:cfRule type="dataBar" id="{48577363-DB5C-4F4C-AD11-71DDA77CDEC9}">
            <x14:dataBar minLength="0" maxLength="100" border="1" negativeBarBorderColorSameAsPositive="0">
              <x14:cfvo type="autoMin"/>
              <x14:cfvo type="autoMax"/>
              <x14:borderColor rgb="FF63C384"/>
              <x14:negativeFillColor rgb="FFFF0000"/>
              <x14:negativeBorderColor rgb="FFFF0000"/>
              <x14:axisColor rgb="FF000000"/>
            </x14:dataBar>
          </x14:cfRule>
          <xm:sqref>Z880</xm:sqref>
        </x14:conditionalFormatting>
        <x14:conditionalFormatting xmlns:xm="http://schemas.microsoft.com/office/excel/2006/main">
          <x14:cfRule type="dataBar" id="{E8DA14A3-CB9F-46C6-B65F-F752DD4E68EC}">
            <x14:dataBar minLength="0" maxLength="100" border="1" negativeBarBorderColorSameAsPositive="0">
              <x14:cfvo type="autoMin"/>
              <x14:cfvo type="autoMax"/>
              <x14:borderColor rgb="FF63C384"/>
              <x14:negativeFillColor rgb="FFFF0000"/>
              <x14:negativeBorderColor rgb="FFFF0000"/>
              <x14:axisColor rgb="FF000000"/>
            </x14:dataBar>
          </x14:cfRule>
          <xm:sqref>Z880</xm:sqref>
        </x14:conditionalFormatting>
        <x14:conditionalFormatting xmlns:xm="http://schemas.microsoft.com/office/excel/2006/main">
          <x14:cfRule type="dataBar" id="{029AEA36-32F3-4AAD-9FB2-0860AB3E1660}">
            <x14:dataBar minLength="0" maxLength="100" border="1" negativeBarBorderColorSameAsPositive="0">
              <x14:cfvo type="autoMin"/>
              <x14:cfvo type="autoMax"/>
              <x14:borderColor rgb="FF63C384"/>
              <x14:negativeFillColor rgb="FFFF0000"/>
              <x14:negativeBorderColor rgb="FFFF0000"/>
              <x14:axisColor rgb="FF000000"/>
            </x14:dataBar>
          </x14:cfRule>
          <xm:sqref>Z880</xm:sqref>
        </x14:conditionalFormatting>
        <x14:conditionalFormatting xmlns:xm="http://schemas.microsoft.com/office/excel/2006/main">
          <x14:cfRule type="dataBar" id="{C9232948-18C5-42DB-99FB-8EC50001FCA8}">
            <x14:dataBar minLength="0" maxLength="100" border="1" negativeBarBorderColorSameAsPositive="0">
              <x14:cfvo type="autoMin"/>
              <x14:cfvo type="autoMax"/>
              <x14:borderColor rgb="FF63C384"/>
              <x14:negativeFillColor rgb="FFFF0000"/>
              <x14:negativeBorderColor rgb="FFFF0000"/>
              <x14:axisColor rgb="FF000000"/>
            </x14:dataBar>
          </x14:cfRule>
          <xm:sqref>Z880</xm:sqref>
        </x14:conditionalFormatting>
        <x14:conditionalFormatting xmlns:xm="http://schemas.microsoft.com/office/excel/2006/main">
          <x14:cfRule type="dataBar" id="{CA0B5C58-BC16-4145-BB3B-C46451665262}">
            <x14:dataBar minLength="0" maxLength="100" border="1" negativeBarBorderColorSameAsPositive="0">
              <x14:cfvo type="autoMin"/>
              <x14:cfvo type="autoMax"/>
              <x14:borderColor rgb="FF63C384"/>
              <x14:negativeFillColor rgb="FFFF0000"/>
              <x14:negativeBorderColor rgb="FFFF0000"/>
              <x14:axisColor rgb="FF000000"/>
            </x14:dataBar>
          </x14:cfRule>
          <xm:sqref>Z880</xm:sqref>
        </x14:conditionalFormatting>
        <x14:conditionalFormatting xmlns:xm="http://schemas.microsoft.com/office/excel/2006/main">
          <x14:cfRule type="dataBar" id="{73B6A316-2359-4CC5-A830-93D85EF56D95}">
            <x14:dataBar minLength="0" maxLength="100" border="1" negativeBarBorderColorSameAsPositive="0">
              <x14:cfvo type="autoMin"/>
              <x14:cfvo type="autoMax"/>
              <x14:borderColor rgb="FF63C384"/>
              <x14:negativeFillColor rgb="FFFF0000"/>
              <x14:negativeBorderColor rgb="FFFF0000"/>
              <x14:axisColor rgb="FF000000"/>
            </x14:dataBar>
          </x14:cfRule>
          <xm:sqref>Z881</xm:sqref>
        </x14:conditionalFormatting>
        <x14:conditionalFormatting xmlns:xm="http://schemas.microsoft.com/office/excel/2006/main">
          <x14:cfRule type="dataBar" id="{B1A4CC68-89AA-4263-AA65-DD1CF976F00C}">
            <x14:dataBar minLength="0" maxLength="100" border="1" negativeBarBorderColorSameAsPositive="0">
              <x14:cfvo type="autoMin"/>
              <x14:cfvo type="autoMax"/>
              <x14:borderColor rgb="FF63C384"/>
              <x14:negativeFillColor rgb="FFFF0000"/>
              <x14:negativeBorderColor rgb="FFFF0000"/>
              <x14:axisColor rgb="FF000000"/>
            </x14:dataBar>
          </x14:cfRule>
          <xm:sqref>Z881</xm:sqref>
        </x14:conditionalFormatting>
        <x14:conditionalFormatting xmlns:xm="http://schemas.microsoft.com/office/excel/2006/main">
          <x14:cfRule type="dataBar" id="{43468473-0DBC-41B2-8BC3-F64744EF859C}">
            <x14:dataBar minLength="0" maxLength="100" border="1" negativeBarBorderColorSameAsPositive="0">
              <x14:cfvo type="autoMin"/>
              <x14:cfvo type="autoMax"/>
              <x14:borderColor rgb="FF63C384"/>
              <x14:negativeFillColor rgb="FFFF0000"/>
              <x14:negativeBorderColor rgb="FFFF0000"/>
              <x14:axisColor rgb="FF000000"/>
            </x14:dataBar>
          </x14:cfRule>
          <xm:sqref>Z881</xm:sqref>
        </x14:conditionalFormatting>
        <x14:conditionalFormatting xmlns:xm="http://schemas.microsoft.com/office/excel/2006/main">
          <x14:cfRule type="dataBar" id="{7A199767-66BB-414F-8780-EEE732B12B07}">
            <x14:dataBar minLength="0" maxLength="100" border="1" negativeBarBorderColorSameAsPositive="0">
              <x14:cfvo type="autoMin"/>
              <x14:cfvo type="autoMax"/>
              <x14:borderColor rgb="FF63C384"/>
              <x14:negativeFillColor rgb="FFFF0000"/>
              <x14:negativeBorderColor rgb="FFFF0000"/>
              <x14:axisColor rgb="FF000000"/>
            </x14:dataBar>
          </x14:cfRule>
          <xm:sqref>Z881</xm:sqref>
        </x14:conditionalFormatting>
        <x14:conditionalFormatting xmlns:xm="http://schemas.microsoft.com/office/excel/2006/main">
          <x14:cfRule type="dataBar" id="{6F3EBE67-8533-46B6-AFB1-BF2B4453180C}">
            <x14:dataBar minLength="0" maxLength="100" border="1" negativeBarBorderColorSameAsPositive="0">
              <x14:cfvo type="autoMin"/>
              <x14:cfvo type="autoMax"/>
              <x14:borderColor rgb="FF63C384"/>
              <x14:negativeFillColor rgb="FFFF0000"/>
              <x14:negativeBorderColor rgb="FFFF0000"/>
              <x14:axisColor rgb="FF000000"/>
            </x14:dataBar>
          </x14:cfRule>
          <xm:sqref>Z882</xm:sqref>
        </x14:conditionalFormatting>
        <x14:conditionalFormatting xmlns:xm="http://schemas.microsoft.com/office/excel/2006/main">
          <x14:cfRule type="dataBar" id="{54864C45-1B15-4BF0-9BFE-57B27BC8A1A4}">
            <x14:dataBar minLength="0" maxLength="100" border="1" negativeBarBorderColorSameAsPositive="0">
              <x14:cfvo type="autoMin"/>
              <x14:cfvo type="autoMax"/>
              <x14:borderColor rgb="FF63C384"/>
              <x14:negativeFillColor rgb="FFFF0000"/>
              <x14:negativeBorderColor rgb="FFFF0000"/>
              <x14:axisColor rgb="FF000000"/>
            </x14:dataBar>
          </x14:cfRule>
          <xm:sqref>Z882</xm:sqref>
        </x14:conditionalFormatting>
        <x14:conditionalFormatting xmlns:xm="http://schemas.microsoft.com/office/excel/2006/main">
          <x14:cfRule type="dataBar" id="{893C03FC-1E8F-4D4F-86A4-A461DEC84A10}">
            <x14:dataBar minLength="0" maxLength="100" border="1" negativeBarBorderColorSameAsPositive="0">
              <x14:cfvo type="autoMin"/>
              <x14:cfvo type="autoMax"/>
              <x14:borderColor rgb="FF63C384"/>
              <x14:negativeFillColor rgb="FFFF0000"/>
              <x14:negativeBorderColor rgb="FFFF0000"/>
              <x14:axisColor rgb="FF000000"/>
            </x14:dataBar>
          </x14:cfRule>
          <xm:sqref>Z882</xm:sqref>
        </x14:conditionalFormatting>
        <x14:conditionalFormatting xmlns:xm="http://schemas.microsoft.com/office/excel/2006/main">
          <x14:cfRule type="dataBar" id="{33AE021F-4289-48E7-82CB-C7D6F278E810}">
            <x14:dataBar minLength="0" maxLength="100" border="1" negativeBarBorderColorSameAsPositive="0">
              <x14:cfvo type="autoMin"/>
              <x14:cfvo type="autoMax"/>
              <x14:borderColor rgb="FF63C384"/>
              <x14:negativeFillColor rgb="FFFF0000"/>
              <x14:negativeBorderColor rgb="FFFF0000"/>
              <x14:axisColor rgb="FF000000"/>
            </x14:dataBar>
          </x14:cfRule>
          <xm:sqref>Z882</xm:sqref>
        </x14:conditionalFormatting>
        <x14:conditionalFormatting xmlns:xm="http://schemas.microsoft.com/office/excel/2006/main">
          <x14:cfRule type="dataBar" id="{A50DEAB7-577B-42F8-B9B1-6FA45170BC21}">
            <x14:dataBar minLength="0" maxLength="100" border="1" negativeBarBorderColorSameAsPositive="0">
              <x14:cfvo type="autoMin"/>
              <x14:cfvo type="autoMax"/>
              <x14:borderColor rgb="FF63C384"/>
              <x14:negativeFillColor rgb="FFFF0000"/>
              <x14:negativeBorderColor rgb="FFFF0000"/>
              <x14:axisColor rgb="FF000000"/>
            </x14:dataBar>
          </x14:cfRule>
          <xm:sqref>Z882</xm:sqref>
        </x14:conditionalFormatting>
        <x14:conditionalFormatting xmlns:xm="http://schemas.microsoft.com/office/excel/2006/main">
          <x14:cfRule type="dataBar" id="{C8113ABD-AE53-4DAC-B441-D5BA815DFF3B}">
            <x14:dataBar minLength="0" maxLength="100" border="1" negativeBarBorderColorSameAsPositive="0">
              <x14:cfvo type="autoMin"/>
              <x14:cfvo type="autoMax"/>
              <x14:borderColor rgb="FF63C384"/>
              <x14:negativeFillColor rgb="FFFF0000"/>
              <x14:negativeBorderColor rgb="FFFF0000"/>
              <x14:axisColor rgb="FF000000"/>
            </x14:dataBar>
          </x14:cfRule>
          <xm:sqref>Z882</xm:sqref>
        </x14:conditionalFormatting>
        <x14:conditionalFormatting xmlns:xm="http://schemas.microsoft.com/office/excel/2006/main">
          <x14:cfRule type="dataBar" id="{515205C0-3291-4CF4-92F8-507A6B882B2D}">
            <x14:dataBar minLength="0" maxLength="100" border="1" negativeBarBorderColorSameAsPositive="0">
              <x14:cfvo type="autoMin"/>
              <x14:cfvo type="autoMax"/>
              <x14:borderColor rgb="FF63C384"/>
              <x14:negativeFillColor rgb="FFFF0000"/>
              <x14:negativeBorderColor rgb="FFFF0000"/>
              <x14:axisColor rgb="FF000000"/>
            </x14:dataBar>
          </x14:cfRule>
          <xm:sqref>Z882</xm:sqref>
        </x14:conditionalFormatting>
        <x14:conditionalFormatting xmlns:xm="http://schemas.microsoft.com/office/excel/2006/main">
          <x14:cfRule type="dataBar" id="{232060F4-B421-4581-AB07-1A14CBF164AF}">
            <x14:dataBar minLength="0" maxLength="100" border="1" negativeBarBorderColorSameAsPositive="0">
              <x14:cfvo type="autoMin"/>
              <x14:cfvo type="autoMax"/>
              <x14:borderColor rgb="FF63C384"/>
              <x14:negativeFillColor rgb="FFFF0000"/>
              <x14:negativeBorderColor rgb="FFFF0000"/>
              <x14:axisColor rgb="FF000000"/>
            </x14:dataBar>
          </x14:cfRule>
          <xm:sqref>Z882</xm:sqref>
        </x14:conditionalFormatting>
        <x14:conditionalFormatting xmlns:xm="http://schemas.microsoft.com/office/excel/2006/main">
          <x14:cfRule type="dataBar" id="{29E92030-D0D1-460E-B271-A0362B93F89D}">
            <x14:dataBar minLength="0" maxLength="100" border="1" negativeBarBorderColorSameAsPositive="0">
              <x14:cfvo type="autoMin"/>
              <x14:cfvo type="autoMax"/>
              <x14:borderColor rgb="FF63C384"/>
              <x14:negativeFillColor rgb="FFFF0000"/>
              <x14:negativeBorderColor rgb="FFFF0000"/>
              <x14:axisColor rgb="FF000000"/>
            </x14:dataBar>
          </x14:cfRule>
          <xm:sqref>Z883</xm:sqref>
        </x14:conditionalFormatting>
        <x14:conditionalFormatting xmlns:xm="http://schemas.microsoft.com/office/excel/2006/main">
          <x14:cfRule type="dataBar" id="{C5C4E21F-422D-4D49-8A08-0484244162EC}">
            <x14:dataBar minLength="0" maxLength="100" border="1" negativeBarBorderColorSameAsPositive="0">
              <x14:cfvo type="autoMin"/>
              <x14:cfvo type="autoMax"/>
              <x14:borderColor rgb="FF63C384"/>
              <x14:negativeFillColor rgb="FFFF0000"/>
              <x14:negativeBorderColor rgb="FFFF0000"/>
              <x14:axisColor rgb="FF000000"/>
            </x14:dataBar>
          </x14:cfRule>
          <xm:sqref>Z883</xm:sqref>
        </x14:conditionalFormatting>
        <x14:conditionalFormatting xmlns:xm="http://schemas.microsoft.com/office/excel/2006/main">
          <x14:cfRule type="dataBar" id="{F26CC439-A592-422E-9CFD-BF3F45412AF4}">
            <x14:dataBar minLength="0" maxLength="100" border="1" negativeBarBorderColorSameAsPositive="0">
              <x14:cfvo type="autoMin"/>
              <x14:cfvo type="autoMax"/>
              <x14:borderColor rgb="FF63C384"/>
              <x14:negativeFillColor rgb="FFFF0000"/>
              <x14:negativeBorderColor rgb="FFFF0000"/>
              <x14:axisColor rgb="FF000000"/>
            </x14:dataBar>
          </x14:cfRule>
          <xm:sqref>Z883</xm:sqref>
        </x14:conditionalFormatting>
        <x14:conditionalFormatting xmlns:xm="http://schemas.microsoft.com/office/excel/2006/main">
          <x14:cfRule type="dataBar" id="{694F5DDF-B049-4E07-8A82-734A81F554D4}">
            <x14:dataBar minLength="0" maxLength="100" border="1" negativeBarBorderColorSameAsPositive="0">
              <x14:cfvo type="autoMin"/>
              <x14:cfvo type="autoMax"/>
              <x14:borderColor rgb="FF63C384"/>
              <x14:negativeFillColor rgb="FFFF0000"/>
              <x14:negativeBorderColor rgb="FFFF0000"/>
              <x14:axisColor rgb="FF000000"/>
            </x14:dataBar>
          </x14:cfRule>
          <xm:sqref>Z883</xm:sqref>
        </x14:conditionalFormatting>
        <x14:conditionalFormatting xmlns:xm="http://schemas.microsoft.com/office/excel/2006/main">
          <x14:cfRule type="dataBar" id="{88271941-3318-493F-906E-AF2223998A71}">
            <x14:dataBar minLength="0" maxLength="100" border="1" negativeBarBorderColorSameAsPositive="0">
              <x14:cfvo type="autoMin"/>
              <x14:cfvo type="autoMax"/>
              <x14:borderColor rgb="FF63C384"/>
              <x14:negativeFillColor rgb="FFFF0000"/>
              <x14:negativeBorderColor rgb="FFFF0000"/>
              <x14:axisColor rgb="FF000000"/>
            </x14:dataBar>
          </x14:cfRule>
          <xm:sqref>Z884</xm:sqref>
        </x14:conditionalFormatting>
        <x14:conditionalFormatting xmlns:xm="http://schemas.microsoft.com/office/excel/2006/main">
          <x14:cfRule type="dataBar" id="{D087D43B-4E59-43F3-AB13-1EEF5604D4E3}">
            <x14:dataBar minLength="0" maxLength="100" border="1" negativeBarBorderColorSameAsPositive="0">
              <x14:cfvo type="autoMin"/>
              <x14:cfvo type="autoMax"/>
              <x14:borderColor rgb="FF63C384"/>
              <x14:negativeFillColor rgb="FFFF0000"/>
              <x14:negativeBorderColor rgb="FFFF0000"/>
              <x14:axisColor rgb="FF000000"/>
            </x14:dataBar>
          </x14:cfRule>
          <xm:sqref>Z884</xm:sqref>
        </x14:conditionalFormatting>
        <x14:conditionalFormatting xmlns:xm="http://schemas.microsoft.com/office/excel/2006/main">
          <x14:cfRule type="dataBar" id="{15316FDA-E840-41ED-B9F9-181E3CF2FC6D}">
            <x14:dataBar minLength="0" maxLength="100" border="1" negativeBarBorderColorSameAsPositive="0">
              <x14:cfvo type="autoMin"/>
              <x14:cfvo type="autoMax"/>
              <x14:borderColor rgb="FF63C384"/>
              <x14:negativeFillColor rgb="FFFF0000"/>
              <x14:negativeBorderColor rgb="FFFF0000"/>
              <x14:axisColor rgb="FF000000"/>
            </x14:dataBar>
          </x14:cfRule>
          <xm:sqref>Z884</xm:sqref>
        </x14:conditionalFormatting>
        <x14:conditionalFormatting xmlns:xm="http://schemas.microsoft.com/office/excel/2006/main">
          <x14:cfRule type="dataBar" id="{929A195E-296B-45C9-B11F-459140F9AE67}">
            <x14:dataBar minLength="0" maxLength="100" border="1" negativeBarBorderColorSameAsPositive="0">
              <x14:cfvo type="autoMin"/>
              <x14:cfvo type="autoMax"/>
              <x14:borderColor rgb="FF63C384"/>
              <x14:negativeFillColor rgb="FFFF0000"/>
              <x14:negativeBorderColor rgb="FFFF0000"/>
              <x14:axisColor rgb="FF000000"/>
            </x14:dataBar>
          </x14:cfRule>
          <xm:sqref>Z884</xm:sqref>
        </x14:conditionalFormatting>
        <x14:conditionalFormatting xmlns:xm="http://schemas.microsoft.com/office/excel/2006/main">
          <x14:cfRule type="dataBar" id="{15460FDC-E926-413B-824A-6305D3BA2206}">
            <x14:dataBar minLength="0" maxLength="100" border="1" negativeBarBorderColorSameAsPositive="0">
              <x14:cfvo type="autoMin"/>
              <x14:cfvo type="autoMax"/>
              <x14:borderColor rgb="FF63C384"/>
              <x14:negativeFillColor rgb="FFFF0000"/>
              <x14:negativeBorderColor rgb="FFFF0000"/>
              <x14:axisColor rgb="FF000000"/>
            </x14:dataBar>
          </x14:cfRule>
          <xm:sqref>Z885</xm:sqref>
        </x14:conditionalFormatting>
        <x14:conditionalFormatting xmlns:xm="http://schemas.microsoft.com/office/excel/2006/main">
          <x14:cfRule type="dataBar" id="{EF777F2F-7678-4D1F-AC60-B2E29D2E0DEA}">
            <x14:dataBar minLength="0" maxLength="100" border="1" negativeBarBorderColorSameAsPositive="0">
              <x14:cfvo type="autoMin"/>
              <x14:cfvo type="autoMax"/>
              <x14:borderColor rgb="FF63C384"/>
              <x14:negativeFillColor rgb="FFFF0000"/>
              <x14:negativeBorderColor rgb="FFFF0000"/>
              <x14:axisColor rgb="FF000000"/>
            </x14:dataBar>
          </x14:cfRule>
          <xm:sqref>Z885</xm:sqref>
        </x14:conditionalFormatting>
        <x14:conditionalFormatting xmlns:xm="http://schemas.microsoft.com/office/excel/2006/main">
          <x14:cfRule type="dataBar" id="{F0A4AEF6-1076-46EC-8205-AD79677D663C}">
            <x14:dataBar minLength="0" maxLength="100" border="1" negativeBarBorderColorSameAsPositive="0">
              <x14:cfvo type="autoMin"/>
              <x14:cfvo type="autoMax"/>
              <x14:borderColor rgb="FF63C384"/>
              <x14:negativeFillColor rgb="FFFF0000"/>
              <x14:negativeBorderColor rgb="FFFF0000"/>
              <x14:axisColor rgb="FF000000"/>
            </x14:dataBar>
          </x14:cfRule>
          <xm:sqref>Z885</xm:sqref>
        </x14:conditionalFormatting>
        <x14:conditionalFormatting xmlns:xm="http://schemas.microsoft.com/office/excel/2006/main">
          <x14:cfRule type="dataBar" id="{BF99A35C-36FE-45A8-AA1D-7E14730A1E82}">
            <x14:dataBar minLength="0" maxLength="100" border="1" negativeBarBorderColorSameAsPositive="0">
              <x14:cfvo type="autoMin"/>
              <x14:cfvo type="autoMax"/>
              <x14:borderColor rgb="FF63C384"/>
              <x14:negativeFillColor rgb="FFFF0000"/>
              <x14:negativeBorderColor rgb="FFFF0000"/>
              <x14:axisColor rgb="FF000000"/>
            </x14:dataBar>
          </x14:cfRule>
          <xm:sqref>Z885</xm:sqref>
        </x14:conditionalFormatting>
        <x14:conditionalFormatting xmlns:xm="http://schemas.microsoft.com/office/excel/2006/main">
          <x14:cfRule type="dataBar" id="{2C932AF2-0015-415D-B755-DDA657321680}">
            <x14:dataBar minLength="0" maxLength="100" border="1" negativeBarBorderColorSameAsPositive="0">
              <x14:cfvo type="autoMin"/>
              <x14:cfvo type="autoMax"/>
              <x14:borderColor rgb="FF63C384"/>
              <x14:negativeFillColor rgb="FFFF0000"/>
              <x14:negativeBorderColor rgb="FFFF0000"/>
              <x14:axisColor rgb="FF000000"/>
            </x14:dataBar>
          </x14:cfRule>
          <xm:sqref>Z885</xm:sqref>
        </x14:conditionalFormatting>
        <x14:conditionalFormatting xmlns:xm="http://schemas.microsoft.com/office/excel/2006/main">
          <x14:cfRule type="dataBar" id="{7462CEB4-C0F1-4CC2-81A3-89F0B51AB417}">
            <x14:dataBar minLength="0" maxLength="100" border="1" negativeBarBorderColorSameAsPositive="0">
              <x14:cfvo type="autoMin"/>
              <x14:cfvo type="autoMax"/>
              <x14:borderColor rgb="FF63C384"/>
              <x14:negativeFillColor rgb="FFFF0000"/>
              <x14:negativeBorderColor rgb="FFFF0000"/>
              <x14:axisColor rgb="FF000000"/>
            </x14:dataBar>
          </x14:cfRule>
          <xm:sqref>Z885</xm:sqref>
        </x14:conditionalFormatting>
        <x14:conditionalFormatting xmlns:xm="http://schemas.microsoft.com/office/excel/2006/main">
          <x14:cfRule type="dataBar" id="{696353C0-3548-475D-8D29-820766C682F9}">
            <x14:dataBar minLength="0" maxLength="100" border="1" negativeBarBorderColorSameAsPositive="0">
              <x14:cfvo type="autoMin"/>
              <x14:cfvo type="autoMax"/>
              <x14:borderColor rgb="FF63C384"/>
              <x14:negativeFillColor rgb="FFFF0000"/>
              <x14:negativeBorderColor rgb="FFFF0000"/>
              <x14:axisColor rgb="FF000000"/>
            </x14:dataBar>
          </x14:cfRule>
          <xm:sqref>Z886</xm:sqref>
        </x14:conditionalFormatting>
        <x14:conditionalFormatting xmlns:xm="http://schemas.microsoft.com/office/excel/2006/main">
          <x14:cfRule type="dataBar" id="{CB86A66E-F8ED-4212-9816-EA0947B243A1}">
            <x14:dataBar minLength="0" maxLength="100" border="1" negativeBarBorderColorSameAsPositive="0">
              <x14:cfvo type="autoMin"/>
              <x14:cfvo type="autoMax"/>
              <x14:borderColor rgb="FF63C384"/>
              <x14:negativeFillColor rgb="FFFF0000"/>
              <x14:negativeBorderColor rgb="FFFF0000"/>
              <x14:axisColor rgb="FF000000"/>
            </x14:dataBar>
          </x14:cfRule>
          <xm:sqref>Z886</xm:sqref>
        </x14:conditionalFormatting>
        <x14:conditionalFormatting xmlns:xm="http://schemas.microsoft.com/office/excel/2006/main">
          <x14:cfRule type="dataBar" id="{EE61CB2E-957D-4209-BE41-99E1C796A065}">
            <x14:dataBar minLength="0" maxLength="100" border="1" negativeBarBorderColorSameAsPositive="0">
              <x14:cfvo type="autoMin"/>
              <x14:cfvo type="autoMax"/>
              <x14:borderColor rgb="FF63C384"/>
              <x14:negativeFillColor rgb="FFFF0000"/>
              <x14:negativeBorderColor rgb="FFFF0000"/>
              <x14:axisColor rgb="FF000000"/>
            </x14:dataBar>
          </x14:cfRule>
          <xm:sqref>Z886</xm:sqref>
        </x14:conditionalFormatting>
        <x14:conditionalFormatting xmlns:xm="http://schemas.microsoft.com/office/excel/2006/main">
          <x14:cfRule type="dataBar" id="{C994BDEB-86EE-44DE-8B1F-F1BE3E905AB5}">
            <x14:dataBar minLength="0" maxLength="100" border="1" negativeBarBorderColorSameAsPositive="0">
              <x14:cfvo type="autoMin"/>
              <x14:cfvo type="autoMax"/>
              <x14:borderColor rgb="FF63C384"/>
              <x14:negativeFillColor rgb="FFFF0000"/>
              <x14:negativeBorderColor rgb="FFFF0000"/>
              <x14:axisColor rgb="FF000000"/>
            </x14:dataBar>
          </x14:cfRule>
          <xm:sqref>Z886</xm:sqref>
        </x14:conditionalFormatting>
        <x14:conditionalFormatting xmlns:xm="http://schemas.microsoft.com/office/excel/2006/main">
          <x14:cfRule type="dataBar" id="{85BAB77C-9A26-4DF9-8A05-F279415DB6BB}">
            <x14:dataBar minLength="0" maxLength="100" border="1" negativeBarBorderColorSameAsPositive="0">
              <x14:cfvo type="autoMin"/>
              <x14:cfvo type="autoMax"/>
              <x14:borderColor rgb="FF63C384"/>
              <x14:negativeFillColor rgb="FFFF0000"/>
              <x14:negativeBorderColor rgb="FFFF0000"/>
              <x14:axisColor rgb="FF000000"/>
            </x14:dataBar>
          </x14:cfRule>
          <xm:sqref>Z887:Z888</xm:sqref>
        </x14:conditionalFormatting>
        <x14:conditionalFormatting xmlns:xm="http://schemas.microsoft.com/office/excel/2006/main">
          <x14:cfRule type="dataBar" id="{69D31AA9-14FF-406D-B2D0-4788E7D762A9}">
            <x14:dataBar minLength="0" maxLength="100" border="1" negativeBarBorderColorSameAsPositive="0">
              <x14:cfvo type="autoMin"/>
              <x14:cfvo type="autoMax"/>
              <x14:borderColor rgb="FF63C384"/>
              <x14:negativeFillColor rgb="FFFF0000"/>
              <x14:negativeBorderColor rgb="FFFF0000"/>
              <x14:axisColor rgb="FF000000"/>
            </x14:dataBar>
          </x14:cfRule>
          <xm:sqref>Z887:Z888</xm:sqref>
        </x14:conditionalFormatting>
        <x14:conditionalFormatting xmlns:xm="http://schemas.microsoft.com/office/excel/2006/main">
          <x14:cfRule type="dataBar" id="{4B66E5E5-9108-44BB-B553-0B9EED0855F5}">
            <x14:dataBar minLength="0" maxLength="100" border="1" negativeBarBorderColorSameAsPositive="0">
              <x14:cfvo type="autoMin"/>
              <x14:cfvo type="autoMax"/>
              <x14:borderColor rgb="FF63C384"/>
              <x14:negativeFillColor rgb="FFFF0000"/>
              <x14:negativeBorderColor rgb="FFFF0000"/>
              <x14:axisColor rgb="FF000000"/>
            </x14:dataBar>
          </x14:cfRule>
          <xm:sqref>Z889</xm:sqref>
        </x14:conditionalFormatting>
        <x14:conditionalFormatting xmlns:xm="http://schemas.microsoft.com/office/excel/2006/main">
          <x14:cfRule type="dataBar" id="{797610EB-F1F3-4D6F-84F5-B77F9883963E}">
            <x14:dataBar minLength="0" maxLength="100" border="1" negativeBarBorderColorSameAsPositive="0">
              <x14:cfvo type="autoMin"/>
              <x14:cfvo type="autoMax"/>
              <x14:borderColor rgb="FF63C384"/>
              <x14:negativeFillColor rgb="FFFF0000"/>
              <x14:negativeBorderColor rgb="FFFF0000"/>
              <x14:axisColor rgb="FF000000"/>
            </x14:dataBar>
          </x14:cfRule>
          <xm:sqref>Z889</xm:sqref>
        </x14:conditionalFormatting>
        <x14:conditionalFormatting xmlns:xm="http://schemas.microsoft.com/office/excel/2006/main">
          <x14:cfRule type="dataBar" id="{28036143-E477-4790-B54D-44424D30F540}">
            <x14:dataBar minLength="0" maxLength="100" border="1" negativeBarBorderColorSameAsPositive="0">
              <x14:cfvo type="autoMin"/>
              <x14:cfvo type="autoMax"/>
              <x14:borderColor rgb="FF63C384"/>
              <x14:negativeFillColor rgb="FFFF0000"/>
              <x14:negativeBorderColor rgb="FFFF0000"/>
              <x14:axisColor rgb="FF000000"/>
            </x14:dataBar>
          </x14:cfRule>
          <xm:sqref>Z889</xm:sqref>
        </x14:conditionalFormatting>
        <x14:conditionalFormatting xmlns:xm="http://schemas.microsoft.com/office/excel/2006/main">
          <x14:cfRule type="dataBar" id="{0901742A-114B-4FF6-80CD-024CED2FB485}">
            <x14:dataBar minLength="0" maxLength="100" border="1" negativeBarBorderColorSameAsPositive="0">
              <x14:cfvo type="autoMin"/>
              <x14:cfvo type="autoMax"/>
              <x14:borderColor rgb="FF63C384"/>
              <x14:negativeFillColor rgb="FFFF0000"/>
              <x14:negativeBorderColor rgb="FFFF0000"/>
              <x14:axisColor rgb="FF000000"/>
            </x14:dataBar>
          </x14:cfRule>
          <xm:sqref>Z889</xm:sqref>
        </x14:conditionalFormatting>
        <x14:conditionalFormatting xmlns:xm="http://schemas.microsoft.com/office/excel/2006/main">
          <x14:cfRule type="dataBar" id="{842DBD81-C0AF-4D8F-B281-74AE00660604}">
            <x14:dataBar minLength="0" maxLength="100" border="1" negativeBarBorderColorSameAsPositive="0">
              <x14:cfvo type="autoMin"/>
              <x14:cfvo type="autoMax"/>
              <x14:borderColor rgb="FF63C384"/>
              <x14:negativeFillColor rgb="FFFF0000"/>
              <x14:negativeBorderColor rgb="FFFF0000"/>
              <x14:axisColor rgb="FF000000"/>
            </x14:dataBar>
          </x14:cfRule>
          <xm:sqref>Z891</xm:sqref>
        </x14:conditionalFormatting>
        <x14:conditionalFormatting xmlns:xm="http://schemas.microsoft.com/office/excel/2006/main">
          <x14:cfRule type="dataBar" id="{A10AA4DC-C2E9-4E91-B964-4A944EA72438}">
            <x14:dataBar minLength="0" maxLength="100" border="1" negativeBarBorderColorSameAsPositive="0">
              <x14:cfvo type="autoMin"/>
              <x14:cfvo type="autoMax"/>
              <x14:borderColor rgb="FF63C384"/>
              <x14:negativeFillColor rgb="FFFF0000"/>
              <x14:negativeBorderColor rgb="FFFF0000"/>
              <x14:axisColor rgb="FF000000"/>
            </x14:dataBar>
          </x14:cfRule>
          <xm:sqref>Z891</xm:sqref>
        </x14:conditionalFormatting>
        <x14:conditionalFormatting xmlns:xm="http://schemas.microsoft.com/office/excel/2006/main">
          <x14:cfRule type="dataBar" id="{8F97658E-7ADB-458E-B030-6E9092696CEA}">
            <x14:dataBar minLength="0" maxLength="100" border="1" negativeBarBorderColorSameAsPositive="0">
              <x14:cfvo type="autoMin"/>
              <x14:cfvo type="autoMax"/>
              <x14:borderColor rgb="FF63C384"/>
              <x14:negativeFillColor rgb="FFFF0000"/>
              <x14:negativeBorderColor rgb="FFFF0000"/>
              <x14:axisColor rgb="FF000000"/>
            </x14:dataBar>
          </x14:cfRule>
          <xm:sqref>Z892</xm:sqref>
        </x14:conditionalFormatting>
        <x14:conditionalFormatting xmlns:xm="http://schemas.microsoft.com/office/excel/2006/main">
          <x14:cfRule type="dataBar" id="{07A90AD3-06EB-42D8-A701-1600FA7C187A}">
            <x14:dataBar minLength="0" maxLength="100" border="1" negativeBarBorderColorSameAsPositive="0">
              <x14:cfvo type="autoMin"/>
              <x14:cfvo type="autoMax"/>
              <x14:borderColor rgb="FF63C384"/>
              <x14:negativeFillColor rgb="FFFF0000"/>
              <x14:negativeBorderColor rgb="FFFF0000"/>
              <x14:axisColor rgb="FF000000"/>
            </x14:dataBar>
          </x14:cfRule>
          <xm:sqref>Z892</xm:sqref>
        </x14:conditionalFormatting>
        <x14:conditionalFormatting xmlns:xm="http://schemas.microsoft.com/office/excel/2006/main">
          <x14:cfRule type="dataBar" id="{E1C89B15-47E9-4175-BB39-75EE8D48FAEA}">
            <x14:dataBar minLength="0" maxLength="100" border="1" negativeBarBorderColorSameAsPositive="0">
              <x14:cfvo type="autoMin"/>
              <x14:cfvo type="autoMax"/>
              <x14:borderColor rgb="FF63C384"/>
              <x14:negativeFillColor rgb="FFFF0000"/>
              <x14:negativeBorderColor rgb="FFFF0000"/>
              <x14:axisColor rgb="FF000000"/>
            </x14:dataBar>
          </x14:cfRule>
          <xm:sqref>Z893</xm:sqref>
        </x14:conditionalFormatting>
        <x14:conditionalFormatting xmlns:xm="http://schemas.microsoft.com/office/excel/2006/main">
          <x14:cfRule type="dataBar" id="{DFEFF411-8B83-4736-AC82-3A53F4B088FB}">
            <x14:dataBar minLength="0" maxLength="100" border="1" negativeBarBorderColorSameAsPositive="0">
              <x14:cfvo type="autoMin"/>
              <x14:cfvo type="autoMax"/>
              <x14:borderColor rgb="FF63C384"/>
              <x14:negativeFillColor rgb="FFFF0000"/>
              <x14:negativeBorderColor rgb="FFFF0000"/>
              <x14:axisColor rgb="FF000000"/>
            </x14:dataBar>
          </x14:cfRule>
          <xm:sqref>Z893</xm:sqref>
        </x14:conditionalFormatting>
        <x14:conditionalFormatting xmlns:xm="http://schemas.microsoft.com/office/excel/2006/main">
          <x14:cfRule type="dataBar" id="{AE0A38DC-70BD-4E9E-BEC0-001A60EDB915}">
            <x14:dataBar minLength="0" maxLength="100" border="1" negativeBarBorderColorSameAsPositive="0">
              <x14:cfvo type="autoMin"/>
              <x14:cfvo type="autoMax"/>
              <x14:borderColor rgb="FF63C384"/>
              <x14:negativeFillColor rgb="FFFF0000"/>
              <x14:negativeBorderColor rgb="FFFF0000"/>
              <x14:axisColor rgb="FF000000"/>
            </x14:dataBar>
          </x14:cfRule>
          <xm:sqref>Z894</xm:sqref>
        </x14:conditionalFormatting>
        <x14:conditionalFormatting xmlns:xm="http://schemas.microsoft.com/office/excel/2006/main">
          <x14:cfRule type="dataBar" id="{DA756571-E7D9-4002-AC4E-C7970AA7EB3B}">
            <x14:dataBar minLength="0" maxLength="100" border="1" negativeBarBorderColorSameAsPositive="0">
              <x14:cfvo type="autoMin"/>
              <x14:cfvo type="autoMax"/>
              <x14:borderColor rgb="FF63C384"/>
              <x14:negativeFillColor rgb="FFFF0000"/>
              <x14:negativeBorderColor rgb="FFFF0000"/>
              <x14:axisColor rgb="FF000000"/>
            </x14:dataBar>
          </x14:cfRule>
          <xm:sqref>Z894</xm:sqref>
        </x14:conditionalFormatting>
        <x14:conditionalFormatting xmlns:xm="http://schemas.microsoft.com/office/excel/2006/main">
          <x14:cfRule type="dataBar" id="{A5D6F322-75BC-4466-A1B8-9DBB5930986F}">
            <x14:dataBar minLength="0" maxLength="100" border="1" negativeBarBorderColorSameAsPositive="0">
              <x14:cfvo type="autoMin"/>
              <x14:cfvo type="autoMax"/>
              <x14:borderColor rgb="FF63C384"/>
              <x14:negativeFillColor rgb="FFFF0000"/>
              <x14:negativeBorderColor rgb="FFFF0000"/>
              <x14:axisColor rgb="FF000000"/>
            </x14:dataBar>
          </x14:cfRule>
          <xm:sqref>Z895</xm:sqref>
        </x14:conditionalFormatting>
        <x14:conditionalFormatting xmlns:xm="http://schemas.microsoft.com/office/excel/2006/main">
          <x14:cfRule type="dataBar" id="{8EE91251-491C-441B-898D-5745B40BB03B}">
            <x14:dataBar minLength="0" maxLength="100" border="1" negativeBarBorderColorSameAsPositive="0">
              <x14:cfvo type="autoMin"/>
              <x14:cfvo type="autoMax"/>
              <x14:borderColor rgb="FF63C384"/>
              <x14:negativeFillColor rgb="FFFF0000"/>
              <x14:negativeBorderColor rgb="FFFF0000"/>
              <x14:axisColor rgb="FF000000"/>
            </x14:dataBar>
          </x14:cfRule>
          <xm:sqref>Z895</xm:sqref>
        </x14:conditionalFormatting>
        <x14:conditionalFormatting xmlns:xm="http://schemas.microsoft.com/office/excel/2006/main">
          <x14:cfRule type="dataBar" id="{E9678C1A-A423-4B71-BB59-C4F42D83F117}">
            <x14:dataBar minLength="0" maxLength="100" border="1" negativeBarBorderColorSameAsPositive="0">
              <x14:cfvo type="autoMin"/>
              <x14:cfvo type="autoMax"/>
              <x14:borderColor rgb="FF63C384"/>
              <x14:negativeFillColor rgb="FFFF0000"/>
              <x14:negativeBorderColor rgb="FFFF0000"/>
              <x14:axisColor rgb="FF000000"/>
            </x14:dataBar>
          </x14:cfRule>
          <xm:sqref>Z896</xm:sqref>
        </x14:conditionalFormatting>
        <x14:conditionalFormatting xmlns:xm="http://schemas.microsoft.com/office/excel/2006/main">
          <x14:cfRule type="dataBar" id="{5D4DD331-2277-4CBD-B738-46F07B7F1BA5}">
            <x14:dataBar minLength="0" maxLength="100" border="1" negativeBarBorderColorSameAsPositive="0">
              <x14:cfvo type="autoMin"/>
              <x14:cfvo type="autoMax"/>
              <x14:borderColor rgb="FF63C384"/>
              <x14:negativeFillColor rgb="FFFF0000"/>
              <x14:negativeBorderColor rgb="FFFF0000"/>
              <x14:axisColor rgb="FF000000"/>
            </x14:dataBar>
          </x14:cfRule>
          <xm:sqref>Z896</xm:sqref>
        </x14:conditionalFormatting>
        <x14:conditionalFormatting xmlns:xm="http://schemas.microsoft.com/office/excel/2006/main">
          <x14:cfRule type="dataBar" id="{1F546695-A22C-465E-8AC3-6ABE2A180681}">
            <x14:dataBar minLength="0" maxLength="100" border="1" negativeBarBorderColorSameAsPositive="0">
              <x14:cfvo type="autoMin"/>
              <x14:cfvo type="autoMax"/>
              <x14:borderColor rgb="FF63C384"/>
              <x14:negativeFillColor rgb="FFFF0000"/>
              <x14:negativeBorderColor rgb="FFFF0000"/>
              <x14:axisColor rgb="FF000000"/>
            </x14:dataBar>
          </x14:cfRule>
          <xm:sqref>Z896</xm:sqref>
        </x14:conditionalFormatting>
        <x14:conditionalFormatting xmlns:xm="http://schemas.microsoft.com/office/excel/2006/main">
          <x14:cfRule type="dataBar" id="{62CF011D-D3AA-4D88-86FF-BFC7FA63D142}">
            <x14:dataBar minLength="0" maxLength="100" border="1" negativeBarBorderColorSameAsPositive="0">
              <x14:cfvo type="autoMin"/>
              <x14:cfvo type="autoMax"/>
              <x14:borderColor rgb="FF63C384"/>
              <x14:negativeFillColor rgb="FFFF0000"/>
              <x14:negativeBorderColor rgb="FFFF0000"/>
              <x14:axisColor rgb="FF000000"/>
            </x14:dataBar>
          </x14:cfRule>
          <xm:sqref>Z896</xm:sqref>
        </x14:conditionalFormatting>
        <x14:conditionalFormatting xmlns:xm="http://schemas.microsoft.com/office/excel/2006/main">
          <x14:cfRule type="dataBar" id="{C2666C76-FBB4-44C5-A6EC-71717BEAD50B}">
            <x14:dataBar minLength="0" maxLength="100" border="1" negativeBarBorderColorSameAsPositive="0">
              <x14:cfvo type="autoMin"/>
              <x14:cfvo type="autoMax"/>
              <x14:borderColor rgb="FF63C384"/>
              <x14:negativeFillColor rgb="FFFF0000"/>
              <x14:negativeBorderColor rgb="FFFF0000"/>
              <x14:axisColor rgb="FF000000"/>
            </x14:dataBar>
          </x14:cfRule>
          <xm:sqref>Z897:Z898</xm:sqref>
        </x14:conditionalFormatting>
        <x14:conditionalFormatting xmlns:xm="http://schemas.microsoft.com/office/excel/2006/main">
          <x14:cfRule type="dataBar" id="{57C21076-F9D8-4F30-A1EC-B00A16CCAE0B}">
            <x14:dataBar minLength="0" maxLength="100" border="1" negativeBarBorderColorSameAsPositive="0">
              <x14:cfvo type="autoMin"/>
              <x14:cfvo type="autoMax"/>
              <x14:borderColor rgb="FF63C384"/>
              <x14:negativeFillColor rgb="FFFF0000"/>
              <x14:negativeBorderColor rgb="FFFF0000"/>
              <x14:axisColor rgb="FF000000"/>
            </x14:dataBar>
          </x14:cfRule>
          <xm:sqref>Z897:Z898</xm:sqref>
        </x14:conditionalFormatting>
        <x14:conditionalFormatting xmlns:xm="http://schemas.microsoft.com/office/excel/2006/main">
          <x14:cfRule type="dataBar" id="{AE8167A6-7D96-4D7D-991C-FE7977B3D0DB}">
            <x14:dataBar minLength="0" maxLength="100" border="1" negativeBarBorderColorSameAsPositive="0">
              <x14:cfvo type="autoMin"/>
              <x14:cfvo type="autoMax"/>
              <x14:borderColor rgb="FF63C384"/>
              <x14:negativeFillColor rgb="FFFF0000"/>
              <x14:negativeBorderColor rgb="FFFF0000"/>
              <x14:axisColor rgb="FF000000"/>
            </x14:dataBar>
          </x14:cfRule>
          <xm:sqref>Z897:Z898</xm:sqref>
        </x14:conditionalFormatting>
        <x14:conditionalFormatting xmlns:xm="http://schemas.microsoft.com/office/excel/2006/main">
          <x14:cfRule type="dataBar" id="{5BEAD440-337C-41D9-85A9-B97EBB85AB95}">
            <x14:dataBar minLength="0" maxLength="100" border="1" negativeBarBorderColorSameAsPositive="0">
              <x14:cfvo type="autoMin"/>
              <x14:cfvo type="autoMax"/>
              <x14:borderColor rgb="FF63C384"/>
              <x14:negativeFillColor rgb="FFFF0000"/>
              <x14:negativeBorderColor rgb="FFFF0000"/>
              <x14:axisColor rgb="FF000000"/>
            </x14:dataBar>
          </x14:cfRule>
          <xm:sqref>Z897:Z898</xm:sqref>
        </x14:conditionalFormatting>
        <x14:conditionalFormatting xmlns:xm="http://schemas.microsoft.com/office/excel/2006/main">
          <x14:cfRule type="dataBar" id="{8233D361-6A6E-4009-A94D-75DC7F3E2319}">
            <x14:dataBar minLength="0" maxLength="100" border="1" negativeBarBorderColorSameAsPositive="0">
              <x14:cfvo type="autoMin"/>
              <x14:cfvo type="autoMax"/>
              <x14:borderColor rgb="FF63C384"/>
              <x14:negativeFillColor rgb="FFFF0000"/>
              <x14:negativeBorderColor rgb="FFFF0000"/>
              <x14:axisColor rgb="FF000000"/>
            </x14:dataBar>
          </x14:cfRule>
          <xm:sqref>Z897:Z898</xm:sqref>
        </x14:conditionalFormatting>
        <x14:conditionalFormatting xmlns:xm="http://schemas.microsoft.com/office/excel/2006/main">
          <x14:cfRule type="dataBar" id="{02E05458-B29D-4AF6-A886-33F24DA58082}">
            <x14:dataBar minLength="0" maxLength="100" border="1" negativeBarBorderColorSameAsPositive="0">
              <x14:cfvo type="autoMin"/>
              <x14:cfvo type="autoMax"/>
              <x14:borderColor rgb="FF63C384"/>
              <x14:negativeFillColor rgb="FFFF0000"/>
              <x14:negativeBorderColor rgb="FFFF0000"/>
              <x14:axisColor rgb="FF000000"/>
            </x14:dataBar>
          </x14:cfRule>
          <xm:sqref>Z897:Z898</xm:sqref>
        </x14:conditionalFormatting>
        <x14:conditionalFormatting xmlns:xm="http://schemas.microsoft.com/office/excel/2006/main">
          <x14:cfRule type="dataBar" id="{DB6AE996-99CF-4B79-8C3B-BDF24E6332F3}">
            <x14:dataBar minLength="0" maxLength="100" border="1" negativeBarBorderColorSameAsPositive="0">
              <x14:cfvo type="autoMin"/>
              <x14:cfvo type="autoMax"/>
              <x14:borderColor rgb="FF63C384"/>
              <x14:negativeFillColor rgb="FFFF0000"/>
              <x14:negativeBorderColor rgb="FFFF0000"/>
              <x14:axisColor rgb="FF000000"/>
            </x14:dataBar>
          </x14:cfRule>
          <xm:sqref>Z897:Z898</xm:sqref>
        </x14:conditionalFormatting>
        <x14:conditionalFormatting xmlns:xm="http://schemas.microsoft.com/office/excel/2006/main">
          <x14:cfRule type="dataBar" id="{24B0D9F0-9960-47C1-8E2D-AD5F67D7E224}">
            <x14:dataBar minLength="0" maxLength="100" border="1" negativeBarBorderColorSameAsPositive="0">
              <x14:cfvo type="autoMin"/>
              <x14:cfvo type="autoMax"/>
              <x14:borderColor rgb="FF63C384"/>
              <x14:negativeFillColor rgb="FFFF0000"/>
              <x14:negativeBorderColor rgb="FFFF0000"/>
              <x14:axisColor rgb="FF000000"/>
            </x14:dataBar>
          </x14:cfRule>
          <xm:sqref>Z897:Z898</xm:sqref>
        </x14:conditionalFormatting>
        <x14:conditionalFormatting xmlns:xm="http://schemas.microsoft.com/office/excel/2006/main">
          <x14:cfRule type="dataBar" id="{9C5D0575-6A55-4BC1-9EB3-BC1F3FA7D89B}">
            <x14:dataBar minLength="0" maxLength="100" border="1" negativeBarBorderColorSameAsPositive="0">
              <x14:cfvo type="autoMin"/>
              <x14:cfvo type="autoMax"/>
              <x14:borderColor rgb="FF63C384"/>
              <x14:negativeFillColor rgb="FFFF0000"/>
              <x14:negativeBorderColor rgb="FFFF0000"/>
              <x14:axisColor rgb="FF000000"/>
            </x14:dataBar>
          </x14:cfRule>
          <xm:sqref>Z899</xm:sqref>
        </x14:conditionalFormatting>
        <x14:conditionalFormatting xmlns:xm="http://schemas.microsoft.com/office/excel/2006/main">
          <x14:cfRule type="dataBar" id="{0153220B-7B31-4862-B463-A203BD14B220}">
            <x14:dataBar minLength="0" maxLength="100" border="1" negativeBarBorderColorSameAsPositive="0">
              <x14:cfvo type="autoMin"/>
              <x14:cfvo type="autoMax"/>
              <x14:borderColor rgb="FF63C384"/>
              <x14:negativeFillColor rgb="FFFF0000"/>
              <x14:negativeBorderColor rgb="FFFF0000"/>
              <x14:axisColor rgb="FF000000"/>
            </x14:dataBar>
          </x14:cfRule>
          <xm:sqref>Z899</xm:sqref>
        </x14:conditionalFormatting>
        <x14:conditionalFormatting xmlns:xm="http://schemas.microsoft.com/office/excel/2006/main">
          <x14:cfRule type="dataBar" id="{8EE70794-EABA-4B21-9C1E-D088A13DB143}">
            <x14:dataBar minLength="0" maxLength="100" border="1" negativeBarBorderColorSameAsPositive="0">
              <x14:cfvo type="autoMin"/>
              <x14:cfvo type="autoMax"/>
              <x14:borderColor rgb="FF63C384"/>
              <x14:negativeFillColor rgb="FFFF0000"/>
              <x14:negativeBorderColor rgb="FFFF0000"/>
              <x14:axisColor rgb="FF000000"/>
            </x14:dataBar>
          </x14:cfRule>
          <xm:sqref>Z899</xm:sqref>
        </x14:conditionalFormatting>
        <x14:conditionalFormatting xmlns:xm="http://schemas.microsoft.com/office/excel/2006/main">
          <x14:cfRule type="dataBar" id="{2841F898-CCAB-44C6-8E42-8F4B6B5975DC}">
            <x14:dataBar minLength="0" maxLength="100" border="1" negativeBarBorderColorSameAsPositive="0">
              <x14:cfvo type="autoMin"/>
              <x14:cfvo type="autoMax"/>
              <x14:borderColor rgb="FF63C384"/>
              <x14:negativeFillColor rgb="FFFF0000"/>
              <x14:negativeBorderColor rgb="FFFF0000"/>
              <x14:axisColor rgb="FF000000"/>
            </x14:dataBar>
          </x14:cfRule>
          <xm:sqref>Z899</xm:sqref>
        </x14:conditionalFormatting>
        <x14:conditionalFormatting xmlns:xm="http://schemas.microsoft.com/office/excel/2006/main">
          <x14:cfRule type="dataBar" id="{BB1F5885-7FD3-4386-9044-182F828AB50D}">
            <x14:dataBar minLength="0" maxLength="100" border="1" negativeBarBorderColorSameAsPositive="0">
              <x14:cfvo type="autoMin"/>
              <x14:cfvo type="autoMax"/>
              <x14:borderColor rgb="FF63C384"/>
              <x14:negativeFillColor rgb="FFFF0000"/>
              <x14:negativeBorderColor rgb="FFFF0000"/>
              <x14:axisColor rgb="FF000000"/>
            </x14:dataBar>
          </x14:cfRule>
          <xm:sqref>AS1</xm:sqref>
        </x14:conditionalFormatting>
        <x14:conditionalFormatting xmlns:xm="http://schemas.microsoft.com/office/excel/2006/main">
          <x14:cfRule type="dataBar" id="{41446B3B-5AE6-4609-B19B-A69BC609CE8E}">
            <x14:dataBar minLength="0" maxLength="100" border="1" negativeBarBorderColorSameAsPositive="0">
              <x14:cfvo type="autoMin"/>
              <x14:cfvo type="autoMax"/>
              <x14:borderColor rgb="FF63C384"/>
              <x14:negativeFillColor rgb="FFFF0000"/>
              <x14:negativeBorderColor rgb="FFFF0000"/>
              <x14:axisColor rgb="FF000000"/>
            </x14:dataBar>
          </x14:cfRule>
          <xm:sqref>AS1</xm:sqref>
        </x14:conditionalFormatting>
        <x14:conditionalFormatting xmlns:xm="http://schemas.microsoft.com/office/excel/2006/main">
          <x14:cfRule type="dataBar" id="{1EE8C418-1761-4FE3-8E88-FD16062E25C2}">
            <x14:dataBar minLength="0" maxLength="100" border="1" negativeBarBorderColorSameAsPositive="0">
              <x14:cfvo type="autoMin"/>
              <x14:cfvo type="autoMax"/>
              <x14:borderColor rgb="FF63C384"/>
              <x14:negativeFillColor rgb="FFFF0000"/>
              <x14:negativeBorderColor rgb="FFFF0000"/>
              <x14:axisColor rgb="FF000000"/>
            </x14:dataBar>
          </x14:cfRule>
          <xm:sqref>AS1</xm:sqref>
        </x14:conditionalFormatting>
        <x14:conditionalFormatting xmlns:xm="http://schemas.microsoft.com/office/excel/2006/main">
          <x14:cfRule type="dataBar" id="{A4F9B89A-7FC4-4D07-B973-2F55652F1684}">
            <x14:dataBar minLength="0" maxLength="100" border="1" negativeBarBorderColorSameAsPositive="0">
              <x14:cfvo type="autoMin"/>
              <x14:cfvo type="autoMax"/>
              <x14:borderColor rgb="FF63C384"/>
              <x14:negativeFillColor rgb="FFFF0000"/>
              <x14:negativeBorderColor rgb="FFFF0000"/>
              <x14:axisColor rgb="FF000000"/>
            </x14:dataBar>
          </x14:cfRule>
          <xm:sqref>AS1</xm:sqref>
        </x14:conditionalFormatting>
        <x14:conditionalFormatting xmlns:xm="http://schemas.microsoft.com/office/excel/2006/main">
          <x14:cfRule type="dataBar" id="{DB9902EF-8C7A-4494-BF20-1C20697266A5}">
            <x14:dataBar minLength="0" maxLength="100" border="1" negativeBarBorderColorSameAsPositive="0">
              <x14:cfvo type="autoMin"/>
              <x14:cfvo type="autoMax"/>
              <x14:borderColor rgb="FF63C384"/>
              <x14:negativeFillColor rgb="FFFF0000"/>
              <x14:negativeBorderColor rgb="FFFF0000"/>
              <x14:axisColor rgb="FF000000"/>
            </x14:dataBar>
          </x14:cfRule>
          <xm:sqref>AS1</xm:sqref>
        </x14:conditionalFormatting>
        <x14:conditionalFormatting xmlns:xm="http://schemas.microsoft.com/office/excel/2006/main">
          <x14:cfRule type="dataBar" id="{100446FA-21C2-44E1-95D4-10AD1D1A3440}">
            <x14:dataBar minLength="0" maxLength="100" border="1" negativeBarBorderColorSameAsPositive="0">
              <x14:cfvo type="autoMin"/>
              <x14:cfvo type="autoMax"/>
              <x14:borderColor rgb="FF63C384"/>
              <x14:negativeFillColor rgb="FFFF0000"/>
              <x14:negativeBorderColor rgb="FFFF0000"/>
              <x14:axisColor rgb="FF000000"/>
            </x14:dataBar>
          </x14:cfRule>
          <xm:sqref>AS1</xm:sqref>
        </x14:conditionalFormatting>
        <x14:conditionalFormatting xmlns:xm="http://schemas.microsoft.com/office/excel/2006/main">
          <x14:cfRule type="dataBar" id="{11BFFB7F-6286-41F3-BFBF-3BC1E20D8E90}">
            <x14:dataBar minLength="0" maxLength="100" border="1" negativeBarBorderColorSameAsPositive="0">
              <x14:cfvo type="autoMin"/>
              <x14:cfvo type="autoMax"/>
              <x14:borderColor rgb="FF63C384"/>
              <x14:negativeFillColor rgb="FFFF0000"/>
              <x14:negativeBorderColor rgb="FFFF0000"/>
              <x14:axisColor rgb="FF000000"/>
            </x14:dataBar>
          </x14:cfRule>
          <xm:sqref>Z900:Z901</xm:sqref>
        </x14:conditionalFormatting>
        <x14:conditionalFormatting xmlns:xm="http://schemas.microsoft.com/office/excel/2006/main">
          <x14:cfRule type="dataBar" id="{AB9D8137-F64D-40D4-B9A9-6794ECC79181}">
            <x14:dataBar minLength="0" maxLength="100" border="1" negativeBarBorderColorSameAsPositive="0">
              <x14:cfvo type="autoMin"/>
              <x14:cfvo type="autoMax"/>
              <x14:borderColor rgb="FF63C384"/>
              <x14:negativeFillColor rgb="FFFF0000"/>
              <x14:negativeBorderColor rgb="FFFF0000"/>
              <x14:axisColor rgb="FF000000"/>
            </x14:dataBar>
          </x14:cfRule>
          <xm:sqref>Z900:Z901</xm:sqref>
        </x14:conditionalFormatting>
        <x14:conditionalFormatting xmlns:xm="http://schemas.microsoft.com/office/excel/2006/main">
          <x14:cfRule type="dataBar" id="{EE8E87FB-14FC-4561-BCDF-BABEBC92383F}">
            <x14:dataBar minLength="0" maxLength="100" border="1" negativeBarBorderColorSameAsPositive="0">
              <x14:cfvo type="autoMin"/>
              <x14:cfvo type="autoMax"/>
              <x14:borderColor rgb="FF63C384"/>
              <x14:negativeFillColor rgb="FFFF0000"/>
              <x14:negativeBorderColor rgb="FFFF0000"/>
              <x14:axisColor rgb="FF000000"/>
            </x14:dataBar>
          </x14:cfRule>
          <xm:sqref>Z902</xm:sqref>
        </x14:conditionalFormatting>
        <x14:conditionalFormatting xmlns:xm="http://schemas.microsoft.com/office/excel/2006/main">
          <x14:cfRule type="dataBar" id="{FF0940AB-2815-4E51-BEC3-86821DA44E40}">
            <x14:dataBar minLength="0" maxLength="100" border="1" negativeBarBorderColorSameAsPositive="0">
              <x14:cfvo type="autoMin"/>
              <x14:cfvo type="autoMax"/>
              <x14:borderColor rgb="FF63C384"/>
              <x14:negativeFillColor rgb="FFFF0000"/>
              <x14:negativeBorderColor rgb="FFFF0000"/>
              <x14:axisColor rgb="FF000000"/>
            </x14:dataBar>
          </x14:cfRule>
          <xm:sqref>Z902</xm:sqref>
        </x14:conditionalFormatting>
        <x14:conditionalFormatting xmlns:xm="http://schemas.microsoft.com/office/excel/2006/main">
          <x14:cfRule type="dataBar" id="{AADFB624-960E-4A3F-B15B-61DB86664CA7}">
            <x14:dataBar minLength="0" maxLength="100" border="1" negativeBarBorderColorSameAsPositive="0">
              <x14:cfvo type="autoMin"/>
              <x14:cfvo type="autoMax"/>
              <x14:borderColor rgb="FF63C384"/>
              <x14:negativeFillColor rgb="FFFF0000"/>
              <x14:negativeBorderColor rgb="FFFF0000"/>
              <x14:axisColor rgb="FF000000"/>
            </x14:dataBar>
          </x14:cfRule>
          <xm:sqref>Z902</xm:sqref>
        </x14:conditionalFormatting>
        <x14:conditionalFormatting xmlns:xm="http://schemas.microsoft.com/office/excel/2006/main">
          <x14:cfRule type="dataBar" id="{E48409B7-0EFD-4DDF-A298-CB5F23D20957}">
            <x14:dataBar minLength="0" maxLength="100" border="1" negativeBarBorderColorSameAsPositive="0">
              <x14:cfvo type="autoMin"/>
              <x14:cfvo type="autoMax"/>
              <x14:borderColor rgb="FF63C384"/>
              <x14:negativeFillColor rgb="FFFF0000"/>
              <x14:negativeBorderColor rgb="FFFF0000"/>
              <x14:axisColor rgb="FF000000"/>
            </x14:dataBar>
          </x14:cfRule>
          <xm:sqref>Z902</xm:sqref>
        </x14:conditionalFormatting>
        <x14:conditionalFormatting xmlns:xm="http://schemas.microsoft.com/office/excel/2006/main">
          <x14:cfRule type="dataBar" id="{BD68AB70-4149-4BC7-9313-1228F9632DC5}">
            <x14:dataBar minLength="0" maxLength="100" border="1" negativeBarBorderColorSameAsPositive="0">
              <x14:cfvo type="autoMin"/>
              <x14:cfvo type="autoMax"/>
              <x14:borderColor rgb="FF63C384"/>
              <x14:negativeFillColor rgb="FFFF0000"/>
              <x14:negativeBorderColor rgb="FFFF0000"/>
              <x14:axisColor rgb="FF000000"/>
            </x14:dataBar>
          </x14:cfRule>
          <xm:sqref>Z903</xm:sqref>
        </x14:conditionalFormatting>
        <x14:conditionalFormatting xmlns:xm="http://schemas.microsoft.com/office/excel/2006/main">
          <x14:cfRule type="dataBar" id="{87D5641E-F372-474F-BE46-3AC423B808E1}">
            <x14:dataBar minLength="0" maxLength="100" border="1" negativeBarBorderColorSameAsPositive="0">
              <x14:cfvo type="autoMin"/>
              <x14:cfvo type="autoMax"/>
              <x14:borderColor rgb="FF63C384"/>
              <x14:negativeFillColor rgb="FFFF0000"/>
              <x14:negativeBorderColor rgb="FFFF0000"/>
              <x14:axisColor rgb="FF000000"/>
            </x14:dataBar>
          </x14:cfRule>
          <xm:sqref>Z903</xm:sqref>
        </x14:conditionalFormatting>
        <x14:conditionalFormatting xmlns:xm="http://schemas.microsoft.com/office/excel/2006/main">
          <x14:cfRule type="dataBar" id="{64E0A8C1-9F32-418B-B8BA-8B527474B3BE}">
            <x14:dataBar minLength="0" maxLength="100" border="1" negativeBarBorderColorSameAsPositive="0">
              <x14:cfvo type="autoMin"/>
              <x14:cfvo type="autoMax"/>
              <x14:borderColor rgb="FF63C384"/>
              <x14:negativeFillColor rgb="FFFF0000"/>
              <x14:negativeBorderColor rgb="FFFF0000"/>
              <x14:axisColor rgb="FF000000"/>
            </x14:dataBar>
          </x14:cfRule>
          <xm:sqref>Z904</xm:sqref>
        </x14:conditionalFormatting>
        <x14:conditionalFormatting xmlns:xm="http://schemas.microsoft.com/office/excel/2006/main">
          <x14:cfRule type="dataBar" id="{D6231E82-4529-46C6-A919-164A42530079}">
            <x14:dataBar minLength="0" maxLength="100" border="1" negativeBarBorderColorSameAsPositive="0">
              <x14:cfvo type="autoMin"/>
              <x14:cfvo type="autoMax"/>
              <x14:borderColor rgb="FF63C384"/>
              <x14:negativeFillColor rgb="FFFF0000"/>
              <x14:negativeBorderColor rgb="FFFF0000"/>
              <x14:axisColor rgb="FF000000"/>
            </x14:dataBar>
          </x14:cfRule>
          <xm:sqref>Z906</xm:sqref>
        </x14:conditionalFormatting>
        <x14:conditionalFormatting xmlns:xm="http://schemas.microsoft.com/office/excel/2006/main">
          <x14:cfRule type="dataBar" id="{2AD4BBC2-3963-44FB-A27F-FFF44672CB11}">
            <x14:dataBar minLength="0" maxLength="100" border="1" negativeBarBorderColorSameAsPositive="0">
              <x14:cfvo type="autoMin"/>
              <x14:cfvo type="autoMax"/>
              <x14:borderColor rgb="FF63C384"/>
              <x14:negativeFillColor rgb="FFFF0000"/>
              <x14:negativeBorderColor rgb="FFFF0000"/>
              <x14:axisColor rgb="FF000000"/>
            </x14:dataBar>
          </x14:cfRule>
          <xm:sqref>Z906</xm:sqref>
        </x14:conditionalFormatting>
        <x14:conditionalFormatting xmlns:xm="http://schemas.microsoft.com/office/excel/2006/main">
          <x14:cfRule type="dataBar" id="{E487A119-B75A-4B2D-AFA2-2A7538254792}">
            <x14:dataBar minLength="0" maxLength="100" border="1" negativeBarBorderColorSameAsPositive="0">
              <x14:cfvo type="autoMin"/>
              <x14:cfvo type="autoMax"/>
              <x14:borderColor rgb="FF63C384"/>
              <x14:negativeFillColor rgb="FFFF0000"/>
              <x14:negativeBorderColor rgb="FFFF0000"/>
              <x14:axisColor rgb="FF000000"/>
            </x14:dataBar>
          </x14:cfRule>
          <xm:sqref>Z905</xm:sqref>
        </x14:conditionalFormatting>
        <x14:conditionalFormatting xmlns:xm="http://schemas.microsoft.com/office/excel/2006/main">
          <x14:cfRule type="dataBar" id="{BABEAABB-AAA9-448A-AE85-77E8ECE80C58}">
            <x14:dataBar minLength="0" maxLength="100" border="1" negativeBarBorderColorSameAsPositive="0">
              <x14:cfvo type="autoMin"/>
              <x14:cfvo type="autoMax"/>
              <x14:borderColor rgb="FF63C384"/>
              <x14:negativeFillColor rgb="FFFF0000"/>
              <x14:negativeBorderColor rgb="FFFF0000"/>
              <x14:axisColor rgb="FF000000"/>
            </x14:dataBar>
          </x14:cfRule>
          <xm:sqref>Z905</xm:sqref>
        </x14:conditionalFormatting>
        <x14:conditionalFormatting xmlns:xm="http://schemas.microsoft.com/office/excel/2006/main">
          <x14:cfRule type="dataBar" id="{0D0B01EF-0BC6-4E83-929B-B5C129C8A3DC}">
            <x14:dataBar minLength="0" maxLength="100" border="1" negativeBarBorderColorSameAsPositive="0">
              <x14:cfvo type="autoMin"/>
              <x14:cfvo type="autoMax"/>
              <x14:borderColor rgb="FF63C384"/>
              <x14:negativeFillColor rgb="FFFF0000"/>
              <x14:negativeBorderColor rgb="FFFF0000"/>
              <x14:axisColor rgb="FF000000"/>
            </x14:dataBar>
          </x14:cfRule>
          <xm:sqref>Z905</xm:sqref>
        </x14:conditionalFormatting>
        <x14:conditionalFormatting xmlns:xm="http://schemas.microsoft.com/office/excel/2006/main">
          <x14:cfRule type="dataBar" id="{CF82CB7C-B9AC-42A8-84F1-4CF97FC2A563}">
            <x14:dataBar minLength="0" maxLength="100" border="1" negativeBarBorderColorSameAsPositive="0">
              <x14:cfvo type="autoMin"/>
              <x14:cfvo type="autoMax"/>
              <x14:borderColor rgb="FF63C384"/>
              <x14:negativeFillColor rgb="FFFF0000"/>
              <x14:negativeBorderColor rgb="FFFF0000"/>
              <x14:axisColor rgb="FF000000"/>
            </x14:dataBar>
          </x14:cfRule>
          <xm:sqref>Z905</xm:sqref>
        </x14:conditionalFormatting>
        <x14:conditionalFormatting xmlns:xm="http://schemas.microsoft.com/office/excel/2006/main">
          <x14:cfRule type="dataBar" id="{610BFFC9-E165-4718-97F4-ABF7BF66069F}">
            <x14:dataBar minLength="0" maxLength="100" border="1" negativeBarBorderColorSameAsPositive="0">
              <x14:cfvo type="autoMin"/>
              <x14:cfvo type="autoMax"/>
              <x14:borderColor rgb="FF63C384"/>
              <x14:negativeFillColor rgb="FFFF0000"/>
              <x14:negativeBorderColor rgb="FFFF0000"/>
              <x14:axisColor rgb="FF000000"/>
            </x14:dataBar>
          </x14:cfRule>
          <xm:sqref>Z907</xm:sqref>
        </x14:conditionalFormatting>
        <x14:conditionalFormatting xmlns:xm="http://schemas.microsoft.com/office/excel/2006/main">
          <x14:cfRule type="dataBar" id="{44531B2A-E196-438F-B637-0047AD2C1FA0}">
            <x14:dataBar minLength="0" maxLength="100" border="1" negativeBarBorderColorSameAsPositive="0">
              <x14:cfvo type="autoMin"/>
              <x14:cfvo type="autoMax"/>
              <x14:borderColor rgb="FF63C384"/>
              <x14:negativeFillColor rgb="FFFF0000"/>
              <x14:negativeBorderColor rgb="FFFF0000"/>
              <x14:axisColor rgb="FF000000"/>
            </x14:dataBar>
          </x14:cfRule>
          <xm:sqref>Z907</xm:sqref>
        </x14:conditionalFormatting>
        <x14:conditionalFormatting xmlns:xm="http://schemas.microsoft.com/office/excel/2006/main">
          <x14:cfRule type="dataBar" id="{0215210E-7F6E-493F-9176-17EB397C4AEF}">
            <x14:dataBar minLength="0" maxLength="100" border="1" negativeBarBorderColorSameAsPositive="0">
              <x14:cfvo type="autoMin"/>
              <x14:cfvo type="autoMax"/>
              <x14:borderColor rgb="FF63C384"/>
              <x14:negativeFillColor rgb="FFFF0000"/>
              <x14:negativeBorderColor rgb="FFFF0000"/>
              <x14:axisColor rgb="FF000000"/>
            </x14:dataBar>
          </x14:cfRule>
          <xm:sqref>Z908</xm:sqref>
        </x14:conditionalFormatting>
        <x14:conditionalFormatting xmlns:xm="http://schemas.microsoft.com/office/excel/2006/main">
          <x14:cfRule type="dataBar" id="{BB07C129-B222-47DA-B410-4CDAD6BFDD27}">
            <x14:dataBar minLength="0" maxLength="100" border="1" negativeBarBorderColorSameAsPositive="0">
              <x14:cfvo type="autoMin"/>
              <x14:cfvo type="autoMax"/>
              <x14:borderColor rgb="FF63C384"/>
              <x14:negativeFillColor rgb="FFFF0000"/>
              <x14:negativeBorderColor rgb="FFFF0000"/>
              <x14:axisColor rgb="FF000000"/>
            </x14:dataBar>
          </x14:cfRule>
          <xm:sqref>Z908</xm:sqref>
        </x14:conditionalFormatting>
        <x14:conditionalFormatting xmlns:xm="http://schemas.microsoft.com/office/excel/2006/main">
          <x14:cfRule type="dataBar" id="{E0C0C5A1-8024-48C4-BEEB-7721D79CA234}">
            <x14:dataBar minLength="0" maxLength="100" border="1" negativeBarBorderColorSameAsPositive="0">
              <x14:cfvo type="autoMin"/>
              <x14:cfvo type="autoMax"/>
              <x14:borderColor rgb="FF63C384"/>
              <x14:negativeFillColor rgb="FFFF0000"/>
              <x14:negativeBorderColor rgb="FFFF0000"/>
              <x14:axisColor rgb="FF000000"/>
            </x14:dataBar>
          </x14:cfRule>
          <xm:sqref>Z908</xm:sqref>
        </x14:conditionalFormatting>
        <x14:conditionalFormatting xmlns:xm="http://schemas.microsoft.com/office/excel/2006/main">
          <x14:cfRule type="dataBar" id="{18023DE7-71CE-4857-B9CC-DF30E9C56A7E}">
            <x14:dataBar minLength="0" maxLength="100" border="1" negativeBarBorderColorSameAsPositive="0">
              <x14:cfvo type="autoMin"/>
              <x14:cfvo type="autoMax"/>
              <x14:borderColor rgb="FF63C384"/>
              <x14:negativeFillColor rgb="FFFF0000"/>
              <x14:negativeBorderColor rgb="FFFF0000"/>
              <x14:axisColor rgb="FF000000"/>
            </x14:dataBar>
          </x14:cfRule>
          <xm:sqref>Z908</xm:sqref>
        </x14:conditionalFormatting>
        <x14:conditionalFormatting xmlns:xm="http://schemas.microsoft.com/office/excel/2006/main">
          <x14:cfRule type="dataBar" id="{09094C09-0C1D-4744-801E-F49059A73A3B}">
            <x14:dataBar minLength="0" maxLength="100" border="1" negativeBarBorderColorSameAsPositive="0">
              <x14:cfvo type="autoMin"/>
              <x14:cfvo type="autoMax"/>
              <x14:borderColor rgb="FF63C384"/>
              <x14:negativeFillColor rgb="FFFF0000"/>
              <x14:negativeBorderColor rgb="FFFF0000"/>
              <x14:axisColor rgb="FF000000"/>
            </x14:dataBar>
          </x14:cfRule>
          <xm:sqref>Z909</xm:sqref>
        </x14:conditionalFormatting>
        <x14:conditionalFormatting xmlns:xm="http://schemas.microsoft.com/office/excel/2006/main">
          <x14:cfRule type="dataBar" id="{B8430172-F918-4A00-B65C-975E5D2CCB51}">
            <x14:dataBar minLength="0" maxLength="100" border="1" negativeBarBorderColorSameAsPositive="0">
              <x14:cfvo type="autoMin"/>
              <x14:cfvo type="autoMax"/>
              <x14:borderColor rgb="FF63C384"/>
              <x14:negativeFillColor rgb="FFFF0000"/>
              <x14:negativeBorderColor rgb="FFFF0000"/>
              <x14:axisColor rgb="FF000000"/>
            </x14:dataBar>
          </x14:cfRule>
          <xm:sqref>Z909</xm:sqref>
        </x14:conditionalFormatting>
        <x14:conditionalFormatting xmlns:xm="http://schemas.microsoft.com/office/excel/2006/main">
          <x14:cfRule type="dataBar" id="{5DA62AA4-6791-4D88-B736-8B46A0BE9E84}">
            <x14:dataBar minLength="0" maxLength="100" border="1" negativeBarBorderColorSameAsPositive="0">
              <x14:cfvo type="autoMin"/>
              <x14:cfvo type="autoMax"/>
              <x14:borderColor rgb="FF63C384"/>
              <x14:negativeFillColor rgb="FFFF0000"/>
              <x14:negativeBorderColor rgb="FFFF0000"/>
              <x14:axisColor rgb="FF000000"/>
            </x14:dataBar>
          </x14:cfRule>
          <xm:sqref>Z910</xm:sqref>
        </x14:conditionalFormatting>
        <x14:conditionalFormatting xmlns:xm="http://schemas.microsoft.com/office/excel/2006/main">
          <x14:cfRule type="dataBar" id="{FBF4B846-0E00-4A8F-8842-8CF781307056}">
            <x14:dataBar minLength="0" maxLength="100" border="1" negativeBarBorderColorSameAsPositive="0">
              <x14:cfvo type="autoMin"/>
              <x14:cfvo type="autoMax"/>
              <x14:borderColor rgb="FF63C384"/>
              <x14:negativeFillColor rgb="FFFF0000"/>
              <x14:negativeBorderColor rgb="FFFF0000"/>
              <x14:axisColor rgb="FF000000"/>
            </x14:dataBar>
          </x14:cfRule>
          <xm:sqref>Z910</xm:sqref>
        </x14:conditionalFormatting>
        <x14:conditionalFormatting xmlns:xm="http://schemas.microsoft.com/office/excel/2006/main">
          <x14:cfRule type="dataBar" id="{4BBD7651-10B0-4823-BFFC-BB90ED5E1F68}">
            <x14:dataBar minLength="0" maxLength="100" border="1" negativeBarBorderColorSameAsPositive="0">
              <x14:cfvo type="autoMin"/>
              <x14:cfvo type="autoMax"/>
              <x14:borderColor rgb="FF63C384"/>
              <x14:negativeFillColor rgb="FFFF0000"/>
              <x14:negativeBorderColor rgb="FFFF0000"/>
              <x14:axisColor rgb="FF000000"/>
            </x14:dataBar>
          </x14:cfRule>
          <xm:sqref>Z911:Z912</xm:sqref>
        </x14:conditionalFormatting>
        <x14:conditionalFormatting xmlns:xm="http://schemas.microsoft.com/office/excel/2006/main">
          <x14:cfRule type="dataBar" id="{313DBBC7-7BDA-4405-B24E-FE63F72AEE63}">
            <x14:dataBar minLength="0" maxLength="100" border="1" negativeBarBorderColorSameAsPositive="0">
              <x14:cfvo type="autoMin"/>
              <x14:cfvo type="autoMax"/>
              <x14:borderColor rgb="FF63C384"/>
              <x14:negativeFillColor rgb="FFFF0000"/>
              <x14:negativeBorderColor rgb="FFFF0000"/>
              <x14:axisColor rgb="FF000000"/>
            </x14:dataBar>
          </x14:cfRule>
          <xm:sqref>Z911:Z912</xm:sqref>
        </x14:conditionalFormatting>
        <x14:conditionalFormatting xmlns:xm="http://schemas.microsoft.com/office/excel/2006/main">
          <x14:cfRule type="dataBar" id="{ABAD4A5F-4825-4256-9E30-8AF3E00F4D7C}">
            <x14:dataBar minLength="0" maxLength="100" border="1" negativeBarBorderColorSameAsPositive="0">
              <x14:cfvo type="autoMin"/>
              <x14:cfvo type="autoMax"/>
              <x14:borderColor rgb="FF63C384"/>
              <x14:negativeFillColor rgb="FFFF0000"/>
              <x14:negativeBorderColor rgb="FFFF0000"/>
              <x14:axisColor rgb="FF000000"/>
            </x14:dataBar>
          </x14:cfRule>
          <xm:sqref>Z913</xm:sqref>
        </x14:conditionalFormatting>
        <x14:conditionalFormatting xmlns:xm="http://schemas.microsoft.com/office/excel/2006/main">
          <x14:cfRule type="dataBar" id="{26AE5241-C699-4E66-876E-529E4C6514C5}">
            <x14:dataBar minLength="0" maxLength="100" border="1" negativeBarBorderColorSameAsPositive="0">
              <x14:cfvo type="autoMin"/>
              <x14:cfvo type="autoMax"/>
              <x14:borderColor rgb="FF63C384"/>
              <x14:negativeFillColor rgb="FFFF0000"/>
              <x14:negativeBorderColor rgb="FFFF0000"/>
              <x14:axisColor rgb="FF000000"/>
            </x14:dataBar>
          </x14:cfRule>
          <xm:sqref>Z913</xm:sqref>
        </x14:conditionalFormatting>
        <x14:conditionalFormatting xmlns:xm="http://schemas.microsoft.com/office/excel/2006/main">
          <x14:cfRule type="dataBar" id="{F9E72A07-3328-49A8-A835-EE8B67806905}">
            <x14:dataBar minLength="0" maxLength="100" border="1" negativeBarBorderColorSameAsPositive="0">
              <x14:cfvo type="autoMin"/>
              <x14:cfvo type="autoMax"/>
              <x14:borderColor rgb="FF63C384"/>
              <x14:negativeFillColor rgb="FFFF0000"/>
              <x14:negativeBorderColor rgb="FFFF0000"/>
              <x14:axisColor rgb="FF000000"/>
            </x14:dataBar>
          </x14:cfRule>
          <xm:sqref>Z913</xm:sqref>
        </x14:conditionalFormatting>
        <x14:conditionalFormatting xmlns:xm="http://schemas.microsoft.com/office/excel/2006/main">
          <x14:cfRule type="dataBar" id="{0523866F-FD18-4477-9923-AFD8C32DB71F}">
            <x14:dataBar minLength="0" maxLength="100" border="1" negativeBarBorderColorSameAsPositive="0">
              <x14:cfvo type="autoMin"/>
              <x14:cfvo type="autoMax"/>
              <x14:borderColor rgb="FF63C384"/>
              <x14:negativeFillColor rgb="FFFF0000"/>
              <x14:negativeBorderColor rgb="FFFF0000"/>
              <x14:axisColor rgb="FF000000"/>
            </x14:dataBar>
          </x14:cfRule>
          <xm:sqref>Z913</xm:sqref>
        </x14:conditionalFormatting>
        <x14:conditionalFormatting xmlns:xm="http://schemas.microsoft.com/office/excel/2006/main">
          <x14:cfRule type="dataBar" id="{DC64CEEB-2074-42A9-9677-48DB524D8188}">
            <x14:dataBar minLength="0" maxLength="100" border="1" negativeBarBorderColorSameAsPositive="0">
              <x14:cfvo type="autoMin"/>
              <x14:cfvo type="autoMax"/>
              <x14:borderColor rgb="FF63C384"/>
              <x14:negativeFillColor rgb="FFFF0000"/>
              <x14:negativeBorderColor rgb="FFFF0000"/>
              <x14:axisColor rgb="FF000000"/>
            </x14:dataBar>
          </x14:cfRule>
          <xm:sqref>Z914</xm:sqref>
        </x14:conditionalFormatting>
        <x14:conditionalFormatting xmlns:xm="http://schemas.microsoft.com/office/excel/2006/main">
          <x14:cfRule type="dataBar" id="{A8B254B2-CFB8-42FB-90AA-93FF79690523}">
            <x14:dataBar minLength="0" maxLength="100" border="1" negativeBarBorderColorSameAsPositive="0">
              <x14:cfvo type="autoMin"/>
              <x14:cfvo type="autoMax"/>
              <x14:borderColor rgb="FF63C384"/>
              <x14:negativeFillColor rgb="FFFF0000"/>
              <x14:negativeBorderColor rgb="FFFF0000"/>
              <x14:axisColor rgb="FF000000"/>
            </x14:dataBar>
          </x14:cfRule>
          <xm:sqref>Z914</xm:sqref>
        </x14:conditionalFormatting>
        <x14:conditionalFormatting xmlns:xm="http://schemas.microsoft.com/office/excel/2006/main">
          <x14:cfRule type="dataBar" id="{A68F7439-C01B-4FCB-889F-A25CCC4404EC}">
            <x14:dataBar minLength="0" maxLength="100" border="1" negativeBarBorderColorSameAsPositive="0">
              <x14:cfvo type="autoMin"/>
              <x14:cfvo type="autoMax"/>
              <x14:borderColor rgb="FF63C384"/>
              <x14:negativeFillColor rgb="FFFF0000"/>
              <x14:negativeBorderColor rgb="FFFF0000"/>
              <x14:axisColor rgb="FF000000"/>
            </x14:dataBar>
          </x14:cfRule>
          <xm:sqref>Z915</xm:sqref>
        </x14:conditionalFormatting>
        <x14:conditionalFormatting xmlns:xm="http://schemas.microsoft.com/office/excel/2006/main">
          <x14:cfRule type="dataBar" id="{94233570-B744-4B50-A33F-9A6D5C5A754C}">
            <x14:dataBar minLength="0" maxLength="100" border="1" negativeBarBorderColorSameAsPositive="0">
              <x14:cfvo type="autoMin"/>
              <x14:cfvo type="autoMax"/>
              <x14:borderColor rgb="FF63C384"/>
              <x14:negativeFillColor rgb="FFFF0000"/>
              <x14:negativeBorderColor rgb="FFFF0000"/>
              <x14:axisColor rgb="FF000000"/>
            </x14:dataBar>
          </x14:cfRule>
          <xm:sqref>Z915</xm:sqref>
        </x14:conditionalFormatting>
        <x14:conditionalFormatting xmlns:xm="http://schemas.microsoft.com/office/excel/2006/main">
          <x14:cfRule type="dataBar" id="{A6E6A119-FA52-4181-BE47-4B3AAF07CC47}">
            <x14:dataBar minLength="0" maxLength="100" border="1" negativeBarBorderColorSameAsPositive="0">
              <x14:cfvo type="autoMin"/>
              <x14:cfvo type="autoMax"/>
              <x14:borderColor rgb="FF63C384"/>
              <x14:negativeFillColor rgb="FFFF0000"/>
              <x14:negativeBorderColor rgb="FFFF0000"/>
              <x14:axisColor rgb="FF000000"/>
            </x14:dataBar>
          </x14:cfRule>
          <xm:sqref>Z916</xm:sqref>
        </x14:conditionalFormatting>
        <x14:conditionalFormatting xmlns:xm="http://schemas.microsoft.com/office/excel/2006/main">
          <x14:cfRule type="dataBar" id="{CA3E5421-8E5B-46CD-AF9B-FE3906052B93}">
            <x14:dataBar minLength="0" maxLength="100" border="1" negativeBarBorderColorSameAsPositive="0">
              <x14:cfvo type="autoMin"/>
              <x14:cfvo type="autoMax"/>
              <x14:borderColor rgb="FF63C384"/>
              <x14:negativeFillColor rgb="FFFF0000"/>
              <x14:negativeBorderColor rgb="FFFF0000"/>
              <x14:axisColor rgb="FF000000"/>
            </x14:dataBar>
          </x14:cfRule>
          <xm:sqref>Z916</xm:sqref>
        </x14:conditionalFormatting>
        <x14:conditionalFormatting xmlns:xm="http://schemas.microsoft.com/office/excel/2006/main">
          <x14:cfRule type="dataBar" id="{90A33AFE-29C7-41DC-B962-2A24102B908E}">
            <x14:dataBar minLength="0" maxLength="100" border="1" negativeBarBorderColorSameAsPositive="0">
              <x14:cfvo type="autoMin"/>
              <x14:cfvo type="autoMax"/>
              <x14:borderColor rgb="FF63C384"/>
              <x14:negativeFillColor rgb="FFFF0000"/>
              <x14:negativeBorderColor rgb="FFFF0000"/>
              <x14:axisColor rgb="FF000000"/>
            </x14:dataBar>
          </x14:cfRule>
          <xm:sqref>Z918</xm:sqref>
        </x14:conditionalFormatting>
        <x14:conditionalFormatting xmlns:xm="http://schemas.microsoft.com/office/excel/2006/main">
          <x14:cfRule type="dataBar" id="{D56CB46F-B3CD-462E-8594-5555ECF1933F}">
            <x14:dataBar minLength="0" maxLength="100" border="1" negativeBarBorderColorSameAsPositive="0">
              <x14:cfvo type="autoMin"/>
              <x14:cfvo type="autoMax"/>
              <x14:borderColor rgb="FF63C384"/>
              <x14:negativeFillColor rgb="FFFF0000"/>
              <x14:negativeBorderColor rgb="FFFF0000"/>
              <x14:axisColor rgb="FF000000"/>
            </x14:dataBar>
          </x14:cfRule>
          <xm:sqref>Z918</xm:sqref>
        </x14:conditionalFormatting>
        <x14:conditionalFormatting xmlns:xm="http://schemas.microsoft.com/office/excel/2006/main">
          <x14:cfRule type="dataBar" id="{FF622F72-914A-475D-9516-BDC4E1B58741}">
            <x14:dataBar minLength="0" maxLength="100" border="1" negativeBarBorderColorSameAsPositive="0">
              <x14:cfvo type="autoMin"/>
              <x14:cfvo type="autoMax"/>
              <x14:borderColor rgb="FF63C384"/>
              <x14:negativeFillColor rgb="FFFF0000"/>
              <x14:negativeBorderColor rgb="FFFF0000"/>
              <x14:axisColor rgb="FF000000"/>
            </x14:dataBar>
          </x14:cfRule>
          <xm:sqref>Z918</xm:sqref>
        </x14:conditionalFormatting>
        <x14:conditionalFormatting xmlns:xm="http://schemas.microsoft.com/office/excel/2006/main">
          <x14:cfRule type="dataBar" id="{ADFE7C0D-E439-460C-BCAC-57F4A90AB7FF}">
            <x14:dataBar minLength="0" maxLength="100" border="1" negativeBarBorderColorSameAsPositive="0">
              <x14:cfvo type="autoMin"/>
              <x14:cfvo type="autoMax"/>
              <x14:borderColor rgb="FF63C384"/>
              <x14:negativeFillColor rgb="FFFF0000"/>
              <x14:negativeBorderColor rgb="FFFF0000"/>
              <x14:axisColor rgb="FF000000"/>
            </x14:dataBar>
          </x14:cfRule>
          <xm:sqref>Z918</xm:sqref>
        </x14:conditionalFormatting>
        <x14:conditionalFormatting xmlns:xm="http://schemas.microsoft.com/office/excel/2006/main">
          <x14:cfRule type="dataBar" id="{7D08160C-C365-4622-8DBF-2BD91CAE0422}">
            <x14:dataBar minLength="0" maxLength="100" border="1" negativeBarBorderColorSameAsPositive="0">
              <x14:cfvo type="autoMin"/>
              <x14:cfvo type="autoMax"/>
              <x14:borderColor rgb="FF63C384"/>
              <x14:negativeFillColor rgb="FFFF0000"/>
              <x14:negativeBorderColor rgb="FFFF0000"/>
              <x14:axisColor rgb="FF000000"/>
            </x14:dataBar>
          </x14:cfRule>
          <xm:sqref>Z918</xm:sqref>
        </x14:conditionalFormatting>
        <x14:conditionalFormatting xmlns:xm="http://schemas.microsoft.com/office/excel/2006/main">
          <x14:cfRule type="dataBar" id="{1801957E-D1A3-44F0-B8C0-4D93E4618BEC}">
            <x14:dataBar minLength="0" maxLength="100" border="1" negativeBarBorderColorSameAsPositive="0">
              <x14:cfvo type="autoMin"/>
              <x14:cfvo type="autoMax"/>
              <x14:borderColor rgb="FF63C384"/>
              <x14:negativeFillColor rgb="FFFF0000"/>
              <x14:negativeBorderColor rgb="FFFF0000"/>
              <x14:axisColor rgb="FF000000"/>
            </x14:dataBar>
          </x14:cfRule>
          <xm:sqref>Z918</xm:sqref>
        </x14:conditionalFormatting>
        <x14:conditionalFormatting xmlns:xm="http://schemas.microsoft.com/office/excel/2006/main">
          <x14:cfRule type="dataBar" id="{4A4A6081-E66E-40B7-885C-39BAC44F0550}">
            <x14:dataBar minLength="0" maxLength="100" border="1" negativeBarBorderColorSameAsPositive="0">
              <x14:cfvo type="autoMin"/>
              <x14:cfvo type="autoMax"/>
              <x14:borderColor rgb="FF63C384"/>
              <x14:negativeFillColor rgb="FFFF0000"/>
              <x14:negativeBorderColor rgb="FFFF0000"/>
              <x14:axisColor rgb="FF000000"/>
            </x14:dataBar>
          </x14:cfRule>
          <xm:sqref>Z918</xm:sqref>
        </x14:conditionalFormatting>
        <x14:conditionalFormatting xmlns:xm="http://schemas.microsoft.com/office/excel/2006/main">
          <x14:cfRule type="dataBar" id="{6124173F-F934-4ADF-A833-5182E639AB9F}">
            <x14:dataBar minLength="0" maxLength="100" border="1" negativeBarBorderColorSameAsPositive="0">
              <x14:cfvo type="autoMin"/>
              <x14:cfvo type="autoMax"/>
              <x14:borderColor rgb="FF63C384"/>
              <x14:negativeFillColor rgb="FFFF0000"/>
              <x14:negativeBorderColor rgb="FFFF0000"/>
              <x14:axisColor rgb="FF000000"/>
            </x14:dataBar>
          </x14:cfRule>
          <xm:sqref>Z918</xm:sqref>
        </x14:conditionalFormatting>
        <x14:conditionalFormatting xmlns:xm="http://schemas.microsoft.com/office/excel/2006/main">
          <x14:cfRule type="dataBar" id="{682F914B-EF28-417B-9B18-5A39BB2B45BC}">
            <x14:dataBar minLength="0" maxLength="100" border="1" negativeBarBorderColorSameAsPositive="0">
              <x14:cfvo type="autoMin"/>
              <x14:cfvo type="autoMax"/>
              <x14:borderColor rgb="FF63C384"/>
              <x14:negativeFillColor rgb="FFFF0000"/>
              <x14:negativeBorderColor rgb="FFFF0000"/>
              <x14:axisColor rgb="FF000000"/>
            </x14:dataBar>
          </x14:cfRule>
          <xm:sqref>Z917</xm:sqref>
        </x14:conditionalFormatting>
        <x14:conditionalFormatting xmlns:xm="http://schemas.microsoft.com/office/excel/2006/main">
          <x14:cfRule type="dataBar" id="{D31AF0EB-14CC-4680-A662-BAECBC4F679B}">
            <x14:dataBar minLength="0" maxLength="100" border="1" negativeBarBorderColorSameAsPositive="0">
              <x14:cfvo type="autoMin"/>
              <x14:cfvo type="autoMax"/>
              <x14:borderColor rgb="FF63C384"/>
              <x14:negativeFillColor rgb="FFFF0000"/>
              <x14:negativeBorderColor rgb="FFFF0000"/>
              <x14:axisColor rgb="FF000000"/>
            </x14:dataBar>
          </x14:cfRule>
          <xm:sqref>Z919</xm:sqref>
        </x14:conditionalFormatting>
        <x14:conditionalFormatting xmlns:xm="http://schemas.microsoft.com/office/excel/2006/main">
          <x14:cfRule type="dataBar" id="{0ADE2D28-E261-40C0-8DAC-DC4265EBB997}">
            <x14:dataBar minLength="0" maxLength="100" border="1" negativeBarBorderColorSameAsPositive="0">
              <x14:cfvo type="autoMin"/>
              <x14:cfvo type="autoMax"/>
              <x14:borderColor rgb="FF63C384"/>
              <x14:negativeFillColor rgb="FFFF0000"/>
              <x14:negativeBorderColor rgb="FFFF0000"/>
              <x14:axisColor rgb="FF000000"/>
            </x14:dataBar>
          </x14:cfRule>
          <xm:sqref>Z921</xm:sqref>
        </x14:conditionalFormatting>
        <x14:conditionalFormatting xmlns:xm="http://schemas.microsoft.com/office/excel/2006/main">
          <x14:cfRule type="dataBar" id="{92D1162D-57E0-4EBB-8879-8158946FEDBF}">
            <x14:dataBar minLength="0" maxLength="100" border="1" negativeBarBorderColorSameAsPositive="0">
              <x14:cfvo type="autoMin"/>
              <x14:cfvo type="autoMax"/>
              <x14:borderColor rgb="FF63C384"/>
              <x14:negativeFillColor rgb="FFFF0000"/>
              <x14:negativeBorderColor rgb="FFFF0000"/>
              <x14:axisColor rgb="FF000000"/>
            </x14:dataBar>
          </x14:cfRule>
          <xm:sqref>Z921</xm:sqref>
        </x14:conditionalFormatting>
        <x14:conditionalFormatting xmlns:xm="http://schemas.microsoft.com/office/excel/2006/main">
          <x14:cfRule type="dataBar" id="{7FE13C37-B91B-482D-8E7A-E82C6097560F}">
            <x14:dataBar minLength="0" maxLength="100" border="1" negativeBarBorderColorSameAsPositive="0">
              <x14:cfvo type="autoMin"/>
              <x14:cfvo type="autoMax"/>
              <x14:borderColor rgb="FF63C384"/>
              <x14:negativeFillColor rgb="FFFF0000"/>
              <x14:negativeBorderColor rgb="FFFF0000"/>
              <x14:axisColor rgb="FF000000"/>
            </x14:dataBar>
          </x14:cfRule>
          <xm:sqref>Z920</xm:sqref>
        </x14:conditionalFormatting>
        <x14:conditionalFormatting xmlns:xm="http://schemas.microsoft.com/office/excel/2006/main">
          <x14:cfRule type="dataBar" id="{1C83201B-D0F3-4E9D-8E4A-7FE2CBBDEB44}">
            <x14:dataBar minLength="0" maxLength="100" border="1" negativeBarBorderColorSameAsPositive="0">
              <x14:cfvo type="autoMin"/>
              <x14:cfvo type="autoMax"/>
              <x14:borderColor rgb="FF63C384"/>
              <x14:negativeFillColor rgb="FFFF0000"/>
              <x14:negativeBorderColor rgb="FFFF0000"/>
              <x14:axisColor rgb="FF000000"/>
            </x14:dataBar>
          </x14:cfRule>
          <xm:sqref>Z920</xm:sqref>
        </x14:conditionalFormatting>
        <x14:conditionalFormatting xmlns:xm="http://schemas.microsoft.com/office/excel/2006/main">
          <x14:cfRule type="dataBar" id="{4CB1CC5D-9D6A-414B-92DA-6EB701B2DF8C}">
            <x14:dataBar minLength="0" maxLength="100" border="1" negativeBarBorderColorSameAsPositive="0">
              <x14:cfvo type="autoMin"/>
              <x14:cfvo type="autoMax"/>
              <x14:borderColor rgb="FF63C384"/>
              <x14:negativeFillColor rgb="FFFF0000"/>
              <x14:negativeBorderColor rgb="FFFF0000"/>
              <x14:axisColor rgb="FF000000"/>
            </x14:dataBar>
          </x14:cfRule>
          <xm:sqref>Z920</xm:sqref>
        </x14:conditionalFormatting>
        <x14:conditionalFormatting xmlns:xm="http://schemas.microsoft.com/office/excel/2006/main">
          <x14:cfRule type="dataBar" id="{6FBA259F-8715-4C78-B852-31F354D99954}">
            <x14:dataBar minLength="0" maxLength="100" border="1" negativeBarBorderColorSameAsPositive="0">
              <x14:cfvo type="autoMin"/>
              <x14:cfvo type="autoMax"/>
              <x14:borderColor rgb="FF63C384"/>
              <x14:negativeFillColor rgb="FFFF0000"/>
              <x14:negativeBorderColor rgb="FFFF0000"/>
              <x14:axisColor rgb="FF000000"/>
            </x14:dataBar>
          </x14:cfRule>
          <xm:sqref>Z920</xm:sqref>
        </x14:conditionalFormatting>
        <x14:conditionalFormatting xmlns:xm="http://schemas.microsoft.com/office/excel/2006/main">
          <x14:cfRule type="dataBar" id="{3D3D694F-192B-47D6-B8C9-490DD554F791}">
            <x14:dataBar minLength="0" maxLength="100" border="1" negativeBarBorderColorSameAsPositive="0">
              <x14:cfvo type="autoMin"/>
              <x14:cfvo type="autoMax"/>
              <x14:borderColor rgb="FF63C384"/>
              <x14:negativeFillColor rgb="FFFF0000"/>
              <x14:negativeBorderColor rgb="FFFF0000"/>
              <x14:axisColor rgb="FF000000"/>
            </x14:dataBar>
          </x14:cfRule>
          <xm:sqref>Z922</xm:sqref>
        </x14:conditionalFormatting>
        <x14:conditionalFormatting xmlns:xm="http://schemas.microsoft.com/office/excel/2006/main">
          <x14:cfRule type="dataBar" id="{79198CCF-8D83-4CAA-AFA3-A7DA5F714EBB}">
            <x14:dataBar minLength="0" maxLength="100" border="1" negativeBarBorderColorSameAsPositive="0">
              <x14:cfvo type="autoMin"/>
              <x14:cfvo type="autoMax"/>
              <x14:borderColor rgb="FF63C384"/>
              <x14:negativeFillColor rgb="FFFF0000"/>
              <x14:negativeBorderColor rgb="FFFF0000"/>
              <x14:axisColor rgb="FF000000"/>
            </x14:dataBar>
          </x14:cfRule>
          <xm:sqref>Z922</xm:sqref>
        </x14:conditionalFormatting>
        <x14:conditionalFormatting xmlns:xm="http://schemas.microsoft.com/office/excel/2006/main">
          <x14:cfRule type="dataBar" id="{D602CFE8-5E9A-449B-B880-CFEC9124723D}">
            <x14:dataBar minLength="0" maxLength="100" border="1" negativeBarBorderColorSameAsPositive="0">
              <x14:cfvo type="autoMin"/>
              <x14:cfvo type="autoMax"/>
              <x14:borderColor rgb="FF63C384"/>
              <x14:negativeFillColor rgb="FFFF0000"/>
              <x14:negativeBorderColor rgb="FFFF0000"/>
              <x14:axisColor rgb="FF000000"/>
            </x14:dataBar>
          </x14:cfRule>
          <xm:sqref>Z922</xm:sqref>
        </x14:conditionalFormatting>
        <x14:conditionalFormatting xmlns:xm="http://schemas.microsoft.com/office/excel/2006/main">
          <x14:cfRule type="dataBar" id="{90C5E8CF-F650-4B79-9F7C-D95E5CB77605}">
            <x14:dataBar minLength="0" maxLength="100" border="1" negativeBarBorderColorSameAsPositive="0">
              <x14:cfvo type="autoMin"/>
              <x14:cfvo type="autoMax"/>
              <x14:borderColor rgb="FF63C384"/>
              <x14:negativeFillColor rgb="FFFF0000"/>
              <x14:negativeBorderColor rgb="FFFF0000"/>
              <x14:axisColor rgb="FF000000"/>
            </x14:dataBar>
          </x14:cfRule>
          <xm:sqref>Z922</xm:sqref>
        </x14:conditionalFormatting>
        <x14:conditionalFormatting xmlns:xm="http://schemas.microsoft.com/office/excel/2006/main">
          <x14:cfRule type="dataBar" id="{6A4B3670-E516-4974-B9A2-BBFD69DEDCE5}">
            <x14:dataBar minLength="0" maxLength="100" border="1" negativeBarBorderColorSameAsPositive="0">
              <x14:cfvo type="autoMin"/>
              <x14:cfvo type="autoMax"/>
              <x14:borderColor rgb="FF63C384"/>
              <x14:negativeFillColor rgb="FFFF0000"/>
              <x14:negativeBorderColor rgb="FFFF0000"/>
              <x14:axisColor rgb="FF000000"/>
            </x14:dataBar>
          </x14:cfRule>
          <xm:sqref>Z925:Z927</xm:sqref>
        </x14:conditionalFormatting>
        <x14:conditionalFormatting xmlns:xm="http://schemas.microsoft.com/office/excel/2006/main">
          <x14:cfRule type="dataBar" id="{0CB2120D-D8BF-4886-A1CC-EC7C717F122C}">
            <x14:dataBar minLength="0" maxLength="100" border="1" negativeBarBorderColorSameAsPositive="0">
              <x14:cfvo type="autoMin"/>
              <x14:cfvo type="autoMax"/>
              <x14:borderColor rgb="FF63C384"/>
              <x14:negativeFillColor rgb="FFFF0000"/>
              <x14:negativeBorderColor rgb="FFFF0000"/>
              <x14:axisColor rgb="FF000000"/>
            </x14:dataBar>
          </x14:cfRule>
          <xm:sqref>Z925:Z927</xm:sqref>
        </x14:conditionalFormatting>
        <x14:conditionalFormatting xmlns:xm="http://schemas.microsoft.com/office/excel/2006/main">
          <x14:cfRule type="dataBar" id="{EF39A168-10F1-437E-B4AC-DBCF9D83AB17}">
            <x14:dataBar minLength="0" maxLength="100" border="1" negativeBarBorderColorSameAsPositive="0">
              <x14:cfvo type="autoMin"/>
              <x14:cfvo type="autoMax"/>
              <x14:borderColor rgb="FF63C384"/>
              <x14:negativeFillColor rgb="FFFF0000"/>
              <x14:negativeBorderColor rgb="FFFF0000"/>
              <x14:axisColor rgb="FF000000"/>
            </x14:dataBar>
          </x14:cfRule>
          <xm:sqref>Z923:Z924</xm:sqref>
        </x14:conditionalFormatting>
        <x14:conditionalFormatting xmlns:xm="http://schemas.microsoft.com/office/excel/2006/main">
          <x14:cfRule type="dataBar" id="{D0C2F6E3-08B8-40C2-8BB5-0376E9367C00}">
            <x14:dataBar minLength="0" maxLength="100" border="1" negativeBarBorderColorSameAsPositive="0">
              <x14:cfvo type="autoMin"/>
              <x14:cfvo type="autoMax"/>
              <x14:borderColor rgb="FF63C384"/>
              <x14:negativeFillColor rgb="FFFF0000"/>
              <x14:negativeBorderColor rgb="FFFF0000"/>
              <x14:axisColor rgb="FF000000"/>
            </x14:dataBar>
          </x14:cfRule>
          <xm:sqref>Z929</xm:sqref>
        </x14:conditionalFormatting>
        <x14:conditionalFormatting xmlns:xm="http://schemas.microsoft.com/office/excel/2006/main">
          <x14:cfRule type="dataBar" id="{0C9DFCCE-9AAA-4F5F-AFC2-1CD0862CB52D}">
            <x14:dataBar minLength="0" maxLength="100" border="1" negativeBarBorderColorSameAsPositive="0">
              <x14:cfvo type="autoMin"/>
              <x14:cfvo type="autoMax"/>
              <x14:borderColor rgb="FF63C384"/>
              <x14:negativeFillColor rgb="FFFF0000"/>
              <x14:negativeBorderColor rgb="FFFF0000"/>
              <x14:axisColor rgb="FF000000"/>
            </x14:dataBar>
          </x14:cfRule>
          <xm:sqref>Z929</xm:sqref>
        </x14:conditionalFormatting>
        <x14:conditionalFormatting xmlns:xm="http://schemas.microsoft.com/office/excel/2006/main">
          <x14:cfRule type="dataBar" id="{CBCF2558-E596-4BBC-B150-86FCAF2EA026}">
            <x14:dataBar minLength="0" maxLength="100" border="1" negativeBarBorderColorSameAsPositive="0">
              <x14:cfvo type="autoMin"/>
              <x14:cfvo type="autoMax"/>
              <x14:borderColor rgb="FF63C384"/>
              <x14:negativeFillColor rgb="FFFF0000"/>
              <x14:negativeBorderColor rgb="FFFF0000"/>
              <x14:axisColor rgb="FF000000"/>
            </x14:dataBar>
          </x14:cfRule>
          <xm:sqref>Z930</xm:sqref>
        </x14:conditionalFormatting>
        <x14:conditionalFormatting xmlns:xm="http://schemas.microsoft.com/office/excel/2006/main">
          <x14:cfRule type="dataBar" id="{15F3A1AB-2FAC-478F-83B2-11BA07D8D9D8}">
            <x14:dataBar minLength="0" maxLength="100" border="1" negativeBarBorderColorSameAsPositive="0">
              <x14:cfvo type="autoMin"/>
              <x14:cfvo type="autoMax"/>
              <x14:borderColor rgb="FF63C384"/>
              <x14:negativeFillColor rgb="FFFF0000"/>
              <x14:negativeBorderColor rgb="FFFF0000"/>
              <x14:axisColor rgb="FF000000"/>
            </x14:dataBar>
          </x14:cfRule>
          <xm:sqref>Z930</xm:sqref>
        </x14:conditionalFormatting>
        <x14:conditionalFormatting xmlns:xm="http://schemas.microsoft.com/office/excel/2006/main">
          <x14:cfRule type="dataBar" id="{7A7D4D4E-AE88-4928-A2CF-69E06A2E85EB}">
            <x14:dataBar minLength="0" maxLength="100" border="1" negativeBarBorderColorSameAsPositive="0">
              <x14:cfvo type="autoMin"/>
              <x14:cfvo type="autoMax"/>
              <x14:borderColor rgb="FF63C384"/>
              <x14:negativeFillColor rgb="FFFF0000"/>
              <x14:negativeBorderColor rgb="FFFF0000"/>
              <x14:axisColor rgb="FF000000"/>
            </x14:dataBar>
          </x14:cfRule>
          <xm:sqref>Z930</xm:sqref>
        </x14:conditionalFormatting>
        <x14:conditionalFormatting xmlns:xm="http://schemas.microsoft.com/office/excel/2006/main">
          <x14:cfRule type="dataBar" id="{E52E05F6-B8C6-49A9-9761-488343774E70}">
            <x14:dataBar minLength="0" maxLength="100" border="1" negativeBarBorderColorSameAsPositive="0">
              <x14:cfvo type="autoMin"/>
              <x14:cfvo type="autoMax"/>
              <x14:borderColor rgb="FF63C384"/>
              <x14:negativeFillColor rgb="FFFF0000"/>
              <x14:negativeBorderColor rgb="FFFF0000"/>
              <x14:axisColor rgb="FF000000"/>
            </x14:dataBar>
          </x14:cfRule>
          <xm:sqref>Z930</xm:sqref>
        </x14:conditionalFormatting>
        <x14:conditionalFormatting xmlns:xm="http://schemas.microsoft.com/office/excel/2006/main">
          <x14:cfRule type="dataBar" id="{DA2232E1-7D88-4225-BBBC-04A869525B38}">
            <x14:dataBar minLength="0" maxLength="100" border="1" negativeBarBorderColorSameAsPositive="0">
              <x14:cfvo type="autoMin"/>
              <x14:cfvo type="autoMax"/>
              <x14:borderColor rgb="FF63C384"/>
              <x14:negativeFillColor rgb="FFFF0000"/>
              <x14:negativeBorderColor rgb="FFFF0000"/>
              <x14:axisColor rgb="FF000000"/>
            </x14:dataBar>
          </x14:cfRule>
          <xm:sqref>Z931</xm:sqref>
        </x14:conditionalFormatting>
        <x14:conditionalFormatting xmlns:xm="http://schemas.microsoft.com/office/excel/2006/main">
          <x14:cfRule type="dataBar" id="{10A7243B-AE19-46EC-9722-8345F230950F}">
            <x14:dataBar minLength="0" maxLength="100" border="1" negativeBarBorderColorSameAsPositive="0">
              <x14:cfvo type="autoMin"/>
              <x14:cfvo type="autoMax"/>
              <x14:borderColor rgb="FF63C384"/>
              <x14:negativeFillColor rgb="FFFF0000"/>
              <x14:negativeBorderColor rgb="FFFF0000"/>
              <x14:axisColor rgb="FF000000"/>
            </x14:dataBar>
          </x14:cfRule>
          <xm:sqref>Z931</xm:sqref>
        </x14:conditionalFormatting>
        <x14:conditionalFormatting xmlns:xm="http://schemas.microsoft.com/office/excel/2006/main">
          <x14:cfRule type="dataBar" id="{295DE637-11A7-4851-824B-0CFE1F11A28C}">
            <x14:dataBar minLength="0" maxLength="100" border="1" negativeBarBorderColorSameAsPositive="0">
              <x14:cfvo type="autoMin"/>
              <x14:cfvo type="autoMax"/>
              <x14:borderColor rgb="FF63C384"/>
              <x14:negativeFillColor rgb="FFFF0000"/>
              <x14:negativeBorderColor rgb="FFFF0000"/>
              <x14:axisColor rgb="FF000000"/>
            </x14:dataBar>
          </x14:cfRule>
          <xm:sqref>Z932</xm:sqref>
        </x14:conditionalFormatting>
        <x14:conditionalFormatting xmlns:xm="http://schemas.microsoft.com/office/excel/2006/main">
          <x14:cfRule type="dataBar" id="{3DAF785E-0C0C-47B6-9DA0-0DE5EE0B0247}">
            <x14:dataBar minLength="0" maxLength="100" border="1" negativeBarBorderColorSameAsPositive="0">
              <x14:cfvo type="autoMin"/>
              <x14:cfvo type="autoMax"/>
              <x14:borderColor rgb="FF63C384"/>
              <x14:negativeFillColor rgb="FFFF0000"/>
              <x14:negativeBorderColor rgb="FFFF0000"/>
              <x14:axisColor rgb="FF000000"/>
            </x14:dataBar>
          </x14:cfRule>
          <xm:sqref>Z932</xm:sqref>
        </x14:conditionalFormatting>
        <x14:conditionalFormatting xmlns:xm="http://schemas.microsoft.com/office/excel/2006/main">
          <x14:cfRule type="dataBar" id="{8476355D-51B1-4CB6-BC2A-437D8FD094F5}">
            <x14:dataBar minLength="0" maxLength="100" border="1" negativeBarBorderColorSameAsPositive="0">
              <x14:cfvo type="autoMin"/>
              <x14:cfvo type="autoMax"/>
              <x14:borderColor rgb="FF63C384"/>
              <x14:negativeFillColor rgb="FFFF0000"/>
              <x14:negativeBorderColor rgb="FFFF0000"/>
              <x14:axisColor rgb="FF000000"/>
            </x14:dataBar>
          </x14:cfRule>
          <xm:sqref>Z933</xm:sqref>
        </x14:conditionalFormatting>
        <x14:conditionalFormatting xmlns:xm="http://schemas.microsoft.com/office/excel/2006/main">
          <x14:cfRule type="dataBar" id="{2D91F49E-FFF7-4EEF-8AA6-3FEB5B1DCA38}">
            <x14:dataBar minLength="0" maxLength="100" border="1" negativeBarBorderColorSameAsPositive="0">
              <x14:cfvo type="autoMin"/>
              <x14:cfvo type="autoMax"/>
              <x14:borderColor rgb="FF63C384"/>
              <x14:negativeFillColor rgb="FFFF0000"/>
              <x14:negativeBorderColor rgb="FFFF0000"/>
              <x14:axisColor rgb="FF000000"/>
            </x14:dataBar>
          </x14:cfRule>
          <xm:sqref>Z933</xm:sqref>
        </x14:conditionalFormatting>
        <x14:conditionalFormatting xmlns:xm="http://schemas.microsoft.com/office/excel/2006/main">
          <x14:cfRule type="dataBar" id="{C44C03D0-6CA7-4147-8BA5-96D02C5FAFDE}">
            <x14:dataBar minLength="0" maxLength="100" border="1" negativeBarBorderColorSameAsPositive="0">
              <x14:cfvo type="autoMin"/>
              <x14:cfvo type="autoMax"/>
              <x14:borderColor rgb="FF63C384"/>
              <x14:negativeFillColor rgb="FFFF0000"/>
              <x14:negativeBorderColor rgb="FFFF0000"/>
              <x14:axisColor rgb="FF000000"/>
            </x14:dataBar>
          </x14:cfRule>
          <xm:sqref>Z934</xm:sqref>
        </x14:conditionalFormatting>
        <x14:conditionalFormatting xmlns:xm="http://schemas.microsoft.com/office/excel/2006/main">
          <x14:cfRule type="dataBar" id="{F871E443-F1D6-44F4-9E37-F5F5A1B89407}">
            <x14:dataBar minLength="0" maxLength="100" border="1" negativeBarBorderColorSameAsPositive="0">
              <x14:cfvo type="autoMin"/>
              <x14:cfvo type="autoMax"/>
              <x14:borderColor rgb="FF63C384"/>
              <x14:negativeFillColor rgb="FFFF0000"/>
              <x14:negativeBorderColor rgb="FFFF0000"/>
              <x14:axisColor rgb="FF000000"/>
            </x14:dataBar>
          </x14:cfRule>
          <xm:sqref>Z934</xm:sqref>
        </x14:conditionalFormatting>
        <x14:conditionalFormatting xmlns:xm="http://schemas.microsoft.com/office/excel/2006/main">
          <x14:cfRule type="dataBar" id="{15241DE5-C815-4FEA-9781-B54ED183AC75}">
            <x14:dataBar minLength="0" maxLength="100" border="1" negativeBarBorderColorSameAsPositive="0">
              <x14:cfvo type="autoMin"/>
              <x14:cfvo type="autoMax"/>
              <x14:borderColor rgb="FF63C384"/>
              <x14:negativeFillColor rgb="FFFF0000"/>
              <x14:negativeBorderColor rgb="FFFF0000"/>
              <x14:axisColor rgb="FF000000"/>
            </x14:dataBar>
          </x14:cfRule>
          <xm:sqref>Z934</xm:sqref>
        </x14:conditionalFormatting>
        <x14:conditionalFormatting xmlns:xm="http://schemas.microsoft.com/office/excel/2006/main">
          <x14:cfRule type="dataBar" id="{42436547-AA7C-4902-AE0B-38027BF34EF9}">
            <x14:dataBar minLength="0" maxLength="100" border="1" negativeBarBorderColorSameAsPositive="0">
              <x14:cfvo type="autoMin"/>
              <x14:cfvo type="autoMax"/>
              <x14:borderColor rgb="FF63C384"/>
              <x14:negativeFillColor rgb="FFFF0000"/>
              <x14:negativeBorderColor rgb="FFFF0000"/>
              <x14:axisColor rgb="FF000000"/>
            </x14:dataBar>
          </x14:cfRule>
          <xm:sqref>Z934</xm:sqref>
        </x14:conditionalFormatting>
        <x14:conditionalFormatting xmlns:xm="http://schemas.microsoft.com/office/excel/2006/main">
          <x14:cfRule type="dataBar" id="{4FB0C58C-78E5-48C9-B2AF-ADE9A5CFD92D}">
            <x14:dataBar minLength="0" maxLength="100" border="1" negativeBarBorderColorSameAsPositive="0">
              <x14:cfvo type="autoMin"/>
              <x14:cfvo type="autoMax"/>
              <x14:borderColor rgb="FF63C384"/>
              <x14:negativeFillColor rgb="FFFF0000"/>
              <x14:negativeBorderColor rgb="FFFF0000"/>
              <x14:axisColor rgb="FF000000"/>
            </x14:dataBar>
          </x14:cfRule>
          <xm:sqref>Z935</xm:sqref>
        </x14:conditionalFormatting>
        <x14:conditionalFormatting xmlns:xm="http://schemas.microsoft.com/office/excel/2006/main">
          <x14:cfRule type="dataBar" id="{2DA011A8-E72E-4628-A437-8D6243CF0662}">
            <x14:dataBar minLength="0" maxLength="100" border="1" negativeBarBorderColorSameAsPositive="0">
              <x14:cfvo type="autoMin"/>
              <x14:cfvo type="autoMax"/>
              <x14:borderColor rgb="FF63C384"/>
              <x14:negativeFillColor rgb="FFFF0000"/>
              <x14:negativeBorderColor rgb="FFFF0000"/>
              <x14:axisColor rgb="FF000000"/>
            </x14:dataBar>
          </x14:cfRule>
          <xm:sqref>Z935</xm:sqref>
        </x14:conditionalFormatting>
        <x14:conditionalFormatting xmlns:xm="http://schemas.microsoft.com/office/excel/2006/main">
          <x14:cfRule type="dataBar" id="{377728A2-8516-4C8B-B923-0F96F9474955}">
            <x14:dataBar minLength="0" maxLength="100" border="1" negativeBarBorderColorSameAsPositive="0">
              <x14:cfvo type="autoMin"/>
              <x14:cfvo type="autoMax"/>
              <x14:borderColor rgb="FF63C384"/>
              <x14:negativeFillColor rgb="FFFF0000"/>
              <x14:negativeBorderColor rgb="FFFF0000"/>
              <x14:axisColor rgb="FF000000"/>
            </x14:dataBar>
          </x14:cfRule>
          <xm:sqref>Z935</xm:sqref>
        </x14:conditionalFormatting>
        <x14:conditionalFormatting xmlns:xm="http://schemas.microsoft.com/office/excel/2006/main">
          <x14:cfRule type="dataBar" id="{DDB6CF5E-D9F4-494F-8BB0-0013CA945082}">
            <x14:dataBar minLength="0" maxLength="100" border="1" negativeBarBorderColorSameAsPositive="0">
              <x14:cfvo type="autoMin"/>
              <x14:cfvo type="autoMax"/>
              <x14:borderColor rgb="FF63C384"/>
              <x14:negativeFillColor rgb="FFFF0000"/>
              <x14:negativeBorderColor rgb="FFFF0000"/>
              <x14:axisColor rgb="FF000000"/>
            </x14:dataBar>
          </x14:cfRule>
          <xm:sqref>Z935</xm:sqref>
        </x14:conditionalFormatting>
        <x14:conditionalFormatting xmlns:xm="http://schemas.microsoft.com/office/excel/2006/main">
          <x14:cfRule type="dataBar" id="{D24EEBD2-3391-4076-9F33-5449FC6F0D33}">
            <x14:dataBar minLength="0" maxLength="100" border="1" negativeBarBorderColorSameAsPositive="0">
              <x14:cfvo type="autoMin"/>
              <x14:cfvo type="autoMax"/>
              <x14:borderColor rgb="FF63C384"/>
              <x14:negativeFillColor rgb="FFFF0000"/>
              <x14:negativeBorderColor rgb="FFFF0000"/>
              <x14:axisColor rgb="FF000000"/>
            </x14:dataBar>
          </x14:cfRule>
          <xm:sqref>Z936</xm:sqref>
        </x14:conditionalFormatting>
        <x14:conditionalFormatting xmlns:xm="http://schemas.microsoft.com/office/excel/2006/main">
          <x14:cfRule type="dataBar" id="{16E2DB1B-6CC1-4B25-8757-13FFA101A669}">
            <x14:dataBar minLength="0" maxLength="100" border="1" negativeBarBorderColorSameAsPositive="0">
              <x14:cfvo type="autoMin"/>
              <x14:cfvo type="autoMax"/>
              <x14:borderColor rgb="FF63C384"/>
              <x14:negativeFillColor rgb="FFFF0000"/>
              <x14:negativeBorderColor rgb="FFFF0000"/>
              <x14:axisColor rgb="FF000000"/>
            </x14:dataBar>
          </x14:cfRule>
          <xm:sqref>Z936</xm:sqref>
        </x14:conditionalFormatting>
        <x14:conditionalFormatting xmlns:xm="http://schemas.microsoft.com/office/excel/2006/main">
          <x14:cfRule type="dataBar" id="{B8BD50AB-DAAA-4D36-9F2F-0EFC22223521}">
            <x14:dataBar minLength="0" maxLength="100" border="1" negativeBarBorderColorSameAsPositive="0">
              <x14:cfvo type="autoMin"/>
              <x14:cfvo type="autoMax"/>
              <x14:borderColor rgb="FF63C384"/>
              <x14:negativeFillColor rgb="FFFF0000"/>
              <x14:negativeBorderColor rgb="FFFF0000"/>
              <x14:axisColor rgb="FF000000"/>
            </x14:dataBar>
          </x14:cfRule>
          <xm:sqref>Z937</xm:sqref>
        </x14:conditionalFormatting>
        <x14:conditionalFormatting xmlns:xm="http://schemas.microsoft.com/office/excel/2006/main">
          <x14:cfRule type="dataBar" id="{5412CE27-6B66-4C50-B767-3F7A320EEDD9}">
            <x14:dataBar minLength="0" maxLength="100" border="1" negativeBarBorderColorSameAsPositive="0">
              <x14:cfvo type="autoMin"/>
              <x14:cfvo type="autoMax"/>
              <x14:borderColor rgb="FF63C384"/>
              <x14:negativeFillColor rgb="FFFF0000"/>
              <x14:negativeBorderColor rgb="FFFF0000"/>
              <x14:axisColor rgb="FF000000"/>
            </x14:dataBar>
          </x14:cfRule>
          <xm:sqref>Z937</xm:sqref>
        </x14:conditionalFormatting>
        <x14:conditionalFormatting xmlns:xm="http://schemas.microsoft.com/office/excel/2006/main">
          <x14:cfRule type="dataBar" id="{AA5735EE-9ECD-4DAE-A680-3E25B3B1BFDA}">
            <x14:dataBar minLength="0" maxLength="100" border="1" negativeBarBorderColorSameAsPositive="0">
              <x14:cfvo type="autoMin"/>
              <x14:cfvo type="autoMax"/>
              <x14:borderColor rgb="FF63C384"/>
              <x14:negativeFillColor rgb="FFFF0000"/>
              <x14:negativeBorderColor rgb="FFFF0000"/>
              <x14:axisColor rgb="FF000000"/>
            </x14:dataBar>
          </x14:cfRule>
          <xm:sqref>Z938:Z939</xm:sqref>
        </x14:conditionalFormatting>
        <x14:conditionalFormatting xmlns:xm="http://schemas.microsoft.com/office/excel/2006/main">
          <x14:cfRule type="dataBar" id="{ADAFFE3B-62A7-4475-B5FD-4049C64A5213}">
            <x14:dataBar minLength="0" maxLength="100" border="1" negativeBarBorderColorSameAsPositive="0">
              <x14:cfvo type="autoMin"/>
              <x14:cfvo type="autoMax"/>
              <x14:borderColor rgb="FF63C384"/>
              <x14:negativeFillColor rgb="FFFF0000"/>
              <x14:negativeBorderColor rgb="FFFF0000"/>
              <x14:axisColor rgb="FF000000"/>
            </x14:dataBar>
          </x14:cfRule>
          <xm:sqref>Z938:Z939</xm:sqref>
        </x14:conditionalFormatting>
        <x14:conditionalFormatting xmlns:xm="http://schemas.microsoft.com/office/excel/2006/main">
          <x14:cfRule type="dataBar" id="{6049BD50-7E31-4252-B4D0-D851E499F59E}">
            <x14:dataBar minLength="0" maxLength="100" border="1" negativeBarBorderColorSameAsPositive="0">
              <x14:cfvo type="autoMin"/>
              <x14:cfvo type="autoMax"/>
              <x14:borderColor rgb="FF63C384"/>
              <x14:negativeFillColor rgb="FFFF0000"/>
              <x14:negativeBorderColor rgb="FFFF0000"/>
              <x14:axisColor rgb="FF000000"/>
            </x14:dataBar>
          </x14:cfRule>
          <xm:sqref>Z940</xm:sqref>
        </x14:conditionalFormatting>
        <x14:conditionalFormatting xmlns:xm="http://schemas.microsoft.com/office/excel/2006/main">
          <x14:cfRule type="dataBar" id="{23D1B5CE-F814-4255-BB60-FE1B189E6BE0}">
            <x14:dataBar minLength="0" maxLength="100" border="1" negativeBarBorderColorSameAsPositive="0">
              <x14:cfvo type="autoMin"/>
              <x14:cfvo type="autoMax"/>
              <x14:borderColor rgb="FF63C384"/>
              <x14:negativeFillColor rgb="FFFF0000"/>
              <x14:negativeBorderColor rgb="FFFF0000"/>
              <x14:axisColor rgb="FF000000"/>
            </x14:dataBar>
          </x14:cfRule>
          <xm:sqref>Z940</xm:sqref>
        </x14:conditionalFormatting>
        <x14:conditionalFormatting xmlns:xm="http://schemas.microsoft.com/office/excel/2006/main">
          <x14:cfRule type="dataBar" id="{3D5EC18F-22ED-4546-B475-65DF8CB9D710}">
            <x14:dataBar minLength="0" maxLength="100" border="1" negativeBarBorderColorSameAsPositive="0">
              <x14:cfvo type="autoMin"/>
              <x14:cfvo type="autoMax"/>
              <x14:borderColor rgb="FF63C384"/>
              <x14:negativeFillColor rgb="FFFF0000"/>
              <x14:negativeBorderColor rgb="FFFF0000"/>
              <x14:axisColor rgb="FF000000"/>
            </x14:dataBar>
          </x14:cfRule>
          <xm:sqref>Z940</xm:sqref>
        </x14:conditionalFormatting>
        <x14:conditionalFormatting xmlns:xm="http://schemas.microsoft.com/office/excel/2006/main">
          <x14:cfRule type="dataBar" id="{F87F6325-FEC6-4A3B-9FAE-157AB1AC0B85}">
            <x14:dataBar minLength="0" maxLength="100" border="1" negativeBarBorderColorSameAsPositive="0">
              <x14:cfvo type="autoMin"/>
              <x14:cfvo type="autoMax"/>
              <x14:borderColor rgb="FF63C384"/>
              <x14:negativeFillColor rgb="FFFF0000"/>
              <x14:negativeBorderColor rgb="FFFF0000"/>
              <x14:axisColor rgb="FF000000"/>
            </x14:dataBar>
          </x14:cfRule>
          <xm:sqref>Z940</xm:sqref>
        </x14:conditionalFormatting>
        <x14:conditionalFormatting xmlns:xm="http://schemas.microsoft.com/office/excel/2006/main">
          <x14:cfRule type="dataBar" id="{5C674C03-BD36-479C-B2EA-AEC6417D985C}">
            <x14:dataBar minLength="0" maxLength="100" border="1" negativeBarBorderColorSameAsPositive="0">
              <x14:cfvo type="autoMin"/>
              <x14:cfvo type="autoMax"/>
              <x14:borderColor rgb="FF63C384"/>
              <x14:negativeFillColor rgb="FFFF0000"/>
              <x14:negativeBorderColor rgb="FFFF0000"/>
              <x14:axisColor rgb="FF000000"/>
            </x14:dataBar>
          </x14:cfRule>
          <xm:sqref>Z940</xm:sqref>
        </x14:conditionalFormatting>
        <x14:conditionalFormatting xmlns:xm="http://schemas.microsoft.com/office/excel/2006/main">
          <x14:cfRule type="dataBar" id="{76013795-6FE5-4C4D-A989-F92969262AD7}">
            <x14:dataBar minLength="0" maxLength="100" border="1" negativeBarBorderColorSameAsPositive="0">
              <x14:cfvo type="autoMin"/>
              <x14:cfvo type="autoMax"/>
              <x14:borderColor rgb="FF63C384"/>
              <x14:negativeFillColor rgb="FFFF0000"/>
              <x14:negativeBorderColor rgb="FFFF0000"/>
              <x14:axisColor rgb="FF000000"/>
            </x14:dataBar>
          </x14:cfRule>
          <xm:sqref>Z940</xm:sqref>
        </x14:conditionalFormatting>
        <x14:conditionalFormatting xmlns:xm="http://schemas.microsoft.com/office/excel/2006/main">
          <x14:cfRule type="dataBar" id="{C7C37562-57F7-4C7A-8A0B-CDE2F51CBC9E}">
            <x14:dataBar minLength="0" maxLength="100" border="1" negativeBarBorderColorSameAsPositive="0">
              <x14:cfvo type="autoMin"/>
              <x14:cfvo type="autoMax"/>
              <x14:borderColor rgb="FF63C384"/>
              <x14:negativeFillColor rgb="FFFF0000"/>
              <x14:negativeBorderColor rgb="FFFF0000"/>
              <x14:axisColor rgb="FF000000"/>
            </x14:dataBar>
          </x14:cfRule>
          <xm:sqref>Z940</xm:sqref>
        </x14:conditionalFormatting>
        <x14:conditionalFormatting xmlns:xm="http://schemas.microsoft.com/office/excel/2006/main">
          <x14:cfRule type="dataBar" id="{9EC75F81-ACCC-47D3-B5BB-1ED0F894F46C}">
            <x14:dataBar minLength="0" maxLength="100" border="1" negativeBarBorderColorSameAsPositive="0">
              <x14:cfvo type="autoMin"/>
              <x14:cfvo type="autoMax"/>
              <x14:borderColor rgb="FF63C384"/>
              <x14:negativeFillColor rgb="FFFF0000"/>
              <x14:negativeBorderColor rgb="FFFF0000"/>
              <x14:axisColor rgb="FF000000"/>
            </x14:dataBar>
          </x14:cfRule>
          <xm:sqref>Z940</xm:sqref>
        </x14:conditionalFormatting>
        <x14:conditionalFormatting xmlns:xm="http://schemas.microsoft.com/office/excel/2006/main">
          <x14:cfRule type="dataBar" id="{2B1475F2-6DED-4BB0-A445-F1212D82189A}">
            <x14:dataBar minLength="0" maxLength="100" border="1" negativeBarBorderColorSameAsPositive="0">
              <x14:cfvo type="autoMin"/>
              <x14:cfvo type="autoMax"/>
              <x14:borderColor rgb="FF63C384"/>
              <x14:negativeFillColor rgb="FFFF0000"/>
              <x14:negativeBorderColor rgb="FFFF0000"/>
              <x14:axisColor rgb="FF000000"/>
            </x14:dataBar>
          </x14:cfRule>
          <xm:sqref>Z941</xm:sqref>
        </x14:conditionalFormatting>
        <x14:conditionalFormatting xmlns:xm="http://schemas.microsoft.com/office/excel/2006/main">
          <x14:cfRule type="dataBar" id="{9BF976B2-FF49-433A-AC21-0ADD370CFF11}">
            <x14:dataBar minLength="0" maxLength="100" border="1" negativeBarBorderColorSameAsPositive="0">
              <x14:cfvo type="autoMin"/>
              <x14:cfvo type="autoMax"/>
              <x14:borderColor rgb="FF63C384"/>
              <x14:negativeFillColor rgb="FFFF0000"/>
              <x14:negativeBorderColor rgb="FFFF0000"/>
              <x14:axisColor rgb="FF000000"/>
            </x14:dataBar>
          </x14:cfRule>
          <xm:sqref>Z941</xm:sqref>
        </x14:conditionalFormatting>
        <x14:conditionalFormatting xmlns:xm="http://schemas.microsoft.com/office/excel/2006/main">
          <x14:cfRule type="dataBar" id="{A689EE52-8E72-44C0-99EF-3E455A555121}">
            <x14:dataBar minLength="0" maxLength="100" border="1" negativeBarBorderColorSameAsPositive="0">
              <x14:cfvo type="autoMin"/>
              <x14:cfvo type="autoMax"/>
              <x14:borderColor rgb="FF63C384"/>
              <x14:negativeFillColor rgb="FFFF0000"/>
              <x14:negativeBorderColor rgb="FFFF0000"/>
              <x14:axisColor rgb="FF000000"/>
            </x14:dataBar>
          </x14:cfRule>
          <xm:sqref>Z942</xm:sqref>
        </x14:conditionalFormatting>
        <x14:conditionalFormatting xmlns:xm="http://schemas.microsoft.com/office/excel/2006/main">
          <x14:cfRule type="dataBar" id="{298B1813-85C1-447F-AAC4-52B2E05B7ADD}">
            <x14:dataBar minLength="0" maxLength="100" border="1" negativeBarBorderColorSameAsPositive="0">
              <x14:cfvo type="autoMin"/>
              <x14:cfvo type="autoMax"/>
              <x14:borderColor rgb="FF63C384"/>
              <x14:negativeFillColor rgb="FFFF0000"/>
              <x14:negativeBorderColor rgb="FFFF0000"/>
              <x14:axisColor rgb="FF000000"/>
            </x14:dataBar>
          </x14:cfRule>
          <xm:sqref>Z943</xm:sqref>
        </x14:conditionalFormatting>
        <x14:conditionalFormatting xmlns:xm="http://schemas.microsoft.com/office/excel/2006/main">
          <x14:cfRule type="dataBar" id="{67112DFE-57D8-480B-9857-E336548F0204}">
            <x14:dataBar minLength="0" maxLength="100" border="1" negativeBarBorderColorSameAsPositive="0">
              <x14:cfvo type="autoMin"/>
              <x14:cfvo type="autoMax"/>
              <x14:borderColor rgb="FF63C384"/>
              <x14:negativeFillColor rgb="FFFF0000"/>
              <x14:negativeBorderColor rgb="FFFF0000"/>
              <x14:axisColor rgb="FF000000"/>
            </x14:dataBar>
          </x14:cfRule>
          <xm:sqref>Z944</xm:sqref>
        </x14:conditionalFormatting>
        <x14:conditionalFormatting xmlns:xm="http://schemas.microsoft.com/office/excel/2006/main">
          <x14:cfRule type="dataBar" id="{31FBC0CE-89BB-431A-A72B-E61C00C0E75E}">
            <x14:dataBar minLength="0" maxLength="100" border="1" negativeBarBorderColorSameAsPositive="0">
              <x14:cfvo type="autoMin"/>
              <x14:cfvo type="autoMax"/>
              <x14:borderColor rgb="FF63C384"/>
              <x14:negativeFillColor rgb="FFFF0000"/>
              <x14:negativeBorderColor rgb="FFFF0000"/>
              <x14:axisColor rgb="FF000000"/>
            </x14:dataBar>
          </x14:cfRule>
          <xm:sqref>Z944</xm:sqref>
        </x14:conditionalFormatting>
        <x14:conditionalFormatting xmlns:xm="http://schemas.microsoft.com/office/excel/2006/main">
          <x14:cfRule type="dataBar" id="{1474733A-F821-4CBA-B1EB-7F031079DBA6}">
            <x14:dataBar minLength="0" maxLength="100" border="1" negativeBarBorderColorSameAsPositive="0">
              <x14:cfvo type="autoMin"/>
              <x14:cfvo type="autoMax"/>
              <x14:borderColor rgb="FF63C384"/>
              <x14:negativeFillColor rgb="FFFF0000"/>
              <x14:negativeBorderColor rgb="FFFF0000"/>
              <x14:axisColor rgb="FF000000"/>
            </x14:dataBar>
          </x14:cfRule>
          <xm:sqref>Z945</xm:sqref>
        </x14:conditionalFormatting>
        <x14:conditionalFormatting xmlns:xm="http://schemas.microsoft.com/office/excel/2006/main">
          <x14:cfRule type="dataBar" id="{61838F22-E683-4652-8F07-7D1102A86617}">
            <x14:dataBar minLength="0" maxLength="100" border="1" negativeBarBorderColorSameAsPositive="0">
              <x14:cfvo type="autoMin"/>
              <x14:cfvo type="autoMax"/>
              <x14:borderColor rgb="FF63C384"/>
              <x14:negativeFillColor rgb="FFFF0000"/>
              <x14:negativeBorderColor rgb="FFFF0000"/>
              <x14:axisColor rgb="FF000000"/>
            </x14:dataBar>
          </x14:cfRule>
          <xm:sqref>Z946</xm:sqref>
        </x14:conditionalFormatting>
        <x14:conditionalFormatting xmlns:xm="http://schemas.microsoft.com/office/excel/2006/main">
          <x14:cfRule type="dataBar" id="{5261B87E-8CC1-4F8F-AB10-F54EB147544C}">
            <x14:dataBar minLength="0" maxLength="100" border="1" negativeBarBorderColorSameAsPositive="0">
              <x14:cfvo type="autoMin"/>
              <x14:cfvo type="autoMax"/>
              <x14:borderColor rgb="FF63C384"/>
              <x14:negativeFillColor rgb="FFFF0000"/>
              <x14:negativeBorderColor rgb="FFFF0000"/>
              <x14:axisColor rgb="FF000000"/>
            </x14:dataBar>
          </x14:cfRule>
          <xm:sqref>Z946</xm:sqref>
        </x14:conditionalFormatting>
        <x14:conditionalFormatting xmlns:xm="http://schemas.microsoft.com/office/excel/2006/main">
          <x14:cfRule type="dataBar" id="{611C2065-8A5F-498E-A63F-8077EF56CFC3}">
            <x14:dataBar minLength="0" maxLength="100" border="1" negativeBarBorderColorSameAsPositive="0">
              <x14:cfvo type="autoMin"/>
              <x14:cfvo type="autoMax"/>
              <x14:borderColor rgb="FF63C384"/>
              <x14:negativeFillColor rgb="FFFF0000"/>
              <x14:negativeBorderColor rgb="FFFF0000"/>
              <x14:axisColor rgb="FF000000"/>
            </x14:dataBar>
          </x14:cfRule>
          <xm:sqref>Z947</xm:sqref>
        </x14:conditionalFormatting>
        <x14:conditionalFormatting xmlns:xm="http://schemas.microsoft.com/office/excel/2006/main">
          <x14:cfRule type="dataBar" id="{E3A80E6D-346C-475C-AE3D-53490A44B410}">
            <x14:dataBar minLength="0" maxLength="100" border="1" negativeBarBorderColorSameAsPositive="0">
              <x14:cfvo type="autoMin"/>
              <x14:cfvo type="autoMax"/>
              <x14:borderColor rgb="FF63C384"/>
              <x14:negativeFillColor rgb="FFFF0000"/>
              <x14:negativeBorderColor rgb="FFFF0000"/>
              <x14:axisColor rgb="FF000000"/>
            </x14:dataBar>
          </x14:cfRule>
          <xm:sqref>Z947</xm:sqref>
        </x14:conditionalFormatting>
        <x14:conditionalFormatting xmlns:xm="http://schemas.microsoft.com/office/excel/2006/main">
          <x14:cfRule type="dataBar" id="{CC10E37F-C107-4732-B3E6-21153D65C8E5}">
            <x14:dataBar minLength="0" maxLength="100" border="1" negativeBarBorderColorSameAsPositive="0">
              <x14:cfvo type="autoMin"/>
              <x14:cfvo type="autoMax"/>
              <x14:borderColor rgb="FF63C384"/>
              <x14:negativeFillColor rgb="FFFF0000"/>
              <x14:negativeBorderColor rgb="FFFF0000"/>
              <x14:axisColor rgb="FF000000"/>
            </x14:dataBar>
          </x14:cfRule>
          <xm:sqref>Z947</xm:sqref>
        </x14:conditionalFormatting>
        <x14:conditionalFormatting xmlns:xm="http://schemas.microsoft.com/office/excel/2006/main">
          <x14:cfRule type="dataBar" id="{F6438B11-F7C2-4572-9504-F57D873A73D3}">
            <x14:dataBar minLength="0" maxLength="100" border="1" negativeBarBorderColorSameAsPositive="0">
              <x14:cfvo type="autoMin"/>
              <x14:cfvo type="autoMax"/>
              <x14:borderColor rgb="FF63C384"/>
              <x14:negativeFillColor rgb="FFFF0000"/>
              <x14:negativeBorderColor rgb="FFFF0000"/>
              <x14:axisColor rgb="FF000000"/>
            </x14:dataBar>
          </x14:cfRule>
          <xm:sqref>Z947</xm:sqref>
        </x14:conditionalFormatting>
        <x14:conditionalFormatting xmlns:xm="http://schemas.microsoft.com/office/excel/2006/main">
          <x14:cfRule type="dataBar" id="{044D410C-CABC-4D39-B177-43734493F92A}">
            <x14:dataBar minLength="0" maxLength="100" border="1" negativeBarBorderColorSameAsPositive="0">
              <x14:cfvo type="autoMin"/>
              <x14:cfvo type="autoMax"/>
              <x14:borderColor rgb="FF63C384"/>
              <x14:negativeFillColor rgb="FFFF0000"/>
              <x14:negativeBorderColor rgb="FFFF0000"/>
              <x14:axisColor rgb="FF000000"/>
            </x14:dataBar>
          </x14:cfRule>
          <xm:sqref>Z948</xm:sqref>
        </x14:conditionalFormatting>
        <x14:conditionalFormatting xmlns:xm="http://schemas.microsoft.com/office/excel/2006/main">
          <x14:cfRule type="dataBar" id="{96C46560-ECC0-4BB4-907B-B9737E0B6554}">
            <x14:dataBar minLength="0" maxLength="100" border="1" negativeBarBorderColorSameAsPositive="0">
              <x14:cfvo type="autoMin"/>
              <x14:cfvo type="autoMax"/>
              <x14:borderColor rgb="FF63C384"/>
              <x14:negativeFillColor rgb="FFFF0000"/>
              <x14:negativeBorderColor rgb="FFFF0000"/>
              <x14:axisColor rgb="FF000000"/>
            </x14:dataBar>
          </x14:cfRule>
          <xm:sqref>Z948</xm:sqref>
        </x14:conditionalFormatting>
        <x14:conditionalFormatting xmlns:xm="http://schemas.microsoft.com/office/excel/2006/main">
          <x14:cfRule type="dataBar" id="{73303575-0A9C-4BF4-BAA9-969086A573FA}">
            <x14:dataBar minLength="0" maxLength="100" border="1" negativeBarBorderColorSameAsPositive="0">
              <x14:cfvo type="autoMin"/>
              <x14:cfvo type="autoMax"/>
              <x14:borderColor rgb="FF63C384"/>
              <x14:negativeFillColor rgb="FFFF0000"/>
              <x14:negativeBorderColor rgb="FFFF0000"/>
              <x14:axisColor rgb="FF000000"/>
            </x14:dataBar>
          </x14:cfRule>
          <xm:sqref>Z948</xm:sqref>
        </x14:conditionalFormatting>
        <x14:conditionalFormatting xmlns:xm="http://schemas.microsoft.com/office/excel/2006/main">
          <x14:cfRule type="dataBar" id="{0371E180-8562-4489-BAD3-28E0EF48E291}">
            <x14:dataBar minLength="0" maxLength="100" border="1" negativeBarBorderColorSameAsPositive="0">
              <x14:cfvo type="autoMin"/>
              <x14:cfvo type="autoMax"/>
              <x14:borderColor rgb="FF63C384"/>
              <x14:negativeFillColor rgb="FFFF0000"/>
              <x14:negativeBorderColor rgb="FFFF0000"/>
              <x14:axisColor rgb="FF000000"/>
            </x14:dataBar>
          </x14:cfRule>
          <xm:sqref>Z948</xm:sqref>
        </x14:conditionalFormatting>
        <x14:conditionalFormatting xmlns:xm="http://schemas.microsoft.com/office/excel/2006/main">
          <x14:cfRule type="dataBar" id="{455962B6-2B15-41E6-9436-55F9EF0DDFEE}">
            <x14:dataBar minLength="0" maxLength="100" border="1" negativeBarBorderColorSameAsPositive="0">
              <x14:cfvo type="autoMin"/>
              <x14:cfvo type="autoMax"/>
              <x14:borderColor rgb="FF63C384"/>
              <x14:negativeFillColor rgb="FFFF0000"/>
              <x14:negativeBorderColor rgb="FFFF0000"/>
              <x14:axisColor rgb="FF000000"/>
            </x14:dataBar>
          </x14:cfRule>
          <xm:sqref>Z949</xm:sqref>
        </x14:conditionalFormatting>
        <x14:conditionalFormatting xmlns:xm="http://schemas.microsoft.com/office/excel/2006/main">
          <x14:cfRule type="dataBar" id="{39F67DEB-6F94-4EA3-90BE-9764C52BA930}">
            <x14:dataBar minLength="0" maxLength="100" border="1" negativeBarBorderColorSameAsPositive="0">
              <x14:cfvo type="autoMin"/>
              <x14:cfvo type="autoMax"/>
              <x14:borderColor rgb="FF63C384"/>
              <x14:negativeFillColor rgb="FFFF0000"/>
              <x14:negativeBorderColor rgb="FFFF0000"/>
              <x14:axisColor rgb="FF000000"/>
            </x14:dataBar>
          </x14:cfRule>
          <xm:sqref>Z949</xm:sqref>
        </x14:conditionalFormatting>
        <x14:conditionalFormatting xmlns:xm="http://schemas.microsoft.com/office/excel/2006/main">
          <x14:cfRule type="dataBar" id="{4FBA1E67-3980-4D5B-B4E1-F5E5EFE6227E}">
            <x14:dataBar minLength="0" maxLength="100" border="1" negativeBarBorderColorSameAsPositive="0">
              <x14:cfvo type="autoMin"/>
              <x14:cfvo type="autoMax"/>
              <x14:borderColor rgb="FF63C384"/>
              <x14:negativeFillColor rgb="FFFF0000"/>
              <x14:negativeBorderColor rgb="FFFF0000"/>
              <x14:axisColor rgb="FF000000"/>
            </x14:dataBar>
          </x14:cfRule>
          <xm:sqref>Z950</xm:sqref>
        </x14:conditionalFormatting>
        <x14:conditionalFormatting xmlns:xm="http://schemas.microsoft.com/office/excel/2006/main">
          <x14:cfRule type="dataBar" id="{BED1A403-2883-4F9C-942A-09A11817871C}">
            <x14:dataBar minLength="0" maxLength="100" border="1" negativeBarBorderColorSameAsPositive="0">
              <x14:cfvo type="autoMin"/>
              <x14:cfvo type="autoMax"/>
              <x14:borderColor rgb="FF63C384"/>
              <x14:negativeFillColor rgb="FFFF0000"/>
              <x14:negativeBorderColor rgb="FFFF0000"/>
              <x14:axisColor rgb="FF000000"/>
            </x14:dataBar>
          </x14:cfRule>
          <xm:sqref>Z950</xm:sqref>
        </x14:conditionalFormatting>
        <x14:conditionalFormatting xmlns:xm="http://schemas.microsoft.com/office/excel/2006/main">
          <x14:cfRule type="dataBar" id="{3C1C037D-03C0-4B5E-88EB-AC4A44430B62}">
            <x14:dataBar minLength="0" maxLength="100" border="1" negativeBarBorderColorSameAsPositive="0">
              <x14:cfvo type="autoMin"/>
              <x14:cfvo type="autoMax"/>
              <x14:borderColor rgb="FF63C384"/>
              <x14:negativeFillColor rgb="FFFF0000"/>
              <x14:negativeBorderColor rgb="FFFF0000"/>
              <x14:axisColor rgb="FF000000"/>
            </x14:dataBar>
          </x14:cfRule>
          <xm:sqref>Z950</xm:sqref>
        </x14:conditionalFormatting>
        <x14:conditionalFormatting xmlns:xm="http://schemas.microsoft.com/office/excel/2006/main">
          <x14:cfRule type="dataBar" id="{350833B9-5D3D-44CF-8017-54DE33324A4C}">
            <x14:dataBar minLength="0" maxLength="100" border="1" negativeBarBorderColorSameAsPositive="0">
              <x14:cfvo type="autoMin"/>
              <x14:cfvo type="autoMax"/>
              <x14:borderColor rgb="FF63C384"/>
              <x14:negativeFillColor rgb="FFFF0000"/>
              <x14:negativeBorderColor rgb="FFFF0000"/>
              <x14:axisColor rgb="FF000000"/>
            </x14:dataBar>
          </x14:cfRule>
          <xm:sqref>Z950</xm:sqref>
        </x14:conditionalFormatting>
        <x14:conditionalFormatting xmlns:xm="http://schemas.microsoft.com/office/excel/2006/main">
          <x14:cfRule type="dataBar" id="{609207C7-5D73-4C66-AE76-F437C1EAEF7F}">
            <x14:dataBar minLength="0" maxLength="100" border="1" negativeBarBorderColorSameAsPositive="0">
              <x14:cfvo type="autoMin"/>
              <x14:cfvo type="autoMax"/>
              <x14:borderColor rgb="FF63C384"/>
              <x14:negativeFillColor rgb="FFFF0000"/>
              <x14:negativeBorderColor rgb="FFFF0000"/>
              <x14:axisColor rgb="FF000000"/>
            </x14:dataBar>
          </x14:cfRule>
          <xm:sqref>Z951</xm:sqref>
        </x14:conditionalFormatting>
        <x14:conditionalFormatting xmlns:xm="http://schemas.microsoft.com/office/excel/2006/main">
          <x14:cfRule type="dataBar" id="{AF7118B8-0973-4DF1-8A28-62A7BFF5820A}">
            <x14:dataBar minLength="0" maxLength="100" border="1" negativeBarBorderColorSameAsPositive="0">
              <x14:cfvo type="autoMin"/>
              <x14:cfvo type="autoMax"/>
              <x14:borderColor rgb="FF63C384"/>
              <x14:negativeFillColor rgb="FFFF0000"/>
              <x14:negativeBorderColor rgb="FFFF0000"/>
              <x14:axisColor rgb="FF000000"/>
            </x14:dataBar>
          </x14:cfRule>
          <xm:sqref>Z951</xm:sqref>
        </x14:conditionalFormatting>
        <x14:conditionalFormatting xmlns:xm="http://schemas.microsoft.com/office/excel/2006/main">
          <x14:cfRule type="dataBar" id="{92B3265D-7473-428C-B7BD-5FB8D8AC0721}">
            <x14:dataBar minLength="0" maxLength="100" border="1" negativeBarBorderColorSameAsPositive="0">
              <x14:cfvo type="autoMin"/>
              <x14:cfvo type="autoMax"/>
              <x14:borderColor rgb="FF63C384"/>
              <x14:negativeFillColor rgb="FFFF0000"/>
              <x14:negativeBorderColor rgb="FFFF0000"/>
              <x14:axisColor rgb="FF000000"/>
            </x14:dataBar>
          </x14:cfRule>
          <xm:sqref>Z952</xm:sqref>
        </x14:conditionalFormatting>
        <x14:conditionalFormatting xmlns:xm="http://schemas.microsoft.com/office/excel/2006/main">
          <x14:cfRule type="dataBar" id="{B663A821-B782-4DDA-BFE2-23F141DF94FD}">
            <x14:dataBar minLength="0" maxLength="100" border="1" negativeBarBorderColorSameAsPositive="0">
              <x14:cfvo type="autoMin"/>
              <x14:cfvo type="autoMax"/>
              <x14:borderColor rgb="FF63C384"/>
              <x14:negativeFillColor rgb="FFFF0000"/>
              <x14:negativeBorderColor rgb="FFFF0000"/>
              <x14:axisColor rgb="FF000000"/>
            </x14:dataBar>
          </x14:cfRule>
          <xm:sqref>Z952</xm:sqref>
        </x14:conditionalFormatting>
        <x14:conditionalFormatting xmlns:xm="http://schemas.microsoft.com/office/excel/2006/main">
          <x14:cfRule type="dataBar" id="{013280F2-A52D-4345-91C1-7561519F12D7}">
            <x14:dataBar minLength="0" maxLength="100" border="1" negativeBarBorderColorSameAsPositive="0">
              <x14:cfvo type="autoMin"/>
              <x14:cfvo type="autoMax"/>
              <x14:borderColor rgb="FF63C384"/>
              <x14:negativeFillColor rgb="FFFF0000"/>
              <x14:negativeBorderColor rgb="FFFF0000"/>
              <x14:axisColor rgb="FF000000"/>
            </x14:dataBar>
          </x14:cfRule>
          <xm:sqref>Z953</xm:sqref>
        </x14:conditionalFormatting>
        <x14:conditionalFormatting xmlns:xm="http://schemas.microsoft.com/office/excel/2006/main">
          <x14:cfRule type="dataBar" id="{7E393E93-4608-42A4-BD90-E48D68A99B89}">
            <x14:dataBar minLength="0" maxLength="100" border="1" negativeBarBorderColorSameAsPositive="0">
              <x14:cfvo type="autoMin"/>
              <x14:cfvo type="autoMax"/>
              <x14:borderColor rgb="FF63C384"/>
              <x14:negativeFillColor rgb="FFFF0000"/>
              <x14:negativeBorderColor rgb="FFFF0000"/>
              <x14:axisColor rgb="FF000000"/>
            </x14:dataBar>
          </x14:cfRule>
          <xm:sqref>Z953</xm:sqref>
        </x14:conditionalFormatting>
        <x14:conditionalFormatting xmlns:xm="http://schemas.microsoft.com/office/excel/2006/main">
          <x14:cfRule type="dataBar" id="{6361AF8D-FBCB-49AC-AC69-0CDECD2B3766}">
            <x14:dataBar minLength="0" maxLength="100" border="1" negativeBarBorderColorSameAsPositive="0">
              <x14:cfvo type="autoMin"/>
              <x14:cfvo type="autoMax"/>
              <x14:borderColor rgb="FF63C384"/>
              <x14:negativeFillColor rgb="FFFF0000"/>
              <x14:negativeBorderColor rgb="FFFF0000"/>
              <x14:axisColor rgb="FF000000"/>
            </x14:dataBar>
          </x14:cfRule>
          <xm:sqref>Z954</xm:sqref>
        </x14:conditionalFormatting>
        <x14:conditionalFormatting xmlns:xm="http://schemas.microsoft.com/office/excel/2006/main">
          <x14:cfRule type="dataBar" id="{F15A8375-E342-47D2-A83B-A92577745308}">
            <x14:dataBar minLength="0" maxLength="100" border="1" negativeBarBorderColorSameAsPositive="0">
              <x14:cfvo type="autoMin"/>
              <x14:cfvo type="autoMax"/>
              <x14:borderColor rgb="FF63C384"/>
              <x14:negativeFillColor rgb="FFFF0000"/>
              <x14:negativeBorderColor rgb="FFFF0000"/>
              <x14:axisColor rgb="FF000000"/>
            </x14:dataBar>
          </x14:cfRule>
          <xm:sqref>Z954</xm:sqref>
        </x14:conditionalFormatting>
        <x14:conditionalFormatting xmlns:xm="http://schemas.microsoft.com/office/excel/2006/main">
          <x14:cfRule type="dataBar" id="{9802D122-52B9-4481-89AB-23B3B5D2828D}">
            <x14:dataBar minLength="0" maxLength="100" border="1" negativeBarBorderColorSameAsPositive="0">
              <x14:cfvo type="autoMin"/>
              <x14:cfvo type="autoMax"/>
              <x14:borderColor rgb="FF63C384"/>
              <x14:negativeFillColor rgb="FFFF0000"/>
              <x14:negativeBorderColor rgb="FFFF0000"/>
              <x14:axisColor rgb="FF000000"/>
            </x14:dataBar>
          </x14:cfRule>
          <xm:sqref>Z955</xm:sqref>
        </x14:conditionalFormatting>
        <x14:conditionalFormatting xmlns:xm="http://schemas.microsoft.com/office/excel/2006/main">
          <x14:cfRule type="dataBar" id="{E462F576-93C1-4AB9-AC38-085D0CE82C52}">
            <x14:dataBar minLength="0" maxLength="100" border="1" negativeBarBorderColorSameAsPositive="0">
              <x14:cfvo type="autoMin"/>
              <x14:cfvo type="autoMax"/>
              <x14:borderColor rgb="FF63C384"/>
              <x14:negativeFillColor rgb="FFFF0000"/>
              <x14:negativeBorderColor rgb="FFFF0000"/>
              <x14:axisColor rgb="FF000000"/>
            </x14:dataBar>
          </x14:cfRule>
          <xm:sqref>Z955</xm:sqref>
        </x14:conditionalFormatting>
        <x14:conditionalFormatting xmlns:xm="http://schemas.microsoft.com/office/excel/2006/main">
          <x14:cfRule type="dataBar" id="{115CEC62-D5BB-4939-9575-6A65FC07EF13}">
            <x14:dataBar minLength="0" maxLength="100" border="1" negativeBarBorderColorSameAsPositive="0">
              <x14:cfvo type="autoMin"/>
              <x14:cfvo type="autoMax"/>
              <x14:borderColor rgb="FF63C384"/>
              <x14:negativeFillColor rgb="FFFF0000"/>
              <x14:negativeBorderColor rgb="FFFF0000"/>
              <x14:axisColor rgb="FF000000"/>
            </x14:dataBar>
          </x14:cfRule>
          <xm:sqref>Z956</xm:sqref>
        </x14:conditionalFormatting>
        <x14:conditionalFormatting xmlns:xm="http://schemas.microsoft.com/office/excel/2006/main">
          <x14:cfRule type="dataBar" id="{0FBF9B9E-20DE-4E9B-A198-805F1675F9F5}">
            <x14:dataBar minLength="0" maxLength="100" border="1" negativeBarBorderColorSameAsPositive="0">
              <x14:cfvo type="autoMin"/>
              <x14:cfvo type="autoMax"/>
              <x14:borderColor rgb="FF63C384"/>
              <x14:negativeFillColor rgb="FFFF0000"/>
              <x14:negativeBorderColor rgb="FFFF0000"/>
              <x14:axisColor rgb="FF000000"/>
            </x14:dataBar>
          </x14:cfRule>
          <xm:sqref>Z956</xm:sqref>
        </x14:conditionalFormatting>
        <x14:conditionalFormatting xmlns:xm="http://schemas.microsoft.com/office/excel/2006/main">
          <x14:cfRule type="dataBar" id="{1C2ED4B5-BEF6-422A-8CE5-71D4EA3D8BD4}">
            <x14:dataBar minLength="0" maxLength="100" border="1" negativeBarBorderColorSameAsPositive="0">
              <x14:cfvo type="autoMin"/>
              <x14:cfvo type="autoMax"/>
              <x14:borderColor rgb="FF63C384"/>
              <x14:negativeFillColor rgb="FFFF0000"/>
              <x14:negativeBorderColor rgb="FFFF0000"/>
              <x14:axisColor rgb="FF000000"/>
            </x14:dataBar>
          </x14:cfRule>
          <xm:sqref>Z956</xm:sqref>
        </x14:conditionalFormatting>
        <x14:conditionalFormatting xmlns:xm="http://schemas.microsoft.com/office/excel/2006/main">
          <x14:cfRule type="dataBar" id="{287E518F-D4E0-40D9-8383-2C3F118FE711}">
            <x14:dataBar minLength="0" maxLength="100" border="1" negativeBarBorderColorSameAsPositive="0">
              <x14:cfvo type="autoMin"/>
              <x14:cfvo type="autoMax"/>
              <x14:borderColor rgb="FF63C384"/>
              <x14:negativeFillColor rgb="FFFF0000"/>
              <x14:negativeBorderColor rgb="FFFF0000"/>
              <x14:axisColor rgb="FF000000"/>
            </x14:dataBar>
          </x14:cfRule>
          <xm:sqref>Z956</xm:sqref>
        </x14:conditionalFormatting>
        <x14:conditionalFormatting xmlns:xm="http://schemas.microsoft.com/office/excel/2006/main">
          <x14:cfRule type="dataBar" id="{C3E709E4-08C6-402C-BD58-29A23A54C916}">
            <x14:dataBar minLength="0" maxLength="100" border="1" negativeBarBorderColorSameAsPositive="0">
              <x14:cfvo type="autoMin"/>
              <x14:cfvo type="autoMax"/>
              <x14:borderColor rgb="FF63C384"/>
              <x14:negativeFillColor rgb="FFFF0000"/>
              <x14:negativeBorderColor rgb="FFFF0000"/>
              <x14:axisColor rgb="FF000000"/>
            </x14:dataBar>
          </x14:cfRule>
          <xm:sqref>Z956</xm:sqref>
        </x14:conditionalFormatting>
        <x14:conditionalFormatting xmlns:xm="http://schemas.microsoft.com/office/excel/2006/main">
          <x14:cfRule type="dataBar" id="{DB247F7C-618A-4C98-9DB8-45233FF51885}">
            <x14:dataBar minLength="0" maxLength="100" border="1" negativeBarBorderColorSameAsPositive="0">
              <x14:cfvo type="autoMin"/>
              <x14:cfvo type="autoMax"/>
              <x14:borderColor rgb="FF63C384"/>
              <x14:negativeFillColor rgb="FFFF0000"/>
              <x14:negativeBorderColor rgb="FFFF0000"/>
              <x14:axisColor rgb="FF000000"/>
            </x14:dataBar>
          </x14:cfRule>
          <xm:sqref>Z956</xm:sqref>
        </x14:conditionalFormatting>
        <x14:conditionalFormatting xmlns:xm="http://schemas.microsoft.com/office/excel/2006/main">
          <x14:cfRule type="dataBar" id="{4FA26A8E-D7CF-4A66-8A5B-A8A85714D91F}">
            <x14:dataBar minLength="0" maxLength="100" border="1" negativeBarBorderColorSameAsPositive="0">
              <x14:cfvo type="autoMin"/>
              <x14:cfvo type="autoMax"/>
              <x14:borderColor rgb="FF63C384"/>
              <x14:negativeFillColor rgb="FFFF0000"/>
              <x14:negativeBorderColor rgb="FFFF0000"/>
              <x14:axisColor rgb="FF000000"/>
            </x14:dataBar>
          </x14:cfRule>
          <xm:sqref>Z956</xm:sqref>
        </x14:conditionalFormatting>
        <x14:conditionalFormatting xmlns:xm="http://schemas.microsoft.com/office/excel/2006/main">
          <x14:cfRule type="dataBar" id="{77107957-80AD-420B-BFE4-B8A2203EE0ED}">
            <x14:dataBar minLength="0" maxLength="100" border="1" negativeBarBorderColorSameAsPositive="0">
              <x14:cfvo type="autoMin"/>
              <x14:cfvo type="autoMax"/>
              <x14:borderColor rgb="FF63C384"/>
              <x14:negativeFillColor rgb="FFFF0000"/>
              <x14:negativeBorderColor rgb="FFFF0000"/>
              <x14:axisColor rgb="FF000000"/>
            </x14:dataBar>
          </x14:cfRule>
          <xm:sqref>Z956</xm:sqref>
        </x14:conditionalFormatting>
        <x14:conditionalFormatting xmlns:xm="http://schemas.microsoft.com/office/excel/2006/main">
          <x14:cfRule type="dataBar" id="{17E699E2-DBE8-4D87-8B2A-398B47B25E56}">
            <x14:dataBar minLength="0" maxLength="100" border="1" negativeBarBorderColorSameAsPositive="0">
              <x14:cfvo type="autoMin"/>
              <x14:cfvo type="autoMax"/>
              <x14:borderColor rgb="FF63C384"/>
              <x14:negativeFillColor rgb="FFFF0000"/>
              <x14:negativeBorderColor rgb="FFFF0000"/>
              <x14:axisColor rgb="FF000000"/>
            </x14:dataBar>
          </x14:cfRule>
          <xm:sqref>Z957:Z958</xm:sqref>
        </x14:conditionalFormatting>
        <x14:conditionalFormatting xmlns:xm="http://schemas.microsoft.com/office/excel/2006/main">
          <x14:cfRule type="dataBar" id="{9416905E-5BAA-4526-8A71-537CAB556839}">
            <x14:dataBar minLength="0" maxLength="100" border="1" negativeBarBorderColorSameAsPositive="0">
              <x14:cfvo type="autoMin"/>
              <x14:cfvo type="autoMax"/>
              <x14:borderColor rgb="FF63C384"/>
              <x14:negativeFillColor rgb="FFFF0000"/>
              <x14:negativeBorderColor rgb="FFFF0000"/>
              <x14:axisColor rgb="FF000000"/>
            </x14:dataBar>
          </x14:cfRule>
          <xm:sqref>Z959</xm:sqref>
        </x14:conditionalFormatting>
        <x14:conditionalFormatting xmlns:xm="http://schemas.microsoft.com/office/excel/2006/main">
          <x14:cfRule type="dataBar" id="{AB68F362-6135-4BE8-A101-E92EF49777AB}">
            <x14:dataBar minLength="0" maxLength="100" border="1" negativeBarBorderColorSameAsPositive="0">
              <x14:cfvo type="autoMin"/>
              <x14:cfvo type="autoMax"/>
              <x14:borderColor rgb="FF63C384"/>
              <x14:negativeFillColor rgb="FFFF0000"/>
              <x14:negativeBorderColor rgb="FFFF0000"/>
              <x14:axisColor rgb="FF000000"/>
            </x14:dataBar>
          </x14:cfRule>
          <xm:sqref>Z959</xm:sqref>
        </x14:conditionalFormatting>
        <x14:conditionalFormatting xmlns:xm="http://schemas.microsoft.com/office/excel/2006/main">
          <x14:cfRule type="dataBar" id="{EBB71BDD-154F-46DF-A186-E4479E05E416}">
            <x14:dataBar minLength="0" maxLength="100" border="1" negativeBarBorderColorSameAsPositive="0">
              <x14:cfvo type="autoMin"/>
              <x14:cfvo type="autoMax"/>
              <x14:borderColor rgb="FF63C384"/>
              <x14:negativeFillColor rgb="FFFF0000"/>
              <x14:negativeBorderColor rgb="FFFF0000"/>
              <x14:axisColor rgb="FF000000"/>
            </x14:dataBar>
          </x14:cfRule>
          <xm:sqref>Z960</xm:sqref>
        </x14:conditionalFormatting>
        <x14:conditionalFormatting xmlns:xm="http://schemas.microsoft.com/office/excel/2006/main">
          <x14:cfRule type="dataBar" id="{6CD0D376-2CFA-4D60-9A94-6AE7FE9EEFE4}">
            <x14:dataBar minLength="0" maxLength="100" border="1" negativeBarBorderColorSameAsPositive="0">
              <x14:cfvo type="autoMin"/>
              <x14:cfvo type="autoMax"/>
              <x14:borderColor rgb="FF63C384"/>
              <x14:negativeFillColor rgb="FFFF0000"/>
              <x14:negativeBorderColor rgb="FFFF0000"/>
              <x14:axisColor rgb="FF000000"/>
            </x14:dataBar>
          </x14:cfRule>
          <xm:sqref>Z960</xm:sqref>
        </x14:conditionalFormatting>
        <x14:conditionalFormatting xmlns:xm="http://schemas.microsoft.com/office/excel/2006/main">
          <x14:cfRule type="dataBar" id="{5B856694-6354-4A29-B0C3-CD16E04CB875}">
            <x14:dataBar minLength="0" maxLength="100" border="1" negativeBarBorderColorSameAsPositive="0">
              <x14:cfvo type="autoMin"/>
              <x14:cfvo type="autoMax"/>
              <x14:borderColor rgb="FF63C384"/>
              <x14:negativeFillColor rgb="FFFF0000"/>
              <x14:negativeBorderColor rgb="FFFF0000"/>
              <x14:axisColor rgb="FF000000"/>
            </x14:dataBar>
          </x14:cfRule>
          <xm:sqref>Z960</xm:sqref>
        </x14:conditionalFormatting>
        <x14:conditionalFormatting xmlns:xm="http://schemas.microsoft.com/office/excel/2006/main">
          <x14:cfRule type="dataBar" id="{871D8F47-D240-4124-A2C9-282144B2671C}">
            <x14:dataBar minLength="0" maxLength="100" border="1" negativeBarBorderColorSameAsPositive="0">
              <x14:cfvo type="autoMin"/>
              <x14:cfvo type="autoMax"/>
              <x14:borderColor rgb="FF63C384"/>
              <x14:negativeFillColor rgb="FFFF0000"/>
              <x14:negativeBorderColor rgb="FFFF0000"/>
              <x14:axisColor rgb="FF000000"/>
            </x14:dataBar>
          </x14:cfRule>
          <xm:sqref>Z960</xm:sqref>
        </x14:conditionalFormatting>
        <x14:conditionalFormatting xmlns:xm="http://schemas.microsoft.com/office/excel/2006/main">
          <x14:cfRule type="dataBar" id="{EB3CC101-FB58-4BB8-A1BB-B25CD7DBB342}">
            <x14:dataBar minLength="0" maxLength="100" border="1" negativeBarBorderColorSameAsPositive="0">
              <x14:cfvo type="autoMin"/>
              <x14:cfvo type="autoMax"/>
              <x14:borderColor rgb="FF63C384"/>
              <x14:negativeFillColor rgb="FFFF0000"/>
              <x14:negativeBorderColor rgb="FFFF0000"/>
              <x14:axisColor rgb="FF000000"/>
            </x14:dataBar>
          </x14:cfRule>
          <xm:sqref>Z961</xm:sqref>
        </x14:conditionalFormatting>
        <x14:conditionalFormatting xmlns:xm="http://schemas.microsoft.com/office/excel/2006/main">
          <x14:cfRule type="dataBar" id="{39C7CBBA-9C4E-4895-8CFA-6B2E499388CA}">
            <x14:dataBar minLength="0" maxLength="100" border="1" negativeBarBorderColorSameAsPositive="0">
              <x14:cfvo type="autoMin"/>
              <x14:cfvo type="autoMax"/>
              <x14:borderColor rgb="FF63C384"/>
              <x14:negativeFillColor rgb="FFFF0000"/>
              <x14:negativeBorderColor rgb="FFFF0000"/>
              <x14:axisColor rgb="FF000000"/>
            </x14:dataBar>
          </x14:cfRule>
          <xm:sqref>Z961</xm:sqref>
        </x14:conditionalFormatting>
        <x14:conditionalFormatting xmlns:xm="http://schemas.microsoft.com/office/excel/2006/main">
          <x14:cfRule type="dataBar" id="{DCB26B35-C360-4683-9B20-0FB7191462D7}">
            <x14:dataBar minLength="0" maxLength="100" border="1" negativeBarBorderColorSameAsPositive="0">
              <x14:cfvo type="autoMin"/>
              <x14:cfvo type="autoMax"/>
              <x14:borderColor rgb="FF63C384"/>
              <x14:negativeFillColor rgb="FFFF0000"/>
              <x14:negativeBorderColor rgb="FFFF0000"/>
              <x14:axisColor rgb="FF000000"/>
            </x14:dataBar>
          </x14:cfRule>
          <xm:sqref>Z961</xm:sqref>
        </x14:conditionalFormatting>
        <x14:conditionalFormatting xmlns:xm="http://schemas.microsoft.com/office/excel/2006/main">
          <x14:cfRule type="dataBar" id="{753ADBC6-C94C-40BE-95DD-38AD806CAE24}">
            <x14:dataBar minLength="0" maxLength="100" border="1" negativeBarBorderColorSameAsPositive="0">
              <x14:cfvo type="autoMin"/>
              <x14:cfvo type="autoMax"/>
              <x14:borderColor rgb="FF63C384"/>
              <x14:negativeFillColor rgb="FFFF0000"/>
              <x14:negativeBorderColor rgb="FFFF0000"/>
              <x14:axisColor rgb="FF000000"/>
            </x14:dataBar>
          </x14:cfRule>
          <xm:sqref>Z961</xm:sqref>
        </x14:conditionalFormatting>
        <x14:conditionalFormatting xmlns:xm="http://schemas.microsoft.com/office/excel/2006/main">
          <x14:cfRule type="dataBar" id="{40282682-C2C9-46C3-BF14-5098B35991BC}">
            <x14:dataBar minLength="0" maxLength="100" border="1" negativeBarBorderColorSameAsPositive="0">
              <x14:cfvo type="autoMin"/>
              <x14:cfvo type="autoMax"/>
              <x14:borderColor rgb="FF63C384"/>
              <x14:negativeFillColor rgb="FFFF0000"/>
              <x14:negativeBorderColor rgb="FFFF0000"/>
              <x14:axisColor rgb="FF000000"/>
            </x14:dataBar>
          </x14:cfRule>
          <xm:sqref>Z962</xm:sqref>
        </x14:conditionalFormatting>
        <x14:conditionalFormatting xmlns:xm="http://schemas.microsoft.com/office/excel/2006/main">
          <x14:cfRule type="dataBar" id="{5BC3E014-FB9E-40F1-9465-50E153F3A234}">
            <x14:dataBar minLength="0" maxLength="100" border="1" negativeBarBorderColorSameAsPositive="0">
              <x14:cfvo type="autoMin"/>
              <x14:cfvo type="autoMax"/>
              <x14:borderColor rgb="FF63C384"/>
              <x14:negativeFillColor rgb="FFFF0000"/>
              <x14:negativeBorderColor rgb="FFFF0000"/>
              <x14:axisColor rgb="FF000000"/>
            </x14:dataBar>
          </x14:cfRule>
          <xm:sqref>Z963</xm:sqref>
        </x14:conditionalFormatting>
        <x14:conditionalFormatting xmlns:xm="http://schemas.microsoft.com/office/excel/2006/main">
          <x14:cfRule type="dataBar" id="{4D43D7B2-1E59-4565-B9D4-371697A41055}">
            <x14:dataBar minLength="0" maxLength="100" border="1" negativeBarBorderColorSameAsPositive="0">
              <x14:cfvo type="autoMin"/>
              <x14:cfvo type="autoMax"/>
              <x14:borderColor rgb="FF63C384"/>
              <x14:negativeFillColor rgb="FFFF0000"/>
              <x14:negativeBorderColor rgb="FFFF0000"/>
              <x14:axisColor rgb="FF000000"/>
            </x14:dataBar>
          </x14:cfRule>
          <xm:sqref>Z964</xm:sqref>
        </x14:conditionalFormatting>
        <x14:conditionalFormatting xmlns:xm="http://schemas.microsoft.com/office/excel/2006/main">
          <x14:cfRule type="dataBar" id="{4B95EEB0-8E4A-46CE-8E7F-3D2FDDCFDA85}">
            <x14:dataBar minLength="0" maxLength="100" border="1" negativeBarBorderColorSameAsPositive="0">
              <x14:cfvo type="autoMin"/>
              <x14:cfvo type="autoMax"/>
              <x14:borderColor rgb="FF63C384"/>
              <x14:negativeFillColor rgb="FFFF0000"/>
              <x14:negativeBorderColor rgb="FFFF0000"/>
              <x14:axisColor rgb="FF000000"/>
            </x14:dataBar>
          </x14:cfRule>
          <xm:sqref>Z964</xm:sqref>
        </x14:conditionalFormatting>
        <x14:conditionalFormatting xmlns:xm="http://schemas.microsoft.com/office/excel/2006/main">
          <x14:cfRule type="dataBar" id="{A487B81E-6145-42DC-90D9-0D9297645D49}">
            <x14:dataBar minLength="0" maxLength="100" border="1" negativeBarBorderColorSameAsPositive="0">
              <x14:cfvo type="autoMin"/>
              <x14:cfvo type="autoMax"/>
              <x14:borderColor rgb="FF63C384"/>
              <x14:negativeFillColor rgb="FFFF0000"/>
              <x14:negativeBorderColor rgb="FFFF0000"/>
              <x14:axisColor rgb="FF000000"/>
            </x14:dataBar>
          </x14:cfRule>
          <xm:sqref>Z964</xm:sqref>
        </x14:conditionalFormatting>
        <x14:conditionalFormatting xmlns:xm="http://schemas.microsoft.com/office/excel/2006/main">
          <x14:cfRule type="dataBar" id="{95E26076-EC86-443B-8F68-EBD5E74DD69A}">
            <x14:dataBar minLength="0" maxLength="100" border="1" negativeBarBorderColorSameAsPositive="0">
              <x14:cfvo type="autoMin"/>
              <x14:cfvo type="autoMax"/>
              <x14:borderColor rgb="FF63C384"/>
              <x14:negativeFillColor rgb="FFFF0000"/>
              <x14:negativeBorderColor rgb="FFFF0000"/>
              <x14:axisColor rgb="FF000000"/>
            </x14:dataBar>
          </x14:cfRule>
          <xm:sqref>Z964</xm:sqref>
        </x14:conditionalFormatting>
        <x14:conditionalFormatting xmlns:xm="http://schemas.microsoft.com/office/excel/2006/main">
          <x14:cfRule type="dataBar" id="{96D2EC01-51E0-4D5A-A069-781E58D032E5}">
            <x14:dataBar minLength="0" maxLength="100" border="1" negativeBarBorderColorSameAsPositive="0">
              <x14:cfvo type="autoMin"/>
              <x14:cfvo type="autoMax"/>
              <x14:borderColor rgb="FF63C384"/>
              <x14:negativeFillColor rgb="FFFF0000"/>
              <x14:negativeBorderColor rgb="FFFF0000"/>
              <x14:axisColor rgb="FF000000"/>
            </x14:dataBar>
          </x14:cfRule>
          <xm:sqref>Z965</xm:sqref>
        </x14:conditionalFormatting>
        <x14:conditionalFormatting xmlns:xm="http://schemas.microsoft.com/office/excel/2006/main">
          <x14:cfRule type="dataBar" id="{420150F6-3095-4E0F-9143-E824643C1EEB}">
            <x14:dataBar minLength="0" maxLength="100" border="1" negativeBarBorderColorSameAsPositive="0">
              <x14:cfvo type="autoMin"/>
              <x14:cfvo type="autoMax"/>
              <x14:borderColor rgb="FF63C384"/>
              <x14:negativeFillColor rgb="FFFF0000"/>
              <x14:negativeBorderColor rgb="FFFF0000"/>
              <x14:axisColor rgb="FF000000"/>
            </x14:dataBar>
          </x14:cfRule>
          <xm:sqref>Z965</xm:sqref>
        </x14:conditionalFormatting>
        <x14:conditionalFormatting xmlns:xm="http://schemas.microsoft.com/office/excel/2006/main">
          <x14:cfRule type="dataBar" id="{19D08223-B891-4588-A5F0-DDD1B2D9B30D}">
            <x14:dataBar minLength="0" maxLength="100" border="1" negativeBarBorderColorSameAsPositive="0">
              <x14:cfvo type="autoMin"/>
              <x14:cfvo type="autoMax"/>
              <x14:borderColor rgb="FF63C384"/>
              <x14:negativeFillColor rgb="FFFF0000"/>
              <x14:negativeBorderColor rgb="FFFF0000"/>
              <x14:axisColor rgb="FF000000"/>
            </x14:dataBar>
          </x14:cfRule>
          <xm:sqref>Z966</xm:sqref>
        </x14:conditionalFormatting>
        <x14:conditionalFormatting xmlns:xm="http://schemas.microsoft.com/office/excel/2006/main">
          <x14:cfRule type="dataBar" id="{062BCB77-B59E-4A4E-96E5-D0566E7243D0}">
            <x14:dataBar minLength="0" maxLength="100" border="1" negativeBarBorderColorSameAsPositive="0">
              <x14:cfvo type="autoMin"/>
              <x14:cfvo type="autoMax"/>
              <x14:borderColor rgb="FF63C384"/>
              <x14:negativeFillColor rgb="FFFF0000"/>
              <x14:negativeBorderColor rgb="FFFF0000"/>
              <x14:axisColor rgb="FF000000"/>
            </x14:dataBar>
          </x14:cfRule>
          <xm:sqref>Z966</xm:sqref>
        </x14:conditionalFormatting>
        <x14:conditionalFormatting xmlns:xm="http://schemas.microsoft.com/office/excel/2006/main">
          <x14:cfRule type="dataBar" id="{B0C9D882-7CB5-406A-85BC-D911EA56F83C}">
            <x14:dataBar minLength="0" maxLength="100" border="1" negativeBarBorderColorSameAsPositive="0">
              <x14:cfvo type="autoMin"/>
              <x14:cfvo type="autoMax"/>
              <x14:borderColor rgb="FF63C384"/>
              <x14:negativeFillColor rgb="FFFF0000"/>
              <x14:negativeBorderColor rgb="FFFF0000"/>
              <x14:axisColor rgb="FF000000"/>
            </x14:dataBar>
          </x14:cfRule>
          <xm:sqref>Z967</xm:sqref>
        </x14:conditionalFormatting>
        <x14:conditionalFormatting xmlns:xm="http://schemas.microsoft.com/office/excel/2006/main">
          <x14:cfRule type="dataBar" id="{EC49831D-8574-4FD6-AFB5-F6DBB8B6C4AF}">
            <x14:dataBar minLength="0" maxLength="100" border="1" negativeBarBorderColorSameAsPositive="0">
              <x14:cfvo type="autoMin"/>
              <x14:cfvo type="autoMax"/>
              <x14:borderColor rgb="FF63C384"/>
              <x14:negativeFillColor rgb="FFFF0000"/>
              <x14:negativeBorderColor rgb="FFFF0000"/>
              <x14:axisColor rgb="FF000000"/>
            </x14:dataBar>
          </x14:cfRule>
          <xm:sqref>Z967</xm:sqref>
        </x14:conditionalFormatting>
        <x14:conditionalFormatting xmlns:xm="http://schemas.microsoft.com/office/excel/2006/main">
          <x14:cfRule type="dataBar" id="{EE61FFEF-8A93-4368-A752-A379E70041B3}">
            <x14:dataBar minLength="0" maxLength="100" border="1" negativeBarBorderColorSameAsPositive="0">
              <x14:cfvo type="autoMin"/>
              <x14:cfvo type="autoMax"/>
              <x14:borderColor rgb="FF63C384"/>
              <x14:negativeFillColor rgb="FFFF0000"/>
              <x14:negativeBorderColor rgb="FFFF0000"/>
              <x14:axisColor rgb="FF000000"/>
            </x14:dataBar>
          </x14:cfRule>
          <xm:sqref>Z968</xm:sqref>
        </x14:conditionalFormatting>
        <x14:conditionalFormatting xmlns:xm="http://schemas.microsoft.com/office/excel/2006/main">
          <x14:cfRule type="dataBar" id="{69EEA20E-2DCF-4245-B72C-EB44E4134B42}">
            <x14:dataBar minLength="0" maxLength="100" border="1" negativeBarBorderColorSameAsPositive="0">
              <x14:cfvo type="autoMin"/>
              <x14:cfvo type="autoMax"/>
              <x14:borderColor rgb="FF63C384"/>
              <x14:negativeFillColor rgb="FFFF0000"/>
              <x14:negativeBorderColor rgb="FFFF0000"/>
              <x14:axisColor rgb="FF000000"/>
            </x14:dataBar>
          </x14:cfRule>
          <xm:sqref>Z968</xm:sqref>
        </x14:conditionalFormatting>
        <x14:conditionalFormatting xmlns:xm="http://schemas.microsoft.com/office/excel/2006/main">
          <x14:cfRule type="dataBar" id="{DDF5B26B-3C3A-4386-AF19-E0D8EAB22977}">
            <x14:dataBar minLength="0" maxLength="100" border="1" negativeBarBorderColorSameAsPositive="0">
              <x14:cfvo type="autoMin"/>
              <x14:cfvo type="autoMax"/>
              <x14:borderColor rgb="FF63C384"/>
              <x14:negativeFillColor rgb="FFFF0000"/>
              <x14:negativeBorderColor rgb="FFFF0000"/>
              <x14:axisColor rgb="FF000000"/>
            </x14:dataBar>
          </x14:cfRule>
          <xm:sqref>Z969</xm:sqref>
        </x14:conditionalFormatting>
        <x14:conditionalFormatting xmlns:xm="http://schemas.microsoft.com/office/excel/2006/main">
          <x14:cfRule type="dataBar" id="{9C2BAE00-60F5-4FE7-9975-6FE53222629F}">
            <x14:dataBar minLength="0" maxLength="100" border="1" negativeBarBorderColorSameAsPositive="0">
              <x14:cfvo type="autoMin"/>
              <x14:cfvo type="autoMax"/>
              <x14:borderColor rgb="FF63C384"/>
              <x14:negativeFillColor rgb="FFFF0000"/>
              <x14:negativeBorderColor rgb="FFFF0000"/>
              <x14:axisColor rgb="FF000000"/>
            </x14:dataBar>
          </x14:cfRule>
          <xm:sqref>Z970</xm:sqref>
        </x14:conditionalFormatting>
        <x14:conditionalFormatting xmlns:xm="http://schemas.microsoft.com/office/excel/2006/main">
          <x14:cfRule type="dataBar" id="{55184AFD-55A2-453E-8B5C-4A467BFA583E}">
            <x14:dataBar minLength="0" maxLength="100" border="1" negativeBarBorderColorSameAsPositive="0">
              <x14:cfvo type="autoMin"/>
              <x14:cfvo type="autoMax"/>
              <x14:borderColor rgb="FF63C384"/>
              <x14:negativeFillColor rgb="FFFF0000"/>
              <x14:negativeBorderColor rgb="FFFF0000"/>
              <x14:axisColor rgb="FF000000"/>
            </x14:dataBar>
          </x14:cfRule>
          <xm:sqref>Z970</xm:sqref>
        </x14:conditionalFormatting>
        <x14:conditionalFormatting xmlns:xm="http://schemas.microsoft.com/office/excel/2006/main">
          <x14:cfRule type="dataBar" id="{78753292-CA5C-4CDB-ACA4-3BE19336A138}">
            <x14:dataBar minLength="0" maxLength="100" border="1" negativeBarBorderColorSameAsPositive="0">
              <x14:cfvo type="autoMin"/>
              <x14:cfvo type="autoMax"/>
              <x14:borderColor rgb="FF63C384"/>
              <x14:negativeFillColor rgb="FFFF0000"/>
              <x14:negativeBorderColor rgb="FFFF0000"/>
              <x14:axisColor rgb="FF000000"/>
            </x14:dataBar>
          </x14:cfRule>
          <xm:sqref>Z970</xm:sqref>
        </x14:conditionalFormatting>
        <x14:conditionalFormatting xmlns:xm="http://schemas.microsoft.com/office/excel/2006/main">
          <x14:cfRule type="dataBar" id="{123115FB-FC83-4947-AAA2-D3161DF06191}">
            <x14:dataBar minLength="0" maxLength="100" border="1" negativeBarBorderColorSameAsPositive="0">
              <x14:cfvo type="autoMin"/>
              <x14:cfvo type="autoMax"/>
              <x14:borderColor rgb="FF63C384"/>
              <x14:negativeFillColor rgb="FFFF0000"/>
              <x14:negativeBorderColor rgb="FFFF0000"/>
              <x14:axisColor rgb="FF000000"/>
            </x14:dataBar>
          </x14:cfRule>
          <xm:sqref>Z970</xm:sqref>
        </x14:conditionalFormatting>
        <x14:conditionalFormatting xmlns:xm="http://schemas.microsoft.com/office/excel/2006/main">
          <x14:cfRule type="dataBar" id="{F649EC16-C671-4E75-A92A-DB9B6385850B}">
            <x14:dataBar minLength="0" maxLength="100" border="1" negativeBarBorderColorSameAsPositive="0">
              <x14:cfvo type="autoMin"/>
              <x14:cfvo type="autoMax"/>
              <x14:borderColor rgb="FF63C384"/>
              <x14:negativeFillColor rgb="FFFF0000"/>
              <x14:negativeBorderColor rgb="FFFF0000"/>
              <x14:axisColor rgb="FF000000"/>
            </x14:dataBar>
          </x14:cfRule>
          <xm:sqref>Z970</xm:sqref>
        </x14:conditionalFormatting>
        <x14:conditionalFormatting xmlns:xm="http://schemas.microsoft.com/office/excel/2006/main">
          <x14:cfRule type="dataBar" id="{2E7D82B2-8627-4D3D-B422-8B6F09B3FAB8}">
            <x14:dataBar minLength="0" maxLength="100" border="1" negativeBarBorderColorSameAsPositive="0">
              <x14:cfvo type="autoMin"/>
              <x14:cfvo type="autoMax"/>
              <x14:borderColor rgb="FF63C384"/>
              <x14:negativeFillColor rgb="FFFF0000"/>
              <x14:negativeBorderColor rgb="FFFF0000"/>
              <x14:axisColor rgb="FF000000"/>
            </x14:dataBar>
          </x14:cfRule>
          <xm:sqref>Z970</xm:sqref>
        </x14:conditionalFormatting>
        <x14:conditionalFormatting xmlns:xm="http://schemas.microsoft.com/office/excel/2006/main">
          <x14:cfRule type="dataBar" id="{9D19DEC2-1E4E-4509-A6F4-EF91DB4B01FC}">
            <x14:dataBar minLength="0" maxLength="100" border="1" negativeBarBorderColorSameAsPositive="0">
              <x14:cfvo type="autoMin"/>
              <x14:cfvo type="autoMax"/>
              <x14:borderColor rgb="FF63C384"/>
              <x14:negativeFillColor rgb="FFFF0000"/>
              <x14:negativeBorderColor rgb="FFFF0000"/>
              <x14:axisColor rgb="FF000000"/>
            </x14:dataBar>
          </x14:cfRule>
          <xm:sqref>Z970</xm:sqref>
        </x14:conditionalFormatting>
        <x14:conditionalFormatting xmlns:xm="http://schemas.microsoft.com/office/excel/2006/main">
          <x14:cfRule type="dataBar" id="{B701F18A-1357-4FC4-8781-100DDB0B9C92}">
            <x14:dataBar minLength="0" maxLength="100" border="1" negativeBarBorderColorSameAsPositive="0">
              <x14:cfvo type="autoMin"/>
              <x14:cfvo type="autoMax"/>
              <x14:borderColor rgb="FF63C384"/>
              <x14:negativeFillColor rgb="FFFF0000"/>
              <x14:negativeBorderColor rgb="FFFF0000"/>
              <x14:axisColor rgb="FF000000"/>
            </x14:dataBar>
          </x14:cfRule>
          <xm:sqref>Z970</xm:sqref>
        </x14:conditionalFormatting>
        <x14:conditionalFormatting xmlns:xm="http://schemas.microsoft.com/office/excel/2006/main">
          <x14:cfRule type="dataBar" id="{8E85BCAE-33F5-4FB8-83C2-0CD80FB5ECFC}">
            <x14:dataBar minLength="0" maxLength="100" border="1" negativeBarBorderColorSameAsPositive="0">
              <x14:cfvo type="autoMin"/>
              <x14:cfvo type="autoMax"/>
              <x14:borderColor rgb="FF63C384"/>
              <x14:negativeFillColor rgb="FFFF0000"/>
              <x14:negativeBorderColor rgb="FFFF0000"/>
              <x14:axisColor rgb="FF000000"/>
            </x14:dataBar>
          </x14:cfRule>
          <xm:sqref>Z971</xm:sqref>
        </x14:conditionalFormatting>
        <x14:conditionalFormatting xmlns:xm="http://schemas.microsoft.com/office/excel/2006/main">
          <x14:cfRule type="dataBar" id="{8AC57708-A632-4285-9EF0-0206C03BF53C}">
            <x14:dataBar minLength="0" maxLength="100" border="1" negativeBarBorderColorSameAsPositive="0">
              <x14:cfvo type="autoMin"/>
              <x14:cfvo type="autoMax"/>
              <x14:borderColor rgb="FF63C384"/>
              <x14:negativeFillColor rgb="FFFF0000"/>
              <x14:negativeBorderColor rgb="FFFF0000"/>
              <x14:axisColor rgb="FF000000"/>
            </x14:dataBar>
          </x14:cfRule>
          <xm:sqref>Z971</xm:sqref>
        </x14:conditionalFormatting>
        <x14:conditionalFormatting xmlns:xm="http://schemas.microsoft.com/office/excel/2006/main">
          <x14:cfRule type="dataBar" id="{22CD3B70-B202-46B5-8B6D-57E6BAA16080}">
            <x14:dataBar minLength="0" maxLength="100" border="1" negativeBarBorderColorSameAsPositive="0">
              <x14:cfvo type="autoMin"/>
              <x14:cfvo type="autoMax"/>
              <x14:borderColor rgb="FF63C384"/>
              <x14:negativeFillColor rgb="FFFF0000"/>
              <x14:negativeBorderColor rgb="FFFF0000"/>
              <x14:axisColor rgb="FF000000"/>
            </x14:dataBar>
          </x14:cfRule>
          <xm:sqref>Z972</xm:sqref>
        </x14:conditionalFormatting>
        <x14:conditionalFormatting xmlns:xm="http://schemas.microsoft.com/office/excel/2006/main">
          <x14:cfRule type="dataBar" id="{64CD59EB-5FF0-4DB1-8345-5FEE636DDDF9}">
            <x14:dataBar minLength="0" maxLength="100" border="1" negativeBarBorderColorSameAsPositive="0">
              <x14:cfvo type="autoMin"/>
              <x14:cfvo type="autoMax"/>
              <x14:borderColor rgb="FF63C384"/>
              <x14:negativeFillColor rgb="FFFF0000"/>
              <x14:negativeBorderColor rgb="FFFF0000"/>
              <x14:axisColor rgb="FF000000"/>
            </x14:dataBar>
          </x14:cfRule>
          <xm:sqref>Z973</xm:sqref>
        </x14:conditionalFormatting>
        <x14:conditionalFormatting xmlns:xm="http://schemas.microsoft.com/office/excel/2006/main">
          <x14:cfRule type="dataBar" id="{68631C47-A143-4175-BF52-EA57929DE0E7}">
            <x14:dataBar minLength="0" maxLength="100" border="1" negativeBarBorderColorSameAsPositive="0">
              <x14:cfvo type="autoMin"/>
              <x14:cfvo type="autoMax"/>
              <x14:borderColor rgb="FF63C384"/>
              <x14:negativeFillColor rgb="FFFF0000"/>
              <x14:negativeBorderColor rgb="FFFF0000"/>
              <x14:axisColor rgb="FF000000"/>
            </x14:dataBar>
          </x14:cfRule>
          <xm:sqref>Z973</xm:sqref>
        </x14:conditionalFormatting>
        <x14:conditionalFormatting xmlns:xm="http://schemas.microsoft.com/office/excel/2006/main">
          <x14:cfRule type="dataBar" id="{D226C365-9121-4045-97E9-DF791DF57C43}">
            <x14:dataBar minLength="0" maxLength="100" border="1" negativeBarBorderColorSameAsPositive="0">
              <x14:cfvo type="autoMin"/>
              <x14:cfvo type="autoMax"/>
              <x14:borderColor rgb="FF63C384"/>
              <x14:negativeFillColor rgb="FFFF0000"/>
              <x14:negativeBorderColor rgb="FFFF0000"/>
              <x14:axisColor rgb="FF000000"/>
            </x14:dataBar>
          </x14:cfRule>
          <xm:sqref>Z974</xm:sqref>
        </x14:conditionalFormatting>
        <x14:conditionalFormatting xmlns:xm="http://schemas.microsoft.com/office/excel/2006/main">
          <x14:cfRule type="dataBar" id="{1D58BC60-4189-470B-B564-AF7E51691F98}">
            <x14:dataBar minLength="0" maxLength="100" border="1" negativeBarBorderColorSameAsPositive="0">
              <x14:cfvo type="autoMin"/>
              <x14:cfvo type="autoMax"/>
              <x14:borderColor rgb="FF63C384"/>
              <x14:negativeFillColor rgb="FFFF0000"/>
              <x14:negativeBorderColor rgb="FFFF0000"/>
              <x14:axisColor rgb="FF000000"/>
            </x14:dataBar>
          </x14:cfRule>
          <xm:sqref>Z974</xm:sqref>
        </x14:conditionalFormatting>
        <x14:conditionalFormatting xmlns:xm="http://schemas.microsoft.com/office/excel/2006/main">
          <x14:cfRule type="dataBar" id="{C873ADA4-FE9B-40B0-8F5B-99125CA25F99}">
            <x14:dataBar minLength="0" maxLength="100" border="1" negativeBarBorderColorSameAsPositive="0">
              <x14:cfvo type="autoMin"/>
              <x14:cfvo type="autoMax"/>
              <x14:borderColor rgb="FF63C384"/>
              <x14:negativeFillColor rgb="FFFF0000"/>
              <x14:negativeBorderColor rgb="FFFF0000"/>
              <x14:axisColor rgb="FF000000"/>
            </x14:dataBar>
          </x14:cfRule>
          <xm:sqref>Z975</xm:sqref>
        </x14:conditionalFormatting>
        <x14:conditionalFormatting xmlns:xm="http://schemas.microsoft.com/office/excel/2006/main">
          <x14:cfRule type="dataBar" id="{80E073A1-F132-4D6B-952B-B075635D9494}">
            <x14:dataBar minLength="0" maxLength="100" border="1" negativeBarBorderColorSameAsPositive="0">
              <x14:cfvo type="autoMin"/>
              <x14:cfvo type="autoMax"/>
              <x14:borderColor rgb="FF63C384"/>
              <x14:negativeFillColor rgb="FFFF0000"/>
              <x14:negativeBorderColor rgb="FFFF0000"/>
              <x14:axisColor rgb="FF000000"/>
            </x14:dataBar>
          </x14:cfRule>
          <xm:sqref>Z975</xm:sqref>
        </x14:conditionalFormatting>
        <x14:conditionalFormatting xmlns:xm="http://schemas.microsoft.com/office/excel/2006/main">
          <x14:cfRule type="dataBar" id="{56127B1D-7AE4-4559-8956-08CFE269CA63}">
            <x14:dataBar minLength="0" maxLength="100" border="1" negativeBarBorderColorSameAsPositive="0">
              <x14:cfvo type="autoMin"/>
              <x14:cfvo type="autoMax"/>
              <x14:borderColor rgb="FF63C384"/>
              <x14:negativeFillColor rgb="FFFF0000"/>
              <x14:negativeBorderColor rgb="FFFF0000"/>
              <x14:axisColor rgb="FF000000"/>
            </x14:dataBar>
          </x14:cfRule>
          <xm:sqref>Z976</xm:sqref>
        </x14:conditionalFormatting>
        <x14:conditionalFormatting xmlns:xm="http://schemas.microsoft.com/office/excel/2006/main">
          <x14:cfRule type="dataBar" id="{0D1C1A7D-66D0-4EE1-B0FA-733D3B125E67}">
            <x14:dataBar minLength="0" maxLength="100" border="1" negativeBarBorderColorSameAsPositive="0">
              <x14:cfvo type="autoMin"/>
              <x14:cfvo type="autoMax"/>
              <x14:borderColor rgb="FF63C384"/>
              <x14:negativeFillColor rgb="FFFF0000"/>
              <x14:negativeBorderColor rgb="FFFF0000"/>
              <x14:axisColor rgb="FF000000"/>
            </x14:dataBar>
          </x14:cfRule>
          <xm:sqref>Z976</xm:sqref>
        </x14:conditionalFormatting>
        <x14:conditionalFormatting xmlns:xm="http://schemas.microsoft.com/office/excel/2006/main">
          <x14:cfRule type="dataBar" id="{F957898E-D695-42F7-99CF-41A2BC4BCC2E}">
            <x14:dataBar minLength="0" maxLength="100" border="1" negativeBarBorderColorSameAsPositive="0">
              <x14:cfvo type="autoMin"/>
              <x14:cfvo type="autoMax"/>
              <x14:borderColor rgb="FF63C384"/>
              <x14:negativeFillColor rgb="FFFF0000"/>
              <x14:negativeBorderColor rgb="FFFF0000"/>
              <x14:axisColor rgb="FF000000"/>
            </x14:dataBar>
          </x14:cfRule>
          <xm:sqref>Z976</xm:sqref>
        </x14:conditionalFormatting>
        <x14:conditionalFormatting xmlns:xm="http://schemas.microsoft.com/office/excel/2006/main">
          <x14:cfRule type="dataBar" id="{8277794A-F958-45A6-B2FA-1F0E405D7A44}">
            <x14:dataBar minLength="0" maxLength="100" border="1" negativeBarBorderColorSameAsPositive="0">
              <x14:cfvo type="autoMin"/>
              <x14:cfvo type="autoMax"/>
              <x14:borderColor rgb="FF63C384"/>
              <x14:negativeFillColor rgb="FFFF0000"/>
              <x14:negativeBorderColor rgb="FFFF0000"/>
              <x14:axisColor rgb="FF000000"/>
            </x14:dataBar>
          </x14:cfRule>
          <xm:sqref>Z976</xm:sqref>
        </x14:conditionalFormatting>
        <x14:conditionalFormatting xmlns:xm="http://schemas.microsoft.com/office/excel/2006/main">
          <x14:cfRule type="dataBar" id="{5E10C3CC-270C-439E-A19B-B3E924FFE1BC}">
            <x14:dataBar minLength="0" maxLength="100" border="1" negativeBarBorderColorSameAsPositive="0">
              <x14:cfvo type="autoMin"/>
              <x14:cfvo type="autoMax"/>
              <x14:borderColor rgb="FF63C384"/>
              <x14:negativeFillColor rgb="FFFF0000"/>
              <x14:negativeBorderColor rgb="FFFF0000"/>
              <x14:axisColor rgb="FF000000"/>
            </x14:dataBar>
          </x14:cfRule>
          <xm:sqref>Z977</xm:sqref>
        </x14:conditionalFormatting>
        <x14:conditionalFormatting xmlns:xm="http://schemas.microsoft.com/office/excel/2006/main">
          <x14:cfRule type="dataBar" id="{D64F2B71-F23D-4220-BE06-49A820379A18}">
            <x14:dataBar minLength="0" maxLength="100" border="1" negativeBarBorderColorSameAsPositive="0">
              <x14:cfvo type="autoMin"/>
              <x14:cfvo type="autoMax"/>
              <x14:borderColor rgb="FF63C384"/>
              <x14:negativeFillColor rgb="FFFF0000"/>
              <x14:negativeBorderColor rgb="FFFF0000"/>
              <x14:axisColor rgb="FF000000"/>
            </x14:dataBar>
          </x14:cfRule>
          <xm:sqref>Z977</xm:sqref>
        </x14:conditionalFormatting>
        <x14:conditionalFormatting xmlns:xm="http://schemas.microsoft.com/office/excel/2006/main">
          <x14:cfRule type="dataBar" id="{5B0C97AF-21D1-4225-B161-D3AF33C82441}">
            <x14:dataBar minLength="0" maxLength="100" border="1" negativeBarBorderColorSameAsPositive="0">
              <x14:cfvo type="autoMin"/>
              <x14:cfvo type="autoMax"/>
              <x14:borderColor rgb="FF63C384"/>
              <x14:negativeFillColor rgb="FFFF0000"/>
              <x14:negativeBorderColor rgb="FFFF0000"/>
              <x14:axisColor rgb="FF000000"/>
            </x14:dataBar>
          </x14:cfRule>
          <xm:sqref>Z978</xm:sqref>
        </x14:conditionalFormatting>
        <x14:conditionalFormatting xmlns:xm="http://schemas.microsoft.com/office/excel/2006/main">
          <x14:cfRule type="dataBar" id="{4DA9BBBC-6905-431D-9D61-73CAF3F2218C}">
            <x14:dataBar minLength="0" maxLength="100" border="1" negativeBarBorderColorSameAsPositive="0">
              <x14:cfvo type="autoMin"/>
              <x14:cfvo type="autoMax"/>
              <x14:borderColor rgb="FF63C384"/>
              <x14:negativeFillColor rgb="FFFF0000"/>
              <x14:negativeBorderColor rgb="FFFF0000"/>
              <x14:axisColor rgb="FF000000"/>
            </x14:dataBar>
          </x14:cfRule>
          <xm:sqref>Z978</xm:sqref>
        </x14:conditionalFormatting>
        <x14:conditionalFormatting xmlns:xm="http://schemas.microsoft.com/office/excel/2006/main">
          <x14:cfRule type="dataBar" id="{49A25882-472C-4C95-8993-C6E59D2A28C7}">
            <x14:dataBar minLength="0" maxLength="100" border="1" negativeBarBorderColorSameAsPositive="0">
              <x14:cfvo type="autoMin"/>
              <x14:cfvo type="autoMax"/>
              <x14:borderColor rgb="FF63C384"/>
              <x14:negativeFillColor rgb="FFFF0000"/>
              <x14:negativeBorderColor rgb="FFFF0000"/>
              <x14:axisColor rgb="FF000000"/>
            </x14:dataBar>
          </x14:cfRule>
          <xm:sqref>Z979</xm:sqref>
        </x14:conditionalFormatting>
        <x14:conditionalFormatting xmlns:xm="http://schemas.microsoft.com/office/excel/2006/main">
          <x14:cfRule type="dataBar" id="{ADFE8625-9CDA-41E1-9266-4C36E1BD27D0}">
            <x14:dataBar minLength="0" maxLength="100" border="1" negativeBarBorderColorSameAsPositive="0">
              <x14:cfvo type="autoMin"/>
              <x14:cfvo type="autoMax"/>
              <x14:borderColor rgb="FF63C384"/>
              <x14:negativeFillColor rgb="FFFF0000"/>
              <x14:negativeBorderColor rgb="FFFF0000"/>
              <x14:axisColor rgb="FF000000"/>
            </x14:dataBar>
          </x14:cfRule>
          <xm:sqref>Z979</xm:sqref>
        </x14:conditionalFormatting>
        <x14:conditionalFormatting xmlns:xm="http://schemas.microsoft.com/office/excel/2006/main">
          <x14:cfRule type="dataBar" id="{4DAB0B4C-C521-4919-8774-F82CA4489648}">
            <x14:dataBar minLength="0" maxLength="100" border="1" negativeBarBorderColorSameAsPositive="0">
              <x14:cfvo type="autoMin"/>
              <x14:cfvo type="autoMax"/>
              <x14:borderColor rgb="FF63C384"/>
              <x14:negativeFillColor rgb="FFFF0000"/>
              <x14:negativeBorderColor rgb="FFFF0000"/>
              <x14:axisColor rgb="FF000000"/>
            </x14:dataBar>
          </x14:cfRule>
          <xm:sqref>Z979</xm:sqref>
        </x14:conditionalFormatting>
        <x14:conditionalFormatting xmlns:xm="http://schemas.microsoft.com/office/excel/2006/main">
          <x14:cfRule type="dataBar" id="{040CFA2F-F36D-41D2-AED7-E3F1C400C8F9}">
            <x14:dataBar minLength="0" maxLength="100" border="1" negativeBarBorderColorSameAsPositive="0">
              <x14:cfvo type="autoMin"/>
              <x14:cfvo type="autoMax"/>
              <x14:borderColor rgb="FF63C384"/>
              <x14:negativeFillColor rgb="FFFF0000"/>
              <x14:negativeBorderColor rgb="FFFF0000"/>
              <x14:axisColor rgb="FF000000"/>
            </x14:dataBar>
          </x14:cfRule>
          <xm:sqref>Z979</xm:sqref>
        </x14:conditionalFormatting>
        <x14:conditionalFormatting xmlns:xm="http://schemas.microsoft.com/office/excel/2006/main">
          <x14:cfRule type="dataBar" id="{235C29E6-AB01-413A-B08B-EE62C02DC437}">
            <x14:dataBar minLength="0" maxLength="100" border="1" negativeBarBorderColorSameAsPositive="0">
              <x14:cfvo type="autoMin"/>
              <x14:cfvo type="autoMax"/>
              <x14:borderColor rgb="FF63C384"/>
              <x14:negativeFillColor rgb="FFFF0000"/>
              <x14:negativeBorderColor rgb="FFFF0000"/>
              <x14:axisColor rgb="FF000000"/>
            </x14:dataBar>
          </x14:cfRule>
          <xm:sqref>Z980</xm:sqref>
        </x14:conditionalFormatting>
        <x14:conditionalFormatting xmlns:xm="http://schemas.microsoft.com/office/excel/2006/main">
          <x14:cfRule type="dataBar" id="{C1238E6C-D879-4BBA-B92C-D88C2C8DFD77}">
            <x14:dataBar minLength="0" maxLength="100" border="1" negativeBarBorderColorSameAsPositive="0">
              <x14:cfvo type="autoMin"/>
              <x14:cfvo type="autoMax"/>
              <x14:borderColor rgb="FF63C384"/>
              <x14:negativeFillColor rgb="FFFF0000"/>
              <x14:negativeBorderColor rgb="FFFF0000"/>
              <x14:axisColor rgb="FF000000"/>
            </x14:dataBar>
          </x14:cfRule>
          <xm:sqref>Z981</xm:sqref>
        </x14:conditionalFormatting>
        <x14:conditionalFormatting xmlns:xm="http://schemas.microsoft.com/office/excel/2006/main">
          <x14:cfRule type="dataBar" id="{EA4BDBC1-9762-4746-B2D0-435E2933665E}">
            <x14:dataBar minLength="0" maxLength="100" border="1" negativeBarBorderColorSameAsPositive="0">
              <x14:cfvo type="autoMin"/>
              <x14:cfvo type="autoMax"/>
              <x14:borderColor rgb="FF63C384"/>
              <x14:negativeFillColor rgb="FFFF0000"/>
              <x14:negativeBorderColor rgb="FFFF0000"/>
              <x14:axisColor rgb="FF000000"/>
            </x14:dataBar>
          </x14:cfRule>
          <xm:sqref>Z981</xm:sqref>
        </x14:conditionalFormatting>
        <x14:conditionalFormatting xmlns:xm="http://schemas.microsoft.com/office/excel/2006/main">
          <x14:cfRule type="dataBar" id="{B48BCA1A-A719-4519-ADA4-8AE596D9FD97}">
            <x14:dataBar minLength="0" maxLength="100" border="1" negativeBarBorderColorSameAsPositive="0">
              <x14:cfvo type="autoMin"/>
              <x14:cfvo type="autoMax"/>
              <x14:borderColor rgb="FF63C384"/>
              <x14:negativeFillColor rgb="FFFF0000"/>
              <x14:negativeBorderColor rgb="FFFF0000"/>
              <x14:axisColor rgb="FF000000"/>
            </x14:dataBar>
          </x14:cfRule>
          <xm:sqref>Z981</xm:sqref>
        </x14:conditionalFormatting>
        <x14:conditionalFormatting xmlns:xm="http://schemas.microsoft.com/office/excel/2006/main">
          <x14:cfRule type="dataBar" id="{7F5F8DA8-B74A-402C-BCFD-A978C5D880B8}">
            <x14:dataBar minLength="0" maxLength="100" border="1" negativeBarBorderColorSameAsPositive="0">
              <x14:cfvo type="autoMin"/>
              <x14:cfvo type="autoMax"/>
              <x14:borderColor rgb="FF63C384"/>
              <x14:negativeFillColor rgb="FFFF0000"/>
              <x14:negativeBorderColor rgb="FFFF0000"/>
              <x14:axisColor rgb="FF000000"/>
            </x14:dataBar>
          </x14:cfRule>
          <xm:sqref>Z981</xm:sqref>
        </x14:conditionalFormatting>
        <x14:conditionalFormatting xmlns:xm="http://schemas.microsoft.com/office/excel/2006/main">
          <x14:cfRule type="dataBar" id="{BFDC121E-4DFC-4A25-9339-403F9C21B50D}">
            <x14:dataBar minLength="0" maxLength="100" border="1" negativeBarBorderColorSameAsPositive="0">
              <x14:cfvo type="autoMin"/>
              <x14:cfvo type="autoMax"/>
              <x14:borderColor rgb="FF63C384"/>
              <x14:negativeFillColor rgb="FFFF0000"/>
              <x14:negativeBorderColor rgb="FFFF0000"/>
              <x14:axisColor rgb="FF000000"/>
            </x14:dataBar>
          </x14:cfRule>
          <xm:sqref>Z984</xm:sqref>
        </x14:conditionalFormatting>
        <x14:conditionalFormatting xmlns:xm="http://schemas.microsoft.com/office/excel/2006/main">
          <x14:cfRule type="dataBar" id="{ECD03B8D-CD28-48DF-B0EA-15B006DA77D3}">
            <x14:dataBar minLength="0" maxLength="100" border="1" negativeBarBorderColorSameAsPositive="0">
              <x14:cfvo type="autoMin"/>
              <x14:cfvo type="autoMax"/>
              <x14:borderColor rgb="FF63C384"/>
              <x14:negativeFillColor rgb="FFFF0000"/>
              <x14:negativeBorderColor rgb="FFFF0000"/>
              <x14:axisColor rgb="FF000000"/>
            </x14:dataBar>
          </x14:cfRule>
          <xm:sqref>Z984</xm:sqref>
        </x14:conditionalFormatting>
        <x14:conditionalFormatting xmlns:xm="http://schemas.microsoft.com/office/excel/2006/main">
          <x14:cfRule type="dataBar" id="{B840E009-55FF-4AB7-98BE-7C721F3583FF}">
            <x14:dataBar minLength="0" maxLength="100" border="1" negativeBarBorderColorSameAsPositive="0">
              <x14:cfvo type="autoMin"/>
              <x14:cfvo type="autoMax"/>
              <x14:borderColor rgb="FF63C384"/>
              <x14:negativeFillColor rgb="FFFF0000"/>
              <x14:negativeBorderColor rgb="FFFF0000"/>
              <x14:axisColor rgb="FF000000"/>
            </x14:dataBar>
          </x14:cfRule>
          <xm:sqref>Z985</xm:sqref>
        </x14:conditionalFormatting>
        <x14:conditionalFormatting xmlns:xm="http://schemas.microsoft.com/office/excel/2006/main">
          <x14:cfRule type="dataBar" id="{5C2F0CB8-E80E-4ECD-88F1-86C8ACDED908}">
            <x14:dataBar minLength="0" maxLength="100" border="1" negativeBarBorderColorSameAsPositive="0">
              <x14:cfvo type="autoMin"/>
              <x14:cfvo type="autoMax"/>
              <x14:borderColor rgb="FF63C384"/>
              <x14:negativeFillColor rgb="FFFF0000"/>
              <x14:negativeBorderColor rgb="FFFF0000"/>
              <x14:axisColor rgb="FF000000"/>
            </x14:dataBar>
          </x14:cfRule>
          <xm:sqref>Z985</xm:sqref>
        </x14:conditionalFormatting>
        <x14:conditionalFormatting xmlns:xm="http://schemas.microsoft.com/office/excel/2006/main">
          <x14:cfRule type="dataBar" id="{D17193EF-6F8B-4F94-AAD4-B26A75F12E7A}">
            <x14:dataBar minLength="0" maxLength="100" border="1" negativeBarBorderColorSameAsPositive="0">
              <x14:cfvo type="autoMin"/>
              <x14:cfvo type="autoMax"/>
              <x14:borderColor rgb="FF63C384"/>
              <x14:negativeFillColor rgb="FFFF0000"/>
              <x14:negativeBorderColor rgb="FFFF0000"/>
              <x14:axisColor rgb="FF000000"/>
            </x14:dataBar>
          </x14:cfRule>
          <xm:sqref>Z986</xm:sqref>
        </x14:conditionalFormatting>
        <x14:conditionalFormatting xmlns:xm="http://schemas.microsoft.com/office/excel/2006/main">
          <x14:cfRule type="dataBar" id="{A15DAD57-D8CF-4D93-9793-FA2E1D69B117}">
            <x14:dataBar minLength="0" maxLength="100" border="1" negativeBarBorderColorSameAsPositive="0">
              <x14:cfvo type="autoMin"/>
              <x14:cfvo type="autoMax"/>
              <x14:borderColor rgb="FF63C384"/>
              <x14:negativeFillColor rgb="FFFF0000"/>
              <x14:negativeBorderColor rgb="FFFF0000"/>
              <x14:axisColor rgb="FF000000"/>
            </x14:dataBar>
          </x14:cfRule>
          <xm:sqref>Z986</xm:sqref>
        </x14:conditionalFormatting>
        <x14:conditionalFormatting xmlns:xm="http://schemas.microsoft.com/office/excel/2006/main">
          <x14:cfRule type="dataBar" id="{FE30B574-A4E4-4843-A92B-0A8243C9A070}">
            <x14:dataBar minLength="0" maxLength="100" border="1" negativeBarBorderColorSameAsPositive="0">
              <x14:cfvo type="autoMin"/>
              <x14:cfvo type="autoMax"/>
              <x14:borderColor rgb="FF63C384"/>
              <x14:negativeFillColor rgb="FFFF0000"/>
              <x14:negativeBorderColor rgb="FFFF0000"/>
              <x14:axisColor rgb="FF000000"/>
            </x14:dataBar>
          </x14:cfRule>
          <xm:sqref>Z986</xm:sqref>
        </x14:conditionalFormatting>
        <x14:conditionalFormatting xmlns:xm="http://schemas.microsoft.com/office/excel/2006/main">
          <x14:cfRule type="dataBar" id="{64BBF2AA-AEAF-408A-9AE4-11BC005FE3CF}">
            <x14:dataBar minLength="0" maxLength="100" border="1" negativeBarBorderColorSameAsPositive="0">
              <x14:cfvo type="autoMin"/>
              <x14:cfvo type="autoMax"/>
              <x14:borderColor rgb="FF63C384"/>
              <x14:negativeFillColor rgb="FFFF0000"/>
              <x14:negativeBorderColor rgb="FFFF0000"/>
              <x14:axisColor rgb="FF000000"/>
            </x14:dataBar>
          </x14:cfRule>
          <xm:sqref>Z986</xm:sqref>
        </x14:conditionalFormatting>
        <x14:conditionalFormatting xmlns:xm="http://schemas.microsoft.com/office/excel/2006/main">
          <x14:cfRule type="dataBar" id="{889D4326-3083-4ED3-A56F-FA8378DBF004}">
            <x14:dataBar minLength="0" maxLength="100" border="1" negativeBarBorderColorSameAsPositive="0">
              <x14:cfvo type="autoMin"/>
              <x14:cfvo type="autoMax"/>
              <x14:borderColor rgb="FF63C384"/>
              <x14:negativeFillColor rgb="FFFF0000"/>
              <x14:negativeBorderColor rgb="FFFF0000"/>
              <x14:axisColor rgb="FF000000"/>
            </x14:dataBar>
          </x14:cfRule>
          <xm:sqref>Z987</xm:sqref>
        </x14:conditionalFormatting>
        <x14:conditionalFormatting xmlns:xm="http://schemas.microsoft.com/office/excel/2006/main">
          <x14:cfRule type="dataBar" id="{D0CC9154-6A98-4A3D-9F0B-8113DA34E0CA}">
            <x14:dataBar minLength="0" maxLength="100" border="1" negativeBarBorderColorSameAsPositive="0">
              <x14:cfvo type="autoMin"/>
              <x14:cfvo type="autoMax"/>
              <x14:borderColor rgb="FF63C384"/>
              <x14:negativeFillColor rgb="FFFF0000"/>
              <x14:negativeBorderColor rgb="FFFF0000"/>
              <x14:axisColor rgb="FF000000"/>
            </x14:dataBar>
          </x14:cfRule>
          <xm:sqref>Z987</xm:sqref>
        </x14:conditionalFormatting>
        <x14:conditionalFormatting xmlns:xm="http://schemas.microsoft.com/office/excel/2006/main">
          <x14:cfRule type="dataBar" id="{6CAE92C1-62D7-4627-9087-A844857E1EEF}">
            <x14:dataBar minLength="0" maxLength="100" border="1" negativeBarBorderColorSameAsPositive="0">
              <x14:cfvo type="autoMin"/>
              <x14:cfvo type="autoMax"/>
              <x14:borderColor rgb="FF63C384"/>
              <x14:negativeFillColor rgb="FFFF0000"/>
              <x14:negativeBorderColor rgb="FFFF0000"/>
              <x14:axisColor rgb="FF000000"/>
            </x14:dataBar>
          </x14:cfRule>
          <xm:sqref>Z988</xm:sqref>
        </x14:conditionalFormatting>
        <x14:conditionalFormatting xmlns:xm="http://schemas.microsoft.com/office/excel/2006/main">
          <x14:cfRule type="dataBar" id="{3C990AFD-5903-4730-A672-766760091F71}">
            <x14:dataBar minLength="0" maxLength="100" border="1" negativeBarBorderColorSameAsPositive="0">
              <x14:cfvo type="autoMin"/>
              <x14:cfvo type="autoMax"/>
              <x14:borderColor rgb="FF63C384"/>
              <x14:negativeFillColor rgb="FFFF0000"/>
              <x14:negativeBorderColor rgb="FFFF0000"/>
              <x14:axisColor rgb="FF000000"/>
            </x14:dataBar>
          </x14:cfRule>
          <xm:sqref>Z989</xm:sqref>
        </x14:conditionalFormatting>
        <x14:conditionalFormatting xmlns:xm="http://schemas.microsoft.com/office/excel/2006/main">
          <x14:cfRule type="dataBar" id="{6AD6E24B-5019-4113-AFE8-D1BD0B7AB6DC}">
            <x14:dataBar minLength="0" maxLength="100" border="1" negativeBarBorderColorSameAsPositive="0">
              <x14:cfvo type="autoMin"/>
              <x14:cfvo type="autoMax"/>
              <x14:borderColor rgb="FF63C384"/>
              <x14:negativeFillColor rgb="FFFF0000"/>
              <x14:negativeBorderColor rgb="FFFF0000"/>
              <x14:axisColor rgb="FF000000"/>
            </x14:dataBar>
          </x14:cfRule>
          <xm:sqref>Z989</xm:sqref>
        </x14:conditionalFormatting>
        <x14:conditionalFormatting xmlns:xm="http://schemas.microsoft.com/office/excel/2006/main">
          <x14:cfRule type="dataBar" id="{9EC6CF83-BB23-4BF9-879D-D4C8F151B731}">
            <x14:dataBar minLength="0" maxLength="100" border="1" negativeBarBorderColorSameAsPositive="0">
              <x14:cfvo type="autoMin"/>
              <x14:cfvo type="autoMax"/>
              <x14:borderColor rgb="FF63C384"/>
              <x14:negativeFillColor rgb="FFFF0000"/>
              <x14:negativeBorderColor rgb="FFFF0000"/>
              <x14:axisColor rgb="FF000000"/>
            </x14:dataBar>
          </x14:cfRule>
          <xm:sqref>Z989</xm:sqref>
        </x14:conditionalFormatting>
        <x14:conditionalFormatting xmlns:xm="http://schemas.microsoft.com/office/excel/2006/main">
          <x14:cfRule type="dataBar" id="{176BB28F-EC8C-4D3B-BCD4-519E07C254F7}">
            <x14:dataBar minLength="0" maxLength="100" border="1" negativeBarBorderColorSameAsPositive="0">
              <x14:cfvo type="autoMin"/>
              <x14:cfvo type="autoMax"/>
              <x14:borderColor rgb="FF63C384"/>
              <x14:negativeFillColor rgb="FFFF0000"/>
              <x14:negativeBorderColor rgb="FFFF0000"/>
              <x14:axisColor rgb="FF000000"/>
            </x14:dataBar>
          </x14:cfRule>
          <xm:sqref>Z989</xm:sqref>
        </x14:conditionalFormatting>
        <x14:conditionalFormatting xmlns:xm="http://schemas.microsoft.com/office/excel/2006/main">
          <x14:cfRule type="dataBar" id="{628D1A17-D701-4025-A0F7-6D813F4C3E99}">
            <x14:dataBar minLength="0" maxLength="100" border="1" negativeBarBorderColorSameAsPositive="0">
              <x14:cfvo type="autoMin"/>
              <x14:cfvo type="autoMax"/>
              <x14:borderColor rgb="FF63C384"/>
              <x14:negativeFillColor rgb="FFFF0000"/>
              <x14:negativeBorderColor rgb="FFFF0000"/>
              <x14:axisColor rgb="FF000000"/>
            </x14:dataBar>
          </x14:cfRule>
          <xm:sqref>Z989</xm:sqref>
        </x14:conditionalFormatting>
        <x14:conditionalFormatting xmlns:xm="http://schemas.microsoft.com/office/excel/2006/main">
          <x14:cfRule type="dataBar" id="{23CEB2E1-EC57-4D11-AA02-D4FF97907EA3}">
            <x14:dataBar minLength="0" maxLength="100" border="1" negativeBarBorderColorSameAsPositive="0">
              <x14:cfvo type="autoMin"/>
              <x14:cfvo type="autoMax"/>
              <x14:borderColor rgb="FF63C384"/>
              <x14:negativeFillColor rgb="FFFF0000"/>
              <x14:negativeBorderColor rgb="FFFF0000"/>
              <x14:axisColor rgb="FF000000"/>
            </x14:dataBar>
          </x14:cfRule>
          <xm:sqref>Z989</xm:sqref>
        </x14:conditionalFormatting>
        <x14:conditionalFormatting xmlns:xm="http://schemas.microsoft.com/office/excel/2006/main">
          <x14:cfRule type="dataBar" id="{59BE923E-46E6-479C-94DF-DEE3617E8E54}">
            <x14:dataBar minLength="0" maxLength="100" border="1" negativeBarBorderColorSameAsPositive="0">
              <x14:cfvo type="autoMin"/>
              <x14:cfvo type="autoMax"/>
              <x14:borderColor rgb="FF63C384"/>
              <x14:negativeFillColor rgb="FFFF0000"/>
              <x14:negativeBorderColor rgb="FFFF0000"/>
              <x14:axisColor rgb="FF000000"/>
            </x14:dataBar>
          </x14:cfRule>
          <xm:sqref>Z989</xm:sqref>
        </x14:conditionalFormatting>
        <x14:conditionalFormatting xmlns:xm="http://schemas.microsoft.com/office/excel/2006/main">
          <x14:cfRule type="dataBar" id="{119BA7F5-0B52-4510-B4CC-0FB1B6356529}">
            <x14:dataBar minLength="0" maxLength="100" border="1" negativeBarBorderColorSameAsPositive="0">
              <x14:cfvo type="autoMin"/>
              <x14:cfvo type="autoMax"/>
              <x14:borderColor rgb="FF63C384"/>
              <x14:negativeFillColor rgb="FFFF0000"/>
              <x14:negativeBorderColor rgb="FFFF0000"/>
              <x14:axisColor rgb="FF000000"/>
            </x14:dataBar>
          </x14:cfRule>
          <xm:sqref>Z989</xm:sqref>
        </x14:conditionalFormatting>
        <x14:conditionalFormatting xmlns:xm="http://schemas.microsoft.com/office/excel/2006/main">
          <x14:cfRule type="dataBar" id="{92C03233-3640-42EA-9F4D-0DCECB513FFE}">
            <x14:dataBar minLength="0" maxLength="100" border="1" negativeBarBorderColorSameAsPositive="0">
              <x14:cfvo type="autoMin"/>
              <x14:cfvo type="autoMax"/>
              <x14:borderColor rgb="FF63C384"/>
              <x14:negativeFillColor rgb="FFFF0000"/>
              <x14:negativeBorderColor rgb="FFFF0000"/>
              <x14:axisColor rgb="FF000000"/>
            </x14:dataBar>
          </x14:cfRule>
          <xm:sqref>Z990</xm:sqref>
        </x14:conditionalFormatting>
        <x14:conditionalFormatting xmlns:xm="http://schemas.microsoft.com/office/excel/2006/main">
          <x14:cfRule type="dataBar" id="{0A66BDDA-6695-4C55-BC80-A570BE4C13D4}">
            <x14:dataBar minLength="0" maxLength="100" border="1" negativeBarBorderColorSameAsPositive="0">
              <x14:cfvo type="autoMin"/>
              <x14:cfvo type="autoMax"/>
              <x14:borderColor rgb="FF63C384"/>
              <x14:negativeFillColor rgb="FFFF0000"/>
              <x14:negativeBorderColor rgb="FFFF0000"/>
              <x14:axisColor rgb="FF000000"/>
            </x14:dataBar>
          </x14:cfRule>
          <xm:sqref>Z990</xm:sqref>
        </x14:conditionalFormatting>
        <x14:conditionalFormatting xmlns:xm="http://schemas.microsoft.com/office/excel/2006/main">
          <x14:cfRule type="dataBar" id="{9F5756E7-95FD-4C1A-BC72-175DED3899E9}">
            <x14:dataBar minLength="0" maxLength="100" border="1" negativeBarBorderColorSameAsPositive="0">
              <x14:cfvo type="autoMin"/>
              <x14:cfvo type="autoMax"/>
              <x14:borderColor rgb="FF63C384"/>
              <x14:negativeFillColor rgb="FFFF0000"/>
              <x14:negativeBorderColor rgb="FFFF0000"/>
              <x14:axisColor rgb="FF000000"/>
            </x14:dataBar>
          </x14:cfRule>
          <xm:sqref>Z991</xm:sqref>
        </x14:conditionalFormatting>
        <x14:conditionalFormatting xmlns:xm="http://schemas.microsoft.com/office/excel/2006/main">
          <x14:cfRule type="dataBar" id="{A34FCBDE-C1D9-4BA7-8FC3-6343D469277A}">
            <x14:dataBar minLength="0" maxLength="100" border="1" negativeBarBorderColorSameAsPositive="0">
              <x14:cfvo type="autoMin"/>
              <x14:cfvo type="autoMax"/>
              <x14:borderColor rgb="FF63C384"/>
              <x14:negativeFillColor rgb="FFFF0000"/>
              <x14:negativeBorderColor rgb="FFFF0000"/>
              <x14:axisColor rgb="FF000000"/>
            </x14:dataBar>
          </x14:cfRule>
          <xm:sqref>Z992</xm:sqref>
        </x14:conditionalFormatting>
        <x14:conditionalFormatting xmlns:xm="http://schemas.microsoft.com/office/excel/2006/main">
          <x14:cfRule type="dataBar" id="{6F7239D5-326C-4662-A164-21E6F5AB7CB8}">
            <x14:dataBar minLength="0" maxLength="100" border="1" negativeBarBorderColorSameAsPositive="0">
              <x14:cfvo type="autoMin"/>
              <x14:cfvo type="autoMax"/>
              <x14:borderColor rgb="FF63C384"/>
              <x14:negativeFillColor rgb="FFFF0000"/>
              <x14:negativeBorderColor rgb="FFFF0000"/>
              <x14:axisColor rgb="FF000000"/>
            </x14:dataBar>
          </x14:cfRule>
          <xm:sqref>Z992</xm:sqref>
        </x14:conditionalFormatting>
        <x14:conditionalFormatting xmlns:xm="http://schemas.microsoft.com/office/excel/2006/main">
          <x14:cfRule type="dataBar" id="{7F0C9E0E-00DB-44EC-A3EF-20A40C40E17A}">
            <x14:dataBar minLength="0" maxLength="100" border="1" negativeBarBorderColorSameAsPositive="0">
              <x14:cfvo type="autoMin"/>
              <x14:cfvo type="autoMax"/>
              <x14:borderColor rgb="FF63C384"/>
              <x14:negativeFillColor rgb="FFFF0000"/>
              <x14:negativeBorderColor rgb="FFFF0000"/>
              <x14:axisColor rgb="FF000000"/>
            </x14:dataBar>
          </x14:cfRule>
          <xm:sqref>Z993</xm:sqref>
        </x14:conditionalFormatting>
        <x14:conditionalFormatting xmlns:xm="http://schemas.microsoft.com/office/excel/2006/main">
          <x14:cfRule type="dataBar" id="{55A48DA8-3213-4A5C-8A81-2E67E093D00C}">
            <x14:dataBar minLength="0" maxLength="100" border="1" negativeBarBorderColorSameAsPositive="0">
              <x14:cfvo type="autoMin"/>
              <x14:cfvo type="autoMax"/>
              <x14:borderColor rgb="FF63C384"/>
              <x14:negativeFillColor rgb="FFFF0000"/>
              <x14:negativeBorderColor rgb="FFFF0000"/>
              <x14:axisColor rgb="FF000000"/>
            </x14:dataBar>
          </x14:cfRule>
          <xm:sqref>Z993</xm:sqref>
        </x14:conditionalFormatting>
        <x14:conditionalFormatting xmlns:xm="http://schemas.microsoft.com/office/excel/2006/main">
          <x14:cfRule type="dataBar" id="{3C557BEA-2CF2-4522-BB79-F94A3AC0FF80}">
            <x14:dataBar minLength="0" maxLength="100" border="1" negativeBarBorderColorSameAsPositive="0">
              <x14:cfvo type="autoMin"/>
              <x14:cfvo type="autoMax"/>
              <x14:borderColor rgb="FF63C384"/>
              <x14:negativeFillColor rgb="FFFF0000"/>
              <x14:negativeBorderColor rgb="FFFF0000"/>
              <x14:axisColor rgb="FF000000"/>
            </x14:dataBar>
          </x14:cfRule>
          <xm:sqref>Z994</xm:sqref>
        </x14:conditionalFormatting>
        <x14:conditionalFormatting xmlns:xm="http://schemas.microsoft.com/office/excel/2006/main">
          <x14:cfRule type="dataBar" id="{AAA10E83-CFC3-4C83-A937-3BA45CB72CDC}">
            <x14:dataBar minLength="0" maxLength="100" border="1" negativeBarBorderColorSameAsPositive="0">
              <x14:cfvo type="autoMin"/>
              <x14:cfvo type="autoMax"/>
              <x14:borderColor rgb="FF63C384"/>
              <x14:negativeFillColor rgb="FFFF0000"/>
              <x14:negativeBorderColor rgb="FFFF0000"/>
              <x14:axisColor rgb="FF000000"/>
            </x14:dataBar>
          </x14:cfRule>
          <xm:sqref>Z994</xm:sqref>
        </x14:conditionalFormatting>
        <x14:conditionalFormatting xmlns:xm="http://schemas.microsoft.com/office/excel/2006/main">
          <x14:cfRule type="dataBar" id="{DAE51035-1A13-4F0D-A1BE-29DFE92B8BEB}">
            <x14:dataBar minLength="0" maxLength="100" border="1" negativeBarBorderColorSameAsPositive="0">
              <x14:cfvo type="autoMin"/>
              <x14:cfvo type="autoMax"/>
              <x14:borderColor rgb="FF63C384"/>
              <x14:negativeFillColor rgb="FFFF0000"/>
              <x14:negativeBorderColor rgb="FFFF0000"/>
              <x14:axisColor rgb="FF000000"/>
            </x14:dataBar>
          </x14:cfRule>
          <xm:sqref>Z994</xm:sqref>
        </x14:conditionalFormatting>
        <x14:conditionalFormatting xmlns:xm="http://schemas.microsoft.com/office/excel/2006/main">
          <x14:cfRule type="dataBar" id="{BF269D8C-28E4-42CC-A6DB-DFC4926E866E}">
            <x14:dataBar minLength="0" maxLength="100" border="1" negativeBarBorderColorSameAsPositive="0">
              <x14:cfvo type="autoMin"/>
              <x14:cfvo type="autoMax"/>
              <x14:borderColor rgb="FF63C384"/>
              <x14:negativeFillColor rgb="FFFF0000"/>
              <x14:negativeBorderColor rgb="FFFF0000"/>
              <x14:axisColor rgb="FF000000"/>
            </x14:dataBar>
          </x14:cfRule>
          <xm:sqref>Z994</xm:sqref>
        </x14:conditionalFormatting>
        <x14:conditionalFormatting xmlns:xm="http://schemas.microsoft.com/office/excel/2006/main">
          <x14:cfRule type="dataBar" id="{BF51FFED-2C29-4667-B8AD-E05E15757ECA}">
            <x14:dataBar minLength="0" maxLength="100" border="1" negativeBarBorderColorSameAsPositive="0">
              <x14:cfvo type="autoMin"/>
              <x14:cfvo type="autoMax"/>
              <x14:borderColor rgb="FF63C384"/>
              <x14:negativeFillColor rgb="FFFF0000"/>
              <x14:negativeBorderColor rgb="FFFF0000"/>
              <x14:axisColor rgb="FF000000"/>
            </x14:dataBar>
          </x14:cfRule>
          <xm:sqref>Z995</xm:sqref>
        </x14:conditionalFormatting>
        <x14:conditionalFormatting xmlns:xm="http://schemas.microsoft.com/office/excel/2006/main">
          <x14:cfRule type="dataBar" id="{3FDD55E5-958A-42FC-B9BF-4389B0CE4281}">
            <x14:dataBar minLength="0" maxLength="100" border="1" negativeBarBorderColorSameAsPositive="0">
              <x14:cfvo type="autoMin"/>
              <x14:cfvo type="autoMax"/>
              <x14:borderColor rgb="FF63C384"/>
              <x14:negativeFillColor rgb="FFFF0000"/>
              <x14:negativeBorderColor rgb="FFFF0000"/>
              <x14:axisColor rgb="FF000000"/>
            </x14:dataBar>
          </x14:cfRule>
          <xm:sqref>Z996</xm:sqref>
        </x14:conditionalFormatting>
        <x14:conditionalFormatting xmlns:xm="http://schemas.microsoft.com/office/excel/2006/main">
          <x14:cfRule type="dataBar" id="{39BBAB7D-ABA9-4BB4-8B00-CA58D89582F6}">
            <x14:dataBar minLength="0" maxLength="100" border="1" negativeBarBorderColorSameAsPositive="0">
              <x14:cfvo type="autoMin"/>
              <x14:cfvo type="autoMax"/>
              <x14:borderColor rgb="FF63C384"/>
              <x14:negativeFillColor rgb="FFFF0000"/>
              <x14:negativeBorderColor rgb="FFFF0000"/>
              <x14:axisColor rgb="FF000000"/>
            </x14:dataBar>
          </x14:cfRule>
          <xm:sqref>Z996</xm:sqref>
        </x14:conditionalFormatting>
        <x14:conditionalFormatting xmlns:xm="http://schemas.microsoft.com/office/excel/2006/main">
          <x14:cfRule type="dataBar" id="{BA1570A9-CA27-4236-A637-67F40EAE40A5}">
            <x14:dataBar minLength="0" maxLength="100" border="1" negativeBarBorderColorSameAsPositive="0">
              <x14:cfvo type="autoMin"/>
              <x14:cfvo type="autoMax"/>
              <x14:borderColor rgb="FF63C384"/>
              <x14:negativeFillColor rgb="FFFF0000"/>
              <x14:negativeBorderColor rgb="FFFF0000"/>
              <x14:axisColor rgb="FF000000"/>
            </x14:dataBar>
          </x14:cfRule>
          <xm:sqref>Z996</xm:sqref>
        </x14:conditionalFormatting>
        <x14:conditionalFormatting xmlns:xm="http://schemas.microsoft.com/office/excel/2006/main">
          <x14:cfRule type="dataBar" id="{60B6B629-1646-412D-B3A0-D52B79B92B6A}">
            <x14:dataBar minLength="0" maxLength="100" border="1" negativeBarBorderColorSameAsPositive="0">
              <x14:cfvo type="autoMin"/>
              <x14:cfvo type="autoMax"/>
              <x14:borderColor rgb="FF63C384"/>
              <x14:negativeFillColor rgb="FFFF0000"/>
              <x14:negativeBorderColor rgb="FFFF0000"/>
              <x14:axisColor rgb="FF000000"/>
            </x14:dataBar>
          </x14:cfRule>
          <xm:sqref>Z996</xm:sqref>
        </x14:conditionalFormatting>
        <x14:conditionalFormatting xmlns:xm="http://schemas.microsoft.com/office/excel/2006/main">
          <x14:cfRule type="dataBar" id="{E9ECF37B-62B0-4571-9F02-61C8924F5E61}">
            <x14:dataBar minLength="0" maxLength="100" border="1" negativeBarBorderColorSameAsPositive="0">
              <x14:cfvo type="autoMin"/>
              <x14:cfvo type="autoMax"/>
              <x14:borderColor rgb="FF63C384"/>
              <x14:negativeFillColor rgb="FFFF0000"/>
              <x14:negativeBorderColor rgb="FFFF0000"/>
              <x14:axisColor rgb="FF000000"/>
            </x14:dataBar>
          </x14:cfRule>
          <xm:sqref>Z997</xm:sqref>
        </x14:conditionalFormatting>
        <x14:conditionalFormatting xmlns:xm="http://schemas.microsoft.com/office/excel/2006/main">
          <x14:cfRule type="dataBar" id="{9F7606B2-DB78-42FC-A3C5-28E137B2D183}">
            <x14:dataBar minLength="0" maxLength="100" border="1" negativeBarBorderColorSameAsPositive="0">
              <x14:cfvo type="autoMin"/>
              <x14:cfvo type="autoMax"/>
              <x14:borderColor rgb="FF63C384"/>
              <x14:negativeFillColor rgb="FFFF0000"/>
              <x14:negativeBorderColor rgb="FFFF0000"/>
              <x14:axisColor rgb="FF000000"/>
            </x14:dataBar>
          </x14:cfRule>
          <xm:sqref>Z997</xm:sqref>
        </x14:conditionalFormatting>
        <x14:conditionalFormatting xmlns:xm="http://schemas.microsoft.com/office/excel/2006/main">
          <x14:cfRule type="dataBar" id="{A8E68292-716F-442D-BBC0-F7E1A4270B79}">
            <x14:dataBar minLength="0" maxLength="100" border="1" negativeBarBorderColorSameAsPositive="0">
              <x14:cfvo type="autoMin"/>
              <x14:cfvo type="autoMax"/>
              <x14:borderColor rgb="FF63C384"/>
              <x14:negativeFillColor rgb="FFFF0000"/>
              <x14:negativeBorderColor rgb="FFFF0000"/>
              <x14:axisColor rgb="FF000000"/>
            </x14:dataBar>
          </x14:cfRule>
          <xm:sqref>Z998</xm:sqref>
        </x14:conditionalFormatting>
        <x14:conditionalFormatting xmlns:xm="http://schemas.microsoft.com/office/excel/2006/main">
          <x14:cfRule type="dataBar" id="{14A641ED-186C-4314-B571-AF7EAC4ECC28}">
            <x14:dataBar minLength="0" maxLength="100" border="1" negativeBarBorderColorSameAsPositive="0">
              <x14:cfvo type="autoMin"/>
              <x14:cfvo type="autoMax"/>
              <x14:borderColor rgb="FF63C384"/>
              <x14:negativeFillColor rgb="FFFF0000"/>
              <x14:negativeBorderColor rgb="FFFF0000"/>
              <x14:axisColor rgb="FF000000"/>
            </x14:dataBar>
          </x14:cfRule>
          <xm:sqref>Z998</xm:sqref>
        </x14:conditionalFormatting>
        <x14:conditionalFormatting xmlns:xm="http://schemas.microsoft.com/office/excel/2006/main">
          <x14:cfRule type="dataBar" id="{F3FF7408-08C7-40BF-BB81-4B636712FF88}">
            <x14:dataBar minLength="0" maxLength="100" border="1" negativeBarBorderColorSameAsPositive="0">
              <x14:cfvo type="autoMin"/>
              <x14:cfvo type="autoMax"/>
              <x14:borderColor rgb="FF63C384"/>
              <x14:negativeFillColor rgb="FFFF0000"/>
              <x14:negativeBorderColor rgb="FFFF0000"/>
              <x14:axisColor rgb="FF000000"/>
            </x14:dataBar>
          </x14:cfRule>
          <xm:sqref>Z998</xm:sqref>
        </x14:conditionalFormatting>
        <x14:conditionalFormatting xmlns:xm="http://schemas.microsoft.com/office/excel/2006/main">
          <x14:cfRule type="dataBar" id="{B04ADA43-62DA-44AA-8046-2246037BF30A}">
            <x14:dataBar minLength="0" maxLength="100" border="1" negativeBarBorderColorSameAsPositive="0">
              <x14:cfvo type="autoMin"/>
              <x14:cfvo type="autoMax"/>
              <x14:borderColor rgb="FF63C384"/>
              <x14:negativeFillColor rgb="FFFF0000"/>
              <x14:negativeBorderColor rgb="FFFF0000"/>
              <x14:axisColor rgb="FF000000"/>
            </x14:dataBar>
          </x14:cfRule>
          <xm:sqref>Z998</xm:sqref>
        </x14:conditionalFormatting>
        <x14:conditionalFormatting xmlns:xm="http://schemas.microsoft.com/office/excel/2006/main">
          <x14:cfRule type="dataBar" id="{DC1D936E-63A9-49D5-96FA-3727C590CD69}">
            <x14:dataBar minLength="0" maxLength="100" border="1" negativeBarBorderColorSameAsPositive="0">
              <x14:cfvo type="autoMin"/>
              <x14:cfvo type="autoMax"/>
              <x14:borderColor rgb="FF63C384"/>
              <x14:negativeFillColor rgb="FFFF0000"/>
              <x14:negativeBorderColor rgb="FFFF0000"/>
              <x14:axisColor rgb="FF000000"/>
            </x14:dataBar>
          </x14:cfRule>
          <xm:sqref>Z1000</xm:sqref>
        </x14:conditionalFormatting>
        <x14:conditionalFormatting xmlns:xm="http://schemas.microsoft.com/office/excel/2006/main">
          <x14:cfRule type="dataBar" id="{7AA26B00-807D-46A5-8EFE-52A9342499F1}">
            <x14:dataBar minLength="0" maxLength="100" border="1" negativeBarBorderColorSameAsPositive="0">
              <x14:cfvo type="autoMin"/>
              <x14:cfvo type="autoMax"/>
              <x14:borderColor rgb="FF63C384"/>
              <x14:negativeFillColor rgb="FFFF0000"/>
              <x14:negativeBorderColor rgb="FFFF0000"/>
              <x14:axisColor rgb="FF000000"/>
            </x14:dataBar>
          </x14:cfRule>
          <xm:sqref>Z1000</xm:sqref>
        </x14:conditionalFormatting>
        <x14:conditionalFormatting xmlns:xm="http://schemas.microsoft.com/office/excel/2006/main">
          <x14:cfRule type="dataBar" id="{465EB7F2-0285-4AC6-BBF1-A677F6C3F1FF}">
            <x14:dataBar minLength="0" maxLength="100" border="1" negativeBarBorderColorSameAsPositive="0">
              <x14:cfvo type="autoMin"/>
              <x14:cfvo type="autoMax"/>
              <x14:borderColor rgb="FF63C384"/>
              <x14:negativeFillColor rgb="FFFF0000"/>
              <x14:negativeBorderColor rgb="FFFF0000"/>
              <x14:axisColor rgb="FF000000"/>
            </x14:dataBar>
          </x14:cfRule>
          <xm:sqref>Z1001</xm:sqref>
        </x14:conditionalFormatting>
        <x14:conditionalFormatting xmlns:xm="http://schemas.microsoft.com/office/excel/2006/main">
          <x14:cfRule type="dataBar" id="{889F43E5-16F4-4852-B36C-9535D8BE127A}">
            <x14:dataBar minLength="0" maxLength="100" border="1" negativeBarBorderColorSameAsPositive="0">
              <x14:cfvo type="autoMin"/>
              <x14:cfvo type="autoMax"/>
              <x14:borderColor rgb="FF63C384"/>
              <x14:negativeFillColor rgb="FFFF0000"/>
              <x14:negativeBorderColor rgb="FFFF0000"/>
              <x14:axisColor rgb="FF000000"/>
            </x14:dataBar>
          </x14:cfRule>
          <xm:sqref>Z1001</xm:sqref>
        </x14:conditionalFormatting>
        <x14:conditionalFormatting xmlns:xm="http://schemas.microsoft.com/office/excel/2006/main">
          <x14:cfRule type="dataBar" id="{279CC319-4AB7-4222-99F3-5BEB77DE624A}">
            <x14:dataBar minLength="0" maxLength="100" border="1" negativeBarBorderColorSameAsPositive="0">
              <x14:cfvo type="autoMin"/>
              <x14:cfvo type="autoMax"/>
              <x14:borderColor rgb="FF63C384"/>
              <x14:negativeFillColor rgb="FFFF0000"/>
              <x14:negativeBorderColor rgb="FFFF0000"/>
              <x14:axisColor rgb="FF000000"/>
            </x14:dataBar>
          </x14:cfRule>
          <xm:sqref>Z1002</xm:sqref>
        </x14:conditionalFormatting>
        <x14:conditionalFormatting xmlns:xm="http://schemas.microsoft.com/office/excel/2006/main">
          <x14:cfRule type="dataBar" id="{BE098E41-B035-4135-BCD9-770700BEC42D}">
            <x14:dataBar minLength="0" maxLength="100" border="1" negativeBarBorderColorSameAsPositive="0">
              <x14:cfvo type="autoMin"/>
              <x14:cfvo type="autoMax"/>
              <x14:borderColor rgb="FF63C384"/>
              <x14:negativeFillColor rgb="FFFF0000"/>
              <x14:negativeBorderColor rgb="FFFF0000"/>
              <x14:axisColor rgb="FF000000"/>
            </x14:dataBar>
          </x14:cfRule>
          <xm:sqref>Z1002</xm:sqref>
        </x14:conditionalFormatting>
        <x14:conditionalFormatting xmlns:xm="http://schemas.microsoft.com/office/excel/2006/main">
          <x14:cfRule type="dataBar" id="{75377296-D3C9-4CBB-8AB1-D817E10CC378}">
            <x14:dataBar minLength="0" maxLength="100" border="1" negativeBarBorderColorSameAsPositive="0">
              <x14:cfvo type="autoMin"/>
              <x14:cfvo type="autoMax"/>
              <x14:borderColor rgb="FF63C384"/>
              <x14:negativeFillColor rgb="FFFF0000"/>
              <x14:negativeBorderColor rgb="FFFF0000"/>
              <x14:axisColor rgb="FF000000"/>
            </x14:dataBar>
          </x14:cfRule>
          <xm:sqref>Z1002</xm:sqref>
        </x14:conditionalFormatting>
        <x14:conditionalFormatting xmlns:xm="http://schemas.microsoft.com/office/excel/2006/main">
          <x14:cfRule type="dataBar" id="{731A4C2C-3520-4E34-AC79-F02A68BFB7E8}">
            <x14:dataBar minLength="0" maxLength="100" border="1" negativeBarBorderColorSameAsPositive="0">
              <x14:cfvo type="autoMin"/>
              <x14:cfvo type="autoMax"/>
              <x14:borderColor rgb="FF63C384"/>
              <x14:negativeFillColor rgb="FFFF0000"/>
              <x14:negativeBorderColor rgb="FFFF0000"/>
              <x14:axisColor rgb="FF000000"/>
            </x14:dataBar>
          </x14:cfRule>
          <xm:sqref>Z1002</xm:sqref>
        </x14:conditionalFormatting>
        <x14:conditionalFormatting xmlns:xm="http://schemas.microsoft.com/office/excel/2006/main">
          <x14:cfRule type="dataBar" id="{CEBDD40D-83C8-4397-B545-609BB8DA7A84}">
            <x14:dataBar minLength="0" maxLength="100" border="1" negativeBarBorderColorSameAsPositive="0">
              <x14:cfvo type="autoMin"/>
              <x14:cfvo type="autoMax"/>
              <x14:borderColor rgb="FF63C384"/>
              <x14:negativeFillColor rgb="FFFF0000"/>
              <x14:negativeBorderColor rgb="FFFF0000"/>
              <x14:axisColor rgb="FF000000"/>
            </x14:dataBar>
          </x14:cfRule>
          <xm:sqref>Z1002</xm:sqref>
        </x14:conditionalFormatting>
        <x14:conditionalFormatting xmlns:xm="http://schemas.microsoft.com/office/excel/2006/main">
          <x14:cfRule type="dataBar" id="{117C9362-A8D2-4F1F-A683-3016B72C7F00}">
            <x14:dataBar minLength="0" maxLength="100" border="1" negativeBarBorderColorSameAsPositive="0">
              <x14:cfvo type="autoMin"/>
              <x14:cfvo type="autoMax"/>
              <x14:borderColor rgb="FF63C384"/>
              <x14:negativeFillColor rgb="FFFF0000"/>
              <x14:negativeBorderColor rgb="FFFF0000"/>
              <x14:axisColor rgb="FF000000"/>
            </x14:dataBar>
          </x14:cfRule>
          <xm:sqref>Z1002</xm:sqref>
        </x14:conditionalFormatting>
        <x14:conditionalFormatting xmlns:xm="http://schemas.microsoft.com/office/excel/2006/main">
          <x14:cfRule type="dataBar" id="{0E3854D1-28E3-4EDB-A0BA-216AEAFD2578}">
            <x14:dataBar minLength="0" maxLength="100" border="1" negativeBarBorderColorSameAsPositive="0">
              <x14:cfvo type="autoMin"/>
              <x14:cfvo type="autoMax"/>
              <x14:borderColor rgb="FF63C384"/>
              <x14:negativeFillColor rgb="FFFF0000"/>
              <x14:negativeBorderColor rgb="FFFF0000"/>
              <x14:axisColor rgb="FF000000"/>
            </x14:dataBar>
          </x14:cfRule>
          <xm:sqref>Z1002</xm:sqref>
        </x14:conditionalFormatting>
        <x14:conditionalFormatting xmlns:xm="http://schemas.microsoft.com/office/excel/2006/main">
          <x14:cfRule type="dataBar" id="{BEA6B810-B0C5-4B5E-95EE-7155749CB6A9}">
            <x14:dataBar minLength="0" maxLength="100" border="1" negativeBarBorderColorSameAsPositive="0">
              <x14:cfvo type="autoMin"/>
              <x14:cfvo type="autoMax"/>
              <x14:borderColor rgb="FF63C384"/>
              <x14:negativeFillColor rgb="FFFF0000"/>
              <x14:negativeBorderColor rgb="FFFF0000"/>
              <x14:axisColor rgb="FF000000"/>
            </x14:dataBar>
          </x14:cfRule>
          <xm:sqref>Z1002</xm:sqref>
        </x14:conditionalFormatting>
        <x14:conditionalFormatting xmlns:xm="http://schemas.microsoft.com/office/excel/2006/main">
          <x14:cfRule type="dataBar" id="{5228541B-D6B8-4E62-89A9-C68937043B24}">
            <x14:dataBar minLength="0" maxLength="100" border="1" negativeBarBorderColorSameAsPositive="0">
              <x14:cfvo type="autoMin"/>
              <x14:cfvo type="autoMax"/>
              <x14:borderColor rgb="FF63C384"/>
              <x14:negativeFillColor rgb="FFFF0000"/>
              <x14:negativeBorderColor rgb="FFFF0000"/>
              <x14:axisColor rgb="FF000000"/>
            </x14:dataBar>
          </x14:cfRule>
          <xm:sqref>Z1003</xm:sqref>
        </x14:conditionalFormatting>
        <x14:conditionalFormatting xmlns:xm="http://schemas.microsoft.com/office/excel/2006/main">
          <x14:cfRule type="dataBar" id="{3B45A033-3FAE-4166-B78F-68F570FDAAB3}">
            <x14:dataBar minLength="0" maxLength="100" border="1" negativeBarBorderColorSameAsPositive="0">
              <x14:cfvo type="autoMin"/>
              <x14:cfvo type="autoMax"/>
              <x14:borderColor rgb="FF63C384"/>
              <x14:negativeFillColor rgb="FFFF0000"/>
              <x14:negativeBorderColor rgb="FFFF0000"/>
              <x14:axisColor rgb="FF000000"/>
            </x14:dataBar>
          </x14:cfRule>
          <xm:sqref>Z1004</xm:sqref>
        </x14:conditionalFormatting>
        <x14:conditionalFormatting xmlns:xm="http://schemas.microsoft.com/office/excel/2006/main">
          <x14:cfRule type="dataBar" id="{1110F637-EA22-4261-8741-2CDADFED81E6}">
            <x14:dataBar minLength="0" maxLength="100" border="1" negativeBarBorderColorSameAsPositive="0">
              <x14:cfvo type="autoMin"/>
              <x14:cfvo type="autoMax"/>
              <x14:borderColor rgb="FF63C384"/>
              <x14:negativeFillColor rgb="FFFF0000"/>
              <x14:negativeBorderColor rgb="FFFF0000"/>
              <x14:axisColor rgb="FF000000"/>
            </x14:dataBar>
          </x14:cfRule>
          <xm:sqref>Z1005</xm:sqref>
        </x14:conditionalFormatting>
        <x14:conditionalFormatting xmlns:xm="http://schemas.microsoft.com/office/excel/2006/main">
          <x14:cfRule type="dataBar" id="{DA6E4CF9-8BC0-4E0A-9D3B-BFD4DAF979CE}">
            <x14:dataBar minLength="0" maxLength="100" border="1" negativeBarBorderColorSameAsPositive="0">
              <x14:cfvo type="autoMin"/>
              <x14:cfvo type="autoMax"/>
              <x14:borderColor rgb="FF63C384"/>
              <x14:negativeFillColor rgb="FFFF0000"/>
              <x14:negativeBorderColor rgb="FFFF0000"/>
              <x14:axisColor rgb="FF000000"/>
            </x14:dataBar>
          </x14:cfRule>
          <xm:sqref>Z1005</xm:sqref>
        </x14:conditionalFormatting>
        <x14:conditionalFormatting xmlns:xm="http://schemas.microsoft.com/office/excel/2006/main">
          <x14:cfRule type="dataBar" id="{C2FD7451-59CA-4C7E-BD1F-675796948F45}">
            <x14:dataBar minLength="0" maxLength="100" border="1" negativeBarBorderColorSameAsPositive="0">
              <x14:cfvo type="autoMin"/>
              <x14:cfvo type="autoMax"/>
              <x14:borderColor rgb="FF63C384"/>
              <x14:negativeFillColor rgb="FFFF0000"/>
              <x14:negativeBorderColor rgb="FFFF0000"/>
              <x14:axisColor rgb="FF000000"/>
            </x14:dataBar>
          </x14:cfRule>
          <xm:sqref>Z1006</xm:sqref>
        </x14:conditionalFormatting>
        <x14:conditionalFormatting xmlns:xm="http://schemas.microsoft.com/office/excel/2006/main">
          <x14:cfRule type="dataBar" id="{AA630450-0F65-4231-9AD0-8C7B49842590}">
            <x14:dataBar minLength="0" maxLength="100" border="1" negativeBarBorderColorSameAsPositive="0">
              <x14:cfvo type="autoMin"/>
              <x14:cfvo type="autoMax"/>
              <x14:borderColor rgb="FF63C384"/>
              <x14:negativeFillColor rgb="FFFF0000"/>
              <x14:negativeBorderColor rgb="FFFF0000"/>
              <x14:axisColor rgb="FF000000"/>
            </x14:dataBar>
          </x14:cfRule>
          <xm:sqref>Z1006</xm:sqref>
        </x14:conditionalFormatting>
        <x14:conditionalFormatting xmlns:xm="http://schemas.microsoft.com/office/excel/2006/main">
          <x14:cfRule type="dataBar" id="{3E2ED3FD-C5C4-4F16-93D5-9B814514660C}">
            <x14:dataBar minLength="0" maxLength="100" border="1" negativeBarBorderColorSameAsPositive="0">
              <x14:cfvo type="autoMin"/>
              <x14:cfvo type="autoMax"/>
              <x14:borderColor rgb="FF63C384"/>
              <x14:negativeFillColor rgb="FFFF0000"/>
              <x14:negativeBorderColor rgb="FFFF0000"/>
              <x14:axisColor rgb="FF000000"/>
            </x14:dataBar>
          </x14:cfRule>
          <xm:sqref>Z1006</xm:sqref>
        </x14:conditionalFormatting>
        <x14:conditionalFormatting xmlns:xm="http://schemas.microsoft.com/office/excel/2006/main">
          <x14:cfRule type="dataBar" id="{E655F43A-C967-4242-B863-6F741B85848B}">
            <x14:dataBar minLength="0" maxLength="100" border="1" negativeBarBorderColorSameAsPositive="0">
              <x14:cfvo type="autoMin"/>
              <x14:cfvo type="autoMax"/>
              <x14:borderColor rgb="FF63C384"/>
              <x14:negativeFillColor rgb="FFFF0000"/>
              <x14:negativeBorderColor rgb="FFFF0000"/>
              <x14:axisColor rgb="FF000000"/>
            </x14:dataBar>
          </x14:cfRule>
          <xm:sqref>Z1006</xm:sqref>
        </x14:conditionalFormatting>
        <x14:conditionalFormatting xmlns:xm="http://schemas.microsoft.com/office/excel/2006/main">
          <x14:cfRule type="dataBar" id="{ECBE8BE1-1885-4CFB-82DA-6970F657C47D}">
            <x14:dataBar minLength="0" maxLength="100" border="1" negativeBarBorderColorSameAsPositive="0">
              <x14:cfvo type="autoMin"/>
              <x14:cfvo type="autoMax"/>
              <x14:borderColor rgb="FF63C384"/>
              <x14:negativeFillColor rgb="FFFF0000"/>
              <x14:negativeBorderColor rgb="FFFF0000"/>
              <x14:axisColor rgb="FF000000"/>
            </x14:dataBar>
          </x14:cfRule>
          <xm:sqref>Z1007</xm:sqref>
        </x14:conditionalFormatting>
        <x14:conditionalFormatting xmlns:xm="http://schemas.microsoft.com/office/excel/2006/main">
          <x14:cfRule type="dataBar" id="{1447A1E5-5721-45FD-B17A-119B539FA5BB}">
            <x14:dataBar minLength="0" maxLength="100" border="1" negativeBarBorderColorSameAsPositive="0">
              <x14:cfvo type="autoMin"/>
              <x14:cfvo type="autoMax"/>
              <x14:borderColor rgb="FF63C384"/>
              <x14:negativeFillColor rgb="FFFF0000"/>
              <x14:negativeBorderColor rgb="FFFF0000"/>
              <x14:axisColor rgb="FF000000"/>
            </x14:dataBar>
          </x14:cfRule>
          <xm:sqref>Z1008</xm:sqref>
        </x14:conditionalFormatting>
        <x14:conditionalFormatting xmlns:xm="http://schemas.microsoft.com/office/excel/2006/main">
          <x14:cfRule type="dataBar" id="{D49826B4-CDDC-43CC-AF2C-E6ACD8808E5B}">
            <x14:dataBar minLength="0" maxLength="100" border="1" negativeBarBorderColorSameAsPositive="0">
              <x14:cfvo type="autoMin"/>
              <x14:cfvo type="autoMax"/>
              <x14:borderColor rgb="FF63C384"/>
              <x14:negativeFillColor rgb="FFFF0000"/>
              <x14:negativeBorderColor rgb="FFFF0000"/>
              <x14:axisColor rgb="FF000000"/>
            </x14:dataBar>
          </x14:cfRule>
          <xm:sqref>Z1008</xm:sqref>
        </x14:conditionalFormatting>
        <x14:conditionalFormatting xmlns:xm="http://schemas.microsoft.com/office/excel/2006/main">
          <x14:cfRule type="dataBar" id="{F72DD3AA-8385-41CA-9218-587052352EF1}">
            <x14:dataBar minLength="0" maxLength="100" border="1" negativeBarBorderColorSameAsPositive="0">
              <x14:cfvo type="autoMin"/>
              <x14:cfvo type="autoMax"/>
              <x14:borderColor rgb="FF63C384"/>
              <x14:negativeFillColor rgb="FFFF0000"/>
              <x14:negativeBorderColor rgb="FFFF0000"/>
              <x14:axisColor rgb="FF000000"/>
            </x14:dataBar>
          </x14:cfRule>
          <xm:sqref>Z1008</xm:sqref>
        </x14:conditionalFormatting>
        <x14:conditionalFormatting xmlns:xm="http://schemas.microsoft.com/office/excel/2006/main">
          <x14:cfRule type="dataBar" id="{BBE99D7F-0718-461B-964E-4D2E31337887}">
            <x14:dataBar minLength="0" maxLength="100" border="1" negativeBarBorderColorSameAsPositive="0">
              <x14:cfvo type="autoMin"/>
              <x14:cfvo type="autoMax"/>
              <x14:borderColor rgb="FF63C384"/>
              <x14:negativeFillColor rgb="FFFF0000"/>
              <x14:negativeBorderColor rgb="FFFF0000"/>
              <x14:axisColor rgb="FF000000"/>
            </x14:dataBar>
          </x14:cfRule>
          <xm:sqref>Z1008</xm:sqref>
        </x14:conditionalFormatting>
        <x14:conditionalFormatting xmlns:xm="http://schemas.microsoft.com/office/excel/2006/main">
          <x14:cfRule type="dataBar" id="{79E19602-13DE-4B85-8241-7EF1EF13FC55}">
            <x14:dataBar minLength="0" maxLength="100" border="1" negativeBarBorderColorSameAsPositive="0">
              <x14:cfvo type="autoMin"/>
              <x14:cfvo type="autoMax"/>
              <x14:borderColor rgb="FF63C384"/>
              <x14:negativeFillColor rgb="FFFF0000"/>
              <x14:negativeBorderColor rgb="FFFF0000"/>
              <x14:axisColor rgb="FF000000"/>
            </x14:dataBar>
          </x14:cfRule>
          <xm:sqref>Z1009</xm:sqref>
        </x14:conditionalFormatting>
        <x14:conditionalFormatting xmlns:xm="http://schemas.microsoft.com/office/excel/2006/main">
          <x14:cfRule type="dataBar" id="{C33A6106-C723-4FD9-9284-8BA48712B422}">
            <x14:dataBar minLength="0" maxLength="100" border="1" negativeBarBorderColorSameAsPositive="0">
              <x14:cfvo type="autoMin"/>
              <x14:cfvo type="autoMax"/>
              <x14:borderColor rgb="FF63C384"/>
              <x14:negativeFillColor rgb="FFFF0000"/>
              <x14:negativeBorderColor rgb="FFFF0000"/>
              <x14:axisColor rgb="FF000000"/>
            </x14:dataBar>
          </x14:cfRule>
          <xm:sqref>Z1009</xm:sqref>
        </x14:conditionalFormatting>
        <x14:conditionalFormatting xmlns:xm="http://schemas.microsoft.com/office/excel/2006/main">
          <x14:cfRule type="dataBar" id="{A4491C9D-105E-4B82-B991-C9F82B852E19}">
            <x14:dataBar minLength="0" maxLength="100" border="1" negativeBarBorderColorSameAsPositive="0">
              <x14:cfvo type="autoMin"/>
              <x14:cfvo type="autoMax"/>
              <x14:borderColor rgb="FF63C384"/>
              <x14:negativeFillColor rgb="FFFF0000"/>
              <x14:negativeBorderColor rgb="FFFF0000"/>
              <x14:axisColor rgb="FF000000"/>
            </x14:dataBar>
          </x14:cfRule>
          <xm:sqref>Z1009</xm:sqref>
        </x14:conditionalFormatting>
        <x14:conditionalFormatting xmlns:xm="http://schemas.microsoft.com/office/excel/2006/main">
          <x14:cfRule type="dataBar" id="{8C7E17CF-694C-4CDC-8248-EBCF81193607}">
            <x14:dataBar minLength="0" maxLength="100" border="1" negativeBarBorderColorSameAsPositive="0">
              <x14:cfvo type="autoMin"/>
              <x14:cfvo type="autoMax"/>
              <x14:borderColor rgb="FF63C384"/>
              <x14:negativeFillColor rgb="FFFF0000"/>
              <x14:negativeBorderColor rgb="FFFF0000"/>
              <x14:axisColor rgb="FF000000"/>
            </x14:dataBar>
          </x14:cfRule>
          <xm:sqref>Z1009</xm:sqref>
        </x14:conditionalFormatting>
        <x14:conditionalFormatting xmlns:xm="http://schemas.microsoft.com/office/excel/2006/main">
          <x14:cfRule type="dataBar" id="{AAC747A5-A835-4813-AF86-2CCCB70576D6}">
            <x14:dataBar minLength="0" maxLength="100" border="1" negativeBarBorderColorSameAsPositive="0">
              <x14:cfvo type="autoMin"/>
              <x14:cfvo type="autoMax"/>
              <x14:borderColor rgb="FF63C384"/>
              <x14:negativeFillColor rgb="FFFF0000"/>
              <x14:negativeBorderColor rgb="FFFF0000"/>
              <x14:axisColor rgb="FF000000"/>
            </x14:dataBar>
          </x14:cfRule>
          <xm:sqref>Z1010</xm:sqref>
        </x14:conditionalFormatting>
        <x14:conditionalFormatting xmlns:xm="http://schemas.microsoft.com/office/excel/2006/main">
          <x14:cfRule type="dataBar" id="{5A0B16FC-3CB9-4CE2-B4EC-FC0238087CAB}">
            <x14:dataBar minLength="0" maxLength="100" border="1" negativeBarBorderColorSameAsPositive="0">
              <x14:cfvo type="autoMin"/>
              <x14:cfvo type="autoMax"/>
              <x14:borderColor rgb="FF63C384"/>
              <x14:negativeFillColor rgb="FFFF0000"/>
              <x14:negativeBorderColor rgb="FFFF0000"/>
              <x14:axisColor rgb="FF000000"/>
            </x14:dataBar>
          </x14:cfRule>
          <xm:sqref>Z1010</xm:sqref>
        </x14:conditionalFormatting>
        <x14:conditionalFormatting xmlns:xm="http://schemas.microsoft.com/office/excel/2006/main">
          <x14:cfRule type="dataBar" id="{FA41C9B6-F6B9-44BB-9CED-90BEE48F1B18}">
            <x14:dataBar minLength="0" maxLength="100" border="1" negativeBarBorderColorSameAsPositive="0">
              <x14:cfvo type="autoMin"/>
              <x14:cfvo type="autoMax"/>
              <x14:borderColor rgb="FF63C384"/>
              <x14:negativeFillColor rgb="FFFF0000"/>
              <x14:negativeBorderColor rgb="FFFF0000"/>
              <x14:axisColor rgb="FF000000"/>
            </x14:dataBar>
          </x14:cfRule>
          <xm:sqref>Z1012</xm:sqref>
        </x14:conditionalFormatting>
        <x14:conditionalFormatting xmlns:xm="http://schemas.microsoft.com/office/excel/2006/main">
          <x14:cfRule type="dataBar" id="{303FA2C5-7651-40B3-976E-5BCCFDF0F21B}">
            <x14:dataBar minLength="0" maxLength="100" border="1" negativeBarBorderColorSameAsPositive="0">
              <x14:cfvo type="autoMin"/>
              <x14:cfvo type="autoMax"/>
              <x14:borderColor rgb="FF63C384"/>
              <x14:negativeFillColor rgb="FFFF0000"/>
              <x14:negativeBorderColor rgb="FFFF0000"/>
              <x14:axisColor rgb="FF000000"/>
            </x14:dataBar>
          </x14:cfRule>
          <xm:sqref>Z982:Z983</xm:sqref>
        </x14:conditionalFormatting>
        <x14:conditionalFormatting xmlns:xm="http://schemas.microsoft.com/office/excel/2006/main">
          <x14:cfRule type="dataBar" id="{5E0B29E9-2B4D-4C00-A140-D1D0C7C3CB59}">
            <x14:dataBar minLength="0" maxLength="100" border="1" negativeBarBorderColorSameAsPositive="0">
              <x14:cfvo type="autoMin"/>
              <x14:cfvo type="autoMax"/>
              <x14:borderColor rgb="FF63C384"/>
              <x14:negativeFillColor rgb="FFFF0000"/>
              <x14:negativeBorderColor rgb="FFFF0000"/>
              <x14:axisColor rgb="FF000000"/>
            </x14:dataBar>
          </x14:cfRule>
          <xm:sqref>Z1013</xm:sqref>
        </x14:conditionalFormatting>
        <x14:conditionalFormatting xmlns:xm="http://schemas.microsoft.com/office/excel/2006/main">
          <x14:cfRule type="dataBar" id="{003B05A5-5387-4117-B967-BE98DF9E3CF8}">
            <x14:dataBar minLength="0" maxLength="100" border="1" negativeBarBorderColorSameAsPositive="0">
              <x14:cfvo type="autoMin"/>
              <x14:cfvo type="autoMax"/>
              <x14:borderColor rgb="FF63C384"/>
              <x14:negativeFillColor rgb="FFFF0000"/>
              <x14:negativeBorderColor rgb="FFFF0000"/>
              <x14:axisColor rgb="FF000000"/>
            </x14:dataBar>
          </x14:cfRule>
          <xm:sqref>Z1013</xm:sqref>
        </x14:conditionalFormatting>
        <x14:conditionalFormatting xmlns:xm="http://schemas.microsoft.com/office/excel/2006/main">
          <x14:cfRule type="dataBar" id="{91B024A6-F279-487F-B294-3C8E221DA9CA}">
            <x14:dataBar minLength="0" maxLength="100" border="1" negativeBarBorderColorSameAsPositive="0">
              <x14:cfvo type="autoMin"/>
              <x14:cfvo type="autoMax"/>
              <x14:borderColor rgb="FF63C384"/>
              <x14:negativeFillColor rgb="FFFF0000"/>
              <x14:negativeBorderColor rgb="FFFF0000"/>
              <x14:axisColor rgb="FF000000"/>
            </x14:dataBar>
          </x14:cfRule>
          <xm:sqref>Z1013</xm:sqref>
        </x14:conditionalFormatting>
        <x14:conditionalFormatting xmlns:xm="http://schemas.microsoft.com/office/excel/2006/main">
          <x14:cfRule type="dataBar" id="{1E409A2A-D6C6-4586-B0D9-5B4833CAFED8}">
            <x14:dataBar minLength="0" maxLength="100" border="1" negativeBarBorderColorSameAsPositive="0">
              <x14:cfvo type="autoMin"/>
              <x14:cfvo type="autoMax"/>
              <x14:borderColor rgb="FF63C384"/>
              <x14:negativeFillColor rgb="FFFF0000"/>
              <x14:negativeBorderColor rgb="FFFF0000"/>
              <x14:axisColor rgb="FF000000"/>
            </x14:dataBar>
          </x14:cfRule>
          <xm:sqref>Z1013</xm:sqref>
        </x14:conditionalFormatting>
        <x14:conditionalFormatting xmlns:xm="http://schemas.microsoft.com/office/excel/2006/main">
          <x14:cfRule type="dataBar" id="{F86D2C9E-F964-4016-BA13-0E4D59672427}">
            <x14:dataBar minLength="0" maxLength="100" border="1" negativeBarBorderColorSameAsPositive="0">
              <x14:cfvo type="autoMin"/>
              <x14:cfvo type="autoMax"/>
              <x14:borderColor rgb="FF63C384"/>
              <x14:negativeFillColor rgb="FFFF0000"/>
              <x14:negativeBorderColor rgb="FFFF0000"/>
              <x14:axisColor rgb="FF000000"/>
            </x14:dataBar>
          </x14:cfRule>
          <xm:sqref>Z874</xm:sqref>
        </x14:conditionalFormatting>
        <x14:conditionalFormatting xmlns:xm="http://schemas.microsoft.com/office/excel/2006/main">
          <x14:cfRule type="dataBar" id="{EF9BE71E-4DFC-42DB-BE33-92D4A99248E1}">
            <x14:dataBar minLength="0" maxLength="100" border="1" negativeBarBorderColorSameAsPositive="0">
              <x14:cfvo type="autoMin"/>
              <x14:cfvo type="autoMax"/>
              <x14:borderColor rgb="FF63C384"/>
              <x14:negativeFillColor rgb="FFFF0000"/>
              <x14:negativeBorderColor rgb="FFFF0000"/>
              <x14:axisColor rgb="FF000000"/>
            </x14:dataBar>
          </x14:cfRule>
          <xm:sqref>Z874</xm:sqref>
        </x14:conditionalFormatting>
        <x14:conditionalFormatting xmlns:xm="http://schemas.microsoft.com/office/excel/2006/main">
          <x14:cfRule type="dataBar" id="{927BEA13-B078-4108-9E1A-0C1682163EA6}">
            <x14:dataBar minLength="0" maxLength="100" border="1" negativeBarBorderColorSameAsPositive="0">
              <x14:cfvo type="autoMin"/>
              <x14:cfvo type="autoMax"/>
              <x14:borderColor rgb="FF63C384"/>
              <x14:negativeFillColor rgb="FFFF0000"/>
              <x14:negativeBorderColor rgb="FFFF0000"/>
              <x14:axisColor rgb="FF000000"/>
            </x14:dataBar>
          </x14:cfRule>
          <xm:sqref>Z874</xm:sqref>
        </x14:conditionalFormatting>
        <x14:conditionalFormatting xmlns:xm="http://schemas.microsoft.com/office/excel/2006/main">
          <x14:cfRule type="dataBar" id="{FE721C03-AEA6-423C-86DA-29BBD2C432FC}">
            <x14:dataBar minLength="0" maxLength="100" border="1" negativeBarBorderColorSameAsPositive="0">
              <x14:cfvo type="autoMin"/>
              <x14:cfvo type="autoMax"/>
              <x14:borderColor rgb="FF63C384"/>
              <x14:negativeFillColor rgb="FFFF0000"/>
              <x14:negativeBorderColor rgb="FFFF0000"/>
              <x14:axisColor rgb="FF000000"/>
            </x14:dataBar>
          </x14:cfRule>
          <xm:sqref>Z874</xm:sqref>
        </x14:conditionalFormatting>
        <x14:conditionalFormatting xmlns:xm="http://schemas.microsoft.com/office/excel/2006/main">
          <x14:cfRule type="dataBar" id="{FE0C72D8-A0E7-460E-BE20-C560973048E3}">
            <x14:dataBar minLength="0" maxLength="100" border="1" negativeBarBorderColorSameAsPositive="0">
              <x14:cfvo type="autoMin"/>
              <x14:cfvo type="autoMax"/>
              <x14:borderColor rgb="FF63C384"/>
              <x14:negativeFillColor rgb="FFFF0000"/>
              <x14:negativeBorderColor rgb="FFFF0000"/>
              <x14:axisColor rgb="FF000000"/>
            </x14:dataBar>
          </x14:cfRule>
          <xm:sqref>Z1015</xm:sqref>
        </x14:conditionalFormatting>
        <x14:conditionalFormatting xmlns:xm="http://schemas.microsoft.com/office/excel/2006/main">
          <x14:cfRule type="dataBar" id="{8B13B12C-FFA8-41A6-943A-65996C0A67D4}">
            <x14:dataBar minLength="0" maxLength="100" border="1" negativeBarBorderColorSameAsPositive="0">
              <x14:cfvo type="autoMin"/>
              <x14:cfvo type="autoMax"/>
              <x14:borderColor rgb="FF63C384"/>
              <x14:negativeFillColor rgb="FFFF0000"/>
              <x14:negativeBorderColor rgb="FFFF0000"/>
              <x14:axisColor rgb="FF000000"/>
            </x14:dataBar>
          </x14:cfRule>
          <xm:sqref>Z1015</xm:sqref>
        </x14:conditionalFormatting>
        <x14:conditionalFormatting xmlns:xm="http://schemas.microsoft.com/office/excel/2006/main">
          <x14:cfRule type="dataBar" id="{790CB64F-61E7-4554-906E-D1BDFACD52DC}">
            <x14:dataBar minLength="0" maxLength="100" border="1" negativeBarBorderColorSameAsPositive="0">
              <x14:cfvo type="autoMin"/>
              <x14:cfvo type="autoMax"/>
              <x14:borderColor rgb="FF63C384"/>
              <x14:negativeFillColor rgb="FFFF0000"/>
              <x14:negativeBorderColor rgb="FFFF0000"/>
              <x14:axisColor rgb="FF000000"/>
            </x14:dataBar>
          </x14:cfRule>
          <xm:sqref>Z1016</xm:sqref>
        </x14:conditionalFormatting>
        <x14:conditionalFormatting xmlns:xm="http://schemas.microsoft.com/office/excel/2006/main">
          <x14:cfRule type="dataBar" id="{243D915F-FDF8-4D2C-AA04-E3BB3557FB71}">
            <x14:dataBar minLength="0" maxLength="100" border="1" negativeBarBorderColorSameAsPositive="0">
              <x14:cfvo type="autoMin"/>
              <x14:cfvo type="autoMax"/>
              <x14:borderColor rgb="FF63C384"/>
              <x14:negativeFillColor rgb="FFFF0000"/>
              <x14:negativeBorderColor rgb="FFFF0000"/>
              <x14:axisColor rgb="FF000000"/>
            </x14:dataBar>
          </x14:cfRule>
          <xm:sqref>Z1017</xm:sqref>
        </x14:conditionalFormatting>
        <x14:conditionalFormatting xmlns:xm="http://schemas.microsoft.com/office/excel/2006/main">
          <x14:cfRule type="dataBar" id="{967DBE5E-2470-4053-9AD0-43A7D33DC4D8}">
            <x14:dataBar minLength="0" maxLength="100" border="1" negativeBarBorderColorSameAsPositive="0">
              <x14:cfvo type="autoMin"/>
              <x14:cfvo type="autoMax"/>
              <x14:borderColor rgb="FF63C384"/>
              <x14:negativeFillColor rgb="FFFF0000"/>
              <x14:negativeBorderColor rgb="FFFF0000"/>
              <x14:axisColor rgb="FF000000"/>
            </x14:dataBar>
          </x14:cfRule>
          <xm:sqref>Z1017</xm:sqref>
        </x14:conditionalFormatting>
        <x14:conditionalFormatting xmlns:xm="http://schemas.microsoft.com/office/excel/2006/main">
          <x14:cfRule type="dataBar" id="{5F7302BF-346F-41E7-B1EF-13CA5D4D371C}">
            <x14:dataBar minLength="0" maxLength="100" border="1" negativeBarBorderColorSameAsPositive="0">
              <x14:cfvo type="autoMin"/>
              <x14:cfvo type="autoMax"/>
              <x14:borderColor rgb="FF63C384"/>
              <x14:negativeFillColor rgb="FFFF0000"/>
              <x14:negativeBorderColor rgb="FFFF0000"/>
              <x14:axisColor rgb="FF000000"/>
            </x14:dataBar>
          </x14:cfRule>
          <xm:sqref>Z1018</xm:sqref>
        </x14:conditionalFormatting>
        <x14:conditionalFormatting xmlns:xm="http://schemas.microsoft.com/office/excel/2006/main">
          <x14:cfRule type="dataBar" id="{64B4921B-027C-4DC8-8607-6AFEE8686F3B}">
            <x14:dataBar minLength="0" maxLength="100" border="1" negativeBarBorderColorSameAsPositive="0">
              <x14:cfvo type="autoMin"/>
              <x14:cfvo type="autoMax"/>
              <x14:borderColor rgb="FF63C384"/>
              <x14:negativeFillColor rgb="FFFF0000"/>
              <x14:negativeBorderColor rgb="FFFF0000"/>
              <x14:axisColor rgb="FF000000"/>
            </x14:dataBar>
          </x14:cfRule>
          <xm:sqref>Z1018</xm:sqref>
        </x14:conditionalFormatting>
        <x14:conditionalFormatting xmlns:xm="http://schemas.microsoft.com/office/excel/2006/main">
          <x14:cfRule type="dataBar" id="{C499C873-FB39-4DE5-B117-5014F7044872}">
            <x14:dataBar minLength="0" maxLength="100" border="1" negativeBarBorderColorSameAsPositive="0">
              <x14:cfvo type="autoMin"/>
              <x14:cfvo type="autoMax"/>
              <x14:borderColor rgb="FF63C384"/>
              <x14:negativeFillColor rgb="FFFF0000"/>
              <x14:negativeBorderColor rgb="FFFF0000"/>
              <x14:axisColor rgb="FF000000"/>
            </x14:dataBar>
          </x14:cfRule>
          <xm:sqref>Z1018</xm:sqref>
        </x14:conditionalFormatting>
        <x14:conditionalFormatting xmlns:xm="http://schemas.microsoft.com/office/excel/2006/main">
          <x14:cfRule type="dataBar" id="{89444C6D-ED98-4B46-AE74-403F1E35F17B}">
            <x14:dataBar minLength="0" maxLength="100" border="1" negativeBarBorderColorSameAsPositive="0">
              <x14:cfvo type="autoMin"/>
              <x14:cfvo type="autoMax"/>
              <x14:borderColor rgb="FF63C384"/>
              <x14:negativeFillColor rgb="FFFF0000"/>
              <x14:negativeBorderColor rgb="FFFF0000"/>
              <x14:axisColor rgb="FF000000"/>
            </x14:dataBar>
          </x14:cfRule>
          <xm:sqref>Z1018</xm:sqref>
        </x14:conditionalFormatting>
        <x14:conditionalFormatting xmlns:xm="http://schemas.microsoft.com/office/excel/2006/main">
          <x14:cfRule type="dataBar" id="{41587D79-2CFF-4ECA-B27F-939FC9BACBB3}">
            <x14:dataBar minLength="0" maxLength="100" border="1" negativeBarBorderColorSameAsPositive="0">
              <x14:cfvo type="autoMin"/>
              <x14:cfvo type="autoMax"/>
              <x14:borderColor rgb="FF63C384"/>
              <x14:negativeFillColor rgb="FFFF0000"/>
              <x14:negativeBorderColor rgb="FFFF0000"/>
              <x14:axisColor rgb="FF000000"/>
            </x14:dataBar>
          </x14:cfRule>
          <xm:sqref>Z1018</xm:sqref>
        </x14:conditionalFormatting>
        <x14:conditionalFormatting xmlns:xm="http://schemas.microsoft.com/office/excel/2006/main">
          <x14:cfRule type="dataBar" id="{98068C86-CCBB-469D-B0C6-A7AF9107EE56}">
            <x14:dataBar minLength="0" maxLength="100" border="1" negativeBarBorderColorSameAsPositive="0">
              <x14:cfvo type="autoMin"/>
              <x14:cfvo type="autoMax"/>
              <x14:borderColor rgb="FF63C384"/>
              <x14:negativeFillColor rgb="FFFF0000"/>
              <x14:negativeBorderColor rgb="FFFF0000"/>
              <x14:axisColor rgb="FF000000"/>
            </x14:dataBar>
          </x14:cfRule>
          <xm:sqref>Z1018</xm:sqref>
        </x14:conditionalFormatting>
        <x14:conditionalFormatting xmlns:xm="http://schemas.microsoft.com/office/excel/2006/main">
          <x14:cfRule type="dataBar" id="{66B3F1BD-BB49-4B47-9A80-1F0DBF6A3C0B}">
            <x14:dataBar minLength="0" maxLength="100" border="1" negativeBarBorderColorSameAsPositive="0">
              <x14:cfvo type="autoMin"/>
              <x14:cfvo type="autoMax"/>
              <x14:borderColor rgb="FF63C384"/>
              <x14:negativeFillColor rgb="FFFF0000"/>
              <x14:negativeBorderColor rgb="FFFF0000"/>
              <x14:axisColor rgb="FF000000"/>
            </x14:dataBar>
          </x14:cfRule>
          <xm:sqref>Z1018</xm:sqref>
        </x14:conditionalFormatting>
        <x14:conditionalFormatting xmlns:xm="http://schemas.microsoft.com/office/excel/2006/main">
          <x14:cfRule type="dataBar" id="{439E273D-5DB1-41E5-907B-FFA8031C48F5}">
            <x14:dataBar minLength="0" maxLength="100" border="1" negativeBarBorderColorSameAsPositive="0">
              <x14:cfvo type="autoMin"/>
              <x14:cfvo type="autoMax"/>
              <x14:borderColor rgb="FF63C384"/>
              <x14:negativeFillColor rgb="FFFF0000"/>
              <x14:negativeBorderColor rgb="FFFF0000"/>
              <x14:axisColor rgb="FF000000"/>
            </x14:dataBar>
          </x14:cfRule>
          <xm:sqref>Z1018</xm:sqref>
        </x14:conditionalFormatting>
        <x14:conditionalFormatting xmlns:xm="http://schemas.microsoft.com/office/excel/2006/main">
          <x14:cfRule type="dataBar" id="{FB53FED2-DF0C-4E5C-8931-F470AE2D3CF2}">
            <x14:dataBar minLength="0" maxLength="100" border="1" negativeBarBorderColorSameAsPositive="0">
              <x14:cfvo type="autoMin"/>
              <x14:cfvo type="autoMax"/>
              <x14:borderColor rgb="FF63C384"/>
              <x14:negativeFillColor rgb="FFFF0000"/>
              <x14:negativeBorderColor rgb="FFFF0000"/>
              <x14:axisColor rgb="FF000000"/>
            </x14:dataBar>
          </x14:cfRule>
          <xm:sqref>Z1019</xm:sqref>
        </x14:conditionalFormatting>
        <x14:conditionalFormatting xmlns:xm="http://schemas.microsoft.com/office/excel/2006/main">
          <x14:cfRule type="dataBar" id="{662EEAEE-7FB5-45F3-9A12-1D99449F3788}">
            <x14:dataBar minLength="0" maxLength="100" border="1" negativeBarBorderColorSameAsPositive="0">
              <x14:cfvo type="autoMin"/>
              <x14:cfvo type="autoMax"/>
              <x14:borderColor rgb="FF63C384"/>
              <x14:negativeFillColor rgb="FFFF0000"/>
              <x14:negativeBorderColor rgb="FFFF0000"/>
              <x14:axisColor rgb="FF000000"/>
            </x14:dataBar>
          </x14:cfRule>
          <xm:sqref>Z1020</xm:sqref>
        </x14:conditionalFormatting>
        <x14:conditionalFormatting xmlns:xm="http://schemas.microsoft.com/office/excel/2006/main">
          <x14:cfRule type="dataBar" id="{09B845A2-0AC4-4278-B250-7A7A6AA073D2}">
            <x14:dataBar minLength="0" maxLength="100" border="1" negativeBarBorderColorSameAsPositive="0">
              <x14:cfvo type="autoMin"/>
              <x14:cfvo type="autoMax"/>
              <x14:borderColor rgb="FF63C384"/>
              <x14:negativeFillColor rgb="FFFF0000"/>
              <x14:negativeBorderColor rgb="FFFF0000"/>
              <x14:axisColor rgb="FF000000"/>
            </x14:dataBar>
          </x14:cfRule>
          <xm:sqref>Z1020</xm:sqref>
        </x14:conditionalFormatting>
        <x14:conditionalFormatting xmlns:xm="http://schemas.microsoft.com/office/excel/2006/main">
          <x14:cfRule type="dataBar" id="{C269CA04-F80E-43D1-B4CD-23713516155F}">
            <x14:dataBar minLength="0" maxLength="100" border="1" negativeBarBorderColorSameAsPositive="0">
              <x14:cfvo type="autoMin"/>
              <x14:cfvo type="autoMax"/>
              <x14:borderColor rgb="FF63C384"/>
              <x14:negativeFillColor rgb="FFFF0000"/>
              <x14:negativeBorderColor rgb="FFFF0000"/>
              <x14:axisColor rgb="FF000000"/>
            </x14:dataBar>
          </x14:cfRule>
          <xm:sqref>Z1021</xm:sqref>
        </x14:conditionalFormatting>
        <x14:conditionalFormatting xmlns:xm="http://schemas.microsoft.com/office/excel/2006/main">
          <x14:cfRule type="dataBar" id="{FA2A7D96-9B58-4759-988E-0B062D8EE843}">
            <x14:dataBar minLength="0" maxLength="100" border="1" negativeBarBorderColorSameAsPositive="0">
              <x14:cfvo type="autoMin"/>
              <x14:cfvo type="autoMax"/>
              <x14:borderColor rgb="FF63C384"/>
              <x14:negativeFillColor rgb="FFFF0000"/>
              <x14:negativeBorderColor rgb="FFFF0000"/>
              <x14:axisColor rgb="FF000000"/>
            </x14:dataBar>
          </x14:cfRule>
          <xm:sqref>Z1022</xm:sqref>
        </x14:conditionalFormatting>
        <x14:conditionalFormatting xmlns:xm="http://schemas.microsoft.com/office/excel/2006/main">
          <x14:cfRule type="dataBar" id="{6CB43B94-F9F2-4398-954F-868098BA909B}">
            <x14:dataBar minLength="0" maxLength="100" border="1" negativeBarBorderColorSameAsPositive="0">
              <x14:cfvo type="autoMin"/>
              <x14:cfvo type="autoMax"/>
              <x14:borderColor rgb="FF63C384"/>
              <x14:negativeFillColor rgb="FFFF0000"/>
              <x14:negativeBorderColor rgb="FFFF0000"/>
              <x14:axisColor rgb="FF000000"/>
            </x14:dataBar>
          </x14:cfRule>
          <xm:sqref>Z1022</xm:sqref>
        </x14:conditionalFormatting>
        <x14:conditionalFormatting xmlns:xm="http://schemas.microsoft.com/office/excel/2006/main">
          <x14:cfRule type="dataBar" id="{D65C1CDD-D1E5-4562-865A-436EE42A4B53}">
            <x14:dataBar minLength="0" maxLength="100" border="1" negativeBarBorderColorSameAsPositive="0">
              <x14:cfvo type="autoMin"/>
              <x14:cfvo type="autoMax"/>
              <x14:borderColor rgb="FF63C384"/>
              <x14:negativeFillColor rgb="FFFF0000"/>
              <x14:negativeBorderColor rgb="FFFF0000"/>
              <x14:axisColor rgb="FF000000"/>
            </x14:dataBar>
          </x14:cfRule>
          <xm:sqref>Z1022</xm:sqref>
        </x14:conditionalFormatting>
        <x14:conditionalFormatting xmlns:xm="http://schemas.microsoft.com/office/excel/2006/main">
          <x14:cfRule type="dataBar" id="{27B2898A-CE48-444B-93DF-12F5EA659351}">
            <x14:dataBar minLength="0" maxLength="100" border="1" negativeBarBorderColorSameAsPositive="0">
              <x14:cfvo type="autoMin"/>
              <x14:cfvo type="autoMax"/>
              <x14:borderColor rgb="FF63C384"/>
              <x14:negativeFillColor rgb="FFFF0000"/>
              <x14:negativeBorderColor rgb="FFFF0000"/>
              <x14:axisColor rgb="FF000000"/>
            </x14:dataBar>
          </x14:cfRule>
          <xm:sqref>Z1022</xm:sqref>
        </x14:conditionalFormatting>
        <x14:conditionalFormatting xmlns:xm="http://schemas.microsoft.com/office/excel/2006/main">
          <x14:cfRule type="dataBar" id="{5BD34321-D7AC-43F7-8C41-03471FEF301C}">
            <x14:dataBar minLength="0" maxLength="100" border="1" negativeBarBorderColorSameAsPositive="0">
              <x14:cfvo type="autoMin"/>
              <x14:cfvo type="autoMax"/>
              <x14:borderColor rgb="FF63C384"/>
              <x14:negativeFillColor rgb="FFFF0000"/>
              <x14:negativeBorderColor rgb="FFFF0000"/>
              <x14:axisColor rgb="FF000000"/>
            </x14:dataBar>
          </x14:cfRule>
          <xm:sqref>Z1023</xm:sqref>
        </x14:conditionalFormatting>
        <x14:conditionalFormatting xmlns:xm="http://schemas.microsoft.com/office/excel/2006/main">
          <x14:cfRule type="dataBar" id="{CA3E90FC-F865-4073-AC7B-5B3B09EAED6B}">
            <x14:dataBar minLength="0" maxLength="100" border="1" negativeBarBorderColorSameAsPositive="0">
              <x14:cfvo type="autoMin"/>
              <x14:cfvo type="autoMax"/>
              <x14:borderColor rgb="FF63C384"/>
              <x14:negativeFillColor rgb="FFFF0000"/>
              <x14:negativeBorderColor rgb="FFFF0000"/>
              <x14:axisColor rgb="FF000000"/>
            </x14:dataBar>
          </x14:cfRule>
          <xm:sqref>Z1023</xm:sqref>
        </x14:conditionalFormatting>
        <x14:conditionalFormatting xmlns:xm="http://schemas.microsoft.com/office/excel/2006/main">
          <x14:cfRule type="dataBar" id="{7F3D48E4-88AE-4E38-9041-F8A1C7FFFC08}">
            <x14:dataBar minLength="0" maxLength="100" border="1" negativeBarBorderColorSameAsPositive="0">
              <x14:cfvo type="autoMin"/>
              <x14:cfvo type="autoMax"/>
              <x14:borderColor rgb="FF63C384"/>
              <x14:negativeFillColor rgb="FFFF0000"/>
              <x14:negativeBorderColor rgb="FFFF0000"/>
              <x14:axisColor rgb="FF000000"/>
            </x14:dataBar>
          </x14:cfRule>
          <xm:sqref>Z1023</xm:sqref>
        </x14:conditionalFormatting>
        <x14:conditionalFormatting xmlns:xm="http://schemas.microsoft.com/office/excel/2006/main">
          <x14:cfRule type="dataBar" id="{04E90CBE-7072-46FB-822C-D6E9358C086C}">
            <x14:dataBar minLength="0" maxLength="100" border="1" negativeBarBorderColorSameAsPositive="0">
              <x14:cfvo type="autoMin"/>
              <x14:cfvo type="autoMax"/>
              <x14:borderColor rgb="FF63C384"/>
              <x14:negativeFillColor rgb="FFFF0000"/>
              <x14:negativeBorderColor rgb="FFFF0000"/>
              <x14:axisColor rgb="FF000000"/>
            </x14:dataBar>
          </x14:cfRule>
          <xm:sqref>Z1023</xm:sqref>
        </x14:conditionalFormatting>
        <x14:conditionalFormatting xmlns:xm="http://schemas.microsoft.com/office/excel/2006/main">
          <x14:cfRule type="dataBar" id="{611CFDD8-EE84-46E6-A710-3884492A869F}">
            <x14:dataBar minLength="0" maxLength="100" border="1" negativeBarBorderColorSameAsPositive="0">
              <x14:cfvo type="autoMin"/>
              <x14:cfvo type="autoMax"/>
              <x14:borderColor rgb="FF63C384"/>
              <x14:negativeFillColor rgb="FFFF0000"/>
              <x14:negativeBorderColor rgb="FFFF0000"/>
              <x14:axisColor rgb="FF000000"/>
            </x14:dataBar>
          </x14:cfRule>
          <xm:sqref>Z1024</xm:sqref>
        </x14:conditionalFormatting>
        <x14:conditionalFormatting xmlns:xm="http://schemas.microsoft.com/office/excel/2006/main">
          <x14:cfRule type="dataBar" id="{5E50A6CD-0F90-4CE1-B622-2D2BB37346E2}">
            <x14:dataBar minLength="0" maxLength="100" border="1" negativeBarBorderColorSameAsPositive="0">
              <x14:cfvo type="autoMin"/>
              <x14:cfvo type="autoMax"/>
              <x14:borderColor rgb="FF63C384"/>
              <x14:negativeFillColor rgb="FFFF0000"/>
              <x14:negativeBorderColor rgb="FFFF0000"/>
              <x14:axisColor rgb="FF000000"/>
            </x14:dataBar>
          </x14:cfRule>
          <xm:sqref>Z1024</xm:sqref>
        </x14:conditionalFormatting>
        <x14:conditionalFormatting xmlns:xm="http://schemas.microsoft.com/office/excel/2006/main">
          <x14:cfRule type="dataBar" id="{1287EC04-682D-48B8-8C2C-8B9CA594A867}">
            <x14:dataBar minLength="0" maxLength="100" border="1" negativeBarBorderColorSameAsPositive="0">
              <x14:cfvo type="autoMin"/>
              <x14:cfvo type="autoMax"/>
              <x14:borderColor rgb="FF63C384"/>
              <x14:negativeFillColor rgb="FFFF0000"/>
              <x14:negativeBorderColor rgb="FFFF0000"/>
              <x14:axisColor rgb="FF000000"/>
            </x14:dataBar>
          </x14:cfRule>
          <xm:sqref>Z1025</xm:sqref>
        </x14:conditionalFormatting>
        <x14:conditionalFormatting xmlns:xm="http://schemas.microsoft.com/office/excel/2006/main">
          <x14:cfRule type="dataBar" id="{75FD7218-A247-4D5C-BFD6-4F8397DC00A3}">
            <x14:dataBar minLength="0" maxLength="100" border="1" negativeBarBorderColorSameAsPositive="0">
              <x14:cfvo type="autoMin"/>
              <x14:cfvo type="autoMax"/>
              <x14:borderColor rgb="FF63C384"/>
              <x14:negativeFillColor rgb="FFFF0000"/>
              <x14:negativeBorderColor rgb="FFFF0000"/>
              <x14:axisColor rgb="FF000000"/>
            </x14:dataBar>
          </x14:cfRule>
          <xm:sqref>Z1025</xm:sqref>
        </x14:conditionalFormatting>
        <x14:conditionalFormatting xmlns:xm="http://schemas.microsoft.com/office/excel/2006/main">
          <x14:cfRule type="dataBar" id="{9073598B-DD45-4233-AF45-38CAD6287CEC}">
            <x14:dataBar minLength="0" maxLength="100" border="1" negativeBarBorderColorSameAsPositive="0">
              <x14:cfvo type="autoMin"/>
              <x14:cfvo type="autoMax"/>
              <x14:borderColor rgb="FF63C384"/>
              <x14:negativeFillColor rgb="FFFF0000"/>
              <x14:negativeBorderColor rgb="FFFF0000"/>
              <x14:axisColor rgb="FF000000"/>
            </x14:dataBar>
          </x14:cfRule>
          <xm:sqref>Z1025</xm:sqref>
        </x14:conditionalFormatting>
        <x14:conditionalFormatting xmlns:xm="http://schemas.microsoft.com/office/excel/2006/main">
          <x14:cfRule type="dataBar" id="{23081F88-25A4-4177-A59F-6747D4B5FE84}">
            <x14:dataBar minLength="0" maxLength="100" border="1" negativeBarBorderColorSameAsPositive="0">
              <x14:cfvo type="autoMin"/>
              <x14:cfvo type="autoMax"/>
              <x14:borderColor rgb="FF63C384"/>
              <x14:negativeFillColor rgb="FFFF0000"/>
              <x14:negativeBorderColor rgb="FFFF0000"/>
              <x14:axisColor rgb="FF000000"/>
            </x14:dataBar>
          </x14:cfRule>
          <xm:sqref>Z1025</xm:sqref>
        </x14:conditionalFormatting>
        <x14:conditionalFormatting xmlns:xm="http://schemas.microsoft.com/office/excel/2006/main">
          <x14:cfRule type="dataBar" id="{111300BC-86D5-4C98-B88A-FA2A3C6445D4}">
            <x14:dataBar minLength="0" maxLength="100" border="1" negativeBarBorderColorSameAsPositive="0">
              <x14:cfvo type="autoMin"/>
              <x14:cfvo type="autoMax"/>
              <x14:borderColor rgb="FF63C384"/>
              <x14:negativeFillColor rgb="FFFF0000"/>
              <x14:negativeBorderColor rgb="FFFF0000"/>
              <x14:axisColor rgb="FF000000"/>
            </x14:dataBar>
          </x14:cfRule>
          <xm:sqref>Z1026</xm:sqref>
        </x14:conditionalFormatting>
        <x14:conditionalFormatting xmlns:xm="http://schemas.microsoft.com/office/excel/2006/main">
          <x14:cfRule type="dataBar" id="{BEAF4341-A6FE-47F7-80BC-22BAF143BF76}">
            <x14:dataBar minLength="0" maxLength="100" border="1" negativeBarBorderColorSameAsPositive="0">
              <x14:cfvo type="autoMin"/>
              <x14:cfvo type="autoMax"/>
              <x14:borderColor rgb="FF63C384"/>
              <x14:negativeFillColor rgb="FFFF0000"/>
              <x14:negativeBorderColor rgb="FFFF0000"/>
              <x14:axisColor rgb="FF000000"/>
            </x14:dataBar>
          </x14:cfRule>
          <xm:sqref>Z1026</xm:sqref>
        </x14:conditionalFormatting>
        <x14:conditionalFormatting xmlns:xm="http://schemas.microsoft.com/office/excel/2006/main">
          <x14:cfRule type="dataBar" id="{C113E4A0-7690-4016-8FB7-861E4C198B94}">
            <x14:dataBar minLength="0" maxLength="100" border="1" negativeBarBorderColorSameAsPositive="0">
              <x14:cfvo type="autoMin"/>
              <x14:cfvo type="autoMax"/>
              <x14:borderColor rgb="FF63C384"/>
              <x14:negativeFillColor rgb="FFFF0000"/>
              <x14:negativeBorderColor rgb="FFFF0000"/>
              <x14:axisColor rgb="FF000000"/>
            </x14:dataBar>
          </x14:cfRule>
          <xm:sqref>Z1027</xm:sqref>
        </x14:conditionalFormatting>
        <x14:conditionalFormatting xmlns:xm="http://schemas.microsoft.com/office/excel/2006/main">
          <x14:cfRule type="dataBar" id="{535402D4-4D90-4920-8B2B-6AC117B78BE0}">
            <x14:dataBar minLength="0" maxLength="100" border="1" negativeBarBorderColorSameAsPositive="0">
              <x14:cfvo type="autoMin"/>
              <x14:cfvo type="autoMax"/>
              <x14:borderColor rgb="FF63C384"/>
              <x14:negativeFillColor rgb="FFFF0000"/>
              <x14:negativeBorderColor rgb="FFFF0000"/>
              <x14:axisColor rgb="FF000000"/>
            </x14:dataBar>
          </x14:cfRule>
          <xm:sqref>Z1027</xm:sqref>
        </x14:conditionalFormatting>
        <x14:conditionalFormatting xmlns:xm="http://schemas.microsoft.com/office/excel/2006/main">
          <x14:cfRule type="dataBar" id="{E8F4D55B-B338-4FFD-B409-5FAE1A42C587}">
            <x14:dataBar minLength="0" maxLength="100" border="1" negativeBarBorderColorSameAsPositive="0">
              <x14:cfvo type="autoMin"/>
              <x14:cfvo type="autoMax"/>
              <x14:borderColor rgb="FF63C384"/>
              <x14:negativeFillColor rgb="FFFF0000"/>
              <x14:negativeBorderColor rgb="FFFF0000"/>
              <x14:axisColor rgb="FF000000"/>
            </x14:dataBar>
          </x14:cfRule>
          <xm:sqref>Z1028</xm:sqref>
        </x14:conditionalFormatting>
        <x14:conditionalFormatting xmlns:xm="http://schemas.microsoft.com/office/excel/2006/main">
          <x14:cfRule type="dataBar" id="{7F1C55D0-D4C6-48E6-BDE4-9CF30702FC3E}">
            <x14:dataBar minLength="0" maxLength="100" border="1" negativeBarBorderColorSameAsPositive="0">
              <x14:cfvo type="autoMin"/>
              <x14:cfvo type="autoMax"/>
              <x14:borderColor rgb="FF63C384"/>
              <x14:negativeFillColor rgb="FFFF0000"/>
              <x14:negativeBorderColor rgb="FFFF0000"/>
              <x14:axisColor rgb="FF000000"/>
            </x14:dataBar>
          </x14:cfRule>
          <xm:sqref>Z1028</xm:sqref>
        </x14:conditionalFormatting>
        <x14:conditionalFormatting xmlns:xm="http://schemas.microsoft.com/office/excel/2006/main">
          <x14:cfRule type="dataBar" id="{4B0F45F0-9CF3-47CD-9645-3A137A68E64B}">
            <x14:dataBar minLength="0" maxLength="100" border="1" negativeBarBorderColorSameAsPositive="0">
              <x14:cfvo type="autoMin"/>
              <x14:cfvo type="autoMax"/>
              <x14:borderColor rgb="FF63C384"/>
              <x14:negativeFillColor rgb="FFFF0000"/>
              <x14:negativeBorderColor rgb="FFFF0000"/>
              <x14:axisColor rgb="FF000000"/>
            </x14:dataBar>
          </x14:cfRule>
          <xm:sqref>Z1029</xm:sqref>
        </x14:conditionalFormatting>
        <x14:conditionalFormatting xmlns:xm="http://schemas.microsoft.com/office/excel/2006/main">
          <x14:cfRule type="dataBar" id="{FC134339-DDDD-4CBF-8FA7-FBB49FC8B474}">
            <x14:dataBar minLength="0" maxLength="100" border="1" negativeBarBorderColorSameAsPositive="0">
              <x14:cfvo type="autoMin"/>
              <x14:cfvo type="autoMax"/>
              <x14:borderColor rgb="FF63C384"/>
              <x14:negativeFillColor rgb="FFFF0000"/>
              <x14:negativeBorderColor rgb="FFFF0000"/>
              <x14:axisColor rgb="FF000000"/>
            </x14:dataBar>
          </x14:cfRule>
          <xm:sqref>Z1030</xm:sqref>
        </x14:conditionalFormatting>
        <x14:conditionalFormatting xmlns:xm="http://schemas.microsoft.com/office/excel/2006/main">
          <x14:cfRule type="dataBar" id="{124E1C93-2B50-43BC-BD42-57A0A4C03A14}">
            <x14:dataBar minLength="0" maxLength="100" border="1" negativeBarBorderColorSameAsPositive="0">
              <x14:cfvo type="autoMin"/>
              <x14:cfvo type="autoMax"/>
              <x14:borderColor rgb="FF63C384"/>
              <x14:negativeFillColor rgb="FFFF0000"/>
              <x14:negativeBorderColor rgb="FFFF0000"/>
              <x14:axisColor rgb="FF000000"/>
            </x14:dataBar>
          </x14:cfRule>
          <xm:sqref>Z1031</xm:sqref>
        </x14:conditionalFormatting>
        <x14:conditionalFormatting xmlns:xm="http://schemas.microsoft.com/office/excel/2006/main">
          <x14:cfRule type="dataBar" id="{D3E2D2F3-5F5D-4835-88F0-B6503CBCABC4}">
            <x14:dataBar minLength="0" maxLength="100" border="1" negativeBarBorderColorSameAsPositive="0">
              <x14:cfvo type="autoMin"/>
              <x14:cfvo type="autoMax"/>
              <x14:borderColor rgb="FF63C384"/>
              <x14:negativeFillColor rgb="FFFF0000"/>
              <x14:negativeBorderColor rgb="FFFF0000"/>
              <x14:axisColor rgb="FF000000"/>
            </x14:dataBar>
          </x14:cfRule>
          <xm:sqref>Z1031</xm:sqref>
        </x14:conditionalFormatting>
        <x14:conditionalFormatting xmlns:xm="http://schemas.microsoft.com/office/excel/2006/main">
          <x14:cfRule type="dataBar" id="{DED32147-FEA9-4E77-8E59-6A93BC8CCCE2}">
            <x14:dataBar minLength="0" maxLength="100" border="1" negativeBarBorderColorSameAsPositive="0">
              <x14:cfvo type="autoMin"/>
              <x14:cfvo type="autoMax"/>
              <x14:borderColor rgb="FF63C384"/>
              <x14:negativeFillColor rgb="FFFF0000"/>
              <x14:negativeBorderColor rgb="FFFF0000"/>
              <x14:axisColor rgb="FF000000"/>
            </x14:dataBar>
          </x14:cfRule>
          <xm:sqref>Z1031</xm:sqref>
        </x14:conditionalFormatting>
        <x14:conditionalFormatting xmlns:xm="http://schemas.microsoft.com/office/excel/2006/main">
          <x14:cfRule type="dataBar" id="{D77B9222-565E-4EDB-A276-0F8289482C0F}">
            <x14:dataBar minLength="0" maxLength="100" border="1" negativeBarBorderColorSameAsPositive="0">
              <x14:cfvo type="autoMin"/>
              <x14:cfvo type="autoMax"/>
              <x14:borderColor rgb="FF63C384"/>
              <x14:negativeFillColor rgb="FFFF0000"/>
              <x14:negativeBorderColor rgb="FFFF0000"/>
              <x14:axisColor rgb="FF000000"/>
            </x14:dataBar>
          </x14:cfRule>
          <xm:sqref>Z1031</xm:sqref>
        </x14:conditionalFormatting>
        <x14:conditionalFormatting xmlns:xm="http://schemas.microsoft.com/office/excel/2006/main">
          <x14:cfRule type="dataBar" id="{E5BE67B8-07B8-4BAE-B811-A7857E74E201}">
            <x14:dataBar minLength="0" maxLength="100" border="1" negativeBarBorderColorSameAsPositive="0">
              <x14:cfvo type="autoMin"/>
              <x14:cfvo type="autoMax"/>
              <x14:borderColor rgb="FF63C384"/>
              <x14:negativeFillColor rgb="FFFF0000"/>
              <x14:negativeBorderColor rgb="FFFF0000"/>
              <x14:axisColor rgb="FF000000"/>
            </x14:dataBar>
          </x14:cfRule>
          <xm:sqref>Z1031</xm:sqref>
        </x14:conditionalFormatting>
        <x14:conditionalFormatting xmlns:xm="http://schemas.microsoft.com/office/excel/2006/main">
          <x14:cfRule type="dataBar" id="{4947AF90-2A77-48D1-B9C7-880D5EA6CF76}">
            <x14:dataBar minLength="0" maxLength="100" border="1" negativeBarBorderColorSameAsPositive="0">
              <x14:cfvo type="autoMin"/>
              <x14:cfvo type="autoMax"/>
              <x14:borderColor rgb="FF63C384"/>
              <x14:negativeFillColor rgb="FFFF0000"/>
              <x14:negativeBorderColor rgb="FFFF0000"/>
              <x14:axisColor rgb="FF000000"/>
            </x14:dataBar>
          </x14:cfRule>
          <xm:sqref>Z1031</xm:sqref>
        </x14:conditionalFormatting>
        <x14:conditionalFormatting xmlns:xm="http://schemas.microsoft.com/office/excel/2006/main">
          <x14:cfRule type="dataBar" id="{D5B248F3-46E6-41F7-A02D-A64935132D4A}">
            <x14:dataBar minLength="0" maxLength="100" border="1" negativeBarBorderColorSameAsPositive="0">
              <x14:cfvo type="autoMin"/>
              <x14:cfvo type="autoMax"/>
              <x14:borderColor rgb="FF63C384"/>
              <x14:negativeFillColor rgb="FFFF0000"/>
              <x14:negativeBorderColor rgb="FFFF0000"/>
              <x14:axisColor rgb="FF000000"/>
            </x14:dataBar>
          </x14:cfRule>
          <xm:sqref>Z1031</xm:sqref>
        </x14:conditionalFormatting>
        <x14:conditionalFormatting xmlns:xm="http://schemas.microsoft.com/office/excel/2006/main">
          <x14:cfRule type="dataBar" id="{D7EC880A-FF48-4432-8063-AC470B4C19B1}">
            <x14:dataBar minLength="0" maxLength="100" border="1" negativeBarBorderColorSameAsPositive="0">
              <x14:cfvo type="autoMin"/>
              <x14:cfvo type="autoMax"/>
              <x14:borderColor rgb="FF63C384"/>
              <x14:negativeFillColor rgb="FFFF0000"/>
              <x14:negativeBorderColor rgb="FFFF0000"/>
              <x14:axisColor rgb="FF000000"/>
            </x14:dataBar>
          </x14:cfRule>
          <xm:sqref>Z1031</xm:sqref>
        </x14:conditionalFormatting>
        <x14:conditionalFormatting xmlns:xm="http://schemas.microsoft.com/office/excel/2006/main">
          <x14:cfRule type="dataBar" id="{A6D5586F-E3C9-4034-B37B-25873F769867}">
            <x14:dataBar minLength="0" maxLength="100" border="1" negativeBarBorderColorSameAsPositive="0">
              <x14:cfvo type="autoMin"/>
              <x14:cfvo type="autoMax"/>
              <x14:borderColor rgb="FF63C384"/>
              <x14:negativeFillColor rgb="FFFF0000"/>
              <x14:negativeBorderColor rgb="FFFF0000"/>
              <x14:axisColor rgb="FF000000"/>
            </x14:dataBar>
          </x14:cfRule>
          <xm:sqref>Z1032</xm:sqref>
        </x14:conditionalFormatting>
        <x14:conditionalFormatting xmlns:xm="http://schemas.microsoft.com/office/excel/2006/main">
          <x14:cfRule type="dataBar" id="{910AE8DF-8B3B-45FF-92FB-E4CA0A832883}">
            <x14:dataBar minLength="0" maxLength="100" border="1" negativeBarBorderColorSameAsPositive="0">
              <x14:cfvo type="autoMin"/>
              <x14:cfvo type="autoMax"/>
              <x14:borderColor rgb="FF63C384"/>
              <x14:negativeFillColor rgb="FFFF0000"/>
              <x14:negativeBorderColor rgb="FFFF0000"/>
              <x14:axisColor rgb="FF000000"/>
            </x14:dataBar>
          </x14:cfRule>
          <xm:sqref>Z1032</xm:sqref>
        </x14:conditionalFormatting>
        <x14:conditionalFormatting xmlns:xm="http://schemas.microsoft.com/office/excel/2006/main">
          <x14:cfRule type="dataBar" id="{D8B0FB40-F77E-4B4D-9F8C-E1F9FD08F40C}">
            <x14:dataBar minLength="0" maxLength="100" border="1" negativeBarBorderColorSameAsPositive="0">
              <x14:cfvo type="autoMin"/>
              <x14:cfvo type="autoMax"/>
              <x14:borderColor rgb="FF63C384"/>
              <x14:negativeFillColor rgb="FFFF0000"/>
              <x14:negativeBorderColor rgb="FFFF0000"/>
              <x14:axisColor rgb="FF000000"/>
            </x14:dataBar>
          </x14:cfRule>
          <xm:sqref>Z1033</xm:sqref>
        </x14:conditionalFormatting>
        <x14:conditionalFormatting xmlns:xm="http://schemas.microsoft.com/office/excel/2006/main">
          <x14:cfRule type="dataBar" id="{0A8C1EC5-8E0D-4941-A0A4-0C54A00634F5}">
            <x14:dataBar minLength="0" maxLength="100" border="1" negativeBarBorderColorSameAsPositive="0">
              <x14:cfvo type="autoMin"/>
              <x14:cfvo type="autoMax"/>
              <x14:borderColor rgb="FF63C384"/>
              <x14:negativeFillColor rgb="FFFF0000"/>
              <x14:negativeBorderColor rgb="FFFF0000"/>
              <x14:axisColor rgb="FF000000"/>
            </x14:dataBar>
          </x14:cfRule>
          <xm:sqref>Z1033</xm:sqref>
        </x14:conditionalFormatting>
        <x14:conditionalFormatting xmlns:xm="http://schemas.microsoft.com/office/excel/2006/main">
          <x14:cfRule type="dataBar" id="{F5F0D795-A6C6-419F-BC15-C960E48E0369}">
            <x14:dataBar minLength="0" maxLength="100" border="1" negativeBarBorderColorSameAsPositive="0">
              <x14:cfvo type="autoMin"/>
              <x14:cfvo type="autoMax"/>
              <x14:borderColor rgb="FF63C384"/>
              <x14:negativeFillColor rgb="FFFF0000"/>
              <x14:negativeBorderColor rgb="FFFF0000"/>
              <x14:axisColor rgb="FF000000"/>
            </x14:dataBar>
          </x14:cfRule>
          <xm:sqref>Z1033</xm:sqref>
        </x14:conditionalFormatting>
        <x14:conditionalFormatting xmlns:xm="http://schemas.microsoft.com/office/excel/2006/main">
          <x14:cfRule type="dataBar" id="{6DD6B46A-E12B-409D-96A7-B3CFE4790D76}">
            <x14:dataBar minLength="0" maxLength="100" border="1" negativeBarBorderColorSameAsPositive="0">
              <x14:cfvo type="autoMin"/>
              <x14:cfvo type="autoMax"/>
              <x14:borderColor rgb="FF63C384"/>
              <x14:negativeFillColor rgb="FFFF0000"/>
              <x14:negativeBorderColor rgb="FFFF0000"/>
              <x14:axisColor rgb="FF000000"/>
            </x14:dataBar>
          </x14:cfRule>
          <xm:sqref>Z1033</xm:sqref>
        </x14:conditionalFormatting>
        <x14:conditionalFormatting xmlns:xm="http://schemas.microsoft.com/office/excel/2006/main">
          <x14:cfRule type="dataBar" id="{5A64CF9B-FBF3-41C1-AA50-8A7C7BF1634C}">
            <x14:dataBar minLength="0" maxLength="100" border="1" negativeBarBorderColorSameAsPositive="0">
              <x14:cfvo type="autoMin"/>
              <x14:cfvo type="autoMax"/>
              <x14:borderColor rgb="FF63C384"/>
              <x14:negativeFillColor rgb="FFFF0000"/>
              <x14:negativeBorderColor rgb="FFFF0000"/>
              <x14:axisColor rgb="FF000000"/>
            </x14:dataBar>
          </x14:cfRule>
          <xm:sqref>Z1034</xm:sqref>
        </x14:conditionalFormatting>
        <x14:conditionalFormatting xmlns:xm="http://schemas.microsoft.com/office/excel/2006/main">
          <x14:cfRule type="dataBar" id="{1C27C96A-CA2F-43AE-80C3-5B4E5C37D388}">
            <x14:dataBar minLength="0" maxLength="100" border="1" negativeBarBorderColorSameAsPositive="0">
              <x14:cfvo type="autoMin"/>
              <x14:cfvo type="autoMax"/>
              <x14:borderColor rgb="FF63C384"/>
              <x14:negativeFillColor rgb="FFFF0000"/>
              <x14:negativeBorderColor rgb="FFFF0000"/>
              <x14:axisColor rgb="FF000000"/>
            </x14:dataBar>
          </x14:cfRule>
          <xm:sqref>Z1034</xm:sqref>
        </x14:conditionalFormatting>
        <x14:conditionalFormatting xmlns:xm="http://schemas.microsoft.com/office/excel/2006/main">
          <x14:cfRule type="dataBar" id="{CFC37176-6356-4371-8E57-E41CF4856C9B}">
            <x14:dataBar minLength="0" maxLength="100" border="1" negativeBarBorderColorSameAsPositive="0">
              <x14:cfvo type="autoMin"/>
              <x14:cfvo type="autoMax"/>
              <x14:borderColor rgb="FF63C384"/>
              <x14:negativeFillColor rgb="FFFF0000"/>
              <x14:negativeBorderColor rgb="FFFF0000"/>
              <x14:axisColor rgb="FF000000"/>
            </x14:dataBar>
          </x14:cfRule>
          <xm:sqref>Z1034</xm:sqref>
        </x14:conditionalFormatting>
        <x14:conditionalFormatting xmlns:xm="http://schemas.microsoft.com/office/excel/2006/main">
          <x14:cfRule type="dataBar" id="{9BCD0A6B-2DFB-4AA4-B244-829D3C6A321E}">
            <x14:dataBar minLength="0" maxLength="100" border="1" negativeBarBorderColorSameAsPositive="0">
              <x14:cfvo type="autoMin"/>
              <x14:cfvo type="autoMax"/>
              <x14:borderColor rgb="FF63C384"/>
              <x14:negativeFillColor rgb="FFFF0000"/>
              <x14:negativeBorderColor rgb="FFFF0000"/>
              <x14:axisColor rgb="FF000000"/>
            </x14:dataBar>
          </x14:cfRule>
          <xm:sqref>Z1034</xm:sqref>
        </x14:conditionalFormatting>
        <x14:conditionalFormatting xmlns:xm="http://schemas.microsoft.com/office/excel/2006/main">
          <x14:cfRule type="dataBar" id="{FD24D6CB-3E6A-4CD9-B01E-EF1B6412EF30}">
            <x14:dataBar minLength="0" maxLength="100" border="1" negativeBarBorderColorSameAsPositive="0">
              <x14:cfvo type="autoMin"/>
              <x14:cfvo type="autoMax"/>
              <x14:borderColor rgb="FF63C384"/>
              <x14:negativeFillColor rgb="FFFF0000"/>
              <x14:negativeBorderColor rgb="FFFF0000"/>
              <x14:axisColor rgb="FF000000"/>
            </x14:dataBar>
          </x14:cfRule>
          <xm:sqref>Z1035</xm:sqref>
        </x14:conditionalFormatting>
        <x14:conditionalFormatting xmlns:xm="http://schemas.microsoft.com/office/excel/2006/main">
          <x14:cfRule type="dataBar" id="{D84E4633-96F1-4D7C-A39B-42B56CEFF71E}">
            <x14:dataBar minLength="0" maxLength="100" border="1" negativeBarBorderColorSameAsPositive="0">
              <x14:cfvo type="autoMin"/>
              <x14:cfvo type="autoMax"/>
              <x14:borderColor rgb="FF63C384"/>
              <x14:negativeFillColor rgb="FFFF0000"/>
              <x14:negativeBorderColor rgb="FFFF0000"/>
              <x14:axisColor rgb="FF000000"/>
            </x14:dataBar>
          </x14:cfRule>
          <xm:sqref>Z1035</xm:sqref>
        </x14:conditionalFormatting>
        <x14:conditionalFormatting xmlns:xm="http://schemas.microsoft.com/office/excel/2006/main">
          <x14:cfRule type="dataBar" id="{C3E08F85-5ECA-4E65-B43E-2CA2A9A04B05}">
            <x14:dataBar minLength="0" maxLength="100" border="1" negativeBarBorderColorSameAsPositive="0">
              <x14:cfvo type="autoMin"/>
              <x14:cfvo type="autoMax"/>
              <x14:borderColor rgb="FF63C384"/>
              <x14:negativeFillColor rgb="FFFF0000"/>
              <x14:negativeBorderColor rgb="FFFF0000"/>
              <x14:axisColor rgb="FF000000"/>
            </x14:dataBar>
          </x14:cfRule>
          <xm:sqref>Z1036</xm:sqref>
        </x14:conditionalFormatting>
        <x14:conditionalFormatting xmlns:xm="http://schemas.microsoft.com/office/excel/2006/main">
          <x14:cfRule type="dataBar" id="{7968B726-E83C-45D1-AFCD-7FBFA562BB65}">
            <x14:dataBar minLength="0" maxLength="100" border="1" negativeBarBorderColorSameAsPositive="0">
              <x14:cfvo type="autoMin"/>
              <x14:cfvo type="autoMax"/>
              <x14:borderColor rgb="FF63C384"/>
              <x14:negativeFillColor rgb="FFFF0000"/>
              <x14:negativeBorderColor rgb="FFFF0000"/>
              <x14:axisColor rgb="FF000000"/>
            </x14:dataBar>
          </x14:cfRule>
          <xm:sqref>Z1036</xm:sqref>
        </x14:conditionalFormatting>
        <x14:conditionalFormatting xmlns:xm="http://schemas.microsoft.com/office/excel/2006/main">
          <x14:cfRule type="dataBar" id="{716E07D6-BBDB-45C5-97CD-7EA7601D420E}">
            <x14:dataBar minLength="0" maxLength="100" border="1" negativeBarBorderColorSameAsPositive="0">
              <x14:cfvo type="autoMin"/>
              <x14:cfvo type="autoMax"/>
              <x14:borderColor rgb="FF63C384"/>
              <x14:negativeFillColor rgb="FFFF0000"/>
              <x14:negativeBorderColor rgb="FFFF0000"/>
              <x14:axisColor rgb="FF000000"/>
            </x14:dataBar>
          </x14:cfRule>
          <xm:sqref>Z1036</xm:sqref>
        </x14:conditionalFormatting>
        <x14:conditionalFormatting xmlns:xm="http://schemas.microsoft.com/office/excel/2006/main">
          <x14:cfRule type="dataBar" id="{835A3BAB-F77C-4804-9AD2-79E041D57094}">
            <x14:dataBar minLength="0" maxLength="100" border="1" negativeBarBorderColorSameAsPositive="0">
              <x14:cfvo type="autoMin"/>
              <x14:cfvo type="autoMax"/>
              <x14:borderColor rgb="FF63C384"/>
              <x14:negativeFillColor rgb="FFFF0000"/>
              <x14:negativeBorderColor rgb="FFFF0000"/>
              <x14:axisColor rgb="FF000000"/>
            </x14:dataBar>
          </x14:cfRule>
          <xm:sqref>Z1036</xm:sqref>
        </x14:conditionalFormatting>
        <x14:conditionalFormatting xmlns:xm="http://schemas.microsoft.com/office/excel/2006/main">
          <x14:cfRule type="dataBar" id="{DE393614-CE81-4F55-B7A2-70A129B7178E}">
            <x14:dataBar minLength="0" maxLength="100" border="1" negativeBarBorderColorSameAsPositive="0">
              <x14:cfvo type="autoMin"/>
              <x14:cfvo type="autoMax"/>
              <x14:borderColor rgb="FF63C384"/>
              <x14:negativeFillColor rgb="FFFF0000"/>
              <x14:negativeBorderColor rgb="FFFF0000"/>
              <x14:axisColor rgb="FF000000"/>
            </x14:dataBar>
          </x14:cfRule>
          <xm:sqref>Z1037</xm:sqref>
        </x14:conditionalFormatting>
        <x14:conditionalFormatting xmlns:xm="http://schemas.microsoft.com/office/excel/2006/main">
          <x14:cfRule type="dataBar" id="{091C1475-FBFB-4381-AB6D-C821376EE052}">
            <x14:dataBar minLength="0" maxLength="100" border="1" negativeBarBorderColorSameAsPositive="0">
              <x14:cfvo type="autoMin"/>
              <x14:cfvo type="autoMax"/>
              <x14:borderColor rgb="FF63C384"/>
              <x14:negativeFillColor rgb="FFFF0000"/>
              <x14:negativeBorderColor rgb="FFFF0000"/>
              <x14:axisColor rgb="FF000000"/>
            </x14:dataBar>
          </x14:cfRule>
          <xm:sqref>Z1038:Z1039</xm:sqref>
        </x14:conditionalFormatting>
        <x14:conditionalFormatting xmlns:xm="http://schemas.microsoft.com/office/excel/2006/main">
          <x14:cfRule type="dataBar" id="{FB24BE6D-0D32-4C00-BEFB-2969D16DCADB}">
            <x14:dataBar minLength="0" maxLength="100" border="1" negativeBarBorderColorSameAsPositive="0">
              <x14:cfvo type="autoMin"/>
              <x14:cfvo type="autoMax"/>
              <x14:borderColor rgb="FF63C384"/>
              <x14:negativeFillColor rgb="FFFF0000"/>
              <x14:negativeBorderColor rgb="FFFF0000"/>
              <x14:axisColor rgb="FF000000"/>
            </x14:dataBar>
          </x14:cfRule>
          <xm:sqref>Z1038:Z1039</xm:sqref>
        </x14:conditionalFormatting>
        <x14:conditionalFormatting xmlns:xm="http://schemas.microsoft.com/office/excel/2006/main">
          <x14:cfRule type="dataBar" id="{362EE66A-600C-44A9-AA28-8B4B1B578EFD}">
            <x14:dataBar minLength="0" maxLength="100" border="1" negativeBarBorderColorSameAsPositive="0">
              <x14:cfvo type="autoMin"/>
              <x14:cfvo type="autoMax"/>
              <x14:borderColor rgb="FF63C384"/>
              <x14:negativeFillColor rgb="FFFF0000"/>
              <x14:negativeBorderColor rgb="FFFF0000"/>
              <x14:axisColor rgb="FF000000"/>
            </x14:dataBar>
          </x14:cfRule>
          <xm:sqref>Z1040</xm:sqref>
        </x14:conditionalFormatting>
        <x14:conditionalFormatting xmlns:xm="http://schemas.microsoft.com/office/excel/2006/main">
          <x14:cfRule type="dataBar" id="{E9215F58-8BE0-46F1-823C-8A1598A9847F}">
            <x14:dataBar minLength="0" maxLength="100" border="1" negativeBarBorderColorSameAsPositive="0">
              <x14:cfvo type="autoMin"/>
              <x14:cfvo type="autoMax"/>
              <x14:borderColor rgb="FF63C384"/>
              <x14:negativeFillColor rgb="FFFF0000"/>
              <x14:negativeBorderColor rgb="FFFF0000"/>
              <x14:axisColor rgb="FF000000"/>
            </x14:dataBar>
          </x14:cfRule>
          <xm:sqref>Z1040</xm:sqref>
        </x14:conditionalFormatting>
        <x14:conditionalFormatting xmlns:xm="http://schemas.microsoft.com/office/excel/2006/main">
          <x14:cfRule type="dataBar" id="{4BA1878A-55FF-40F6-8F81-3D47D4A1F17A}">
            <x14:dataBar minLength="0" maxLength="100" border="1" negativeBarBorderColorSameAsPositive="0">
              <x14:cfvo type="autoMin"/>
              <x14:cfvo type="autoMax"/>
              <x14:borderColor rgb="FF63C384"/>
              <x14:negativeFillColor rgb="FFFF0000"/>
              <x14:negativeBorderColor rgb="FFFF0000"/>
              <x14:axisColor rgb="FF000000"/>
            </x14:dataBar>
          </x14:cfRule>
          <xm:sqref>Z1042</xm:sqref>
        </x14:conditionalFormatting>
        <x14:conditionalFormatting xmlns:xm="http://schemas.microsoft.com/office/excel/2006/main">
          <x14:cfRule type="dataBar" id="{89635F67-3F80-4D9C-AB85-0F2E49FA1A21}">
            <x14:dataBar minLength="0" maxLength="100" border="1" negativeBarBorderColorSameAsPositive="0">
              <x14:cfvo type="autoMin"/>
              <x14:cfvo type="autoMax"/>
              <x14:borderColor rgb="FF63C384"/>
              <x14:negativeFillColor rgb="FFFF0000"/>
              <x14:negativeBorderColor rgb="FFFF0000"/>
              <x14:axisColor rgb="FF000000"/>
            </x14:dataBar>
          </x14:cfRule>
          <xm:sqref>Z1042</xm:sqref>
        </x14:conditionalFormatting>
        <x14:conditionalFormatting xmlns:xm="http://schemas.microsoft.com/office/excel/2006/main">
          <x14:cfRule type="dataBar" id="{AB27E462-3B0B-4D0A-9FC3-9FD098EF6B24}">
            <x14:dataBar minLength="0" maxLength="100" border="1" negativeBarBorderColorSameAsPositive="0">
              <x14:cfvo type="autoMin"/>
              <x14:cfvo type="autoMax"/>
              <x14:borderColor rgb="FF63C384"/>
              <x14:negativeFillColor rgb="FFFF0000"/>
              <x14:negativeBorderColor rgb="FFFF0000"/>
              <x14:axisColor rgb="FF000000"/>
            </x14:dataBar>
          </x14:cfRule>
          <xm:sqref>Z1042:Z1043</xm:sqref>
        </x14:conditionalFormatting>
        <x14:conditionalFormatting xmlns:xm="http://schemas.microsoft.com/office/excel/2006/main">
          <x14:cfRule type="dataBar" id="{D7339F18-0FD4-40DE-BA3C-371D11E6C143}">
            <x14:dataBar minLength="0" maxLength="100" border="1" negativeBarBorderColorSameAsPositive="0">
              <x14:cfvo type="autoMin"/>
              <x14:cfvo type="autoMax"/>
              <x14:borderColor rgb="FF63C384"/>
              <x14:negativeFillColor rgb="FFFF0000"/>
              <x14:negativeBorderColor rgb="FFFF0000"/>
              <x14:axisColor rgb="FF000000"/>
            </x14:dataBar>
          </x14:cfRule>
          <xm:sqref>Z1043:Z1044</xm:sqref>
        </x14:conditionalFormatting>
        <x14:conditionalFormatting xmlns:xm="http://schemas.microsoft.com/office/excel/2006/main">
          <x14:cfRule type="dataBar" id="{ABD7FD32-C1B9-428B-806B-F36BE6C0618D}">
            <x14:dataBar minLength="0" maxLength="100" border="1" negativeBarBorderColorSameAsPositive="0">
              <x14:cfvo type="autoMin"/>
              <x14:cfvo type="autoMax"/>
              <x14:borderColor rgb="FF63C384"/>
              <x14:negativeFillColor rgb="FFFF0000"/>
              <x14:negativeBorderColor rgb="FFFF0000"/>
              <x14:axisColor rgb="FF000000"/>
            </x14:dataBar>
          </x14:cfRule>
          <xm:sqref>Z1041</xm:sqref>
        </x14:conditionalFormatting>
        <x14:conditionalFormatting xmlns:xm="http://schemas.microsoft.com/office/excel/2006/main">
          <x14:cfRule type="dataBar" id="{AFC4207A-0E71-4C94-BE44-8DC5DFEC003D}">
            <x14:dataBar minLength="0" maxLength="100" border="1" negativeBarBorderColorSameAsPositive="0">
              <x14:cfvo type="autoMin"/>
              <x14:cfvo type="autoMax"/>
              <x14:borderColor rgb="FF63C384"/>
              <x14:negativeFillColor rgb="FFFF0000"/>
              <x14:negativeBorderColor rgb="FFFF0000"/>
              <x14:axisColor rgb="FF000000"/>
            </x14:dataBar>
          </x14:cfRule>
          <xm:sqref>Z1041</xm:sqref>
        </x14:conditionalFormatting>
        <x14:conditionalFormatting xmlns:xm="http://schemas.microsoft.com/office/excel/2006/main">
          <x14:cfRule type="dataBar" id="{A249BF67-2F36-4946-9352-02C0C31007A2}">
            <x14:dataBar minLength="0" maxLength="100" border="1" negativeBarBorderColorSameAsPositive="0">
              <x14:cfvo type="autoMin"/>
              <x14:cfvo type="autoMax"/>
              <x14:borderColor rgb="FF63C384"/>
              <x14:negativeFillColor rgb="FFFF0000"/>
              <x14:negativeBorderColor rgb="FFFF0000"/>
              <x14:axisColor rgb="FF000000"/>
            </x14:dataBar>
          </x14:cfRule>
          <xm:sqref>Z1045</xm:sqref>
        </x14:conditionalFormatting>
        <x14:conditionalFormatting xmlns:xm="http://schemas.microsoft.com/office/excel/2006/main">
          <x14:cfRule type="dataBar" id="{2F80492D-82E3-42A6-BEDD-8CA1A5AE74B4}">
            <x14:dataBar minLength="0" maxLength="100" border="1" negativeBarBorderColorSameAsPositive="0">
              <x14:cfvo type="autoMin"/>
              <x14:cfvo type="autoMax"/>
              <x14:borderColor rgb="FF63C384"/>
              <x14:negativeFillColor rgb="FFFF0000"/>
              <x14:negativeBorderColor rgb="FFFF0000"/>
              <x14:axisColor rgb="FF000000"/>
            </x14:dataBar>
          </x14:cfRule>
          <xm:sqref>Z1045</xm:sqref>
        </x14:conditionalFormatting>
        <x14:conditionalFormatting xmlns:xm="http://schemas.microsoft.com/office/excel/2006/main">
          <x14:cfRule type="dataBar" id="{F5B3F001-BA27-4450-B991-7022FC4226CE}">
            <x14:dataBar minLength="0" maxLength="100" border="1" negativeBarBorderColorSameAsPositive="0">
              <x14:cfvo type="autoMin"/>
              <x14:cfvo type="autoMax"/>
              <x14:borderColor rgb="FF63C384"/>
              <x14:negativeFillColor rgb="FFFF0000"/>
              <x14:negativeBorderColor rgb="FFFF0000"/>
              <x14:axisColor rgb="FF000000"/>
            </x14:dataBar>
          </x14:cfRule>
          <xm:sqref>Z1045</xm:sqref>
        </x14:conditionalFormatting>
        <x14:conditionalFormatting xmlns:xm="http://schemas.microsoft.com/office/excel/2006/main">
          <x14:cfRule type="dataBar" id="{36C45433-73FD-45BD-A45B-730852443C2C}">
            <x14:dataBar minLength="0" maxLength="100" border="1" negativeBarBorderColorSameAsPositive="0">
              <x14:cfvo type="autoMin"/>
              <x14:cfvo type="autoMax"/>
              <x14:borderColor rgb="FF63C384"/>
              <x14:negativeFillColor rgb="FFFF0000"/>
              <x14:negativeBorderColor rgb="FFFF0000"/>
              <x14:axisColor rgb="FF000000"/>
            </x14:dataBar>
          </x14:cfRule>
          <xm:sqref>Z1045</xm:sqref>
        </x14:conditionalFormatting>
        <x14:conditionalFormatting xmlns:xm="http://schemas.microsoft.com/office/excel/2006/main">
          <x14:cfRule type="dataBar" id="{54755D04-AB51-4B11-BBBE-C76C12E8161F}">
            <x14:dataBar minLength="0" maxLength="100" border="1" negativeBarBorderColorSameAsPositive="0">
              <x14:cfvo type="autoMin"/>
              <x14:cfvo type="autoMax"/>
              <x14:borderColor rgb="FF63C384"/>
              <x14:negativeFillColor rgb="FFFF0000"/>
              <x14:negativeBorderColor rgb="FFFF0000"/>
              <x14:axisColor rgb="FF000000"/>
            </x14:dataBar>
          </x14:cfRule>
          <xm:sqref>Z1045</xm:sqref>
        </x14:conditionalFormatting>
        <x14:conditionalFormatting xmlns:xm="http://schemas.microsoft.com/office/excel/2006/main">
          <x14:cfRule type="dataBar" id="{CA1CFDB3-DA82-4B86-B5B7-27063D6C1FEE}">
            <x14:dataBar minLength="0" maxLength="100" border="1" negativeBarBorderColorSameAsPositive="0">
              <x14:cfvo type="autoMin"/>
              <x14:cfvo type="autoMax"/>
              <x14:borderColor rgb="FF63C384"/>
              <x14:negativeFillColor rgb="FFFF0000"/>
              <x14:negativeBorderColor rgb="FFFF0000"/>
              <x14:axisColor rgb="FF000000"/>
            </x14:dataBar>
          </x14:cfRule>
          <xm:sqref>Z1045</xm:sqref>
        </x14:conditionalFormatting>
        <x14:conditionalFormatting xmlns:xm="http://schemas.microsoft.com/office/excel/2006/main">
          <x14:cfRule type="dataBar" id="{9B53A49D-258D-4CCA-BD88-BE41622F9C28}">
            <x14:dataBar minLength="0" maxLength="100" border="1" negativeBarBorderColorSameAsPositive="0">
              <x14:cfvo type="autoMin"/>
              <x14:cfvo type="autoMax"/>
              <x14:borderColor rgb="FF63C384"/>
              <x14:negativeFillColor rgb="FFFF0000"/>
              <x14:negativeBorderColor rgb="FFFF0000"/>
              <x14:axisColor rgb="FF000000"/>
            </x14:dataBar>
          </x14:cfRule>
          <xm:sqref>Z1045</xm:sqref>
        </x14:conditionalFormatting>
        <x14:conditionalFormatting xmlns:xm="http://schemas.microsoft.com/office/excel/2006/main">
          <x14:cfRule type="dataBar" id="{F219A55C-D499-4066-9A3B-7296E6D2B797}">
            <x14:dataBar minLength="0" maxLength="100" border="1" negativeBarBorderColorSameAsPositive="0">
              <x14:cfvo type="autoMin"/>
              <x14:cfvo type="autoMax"/>
              <x14:borderColor rgb="FF63C384"/>
              <x14:negativeFillColor rgb="FFFF0000"/>
              <x14:negativeBorderColor rgb="FFFF0000"/>
              <x14:axisColor rgb="FF000000"/>
            </x14:dataBar>
          </x14:cfRule>
          <xm:sqref>Z1045</xm:sqref>
        </x14:conditionalFormatting>
        <x14:conditionalFormatting xmlns:xm="http://schemas.microsoft.com/office/excel/2006/main">
          <x14:cfRule type="dataBar" id="{5D4C805B-9A84-4A87-8F68-CAE95851330B}">
            <x14:dataBar minLength="0" maxLength="100" border="1" negativeBarBorderColorSameAsPositive="0">
              <x14:cfvo type="autoMin"/>
              <x14:cfvo type="autoMax"/>
              <x14:borderColor rgb="FF63C384"/>
              <x14:negativeFillColor rgb="FFFF0000"/>
              <x14:negativeBorderColor rgb="FFFF0000"/>
              <x14:axisColor rgb="FF000000"/>
            </x14:dataBar>
          </x14:cfRule>
          <xm:sqref>Z1046:Z1048</xm:sqref>
        </x14:conditionalFormatting>
        <x14:conditionalFormatting xmlns:xm="http://schemas.microsoft.com/office/excel/2006/main">
          <x14:cfRule type="dataBar" id="{816F0A91-054D-43F7-9529-5789318FDC59}">
            <x14:dataBar minLength="0" maxLength="100" border="1" negativeBarBorderColorSameAsPositive="0">
              <x14:cfvo type="autoMin"/>
              <x14:cfvo type="autoMax"/>
              <x14:borderColor rgb="FF63C384"/>
              <x14:negativeFillColor rgb="FFFF0000"/>
              <x14:negativeBorderColor rgb="FFFF0000"/>
              <x14:axisColor rgb="FF000000"/>
            </x14:dataBar>
          </x14:cfRule>
          <xm:sqref>Z1049</xm:sqref>
        </x14:conditionalFormatting>
        <x14:conditionalFormatting xmlns:xm="http://schemas.microsoft.com/office/excel/2006/main">
          <x14:cfRule type="dataBar" id="{2722B87A-7CC6-4B56-A815-1505F7A96807}">
            <x14:dataBar minLength="0" maxLength="100" border="1" negativeBarBorderColorSameAsPositive="0">
              <x14:cfvo type="autoMin"/>
              <x14:cfvo type="autoMax"/>
              <x14:borderColor rgb="FF63C384"/>
              <x14:negativeFillColor rgb="FFFF0000"/>
              <x14:negativeBorderColor rgb="FFFF0000"/>
              <x14:axisColor rgb="FF000000"/>
            </x14:dataBar>
          </x14:cfRule>
          <xm:sqref>Z1049</xm:sqref>
        </x14:conditionalFormatting>
        <x14:conditionalFormatting xmlns:xm="http://schemas.microsoft.com/office/excel/2006/main">
          <x14:cfRule type="dataBar" id="{7F6769A5-2169-4147-A849-4C0AAABFC5F9}">
            <x14:dataBar minLength="0" maxLength="100" border="1" negativeBarBorderColorSameAsPositive="0">
              <x14:cfvo type="autoMin"/>
              <x14:cfvo type="autoMax"/>
              <x14:borderColor rgb="FF63C384"/>
              <x14:negativeFillColor rgb="FFFF0000"/>
              <x14:negativeBorderColor rgb="FFFF0000"/>
              <x14:axisColor rgb="FF000000"/>
            </x14:dataBar>
          </x14:cfRule>
          <xm:sqref>Z1049</xm:sqref>
        </x14:conditionalFormatting>
        <x14:conditionalFormatting xmlns:xm="http://schemas.microsoft.com/office/excel/2006/main">
          <x14:cfRule type="dataBar" id="{4191C7CF-7A53-4A24-A22B-AC4B06BD4BE2}">
            <x14:dataBar minLength="0" maxLength="100" border="1" negativeBarBorderColorSameAsPositive="0">
              <x14:cfvo type="autoMin"/>
              <x14:cfvo type="autoMax"/>
              <x14:borderColor rgb="FF63C384"/>
              <x14:negativeFillColor rgb="FFFF0000"/>
              <x14:negativeBorderColor rgb="FFFF0000"/>
              <x14:axisColor rgb="FF000000"/>
            </x14:dataBar>
          </x14:cfRule>
          <xm:sqref>Z1049</xm:sqref>
        </x14:conditionalFormatting>
        <x14:conditionalFormatting xmlns:xm="http://schemas.microsoft.com/office/excel/2006/main">
          <x14:cfRule type="dataBar" id="{DF6BA7DD-66B9-4D27-9F7A-A267A4C159F1}">
            <x14:dataBar minLength="0" maxLength="100" border="1" negativeBarBorderColorSameAsPositive="0">
              <x14:cfvo type="autoMin"/>
              <x14:cfvo type="autoMax"/>
              <x14:borderColor rgb="FF63C384"/>
              <x14:negativeFillColor rgb="FFFF0000"/>
              <x14:negativeBorderColor rgb="FFFF0000"/>
              <x14:axisColor rgb="FF000000"/>
            </x14:dataBar>
          </x14:cfRule>
          <xm:sqref>Z1050</xm:sqref>
        </x14:conditionalFormatting>
        <x14:conditionalFormatting xmlns:xm="http://schemas.microsoft.com/office/excel/2006/main">
          <x14:cfRule type="dataBar" id="{11A159E3-A710-4F5C-A4C9-A05DD6BE71B0}">
            <x14:dataBar minLength="0" maxLength="100" border="1" negativeBarBorderColorSameAsPositive="0">
              <x14:cfvo type="autoMin"/>
              <x14:cfvo type="autoMax"/>
              <x14:borderColor rgb="FF63C384"/>
              <x14:negativeFillColor rgb="FFFF0000"/>
              <x14:negativeBorderColor rgb="FFFF0000"/>
              <x14:axisColor rgb="FF000000"/>
            </x14:dataBar>
          </x14:cfRule>
          <xm:sqref>Z1051</xm:sqref>
        </x14:conditionalFormatting>
        <x14:conditionalFormatting xmlns:xm="http://schemas.microsoft.com/office/excel/2006/main">
          <x14:cfRule type="dataBar" id="{C4E8CB36-DD58-4FEB-A01C-A878401A6CB7}">
            <x14:dataBar minLength="0" maxLength="100" border="1" negativeBarBorderColorSameAsPositive="0">
              <x14:cfvo type="autoMin"/>
              <x14:cfvo type="autoMax"/>
              <x14:borderColor rgb="FF63C384"/>
              <x14:negativeFillColor rgb="FFFF0000"/>
              <x14:negativeBorderColor rgb="FFFF0000"/>
              <x14:axisColor rgb="FF000000"/>
            </x14:dataBar>
          </x14:cfRule>
          <xm:sqref>Z1051</xm:sqref>
        </x14:conditionalFormatting>
        <x14:conditionalFormatting xmlns:xm="http://schemas.microsoft.com/office/excel/2006/main">
          <x14:cfRule type="dataBar" id="{805FDA9E-B438-4B03-A98C-A23C5259BF2D}">
            <x14:dataBar minLength="0" maxLength="100" border="1" negativeBarBorderColorSameAsPositive="0">
              <x14:cfvo type="autoMin"/>
              <x14:cfvo type="autoMax"/>
              <x14:borderColor rgb="FF63C384"/>
              <x14:negativeFillColor rgb="FFFF0000"/>
              <x14:negativeBorderColor rgb="FFFF0000"/>
              <x14:axisColor rgb="FF000000"/>
            </x14:dataBar>
          </x14:cfRule>
          <xm:sqref>Z1051</xm:sqref>
        </x14:conditionalFormatting>
        <x14:conditionalFormatting xmlns:xm="http://schemas.microsoft.com/office/excel/2006/main">
          <x14:cfRule type="dataBar" id="{5B27C7F5-8454-46CC-955C-E72AB74881B0}">
            <x14:dataBar minLength="0" maxLength="100" border="1" negativeBarBorderColorSameAsPositive="0">
              <x14:cfvo type="autoMin"/>
              <x14:cfvo type="autoMax"/>
              <x14:borderColor rgb="FF63C384"/>
              <x14:negativeFillColor rgb="FFFF0000"/>
              <x14:negativeBorderColor rgb="FFFF0000"/>
              <x14:axisColor rgb="FF000000"/>
            </x14:dataBar>
          </x14:cfRule>
          <xm:sqref>Z1051</xm:sqref>
        </x14:conditionalFormatting>
        <x14:conditionalFormatting xmlns:xm="http://schemas.microsoft.com/office/excel/2006/main">
          <x14:cfRule type="dataBar" id="{5929203B-EABB-45DB-A03B-3C44C4995342}">
            <x14:dataBar minLength="0" maxLength="100" border="1" negativeBarBorderColorSameAsPositive="0">
              <x14:cfvo type="autoMin"/>
              <x14:cfvo type="autoMax"/>
              <x14:borderColor rgb="FF63C384"/>
              <x14:negativeFillColor rgb="FFFF0000"/>
              <x14:negativeBorderColor rgb="FFFF0000"/>
              <x14:axisColor rgb="FF000000"/>
            </x14:dataBar>
          </x14:cfRule>
          <xm:sqref>Z1052</xm:sqref>
        </x14:conditionalFormatting>
        <x14:conditionalFormatting xmlns:xm="http://schemas.microsoft.com/office/excel/2006/main">
          <x14:cfRule type="dataBar" id="{95D9094A-D32E-4A5F-B05C-BD5870D80F92}">
            <x14:dataBar minLength="0" maxLength="100" border="1" negativeBarBorderColorSameAsPositive="0">
              <x14:cfvo type="autoMin"/>
              <x14:cfvo type="autoMax"/>
              <x14:borderColor rgb="FF63C384"/>
              <x14:negativeFillColor rgb="FFFF0000"/>
              <x14:negativeBorderColor rgb="FFFF0000"/>
              <x14:axisColor rgb="FF000000"/>
            </x14:dataBar>
          </x14:cfRule>
          <xm:sqref>Z1052</xm:sqref>
        </x14:conditionalFormatting>
        <x14:conditionalFormatting xmlns:xm="http://schemas.microsoft.com/office/excel/2006/main">
          <x14:cfRule type="dataBar" id="{6D09CFBF-E73E-421B-85D8-3269EAC6A797}">
            <x14:dataBar minLength="0" maxLength="100" border="1" negativeBarBorderColorSameAsPositive="0">
              <x14:cfvo type="autoMin"/>
              <x14:cfvo type="autoMax"/>
              <x14:borderColor rgb="FF63C384"/>
              <x14:negativeFillColor rgb="FFFF0000"/>
              <x14:negativeBorderColor rgb="FFFF0000"/>
              <x14:axisColor rgb="FF000000"/>
            </x14:dataBar>
          </x14:cfRule>
          <xm:sqref>Z1053:Z1054</xm:sqref>
        </x14:conditionalFormatting>
        <x14:conditionalFormatting xmlns:xm="http://schemas.microsoft.com/office/excel/2006/main">
          <x14:cfRule type="dataBar" id="{6D720312-5D72-4F40-BC9E-16DB8E246337}">
            <x14:dataBar minLength="0" maxLength="100" border="1" negativeBarBorderColorSameAsPositive="0">
              <x14:cfvo type="autoMin"/>
              <x14:cfvo type="autoMax"/>
              <x14:borderColor rgb="FF63C384"/>
              <x14:negativeFillColor rgb="FFFF0000"/>
              <x14:negativeBorderColor rgb="FFFF0000"/>
              <x14:axisColor rgb="FF000000"/>
            </x14:dataBar>
          </x14:cfRule>
          <xm:sqref>Z1056:Z1057</xm:sqref>
        </x14:conditionalFormatting>
        <x14:conditionalFormatting xmlns:xm="http://schemas.microsoft.com/office/excel/2006/main">
          <x14:cfRule type="dataBar" id="{C50FAA9D-D22E-4F61-804E-595F667876E8}">
            <x14:dataBar minLength="0" maxLength="100" border="1" negativeBarBorderColorSameAsPositive="0">
              <x14:cfvo type="autoMin"/>
              <x14:cfvo type="autoMax"/>
              <x14:borderColor rgb="FF63C384"/>
              <x14:negativeFillColor rgb="FFFF0000"/>
              <x14:negativeBorderColor rgb="FFFF0000"/>
              <x14:axisColor rgb="FF000000"/>
            </x14:dataBar>
          </x14:cfRule>
          <xm:sqref>Z1056:Z1057</xm:sqref>
        </x14:conditionalFormatting>
        <x14:conditionalFormatting xmlns:xm="http://schemas.microsoft.com/office/excel/2006/main">
          <x14:cfRule type="dataBar" id="{9B4B9FE7-92D3-4949-A772-B42CA65932B0}">
            <x14:dataBar minLength="0" maxLength="100" border="1" negativeBarBorderColorSameAsPositive="0">
              <x14:cfvo type="autoMin"/>
              <x14:cfvo type="autoMax"/>
              <x14:borderColor rgb="FF63C384"/>
              <x14:negativeFillColor rgb="FFFF0000"/>
              <x14:negativeBorderColor rgb="FFFF0000"/>
              <x14:axisColor rgb="FF000000"/>
            </x14:dataBar>
          </x14:cfRule>
          <xm:sqref>Z1058</xm:sqref>
        </x14:conditionalFormatting>
        <x14:conditionalFormatting xmlns:xm="http://schemas.microsoft.com/office/excel/2006/main">
          <x14:cfRule type="dataBar" id="{1EE989CD-A6F9-41FD-8ACE-8E688CFB6ED4}">
            <x14:dataBar minLength="0" maxLength="100" border="1" negativeBarBorderColorSameAsPositive="0">
              <x14:cfvo type="autoMin"/>
              <x14:cfvo type="autoMax"/>
              <x14:borderColor rgb="FF63C384"/>
              <x14:negativeFillColor rgb="FFFF0000"/>
              <x14:negativeBorderColor rgb="FFFF0000"/>
              <x14:axisColor rgb="FF000000"/>
            </x14:dataBar>
          </x14:cfRule>
          <xm:sqref>Z1058</xm:sqref>
        </x14:conditionalFormatting>
        <x14:conditionalFormatting xmlns:xm="http://schemas.microsoft.com/office/excel/2006/main">
          <x14:cfRule type="dataBar" id="{8D79D965-2130-4CAC-B25A-1674D221D636}">
            <x14:dataBar minLength="0" maxLength="100" border="1" negativeBarBorderColorSameAsPositive="0">
              <x14:cfvo type="autoMin"/>
              <x14:cfvo type="autoMax"/>
              <x14:borderColor rgb="FF63C384"/>
              <x14:negativeFillColor rgb="FFFF0000"/>
              <x14:negativeBorderColor rgb="FFFF0000"/>
              <x14:axisColor rgb="FF000000"/>
            </x14:dataBar>
          </x14:cfRule>
          <xm:sqref>Z1059</xm:sqref>
        </x14:conditionalFormatting>
        <x14:conditionalFormatting xmlns:xm="http://schemas.microsoft.com/office/excel/2006/main">
          <x14:cfRule type="dataBar" id="{A931C47E-94F6-4B8C-9ED6-FDDAFA689F9C}">
            <x14:dataBar minLength="0" maxLength="100" border="1" negativeBarBorderColorSameAsPositive="0">
              <x14:cfvo type="autoMin"/>
              <x14:cfvo type="autoMax"/>
              <x14:borderColor rgb="FF63C384"/>
              <x14:negativeFillColor rgb="FFFF0000"/>
              <x14:negativeBorderColor rgb="FFFF0000"/>
              <x14:axisColor rgb="FF000000"/>
            </x14:dataBar>
          </x14:cfRule>
          <xm:sqref>Z1059</xm:sqref>
        </x14:conditionalFormatting>
        <x14:conditionalFormatting xmlns:xm="http://schemas.microsoft.com/office/excel/2006/main">
          <x14:cfRule type="dataBar" id="{606B559A-A823-441E-9A36-8C9EE30CB2C6}">
            <x14:dataBar minLength="0" maxLength="100" border="1" negativeBarBorderColorSameAsPositive="0">
              <x14:cfvo type="autoMin"/>
              <x14:cfvo type="autoMax"/>
              <x14:borderColor rgb="FF63C384"/>
              <x14:negativeFillColor rgb="FFFF0000"/>
              <x14:negativeBorderColor rgb="FFFF0000"/>
              <x14:axisColor rgb="FF000000"/>
            </x14:dataBar>
          </x14:cfRule>
          <xm:sqref>Z1060:Z1061</xm:sqref>
        </x14:conditionalFormatting>
        <x14:conditionalFormatting xmlns:xm="http://schemas.microsoft.com/office/excel/2006/main">
          <x14:cfRule type="dataBar" id="{06E48853-4E36-499C-A219-632B40652B4B}">
            <x14:dataBar minLength="0" maxLength="100" border="1" negativeBarBorderColorSameAsPositive="0">
              <x14:cfvo type="autoMin"/>
              <x14:cfvo type="autoMax"/>
              <x14:borderColor rgb="FF63C384"/>
              <x14:negativeFillColor rgb="FFFF0000"/>
              <x14:negativeBorderColor rgb="FFFF0000"/>
              <x14:axisColor rgb="FF000000"/>
            </x14:dataBar>
          </x14:cfRule>
          <xm:sqref>Z1060:Z1061</xm:sqref>
        </x14:conditionalFormatting>
        <x14:conditionalFormatting xmlns:xm="http://schemas.microsoft.com/office/excel/2006/main">
          <x14:cfRule type="dataBar" id="{88AA66CC-9C28-4B6B-8DFB-75BDB0C1467F}">
            <x14:dataBar minLength="0" maxLength="100" border="1" negativeBarBorderColorSameAsPositive="0">
              <x14:cfvo type="autoMin"/>
              <x14:cfvo type="autoMax"/>
              <x14:borderColor rgb="FF63C384"/>
              <x14:negativeFillColor rgb="FFFF0000"/>
              <x14:negativeBorderColor rgb="FFFF0000"/>
              <x14:axisColor rgb="FF000000"/>
            </x14:dataBar>
          </x14:cfRule>
          <xm:sqref>Z1060:Z1061</xm:sqref>
        </x14:conditionalFormatting>
        <x14:conditionalFormatting xmlns:xm="http://schemas.microsoft.com/office/excel/2006/main">
          <x14:cfRule type="dataBar" id="{C9CF28D0-1373-4A0B-A983-E73F270C5112}">
            <x14:dataBar minLength="0" maxLength="100" border="1" negativeBarBorderColorSameAsPositive="0">
              <x14:cfvo type="autoMin"/>
              <x14:cfvo type="autoMax"/>
              <x14:borderColor rgb="FF63C384"/>
              <x14:negativeFillColor rgb="FFFF0000"/>
              <x14:negativeBorderColor rgb="FFFF0000"/>
              <x14:axisColor rgb="FF000000"/>
            </x14:dataBar>
          </x14:cfRule>
          <xm:sqref>Z1062</xm:sqref>
        </x14:conditionalFormatting>
        <x14:conditionalFormatting xmlns:xm="http://schemas.microsoft.com/office/excel/2006/main">
          <x14:cfRule type="dataBar" id="{5C145C35-B3DA-4FCE-BA8E-15534A640278}">
            <x14:dataBar minLength="0" maxLength="100" border="1" negativeBarBorderColorSameAsPositive="0">
              <x14:cfvo type="autoMin"/>
              <x14:cfvo type="autoMax"/>
              <x14:borderColor rgb="FF63C384"/>
              <x14:negativeFillColor rgb="FFFF0000"/>
              <x14:negativeBorderColor rgb="FFFF0000"/>
              <x14:axisColor rgb="FF000000"/>
            </x14:dataBar>
          </x14:cfRule>
          <xm:sqref>Z1064</xm:sqref>
        </x14:conditionalFormatting>
        <x14:conditionalFormatting xmlns:xm="http://schemas.microsoft.com/office/excel/2006/main">
          <x14:cfRule type="dataBar" id="{14ADEB4F-032D-454B-87D0-570BDD7930BB}">
            <x14:dataBar minLength="0" maxLength="100" border="1" negativeBarBorderColorSameAsPositive="0">
              <x14:cfvo type="autoMin"/>
              <x14:cfvo type="autoMax"/>
              <x14:borderColor rgb="FF63C384"/>
              <x14:negativeFillColor rgb="FFFF0000"/>
              <x14:negativeBorderColor rgb="FFFF0000"/>
              <x14:axisColor rgb="FF000000"/>
            </x14:dataBar>
          </x14:cfRule>
          <xm:sqref>Z1065</xm:sqref>
        </x14:conditionalFormatting>
        <x14:conditionalFormatting xmlns:xm="http://schemas.microsoft.com/office/excel/2006/main">
          <x14:cfRule type="dataBar" id="{305116CA-BE7D-410A-A6F0-4A7D7C0B5772}">
            <x14:dataBar minLength="0" maxLength="100" border="1" negativeBarBorderColorSameAsPositive="0">
              <x14:cfvo type="autoMin"/>
              <x14:cfvo type="autoMax"/>
              <x14:borderColor rgb="FF63C384"/>
              <x14:negativeFillColor rgb="FFFF0000"/>
              <x14:negativeBorderColor rgb="FFFF0000"/>
              <x14:axisColor rgb="FF000000"/>
            </x14:dataBar>
          </x14:cfRule>
          <xm:sqref>Z1065</xm:sqref>
        </x14:conditionalFormatting>
        <x14:conditionalFormatting xmlns:xm="http://schemas.microsoft.com/office/excel/2006/main">
          <x14:cfRule type="dataBar" id="{634E043F-9AEC-4CDF-A54C-65F6084BD744}">
            <x14:dataBar minLength="0" maxLength="100" border="1" negativeBarBorderColorSameAsPositive="0">
              <x14:cfvo type="autoMin"/>
              <x14:cfvo type="autoMax"/>
              <x14:borderColor rgb="FF63C384"/>
              <x14:negativeFillColor rgb="FFFF0000"/>
              <x14:negativeBorderColor rgb="FFFF0000"/>
              <x14:axisColor rgb="FF000000"/>
            </x14:dataBar>
          </x14:cfRule>
          <xm:sqref>Z1066</xm:sqref>
        </x14:conditionalFormatting>
        <x14:conditionalFormatting xmlns:xm="http://schemas.microsoft.com/office/excel/2006/main">
          <x14:cfRule type="dataBar" id="{D7DA3CCE-3A51-4F64-B7ED-11D3BBC8E3CC}">
            <x14:dataBar minLength="0" maxLength="100" border="1" negativeBarBorderColorSameAsPositive="0">
              <x14:cfvo type="autoMin"/>
              <x14:cfvo type="autoMax"/>
              <x14:borderColor rgb="FF63C384"/>
              <x14:negativeFillColor rgb="FFFF0000"/>
              <x14:negativeBorderColor rgb="FFFF0000"/>
              <x14:axisColor rgb="FF000000"/>
            </x14:dataBar>
          </x14:cfRule>
          <xm:sqref>Z1067</xm:sqref>
        </x14:conditionalFormatting>
        <x14:conditionalFormatting xmlns:xm="http://schemas.microsoft.com/office/excel/2006/main">
          <x14:cfRule type="dataBar" id="{B4331C83-3678-40E2-B35E-ADDE8EFF61F4}">
            <x14:dataBar minLength="0" maxLength="100" border="1" negativeBarBorderColorSameAsPositive="0">
              <x14:cfvo type="autoMin"/>
              <x14:cfvo type="autoMax"/>
              <x14:borderColor rgb="FF63C384"/>
              <x14:negativeFillColor rgb="FFFF0000"/>
              <x14:negativeBorderColor rgb="FFFF0000"/>
              <x14:axisColor rgb="FF000000"/>
            </x14:dataBar>
          </x14:cfRule>
          <xm:sqref>Z1067</xm:sqref>
        </x14:conditionalFormatting>
        <x14:conditionalFormatting xmlns:xm="http://schemas.microsoft.com/office/excel/2006/main">
          <x14:cfRule type="dataBar" id="{B1CBDC1D-F6EC-4827-9FA7-00F22F723028}">
            <x14:dataBar minLength="0" maxLength="100" border="1" negativeBarBorderColorSameAsPositive="0">
              <x14:cfvo type="autoMin"/>
              <x14:cfvo type="autoMax"/>
              <x14:borderColor rgb="FF63C384"/>
              <x14:negativeFillColor rgb="FFFF0000"/>
              <x14:negativeBorderColor rgb="FFFF0000"/>
              <x14:axisColor rgb="FF000000"/>
            </x14:dataBar>
          </x14:cfRule>
          <xm:sqref>Z1067</xm:sqref>
        </x14:conditionalFormatting>
        <x14:conditionalFormatting xmlns:xm="http://schemas.microsoft.com/office/excel/2006/main">
          <x14:cfRule type="dataBar" id="{72634B80-0C66-4E13-96D1-0FFBA51856B3}">
            <x14:dataBar minLength="0" maxLength="100" border="1" negativeBarBorderColorSameAsPositive="0">
              <x14:cfvo type="autoMin"/>
              <x14:cfvo type="autoMax"/>
              <x14:borderColor rgb="FF63C384"/>
              <x14:negativeFillColor rgb="FFFF0000"/>
              <x14:negativeBorderColor rgb="FFFF0000"/>
              <x14:axisColor rgb="FF000000"/>
            </x14:dataBar>
          </x14:cfRule>
          <xm:sqref>Z1067</xm:sqref>
        </x14:conditionalFormatting>
        <x14:conditionalFormatting xmlns:xm="http://schemas.microsoft.com/office/excel/2006/main">
          <x14:cfRule type="dataBar" id="{17A624AC-56CA-4C4E-A3DF-CA6DDF6943C3}">
            <x14:dataBar minLength="0" maxLength="100" border="1" negativeBarBorderColorSameAsPositive="0">
              <x14:cfvo type="autoMin"/>
              <x14:cfvo type="autoMax"/>
              <x14:borderColor rgb="FF63C384"/>
              <x14:negativeFillColor rgb="FFFF0000"/>
              <x14:negativeBorderColor rgb="FFFF0000"/>
              <x14:axisColor rgb="FF000000"/>
            </x14:dataBar>
          </x14:cfRule>
          <xm:sqref>Z1068</xm:sqref>
        </x14:conditionalFormatting>
        <x14:conditionalFormatting xmlns:xm="http://schemas.microsoft.com/office/excel/2006/main">
          <x14:cfRule type="dataBar" id="{1F4DA4AB-7EBB-4716-8CE4-FA64DAB9B332}">
            <x14:dataBar minLength="0" maxLength="100" border="1" negativeBarBorderColorSameAsPositive="0">
              <x14:cfvo type="autoMin"/>
              <x14:cfvo type="autoMax"/>
              <x14:borderColor rgb="FF63C384"/>
              <x14:negativeFillColor rgb="FFFF0000"/>
              <x14:negativeBorderColor rgb="FFFF0000"/>
              <x14:axisColor rgb="FF000000"/>
            </x14:dataBar>
          </x14:cfRule>
          <xm:sqref>Z1068</xm:sqref>
        </x14:conditionalFormatting>
        <x14:conditionalFormatting xmlns:xm="http://schemas.microsoft.com/office/excel/2006/main">
          <x14:cfRule type="dataBar" id="{75F0E69E-7287-42A9-8F83-4C8F212E4880}">
            <x14:dataBar minLength="0" maxLength="100" border="1" negativeBarBorderColorSameAsPositive="0">
              <x14:cfvo type="autoMin"/>
              <x14:cfvo type="autoMax"/>
              <x14:borderColor rgb="FF63C384"/>
              <x14:negativeFillColor rgb="FFFF0000"/>
              <x14:negativeBorderColor rgb="FFFF0000"/>
              <x14:axisColor rgb="FF000000"/>
            </x14:dataBar>
          </x14:cfRule>
          <xm:sqref>Z1068</xm:sqref>
        </x14:conditionalFormatting>
        <x14:conditionalFormatting xmlns:xm="http://schemas.microsoft.com/office/excel/2006/main">
          <x14:cfRule type="dataBar" id="{9C76635D-3D88-43F0-ADD9-7D688EC568EB}">
            <x14:dataBar minLength="0" maxLength="100" border="1" negativeBarBorderColorSameAsPositive="0">
              <x14:cfvo type="autoMin"/>
              <x14:cfvo type="autoMax"/>
              <x14:borderColor rgb="FF63C384"/>
              <x14:negativeFillColor rgb="FFFF0000"/>
              <x14:negativeBorderColor rgb="FFFF0000"/>
              <x14:axisColor rgb="FF000000"/>
            </x14:dataBar>
          </x14:cfRule>
          <xm:sqref>Z1068</xm:sqref>
        </x14:conditionalFormatting>
        <x14:conditionalFormatting xmlns:xm="http://schemas.microsoft.com/office/excel/2006/main">
          <x14:cfRule type="dataBar" id="{32D14C5E-AFE7-48DC-A48C-94D18CAB57A6}">
            <x14:dataBar minLength="0" maxLength="100" border="1" negativeBarBorderColorSameAsPositive="0">
              <x14:cfvo type="autoMin"/>
              <x14:cfvo type="autoMax"/>
              <x14:borderColor rgb="FF63C384"/>
              <x14:negativeFillColor rgb="FFFF0000"/>
              <x14:negativeBorderColor rgb="FFFF0000"/>
              <x14:axisColor rgb="FF000000"/>
            </x14:dataBar>
          </x14:cfRule>
          <xm:sqref>Z1069</xm:sqref>
        </x14:conditionalFormatting>
        <x14:conditionalFormatting xmlns:xm="http://schemas.microsoft.com/office/excel/2006/main">
          <x14:cfRule type="dataBar" id="{D72FE20A-405C-4029-8A79-B84FD77A0F52}">
            <x14:dataBar minLength="0" maxLength="100" border="1" negativeBarBorderColorSameAsPositive="0">
              <x14:cfvo type="autoMin"/>
              <x14:cfvo type="autoMax"/>
              <x14:borderColor rgb="FF63C384"/>
              <x14:negativeFillColor rgb="FFFF0000"/>
              <x14:negativeBorderColor rgb="FFFF0000"/>
              <x14:axisColor rgb="FF000000"/>
            </x14:dataBar>
          </x14:cfRule>
          <xm:sqref>Z1069</xm:sqref>
        </x14:conditionalFormatting>
        <x14:conditionalFormatting xmlns:xm="http://schemas.microsoft.com/office/excel/2006/main">
          <x14:cfRule type="dataBar" id="{E9D7105A-CC71-406F-B35B-318CAA980409}">
            <x14:dataBar minLength="0" maxLength="100" border="1" negativeBarBorderColorSameAsPositive="0">
              <x14:cfvo type="autoMin"/>
              <x14:cfvo type="autoMax"/>
              <x14:borderColor rgb="FF63C384"/>
              <x14:negativeFillColor rgb="FFFF0000"/>
              <x14:negativeBorderColor rgb="FFFF0000"/>
              <x14:axisColor rgb="FF000000"/>
            </x14:dataBar>
          </x14:cfRule>
          <xm:sqref>Z1070</xm:sqref>
        </x14:conditionalFormatting>
        <x14:conditionalFormatting xmlns:xm="http://schemas.microsoft.com/office/excel/2006/main">
          <x14:cfRule type="dataBar" id="{9BB1B121-1236-49AC-B386-3D5DAFE4A34F}">
            <x14:dataBar minLength="0" maxLength="100" border="1" negativeBarBorderColorSameAsPositive="0">
              <x14:cfvo type="autoMin"/>
              <x14:cfvo type="autoMax"/>
              <x14:borderColor rgb="FF63C384"/>
              <x14:negativeFillColor rgb="FFFF0000"/>
              <x14:negativeBorderColor rgb="FFFF0000"/>
              <x14:axisColor rgb="FF000000"/>
            </x14:dataBar>
          </x14:cfRule>
          <xm:sqref>Z1071</xm:sqref>
        </x14:conditionalFormatting>
        <x14:conditionalFormatting xmlns:xm="http://schemas.microsoft.com/office/excel/2006/main">
          <x14:cfRule type="dataBar" id="{C33BFB61-467A-48B3-99FB-AD1E76DE1A91}">
            <x14:dataBar minLength="0" maxLength="100" border="1" negativeBarBorderColorSameAsPositive="0">
              <x14:cfvo type="autoMin"/>
              <x14:cfvo type="autoMax"/>
              <x14:borderColor rgb="FF63C384"/>
              <x14:negativeFillColor rgb="FFFF0000"/>
              <x14:negativeBorderColor rgb="FFFF0000"/>
              <x14:axisColor rgb="FF000000"/>
            </x14:dataBar>
          </x14:cfRule>
          <xm:sqref>Z1072</xm:sqref>
        </x14:conditionalFormatting>
        <x14:conditionalFormatting xmlns:xm="http://schemas.microsoft.com/office/excel/2006/main">
          <x14:cfRule type="dataBar" id="{7D95A8A7-2406-4E6E-9298-16BC70CF62E9}">
            <x14:dataBar minLength="0" maxLength="100" border="1" negativeBarBorderColorSameAsPositive="0">
              <x14:cfvo type="autoMin"/>
              <x14:cfvo type="autoMax"/>
              <x14:borderColor rgb="FF63C384"/>
              <x14:negativeFillColor rgb="FFFF0000"/>
              <x14:negativeBorderColor rgb="FFFF0000"/>
              <x14:axisColor rgb="FF000000"/>
            </x14:dataBar>
          </x14:cfRule>
          <xm:sqref>Z1072</xm:sqref>
        </x14:conditionalFormatting>
        <x14:conditionalFormatting xmlns:xm="http://schemas.microsoft.com/office/excel/2006/main">
          <x14:cfRule type="dataBar" id="{C45DEDBE-ED69-4152-975A-FEE524BB7FC1}">
            <x14:dataBar minLength="0" maxLength="100" border="1" negativeBarBorderColorSameAsPositive="0">
              <x14:cfvo type="autoMin"/>
              <x14:cfvo type="autoMax"/>
              <x14:borderColor rgb="FF63C384"/>
              <x14:negativeFillColor rgb="FFFF0000"/>
              <x14:negativeBorderColor rgb="FFFF0000"/>
              <x14:axisColor rgb="FF000000"/>
            </x14:dataBar>
          </x14:cfRule>
          <xm:sqref>Z1072</xm:sqref>
        </x14:conditionalFormatting>
        <x14:conditionalFormatting xmlns:xm="http://schemas.microsoft.com/office/excel/2006/main">
          <x14:cfRule type="dataBar" id="{93E6B03D-D8F2-46CB-87D0-29A8AC1E36F5}">
            <x14:dataBar minLength="0" maxLength="100" border="1" negativeBarBorderColorSameAsPositive="0">
              <x14:cfvo type="autoMin"/>
              <x14:cfvo type="autoMax"/>
              <x14:borderColor rgb="FF63C384"/>
              <x14:negativeFillColor rgb="FFFF0000"/>
              <x14:negativeBorderColor rgb="FFFF0000"/>
              <x14:axisColor rgb="FF000000"/>
            </x14:dataBar>
          </x14:cfRule>
          <xm:sqref>Z1072</xm:sqref>
        </x14:conditionalFormatting>
        <x14:conditionalFormatting xmlns:xm="http://schemas.microsoft.com/office/excel/2006/main">
          <x14:cfRule type="dataBar" id="{EE04F6CF-E8CB-40E1-A9D0-727EE1132A33}">
            <x14:dataBar minLength="0" maxLength="100" border="1" negativeBarBorderColorSameAsPositive="0">
              <x14:cfvo type="autoMin"/>
              <x14:cfvo type="autoMax"/>
              <x14:borderColor rgb="FF63C384"/>
              <x14:negativeFillColor rgb="FFFF0000"/>
              <x14:negativeBorderColor rgb="FFFF0000"/>
              <x14:axisColor rgb="FF000000"/>
            </x14:dataBar>
          </x14:cfRule>
          <xm:sqref>Z1073</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pageSetUpPr fitToPage="1"/>
  </sheetPr>
  <dimension ref="A1:AD418"/>
  <sheetViews>
    <sheetView zoomScale="115" zoomScaleNormal="115" workbookViewId="0">
      <pane ySplit="1" topLeftCell="A278" activePane="bottomLeft" state="frozen"/>
      <selection activeCell="H1" sqref="H1"/>
      <selection pane="bottomLeft" activeCell="O6" sqref="O6"/>
    </sheetView>
  </sheetViews>
  <sheetFormatPr baseColWidth="10" defaultRowHeight="15" x14ac:dyDescent="0.25"/>
  <cols>
    <col min="1" max="1" width="5.85546875" customWidth="1"/>
    <col min="2" max="3" width="5.85546875" style="53" customWidth="1"/>
    <col min="4" max="4" width="18" style="9" customWidth="1"/>
    <col min="5" max="5" width="5.85546875" hidden="1" customWidth="1"/>
    <col min="6" max="6" width="12" customWidth="1"/>
    <col min="7" max="7" width="16.5703125" customWidth="1"/>
    <col min="8" max="8" width="11.42578125" customWidth="1"/>
    <col min="9" max="9" width="11.5703125" customWidth="1"/>
    <col min="10" max="10" width="11.42578125" customWidth="1"/>
    <col min="11" max="11" width="11.5703125" style="16"/>
    <col min="12" max="12" width="32.42578125" style="16" customWidth="1"/>
    <col min="13" max="13" width="11.42578125" style="16" customWidth="1"/>
    <col min="15" max="15" width="11" style="36"/>
    <col min="16" max="16" width="11" style="51"/>
    <col min="17" max="17" width="11" style="27"/>
    <col min="18" max="18" width="11.5703125" style="31" customWidth="1"/>
    <col min="19" max="19" width="11.5703125" style="31"/>
    <col min="20" max="20" width="11.5703125" style="33"/>
    <col min="21" max="21" width="11.5703125" style="29" customWidth="1"/>
    <col min="22" max="22" width="11.5703125" style="29"/>
    <col min="23" max="23" width="11.5703125" style="35"/>
    <col min="24" max="25" width="11" style="27"/>
    <col min="26" max="26" width="12.140625" style="58" bestFit="1" customWidth="1"/>
    <col min="27" max="27" width="9.42578125" style="27" customWidth="1"/>
  </cols>
  <sheetData>
    <row r="1" spans="1:28" s="2" customFormat="1" x14ac:dyDescent="0.25">
      <c r="A1" s="2" t="s">
        <v>231</v>
      </c>
      <c r="B1" s="2" t="s">
        <v>47</v>
      </c>
      <c r="C1" s="2" t="s">
        <v>681</v>
      </c>
      <c r="D1" s="8" t="s">
        <v>0</v>
      </c>
      <c r="E1" s="2" t="s">
        <v>6</v>
      </c>
      <c r="F1" s="2" t="s">
        <v>7</v>
      </c>
      <c r="G1" s="2" t="s">
        <v>616</v>
      </c>
      <c r="H1" s="2" t="s">
        <v>1</v>
      </c>
      <c r="I1" s="2" t="s">
        <v>152</v>
      </c>
      <c r="J1" s="2" t="s">
        <v>1</v>
      </c>
      <c r="K1" s="15" t="s">
        <v>180</v>
      </c>
      <c r="L1" s="15" t="s">
        <v>682</v>
      </c>
      <c r="M1" s="15" t="s">
        <v>540</v>
      </c>
      <c r="N1" s="2" t="s">
        <v>177</v>
      </c>
      <c r="O1" s="11" t="s">
        <v>219</v>
      </c>
      <c r="P1" s="52" t="s">
        <v>36</v>
      </c>
      <c r="Q1" s="26" t="s">
        <v>9</v>
      </c>
      <c r="R1" s="30" t="s">
        <v>25</v>
      </c>
      <c r="S1" s="30" t="s">
        <v>216</v>
      </c>
      <c r="T1" s="32" t="s">
        <v>217</v>
      </c>
      <c r="U1" s="28" t="s">
        <v>419</v>
      </c>
      <c r="V1" s="28" t="s">
        <v>218</v>
      </c>
      <c r="W1" s="34" t="s">
        <v>46</v>
      </c>
      <c r="X1" s="26" t="s">
        <v>45</v>
      </c>
      <c r="Y1" s="26" t="s">
        <v>211</v>
      </c>
      <c r="Z1" s="57" t="s">
        <v>215</v>
      </c>
      <c r="AA1" s="26" t="s">
        <v>214</v>
      </c>
      <c r="AB1" s="2" t="s">
        <v>388</v>
      </c>
    </row>
    <row r="2" spans="1:28" x14ac:dyDescent="0.25">
      <c r="A2">
        <v>1</v>
      </c>
      <c r="D2" s="6" t="s">
        <v>10</v>
      </c>
      <c r="E2" s="1">
        <v>42144</v>
      </c>
      <c r="F2" s="1">
        <v>42145</v>
      </c>
      <c r="G2" s="1" t="str">
        <f>CONCATENATE(H2,": ",J2)</f>
        <v>A.P. Handelsges.m.b.H. - Amerlingstraße 13 - 1060 Wien: Haworth Comforto 62 Drehstuhl</v>
      </c>
      <c r="H2" s="1" t="s">
        <v>61</v>
      </c>
      <c r="I2" s="1"/>
      <c r="J2" t="s">
        <v>11</v>
      </c>
      <c r="K2" s="16">
        <v>5</v>
      </c>
      <c r="N2" t="b">
        <f t="shared" ref="N2:N33" si="0">(IF(AND(K2&lt;&gt;"",ABS(T2)&gt;400),TRUE,FALSE))</f>
        <v>1</v>
      </c>
      <c r="O2" s="36">
        <v>600</v>
      </c>
      <c r="P2" s="51">
        <v>1</v>
      </c>
      <c r="Q2" s="27">
        <v>20</v>
      </c>
      <c r="R2" s="31">
        <f>O2*Q2/100</f>
        <v>120</v>
      </c>
      <c r="S2" s="31">
        <f t="shared" ref="S2:S9" si="1">P2*R2</f>
        <v>120</v>
      </c>
      <c r="T2" s="33">
        <f t="shared" ref="T2:T33" si="2">O2*P2</f>
        <v>600</v>
      </c>
      <c r="U2" s="29">
        <f t="shared" ref="U2:U24" si="3">O2+R2</f>
        <v>720</v>
      </c>
      <c r="V2" s="29">
        <f t="shared" ref="V2:V24" si="4">T2+S2</f>
        <v>720</v>
      </c>
      <c r="W2" s="35">
        <f t="shared" ref="W2:W33" si="5">voranmeldefrist_vierteljaehrlich(F2)</f>
        <v>42231</v>
      </c>
      <c r="Z2" s="58">
        <f t="shared" ref="Z2:Z33" si="6">IF(N2=TRUE,T2/K2,T2)</f>
        <v>120</v>
      </c>
      <c r="AB2" t="b">
        <f t="shared" ref="AB2:AB33" si="7">IF(AND(Y2&gt;0,Q2=Y2),TRUE,FALSE)</f>
        <v>0</v>
      </c>
    </row>
    <row r="3" spans="1:28" x14ac:dyDescent="0.25">
      <c r="A3">
        <v>2</v>
      </c>
      <c r="D3" s="9">
        <v>9187273344</v>
      </c>
      <c r="E3" s="1">
        <v>42150</v>
      </c>
      <c r="F3" s="1">
        <v>42149</v>
      </c>
      <c r="G3" s="1" t="str">
        <f t="shared" ref="G3:G66" si="8">CONCATENATE(H3,": ",J3)</f>
        <v>Vistaprint B.V., Hudsonweg 8, 5928 LW Venlo, Niederlande: Visitenkarten extradick</v>
      </c>
      <c r="H3" t="s">
        <v>37</v>
      </c>
      <c r="I3" s="10" t="s">
        <v>153</v>
      </c>
      <c r="J3" t="s">
        <v>8</v>
      </c>
      <c r="N3" t="b">
        <f t="shared" si="0"/>
        <v>0</v>
      </c>
      <c r="O3" s="36">
        <v>34.97</v>
      </c>
      <c r="P3" s="51">
        <v>1</v>
      </c>
      <c r="Q3" s="27">
        <v>20</v>
      </c>
      <c r="R3" s="31">
        <f>O3*Q3/100</f>
        <v>6.9939999999999998</v>
      </c>
      <c r="S3" s="31">
        <f t="shared" si="1"/>
        <v>6.9939999999999998</v>
      </c>
      <c r="T3" s="33">
        <f t="shared" si="2"/>
        <v>34.97</v>
      </c>
      <c r="U3" s="29">
        <f t="shared" si="3"/>
        <v>41.963999999999999</v>
      </c>
      <c r="V3" s="29">
        <f t="shared" si="4"/>
        <v>41.963999999999999</v>
      </c>
      <c r="W3" s="35">
        <f t="shared" si="5"/>
        <v>42231</v>
      </c>
      <c r="Z3" s="58">
        <f t="shared" si="6"/>
        <v>34.97</v>
      </c>
      <c r="AB3" t="b">
        <f t="shared" si="7"/>
        <v>0</v>
      </c>
    </row>
    <row r="4" spans="1:28" x14ac:dyDescent="0.25">
      <c r="A4">
        <v>3</v>
      </c>
      <c r="D4" s="9" t="s">
        <v>18</v>
      </c>
      <c r="E4" s="1">
        <v>42163</v>
      </c>
      <c r="F4" s="1">
        <v>42165</v>
      </c>
      <c r="G4" s="1" t="str">
        <f t="shared" si="8"/>
        <v>Hetzner Online AG, Industriestr. 25, 91710 Gunzenhausen: EQ4 Server #50605 30TB 188.40.75.200, 188.40.75.242</v>
      </c>
      <c r="H4" t="s">
        <v>42</v>
      </c>
      <c r="I4" s="10" t="s">
        <v>154</v>
      </c>
      <c r="J4" t="s">
        <v>19</v>
      </c>
      <c r="N4" t="b">
        <f t="shared" si="0"/>
        <v>0</v>
      </c>
      <c r="O4" s="36">
        <v>42.02</v>
      </c>
      <c r="P4" s="51">
        <v>1</v>
      </c>
      <c r="Q4" s="27">
        <v>20</v>
      </c>
      <c r="R4" s="31">
        <f>O4*Q4/100</f>
        <v>8.4040000000000017</v>
      </c>
      <c r="S4" s="31">
        <f t="shared" si="1"/>
        <v>8.4040000000000017</v>
      </c>
      <c r="T4" s="33">
        <f t="shared" si="2"/>
        <v>42.02</v>
      </c>
      <c r="U4" s="29">
        <f t="shared" si="3"/>
        <v>50.424000000000007</v>
      </c>
      <c r="V4" s="29">
        <f t="shared" si="4"/>
        <v>50.424000000000007</v>
      </c>
      <c r="W4" s="35">
        <f t="shared" si="5"/>
        <v>42231</v>
      </c>
      <c r="Z4" s="58">
        <f t="shared" si="6"/>
        <v>42.02</v>
      </c>
      <c r="AB4" t="b">
        <f t="shared" si="7"/>
        <v>0</v>
      </c>
    </row>
    <row r="5" spans="1:28" x14ac:dyDescent="0.25">
      <c r="A5">
        <v>4</v>
      </c>
      <c r="D5" s="9">
        <v>220306</v>
      </c>
      <c r="E5" s="1">
        <v>42179</v>
      </c>
      <c r="F5" s="1">
        <v>42179</v>
      </c>
      <c r="G5" s="1" t="str">
        <f t="shared" si="8"/>
        <v>Florianihof Inh. Markus Rühl, Florianigasse 45, 1080 Wien: Arbeitsessen</v>
      </c>
      <c r="H5" t="s">
        <v>28</v>
      </c>
      <c r="J5" t="s">
        <v>29</v>
      </c>
      <c r="N5" t="b">
        <f t="shared" si="0"/>
        <v>0</v>
      </c>
      <c r="O5" s="36">
        <f>6.36+1.33</f>
        <v>7.69</v>
      </c>
      <c r="P5" s="51">
        <v>0.5</v>
      </c>
      <c r="Q5" s="27" t="s">
        <v>14</v>
      </c>
      <c r="R5" s="31">
        <f>0.64+0.27</f>
        <v>0.91</v>
      </c>
      <c r="S5" s="31">
        <f t="shared" si="1"/>
        <v>0.45500000000000002</v>
      </c>
      <c r="T5" s="33">
        <f t="shared" si="2"/>
        <v>3.8450000000000002</v>
      </c>
      <c r="U5" s="29">
        <f t="shared" si="3"/>
        <v>8.6</v>
      </c>
      <c r="V5" s="29">
        <f t="shared" si="4"/>
        <v>4.3</v>
      </c>
      <c r="W5" s="35">
        <f t="shared" si="5"/>
        <v>42231</v>
      </c>
      <c r="Z5" s="58">
        <f t="shared" si="6"/>
        <v>3.8450000000000002</v>
      </c>
      <c r="AB5" t="b">
        <f t="shared" si="7"/>
        <v>0</v>
      </c>
    </row>
    <row r="6" spans="1:28" x14ac:dyDescent="0.25">
      <c r="A6">
        <v>5</v>
      </c>
      <c r="D6" s="9">
        <v>693107544</v>
      </c>
      <c r="E6" s="1">
        <v>42179</v>
      </c>
      <c r="F6" s="1">
        <v>42188</v>
      </c>
      <c r="G6" s="1" t="str">
        <f t="shared" si="8"/>
        <v>Hutchison Drei Austria GmbH, Brünner Straße 52, 1210 Wien, Österreich: Rufnummer 0660 534 59 59</v>
      </c>
      <c r="H6" t="s">
        <v>34</v>
      </c>
      <c r="I6" t="s">
        <v>184</v>
      </c>
      <c r="J6" t="s">
        <v>35</v>
      </c>
      <c r="N6" t="b">
        <f t="shared" si="0"/>
        <v>0</v>
      </c>
      <c r="O6" s="36">
        <v>15</v>
      </c>
      <c r="P6" s="51">
        <v>0.6</v>
      </c>
      <c r="Q6" s="27">
        <v>20</v>
      </c>
      <c r="R6" s="31">
        <f>O6*Q6/100</f>
        <v>3</v>
      </c>
      <c r="S6" s="31">
        <f t="shared" si="1"/>
        <v>1.7999999999999998</v>
      </c>
      <c r="T6" s="33">
        <f t="shared" si="2"/>
        <v>9</v>
      </c>
      <c r="U6" s="29">
        <f t="shared" si="3"/>
        <v>18</v>
      </c>
      <c r="V6" s="29">
        <f t="shared" si="4"/>
        <v>10.8</v>
      </c>
      <c r="W6" s="35">
        <f t="shared" si="5"/>
        <v>42323</v>
      </c>
      <c r="Z6" s="58">
        <f t="shared" si="6"/>
        <v>9</v>
      </c>
      <c r="AB6" t="b">
        <f t="shared" si="7"/>
        <v>0</v>
      </c>
    </row>
    <row r="7" spans="1:28" x14ac:dyDescent="0.25">
      <c r="A7">
        <v>6</v>
      </c>
      <c r="D7" s="9" t="s">
        <v>31</v>
      </c>
      <c r="E7" s="1">
        <v>42181</v>
      </c>
      <c r="F7" s="1">
        <v>42183</v>
      </c>
      <c r="G7" s="1" t="str">
        <f t="shared" si="8"/>
        <v>easyname GmbH, Fernkorngasse 10/3/501, 1110 Wien: Domain: Fiber-Wire</v>
      </c>
      <c r="H7" t="s">
        <v>33</v>
      </c>
      <c r="I7" t="s">
        <v>187</v>
      </c>
      <c r="J7" t="s">
        <v>32</v>
      </c>
      <c r="N7" t="b">
        <f t="shared" si="0"/>
        <v>0</v>
      </c>
      <c r="O7" s="36">
        <v>12.42</v>
      </c>
      <c r="P7" s="51">
        <v>1</v>
      </c>
      <c r="Q7" s="27">
        <v>20</v>
      </c>
      <c r="R7" s="31">
        <f>O7*Q7/100</f>
        <v>2.484</v>
      </c>
      <c r="S7" s="31">
        <f t="shared" si="1"/>
        <v>2.484</v>
      </c>
      <c r="T7" s="33">
        <f t="shared" si="2"/>
        <v>12.42</v>
      </c>
      <c r="U7" s="29">
        <f t="shared" si="3"/>
        <v>14.904</v>
      </c>
      <c r="V7" s="29">
        <f t="shared" si="4"/>
        <v>14.904</v>
      </c>
      <c r="W7" s="35">
        <f t="shared" si="5"/>
        <v>42231</v>
      </c>
      <c r="Z7" s="58">
        <f t="shared" si="6"/>
        <v>12.42</v>
      </c>
      <c r="AB7" t="b">
        <f t="shared" si="7"/>
        <v>0</v>
      </c>
    </row>
    <row r="8" spans="1:28" x14ac:dyDescent="0.25">
      <c r="A8">
        <v>7</v>
      </c>
      <c r="D8" s="9">
        <v>4756070715</v>
      </c>
      <c r="E8" s="1">
        <v>42186</v>
      </c>
      <c r="F8" s="1">
        <v>42177</v>
      </c>
      <c r="G8" s="1" t="str">
        <f t="shared" si="8"/>
        <v>IMV Immobilien Management GmbH: Vorschreibung 7/2015</v>
      </c>
      <c r="H8" t="s">
        <v>24</v>
      </c>
      <c r="J8" t="s">
        <v>23</v>
      </c>
      <c r="N8" t="b">
        <f t="shared" si="0"/>
        <v>0</v>
      </c>
      <c r="O8" s="36">
        <v>785.46</v>
      </c>
      <c r="P8" s="51">
        <f>Arbeitszimmer!$B$3</f>
        <v>0.27320378419841473</v>
      </c>
      <c r="Q8" s="27">
        <v>10</v>
      </c>
      <c r="R8" s="31">
        <f>O8*Q8/100</f>
        <v>78.546000000000006</v>
      </c>
      <c r="S8" s="31">
        <f t="shared" si="1"/>
        <v>21.459064433648685</v>
      </c>
      <c r="T8" s="33">
        <f t="shared" si="2"/>
        <v>214.59064433648686</v>
      </c>
      <c r="U8" s="29">
        <f t="shared" si="3"/>
        <v>864.00600000000009</v>
      </c>
      <c r="V8" s="29">
        <f t="shared" si="4"/>
        <v>236.04970877013554</v>
      </c>
      <c r="W8" s="35">
        <f t="shared" si="5"/>
        <v>42231</v>
      </c>
      <c r="Z8" s="58">
        <f t="shared" si="6"/>
        <v>214.59064433648686</v>
      </c>
      <c r="AB8" t="b">
        <f t="shared" si="7"/>
        <v>0</v>
      </c>
    </row>
    <row r="9" spans="1:28" x14ac:dyDescent="0.25">
      <c r="A9">
        <v>8</v>
      </c>
      <c r="D9" s="9" t="s">
        <v>39</v>
      </c>
      <c r="E9" s="1">
        <v>42188</v>
      </c>
      <c r="F9" s="1">
        <v>42188</v>
      </c>
      <c r="G9" s="1" t="str">
        <f t="shared" si="8"/>
        <v>redcoon GmbH, Bösendorferstraße 9, 1010 Wien: WD Red 3TB WD30EFRX - Festplatte, 64 MB</v>
      </c>
      <c r="H9" t="s">
        <v>62</v>
      </c>
      <c r="J9" t="s">
        <v>40</v>
      </c>
      <c r="N9" t="b">
        <f t="shared" si="0"/>
        <v>0</v>
      </c>
      <c r="O9" s="36">
        <v>100</v>
      </c>
      <c r="P9" s="51">
        <v>1</v>
      </c>
      <c r="Q9" s="27">
        <v>20</v>
      </c>
      <c r="R9" s="31">
        <f>O9*Q9/100</f>
        <v>20</v>
      </c>
      <c r="S9" s="31">
        <f t="shared" si="1"/>
        <v>20</v>
      </c>
      <c r="T9" s="33">
        <f t="shared" si="2"/>
        <v>100</v>
      </c>
      <c r="U9" s="29">
        <f t="shared" si="3"/>
        <v>120</v>
      </c>
      <c r="V9" s="29">
        <f t="shared" si="4"/>
        <v>120</v>
      </c>
      <c r="W9" s="35">
        <f t="shared" si="5"/>
        <v>42323</v>
      </c>
      <c r="Z9" s="58">
        <f t="shared" si="6"/>
        <v>100</v>
      </c>
      <c r="AB9" t="b">
        <f t="shared" si="7"/>
        <v>0</v>
      </c>
    </row>
    <row r="10" spans="1:28" x14ac:dyDescent="0.25">
      <c r="A10">
        <v>9</v>
      </c>
      <c r="D10" s="9">
        <v>9190762692</v>
      </c>
      <c r="E10" s="1">
        <v>42190</v>
      </c>
      <c r="F10" s="1">
        <v>42187</v>
      </c>
      <c r="G10" s="1" t="str">
        <f t="shared" si="8"/>
        <v>Vistaprint B.V., Hudsonweg 8, 5928 LW Venlo, Niederlande: Visitenkarten 2x100</v>
      </c>
      <c r="H10" t="s">
        <v>37</v>
      </c>
      <c r="I10" s="10" t="s">
        <v>153</v>
      </c>
      <c r="J10" t="s">
        <v>38</v>
      </c>
      <c r="N10" t="b">
        <f t="shared" si="0"/>
        <v>0</v>
      </c>
      <c r="O10" s="36">
        <v>20.7</v>
      </c>
      <c r="P10" s="51">
        <v>1</v>
      </c>
      <c r="Q10" s="27">
        <v>20</v>
      </c>
      <c r="R10" s="31">
        <v>4.16</v>
      </c>
      <c r="S10" s="31">
        <v>4.16</v>
      </c>
      <c r="T10" s="33">
        <f t="shared" si="2"/>
        <v>20.7</v>
      </c>
      <c r="U10" s="29">
        <f t="shared" si="3"/>
        <v>24.86</v>
      </c>
      <c r="V10" s="29">
        <f t="shared" si="4"/>
        <v>24.86</v>
      </c>
      <c r="W10" s="35">
        <f t="shared" si="5"/>
        <v>42323</v>
      </c>
      <c r="Z10" s="58">
        <f t="shared" si="6"/>
        <v>20.7</v>
      </c>
      <c r="AB10" t="b">
        <f t="shared" si="7"/>
        <v>0</v>
      </c>
    </row>
    <row r="11" spans="1:28" x14ac:dyDescent="0.25">
      <c r="A11">
        <v>10</v>
      </c>
      <c r="D11" s="9">
        <v>13224079</v>
      </c>
      <c r="E11" s="1">
        <v>42192</v>
      </c>
      <c r="F11" s="1">
        <v>42191</v>
      </c>
      <c r="G11" s="1" t="str">
        <f t="shared" si="8"/>
        <v>Primus Office products Handelsges.mb.H &amp; Co KG FN210677w - ATU52268004, Margaretengürtel 44, 1050 Wien: TOPH-C4127X.RX + Versand</v>
      </c>
      <c r="H11" t="s">
        <v>43</v>
      </c>
      <c r="J11" t="s">
        <v>44</v>
      </c>
      <c r="N11" t="b">
        <f t="shared" si="0"/>
        <v>0</v>
      </c>
      <c r="O11" s="36">
        <v>77</v>
      </c>
      <c r="P11" s="51">
        <v>1</v>
      </c>
      <c r="Q11" s="27">
        <v>20</v>
      </c>
      <c r="R11" s="31">
        <f t="shared" ref="R11:R22" si="9">O11*Q11/100</f>
        <v>15.4</v>
      </c>
      <c r="S11" s="31">
        <f t="shared" ref="S11:S52" si="10">P11*R11</f>
        <v>15.4</v>
      </c>
      <c r="T11" s="33">
        <f t="shared" si="2"/>
        <v>77</v>
      </c>
      <c r="U11" s="29">
        <f t="shared" si="3"/>
        <v>92.4</v>
      </c>
      <c r="V11" s="29">
        <f t="shared" si="4"/>
        <v>92.4</v>
      </c>
      <c r="W11" s="35">
        <f t="shared" si="5"/>
        <v>42323</v>
      </c>
      <c r="Z11" s="58">
        <f t="shared" si="6"/>
        <v>77</v>
      </c>
      <c r="AB11" t="b">
        <f t="shared" si="7"/>
        <v>0</v>
      </c>
    </row>
    <row r="12" spans="1:28" x14ac:dyDescent="0.25">
      <c r="A12">
        <v>11</v>
      </c>
      <c r="D12" s="9" t="s">
        <v>41</v>
      </c>
      <c r="E12" s="1">
        <v>42193</v>
      </c>
      <c r="F12" s="1">
        <v>42195</v>
      </c>
      <c r="G12" s="1" t="str">
        <f t="shared" si="8"/>
        <v>Hetzner Online AG, Industriestr. 25, 91710 Gunzenhausen: EQ4 Server #50605 30TB 188.40.75.200, 188.40.75.242</v>
      </c>
      <c r="H12" t="s">
        <v>42</v>
      </c>
      <c r="I12" s="10" t="s">
        <v>154</v>
      </c>
      <c r="J12" t="s">
        <v>19</v>
      </c>
      <c r="N12" t="b">
        <f t="shared" si="0"/>
        <v>0</v>
      </c>
      <c r="O12" s="36">
        <v>42.02</v>
      </c>
      <c r="P12" s="51">
        <v>1</v>
      </c>
      <c r="Q12" s="27">
        <v>20</v>
      </c>
      <c r="R12" s="31">
        <f t="shared" si="9"/>
        <v>8.4040000000000017</v>
      </c>
      <c r="S12" s="31">
        <f t="shared" si="10"/>
        <v>8.4040000000000017</v>
      </c>
      <c r="T12" s="33">
        <f t="shared" si="2"/>
        <v>42.02</v>
      </c>
      <c r="U12" s="29">
        <f t="shared" si="3"/>
        <v>50.424000000000007</v>
      </c>
      <c r="V12" s="29">
        <f t="shared" si="4"/>
        <v>50.424000000000007</v>
      </c>
      <c r="W12" s="35">
        <f t="shared" si="5"/>
        <v>42323</v>
      </c>
      <c r="Z12" s="58">
        <f t="shared" si="6"/>
        <v>42.02</v>
      </c>
      <c r="AB12" t="b">
        <f t="shared" si="7"/>
        <v>0</v>
      </c>
    </row>
    <row r="13" spans="1:28" x14ac:dyDescent="0.25">
      <c r="A13">
        <v>12</v>
      </c>
      <c r="D13" s="9" t="s">
        <v>56</v>
      </c>
      <c r="E13" s="1">
        <v>42186</v>
      </c>
      <c r="F13" s="1">
        <v>42200</v>
      </c>
      <c r="G13" s="1" t="str">
        <f t="shared" si="8"/>
        <v>VERBUND AG, Postfach 8400, 1011 Wien, Österreich: Strom 1.7.-30.9.</v>
      </c>
      <c r="H13" t="s">
        <v>57</v>
      </c>
      <c r="J13" t="s">
        <v>55</v>
      </c>
      <c r="N13" t="b">
        <f t="shared" si="0"/>
        <v>0</v>
      </c>
      <c r="O13" s="36">
        <v>120.83</v>
      </c>
      <c r="P13" s="51">
        <f>Arbeitszimmer!$B$3</f>
        <v>0.27320378419841473</v>
      </c>
      <c r="Q13" s="27">
        <v>20</v>
      </c>
      <c r="R13" s="31">
        <f t="shared" si="9"/>
        <v>24.166</v>
      </c>
      <c r="S13" s="31">
        <f t="shared" si="10"/>
        <v>6.6022426489388906</v>
      </c>
      <c r="T13" s="33">
        <f t="shared" si="2"/>
        <v>33.011213244694453</v>
      </c>
      <c r="U13" s="29">
        <f t="shared" si="3"/>
        <v>144.99600000000001</v>
      </c>
      <c r="V13" s="29">
        <f t="shared" si="4"/>
        <v>39.613455893633343</v>
      </c>
      <c r="W13" s="35">
        <f t="shared" si="5"/>
        <v>42323</v>
      </c>
      <c r="Z13" s="58">
        <f t="shared" si="6"/>
        <v>33.011213244694453</v>
      </c>
      <c r="AB13" t="b">
        <f t="shared" si="7"/>
        <v>0</v>
      </c>
    </row>
    <row r="14" spans="1:28" x14ac:dyDescent="0.25">
      <c r="A14">
        <v>13</v>
      </c>
      <c r="D14" s="6" t="s">
        <v>292</v>
      </c>
      <c r="E14" s="1">
        <v>42186</v>
      </c>
      <c r="F14" s="1">
        <v>42200</v>
      </c>
      <c r="G14" s="1" t="str">
        <f t="shared" si="8"/>
        <v>MONTANA Energie-Handel AT GmbH: Teilzahlungsbetrag Gas 1.7.-30.9. 11284276</v>
      </c>
      <c r="H14" t="s">
        <v>58</v>
      </c>
      <c r="J14" t="s">
        <v>118</v>
      </c>
      <c r="N14" t="b">
        <f t="shared" si="0"/>
        <v>0</v>
      </c>
      <c r="O14" s="36">
        <v>48.33</v>
      </c>
      <c r="P14" s="51">
        <f>Arbeitszimmer!$B$3</f>
        <v>0.27320378419841473</v>
      </c>
      <c r="Q14" s="27">
        <v>20</v>
      </c>
      <c r="R14" s="31">
        <f t="shared" si="9"/>
        <v>9.6659999999999986</v>
      </c>
      <c r="S14" s="31">
        <f t="shared" si="10"/>
        <v>2.6407877780618763</v>
      </c>
      <c r="T14" s="33">
        <f t="shared" si="2"/>
        <v>13.203938890309384</v>
      </c>
      <c r="U14" s="29">
        <f t="shared" si="3"/>
        <v>57.995999999999995</v>
      </c>
      <c r="V14" s="29">
        <f t="shared" si="4"/>
        <v>15.84472666837126</v>
      </c>
      <c r="W14" s="35">
        <f t="shared" si="5"/>
        <v>42323</v>
      </c>
      <c r="Z14" s="58">
        <f t="shared" si="6"/>
        <v>13.203938890309384</v>
      </c>
      <c r="AB14" t="b">
        <f t="shared" si="7"/>
        <v>0</v>
      </c>
    </row>
    <row r="15" spans="1:28" x14ac:dyDescent="0.25">
      <c r="A15">
        <v>14</v>
      </c>
      <c r="D15" s="9" t="s">
        <v>130</v>
      </c>
      <c r="E15" s="1">
        <v>42206</v>
      </c>
      <c r="F15" s="1">
        <v>42206</v>
      </c>
      <c r="G15" s="1" t="str">
        <f t="shared" si="8"/>
        <v>Ruth Veres, Krottenbachstraße 94-96/4/6, 1190 Wien: Abstandshonorar AK</v>
      </c>
      <c r="H15" t="s">
        <v>63</v>
      </c>
      <c r="J15" t="s">
        <v>64</v>
      </c>
      <c r="N15" t="b">
        <f t="shared" si="0"/>
        <v>0</v>
      </c>
      <c r="O15" s="36">
        <v>288</v>
      </c>
      <c r="P15" s="51">
        <v>1</v>
      </c>
      <c r="Q15" s="27">
        <v>0</v>
      </c>
      <c r="R15" s="31">
        <f t="shared" si="9"/>
        <v>0</v>
      </c>
      <c r="S15" s="31">
        <f t="shared" si="10"/>
        <v>0</v>
      </c>
      <c r="T15" s="33">
        <f t="shared" si="2"/>
        <v>288</v>
      </c>
      <c r="U15" s="29">
        <f t="shared" si="3"/>
        <v>288</v>
      </c>
      <c r="V15" s="29">
        <f t="shared" si="4"/>
        <v>288</v>
      </c>
      <c r="W15" s="35">
        <f t="shared" si="5"/>
        <v>42323</v>
      </c>
      <c r="Z15" s="58">
        <f t="shared" si="6"/>
        <v>288</v>
      </c>
      <c r="AB15" t="b">
        <f t="shared" si="7"/>
        <v>0</v>
      </c>
    </row>
    <row r="16" spans="1:28" x14ac:dyDescent="0.25">
      <c r="A16">
        <v>15</v>
      </c>
      <c r="D16" s="9">
        <v>773381023</v>
      </c>
      <c r="E16" s="1">
        <v>42205</v>
      </c>
      <c r="F16" s="1">
        <v>42204</v>
      </c>
      <c r="G16" s="1" t="str">
        <f t="shared" si="8"/>
        <v>Microsoft Luxembourg Sàrl, 23-29, Rives de Clausen, L-2165 Luxembourg, Luxembourg, USt-IdNr.: LU19878750: Office 365</v>
      </c>
      <c r="H16" t="s">
        <v>65</v>
      </c>
      <c r="I16" s="3" t="s">
        <v>156</v>
      </c>
      <c r="J16" t="s">
        <v>100</v>
      </c>
      <c r="N16" t="b">
        <f t="shared" si="0"/>
        <v>0</v>
      </c>
      <c r="O16" s="36">
        <v>5.83</v>
      </c>
      <c r="P16" s="51">
        <v>1</v>
      </c>
      <c r="Q16" s="27">
        <v>20</v>
      </c>
      <c r="R16" s="31">
        <f t="shared" si="9"/>
        <v>1.1659999999999999</v>
      </c>
      <c r="S16" s="31">
        <f t="shared" si="10"/>
        <v>1.1659999999999999</v>
      </c>
      <c r="T16" s="33">
        <f t="shared" si="2"/>
        <v>5.83</v>
      </c>
      <c r="U16" s="29">
        <f t="shared" si="3"/>
        <v>6.9960000000000004</v>
      </c>
      <c r="V16" s="29">
        <f t="shared" si="4"/>
        <v>6.9960000000000004</v>
      </c>
      <c r="W16" s="35">
        <f t="shared" si="5"/>
        <v>42323</v>
      </c>
      <c r="Z16" s="58">
        <f t="shared" si="6"/>
        <v>5.83</v>
      </c>
      <c r="AB16" t="b">
        <f t="shared" si="7"/>
        <v>0</v>
      </c>
    </row>
    <row r="17" spans="1:28" x14ac:dyDescent="0.25">
      <c r="A17">
        <v>16</v>
      </c>
      <c r="D17" s="9">
        <v>694615621</v>
      </c>
      <c r="E17" s="1">
        <v>42209</v>
      </c>
      <c r="F17" s="1">
        <v>42220</v>
      </c>
      <c r="G17" s="1" t="str">
        <f t="shared" si="8"/>
        <v>Hutchison Drei Austria GmbH, Brünner Straße 52, 1210 Wien, Österreich: Rufnummer 0660 534 59 59</v>
      </c>
      <c r="H17" t="s">
        <v>34</v>
      </c>
      <c r="I17" t="s">
        <v>184</v>
      </c>
      <c r="J17" t="s">
        <v>35</v>
      </c>
      <c r="N17" t="b">
        <f t="shared" si="0"/>
        <v>0</v>
      </c>
      <c r="O17" s="36">
        <v>15</v>
      </c>
      <c r="P17" s="51">
        <v>0.6</v>
      </c>
      <c r="Q17" s="27">
        <v>20</v>
      </c>
      <c r="R17" s="31">
        <f t="shared" si="9"/>
        <v>3</v>
      </c>
      <c r="S17" s="31">
        <f t="shared" si="10"/>
        <v>1.7999999999999998</v>
      </c>
      <c r="T17" s="33">
        <f t="shared" si="2"/>
        <v>9</v>
      </c>
      <c r="U17" s="29">
        <f t="shared" si="3"/>
        <v>18</v>
      </c>
      <c r="V17" s="29">
        <f t="shared" si="4"/>
        <v>10.8</v>
      </c>
      <c r="W17" s="35">
        <f t="shared" si="5"/>
        <v>42323</v>
      </c>
      <c r="Z17" s="58">
        <f t="shared" si="6"/>
        <v>9</v>
      </c>
      <c r="AB17" t="b">
        <f t="shared" si="7"/>
        <v>0</v>
      </c>
    </row>
    <row r="18" spans="1:28" x14ac:dyDescent="0.25">
      <c r="A18">
        <v>17</v>
      </c>
      <c r="D18" s="9" t="str">
        <f>"4756070815"</f>
        <v>4756070815</v>
      </c>
      <c r="E18" s="1">
        <v>42217</v>
      </c>
      <c r="F18" s="1">
        <v>42212</v>
      </c>
      <c r="G18" s="1" t="str">
        <f t="shared" si="8"/>
        <v>IMV Immobilien Management GmbH: Vorschreibung 8/2015</v>
      </c>
      <c r="H18" t="s">
        <v>24</v>
      </c>
      <c r="J18" t="s">
        <v>289</v>
      </c>
      <c r="N18" t="b">
        <f t="shared" si="0"/>
        <v>0</v>
      </c>
      <c r="O18" s="36">
        <v>540.69000000000005</v>
      </c>
      <c r="P18" s="51">
        <f>Arbeitszimmer!$B$3</f>
        <v>0.27320378419841473</v>
      </c>
      <c r="Q18" s="27">
        <v>10</v>
      </c>
      <c r="R18" s="31">
        <f t="shared" si="9"/>
        <v>54.069000000000003</v>
      </c>
      <c r="S18" s="31">
        <f t="shared" si="10"/>
        <v>14.771855407824088</v>
      </c>
      <c r="T18" s="33">
        <f t="shared" si="2"/>
        <v>147.71855407824089</v>
      </c>
      <c r="U18" s="29">
        <f t="shared" si="3"/>
        <v>594.75900000000001</v>
      </c>
      <c r="V18" s="29">
        <f t="shared" si="4"/>
        <v>162.49040948606498</v>
      </c>
      <c r="W18" s="35">
        <f t="shared" si="5"/>
        <v>42323</v>
      </c>
      <c r="Z18" s="58">
        <f t="shared" si="6"/>
        <v>147.71855407824089</v>
      </c>
      <c r="AB18" t="b">
        <f t="shared" si="7"/>
        <v>0</v>
      </c>
    </row>
    <row r="19" spans="1:28" x14ac:dyDescent="0.25">
      <c r="A19">
        <v>18</v>
      </c>
      <c r="D19" s="9" t="s">
        <v>131</v>
      </c>
      <c r="E19" s="1">
        <v>42224</v>
      </c>
      <c r="F19" s="1">
        <v>42227</v>
      </c>
      <c r="G19" s="1" t="str">
        <f t="shared" si="8"/>
        <v>Hetzner Online AG, Industriestr. 25, 91710 Gunzenhausen: EQ4 Server #50605 30TB 188.40.75.200, 188.40.75.242</v>
      </c>
      <c r="H19" t="s">
        <v>42</v>
      </c>
      <c r="I19" s="10" t="s">
        <v>154</v>
      </c>
      <c r="J19" t="s">
        <v>19</v>
      </c>
      <c r="N19" t="b">
        <f t="shared" si="0"/>
        <v>0</v>
      </c>
      <c r="O19" s="36">
        <v>42.02</v>
      </c>
      <c r="P19" s="51">
        <v>1</v>
      </c>
      <c r="Q19" s="27">
        <v>20</v>
      </c>
      <c r="R19" s="31">
        <f t="shared" si="9"/>
        <v>8.4040000000000017</v>
      </c>
      <c r="S19" s="31">
        <f t="shared" si="10"/>
        <v>8.4040000000000017</v>
      </c>
      <c r="T19" s="33">
        <f t="shared" si="2"/>
        <v>42.02</v>
      </c>
      <c r="U19" s="29">
        <f t="shared" si="3"/>
        <v>50.424000000000007</v>
      </c>
      <c r="V19" s="29">
        <f t="shared" si="4"/>
        <v>50.424000000000007</v>
      </c>
      <c r="W19" s="35">
        <f t="shared" si="5"/>
        <v>42323</v>
      </c>
      <c r="Z19" s="58">
        <f t="shared" si="6"/>
        <v>42.02</v>
      </c>
      <c r="AB19" t="b">
        <f t="shared" si="7"/>
        <v>0</v>
      </c>
    </row>
    <row r="20" spans="1:28" x14ac:dyDescent="0.25">
      <c r="A20">
        <v>19</v>
      </c>
      <c r="D20" s="9">
        <v>20140059033</v>
      </c>
      <c r="E20" s="1">
        <v>42212</v>
      </c>
      <c r="F20" s="1">
        <v>42234</v>
      </c>
      <c r="G20" s="1" t="str">
        <f t="shared" si="8"/>
        <v>stempel-fabrik.at GmbH - 9 Warwitzstraße - 5023 Salzburg: Trodat Professional 5203 - Textstempel - 49 x 28 mm - 6 Zeilen schwarz</v>
      </c>
      <c r="H20" t="s">
        <v>68</v>
      </c>
      <c r="J20" t="s">
        <v>69</v>
      </c>
      <c r="K20" s="16">
        <v>5</v>
      </c>
      <c r="N20" t="b">
        <f t="shared" si="0"/>
        <v>0</v>
      </c>
      <c r="O20" s="36">
        <v>31.33</v>
      </c>
      <c r="P20" s="51">
        <v>1</v>
      </c>
      <c r="Q20" s="27">
        <v>20</v>
      </c>
      <c r="R20" s="31">
        <f t="shared" si="9"/>
        <v>6.2659999999999991</v>
      </c>
      <c r="S20" s="31">
        <f t="shared" si="10"/>
        <v>6.2659999999999991</v>
      </c>
      <c r="T20" s="33">
        <f t="shared" si="2"/>
        <v>31.33</v>
      </c>
      <c r="U20" s="29">
        <f t="shared" si="3"/>
        <v>37.595999999999997</v>
      </c>
      <c r="V20" s="29">
        <f t="shared" si="4"/>
        <v>37.595999999999997</v>
      </c>
      <c r="W20" s="35">
        <f t="shared" si="5"/>
        <v>42323</v>
      </c>
      <c r="Z20" s="58">
        <f t="shared" si="6"/>
        <v>31.33</v>
      </c>
      <c r="AB20" t="b">
        <f t="shared" si="7"/>
        <v>0</v>
      </c>
    </row>
    <row r="21" spans="1:28" x14ac:dyDescent="0.25">
      <c r="A21">
        <v>20</v>
      </c>
      <c r="D21" s="6" t="str">
        <f>"11338820/40/2015"</f>
        <v>11338820/40/2015</v>
      </c>
      <c r="E21" s="1">
        <v>42217</v>
      </c>
      <c r="F21" s="1">
        <v>42233</v>
      </c>
      <c r="G21" s="1" t="str">
        <f t="shared" si="8"/>
        <v>MONTANA Energie-Handel AT GmbH: Teilzahlungsbetrag Gas 11338820</v>
      </c>
      <c r="H21" t="s">
        <v>58</v>
      </c>
      <c r="J21" t="s">
        <v>119</v>
      </c>
      <c r="N21" t="b">
        <f t="shared" si="0"/>
        <v>0</v>
      </c>
      <c r="O21" s="36">
        <v>48.33</v>
      </c>
      <c r="P21" s="51">
        <f>Arbeitszimmer!$B$3</f>
        <v>0.27320378419841473</v>
      </c>
      <c r="Q21" s="27">
        <v>20</v>
      </c>
      <c r="R21" s="31">
        <f t="shared" si="9"/>
        <v>9.6659999999999986</v>
      </c>
      <c r="S21" s="31">
        <f t="shared" si="10"/>
        <v>2.6407877780618763</v>
      </c>
      <c r="T21" s="33">
        <f t="shared" si="2"/>
        <v>13.203938890309384</v>
      </c>
      <c r="U21" s="29">
        <f t="shared" si="3"/>
        <v>57.995999999999995</v>
      </c>
      <c r="V21" s="29">
        <f t="shared" si="4"/>
        <v>15.84472666837126</v>
      </c>
      <c r="W21" s="35">
        <f t="shared" si="5"/>
        <v>42323</v>
      </c>
      <c r="X21" s="35">
        <v>42315</v>
      </c>
      <c r="Z21" s="58">
        <f t="shared" si="6"/>
        <v>13.203938890309384</v>
      </c>
      <c r="AB21" t="b">
        <f t="shared" si="7"/>
        <v>0</v>
      </c>
    </row>
    <row r="22" spans="1:28" x14ac:dyDescent="0.25">
      <c r="A22">
        <v>21</v>
      </c>
      <c r="D22" s="9">
        <v>11561270283</v>
      </c>
      <c r="E22" s="1">
        <v>42210</v>
      </c>
      <c r="F22" s="1">
        <v>42235</v>
      </c>
      <c r="G22" s="1" t="str">
        <f t="shared" si="8"/>
        <v>Sozialversicherungsanstalt der gewerblichen Wirtschaft, Landesstelle Wien, Wiedner Hauptstraße 84-86, A-1051 Wien: Kontoauszug vom 25. Juli 2015</v>
      </c>
      <c r="H22" t="s">
        <v>70</v>
      </c>
      <c r="J22" t="s">
        <v>71</v>
      </c>
      <c r="N22" t="b">
        <f t="shared" si="0"/>
        <v>0</v>
      </c>
      <c r="O22" s="36">
        <v>631.04</v>
      </c>
      <c r="P22" s="51">
        <v>1</v>
      </c>
      <c r="Q22" s="27">
        <v>0</v>
      </c>
      <c r="R22" s="31">
        <f t="shared" si="9"/>
        <v>0</v>
      </c>
      <c r="S22" s="31">
        <f t="shared" si="10"/>
        <v>0</v>
      </c>
      <c r="T22" s="33">
        <f t="shared" si="2"/>
        <v>631.04</v>
      </c>
      <c r="U22" s="29">
        <f t="shared" si="3"/>
        <v>631.04</v>
      </c>
      <c r="V22" s="29">
        <f t="shared" si="4"/>
        <v>631.04</v>
      </c>
      <c r="W22" s="35">
        <f t="shared" si="5"/>
        <v>42323</v>
      </c>
      <c r="X22" s="35">
        <v>42315</v>
      </c>
      <c r="Z22" s="58">
        <f t="shared" si="6"/>
        <v>631.04</v>
      </c>
      <c r="AB22" t="b">
        <f t="shared" si="7"/>
        <v>0</v>
      </c>
    </row>
    <row r="23" spans="1:28" x14ac:dyDescent="0.25">
      <c r="A23">
        <v>22</v>
      </c>
      <c r="D23" s="9" t="s">
        <v>132</v>
      </c>
      <c r="E23" s="1">
        <v>42233</v>
      </c>
      <c r="F23" s="1">
        <v>42233</v>
      </c>
      <c r="G23" s="1" t="str">
        <f t="shared" si="8"/>
        <v>mas-restaurante, 1080 Wien, Laudongasse 36, ATU 67132747: Arbeitsessen</v>
      </c>
      <c r="H23" t="s">
        <v>85</v>
      </c>
      <c r="J23" t="s">
        <v>29</v>
      </c>
      <c r="N23" t="b">
        <f t="shared" si="0"/>
        <v>0</v>
      </c>
      <c r="O23" s="36">
        <f>33.58+53.36</f>
        <v>86.94</v>
      </c>
      <c r="P23" s="51">
        <v>0.5</v>
      </c>
      <c r="Q23" s="27" t="s">
        <v>86</v>
      </c>
      <c r="R23" s="31">
        <f>6.72+5.34</f>
        <v>12.059999999999999</v>
      </c>
      <c r="S23" s="31">
        <f t="shared" si="10"/>
        <v>6.0299999999999994</v>
      </c>
      <c r="T23" s="33">
        <f t="shared" si="2"/>
        <v>43.47</v>
      </c>
      <c r="U23" s="29">
        <f t="shared" si="3"/>
        <v>99</v>
      </c>
      <c r="V23" s="29">
        <f t="shared" si="4"/>
        <v>49.5</v>
      </c>
      <c r="W23" s="35">
        <f t="shared" si="5"/>
        <v>42323</v>
      </c>
      <c r="X23" s="35">
        <v>42315</v>
      </c>
      <c r="Z23" s="58">
        <f t="shared" si="6"/>
        <v>43.47</v>
      </c>
      <c r="AB23" t="b">
        <f t="shared" si="7"/>
        <v>0</v>
      </c>
    </row>
    <row r="24" spans="1:28" x14ac:dyDescent="0.25">
      <c r="A24">
        <v>23</v>
      </c>
      <c r="D24" s="9" t="s">
        <v>133</v>
      </c>
      <c r="E24" s="1">
        <v>42237</v>
      </c>
      <c r="F24" s="1">
        <v>42241</v>
      </c>
      <c r="G24" s="1" t="str">
        <f t="shared" si="8"/>
        <v>Amazon EU Sàrl, 5 Rue Plaetis, L-2338, Luxemburg: SwissGear Sensor 15 39cm (15 Zoll) Laptop Tasche</v>
      </c>
      <c r="H24" t="s">
        <v>72</v>
      </c>
      <c r="I24" s="10" t="s">
        <v>157</v>
      </c>
      <c r="J24" t="s">
        <v>73</v>
      </c>
      <c r="N24" t="b">
        <f t="shared" si="0"/>
        <v>0</v>
      </c>
      <c r="O24" s="36">
        <v>43.35</v>
      </c>
      <c r="P24" s="51">
        <v>1</v>
      </c>
      <c r="Q24" s="27">
        <v>20</v>
      </c>
      <c r="R24" s="31">
        <f>O24*Q24/100</f>
        <v>8.67</v>
      </c>
      <c r="S24" s="31">
        <f t="shared" si="10"/>
        <v>8.67</v>
      </c>
      <c r="T24" s="33">
        <f t="shared" si="2"/>
        <v>43.35</v>
      </c>
      <c r="U24" s="29">
        <f t="shared" si="3"/>
        <v>52.02</v>
      </c>
      <c r="V24" s="29">
        <f t="shared" si="4"/>
        <v>52.02</v>
      </c>
      <c r="W24" s="35">
        <f t="shared" si="5"/>
        <v>42323</v>
      </c>
      <c r="X24" s="35">
        <v>42315</v>
      </c>
      <c r="Z24" s="58">
        <f t="shared" si="6"/>
        <v>43.35</v>
      </c>
      <c r="AB24" t="b">
        <f t="shared" si="7"/>
        <v>0</v>
      </c>
    </row>
    <row r="25" spans="1:28" x14ac:dyDescent="0.25">
      <c r="A25">
        <v>24</v>
      </c>
      <c r="D25" s="9" t="s">
        <v>134</v>
      </c>
      <c r="E25" s="1">
        <v>42238</v>
      </c>
      <c r="F25" s="1">
        <v>42238</v>
      </c>
      <c r="G25" s="1" t="str">
        <f t="shared" si="8"/>
        <v>e-tec electronic GmbH: Linksys AE25000 Dual Band Wireless N</v>
      </c>
      <c r="H25" t="s">
        <v>75</v>
      </c>
      <c r="J25" t="s">
        <v>76</v>
      </c>
      <c r="N25" t="b">
        <f t="shared" si="0"/>
        <v>0</v>
      </c>
      <c r="O25" s="36">
        <v>21.77</v>
      </c>
      <c r="P25" s="51">
        <v>1</v>
      </c>
      <c r="Q25" s="27">
        <v>20</v>
      </c>
      <c r="R25" s="31">
        <f>O25*Q25/100</f>
        <v>4.3540000000000001</v>
      </c>
      <c r="S25" s="31">
        <f t="shared" si="10"/>
        <v>4.3540000000000001</v>
      </c>
      <c r="T25" s="33">
        <f t="shared" si="2"/>
        <v>21.77</v>
      </c>
      <c r="U25" s="29">
        <v>26.13</v>
      </c>
      <c r="V25" s="29">
        <v>26.13</v>
      </c>
      <c r="W25" s="35">
        <f t="shared" si="5"/>
        <v>42323</v>
      </c>
      <c r="X25" s="35">
        <v>42315</v>
      </c>
      <c r="Z25" s="58">
        <f t="shared" si="6"/>
        <v>21.77</v>
      </c>
      <c r="AB25" t="b">
        <f t="shared" si="7"/>
        <v>0</v>
      </c>
    </row>
    <row r="26" spans="1:28" x14ac:dyDescent="0.25">
      <c r="A26">
        <v>25</v>
      </c>
      <c r="D26" s="9" t="s">
        <v>135</v>
      </c>
      <c r="E26" s="1">
        <v>42241</v>
      </c>
      <c r="F26" s="1">
        <v>42249</v>
      </c>
      <c r="G26" s="1" t="str">
        <f t="shared" si="8"/>
        <v>Hutchison Drei Austria GmbH, Brünner Straße 52, 1210 Wien, Österreich: Rufnummer 0660 534 59 59</v>
      </c>
      <c r="H26" t="s">
        <v>34</v>
      </c>
      <c r="I26" t="s">
        <v>184</v>
      </c>
      <c r="J26" t="s">
        <v>35</v>
      </c>
      <c r="N26" t="b">
        <f t="shared" si="0"/>
        <v>0</v>
      </c>
      <c r="O26" s="36">
        <v>15</v>
      </c>
      <c r="P26" s="51">
        <v>0.6</v>
      </c>
      <c r="Q26" s="27">
        <v>20</v>
      </c>
      <c r="R26" s="31">
        <f>O26*Q26/100</f>
        <v>3</v>
      </c>
      <c r="S26" s="31">
        <f t="shared" si="10"/>
        <v>1.7999999999999998</v>
      </c>
      <c r="T26" s="33">
        <f t="shared" si="2"/>
        <v>9</v>
      </c>
      <c r="U26" s="29">
        <f t="shared" ref="U26:U32" si="11">O26+R26</f>
        <v>18</v>
      </c>
      <c r="V26" s="29">
        <f t="shared" ref="V26:V32" si="12">T26+S26</f>
        <v>10.8</v>
      </c>
      <c r="W26" s="35">
        <f t="shared" si="5"/>
        <v>42323</v>
      </c>
      <c r="X26" s="35">
        <v>42315</v>
      </c>
      <c r="Z26" s="58">
        <f t="shared" si="6"/>
        <v>9</v>
      </c>
      <c r="AB26" t="b">
        <f t="shared" si="7"/>
        <v>0</v>
      </c>
    </row>
    <row r="27" spans="1:28" x14ac:dyDescent="0.25">
      <c r="A27">
        <v>26</v>
      </c>
      <c r="D27" s="9" t="s">
        <v>136</v>
      </c>
      <c r="E27" s="1">
        <v>42242</v>
      </c>
      <c r="F27" s="1">
        <v>42241</v>
      </c>
      <c r="G27" s="1" t="str">
        <f t="shared" si="8"/>
        <v>Vistaprint B.V., Hudsonweg 8, 5928 LW Venlo, Niederlande: Visitenkarten 2x100</v>
      </c>
      <c r="H27" t="s">
        <v>37</v>
      </c>
      <c r="I27" s="10" t="s">
        <v>153</v>
      </c>
      <c r="J27" t="s">
        <v>38</v>
      </c>
      <c r="N27" t="b">
        <f t="shared" si="0"/>
        <v>0</v>
      </c>
      <c r="O27" s="36">
        <v>13.68</v>
      </c>
      <c r="P27" s="51">
        <v>1</v>
      </c>
      <c r="Q27" s="27">
        <v>20</v>
      </c>
      <c r="R27" s="31">
        <f>O27*Q27/100</f>
        <v>2.7360000000000002</v>
      </c>
      <c r="S27" s="31">
        <f t="shared" si="10"/>
        <v>2.7360000000000002</v>
      </c>
      <c r="T27" s="33">
        <f t="shared" si="2"/>
        <v>13.68</v>
      </c>
      <c r="U27" s="29">
        <f t="shared" si="11"/>
        <v>16.416</v>
      </c>
      <c r="V27" s="29">
        <f t="shared" si="12"/>
        <v>16.416</v>
      </c>
      <c r="W27" s="35">
        <f t="shared" si="5"/>
        <v>42323</v>
      </c>
      <c r="X27" s="35">
        <v>42315</v>
      </c>
      <c r="Z27" s="58">
        <f t="shared" si="6"/>
        <v>13.68</v>
      </c>
      <c r="AB27" t="b">
        <f t="shared" si="7"/>
        <v>0</v>
      </c>
    </row>
    <row r="28" spans="1:28" x14ac:dyDescent="0.25">
      <c r="A28">
        <v>27</v>
      </c>
      <c r="D28" s="9" t="s">
        <v>137</v>
      </c>
      <c r="E28" s="1">
        <v>42243</v>
      </c>
      <c r="F28" s="1">
        <v>42243</v>
      </c>
      <c r="G28" s="1" t="str">
        <f t="shared" si="8"/>
        <v>XING AG, D-20354 Hamburg, Dammtorstrasse 30: Xing Premium 3 Monate</v>
      </c>
      <c r="H28" t="s">
        <v>158</v>
      </c>
      <c r="I28" s="10" t="s">
        <v>159</v>
      </c>
      <c r="J28" t="s">
        <v>74</v>
      </c>
      <c r="N28" t="b">
        <f t="shared" si="0"/>
        <v>0</v>
      </c>
      <c r="O28" s="36">
        <v>19.87</v>
      </c>
      <c r="P28" s="51">
        <v>1</v>
      </c>
      <c r="Q28" s="27">
        <v>20</v>
      </c>
      <c r="R28" s="31">
        <v>3.98</v>
      </c>
      <c r="S28" s="31">
        <f t="shared" si="10"/>
        <v>3.98</v>
      </c>
      <c r="T28" s="33">
        <f t="shared" si="2"/>
        <v>19.87</v>
      </c>
      <c r="U28" s="29">
        <f t="shared" si="11"/>
        <v>23.85</v>
      </c>
      <c r="V28" s="29">
        <f t="shared" si="12"/>
        <v>23.85</v>
      </c>
      <c r="W28" s="35">
        <f t="shared" si="5"/>
        <v>42323</v>
      </c>
      <c r="X28" s="35">
        <v>42315</v>
      </c>
      <c r="Z28" s="58">
        <f t="shared" si="6"/>
        <v>19.87</v>
      </c>
      <c r="AB28" t="b">
        <f t="shared" si="7"/>
        <v>0</v>
      </c>
    </row>
    <row r="29" spans="1:28" x14ac:dyDescent="0.25">
      <c r="A29">
        <v>28</v>
      </c>
      <c r="D29" s="9" t="s">
        <v>138</v>
      </c>
      <c r="E29" s="1">
        <v>42246</v>
      </c>
      <c r="F29" s="1">
        <v>42246</v>
      </c>
      <c r="G29" s="1" t="str">
        <f t="shared" si="8"/>
        <v>easyname GmbH, Fernkorngasse 10/3/501, 1110 Wien: Domain: raunz.info</v>
      </c>
      <c r="H29" t="s">
        <v>33</v>
      </c>
      <c r="I29" t="s">
        <v>187</v>
      </c>
      <c r="J29" t="s">
        <v>77</v>
      </c>
      <c r="N29" t="b">
        <f t="shared" si="0"/>
        <v>0</v>
      </c>
      <c r="O29" s="36">
        <v>13.25</v>
      </c>
      <c r="P29" s="51">
        <v>1</v>
      </c>
      <c r="Q29" s="27">
        <v>20</v>
      </c>
      <c r="R29" s="31">
        <f>O29*Q29/100</f>
        <v>2.65</v>
      </c>
      <c r="S29" s="31">
        <f t="shared" si="10"/>
        <v>2.65</v>
      </c>
      <c r="T29" s="33">
        <f t="shared" si="2"/>
        <v>13.25</v>
      </c>
      <c r="U29" s="29">
        <f t="shared" si="11"/>
        <v>15.9</v>
      </c>
      <c r="V29" s="29">
        <f t="shared" si="12"/>
        <v>15.9</v>
      </c>
      <c r="W29" s="35">
        <f t="shared" si="5"/>
        <v>42323</v>
      </c>
      <c r="X29" s="35">
        <v>42315</v>
      </c>
      <c r="Z29" s="58">
        <f t="shared" si="6"/>
        <v>13.25</v>
      </c>
      <c r="AB29" t="b">
        <f t="shared" si="7"/>
        <v>0</v>
      </c>
    </row>
    <row r="30" spans="1:28" x14ac:dyDescent="0.25">
      <c r="A30">
        <v>29</v>
      </c>
      <c r="D30" s="9" t="s">
        <v>139</v>
      </c>
      <c r="E30" s="1">
        <v>42246</v>
      </c>
      <c r="F30" s="1">
        <v>42246</v>
      </c>
      <c r="G30" s="1" t="str">
        <f t="shared" si="8"/>
        <v>Restaurant Franz Ferdinand, Bennoplatz 2, 1080 Wien: Arbeitsessen</v>
      </c>
      <c r="H30" t="s">
        <v>78</v>
      </c>
      <c r="J30" t="s">
        <v>29</v>
      </c>
      <c r="N30" t="b">
        <f t="shared" si="0"/>
        <v>0</v>
      </c>
      <c r="O30" s="36">
        <f>84.1-9.15</f>
        <v>74.949999999999989</v>
      </c>
      <c r="P30" s="51">
        <v>0.5</v>
      </c>
      <c r="Q30" s="27" t="s">
        <v>79</v>
      </c>
      <c r="R30" s="31">
        <v>9.15</v>
      </c>
      <c r="S30" s="31">
        <f t="shared" si="10"/>
        <v>4.5750000000000002</v>
      </c>
      <c r="T30" s="33">
        <f t="shared" si="2"/>
        <v>37.474999999999994</v>
      </c>
      <c r="U30" s="29">
        <f t="shared" si="11"/>
        <v>84.1</v>
      </c>
      <c r="V30" s="29">
        <f t="shared" si="12"/>
        <v>42.05</v>
      </c>
      <c r="W30" s="35">
        <f t="shared" si="5"/>
        <v>42323</v>
      </c>
      <c r="X30" s="35">
        <v>42315</v>
      </c>
      <c r="Z30" s="58">
        <f t="shared" si="6"/>
        <v>37.474999999999994</v>
      </c>
      <c r="AB30" t="b">
        <f t="shared" si="7"/>
        <v>0</v>
      </c>
    </row>
    <row r="31" spans="1:28" x14ac:dyDescent="0.25">
      <c r="A31">
        <v>30</v>
      </c>
      <c r="D31" s="9" t="s">
        <v>140</v>
      </c>
      <c r="E31" s="1">
        <v>42247</v>
      </c>
      <c r="F31" s="1">
        <v>42247</v>
      </c>
      <c r="G31" s="1" t="str">
        <f t="shared" si="8"/>
        <v>Uhrmann Gasgerätetechnik OG, A-2353 Guntramsdorf, Sportplatzstraße 8a: Thermenwartung</v>
      </c>
      <c r="H31" t="s">
        <v>81</v>
      </c>
      <c r="J31" t="s">
        <v>80</v>
      </c>
      <c r="N31" t="b">
        <f t="shared" si="0"/>
        <v>0</v>
      </c>
      <c r="O31" s="36">
        <v>80</v>
      </c>
      <c r="P31" s="51">
        <f>Arbeitszimmer!$B$3</f>
        <v>0.27320378419841473</v>
      </c>
      <c r="Q31" s="27">
        <v>20</v>
      </c>
      <c r="R31" s="31">
        <f t="shared" ref="R31:R37" si="13">O31*Q31/100</f>
        <v>16</v>
      </c>
      <c r="S31" s="31">
        <f t="shared" si="10"/>
        <v>4.3712605471746357</v>
      </c>
      <c r="T31" s="33">
        <f t="shared" si="2"/>
        <v>21.856302735873179</v>
      </c>
      <c r="U31" s="29">
        <f t="shared" si="11"/>
        <v>96</v>
      </c>
      <c r="V31" s="29">
        <f t="shared" si="12"/>
        <v>26.227563283047814</v>
      </c>
      <c r="W31" s="35">
        <f t="shared" si="5"/>
        <v>42323</v>
      </c>
      <c r="X31" s="35">
        <v>42315</v>
      </c>
      <c r="Z31" s="58">
        <f t="shared" si="6"/>
        <v>21.856302735873179</v>
      </c>
      <c r="AB31" t="b">
        <f t="shared" si="7"/>
        <v>0</v>
      </c>
    </row>
    <row r="32" spans="1:28" x14ac:dyDescent="0.25">
      <c r="A32">
        <v>31</v>
      </c>
      <c r="D32" s="9" t="s">
        <v>141</v>
      </c>
      <c r="E32" s="1">
        <v>42247</v>
      </c>
      <c r="F32" s="1">
        <v>42247</v>
      </c>
      <c r="G32" s="1" t="str">
        <f t="shared" si="8"/>
        <v>BIP Garagengesellschaft Breiteneder GesmbH &amp; Co KG, 1010 Wien, Sterngasse 5: Kurzparkticket 10:30 - 11:13</v>
      </c>
      <c r="H32" t="s">
        <v>82</v>
      </c>
      <c r="J32" t="s">
        <v>83</v>
      </c>
      <c r="N32" t="b">
        <f t="shared" si="0"/>
        <v>0</v>
      </c>
      <c r="O32" s="36">
        <v>4</v>
      </c>
      <c r="P32" s="51">
        <v>1</v>
      </c>
      <c r="Q32" s="27">
        <v>20</v>
      </c>
      <c r="R32" s="31">
        <f t="shared" si="13"/>
        <v>0.8</v>
      </c>
      <c r="S32" s="31">
        <f t="shared" si="10"/>
        <v>0.8</v>
      </c>
      <c r="T32" s="33">
        <f t="shared" si="2"/>
        <v>4</v>
      </c>
      <c r="U32" s="29">
        <f t="shared" si="11"/>
        <v>4.8</v>
      </c>
      <c r="V32" s="29">
        <f t="shared" si="12"/>
        <v>4.8</v>
      </c>
      <c r="W32" s="35">
        <f t="shared" si="5"/>
        <v>42323</v>
      </c>
      <c r="X32" s="35">
        <v>42315</v>
      </c>
      <c r="Z32" s="58">
        <f t="shared" si="6"/>
        <v>4</v>
      </c>
      <c r="AB32" t="b">
        <f t="shared" si="7"/>
        <v>0</v>
      </c>
    </row>
    <row r="33" spans="1:28" x14ac:dyDescent="0.25">
      <c r="A33">
        <v>32</v>
      </c>
      <c r="D33" s="9" t="s">
        <v>142</v>
      </c>
      <c r="E33" s="1">
        <v>42247</v>
      </c>
      <c r="F33" s="1">
        <v>42247</v>
      </c>
      <c r="G33" s="1" t="str">
        <f t="shared" si="8"/>
        <v>e-tec electronic GmbH: Digitus USB 2.0 Adapterkabel auf SATA und DIE</v>
      </c>
      <c r="H33" t="s">
        <v>75</v>
      </c>
      <c r="J33" t="s">
        <v>84</v>
      </c>
      <c r="N33" t="b">
        <f t="shared" si="0"/>
        <v>0</v>
      </c>
      <c r="O33" s="36">
        <v>12.63</v>
      </c>
      <c r="P33" s="51">
        <v>1</v>
      </c>
      <c r="Q33" s="27">
        <v>20</v>
      </c>
      <c r="R33" s="31">
        <f t="shared" si="13"/>
        <v>2.5260000000000002</v>
      </c>
      <c r="S33" s="31">
        <f t="shared" si="10"/>
        <v>2.5260000000000002</v>
      </c>
      <c r="T33" s="33">
        <f t="shared" si="2"/>
        <v>12.63</v>
      </c>
      <c r="U33" s="29">
        <v>15.15</v>
      </c>
      <c r="V33" s="29">
        <v>15.15</v>
      </c>
      <c r="W33" s="35">
        <f t="shared" si="5"/>
        <v>42323</v>
      </c>
      <c r="X33" s="35">
        <v>42315</v>
      </c>
      <c r="Z33" s="58">
        <f t="shared" si="6"/>
        <v>12.63</v>
      </c>
      <c r="AB33" t="b">
        <f t="shared" si="7"/>
        <v>0</v>
      </c>
    </row>
    <row r="34" spans="1:28" x14ac:dyDescent="0.25">
      <c r="A34">
        <v>33</v>
      </c>
      <c r="D34" s="9" t="str">
        <f>"4756070915"</f>
        <v>4756070915</v>
      </c>
      <c r="E34" s="1">
        <v>42248</v>
      </c>
      <c r="F34" s="1">
        <v>42240</v>
      </c>
      <c r="G34" s="1" t="str">
        <f t="shared" si="8"/>
        <v>IMV Immobilien Management GmbH: Vorschreibung 9/2015</v>
      </c>
      <c r="H34" t="s">
        <v>24</v>
      </c>
      <c r="J34" t="s">
        <v>287</v>
      </c>
      <c r="N34" t="b">
        <f t="shared" ref="N34:N65" si="14">(IF(AND(K34&lt;&gt;"",ABS(T34)&gt;400),TRUE,FALSE))</f>
        <v>0</v>
      </c>
      <c r="O34" s="36">
        <v>785.46</v>
      </c>
      <c r="P34" s="51">
        <f>Arbeitszimmer!$B$3</f>
        <v>0.27320378419841473</v>
      </c>
      <c r="Q34" s="27">
        <v>10</v>
      </c>
      <c r="R34" s="31">
        <f t="shared" si="13"/>
        <v>78.546000000000006</v>
      </c>
      <c r="S34" s="31">
        <f t="shared" si="10"/>
        <v>21.459064433648685</v>
      </c>
      <c r="T34" s="33">
        <f t="shared" ref="T34:T70" si="15">O34*P34</f>
        <v>214.59064433648686</v>
      </c>
      <c r="U34" s="29">
        <f t="shared" ref="U34:U65" si="16">O34+R34</f>
        <v>864.00600000000009</v>
      </c>
      <c r="V34" s="29">
        <f t="shared" ref="V34:V65" si="17">T34+S34</f>
        <v>236.04970877013554</v>
      </c>
      <c r="W34" s="35">
        <f t="shared" ref="W34:W65" si="18">voranmeldefrist_vierteljaehrlich(F34)</f>
        <v>42323</v>
      </c>
      <c r="X34" s="35">
        <v>42315</v>
      </c>
      <c r="Z34" s="58">
        <f t="shared" ref="Z34:Z65" si="19">IF(N34=TRUE,T34/K34,T34)</f>
        <v>214.59064433648686</v>
      </c>
      <c r="AB34" t="b">
        <f t="shared" ref="AB34:AB65" si="20">IF(AND(Y34&gt;0,Q34=Y34),TRUE,FALSE)</f>
        <v>0</v>
      </c>
    </row>
    <row r="35" spans="1:28" x14ac:dyDescent="0.25">
      <c r="A35">
        <v>34</v>
      </c>
      <c r="D35" s="9" t="s">
        <v>143</v>
      </c>
      <c r="E35" s="1">
        <v>42248</v>
      </c>
      <c r="F35" s="1">
        <v>42240</v>
      </c>
      <c r="G35" s="1" t="str">
        <f t="shared" si="8"/>
        <v>IMV Immobilien Management GmbH: Vorschreibung 12/2015</v>
      </c>
      <c r="H35" t="s">
        <v>24</v>
      </c>
      <c r="J35" t="s">
        <v>288</v>
      </c>
      <c r="N35" t="b">
        <f t="shared" si="14"/>
        <v>0</v>
      </c>
      <c r="O35" s="36">
        <v>785.46</v>
      </c>
      <c r="P35" s="51">
        <f>Arbeitszimmer!$B$3</f>
        <v>0.27320378419841473</v>
      </c>
      <c r="Q35" s="27">
        <v>10</v>
      </c>
      <c r="R35" s="31">
        <f t="shared" si="13"/>
        <v>78.546000000000006</v>
      </c>
      <c r="S35" s="31">
        <f t="shared" si="10"/>
        <v>21.459064433648685</v>
      </c>
      <c r="T35" s="33">
        <f t="shared" si="15"/>
        <v>214.59064433648686</v>
      </c>
      <c r="U35" s="29">
        <f t="shared" si="16"/>
        <v>864.00600000000009</v>
      </c>
      <c r="V35" s="29">
        <f t="shared" si="17"/>
        <v>236.04970877013554</v>
      </c>
      <c r="W35" s="35">
        <f t="shared" si="18"/>
        <v>42323</v>
      </c>
      <c r="X35" s="35">
        <v>42315</v>
      </c>
      <c r="Z35" s="58">
        <f t="shared" si="19"/>
        <v>214.59064433648686</v>
      </c>
      <c r="AB35" t="b">
        <f t="shared" si="20"/>
        <v>0</v>
      </c>
    </row>
    <row r="36" spans="1:28" x14ac:dyDescent="0.25">
      <c r="A36">
        <v>35</v>
      </c>
      <c r="D36" s="9" t="s">
        <v>144</v>
      </c>
      <c r="E36" s="1">
        <v>42250</v>
      </c>
      <c r="F36" s="1">
        <v>42248</v>
      </c>
      <c r="G36" s="1" t="str">
        <f t="shared" si="8"/>
        <v>BA-Computer HandelsgesmbH., Oberlaaerstraße 92, 1100 Wien: Fujitsu Celsius W530 Intel Core-i7-4790</v>
      </c>
      <c r="H36" t="s">
        <v>87</v>
      </c>
      <c r="J36" t="s">
        <v>88</v>
      </c>
      <c r="N36" t="b">
        <f t="shared" si="14"/>
        <v>0</v>
      </c>
      <c r="O36" s="36">
        <v>979.98</v>
      </c>
      <c r="P36" s="51">
        <v>1</v>
      </c>
      <c r="Q36" s="27">
        <v>20</v>
      </c>
      <c r="R36" s="31">
        <f t="shared" si="13"/>
        <v>195.99599999999998</v>
      </c>
      <c r="S36" s="31">
        <f t="shared" si="10"/>
        <v>195.99599999999998</v>
      </c>
      <c r="T36" s="33">
        <f t="shared" si="15"/>
        <v>979.98</v>
      </c>
      <c r="U36" s="29">
        <f t="shared" si="16"/>
        <v>1175.9760000000001</v>
      </c>
      <c r="V36" s="29">
        <f t="shared" si="17"/>
        <v>1175.9760000000001</v>
      </c>
      <c r="W36" s="35">
        <f t="shared" si="18"/>
        <v>42323</v>
      </c>
      <c r="X36" s="35">
        <v>42315</v>
      </c>
      <c r="Z36" s="58">
        <f t="shared" si="19"/>
        <v>979.98</v>
      </c>
      <c r="AB36" t="b">
        <f t="shared" si="20"/>
        <v>0</v>
      </c>
    </row>
    <row r="37" spans="1:28" x14ac:dyDescent="0.25">
      <c r="A37">
        <v>36</v>
      </c>
      <c r="D37" s="9" t="s">
        <v>145</v>
      </c>
      <c r="E37" s="1">
        <v>42236</v>
      </c>
      <c r="F37" s="1">
        <v>42237</v>
      </c>
      <c r="G37" s="1" t="str">
        <f t="shared" si="8"/>
        <v>Microsoft Luxembourg Sàrl, 23-29, Rives de Clausen, L-2165 Luxembourg, Luxembourg, USt-IdNr.: LU19878750: Office 365</v>
      </c>
      <c r="H37" t="s">
        <v>65</v>
      </c>
      <c r="I37" s="3" t="s">
        <v>160</v>
      </c>
      <c r="J37" t="s">
        <v>100</v>
      </c>
      <c r="N37" t="b">
        <f t="shared" si="14"/>
        <v>0</v>
      </c>
      <c r="O37" s="36">
        <v>5.83</v>
      </c>
      <c r="P37" s="51">
        <v>1</v>
      </c>
      <c r="Q37" s="27">
        <v>20</v>
      </c>
      <c r="R37" s="31">
        <f t="shared" si="13"/>
        <v>1.1659999999999999</v>
      </c>
      <c r="S37" s="31">
        <f t="shared" si="10"/>
        <v>1.1659999999999999</v>
      </c>
      <c r="T37" s="33">
        <f t="shared" si="15"/>
        <v>5.83</v>
      </c>
      <c r="U37" s="29">
        <f t="shared" si="16"/>
        <v>6.9960000000000004</v>
      </c>
      <c r="V37" s="29">
        <f t="shared" si="17"/>
        <v>6.9960000000000004</v>
      </c>
      <c r="W37" s="35">
        <f t="shared" si="18"/>
        <v>42323</v>
      </c>
      <c r="X37" s="35">
        <v>42315</v>
      </c>
      <c r="Z37" s="58">
        <f t="shared" si="19"/>
        <v>5.83</v>
      </c>
      <c r="AB37" t="b">
        <f t="shared" si="20"/>
        <v>0</v>
      </c>
    </row>
    <row r="38" spans="1:28" x14ac:dyDescent="0.25">
      <c r="A38">
        <v>37</v>
      </c>
      <c r="D38" s="9" t="s">
        <v>146</v>
      </c>
      <c r="E38" s="1">
        <v>42247</v>
      </c>
      <c r="F38" s="1">
        <v>42248</v>
      </c>
      <c r="G38" s="1" t="str">
        <f t="shared" si="8"/>
        <v xml:space="preserve">Vistaprint B.V., Hudsonweg 8, 5928 LW Venlo, Niederlande: </v>
      </c>
      <c r="H38" t="s">
        <v>37</v>
      </c>
      <c r="I38" s="10" t="s">
        <v>153</v>
      </c>
      <c r="N38" t="b">
        <f t="shared" si="14"/>
        <v>0</v>
      </c>
      <c r="O38" s="36">
        <v>13.7</v>
      </c>
      <c r="P38" s="51">
        <v>1</v>
      </c>
      <c r="Q38" s="27">
        <v>20</v>
      </c>
      <c r="R38" s="31">
        <v>2.72</v>
      </c>
      <c r="S38" s="31">
        <f t="shared" si="10"/>
        <v>2.72</v>
      </c>
      <c r="T38" s="33">
        <f t="shared" si="15"/>
        <v>13.7</v>
      </c>
      <c r="U38" s="29">
        <f t="shared" si="16"/>
        <v>16.419999999999998</v>
      </c>
      <c r="V38" s="29">
        <f t="shared" si="17"/>
        <v>16.419999999999998</v>
      </c>
      <c r="W38" s="35">
        <f t="shared" si="18"/>
        <v>42323</v>
      </c>
      <c r="X38" s="35">
        <v>42315</v>
      </c>
      <c r="Z38" s="58">
        <f t="shared" si="19"/>
        <v>13.7</v>
      </c>
      <c r="AB38" t="b">
        <f t="shared" si="20"/>
        <v>0</v>
      </c>
    </row>
    <row r="39" spans="1:28" x14ac:dyDescent="0.25">
      <c r="A39">
        <v>38</v>
      </c>
      <c r="D39" s="9" t="s">
        <v>147</v>
      </c>
      <c r="E39" s="1">
        <v>42255</v>
      </c>
      <c r="F39" s="1">
        <v>42257</v>
      </c>
      <c r="G39" s="1" t="str">
        <f t="shared" si="8"/>
        <v>Hetzner Online AG, Industriestr. 25, 91710 Gunzenhausen: EQ4 Server #50605 30TB 188.40.75.200, 188.40.75.242</v>
      </c>
      <c r="H39" t="s">
        <v>42</v>
      </c>
      <c r="I39" s="10" t="s">
        <v>154</v>
      </c>
      <c r="J39" t="s">
        <v>19</v>
      </c>
      <c r="N39" t="b">
        <f t="shared" si="14"/>
        <v>0</v>
      </c>
      <c r="O39" s="36">
        <v>42.02</v>
      </c>
      <c r="P39" s="51">
        <v>1</v>
      </c>
      <c r="Q39" s="27">
        <v>20</v>
      </c>
      <c r="R39" s="31">
        <f t="shared" ref="R39:R52" si="21">O39*Q39/100</f>
        <v>8.4040000000000017</v>
      </c>
      <c r="S39" s="31">
        <f t="shared" si="10"/>
        <v>8.4040000000000017</v>
      </c>
      <c r="T39" s="33">
        <f t="shared" si="15"/>
        <v>42.02</v>
      </c>
      <c r="U39" s="29">
        <f t="shared" si="16"/>
        <v>50.424000000000007</v>
      </c>
      <c r="V39" s="29">
        <f t="shared" si="17"/>
        <v>50.424000000000007</v>
      </c>
      <c r="W39" s="35">
        <f t="shared" si="18"/>
        <v>42323</v>
      </c>
      <c r="X39" s="35">
        <v>42315</v>
      </c>
      <c r="Z39" s="58">
        <f t="shared" si="19"/>
        <v>42.02</v>
      </c>
      <c r="AB39" t="b">
        <f t="shared" si="20"/>
        <v>0</v>
      </c>
    </row>
    <row r="40" spans="1:28" x14ac:dyDescent="0.25">
      <c r="A40">
        <v>39</v>
      </c>
      <c r="D40" s="9" t="s">
        <v>148</v>
      </c>
      <c r="E40" s="1">
        <v>42261</v>
      </c>
      <c r="F40" s="1">
        <v>42261</v>
      </c>
      <c r="G40" s="1" t="str">
        <f t="shared" si="8"/>
        <v>Taxi 40100 W 3032TX: Taxifahrt zu Besprechung mit Kunden</v>
      </c>
      <c r="H40" t="s">
        <v>93</v>
      </c>
      <c r="J40" t="s">
        <v>94</v>
      </c>
      <c r="N40" t="b">
        <f t="shared" si="14"/>
        <v>0</v>
      </c>
      <c r="O40" s="36">
        <v>10</v>
      </c>
      <c r="P40" s="51">
        <v>1</v>
      </c>
      <c r="Q40" s="27">
        <v>10</v>
      </c>
      <c r="R40" s="31">
        <f t="shared" si="21"/>
        <v>1</v>
      </c>
      <c r="S40" s="31">
        <f t="shared" si="10"/>
        <v>1</v>
      </c>
      <c r="T40" s="33">
        <f t="shared" si="15"/>
        <v>10</v>
      </c>
      <c r="U40" s="29">
        <f t="shared" si="16"/>
        <v>11</v>
      </c>
      <c r="V40" s="29">
        <f t="shared" si="17"/>
        <v>11</v>
      </c>
      <c r="W40" s="35">
        <f t="shared" si="18"/>
        <v>42323</v>
      </c>
      <c r="X40" s="35">
        <v>42315</v>
      </c>
      <c r="Z40" s="58">
        <f t="shared" si="19"/>
        <v>10</v>
      </c>
      <c r="AB40" t="b">
        <f t="shared" si="20"/>
        <v>0</v>
      </c>
    </row>
    <row r="41" spans="1:28" x14ac:dyDescent="0.25">
      <c r="A41">
        <v>40</v>
      </c>
      <c r="D41" s="21" t="s">
        <v>291</v>
      </c>
      <c r="E41" s="1">
        <v>42278</v>
      </c>
      <c r="F41" s="1">
        <v>42262</v>
      </c>
      <c r="G41" s="1" t="str">
        <f t="shared" si="8"/>
        <v>VERBUND AG, Postfach 8400, 1011 Wien, Österreich: Strom 1.7.-30.9.</v>
      </c>
      <c r="H41" t="s">
        <v>57</v>
      </c>
      <c r="J41" t="s">
        <v>55</v>
      </c>
      <c r="N41" t="b">
        <f t="shared" si="14"/>
        <v>0</v>
      </c>
      <c r="O41" s="36">
        <v>48.36</v>
      </c>
      <c r="P41" s="51">
        <f>Arbeitszimmer!$B$3</f>
        <v>0.27320378419841473</v>
      </c>
      <c r="Q41" s="27">
        <v>20</v>
      </c>
      <c r="R41" s="31">
        <f t="shared" si="21"/>
        <v>9.6720000000000006</v>
      </c>
      <c r="S41" s="31">
        <f t="shared" si="10"/>
        <v>2.6424270007670674</v>
      </c>
      <c r="T41" s="33">
        <f t="shared" si="15"/>
        <v>13.212135003835336</v>
      </c>
      <c r="U41" s="29">
        <f t="shared" si="16"/>
        <v>58.031999999999996</v>
      </c>
      <c r="V41" s="29">
        <f t="shared" si="17"/>
        <v>15.854562004602403</v>
      </c>
      <c r="W41" s="35">
        <f t="shared" si="18"/>
        <v>42323</v>
      </c>
      <c r="X41" s="35">
        <v>42315</v>
      </c>
      <c r="Z41" s="58">
        <f t="shared" si="19"/>
        <v>13.212135003835336</v>
      </c>
      <c r="AB41" t="b">
        <f t="shared" si="20"/>
        <v>0</v>
      </c>
    </row>
    <row r="42" spans="1:28" x14ac:dyDescent="0.25">
      <c r="A42">
        <v>41</v>
      </c>
      <c r="D42" s="6">
        <v>11384488</v>
      </c>
      <c r="E42" s="1">
        <v>42248</v>
      </c>
      <c r="F42" s="1">
        <v>42262</v>
      </c>
      <c r="G42" s="1" t="str">
        <f t="shared" si="8"/>
        <v>MONTANA Energie-Handel AT GmbH: Teilzahlungsbetrag Gas 11384488</v>
      </c>
      <c r="H42" t="s">
        <v>58</v>
      </c>
      <c r="J42" t="s">
        <v>120</v>
      </c>
      <c r="N42" t="b">
        <f t="shared" si="14"/>
        <v>0</v>
      </c>
      <c r="O42" s="36">
        <v>48.33</v>
      </c>
      <c r="P42" s="51">
        <f>Arbeitszimmer!$B$3</f>
        <v>0.27320378419841473</v>
      </c>
      <c r="Q42" s="27">
        <v>20</v>
      </c>
      <c r="R42" s="31">
        <f t="shared" si="21"/>
        <v>9.6659999999999986</v>
      </c>
      <c r="S42" s="31">
        <f t="shared" si="10"/>
        <v>2.6407877780618763</v>
      </c>
      <c r="T42" s="33">
        <f t="shared" si="15"/>
        <v>13.203938890309384</v>
      </c>
      <c r="U42" s="29">
        <f t="shared" si="16"/>
        <v>57.995999999999995</v>
      </c>
      <c r="V42" s="29">
        <f t="shared" si="17"/>
        <v>15.84472666837126</v>
      </c>
      <c r="W42" s="35">
        <f t="shared" si="18"/>
        <v>42323</v>
      </c>
      <c r="X42" s="35">
        <v>42315</v>
      </c>
      <c r="Z42" s="58">
        <f t="shared" si="19"/>
        <v>13.203938890309384</v>
      </c>
      <c r="AB42" t="b">
        <f t="shared" si="20"/>
        <v>0</v>
      </c>
    </row>
    <row r="43" spans="1:28" x14ac:dyDescent="0.25">
      <c r="A43">
        <v>42</v>
      </c>
      <c r="D43" s="9" t="s">
        <v>97</v>
      </c>
      <c r="E43" s="1">
        <v>42272</v>
      </c>
      <c r="F43" s="1">
        <v>42283</v>
      </c>
      <c r="G43" s="1" t="str">
        <f t="shared" si="8"/>
        <v>Hutchison Drei Austria GmbH, Brünner Straße 52, 1210 Wien, Österreich: Rufnummer 0660 534 59 59</v>
      </c>
      <c r="H43" t="s">
        <v>34</v>
      </c>
      <c r="I43" t="s">
        <v>184</v>
      </c>
      <c r="J43" t="s">
        <v>35</v>
      </c>
      <c r="N43" t="b">
        <f t="shared" si="14"/>
        <v>0</v>
      </c>
      <c r="O43" s="36">
        <v>15</v>
      </c>
      <c r="P43" s="51">
        <v>0.6</v>
      </c>
      <c r="Q43" s="27">
        <v>20</v>
      </c>
      <c r="R43" s="31">
        <f t="shared" si="21"/>
        <v>3</v>
      </c>
      <c r="S43" s="31">
        <f t="shared" si="10"/>
        <v>1.7999999999999998</v>
      </c>
      <c r="T43" s="33">
        <f t="shared" si="15"/>
        <v>9</v>
      </c>
      <c r="U43" s="29">
        <f t="shared" si="16"/>
        <v>18</v>
      </c>
      <c r="V43" s="29">
        <f t="shared" si="17"/>
        <v>10.8</v>
      </c>
      <c r="W43" s="35">
        <f t="shared" si="18"/>
        <v>42415</v>
      </c>
      <c r="X43" s="35">
        <v>42414</v>
      </c>
      <c r="Z43" s="58">
        <f t="shared" si="19"/>
        <v>9</v>
      </c>
      <c r="AA43" s="31">
        <f>Y43/100*V43</f>
        <v>0</v>
      </c>
      <c r="AB43" t="b">
        <f t="shared" si="20"/>
        <v>0</v>
      </c>
    </row>
    <row r="44" spans="1:28" x14ac:dyDescent="0.25">
      <c r="A44">
        <v>43</v>
      </c>
      <c r="D44" s="6">
        <v>1360643453</v>
      </c>
      <c r="E44" s="1">
        <v>42267</v>
      </c>
      <c r="F44" s="1">
        <v>42268</v>
      </c>
      <c r="G44" s="1" t="str">
        <f t="shared" si="8"/>
        <v>Microsoft Luxembourg Sàrl, 23-29, Rives de Clausen, L-2165 Luxembourg, Luxembourg, USt-IdNr.: LU19878750: Office 365</v>
      </c>
      <c r="H44" t="s">
        <v>65</v>
      </c>
      <c r="I44" s="3" t="s">
        <v>160</v>
      </c>
      <c r="J44" t="s">
        <v>100</v>
      </c>
      <c r="N44" t="b">
        <f t="shared" si="14"/>
        <v>0</v>
      </c>
      <c r="O44" s="36">
        <v>5.83</v>
      </c>
      <c r="P44" s="51">
        <v>1</v>
      </c>
      <c r="Q44" s="27">
        <v>20</v>
      </c>
      <c r="R44" s="31">
        <f t="shared" si="21"/>
        <v>1.1659999999999999</v>
      </c>
      <c r="S44" s="31">
        <f t="shared" si="10"/>
        <v>1.1659999999999999</v>
      </c>
      <c r="T44" s="33">
        <f t="shared" si="15"/>
        <v>5.83</v>
      </c>
      <c r="U44" s="29">
        <f t="shared" si="16"/>
        <v>6.9960000000000004</v>
      </c>
      <c r="V44" s="29">
        <f t="shared" si="17"/>
        <v>6.9960000000000004</v>
      </c>
      <c r="W44" s="35">
        <f t="shared" si="18"/>
        <v>42323</v>
      </c>
      <c r="X44" s="35">
        <v>42315</v>
      </c>
      <c r="Z44" s="58">
        <f t="shared" si="19"/>
        <v>5.83</v>
      </c>
      <c r="AB44" t="b">
        <f t="shared" si="20"/>
        <v>0</v>
      </c>
    </row>
    <row r="45" spans="1:28" x14ac:dyDescent="0.25">
      <c r="A45">
        <v>44</v>
      </c>
      <c r="D45" s="9" t="str">
        <f>"4756071015"</f>
        <v>4756071015</v>
      </c>
      <c r="E45" s="1">
        <v>42278</v>
      </c>
      <c r="F45" s="1">
        <v>42271</v>
      </c>
      <c r="G45" s="1" t="str">
        <f t="shared" si="8"/>
        <v>IMV Immobilien Management GmbH: Vorschreibung 10/2015</v>
      </c>
      <c r="H45" t="s">
        <v>24</v>
      </c>
      <c r="J45" t="s">
        <v>290</v>
      </c>
      <c r="N45" t="b">
        <f t="shared" si="14"/>
        <v>0</v>
      </c>
      <c r="O45" s="36">
        <v>785.46</v>
      </c>
      <c r="P45" s="51">
        <f>Arbeitszimmer!$B$3</f>
        <v>0.27320378419841473</v>
      </c>
      <c r="Q45" s="27">
        <v>10</v>
      </c>
      <c r="R45" s="31">
        <f t="shared" si="21"/>
        <v>78.546000000000006</v>
      </c>
      <c r="S45" s="31">
        <f t="shared" si="10"/>
        <v>21.459064433648685</v>
      </c>
      <c r="T45" s="33">
        <f t="shared" si="15"/>
        <v>214.59064433648686</v>
      </c>
      <c r="U45" s="29">
        <f t="shared" si="16"/>
        <v>864.00600000000009</v>
      </c>
      <c r="V45" s="29">
        <f t="shared" si="17"/>
        <v>236.04970877013554</v>
      </c>
      <c r="W45" s="35">
        <f t="shared" si="18"/>
        <v>42323</v>
      </c>
      <c r="X45" s="35">
        <v>42315</v>
      </c>
      <c r="Z45" s="58">
        <f t="shared" si="19"/>
        <v>214.59064433648686</v>
      </c>
      <c r="AB45" t="b">
        <f t="shared" si="20"/>
        <v>0</v>
      </c>
    </row>
    <row r="46" spans="1:28" x14ac:dyDescent="0.25">
      <c r="A46">
        <v>45</v>
      </c>
      <c r="D46" s="9" t="s">
        <v>98</v>
      </c>
      <c r="E46" s="1">
        <v>42276</v>
      </c>
      <c r="F46" s="1">
        <v>42278</v>
      </c>
      <c r="G46" s="1" t="str">
        <f t="shared" si="8"/>
        <v>easyname GmbH, Fernkorngasse 10/3/501, 1110 Wien: Domain: physio-weis.at</v>
      </c>
      <c r="H46" t="s">
        <v>33</v>
      </c>
      <c r="I46" t="s">
        <v>187</v>
      </c>
      <c r="J46" t="s">
        <v>99</v>
      </c>
      <c r="N46" t="b">
        <f t="shared" si="14"/>
        <v>0</v>
      </c>
      <c r="O46" s="36">
        <v>12.42</v>
      </c>
      <c r="P46" s="51">
        <v>1</v>
      </c>
      <c r="Q46" s="27">
        <v>20</v>
      </c>
      <c r="R46" s="31">
        <f t="shared" si="21"/>
        <v>2.484</v>
      </c>
      <c r="S46" s="31">
        <f t="shared" si="10"/>
        <v>2.484</v>
      </c>
      <c r="T46" s="33">
        <f t="shared" si="15"/>
        <v>12.42</v>
      </c>
      <c r="U46" s="29">
        <f t="shared" si="16"/>
        <v>14.904</v>
      </c>
      <c r="V46" s="29">
        <f t="shared" si="17"/>
        <v>14.904</v>
      </c>
      <c r="W46" s="35">
        <f t="shared" si="18"/>
        <v>42415</v>
      </c>
      <c r="X46" s="35">
        <v>42414</v>
      </c>
      <c r="Z46" s="58">
        <f t="shared" si="19"/>
        <v>12.42</v>
      </c>
      <c r="AA46" s="31">
        <f t="shared" ref="AA46:AA90" si="22">Y46/100*V46</f>
        <v>0</v>
      </c>
      <c r="AB46" t="b">
        <f t="shared" si="20"/>
        <v>0</v>
      </c>
    </row>
    <row r="47" spans="1:28" x14ac:dyDescent="0.25">
      <c r="A47">
        <v>46</v>
      </c>
      <c r="D47" s="9" t="s">
        <v>102</v>
      </c>
      <c r="E47" s="1">
        <v>42257</v>
      </c>
      <c r="F47" s="1">
        <v>42282</v>
      </c>
      <c r="G47" s="1" t="str">
        <f t="shared" si="8"/>
        <v>nic.at GmbH, Jakob-Haringer-Strasse 8, 5020 Salzburg, Austria: Domain: energiebalance-lichtherz.at</v>
      </c>
      <c r="H47" t="s">
        <v>103</v>
      </c>
      <c r="J47" t="s">
        <v>104</v>
      </c>
      <c r="N47" t="b">
        <f t="shared" si="14"/>
        <v>0</v>
      </c>
      <c r="O47" s="36">
        <v>29.1</v>
      </c>
      <c r="P47" s="51">
        <v>1</v>
      </c>
      <c r="Q47" s="27">
        <v>20</v>
      </c>
      <c r="R47" s="31">
        <f t="shared" si="21"/>
        <v>5.82</v>
      </c>
      <c r="S47" s="31">
        <f t="shared" si="10"/>
        <v>5.82</v>
      </c>
      <c r="T47" s="33">
        <f t="shared" si="15"/>
        <v>29.1</v>
      </c>
      <c r="U47" s="29">
        <f t="shared" si="16"/>
        <v>34.92</v>
      </c>
      <c r="V47" s="29">
        <f t="shared" si="17"/>
        <v>34.92</v>
      </c>
      <c r="W47" s="35">
        <f t="shared" si="18"/>
        <v>42415</v>
      </c>
      <c r="X47" s="35">
        <v>42414</v>
      </c>
      <c r="Z47" s="58">
        <f t="shared" si="19"/>
        <v>29.1</v>
      </c>
      <c r="AA47" s="31">
        <f t="shared" si="22"/>
        <v>0</v>
      </c>
      <c r="AB47" t="b">
        <f t="shared" si="20"/>
        <v>0</v>
      </c>
    </row>
    <row r="48" spans="1:28" x14ac:dyDescent="0.25">
      <c r="A48">
        <v>47</v>
      </c>
      <c r="D48" s="9" t="s">
        <v>109</v>
      </c>
      <c r="E48" s="1">
        <v>42285</v>
      </c>
      <c r="F48" s="1">
        <v>42287</v>
      </c>
      <c r="G48" s="1" t="str">
        <f t="shared" si="8"/>
        <v>Hetzner Online AG, Industriestr. 25, 91710 Gunzenhausen: EQ4 Server #50605 30TB 188.40.75.200, 188.40.75.242</v>
      </c>
      <c r="H48" t="s">
        <v>42</v>
      </c>
      <c r="I48" s="10" t="s">
        <v>154</v>
      </c>
      <c r="J48" t="s">
        <v>19</v>
      </c>
      <c r="N48" t="b">
        <f t="shared" si="14"/>
        <v>0</v>
      </c>
      <c r="O48" s="36">
        <v>42.02</v>
      </c>
      <c r="P48" s="51">
        <v>1</v>
      </c>
      <c r="Q48" s="27">
        <v>20</v>
      </c>
      <c r="R48" s="31">
        <f t="shared" si="21"/>
        <v>8.4040000000000017</v>
      </c>
      <c r="S48" s="31">
        <f t="shared" si="10"/>
        <v>8.4040000000000017</v>
      </c>
      <c r="T48" s="33">
        <f t="shared" si="15"/>
        <v>42.02</v>
      </c>
      <c r="U48" s="29">
        <f t="shared" si="16"/>
        <v>50.424000000000007</v>
      </c>
      <c r="V48" s="29">
        <f t="shared" si="17"/>
        <v>50.424000000000007</v>
      </c>
      <c r="W48" s="35">
        <f t="shared" si="18"/>
        <v>42415</v>
      </c>
      <c r="X48" s="35">
        <v>42414</v>
      </c>
      <c r="Z48" s="58">
        <f t="shared" si="19"/>
        <v>42.02</v>
      </c>
      <c r="AA48" s="31">
        <f t="shared" si="22"/>
        <v>0</v>
      </c>
      <c r="AB48" t="b">
        <f t="shared" si="20"/>
        <v>0</v>
      </c>
    </row>
    <row r="49" spans="1:28" x14ac:dyDescent="0.25">
      <c r="A49">
        <v>48</v>
      </c>
      <c r="D49" s="9" t="s">
        <v>112</v>
      </c>
      <c r="E49" s="1">
        <v>42289</v>
      </c>
      <c r="F49" s="1">
        <v>42289</v>
      </c>
      <c r="G49" s="1" t="str">
        <f t="shared" si="8"/>
        <v>SAM International B.V., Mooslackengasse 17, A-1190 Wien: Whiteboard Pro Series 90x120 cm</v>
      </c>
      <c r="H49" t="s">
        <v>111</v>
      </c>
      <c r="J49" t="s">
        <v>113</v>
      </c>
      <c r="K49" s="16">
        <v>5</v>
      </c>
      <c r="N49" t="b">
        <f t="shared" si="14"/>
        <v>0</v>
      </c>
      <c r="O49" s="36">
        <v>58.25</v>
      </c>
      <c r="P49" s="51">
        <v>1</v>
      </c>
      <c r="Q49" s="27">
        <v>20</v>
      </c>
      <c r="R49" s="31">
        <f t="shared" si="21"/>
        <v>11.65</v>
      </c>
      <c r="S49" s="31">
        <f t="shared" si="10"/>
        <v>11.65</v>
      </c>
      <c r="T49" s="33">
        <f t="shared" si="15"/>
        <v>58.25</v>
      </c>
      <c r="U49" s="29">
        <f t="shared" si="16"/>
        <v>69.900000000000006</v>
      </c>
      <c r="V49" s="29">
        <f t="shared" si="17"/>
        <v>69.900000000000006</v>
      </c>
      <c r="W49" s="35">
        <f t="shared" si="18"/>
        <v>42415</v>
      </c>
      <c r="X49" s="35">
        <v>42414</v>
      </c>
      <c r="Z49" s="58">
        <f t="shared" si="19"/>
        <v>58.25</v>
      </c>
      <c r="AA49" s="31">
        <f t="shared" si="22"/>
        <v>0</v>
      </c>
      <c r="AB49" t="b">
        <f t="shared" si="20"/>
        <v>0</v>
      </c>
    </row>
    <row r="50" spans="1:28" x14ac:dyDescent="0.25">
      <c r="A50">
        <v>49</v>
      </c>
      <c r="D50" s="9" t="s">
        <v>114</v>
      </c>
      <c r="E50" s="1">
        <v>42293</v>
      </c>
      <c r="F50" s="1">
        <v>42293</v>
      </c>
      <c r="G50" s="1" t="str">
        <f t="shared" si="8"/>
        <v>Libro 1090 Wien, Alserstr 20, ATU 56240311: Diverser Bürobedarf</v>
      </c>
      <c r="H50" t="s">
        <v>115</v>
      </c>
      <c r="J50" t="s">
        <v>116</v>
      </c>
      <c r="N50" t="b">
        <f t="shared" si="14"/>
        <v>0</v>
      </c>
      <c r="O50" s="36">
        <v>16.29</v>
      </c>
      <c r="P50" s="51">
        <v>1</v>
      </c>
      <c r="Q50" s="27">
        <v>20</v>
      </c>
      <c r="R50" s="31">
        <f t="shared" si="21"/>
        <v>3.2579999999999996</v>
      </c>
      <c r="S50" s="31">
        <f t="shared" si="10"/>
        <v>3.2579999999999996</v>
      </c>
      <c r="T50" s="33">
        <f t="shared" si="15"/>
        <v>16.29</v>
      </c>
      <c r="U50" s="29">
        <f t="shared" si="16"/>
        <v>19.547999999999998</v>
      </c>
      <c r="V50" s="29">
        <f t="shared" si="17"/>
        <v>19.547999999999998</v>
      </c>
      <c r="W50" s="35">
        <f t="shared" si="18"/>
        <v>42415</v>
      </c>
      <c r="X50" s="35">
        <v>42414</v>
      </c>
      <c r="Z50" s="58">
        <f t="shared" si="19"/>
        <v>16.29</v>
      </c>
      <c r="AA50" s="31">
        <f t="shared" si="22"/>
        <v>0</v>
      </c>
      <c r="AB50" t="b">
        <f t="shared" si="20"/>
        <v>0</v>
      </c>
    </row>
    <row r="51" spans="1:28" x14ac:dyDescent="0.25">
      <c r="A51">
        <v>50</v>
      </c>
      <c r="D51" s="9" t="s">
        <v>121</v>
      </c>
      <c r="E51" s="1">
        <v>42304</v>
      </c>
      <c r="F51" s="1">
        <v>42313</v>
      </c>
      <c r="G51" s="1" t="str">
        <f t="shared" si="8"/>
        <v>Hutchison Drei Austria GmbH, Brünner Straße 52, 1210 Wien, Österreich: Rufnummer 0660 534 59 59</v>
      </c>
      <c r="H51" t="s">
        <v>34</v>
      </c>
      <c r="I51" t="s">
        <v>184</v>
      </c>
      <c r="J51" t="s">
        <v>35</v>
      </c>
      <c r="N51" t="b">
        <f t="shared" si="14"/>
        <v>0</v>
      </c>
      <c r="O51" s="36">
        <v>15.25</v>
      </c>
      <c r="P51" s="51">
        <v>0.6</v>
      </c>
      <c r="Q51" s="27">
        <v>20</v>
      </c>
      <c r="R51" s="31">
        <f t="shared" si="21"/>
        <v>3.05</v>
      </c>
      <c r="S51" s="31">
        <f t="shared" si="10"/>
        <v>1.8299999999999998</v>
      </c>
      <c r="T51" s="33">
        <f t="shared" si="15"/>
        <v>9.15</v>
      </c>
      <c r="U51" s="29">
        <f t="shared" si="16"/>
        <v>18.3</v>
      </c>
      <c r="V51" s="29">
        <f t="shared" si="17"/>
        <v>10.98</v>
      </c>
      <c r="W51" s="35">
        <f t="shared" si="18"/>
        <v>42415</v>
      </c>
      <c r="X51" s="35">
        <v>42414</v>
      </c>
      <c r="Z51" s="58">
        <f t="shared" si="19"/>
        <v>9.15</v>
      </c>
      <c r="AA51" s="31">
        <f t="shared" si="22"/>
        <v>0</v>
      </c>
      <c r="AB51" t="b">
        <f t="shared" si="20"/>
        <v>0</v>
      </c>
    </row>
    <row r="52" spans="1:28" x14ac:dyDescent="0.25">
      <c r="A52">
        <v>51</v>
      </c>
      <c r="D52" s="9" t="str">
        <f>"4756071115"</f>
        <v>4756071115</v>
      </c>
      <c r="E52" s="1">
        <v>42309</v>
      </c>
      <c r="F52" s="1">
        <v>42304</v>
      </c>
      <c r="G52" s="1" t="str">
        <f t="shared" si="8"/>
        <v>IMV Immobilien Management GmbH: Vorschreibung 7/2015</v>
      </c>
      <c r="H52" t="s">
        <v>24</v>
      </c>
      <c r="J52" t="s">
        <v>23</v>
      </c>
      <c r="N52" t="b">
        <f t="shared" si="14"/>
        <v>0</v>
      </c>
      <c r="O52" s="36">
        <v>785.46</v>
      </c>
      <c r="P52" s="51">
        <f>Arbeitszimmer!$B$3</f>
        <v>0.27320378419841473</v>
      </c>
      <c r="Q52" s="27">
        <v>10</v>
      </c>
      <c r="R52" s="31">
        <f t="shared" si="21"/>
        <v>78.546000000000006</v>
      </c>
      <c r="S52" s="31">
        <f t="shared" si="10"/>
        <v>21.459064433648685</v>
      </c>
      <c r="T52" s="33">
        <f t="shared" si="15"/>
        <v>214.59064433648686</v>
      </c>
      <c r="U52" s="29">
        <f t="shared" si="16"/>
        <v>864.00600000000009</v>
      </c>
      <c r="V52" s="29">
        <f t="shared" si="17"/>
        <v>236.04970877013554</v>
      </c>
      <c r="W52" s="35">
        <f t="shared" si="18"/>
        <v>42415</v>
      </c>
      <c r="X52" s="35">
        <v>42414</v>
      </c>
      <c r="Z52" s="58">
        <f t="shared" si="19"/>
        <v>214.59064433648686</v>
      </c>
      <c r="AA52" s="31">
        <f t="shared" si="22"/>
        <v>0</v>
      </c>
      <c r="AB52" t="b">
        <f t="shared" si="20"/>
        <v>0</v>
      </c>
    </row>
    <row r="53" spans="1:28" x14ac:dyDescent="0.25">
      <c r="A53">
        <v>52</v>
      </c>
      <c r="D53" s="9" t="s">
        <v>125</v>
      </c>
      <c r="E53" s="1">
        <v>42283</v>
      </c>
      <c r="F53" s="1">
        <v>42283</v>
      </c>
      <c r="G53" s="1" t="str">
        <f t="shared" si="8"/>
        <v xml:space="preserve">Samrat, 1080 Wien, Florianigasse 20: </v>
      </c>
      <c r="H53" t="s">
        <v>126</v>
      </c>
      <c r="N53" t="b">
        <f t="shared" si="14"/>
        <v>0</v>
      </c>
      <c r="O53" s="36">
        <f>28.55+9.17</f>
        <v>37.72</v>
      </c>
      <c r="P53" s="51">
        <v>0.5</v>
      </c>
      <c r="Q53" s="27" t="s">
        <v>14</v>
      </c>
      <c r="R53" s="31">
        <f>2.85+1.83</f>
        <v>4.68</v>
      </c>
      <c r="S53" s="31">
        <f>2.85+1.83</f>
        <v>4.68</v>
      </c>
      <c r="T53" s="33">
        <f t="shared" si="15"/>
        <v>18.86</v>
      </c>
      <c r="U53" s="29">
        <f t="shared" si="16"/>
        <v>42.4</v>
      </c>
      <c r="V53" s="29">
        <f t="shared" si="17"/>
        <v>23.54</v>
      </c>
      <c r="W53" s="35">
        <f t="shared" si="18"/>
        <v>42415</v>
      </c>
      <c r="X53" s="35">
        <v>42414</v>
      </c>
      <c r="Z53" s="58">
        <f t="shared" si="19"/>
        <v>18.86</v>
      </c>
      <c r="AA53" s="31">
        <f t="shared" si="22"/>
        <v>0</v>
      </c>
      <c r="AB53" t="b">
        <f t="shared" si="20"/>
        <v>0</v>
      </c>
    </row>
    <row r="54" spans="1:28" x14ac:dyDescent="0.25">
      <c r="A54">
        <v>53</v>
      </c>
      <c r="D54" s="9" t="s">
        <v>172</v>
      </c>
      <c r="E54" s="1">
        <v>42297</v>
      </c>
      <c r="F54" s="1">
        <v>42298</v>
      </c>
      <c r="G54" s="1" t="str">
        <f t="shared" si="8"/>
        <v>Microsoft Luxembourg Sàrl, 23-29, Rives de Clausen, L-2165 Luxembourg, Luxembourg, USt-IdNr.: LU19878750: Office 365</v>
      </c>
      <c r="H54" t="s">
        <v>65</v>
      </c>
      <c r="I54" s="3" t="s">
        <v>160</v>
      </c>
      <c r="J54" t="s">
        <v>100</v>
      </c>
      <c r="N54" t="b">
        <f t="shared" si="14"/>
        <v>0</v>
      </c>
      <c r="O54" s="36">
        <v>5.83</v>
      </c>
      <c r="P54" s="51">
        <v>1</v>
      </c>
      <c r="Q54" s="27">
        <v>20</v>
      </c>
      <c r="R54" s="31">
        <f t="shared" ref="R54:R60" si="23">O54*Q54/100</f>
        <v>1.1659999999999999</v>
      </c>
      <c r="S54" s="31">
        <f t="shared" ref="S54:S70" si="24">P54*R54</f>
        <v>1.1659999999999999</v>
      </c>
      <c r="T54" s="33">
        <f t="shared" si="15"/>
        <v>5.83</v>
      </c>
      <c r="U54" s="29">
        <f t="shared" si="16"/>
        <v>6.9960000000000004</v>
      </c>
      <c r="V54" s="29">
        <f t="shared" si="17"/>
        <v>6.9960000000000004</v>
      </c>
      <c r="W54" s="35">
        <f t="shared" si="18"/>
        <v>42415</v>
      </c>
      <c r="X54" s="35">
        <v>42414</v>
      </c>
      <c r="Z54" s="58">
        <f t="shared" si="19"/>
        <v>5.83</v>
      </c>
      <c r="AA54" s="31">
        <f t="shared" si="22"/>
        <v>0</v>
      </c>
      <c r="AB54" t="b">
        <f t="shared" si="20"/>
        <v>0</v>
      </c>
    </row>
    <row r="55" spans="1:28" x14ac:dyDescent="0.25">
      <c r="A55">
        <v>54</v>
      </c>
      <c r="D55" s="9" t="s">
        <v>128</v>
      </c>
      <c r="E55" s="1">
        <v>42308</v>
      </c>
      <c r="F55" s="1">
        <v>42308</v>
      </c>
      <c r="G55" s="1" t="str">
        <f t="shared" si="8"/>
        <v>Libro 1080 Wien, Josefstädterstr. 105, ATU 56240311: Kuvert</v>
      </c>
      <c r="H55" t="s">
        <v>127</v>
      </c>
      <c r="J55" t="s">
        <v>129</v>
      </c>
      <c r="N55" t="b">
        <f t="shared" si="14"/>
        <v>0</v>
      </c>
      <c r="O55" s="36">
        <v>2.66</v>
      </c>
      <c r="P55" s="51">
        <v>1</v>
      </c>
      <c r="Q55" s="27">
        <v>20</v>
      </c>
      <c r="R55" s="31">
        <f t="shared" si="23"/>
        <v>0.53200000000000003</v>
      </c>
      <c r="S55" s="31">
        <f t="shared" si="24"/>
        <v>0.53200000000000003</v>
      </c>
      <c r="T55" s="33">
        <f t="shared" si="15"/>
        <v>2.66</v>
      </c>
      <c r="U55" s="29">
        <f t="shared" si="16"/>
        <v>3.1920000000000002</v>
      </c>
      <c r="V55" s="29">
        <f t="shared" si="17"/>
        <v>3.1920000000000002</v>
      </c>
      <c r="W55" s="35">
        <f t="shared" si="18"/>
        <v>42415</v>
      </c>
      <c r="X55" s="35">
        <v>42414</v>
      </c>
      <c r="Z55" s="58">
        <f t="shared" si="19"/>
        <v>2.66</v>
      </c>
      <c r="AA55" s="31">
        <f t="shared" si="22"/>
        <v>0</v>
      </c>
      <c r="AB55" t="b">
        <f t="shared" si="20"/>
        <v>0</v>
      </c>
    </row>
    <row r="56" spans="1:28" x14ac:dyDescent="0.25">
      <c r="A56">
        <v>55</v>
      </c>
      <c r="D56" s="9" t="s">
        <v>161</v>
      </c>
      <c r="E56" s="1">
        <v>42301</v>
      </c>
      <c r="F56" s="1">
        <v>42331</v>
      </c>
      <c r="G56" s="1" t="str">
        <f t="shared" si="8"/>
        <v>Sozialversicherungsanstalt der gewerblichen Wirtschaft, Landesstelle Wien, Wiedner Hauptstraße 84-86, A-1051 Wien: Kontoauszug vom 24.10.2015</v>
      </c>
      <c r="H56" t="s">
        <v>70</v>
      </c>
      <c r="J56" t="s">
        <v>162</v>
      </c>
      <c r="N56" t="b">
        <f t="shared" si="14"/>
        <v>0</v>
      </c>
      <c r="O56" s="36">
        <v>504.28</v>
      </c>
      <c r="P56" s="51">
        <v>1</v>
      </c>
      <c r="Q56" s="27">
        <v>0</v>
      </c>
      <c r="R56" s="31">
        <f t="shared" si="23"/>
        <v>0</v>
      </c>
      <c r="S56" s="31">
        <f t="shared" si="24"/>
        <v>0</v>
      </c>
      <c r="T56" s="33">
        <f t="shared" si="15"/>
        <v>504.28</v>
      </c>
      <c r="U56" s="29">
        <f t="shared" si="16"/>
        <v>504.28</v>
      </c>
      <c r="V56" s="29">
        <f t="shared" si="17"/>
        <v>504.28</v>
      </c>
      <c r="W56" s="35">
        <f t="shared" si="18"/>
        <v>42415</v>
      </c>
      <c r="X56" s="35">
        <v>42414</v>
      </c>
      <c r="Z56" s="58">
        <f t="shared" si="19"/>
        <v>504.28</v>
      </c>
      <c r="AA56" s="31">
        <f t="shared" si="22"/>
        <v>0</v>
      </c>
      <c r="AB56" t="b">
        <f t="shared" si="20"/>
        <v>0</v>
      </c>
    </row>
    <row r="57" spans="1:28" x14ac:dyDescent="0.25">
      <c r="A57">
        <v>56</v>
      </c>
      <c r="D57" s="9" t="s">
        <v>163</v>
      </c>
      <c r="E57" s="1">
        <v>42310</v>
      </c>
      <c r="F57" s="1">
        <v>42331</v>
      </c>
      <c r="G57" s="1" t="str">
        <f t="shared" si="8"/>
        <v>WKO: Grundumlage</v>
      </c>
      <c r="H57" t="s">
        <v>165</v>
      </c>
      <c r="J57" t="s">
        <v>164</v>
      </c>
      <c r="N57" t="b">
        <f t="shared" si="14"/>
        <v>0</v>
      </c>
      <c r="O57" s="36">
        <v>65</v>
      </c>
      <c r="P57" s="51">
        <v>1</v>
      </c>
      <c r="Q57" s="27">
        <v>0</v>
      </c>
      <c r="R57" s="31">
        <f t="shared" si="23"/>
        <v>0</v>
      </c>
      <c r="S57" s="31">
        <f t="shared" si="24"/>
        <v>0</v>
      </c>
      <c r="T57" s="33">
        <f t="shared" si="15"/>
        <v>65</v>
      </c>
      <c r="U57" s="29">
        <f t="shared" si="16"/>
        <v>65</v>
      </c>
      <c r="V57" s="29">
        <f t="shared" si="17"/>
        <v>65</v>
      </c>
      <c r="W57" s="35">
        <f t="shared" si="18"/>
        <v>42415</v>
      </c>
      <c r="X57" s="35">
        <v>42414</v>
      </c>
      <c r="Z57" s="58">
        <f t="shared" si="19"/>
        <v>65</v>
      </c>
      <c r="AA57" s="31">
        <f t="shared" si="22"/>
        <v>0</v>
      </c>
      <c r="AB57" t="b">
        <f t="shared" si="20"/>
        <v>0</v>
      </c>
    </row>
    <row r="58" spans="1:28" x14ac:dyDescent="0.25">
      <c r="A58">
        <v>57</v>
      </c>
      <c r="D58" s="9" t="s">
        <v>171</v>
      </c>
      <c r="E58" s="1">
        <v>42316</v>
      </c>
      <c r="F58" s="1">
        <v>42318</v>
      </c>
      <c r="G58" s="1" t="str">
        <f t="shared" si="8"/>
        <v>Hetzner Online AG, Industriestr. 25, 91710 Gunzenhausen: EQ4 Server #50605 30TB 188.40.75.200, 188.40.75.242</v>
      </c>
      <c r="H58" t="s">
        <v>42</v>
      </c>
      <c r="I58" s="10" t="s">
        <v>154</v>
      </c>
      <c r="J58" t="s">
        <v>19</v>
      </c>
      <c r="N58" t="b">
        <f t="shared" si="14"/>
        <v>0</v>
      </c>
      <c r="O58" s="36">
        <v>42.02</v>
      </c>
      <c r="P58" s="51">
        <v>1</v>
      </c>
      <c r="Q58" s="27">
        <v>20</v>
      </c>
      <c r="R58" s="31">
        <f t="shared" si="23"/>
        <v>8.4040000000000017</v>
      </c>
      <c r="S58" s="31">
        <f t="shared" si="24"/>
        <v>8.4040000000000017</v>
      </c>
      <c r="T58" s="33">
        <f t="shared" si="15"/>
        <v>42.02</v>
      </c>
      <c r="U58" s="29">
        <f t="shared" si="16"/>
        <v>50.424000000000007</v>
      </c>
      <c r="V58" s="29">
        <f t="shared" si="17"/>
        <v>50.424000000000007</v>
      </c>
      <c r="W58" s="35">
        <f t="shared" si="18"/>
        <v>42415</v>
      </c>
      <c r="X58" s="35">
        <v>42414</v>
      </c>
      <c r="Z58" s="58">
        <f t="shared" si="19"/>
        <v>42.02</v>
      </c>
      <c r="AA58" s="31">
        <f t="shared" si="22"/>
        <v>0</v>
      </c>
      <c r="AB58" t="b">
        <f t="shared" si="20"/>
        <v>0</v>
      </c>
    </row>
    <row r="59" spans="1:28" x14ac:dyDescent="0.25">
      <c r="A59">
        <v>58</v>
      </c>
      <c r="D59" s="9" t="s">
        <v>169</v>
      </c>
      <c r="E59" s="1">
        <v>42328</v>
      </c>
      <c r="F59" s="1">
        <v>42329</v>
      </c>
      <c r="G59" s="1" t="str">
        <f t="shared" si="8"/>
        <v>Microsoft Luxembourg Sàrl, 23-29, Rives de Clausen, L-2165 Luxembourg, Luxembourg, USt-IdNr.: LU19878750: Office 365</v>
      </c>
      <c r="H59" t="s">
        <v>65</v>
      </c>
      <c r="I59" s="3" t="s">
        <v>160</v>
      </c>
      <c r="J59" t="s">
        <v>100</v>
      </c>
      <c r="N59" t="b">
        <f t="shared" si="14"/>
        <v>0</v>
      </c>
      <c r="O59" s="36">
        <v>5.83</v>
      </c>
      <c r="P59" s="51">
        <v>1</v>
      </c>
      <c r="Q59" s="27">
        <v>20</v>
      </c>
      <c r="R59" s="31">
        <f t="shared" si="23"/>
        <v>1.1659999999999999</v>
      </c>
      <c r="S59" s="31">
        <f t="shared" si="24"/>
        <v>1.1659999999999999</v>
      </c>
      <c r="T59" s="33">
        <f t="shared" si="15"/>
        <v>5.83</v>
      </c>
      <c r="U59" s="29">
        <f t="shared" si="16"/>
        <v>6.9960000000000004</v>
      </c>
      <c r="V59" s="29">
        <f t="shared" si="17"/>
        <v>6.9960000000000004</v>
      </c>
      <c r="W59" s="35">
        <f t="shared" si="18"/>
        <v>42415</v>
      </c>
      <c r="X59" s="35">
        <v>42414</v>
      </c>
      <c r="Z59" s="58">
        <f t="shared" si="19"/>
        <v>5.83</v>
      </c>
      <c r="AA59" s="31">
        <f t="shared" si="22"/>
        <v>0</v>
      </c>
      <c r="AB59" t="b">
        <f t="shared" si="20"/>
        <v>0</v>
      </c>
    </row>
    <row r="60" spans="1:28" x14ac:dyDescent="0.25">
      <c r="A60">
        <v>59</v>
      </c>
      <c r="D60" s="9" t="s">
        <v>170</v>
      </c>
      <c r="E60" s="1">
        <v>42334</v>
      </c>
      <c r="F60" s="1">
        <v>42342</v>
      </c>
      <c r="G60" s="1" t="str">
        <f t="shared" si="8"/>
        <v>Hutchison Drei Austria GmbH, Brünner Straße 52, 1210 Wien, Österreich: Rufnummer 0660 534 59 59</v>
      </c>
      <c r="H60" t="s">
        <v>34</v>
      </c>
      <c r="I60" t="s">
        <v>184</v>
      </c>
      <c r="J60" t="s">
        <v>35</v>
      </c>
      <c r="N60" t="b">
        <f t="shared" si="14"/>
        <v>0</v>
      </c>
      <c r="O60" s="36">
        <v>15.58</v>
      </c>
      <c r="P60" s="51">
        <v>0.6</v>
      </c>
      <c r="Q60" s="27">
        <v>20</v>
      </c>
      <c r="R60" s="31">
        <f t="shared" si="23"/>
        <v>3.1160000000000001</v>
      </c>
      <c r="S60" s="31">
        <f t="shared" si="24"/>
        <v>1.8695999999999999</v>
      </c>
      <c r="T60" s="33">
        <f t="shared" si="15"/>
        <v>9.347999999999999</v>
      </c>
      <c r="U60" s="29">
        <f t="shared" si="16"/>
        <v>18.696000000000002</v>
      </c>
      <c r="V60" s="29">
        <f t="shared" si="17"/>
        <v>11.217599999999999</v>
      </c>
      <c r="W60" s="35">
        <f t="shared" si="18"/>
        <v>42415</v>
      </c>
      <c r="X60" s="35">
        <v>42414</v>
      </c>
      <c r="Z60" s="58">
        <f t="shared" si="19"/>
        <v>9.347999999999999</v>
      </c>
      <c r="AA60" s="31">
        <f t="shared" si="22"/>
        <v>0</v>
      </c>
      <c r="AB60" t="b">
        <f t="shared" si="20"/>
        <v>0</v>
      </c>
    </row>
    <row r="61" spans="1:28" x14ac:dyDescent="0.25">
      <c r="A61">
        <v>60</v>
      </c>
      <c r="D61" s="9" t="s">
        <v>168</v>
      </c>
      <c r="E61" s="1">
        <v>42335</v>
      </c>
      <c r="F61" s="1">
        <v>42336</v>
      </c>
      <c r="G61" s="1" t="str">
        <f t="shared" si="8"/>
        <v>XING AG, D-20354 Hamburg, Dammtorstrasse 30: Xing Premium 3 Monate</v>
      </c>
      <c r="H61" t="s">
        <v>158</v>
      </c>
      <c r="I61" s="10" t="s">
        <v>159</v>
      </c>
      <c r="J61" t="s">
        <v>74</v>
      </c>
      <c r="N61" t="b">
        <f t="shared" si="14"/>
        <v>0</v>
      </c>
      <c r="O61" s="36">
        <v>24.87</v>
      </c>
      <c r="P61" s="51">
        <v>1</v>
      </c>
      <c r="Q61" s="27">
        <v>20</v>
      </c>
      <c r="R61" s="31">
        <f>4.98</f>
        <v>4.9800000000000004</v>
      </c>
      <c r="S61" s="31">
        <f t="shared" si="24"/>
        <v>4.9800000000000004</v>
      </c>
      <c r="T61" s="33">
        <f t="shared" si="15"/>
        <v>24.87</v>
      </c>
      <c r="U61" s="29">
        <f t="shared" si="16"/>
        <v>29.85</v>
      </c>
      <c r="V61" s="29">
        <f t="shared" si="17"/>
        <v>29.85</v>
      </c>
      <c r="W61" s="35">
        <f t="shared" si="18"/>
        <v>42415</v>
      </c>
      <c r="X61" s="35">
        <v>42414</v>
      </c>
      <c r="Z61" s="58">
        <f t="shared" si="19"/>
        <v>24.87</v>
      </c>
      <c r="AA61" s="31">
        <f t="shared" si="22"/>
        <v>0</v>
      </c>
      <c r="AB61" t="b">
        <f t="shared" si="20"/>
        <v>0</v>
      </c>
    </row>
    <row r="62" spans="1:28" x14ac:dyDescent="0.25">
      <c r="A62">
        <v>61</v>
      </c>
      <c r="D62" s="9" t="s">
        <v>167</v>
      </c>
      <c r="E62" s="1">
        <v>42346</v>
      </c>
      <c r="F62" s="1">
        <v>42348</v>
      </c>
      <c r="G62" s="1" t="str">
        <f t="shared" si="8"/>
        <v>Hetzner Online AG, Industriestr. 25, 91710 Gunzenhausen: EQ4 Server #50605 30TB 188.40.75.200, 188.40.75.242</v>
      </c>
      <c r="H62" t="s">
        <v>42</v>
      </c>
      <c r="I62" s="10" t="s">
        <v>154</v>
      </c>
      <c r="J62" t="s">
        <v>19</v>
      </c>
      <c r="N62" t="b">
        <f t="shared" si="14"/>
        <v>0</v>
      </c>
      <c r="O62" s="36">
        <v>42.02</v>
      </c>
      <c r="P62" s="51">
        <v>1</v>
      </c>
      <c r="Q62" s="27">
        <v>0</v>
      </c>
      <c r="R62" s="31">
        <f t="shared" ref="R62:R71" si="25">O62*Q62/100</f>
        <v>0</v>
      </c>
      <c r="S62" s="31">
        <f t="shared" si="24"/>
        <v>0</v>
      </c>
      <c r="T62" s="33">
        <f t="shared" si="15"/>
        <v>42.02</v>
      </c>
      <c r="U62" s="29">
        <f t="shared" si="16"/>
        <v>42.02</v>
      </c>
      <c r="V62" s="29">
        <f t="shared" si="17"/>
        <v>42.02</v>
      </c>
      <c r="W62" s="35">
        <f t="shared" si="18"/>
        <v>42415</v>
      </c>
      <c r="X62" s="35">
        <v>42414</v>
      </c>
      <c r="Y62" s="27">
        <v>20</v>
      </c>
      <c r="Z62" s="58">
        <f t="shared" si="19"/>
        <v>42.02</v>
      </c>
      <c r="AA62" s="31">
        <f t="shared" si="22"/>
        <v>8.4040000000000017</v>
      </c>
      <c r="AB62" t="b">
        <f t="shared" si="20"/>
        <v>0</v>
      </c>
    </row>
    <row r="63" spans="1:28" x14ac:dyDescent="0.25">
      <c r="A63">
        <v>62</v>
      </c>
      <c r="D63" s="9" t="s">
        <v>183</v>
      </c>
      <c r="E63" s="1">
        <v>42358</v>
      </c>
      <c r="F63" s="1">
        <v>42359</v>
      </c>
      <c r="G63" s="1" t="str">
        <f t="shared" si="8"/>
        <v>Microsoft Luxembourg Sàrl, 23-29, Rives de Clausen, L-2165 Luxembourg, Luxembourg, USt-IdNr.: LU19878750: Office 365</v>
      </c>
      <c r="H63" t="s">
        <v>65</v>
      </c>
      <c r="I63" s="3" t="s">
        <v>160</v>
      </c>
      <c r="J63" t="s">
        <v>100</v>
      </c>
      <c r="N63" t="b">
        <f t="shared" si="14"/>
        <v>0</v>
      </c>
      <c r="O63" s="36">
        <v>5.83</v>
      </c>
      <c r="P63" s="51">
        <v>1</v>
      </c>
      <c r="Q63" s="27">
        <v>20</v>
      </c>
      <c r="R63" s="31">
        <f t="shared" si="25"/>
        <v>1.1659999999999999</v>
      </c>
      <c r="S63" s="31">
        <f t="shared" si="24"/>
        <v>1.1659999999999999</v>
      </c>
      <c r="T63" s="33">
        <f t="shared" si="15"/>
        <v>5.83</v>
      </c>
      <c r="U63" s="29">
        <f t="shared" si="16"/>
        <v>6.9960000000000004</v>
      </c>
      <c r="V63" s="29">
        <f t="shared" si="17"/>
        <v>6.9960000000000004</v>
      </c>
      <c r="W63" s="35">
        <f t="shared" si="18"/>
        <v>42415</v>
      </c>
      <c r="X63" s="35">
        <v>42414</v>
      </c>
      <c r="Z63" s="58">
        <f t="shared" si="19"/>
        <v>5.83</v>
      </c>
      <c r="AA63" s="31">
        <f t="shared" si="22"/>
        <v>0</v>
      </c>
      <c r="AB63" t="b">
        <f t="shared" si="20"/>
        <v>0</v>
      </c>
    </row>
    <row r="64" spans="1:28" x14ac:dyDescent="0.25">
      <c r="A64">
        <v>63</v>
      </c>
      <c r="D64" s="9" t="s">
        <v>185</v>
      </c>
      <c r="E64" s="1">
        <v>42366</v>
      </c>
      <c r="F64" s="1">
        <v>42376</v>
      </c>
      <c r="G64" s="1" t="str">
        <f t="shared" si="8"/>
        <v>Hutchison Drei Austria GmbH, Brünner Straße 52, 1210 Wien, Österreich: Rufnummer 0660 534 59 59</v>
      </c>
      <c r="H64" t="s">
        <v>34</v>
      </c>
      <c r="I64" t="s">
        <v>184</v>
      </c>
      <c r="J64" t="s">
        <v>35</v>
      </c>
      <c r="N64" t="b">
        <f t="shared" si="14"/>
        <v>0</v>
      </c>
      <c r="O64" s="36">
        <v>36.090000000000003</v>
      </c>
      <c r="P64" s="51">
        <v>0.6</v>
      </c>
      <c r="Q64" s="27">
        <v>20</v>
      </c>
      <c r="R64" s="31">
        <f t="shared" si="25"/>
        <v>7.2180000000000009</v>
      </c>
      <c r="S64" s="31">
        <f t="shared" si="24"/>
        <v>4.3308</v>
      </c>
      <c r="T64" s="33">
        <f t="shared" si="15"/>
        <v>21.654</v>
      </c>
      <c r="U64" s="29">
        <f t="shared" si="16"/>
        <v>43.308000000000007</v>
      </c>
      <c r="V64" s="29">
        <f t="shared" si="17"/>
        <v>25.9848</v>
      </c>
      <c r="W64" s="35">
        <f t="shared" si="18"/>
        <v>42505</v>
      </c>
      <c r="X64" s="35">
        <v>42499</v>
      </c>
      <c r="Z64" s="58">
        <f t="shared" si="19"/>
        <v>21.654</v>
      </c>
      <c r="AA64" s="31">
        <f t="shared" si="22"/>
        <v>0</v>
      </c>
      <c r="AB64" t="b">
        <f t="shared" si="20"/>
        <v>0</v>
      </c>
    </row>
    <row r="65" spans="1:28" x14ac:dyDescent="0.25">
      <c r="A65">
        <v>64</v>
      </c>
      <c r="D65" s="9" t="s">
        <v>173</v>
      </c>
      <c r="E65" s="1">
        <v>42370</v>
      </c>
      <c r="F65" s="1">
        <v>42356</v>
      </c>
      <c r="G65" s="1" t="str">
        <f t="shared" si="8"/>
        <v>IMV Immobilien Management GmbH: Vorschreibung 1/16</v>
      </c>
      <c r="H65" t="s">
        <v>24</v>
      </c>
      <c r="I65" t="s">
        <v>174</v>
      </c>
      <c r="J65" t="s">
        <v>228</v>
      </c>
      <c r="N65" t="b">
        <f t="shared" si="14"/>
        <v>0</v>
      </c>
      <c r="O65" s="36">
        <v>797.98</v>
      </c>
      <c r="P65" s="51">
        <f>Arbeitszimmer!$B$3</f>
        <v>0.27320378419841473</v>
      </c>
      <c r="Q65" s="27">
        <v>10</v>
      </c>
      <c r="R65" s="31">
        <f t="shared" si="25"/>
        <v>79.798000000000002</v>
      </c>
      <c r="S65" s="31">
        <f t="shared" si="24"/>
        <v>21.8011155714651</v>
      </c>
      <c r="T65" s="33">
        <f t="shared" si="15"/>
        <v>218.01115571465098</v>
      </c>
      <c r="U65" s="29">
        <f t="shared" si="16"/>
        <v>877.77800000000002</v>
      </c>
      <c r="V65" s="29">
        <f t="shared" si="17"/>
        <v>239.81227128611607</v>
      </c>
      <c r="W65" s="35">
        <f t="shared" si="18"/>
        <v>42415</v>
      </c>
      <c r="X65" s="35">
        <v>42414</v>
      </c>
      <c r="Z65" s="58">
        <f t="shared" si="19"/>
        <v>218.01115571465098</v>
      </c>
      <c r="AA65" s="31">
        <f t="shared" si="22"/>
        <v>0</v>
      </c>
      <c r="AB65" t="b">
        <f t="shared" si="20"/>
        <v>0</v>
      </c>
    </row>
    <row r="66" spans="1:28" x14ac:dyDescent="0.25">
      <c r="A66">
        <v>65</v>
      </c>
      <c r="F66" s="1">
        <v>42368</v>
      </c>
      <c r="G66" s="1" t="str">
        <f t="shared" si="8"/>
        <v>Vorkasse: Cyberport GmbH, Europaplatz 3, 1150 Wien: HP Envy Phoenix 860-017ng PC i7-6700K 32GB/3TB 512GB SSD GTX 980 Ti Windows 10</v>
      </c>
      <c r="H66" t="s">
        <v>204</v>
      </c>
      <c r="I66" t="s">
        <v>206</v>
      </c>
      <c r="J66" t="s">
        <v>199</v>
      </c>
      <c r="K66" s="16">
        <v>5</v>
      </c>
      <c r="N66" t="b">
        <v>0</v>
      </c>
      <c r="O66" s="36">
        <v>2114.17</v>
      </c>
      <c r="P66" s="51">
        <v>1</v>
      </c>
      <c r="Q66" s="27">
        <v>0</v>
      </c>
      <c r="R66" s="31">
        <f t="shared" si="25"/>
        <v>0</v>
      </c>
      <c r="S66" s="31">
        <f t="shared" si="24"/>
        <v>0</v>
      </c>
      <c r="T66" s="33">
        <f t="shared" si="15"/>
        <v>2114.17</v>
      </c>
      <c r="U66" s="29">
        <f t="shared" ref="U66:U97" si="26">O66+R66</f>
        <v>2114.17</v>
      </c>
      <c r="V66" s="29">
        <f t="shared" ref="V66:V97" si="27">T66+S66</f>
        <v>2114.17</v>
      </c>
      <c r="W66" s="35">
        <f t="shared" ref="W66:W97" si="28">voranmeldefrist_vierteljaehrlich(F66)</f>
        <v>42415</v>
      </c>
      <c r="X66" s="35">
        <v>42414</v>
      </c>
      <c r="Y66" s="27">
        <v>20</v>
      </c>
      <c r="Z66" s="58">
        <f>O66/K66</f>
        <v>422.834</v>
      </c>
      <c r="AA66" s="31">
        <f t="shared" si="22"/>
        <v>422.83400000000006</v>
      </c>
      <c r="AB66" t="b">
        <f t="shared" ref="AB66:AB97" si="29">IF(AND(Y66&gt;0,Q66=Y66),TRUE,FALSE)</f>
        <v>0</v>
      </c>
    </row>
    <row r="67" spans="1:28" x14ac:dyDescent="0.25">
      <c r="A67">
        <v>66</v>
      </c>
      <c r="F67" s="1">
        <v>42368</v>
      </c>
      <c r="G67" s="1" t="str">
        <f t="shared" ref="G67:G130" si="30">CONCATENATE(H67,": ",J67)</f>
        <v>Vorkasse: Cyberport GmbH, Europaplatz 3, 1150 Wien: Versand und Servicekosten</v>
      </c>
      <c r="H67" t="s">
        <v>204</v>
      </c>
      <c r="I67" t="s">
        <v>206</v>
      </c>
      <c r="J67" t="s">
        <v>179</v>
      </c>
      <c r="N67" t="b">
        <f t="shared" ref="N67:N77" si="31">(IF(AND(K67&lt;&gt;"",ABS(T67)&gt;400),TRUE,FALSE))</f>
        <v>0</v>
      </c>
      <c r="O67" s="36">
        <v>6.66</v>
      </c>
      <c r="P67" s="51">
        <v>1</v>
      </c>
      <c r="Q67" s="27">
        <v>0</v>
      </c>
      <c r="R67" s="31">
        <f t="shared" si="25"/>
        <v>0</v>
      </c>
      <c r="S67" s="31">
        <f t="shared" si="24"/>
        <v>0</v>
      </c>
      <c r="T67" s="33">
        <f t="shared" si="15"/>
        <v>6.66</v>
      </c>
      <c r="U67" s="29">
        <f t="shared" si="26"/>
        <v>6.66</v>
      </c>
      <c r="V67" s="29">
        <f t="shared" si="27"/>
        <v>6.66</v>
      </c>
      <c r="W67" s="35">
        <f t="shared" si="28"/>
        <v>42415</v>
      </c>
      <c r="X67" s="35">
        <v>42414</v>
      </c>
      <c r="Y67" s="27">
        <v>20</v>
      </c>
      <c r="Z67" s="58">
        <f t="shared" ref="Z67:Z77" si="32">IF(N67=TRUE,T67/K67,T67)</f>
        <v>6.66</v>
      </c>
      <c r="AA67" s="31">
        <f t="shared" si="22"/>
        <v>1.3320000000000001</v>
      </c>
      <c r="AB67" t="b">
        <f t="shared" si="29"/>
        <v>0</v>
      </c>
    </row>
    <row r="68" spans="1:28" x14ac:dyDescent="0.25">
      <c r="A68">
        <v>67</v>
      </c>
      <c r="D68" s="9" t="s">
        <v>186</v>
      </c>
      <c r="E68" s="1">
        <v>42370</v>
      </c>
      <c r="F68" s="1">
        <v>42371</v>
      </c>
      <c r="G68" s="1" t="str">
        <f t="shared" si="30"/>
        <v>easyname GmbH, Fernkorngasse 10/3/501, 1110 Wien: Domain: jarosoft.at</v>
      </c>
      <c r="H68" t="s">
        <v>33</v>
      </c>
      <c r="I68" t="s">
        <v>187</v>
      </c>
      <c r="J68" t="s">
        <v>188</v>
      </c>
      <c r="N68" t="b">
        <f t="shared" si="31"/>
        <v>0</v>
      </c>
      <c r="O68" s="36">
        <v>12.42</v>
      </c>
      <c r="P68" s="51">
        <v>1</v>
      </c>
      <c r="Q68" s="27">
        <v>20</v>
      </c>
      <c r="R68" s="31">
        <f t="shared" si="25"/>
        <v>2.484</v>
      </c>
      <c r="S68" s="31">
        <f t="shared" si="24"/>
        <v>2.484</v>
      </c>
      <c r="T68" s="33">
        <f t="shared" si="15"/>
        <v>12.42</v>
      </c>
      <c r="U68" s="29">
        <f t="shared" si="26"/>
        <v>14.904</v>
      </c>
      <c r="V68" s="29">
        <f t="shared" si="27"/>
        <v>14.904</v>
      </c>
      <c r="W68" s="35">
        <f t="shared" si="28"/>
        <v>42505</v>
      </c>
      <c r="X68" s="35">
        <v>42499</v>
      </c>
      <c r="Z68" s="58">
        <f t="shared" si="32"/>
        <v>12.42</v>
      </c>
      <c r="AA68" s="31">
        <f t="shared" si="22"/>
        <v>0</v>
      </c>
      <c r="AB68" t="b">
        <f t="shared" si="29"/>
        <v>0</v>
      </c>
    </row>
    <row r="69" spans="1:28" x14ac:dyDescent="0.25">
      <c r="A69">
        <v>68</v>
      </c>
      <c r="D69" s="9" t="s">
        <v>189</v>
      </c>
      <c r="E69" s="1">
        <v>42377</v>
      </c>
      <c r="F69" s="1">
        <v>42381</v>
      </c>
      <c r="G69" s="1" t="str">
        <f t="shared" si="30"/>
        <v>Hetzner Online AG, Industriestr. 25, 91710 Gunzenhausen: EQ4 Server #50605 30TB 188.40.75.200, 188.40.75.242</v>
      </c>
      <c r="H69" t="s">
        <v>42</v>
      </c>
      <c r="I69" s="10" t="s">
        <v>154</v>
      </c>
      <c r="J69" t="s">
        <v>19</v>
      </c>
      <c r="N69" t="b">
        <f t="shared" si="31"/>
        <v>0</v>
      </c>
      <c r="O69" s="36">
        <v>42.02</v>
      </c>
      <c r="P69" s="51">
        <v>1</v>
      </c>
      <c r="Q69" s="27">
        <v>0</v>
      </c>
      <c r="R69" s="31">
        <f t="shared" si="25"/>
        <v>0</v>
      </c>
      <c r="S69" s="31">
        <f t="shared" si="24"/>
        <v>0</v>
      </c>
      <c r="T69" s="33">
        <f t="shared" si="15"/>
        <v>42.02</v>
      </c>
      <c r="U69" s="29">
        <f t="shared" si="26"/>
        <v>42.02</v>
      </c>
      <c r="V69" s="29">
        <f t="shared" si="27"/>
        <v>42.02</v>
      </c>
      <c r="W69" s="35">
        <f t="shared" si="28"/>
        <v>42505</v>
      </c>
      <c r="X69" s="35">
        <v>42499</v>
      </c>
      <c r="Y69" s="27">
        <v>20</v>
      </c>
      <c r="Z69" s="58">
        <f t="shared" si="32"/>
        <v>42.02</v>
      </c>
      <c r="AA69" s="31">
        <f t="shared" si="22"/>
        <v>8.4040000000000017</v>
      </c>
      <c r="AB69" t="b">
        <f t="shared" si="29"/>
        <v>0</v>
      </c>
    </row>
    <row r="70" spans="1:28" x14ac:dyDescent="0.25">
      <c r="A70">
        <v>69</v>
      </c>
      <c r="D70" s="9" t="s">
        <v>190</v>
      </c>
      <c r="E70" s="1">
        <v>42380</v>
      </c>
      <c r="F70" s="1">
        <v>42381</v>
      </c>
      <c r="G70" s="1" t="str">
        <f t="shared" si="30"/>
        <v>easyname GmbH, Fernkorngasse 10/3/501, 1110 Wien: Domain: dr-schiller.at</v>
      </c>
      <c r="H70" t="s">
        <v>33</v>
      </c>
      <c r="I70" t="s">
        <v>187</v>
      </c>
      <c r="J70" t="s">
        <v>191</v>
      </c>
      <c r="N70" t="b">
        <f t="shared" si="31"/>
        <v>0</v>
      </c>
      <c r="O70" s="36">
        <v>12.42</v>
      </c>
      <c r="P70" s="51">
        <v>1</v>
      </c>
      <c r="Q70" s="27">
        <v>20</v>
      </c>
      <c r="R70" s="31">
        <f t="shared" si="25"/>
        <v>2.484</v>
      </c>
      <c r="S70" s="31">
        <f t="shared" si="24"/>
        <v>2.484</v>
      </c>
      <c r="T70" s="33">
        <f t="shared" si="15"/>
        <v>12.42</v>
      </c>
      <c r="U70" s="29">
        <f t="shared" si="26"/>
        <v>14.904</v>
      </c>
      <c r="V70" s="29">
        <f t="shared" si="27"/>
        <v>14.904</v>
      </c>
      <c r="W70" s="35">
        <f t="shared" si="28"/>
        <v>42505</v>
      </c>
      <c r="X70" s="35">
        <v>42499</v>
      </c>
      <c r="Z70" s="58">
        <f t="shared" si="32"/>
        <v>12.42</v>
      </c>
      <c r="AA70" s="31">
        <f t="shared" si="22"/>
        <v>0</v>
      </c>
      <c r="AB70" t="b">
        <f t="shared" si="29"/>
        <v>0</v>
      </c>
    </row>
    <row r="71" spans="1:28" x14ac:dyDescent="0.25">
      <c r="A71">
        <v>70</v>
      </c>
      <c r="D71" s="21" t="s">
        <v>239</v>
      </c>
      <c r="E71" s="1">
        <v>42380</v>
      </c>
      <c r="F71" s="1">
        <v>42389</v>
      </c>
      <c r="G71" s="1" t="str">
        <f t="shared" si="30"/>
        <v xml:space="preserve">Niederösterr. Versicherung AG, Neue Herrengasse 10, 3100 St. Pölten: Haushaltsversicherung POL.3647872/0 EP 01/2016 </v>
      </c>
      <c r="H71" t="s">
        <v>194</v>
      </c>
      <c r="I71" t="s">
        <v>195</v>
      </c>
      <c r="J71" t="s">
        <v>193</v>
      </c>
      <c r="N71" t="b">
        <f t="shared" si="31"/>
        <v>0</v>
      </c>
      <c r="O71" s="36">
        <v>78.150000000000006</v>
      </c>
      <c r="P71" s="51">
        <f>Arbeitszimmer!$B$3</f>
        <v>0.27320378419841473</v>
      </c>
      <c r="Q71" s="27">
        <v>0</v>
      </c>
      <c r="R71" s="31">
        <f t="shared" si="25"/>
        <v>0</v>
      </c>
      <c r="S71" s="31">
        <f>P71*R71</f>
        <v>0</v>
      </c>
      <c r="T71" s="33">
        <f>O71*P71</f>
        <v>21.350875735106111</v>
      </c>
      <c r="U71" s="29">
        <f t="shared" si="26"/>
        <v>78.150000000000006</v>
      </c>
      <c r="V71" s="29">
        <f t="shared" si="27"/>
        <v>21.350875735106111</v>
      </c>
      <c r="W71" s="35">
        <f t="shared" si="28"/>
        <v>42505</v>
      </c>
      <c r="X71" s="35">
        <v>42499</v>
      </c>
      <c r="Z71" s="58">
        <f t="shared" si="32"/>
        <v>21.350875735106111</v>
      </c>
      <c r="AA71" s="31">
        <f t="shared" si="22"/>
        <v>0</v>
      </c>
      <c r="AB71" t="b">
        <f t="shared" si="29"/>
        <v>0</v>
      </c>
    </row>
    <row r="72" spans="1:28" x14ac:dyDescent="0.25">
      <c r="A72">
        <v>71</v>
      </c>
      <c r="D72" s="21" t="s">
        <v>282</v>
      </c>
      <c r="E72" s="1">
        <v>42370</v>
      </c>
      <c r="F72" s="1">
        <v>42384</v>
      </c>
      <c r="G72" s="1" t="str">
        <f t="shared" si="30"/>
        <v>VERBUND AG, Postfach 8400, 1011 Wien, Österreich: Teilzahlungsbetrag Strom 34000015227</v>
      </c>
      <c r="H72" t="s">
        <v>57</v>
      </c>
      <c r="J72" t="s">
        <v>197</v>
      </c>
      <c r="N72" t="b">
        <f t="shared" si="31"/>
        <v>0</v>
      </c>
      <c r="O72" s="36">
        <v>137.5</v>
      </c>
      <c r="P72" s="51">
        <f>Arbeitszimmer!$B$3</f>
        <v>0.27320378419841473</v>
      </c>
      <c r="Q72" s="27">
        <v>20</v>
      </c>
      <c r="R72" s="31">
        <f t="shared" ref="R72:R88" si="33">O72*Q72/100</f>
        <v>27.5</v>
      </c>
      <c r="S72" s="31">
        <f t="shared" ref="S72:S88" si="34">P72*R72</f>
        <v>7.513104065456405</v>
      </c>
      <c r="T72" s="33">
        <f t="shared" ref="T72:T88" si="35">O72*P72</f>
        <v>37.565520327282023</v>
      </c>
      <c r="U72" s="29">
        <f t="shared" si="26"/>
        <v>165</v>
      </c>
      <c r="V72" s="29">
        <f t="shared" si="27"/>
        <v>45.078624392738426</v>
      </c>
      <c r="W72" s="35">
        <f t="shared" si="28"/>
        <v>42505</v>
      </c>
      <c r="X72" s="35">
        <v>42499</v>
      </c>
      <c r="Z72" s="58">
        <f t="shared" si="32"/>
        <v>37.565520327282023</v>
      </c>
      <c r="AA72" s="31">
        <f t="shared" si="22"/>
        <v>0</v>
      </c>
      <c r="AB72" t="b">
        <f t="shared" si="29"/>
        <v>0</v>
      </c>
    </row>
    <row r="73" spans="1:28" x14ac:dyDescent="0.25">
      <c r="A73">
        <v>72</v>
      </c>
      <c r="D73" s="9" t="s">
        <v>286</v>
      </c>
      <c r="E73" s="1">
        <v>42370</v>
      </c>
      <c r="F73" s="1">
        <v>42384</v>
      </c>
      <c r="G73" s="1" t="str">
        <f t="shared" si="30"/>
        <v>MONTANA Energie-Handel AT GmbH: Teilzahlungsbetrag Gas 140000099</v>
      </c>
      <c r="H73" t="s">
        <v>58</v>
      </c>
      <c r="J73" t="s">
        <v>196</v>
      </c>
      <c r="N73" t="b">
        <f t="shared" si="31"/>
        <v>0</v>
      </c>
      <c r="O73" s="36">
        <v>52.5</v>
      </c>
      <c r="P73" s="51">
        <f>Arbeitszimmer!$B$3</f>
        <v>0.27320378419841473</v>
      </c>
      <c r="Q73" s="27">
        <v>20</v>
      </c>
      <c r="R73" s="31">
        <f t="shared" si="33"/>
        <v>10.5</v>
      </c>
      <c r="S73" s="31">
        <f t="shared" si="34"/>
        <v>2.8686397340833549</v>
      </c>
      <c r="T73" s="33">
        <f t="shared" si="35"/>
        <v>14.343198670416774</v>
      </c>
      <c r="U73" s="29">
        <f t="shared" si="26"/>
        <v>63</v>
      </c>
      <c r="V73" s="29">
        <f t="shared" si="27"/>
        <v>17.211838404500128</v>
      </c>
      <c r="W73" s="35">
        <f t="shared" si="28"/>
        <v>42505</v>
      </c>
      <c r="X73" s="35">
        <v>42499</v>
      </c>
      <c r="Z73" s="58">
        <f t="shared" si="32"/>
        <v>14.343198670416774</v>
      </c>
      <c r="AA73" s="31">
        <f t="shared" si="22"/>
        <v>0</v>
      </c>
      <c r="AB73" t="b">
        <f t="shared" si="29"/>
        <v>0</v>
      </c>
    </row>
    <row r="74" spans="1:28" x14ac:dyDescent="0.25">
      <c r="A74">
        <v>73</v>
      </c>
      <c r="D74" s="9" t="s">
        <v>192</v>
      </c>
      <c r="E74" s="1">
        <v>42389</v>
      </c>
      <c r="F74" s="1">
        <v>42390</v>
      </c>
      <c r="G74" s="1" t="str">
        <f t="shared" si="30"/>
        <v>Microsoft Luxembourg Sàrl, 23-29, Rives de Clausen, L-2165 Luxembourg, Luxembourg, USt-IdNr.: LU19878750: Office 365</v>
      </c>
      <c r="H74" t="s">
        <v>65</v>
      </c>
      <c r="I74" s="3" t="s">
        <v>160</v>
      </c>
      <c r="J74" t="s">
        <v>100</v>
      </c>
      <c r="N74" t="b">
        <f t="shared" si="31"/>
        <v>0</v>
      </c>
      <c r="O74" s="36">
        <v>5.83</v>
      </c>
      <c r="P74" s="51">
        <v>1</v>
      </c>
      <c r="Q74" s="27">
        <v>20</v>
      </c>
      <c r="R74" s="31">
        <f t="shared" si="33"/>
        <v>1.1659999999999999</v>
      </c>
      <c r="S74" s="31">
        <f t="shared" si="34"/>
        <v>1.1659999999999999</v>
      </c>
      <c r="T74" s="33">
        <f t="shared" si="35"/>
        <v>5.83</v>
      </c>
      <c r="U74" s="29">
        <f t="shared" si="26"/>
        <v>6.9960000000000004</v>
      </c>
      <c r="V74" s="29">
        <f t="shared" si="27"/>
        <v>6.9960000000000004</v>
      </c>
      <c r="W74" s="35">
        <f t="shared" si="28"/>
        <v>42505</v>
      </c>
      <c r="X74" s="35">
        <v>42499</v>
      </c>
      <c r="Z74" s="58">
        <f t="shared" si="32"/>
        <v>5.83</v>
      </c>
      <c r="AA74" s="31">
        <f t="shared" si="22"/>
        <v>0</v>
      </c>
      <c r="AB74" t="b">
        <f t="shared" si="29"/>
        <v>0</v>
      </c>
    </row>
    <row r="75" spans="1:28" x14ac:dyDescent="0.25">
      <c r="A75">
        <v>74</v>
      </c>
      <c r="D75" s="9" t="s">
        <v>198</v>
      </c>
      <c r="E75" s="1">
        <v>42408</v>
      </c>
      <c r="F75" s="1">
        <v>42410</v>
      </c>
      <c r="G75" s="1" t="str">
        <f t="shared" si="30"/>
        <v>Hetzner Online AG, Industriestr. 25, 91710 Gunzenhausen: EQ4 Server #50605 30TB 188.40.75.200, 188.40.75.242</v>
      </c>
      <c r="H75" t="s">
        <v>42</v>
      </c>
      <c r="I75" s="10" t="s">
        <v>154</v>
      </c>
      <c r="J75" t="s">
        <v>19</v>
      </c>
      <c r="N75" t="b">
        <f t="shared" si="31"/>
        <v>0</v>
      </c>
      <c r="O75" s="36">
        <v>42.02</v>
      </c>
      <c r="P75" s="51">
        <v>1</v>
      </c>
      <c r="Q75" s="27">
        <v>0</v>
      </c>
      <c r="R75" s="31">
        <f t="shared" si="33"/>
        <v>0</v>
      </c>
      <c r="S75" s="31">
        <f t="shared" si="34"/>
        <v>0</v>
      </c>
      <c r="T75" s="33">
        <f t="shared" si="35"/>
        <v>42.02</v>
      </c>
      <c r="U75" s="29">
        <f t="shared" si="26"/>
        <v>42.02</v>
      </c>
      <c r="V75" s="29">
        <f t="shared" si="27"/>
        <v>42.02</v>
      </c>
      <c r="W75" s="35">
        <f t="shared" si="28"/>
        <v>42505</v>
      </c>
      <c r="X75" s="35">
        <v>42499</v>
      </c>
      <c r="Y75" s="27">
        <v>20</v>
      </c>
      <c r="Z75" s="58">
        <f t="shared" si="32"/>
        <v>42.02</v>
      </c>
      <c r="AA75" s="31">
        <f t="shared" si="22"/>
        <v>8.4040000000000017</v>
      </c>
      <c r="AB75" t="b">
        <f t="shared" si="29"/>
        <v>0</v>
      </c>
    </row>
    <row r="76" spans="1:28" x14ac:dyDescent="0.25">
      <c r="A76">
        <v>75</v>
      </c>
      <c r="D76" s="9" t="s">
        <v>207</v>
      </c>
      <c r="E76" s="1">
        <v>42395</v>
      </c>
      <c r="F76" s="1">
        <v>42404</v>
      </c>
      <c r="G76" s="1" t="str">
        <f t="shared" si="30"/>
        <v>Hutchison Drei Austria GmbH, Brünner Straße 52, 1210 Wien, Österreich: Rufnummer 0660 534 59 59</v>
      </c>
      <c r="H76" t="s">
        <v>34</v>
      </c>
      <c r="I76" t="s">
        <v>184</v>
      </c>
      <c r="J76" t="s">
        <v>35</v>
      </c>
      <c r="N76" t="b">
        <f t="shared" si="31"/>
        <v>0</v>
      </c>
      <c r="O76" s="36">
        <v>15</v>
      </c>
      <c r="P76" s="51">
        <v>0.6</v>
      </c>
      <c r="Q76" s="27">
        <v>20</v>
      </c>
      <c r="R76" s="31">
        <f t="shared" si="33"/>
        <v>3</v>
      </c>
      <c r="S76" s="31">
        <f t="shared" si="34"/>
        <v>1.7999999999999998</v>
      </c>
      <c r="T76" s="33">
        <f t="shared" si="35"/>
        <v>9</v>
      </c>
      <c r="U76" s="29">
        <f t="shared" si="26"/>
        <v>18</v>
      </c>
      <c r="V76" s="29">
        <f t="shared" si="27"/>
        <v>10.8</v>
      </c>
      <c r="W76" s="35">
        <f t="shared" si="28"/>
        <v>42505</v>
      </c>
      <c r="X76" s="35">
        <v>42499</v>
      </c>
      <c r="Z76" s="58">
        <f t="shared" si="32"/>
        <v>9</v>
      </c>
      <c r="AA76" s="31">
        <f t="shared" si="22"/>
        <v>0</v>
      </c>
      <c r="AB76" t="b">
        <f t="shared" si="29"/>
        <v>0</v>
      </c>
    </row>
    <row r="77" spans="1:28" x14ac:dyDescent="0.25">
      <c r="A77">
        <v>76</v>
      </c>
      <c r="D77" s="9" t="s">
        <v>208</v>
      </c>
      <c r="E77" s="1">
        <v>42409</v>
      </c>
      <c r="F77" s="1">
        <v>42411</v>
      </c>
      <c r="G77" s="1" t="str">
        <f t="shared" si="30"/>
        <v>easyname GmbH, Fernkorngasse 10/3/501, 1110 Wien: Domain: amweg.at</v>
      </c>
      <c r="H77" t="s">
        <v>33</v>
      </c>
      <c r="I77" t="s">
        <v>187</v>
      </c>
      <c r="J77" t="s">
        <v>209</v>
      </c>
      <c r="N77" t="b">
        <f t="shared" si="31"/>
        <v>0</v>
      </c>
      <c r="O77" s="36">
        <v>12.42</v>
      </c>
      <c r="P77" s="51">
        <v>1</v>
      </c>
      <c r="Q77" s="27">
        <v>20</v>
      </c>
      <c r="R77" s="31">
        <f t="shared" si="33"/>
        <v>2.484</v>
      </c>
      <c r="S77" s="31">
        <f t="shared" si="34"/>
        <v>2.484</v>
      </c>
      <c r="T77" s="33">
        <f t="shared" si="35"/>
        <v>12.42</v>
      </c>
      <c r="U77" s="29">
        <f t="shared" si="26"/>
        <v>14.904</v>
      </c>
      <c r="V77" s="29">
        <f t="shared" si="27"/>
        <v>14.904</v>
      </c>
      <c r="W77" s="35">
        <f t="shared" si="28"/>
        <v>42505</v>
      </c>
      <c r="X77" s="35">
        <v>42499</v>
      </c>
      <c r="Z77" s="58">
        <f t="shared" si="32"/>
        <v>12.42</v>
      </c>
      <c r="AA77" s="31">
        <f t="shared" si="22"/>
        <v>0</v>
      </c>
      <c r="AB77" t="b">
        <f t="shared" si="29"/>
        <v>0</v>
      </c>
    </row>
    <row r="78" spans="1:28" x14ac:dyDescent="0.25">
      <c r="A78">
        <v>77</v>
      </c>
      <c r="D78" s="9" t="s">
        <v>205</v>
      </c>
      <c r="E78" s="1">
        <v>42409</v>
      </c>
      <c r="F78" s="1">
        <v>42411</v>
      </c>
      <c r="G78" s="1" t="str">
        <f t="shared" si="30"/>
        <v>Cyberport GmbH, Europaplatz 3, 1150 Wien: Rückerstattung wg. Nichtlieferbarkeit: HP Envy Phoenix 860-017ng PC i7-6700K 32GB/3TB 512GB SSD GTX 980 Ti Windows 10</v>
      </c>
      <c r="H78" t="s">
        <v>178</v>
      </c>
      <c r="I78" t="s">
        <v>206</v>
      </c>
      <c r="J78" t="s">
        <v>200</v>
      </c>
      <c r="K78" s="16">
        <v>5</v>
      </c>
      <c r="N78" t="b">
        <v>0</v>
      </c>
      <c r="O78" s="36">
        <v>-2114.17</v>
      </c>
      <c r="P78" s="51">
        <v>1</v>
      </c>
      <c r="Q78" s="27">
        <v>0</v>
      </c>
      <c r="R78" s="31">
        <f t="shared" si="33"/>
        <v>0</v>
      </c>
      <c r="S78" s="31">
        <f t="shared" si="34"/>
        <v>0</v>
      </c>
      <c r="T78" s="33">
        <f t="shared" si="35"/>
        <v>-2114.17</v>
      </c>
      <c r="U78" s="29">
        <f t="shared" si="26"/>
        <v>-2114.17</v>
      </c>
      <c r="V78" s="29">
        <f t="shared" si="27"/>
        <v>-2114.17</v>
      </c>
      <c r="W78" s="35">
        <f t="shared" si="28"/>
        <v>42505</v>
      </c>
      <c r="X78" s="35">
        <v>42499</v>
      </c>
      <c r="Y78" s="27">
        <v>20</v>
      </c>
      <c r="Z78" s="58">
        <f>O78/K78</f>
        <v>-422.834</v>
      </c>
      <c r="AA78" s="31">
        <f t="shared" si="22"/>
        <v>-422.83400000000006</v>
      </c>
      <c r="AB78" t="b">
        <f t="shared" si="29"/>
        <v>0</v>
      </c>
    </row>
    <row r="79" spans="1:28" x14ac:dyDescent="0.25">
      <c r="A79">
        <v>78</v>
      </c>
      <c r="D79" s="9" t="s">
        <v>205</v>
      </c>
      <c r="E79" s="1">
        <v>42409</v>
      </c>
      <c r="F79" s="1">
        <v>42411</v>
      </c>
      <c r="G79" s="1" t="str">
        <f t="shared" si="30"/>
        <v>Cyberport GmbH, Europaplatz 3, 1150 Wien: Rückerstattung wg. Nichtlieferbarkeit: Versand und Servicekosten</v>
      </c>
      <c r="H79" t="s">
        <v>178</v>
      </c>
      <c r="I79" t="s">
        <v>206</v>
      </c>
      <c r="J79" t="s">
        <v>201</v>
      </c>
      <c r="N79" t="b">
        <f t="shared" ref="N79:N111" si="36">(IF(AND(K79&lt;&gt;"",ABS(T79)&gt;400),TRUE,FALSE))</f>
        <v>0</v>
      </c>
      <c r="O79" s="36">
        <v>-6.66</v>
      </c>
      <c r="P79" s="51">
        <v>1</v>
      </c>
      <c r="Q79" s="27">
        <v>0</v>
      </c>
      <c r="R79" s="31">
        <f t="shared" si="33"/>
        <v>0</v>
      </c>
      <c r="S79" s="31">
        <f t="shared" si="34"/>
        <v>0</v>
      </c>
      <c r="T79" s="33">
        <f t="shared" si="35"/>
        <v>-6.66</v>
      </c>
      <c r="U79" s="29">
        <f t="shared" si="26"/>
        <v>-6.66</v>
      </c>
      <c r="V79" s="29">
        <f t="shared" si="27"/>
        <v>-6.66</v>
      </c>
      <c r="W79" s="35">
        <f t="shared" si="28"/>
        <v>42505</v>
      </c>
      <c r="X79" s="35">
        <v>42499</v>
      </c>
      <c r="Y79" s="27">
        <v>20</v>
      </c>
      <c r="Z79" s="58">
        <f t="shared" ref="Z79:Z90" si="37">IF(N79=TRUE,T79/K79,T79)</f>
        <v>-6.66</v>
      </c>
      <c r="AA79" s="31">
        <f t="shared" si="22"/>
        <v>-1.3320000000000001</v>
      </c>
      <c r="AB79" t="b">
        <f t="shared" si="29"/>
        <v>0</v>
      </c>
    </row>
    <row r="80" spans="1:28" x14ac:dyDescent="0.25">
      <c r="A80">
        <v>79</v>
      </c>
      <c r="D80" s="9" t="s">
        <v>205</v>
      </c>
      <c r="E80" s="1">
        <v>42409</v>
      </c>
      <c r="F80" s="1">
        <v>42411</v>
      </c>
      <c r="G80" s="1" t="str">
        <f t="shared" si="30"/>
        <v>Cyberport GmbH, Europaplatz 3, 1150 Wien: Versand und Servicekosten</v>
      </c>
      <c r="H80" t="s">
        <v>178</v>
      </c>
      <c r="I80" t="s">
        <v>206</v>
      </c>
      <c r="J80" t="s">
        <v>179</v>
      </c>
      <c r="N80" t="b">
        <f t="shared" si="36"/>
        <v>0</v>
      </c>
      <c r="O80" s="36">
        <v>6.66</v>
      </c>
      <c r="P80" s="51">
        <v>1</v>
      </c>
      <c r="Q80" s="27">
        <v>0</v>
      </c>
      <c r="R80" s="31">
        <f t="shared" si="33"/>
        <v>0</v>
      </c>
      <c r="S80" s="31">
        <f t="shared" si="34"/>
        <v>0</v>
      </c>
      <c r="T80" s="33">
        <f t="shared" si="35"/>
        <v>6.66</v>
      </c>
      <c r="U80" s="29">
        <f t="shared" si="26"/>
        <v>6.66</v>
      </c>
      <c r="V80" s="29">
        <f t="shared" si="27"/>
        <v>6.66</v>
      </c>
      <c r="W80" s="35">
        <f t="shared" si="28"/>
        <v>42505</v>
      </c>
      <c r="X80" s="35">
        <v>42499</v>
      </c>
      <c r="Y80" s="27">
        <v>20</v>
      </c>
      <c r="Z80" s="58">
        <f t="shared" si="37"/>
        <v>6.66</v>
      </c>
      <c r="AA80" s="31">
        <f t="shared" si="22"/>
        <v>1.3320000000000001</v>
      </c>
      <c r="AB80" t="b">
        <f t="shared" si="29"/>
        <v>0</v>
      </c>
    </row>
    <row r="81" spans="1:28" x14ac:dyDescent="0.25">
      <c r="A81">
        <v>80</v>
      </c>
      <c r="D81" s="9" t="s">
        <v>205</v>
      </c>
      <c r="E81" s="1">
        <v>42409</v>
      </c>
      <c r="F81" s="1">
        <v>42411</v>
      </c>
      <c r="G81" s="1" t="str">
        <f t="shared" si="30"/>
        <v>Cyberport GmbH, Europaplatz 3, 1150 Wien: Lenovo Ideacentre Y900-34ISZ -90DD000QGE</v>
      </c>
      <c r="H81" t="s">
        <v>178</v>
      </c>
      <c r="I81" t="s">
        <v>206</v>
      </c>
      <c r="J81" t="s">
        <v>202</v>
      </c>
      <c r="K81" s="16">
        <v>5</v>
      </c>
      <c r="N81" t="b">
        <f t="shared" si="36"/>
        <v>1</v>
      </c>
      <c r="O81" s="36">
        <v>1871.67</v>
      </c>
      <c r="P81" s="51">
        <v>1</v>
      </c>
      <c r="Q81" s="27">
        <v>0</v>
      </c>
      <c r="R81" s="31">
        <f t="shared" si="33"/>
        <v>0</v>
      </c>
      <c r="S81" s="31">
        <f t="shared" si="34"/>
        <v>0</v>
      </c>
      <c r="T81" s="33">
        <f t="shared" si="35"/>
        <v>1871.67</v>
      </c>
      <c r="U81" s="29">
        <f t="shared" si="26"/>
        <v>1871.67</v>
      </c>
      <c r="V81" s="29">
        <f t="shared" si="27"/>
        <v>1871.67</v>
      </c>
      <c r="W81" s="35">
        <f t="shared" si="28"/>
        <v>42505</v>
      </c>
      <c r="X81" s="35">
        <v>42499</v>
      </c>
      <c r="Y81" s="27">
        <v>20</v>
      </c>
      <c r="Z81" s="58">
        <f t="shared" si="37"/>
        <v>374.334</v>
      </c>
      <c r="AA81" s="31">
        <f t="shared" si="22"/>
        <v>374.33400000000006</v>
      </c>
      <c r="AB81" t="b">
        <f t="shared" si="29"/>
        <v>0</v>
      </c>
    </row>
    <row r="82" spans="1:28" x14ac:dyDescent="0.25">
      <c r="A82">
        <v>81</v>
      </c>
      <c r="D82" s="9" t="s">
        <v>205</v>
      </c>
      <c r="E82" s="1">
        <v>42409</v>
      </c>
      <c r="F82" s="1">
        <v>42411</v>
      </c>
      <c r="G82" s="1" t="str">
        <f t="shared" si="30"/>
        <v>Cyberport GmbH, Europaplatz 3, 1150 Wien: Samsung SSD 850 EVO 500GB MZ-75E500B/EU</v>
      </c>
      <c r="H82" t="s">
        <v>178</v>
      </c>
      <c r="I82" t="s">
        <v>206</v>
      </c>
      <c r="J82" t="s">
        <v>203</v>
      </c>
      <c r="N82" t="b">
        <f t="shared" si="36"/>
        <v>0</v>
      </c>
      <c r="O82" s="36">
        <v>153.33000000000001</v>
      </c>
      <c r="P82" s="51">
        <v>1</v>
      </c>
      <c r="Q82" s="27">
        <v>0</v>
      </c>
      <c r="R82" s="31">
        <f t="shared" si="33"/>
        <v>0</v>
      </c>
      <c r="S82" s="31">
        <f t="shared" si="34"/>
        <v>0</v>
      </c>
      <c r="T82" s="33">
        <f t="shared" si="35"/>
        <v>153.33000000000001</v>
      </c>
      <c r="U82" s="29">
        <f t="shared" si="26"/>
        <v>153.33000000000001</v>
      </c>
      <c r="V82" s="29">
        <f t="shared" si="27"/>
        <v>153.33000000000001</v>
      </c>
      <c r="W82" s="35">
        <f t="shared" si="28"/>
        <v>42505</v>
      </c>
      <c r="X82" s="35">
        <v>42499</v>
      </c>
      <c r="Y82" s="27">
        <v>20</v>
      </c>
      <c r="Z82" s="58">
        <f t="shared" si="37"/>
        <v>153.33000000000001</v>
      </c>
      <c r="AA82" s="31">
        <f t="shared" si="22"/>
        <v>30.666000000000004</v>
      </c>
      <c r="AB82" t="b">
        <f t="shared" si="29"/>
        <v>0</v>
      </c>
    </row>
    <row r="83" spans="1:28" x14ac:dyDescent="0.25">
      <c r="A83">
        <v>82</v>
      </c>
      <c r="D83" s="9" t="s">
        <v>220</v>
      </c>
      <c r="E83" s="1">
        <v>42401</v>
      </c>
      <c r="F83" s="1">
        <v>42415</v>
      </c>
      <c r="G83" s="1" t="str">
        <f t="shared" si="30"/>
        <v>IMV Immobilien Management GmbH: Vorschreibung 2/16</v>
      </c>
      <c r="H83" t="s">
        <v>24</v>
      </c>
      <c r="I83" t="s">
        <v>174</v>
      </c>
      <c r="J83" t="s">
        <v>224</v>
      </c>
      <c r="N83" t="b">
        <f t="shared" si="36"/>
        <v>0</v>
      </c>
      <c r="O83" s="36">
        <v>797.98</v>
      </c>
      <c r="P83" s="51">
        <f>Arbeitszimmer!$B$3</f>
        <v>0.27320378419841473</v>
      </c>
      <c r="Q83" s="27">
        <v>10</v>
      </c>
      <c r="R83" s="31">
        <f t="shared" si="33"/>
        <v>79.798000000000002</v>
      </c>
      <c r="S83" s="31">
        <f t="shared" si="34"/>
        <v>21.8011155714651</v>
      </c>
      <c r="T83" s="33">
        <f t="shared" si="35"/>
        <v>218.01115571465098</v>
      </c>
      <c r="U83" s="29">
        <f t="shared" si="26"/>
        <v>877.77800000000002</v>
      </c>
      <c r="V83" s="29">
        <f t="shared" si="27"/>
        <v>239.81227128611607</v>
      </c>
      <c r="W83" s="35">
        <f t="shared" si="28"/>
        <v>42505</v>
      </c>
      <c r="X83" s="35">
        <v>42499</v>
      </c>
      <c r="Z83" s="58">
        <f t="shared" si="37"/>
        <v>218.01115571465098</v>
      </c>
      <c r="AA83" s="31">
        <f t="shared" si="22"/>
        <v>0</v>
      </c>
      <c r="AB83" t="b">
        <f t="shared" si="29"/>
        <v>0</v>
      </c>
    </row>
    <row r="84" spans="1:28" x14ac:dyDescent="0.25">
      <c r="A84">
        <v>83</v>
      </c>
      <c r="D84" s="9" t="s">
        <v>221</v>
      </c>
      <c r="E84" s="1">
        <v>42430</v>
      </c>
      <c r="F84" s="1">
        <v>42426</v>
      </c>
      <c r="G84" s="1" t="str">
        <f t="shared" si="30"/>
        <v>IMV Immobilien Management GmbH: Vorschreibung 3/16</v>
      </c>
      <c r="H84" t="s">
        <v>24</v>
      </c>
      <c r="I84" t="s">
        <v>174</v>
      </c>
      <c r="J84" t="s">
        <v>225</v>
      </c>
      <c r="N84" t="b">
        <f t="shared" si="36"/>
        <v>0</v>
      </c>
      <c r="O84" s="36">
        <v>801.77</v>
      </c>
      <c r="P84" s="51">
        <f>Arbeitszimmer!$B$3</f>
        <v>0.27320378419841473</v>
      </c>
      <c r="Q84" s="27">
        <v>10</v>
      </c>
      <c r="R84" s="31">
        <f t="shared" si="33"/>
        <v>80.176999999999992</v>
      </c>
      <c r="S84" s="31">
        <f t="shared" si="34"/>
        <v>21.904659805676296</v>
      </c>
      <c r="T84" s="33">
        <f t="shared" si="35"/>
        <v>219.04659805676297</v>
      </c>
      <c r="U84" s="29">
        <f t="shared" si="26"/>
        <v>881.947</v>
      </c>
      <c r="V84" s="29">
        <f t="shared" si="27"/>
        <v>240.95125786243926</v>
      </c>
      <c r="W84" s="35">
        <f t="shared" si="28"/>
        <v>42505</v>
      </c>
      <c r="X84" s="35">
        <v>42499</v>
      </c>
      <c r="Z84" s="58">
        <f t="shared" si="37"/>
        <v>219.04659805676297</v>
      </c>
      <c r="AA84" s="31">
        <f t="shared" si="22"/>
        <v>0</v>
      </c>
      <c r="AB84" t="b">
        <f t="shared" si="29"/>
        <v>0</v>
      </c>
    </row>
    <row r="85" spans="1:28" x14ac:dyDescent="0.25">
      <c r="A85">
        <v>84</v>
      </c>
      <c r="D85" s="9" t="s">
        <v>222</v>
      </c>
      <c r="E85" s="1">
        <v>42461</v>
      </c>
      <c r="F85" s="1">
        <v>42458</v>
      </c>
      <c r="G85" s="1" t="str">
        <f t="shared" si="30"/>
        <v>IMV Immobilien Management GmbH: Vorschreibung 4/16</v>
      </c>
      <c r="H85" t="s">
        <v>24</v>
      </c>
      <c r="I85" t="s">
        <v>174</v>
      </c>
      <c r="J85" t="s">
        <v>226</v>
      </c>
      <c r="N85" t="b">
        <f t="shared" si="36"/>
        <v>0</v>
      </c>
      <c r="O85" s="36">
        <v>801.77</v>
      </c>
      <c r="P85" s="51">
        <f>Arbeitszimmer!$B$3</f>
        <v>0.27320378419841473</v>
      </c>
      <c r="Q85" s="27">
        <v>10</v>
      </c>
      <c r="R85" s="31">
        <f t="shared" si="33"/>
        <v>80.176999999999992</v>
      </c>
      <c r="S85" s="31">
        <f t="shared" si="34"/>
        <v>21.904659805676296</v>
      </c>
      <c r="T85" s="33">
        <f t="shared" si="35"/>
        <v>219.04659805676297</v>
      </c>
      <c r="U85" s="29">
        <f t="shared" si="26"/>
        <v>881.947</v>
      </c>
      <c r="V85" s="29">
        <f t="shared" si="27"/>
        <v>240.95125786243926</v>
      </c>
      <c r="W85" s="35">
        <f t="shared" si="28"/>
        <v>42505</v>
      </c>
      <c r="X85" s="35">
        <v>42499</v>
      </c>
      <c r="Z85" s="58">
        <f t="shared" si="37"/>
        <v>219.04659805676297</v>
      </c>
      <c r="AA85" s="31">
        <f t="shared" si="22"/>
        <v>0</v>
      </c>
      <c r="AB85" t="b">
        <f t="shared" si="29"/>
        <v>0</v>
      </c>
    </row>
    <row r="86" spans="1:28" x14ac:dyDescent="0.25">
      <c r="A86">
        <v>85</v>
      </c>
      <c r="D86" s="9" t="s">
        <v>223</v>
      </c>
      <c r="E86" s="1">
        <v>42491</v>
      </c>
      <c r="F86" s="1">
        <v>42485</v>
      </c>
      <c r="G86" s="1" t="str">
        <f t="shared" si="30"/>
        <v>IMV Immobilien Management GmbH: Vorschreibung 5/16</v>
      </c>
      <c r="H86" t="s">
        <v>24</v>
      </c>
      <c r="I86" t="s">
        <v>174</v>
      </c>
      <c r="J86" t="s">
        <v>227</v>
      </c>
      <c r="N86" t="b">
        <f t="shared" si="36"/>
        <v>0</v>
      </c>
      <c r="O86" s="36">
        <v>801.77</v>
      </c>
      <c r="P86" s="51">
        <f>Arbeitszimmer!$B$3</f>
        <v>0.27320378419841473</v>
      </c>
      <c r="Q86" s="27">
        <v>10</v>
      </c>
      <c r="R86" s="31">
        <f t="shared" si="33"/>
        <v>80.176999999999992</v>
      </c>
      <c r="S86" s="31">
        <f t="shared" si="34"/>
        <v>21.904659805676296</v>
      </c>
      <c r="T86" s="33">
        <f t="shared" si="35"/>
        <v>219.04659805676297</v>
      </c>
      <c r="U86" s="29">
        <f t="shared" si="26"/>
        <v>881.947</v>
      </c>
      <c r="V86" s="29">
        <f t="shared" si="27"/>
        <v>240.95125786243926</v>
      </c>
      <c r="W86" s="35">
        <f t="shared" si="28"/>
        <v>42597</v>
      </c>
      <c r="X86" s="35">
        <v>42600</v>
      </c>
      <c r="Z86" s="58">
        <f t="shared" si="37"/>
        <v>219.04659805676297</v>
      </c>
      <c r="AA86" s="31">
        <f t="shared" si="22"/>
        <v>0</v>
      </c>
      <c r="AB86" t="b">
        <f t="shared" si="29"/>
        <v>0</v>
      </c>
    </row>
    <row r="87" spans="1:28" x14ac:dyDescent="0.25">
      <c r="A87">
        <v>86</v>
      </c>
      <c r="D87" s="9" t="s">
        <v>161</v>
      </c>
      <c r="E87" s="1">
        <v>42390</v>
      </c>
      <c r="F87" s="1">
        <v>42423</v>
      </c>
      <c r="G87" s="1" t="str">
        <f t="shared" si="30"/>
        <v>Sozialversicherungsanstalt der gewerblichen Wirtschaft, Landesstelle Wien, Wiedner Hauptstraße 84-86, A-1051 Wien: Vorschreibung Q1/16</v>
      </c>
      <c r="H87" t="s">
        <v>70</v>
      </c>
      <c r="J87" t="s">
        <v>229</v>
      </c>
      <c r="N87" t="b">
        <f t="shared" si="36"/>
        <v>0</v>
      </c>
      <c r="O87" s="36">
        <v>580.86</v>
      </c>
      <c r="P87" s="51">
        <v>1</v>
      </c>
      <c r="Q87" s="27">
        <v>0</v>
      </c>
      <c r="R87" s="31">
        <f t="shared" si="33"/>
        <v>0</v>
      </c>
      <c r="S87" s="31">
        <f t="shared" si="34"/>
        <v>0</v>
      </c>
      <c r="T87" s="33">
        <f t="shared" si="35"/>
        <v>580.86</v>
      </c>
      <c r="U87" s="29">
        <f t="shared" si="26"/>
        <v>580.86</v>
      </c>
      <c r="V87" s="29">
        <f t="shared" si="27"/>
        <v>580.86</v>
      </c>
      <c r="W87" s="35">
        <f t="shared" si="28"/>
        <v>42505</v>
      </c>
      <c r="X87" s="35">
        <v>42499</v>
      </c>
      <c r="Z87" s="58">
        <f t="shared" si="37"/>
        <v>580.86</v>
      </c>
      <c r="AA87" s="31">
        <f t="shared" si="22"/>
        <v>0</v>
      </c>
      <c r="AB87" t="b">
        <f t="shared" si="29"/>
        <v>0</v>
      </c>
    </row>
    <row r="88" spans="1:28" x14ac:dyDescent="0.25">
      <c r="A88">
        <v>87</v>
      </c>
      <c r="D88" s="9" t="s">
        <v>240</v>
      </c>
      <c r="E88" s="1">
        <v>42415</v>
      </c>
      <c r="F88" s="1">
        <v>42413</v>
      </c>
      <c r="G88" s="1" t="str">
        <f t="shared" si="30"/>
        <v>Reichelt Elektronik GmbH &amp; Co. KG, Elektronikring 1, 26452 Sande, Deutschand: 4 TB Samsung D3 Station USB 3.0</v>
      </c>
      <c r="H88" t="s">
        <v>242</v>
      </c>
      <c r="I88" t="s">
        <v>243</v>
      </c>
      <c r="J88" t="s">
        <v>244</v>
      </c>
      <c r="N88" t="b">
        <f t="shared" si="36"/>
        <v>0</v>
      </c>
      <c r="O88" s="36">
        <v>123.69</v>
      </c>
      <c r="P88" s="51">
        <v>1</v>
      </c>
      <c r="Q88" s="27">
        <v>0</v>
      </c>
      <c r="R88" s="31">
        <f t="shared" si="33"/>
        <v>0</v>
      </c>
      <c r="S88" s="31">
        <f t="shared" si="34"/>
        <v>0</v>
      </c>
      <c r="T88" s="33">
        <f t="shared" si="35"/>
        <v>123.69</v>
      </c>
      <c r="U88" s="29">
        <f t="shared" si="26"/>
        <v>123.69</v>
      </c>
      <c r="V88" s="29">
        <f t="shared" si="27"/>
        <v>123.69</v>
      </c>
      <c r="W88" s="35">
        <f t="shared" si="28"/>
        <v>42505</v>
      </c>
      <c r="X88" s="35">
        <v>42499</v>
      </c>
      <c r="Y88" s="27">
        <v>20</v>
      </c>
      <c r="Z88" s="58">
        <f t="shared" si="37"/>
        <v>123.69</v>
      </c>
      <c r="AA88" s="31">
        <f t="shared" si="22"/>
        <v>24.738</v>
      </c>
      <c r="AB88" t="b">
        <f t="shared" si="29"/>
        <v>0</v>
      </c>
    </row>
    <row r="89" spans="1:28" x14ac:dyDescent="0.25">
      <c r="A89">
        <v>88</v>
      </c>
      <c r="D89" s="9" t="s">
        <v>241</v>
      </c>
      <c r="E89" s="1">
        <v>42416</v>
      </c>
      <c r="F89" s="1">
        <v>42417</v>
      </c>
      <c r="G89" s="1" t="str">
        <f t="shared" si="30"/>
        <v>computeruniverse GmbH, Grüner Weg 14, 61169 Friedberg, Deutschland: DeLOCK SATA Kabel, Crucial BX200 SSD, Zyxel GS-1050BV3 Switch</v>
      </c>
      <c r="H89" t="s">
        <v>245</v>
      </c>
      <c r="I89" t="s">
        <v>246</v>
      </c>
      <c r="J89" t="s">
        <v>247</v>
      </c>
      <c r="N89" t="b">
        <f t="shared" si="36"/>
        <v>0</v>
      </c>
      <c r="O89" s="36">
        <v>85.41</v>
      </c>
      <c r="P89" s="51">
        <v>1</v>
      </c>
      <c r="Q89" s="27">
        <v>0</v>
      </c>
      <c r="R89" s="31">
        <f>O89*Q89/100</f>
        <v>0</v>
      </c>
      <c r="S89" s="31">
        <f t="shared" ref="S89:S120" si="38">P89*R89</f>
        <v>0</v>
      </c>
      <c r="T89" s="33">
        <f t="shared" ref="T89:T120" si="39">O89*P89</f>
        <v>85.41</v>
      </c>
      <c r="U89" s="29">
        <f t="shared" si="26"/>
        <v>85.41</v>
      </c>
      <c r="V89" s="29">
        <f t="shared" si="27"/>
        <v>85.41</v>
      </c>
      <c r="W89" s="35">
        <f t="shared" si="28"/>
        <v>42505</v>
      </c>
      <c r="X89" s="35">
        <v>42499</v>
      </c>
      <c r="Y89" s="27">
        <v>20</v>
      </c>
      <c r="Z89" s="58">
        <f t="shared" si="37"/>
        <v>85.41</v>
      </c>
      <c r="AA89" s="31">
        <f t="shared" si="22"/>
        <v>17.082000000000001</v>
      </c>
      <c r="AB89" t="b">
        <f t="shared" si="29"/>
        <v>0</v>
      </c>
    </row>
    <row r="90" spans="1:28" x14ac:dyDescent="0.25">
      <c r="A90">
        <v>89</v>
      </c>
      <c r="D90" s="9" t="s">
        <v>253</v>
      </c>
      <c r="E90" s="1">
        <v>42420</v>
      </c>
      <c r="F90" s="1">
        <v>42422</v>
      </c>
      <c r="G90" s="1" t="str">
        <f t="shared" si="30"/>
        <v>Microsoft Luxembourg Sàrl, 23-29, Rives de Clausen, L-2165 Luxembourg, Luxembourg, USt-IdNr.: LU19878750: Office 365</v>
      </c>
      <c r="H90" t="s">
        <v>65</v>
      </c>
      <c r="I90" s="3" t="s">
        <v>160</v>
      </c>
      <c r="J90" t="s">
        <v>100</v>
      </c>
      <c r="N90" t="b">
        <f t="shared" si="36"/>
        <v>0</v>
      </c>
      <c r="O90" s="36">
        <v>5.83</v>
      </c>
      <c r="P90" s="51">
        <v>1</v>
      </c>
      <c r="Q90" s="27">
        <v>20</v>
      </c>
      <c r="R90" s="31">
        <f>O90*Q90/100</f>
        <v>1.1659999999999999</v>
      </c>
      <c r="S90" s="31">
        <f t="shared" si="38"/>
        <v>1.1659999999999999</v>
      </c>
      <c r="T90" s="33">
        <f t="shared" si="39"/>
        <v>5.83</v>
      </c>
      <c r="U90" s="29">
        <f t="shared" si="26"/>
        <v>6.9960000000000004</v>
      </c>
      <c r="V90" s="29">
        <f t="shared" si="27"/>
        <v>6.9960000000000004</v>
      </c>
      <c r="W90" s="35">
        <f t="shared" si="28"/>
        <v>42505</v>
      </c>
      <c r="X90" s="35">
        <v>42499</v>
      </c>
      <c r="Z90" s="58">
        <f t="shared" si="37"/>
        <v>5.83</v>
      </c>
      <c r="AA90" s="31">
        <f t="shared" si="22"/>
        <v>0</v>
      </c>
      <c r="AB90" t="b">
        <f t="shared" si="29"/>
        <v>0</v>
      </c>
    </row>
    <row r="91" spans="1:28" x14ac:dyDescent="0.25">
      <c r="A91">
        <v>90</v>
      </c>
      <c r="D91" s="9" t="s">
        <v>255</v>
      </c>
      <c r="E91" s="1">
        <v>42424</v>
      </c>
      <c r="F91" s="1">
        <v>42424</v>
      </c>
      <c r="G91" s="1" t="str">
        <f t="shared" si="30"/>
        <v>Hartlauer Handelsges.m.b.H., Wipplingerstr. 15, 1010 Wien: cBird elektronische Kassa</v>
      </c>
      <c r="H91" t="s">
        <v>252</v>
      </c>
      <c r="I91" t="s">
        <v>251</v>
      </c>
      <c r="J91" t="s">
        <v>250</v>
      </c>
      <c r="N91" t="b">
        <f t="shared" si="36"/>
        <v>0</v>
      </c>
      <c r="O91" s="36">
        <v>166.62</v>
      </c>
      <c r="P91" s="51">
        <v>1</v>
      </c>
      <c r="Q91" s="27">
        <v>20</v>
      </c>
      <c r="R91" s="31">
        <v>33.33</v>
      </c>
      <c r="S91" s="31">
        <f t="shared" si="38"/>
        <v>33.33</v>
      </c>
      <c r="T91" s="33">
        <f t="shared" si="39"/>
        <v>166.62</v>
      </c>
      <c r="U91" s="29">
        <f t="shared" si="26"/>
        <v>199.95</v>
      </c>
      <c r="V91" s="29">
        <f t="shared" si="27"/>
        <v>199.95</v>
      </c>
      <c r="W91" s="35">
        <f t="shared" si="28"/>
        <v>42505</v>
      </c>
      <c r="X91" s="35">
        <v>42499</v>
      </c>
      <c r="Z91" s="58">
        <f>IF(N92=TRUE,T92/K92,T92)</f>
        <v>9</v>
      </c>
      <c r="AA91" s="31">
        <f>Y91/100*V92</f>
        <v>0</v>
      </c>
      <c r="AB91" t="b">
        <f t="shared" si="29"/>
        <v>0</v>
      </c>
    </row>
    <row r="92" spans="1:28" x14ac:dyDescent="0.25">
      <c r="A92">
        <v>91</v>
      </c>
      <c r="D92" s="9" t="s">
        <v>254</v>
      </c>
      <c r="E92" s="1">
        <v>42425</v>
      </c>
      <c r="F92" s="1">
        <v>42436</v>
      </c>
      <c r="G92" s="1" t="str">
        <f t="shared" si="30"/>
        <v>Hutchison Drei Austria GmbH, Brünner Straße 52, 1210 Wien, Österreich: Rufnummer 0660 534 59 59</v>
      </c>
      <c r="H92" t="s">
        <v>34</v>
      </c>
      <c r="I92" t="s">
        <v>184</v>
      </c>
      <c r="J92" t="s">
        <v>35</v>
      </c>
      <c r="N92" t="b">
        <f t="shared" si="36"/>
        <v>0</v>
      </c>
      <c r="O92" s="36">
        <v>15</v>
      </c>
      <c r="P92" s="51">
        <v>0.6</v>
      </c>
      <c r="Q92" s="27">
        <v>20</v>
      </c>
      <c r="R92" s="31">
        <f>O92*Q92/100</f>
        <v>3</v>
      </c>
      <c r="S92" s="31">
        <f t="shared" si="38"/>
        <v>1.7999999999999998</v>
      </c>
      <c r="T92" s="33">
        <f t="shared" si="39"/>
        <v>9</v>
      </c>
      <c r="U92" s="29">
        <f t="shared" si="26"/>
        <v>18</v>
      </c>
      <c r="V92" s="29">
        <f t="shared" si="27"/>
        <v>10.8</v>
      </c>
      <c r="W92" s="35">
        <f t="shared" si="28"/>
        <v>42505</v>
      </c>
      <c r="X92" s="35">
        <v>42499</v>
      </c>
      <c r="Z92" s="58">
        <f>IF(N91=TRUE,T91/K91,T91)</f>
        <v>166.62</v>
      </c>
      <c r="AA92" s="31">
        <f>Y92/100*V91</f>
        <v>0</v>
      </c>
      <c r="AB92" t="b">
        <f t="shared" si="29"/>
        <v>0</v>
      </c>
    </row>
    <row r="93" spans="1:28" x14ac:dyDescent="0.25">
      <c r="A93">
        <v>92</v>
      </c>
      <c r="D93" s="9" t="s">
        <v>259</v>
      </c>
      <c r="E93" s="1">
        <v>42427</v>
      </c>
      <c r="F93" s="1">
        <v>42430</v>
      </c>
      <c r="G93" s="1" t="str">
        <f t="shared" si="30"/>
        <v>XING AG, D-20354 Hamburg, Dammtorstrasse 30: Xing Premium 3 Monate</v>
      </c>
      <c r="H93" t="s">
        <v>158</v>
      </c>
      <c r="I93" s="10" t="s">
        <v>159</v>
      </c>
      <c r="J93" t="s">
        <v>74</v>
      </c>
      <c r="N93" t="b">
        <f t="shared" si="36"/>
        <v>0</v>
      </c>
      <c r="O93" s="36">
        <v>24.87</v>
      </c>
      <c r="P93" s="51">
        <v>1</v>
      </c>
      <c r="Q93" s="27">
        <v>20</v>
      </c>
      <c r="R93" s="31">
        <f>4.98</f>
        <v>4.9800000000000004</v>
      </c>
      <c r="S93" s="31">
        <f t="shared" si="38"/>
        <v>4.9800000000000004</v>
      </c>
      <c r="T93" s="33">
        <f t="shared" si="39"/>
        <v>24.87</v>
      </c>
      <c r="U93" s="29">
        <f t="shared" si="26"/>
        <v>29.85</v>
      </c>
      <c r="V93" s="29">
        <f t="shared" si="27"/>
        <v>29.85</v>
      </c>
      <c r="W93" s="35">
        <f t="shared" si="28"/>
        <v>42505</v>
      </c>
      <c r="X93" s="35">
        <v>42499</v>
      </c>
      <c r="Z93" s="58">
        <f>IF(N92=TRUE,T92/K92,T92)</f>
        <v>9</v>
      </c>
      <c r="AA93" s="31">
        <f>Y93/100*V92</f>
        <v>0</v>
      </c>
      <c r="AB93" t="b">
        <f t="shared" si="29"/>
        <v>0</v>
      </c>
    </row>
    <row r="94" spans="1:28" x14ac:dyDescent="0.25">
      <c r="A94">
        <v>93</v>
      </c>
      <c r="D94" s="9" t="s">
        <v>260</v>
      </c>
      <c r="E94" s="1">
        <v>42437</v>
      </c>
      <c r="F94" s="1">
        <v>42439</v>
      </c>
      <c r="G94" s="1" t="str">
        <f t="shared" si="30"/>
        <v>Hetzner Online AG, Industriestr. 25, 91710 Gunzenhausen: EQ4 Server #50605 30TB 188.40.75.200, 188.40.75.242</v>
      </c>
      <c r="H94" t="s">
        <v>42</v>
      </c>
      <c r="I94" s="10" t="s">
        <v>154</v>
      </c>
      <c r="J94" t="s">
        <v>19</v>
      </c>
      <c r="N94" t="b">
        <f t="shared" si="36"/>
        <v>0</v>
      </c>
      <c r="O94" s="36">
        <v>42.02</v>
      </c>
      <c r="P94" s="51">
        <v>1</v>
      </c>
      <c r="Q94" s="27">
        <v>0</v>
      </c>
      <c r="R94" s="31">
        <f>O94*Q94/100</f>
        <v>0</v>
      </c>
      <c r="S94" s="31">
        <f t="shared" si="38"/>
        <v>0</v>
      </c>
      <c r="T94" s="33">
        <f t="shared" si="39"/>
        <v>42.02</v>
      </c>
      <c r="U94" s="29">
        <f t="shared" si="26"/>
        <v>42.02</v>
      </c>
      <c r="V94" s="29">
        <f t="shared" si="27"/>
        <v>42.02</v>
      </c>
      <c r="W94" s="35">
        <f t="shared" si="28"/>
        <v>42505</v>
      </c>
      <c r="X94" s="35">
        <v>42499</v>
      </c>
      <c r="Y94" s="27">
        <v>20</v>
      </c>
      <c r="Z94" s="58">
        <f t="shared" ref="Z94:Z125" si="40">IF(N94=TRUE,T94/K94,T94)</f>
        <v>42.02</v>
      </c>
      <c r="AA94" s="31">
        <f>Y94/100*V94</f>
        <v>8.4040000000000017</v>
      </c>
      <c r="AB94" t="b">
        <f t="shared" si="29"/>
        <v>0</v>
      </c>
    </row>
    <row r="95" spans="1:28" x14ac:dyDescent="0.25">
      <c r="A95">
        <v>94</v>
      </c>
      <c r="D95" s="9" t="s">
        <v>262</v>
      </c>
      <c r="E95" s="1">
        <v>42436</v>
      </c>
      <c r="F95" s="1">
        <v>42435</v>
      </c>
      <c r="G95" s="1" t="str">
        <f t="shared" si="30"/>
        <v>Vistaprint B.V., Hudsonweg 8, 5928 LW Venlo, Niederlande: Visitenkarten 1x100</v>
      </c>
      <c r="H95" t="s">
        <v>37</v>
      </c>
      <c r="I95" s="10" t="s">
        <v>263</v>
      </c>
      <c r="J95" t="s">
        <v>261</v>
      </c>
      <c r="N95" t="b">
        <f t="shared" si="36"/>
        <v>0</v>
      </c>
      <c r="O95" s="36">
        <v>34.97</v>
      </c>
      <c r="P95" s="51">
        <v>1</v>
      </c>
      <c r="Q95" s="27">
        <v>20</v>
      </c>
      <c r="R95" s="31">
        <v>7</v>
      </c>
      <c r="S95" s="31">
        <f t="shared" si="38"/>
        <v>7</v>
      </c>
      <c r="T95" s="33">
        <f t="shared" si="39"/>
        <v>34.97</v>
      </c>
      <c r="U95" s="29">
        <f t="shared" si="26"/>
        <v>41.97</v>
      </c>
      <c r="V95" s="29">
        <f t="shared" si="27"/>
        <v>41.97</v>
      </c>
      <c r="W95" s="35">
        <f t="shared" si="28"/>
        <v>42505</v>
      </c>
      <c r="X95" s="35">
        <v>42499</v>
      </c>
      <c r="Z95" s="58">
        <f t="shared" si="40"/>
        <v>34.97</v>
      </c>
      <c r="AA95" s="31">
        <f>Y95/100*V94</f>
        <v>0</v>
      </c>
      <c r="AB95" t="b">
        <f t="shared" si="29"/>
        <v>0</v>
      </c>
    </row>
    <row r="96" spans="1:28" x14ac:dyDescent="0.25">
      <c r="A96">
        <v>95</v>
      </c>
      <c r="D96" s="9" t="s">
        <v>266</v>
      </c>
      <c r="E96" s="1">
        <v>42449</v>
      </c>
      <c r="F96" s="1">
        <v>42450</v>
      </c>
      <c r="G96" s="1" t="str">
        <f t="shared" si="30"/>
        <v xml:space="preserve">Microsoft Luxembourg Sàrl, 23-29, Rives de Clausen, L-2165 Luxembourg, Luxembourg, USt-IdNr.: LU19878750: </v>
      </c>
      <c r="H96" t="s">
        <v>65</v>
      </c>
      <c r="N96" t="b">
        <f t="shared" si="36"/>
        <v>0</v>
      </c>
      <c r="O96" s="36">
        <v>5.83</v>
      </c>
      <c r="P96" s="51">
        <v>1</v>
      </c>
      <c r="Q96" s="27">
        <v>20</v>
      </c>
      <c r="R96" s="31">
        <f t="shared" ref="R96:R106" si="41">O96*Q96/100</f>
        <v>1.1659999999999999</v>
      </c>
      <c r="S96" s="31">
        <f t="shared" si="38"/>
        <v>1.1659999999999999</v>
      </c>
      <c r="T96" s="33">
        <f t="shared" si="39"/>
        <v>5.83</v>
      </c>
      <c r="U96" s="29">
        <f t="shared" si="26"/>
        <v>6.9960000000000004</v>
      </c>
      <c r="V96" s="29">
        <f t="shared" si="27"/>
        <v>6.9960000000000004</v>
      </c>
      <c r="W96" s="35">
        <f t="shared" si="28"/>
        <v>42505</v>
      </c>
      <c r="X96" s="35">
        <v>42499</v>
      </c>
      <c r="Z96" s="58">
        <f t="shared" si="40"/>
        <v>5.83</v>
      </c>
      <c r="AA96" s="31">
        <f t="shared" ref="AA96:AA109" si="42">Y96/100*V96</f>
        <v>0</v>
      </c>
      <c r="AB96" t="b">
        <f t="shared" si="29"/>
        <v>0</v>
      </c>
    </row>
    <row r="97" spans="1:28" x14ac:dyDescent="0.25">
      <c r="A97">
        <v>96</v>
      </c>
      <c r="D97" s="9" t="s">
        <v>267</v>
      </c>
      <c r="E97" s="1">
        <v>42451</v>
      </c>
      <c r="F97" s="1">
        <v>42453</v>
      </c>
      <c r="G97" s="1" t="str">
        <f t="shared" si="30"/>
        <v>easyname GmbH, Fernkorngasse 10/3/501, 1110 Wien: Domain kolbitsch.eu</v>
      </c>
      <c r="H97" t="s">
        <v>33</v>
      </c>
      <c r="I97" t="s">
        <v>187</v>
      </c>
      <c r="J97" t="s">
        <v>268</v>
      </c>
      <c r="N97" t="b">
        <f t="shared" si="36"/>
        <v>0</v>
      </c>
      <c r="O97" s="36">
        <v>12.42</v>
      </c>
      <c r="P97" s="51">
        <v>1</v>
      </c>
      <c r="Q97" s="27">
        <v>20</v>
      </c>
      <c r="R97" s="31">
        <f t="shared" si="41"/>
        <v>2.484</v>
      </c>
      <c r="S97" s="31">
        <f t="shared" si="38"/>
        <v>2.484</v>
      </c>
      <c r="T97" s="33">
        <f t="shared" si="39"/>
        <v>12.42</v>
      </c>
      <c r="U97" s="29">
        <f t="shared" si="26"/>
        <v>14.904</v>
      </c>
      <c r="V97" s="29">
        <f t="shared" si="27"/>
        <v>14.904</v>
      </c>
      <c r="W97" s="35">
        <f t="shared" si="28"/>
        <v>42505</v>
      </c>
      <c r="X97" s="35">
        <v>42499</v>
      </c>
      <c r="Z97" s="58">
        <f t="shared" si="40"/>
        <v>12.42</v>
      </c>
      <c r="AA97" s="31">
        <f t="shared" si="42"/>
        <v>0</v>
      </c>
      <c r="AB97" t="b">
        <f t="shared" si="29"/>
        <v>0</v>
      </c>
    </row>
    <row r="98" spans="1:28" x14ac:dyDescent="0.25">
      <c r="A98">
        <v>97</v>
      </c>
      <c r="D98" s="9" t="s">
        <v>269</v>
      </c>
      <c r="E98" s="1">
        <v>42453</v>
      </c>
      <c r="F98" s="1">
        <v>42461</v>
      </c>
      <c r="G98" s="1" t="str">
        <f t="shared" si="30"/>
        <v>Hutchison Drei Austria GmbH, Brünner Straße 52, 1210 Wien, Österreich: Rufnummer 0660 534 59 59</v>
      </c>
      <c r="H98" t="s">
        <v>34</v>
      </c>
      <c r="J98" t="s">
        <v>35</v>
      </c>
      <c r="N98" t="b">
        <f t="shared" si="36"/>
        <v>0</v>
      </c>
      <c r="O98" s="36">
        <v>15</v>
      </c>
      <c r="P98" s="51">
        <v>1</v>
      </c>
      <c r="Q98" s="27">
        <v>20</v>
      </c>
      <c r="R98" s="31">
        <f t="shared" si="41"/>
        <v>3</v>
      </c>
      <c r="S98" s="31">
        <f t="shared" si="38"/>
        <v>3</v>
      </c>
      <c r="T98" s="33">
        <f t="shared" si="39"/>
        <v>15</v>
      </c>
      <c r="U98" s="29">
        <f t="shared" ref="U98:U122" si="43">O98+R98</f>
        <v>18</v>
      </c>
      <c r="V98" s="29">
        <f t="shared" ref="V98:V129" si="44">T98+S98</f>
        <v>18</v>
      </c>
      <c r="W98" s="35">
        <f t="shared" ref="W98:W116" si="45">voranmeldefrist_vierteljaehrlich(F98)</f>
        <v>42597</v>
      </c>
      <c r="X98" s="35">
        <v>42600</v>
      </c>
      <c r="Z98" s="58">
        <f t="shared" si="40"/>
        <v>15</v>
      </c>
      <c r="AA98" s="31">
        <f t="shared" si="42"/>
        <v>0</v>
      </c>
      <c r="AB98" t="b">
        <f t="shared" ref="AB98:AB129" si="46">IF(AND(Y98&gt;0,Q98=Y98),TRUE,FALSE)</f>
        <v>0</v>
      </c>
    </row>
    <row r="99" spans="1:28" x14ac:dyDescent="0.25">
      <c r="A99">
        <v>98</v>
      </c>
      <c r="D99" s="9" t="s">
        <v>264</v>
      </c>
      <c r="E99" s="1">
        <v>42460</v>
      </c>
      <c r="F99" s="1">
        <v>42461</v>
      </c>
      <c r="G99" s="1" t="str">
        <f t="shared" si="30"/>
        <v>Amazon EU Sàrl, 5 Rue Plaetis, L-2338, Luxemburg: Lenovo TAB 2 A10-70F</v>
      </c>
      <c r="H99" t="s">
        <v>72</v>
      </c>
      <c r="I99" s="10" t="s">
        <v>157</v>
      </c>
      <c r="J99" t="s">
        <v>265</v>
      </c>
      <c r="K99" s="16">
        <v>3</v>
      </c>
      <c r="N99" t="b">
        <f t="shared" si="36"/>
        <v>0</v>
      </c>
      <c r="O99" s="36">
        <v>184.03</v>
      </c>
      <c r="P99" s="51">
        <v>1</v>
      </c>
      <c r="Q99" s="27">
        <v>20</v>
      </c>
      <c r="R99" s="31">
        <f t="shared" si="41"/>
        <v>36.805999999999997</v>
      </c>
      <c r="S99" s="31">
        <f t="shared" si="38"/>
        <v>36.805999999999997</v>
      </c>
      <c r="T99" s="33">
        <f t="shared" si="39"/>
        <v>184.03</v>
      </c>
      <c r="U99" s="29">
        <f t="shared" si="43"/>
        <v>220.83600000000001</v>
      </c>
      <c r="V99" s="29">
        <f t="shared" si="44"/>
        <v>220.83600000000001</v>
      </c>
      <c r="W99" s="35">
        <f t="shared" si="45"/>
        <v>42597</v>
      </c>
      <c r="X99" s="35">
        <v>42600</v>
      </c>
      <c r="Z99" s="58">
        <f t="shared" si="40"/>
        <v>184.03</v>
      </c>
      <c r="AA99" s="31">
        <f t="shared" si="42"/>
        <v>0</v>
      </c>
      <c r="AB99" t="b">
        <f t="shared" si="46"/>
        <v>0</v>
      </c>
    </row>
    <row r="100" spans="1:28" s="22" customFormat="1" x14ac:dyDescent="0.25">
      <c r="A100" s="22">
        <v>99</v>
      </c>
      <c r="B100" s="54"/>
      <c r="C100" s="54"/>
      <c r="D100" s="23" t="s">
        <v>285</v>
      </c>
      <c r="E100" s="24">
        <v>42461</v>
      </c>
      <c r="F100" s="24">
        <v>42475</v>
      </c>
      <c r="G100" s="1" t="str">
        <f t="shared" si="30"/>
        <v>MONTANA Energie-Handel AT GmbH: Teilzahlungsbetrag Gas 140000099</v>
      </c>
      <c r="H100" s="22" t="s">
        <v>58</v>
      </c>
      <c r="J100" s="22" t="s">
        <v>196</v>
      </c>
      <c r="K100" s="25"/>
      <c r="L100" s="25"/>
      <c r="M100" s="25"/>
      <c r="N100" s="22" t="b">
        <f t="shared" si="36"/>
        <v>0</v>
      </c>
      <c r="O100" s="36">
        <v>52.33</v>
      </c>
      <c r="P100" s="51">
        <f>Arbeitszimmer!$B$3</f>
        <v>0.27320378419841473</v>
      </c>
      <c r="Q100" s="27">
        <v>20</v>
      </c>
      <c r="R100" s="31">
        <f t="shared" si="41"/>
        <v>10.465999999999999</v>
      </c>
      <c r="S100" s="31">
        <f t="shared" si="38"/>
        <v>2.8593508054206085</v>
      </c>
      <c r="T100" s="33">
        <f t="shared" si="39"/>
        <v>14.296754027103043</v>
      </c>
      <c r="U100" s="29">
        <f t="shared" si="43"/>
        <v>62.795999999999999</v>
      </c>
      <c r="V100" s="29">
        <f t="shared" si="44"/>
        <v>17.156104832523653</v>
      </c>
      <c r="W100" s="35">
        <f t="shared" si="45"/>
        <v>42597</v>
      </c>
      <c r="X100" s="35">
        <v>42600</v>
      </c>
      <c r="Y100" s="27"/>
      <c r="Z100" s="58">
        <f t="shared" si="40"/>
        <v>14.296754027103043</v>
      </c>
      <c r="AA100" s="31">
        <f t="shared" si="42"/>
        <v>0</v>
      </c>
      <c r="AB100" t="b">
        <f t="shared" si="46"/>
        <v>0</v>
      </c>
    </row>
    <row r="101" spans="1:28" x14ac:dyDescent="0.25">
      <c r="A101">
        <v>100</v>
      </c>
      <c r="D101" s="9" t="s">
        <v>278</v>
      </c>
      <c r="E101" s="1">
        <v>42460</v>
      </c>
      <c r="F101" s="1">
        <v>42472</v>
      </c>
      <c r="G101" s="1" t="str">
        <f t="shared" si="30"/>
        <v>Amazon EU Sàrl, 5 Rue Plaetis, L-2338, Luxemburg: Rückerstattung: Lenovo TAB 2 A10-70F</v>
      </c>
      <c r="H101" t="s">
        <v>72</v>
      </c>
      <c r="I101" s="10" t="s">
        <v>157</v>
      </c>
      <c r="J101" t="s">
        <v>271</v>
      </c>
      <c r="K101" s="16">
        <v>3</v>
      </c>
      <c r="N101" t="b">
        <f t="shared" si="36"/>
        <v>0</v>
      </c>
      <c r="O101" s="36">
        <v>-184.03</v>
      </c>
      <c r="P101" s="51">
        <v>1</v>
      </c>
      <c r="Q101" s="27">
        <v>20</v>
      </c>
      <c r="R101" s="31">
        <f t="shared" si="41"/>
        <v>-36.805999999999997</v>
      </c>
      <c r="S101" s="31">
        <f t="shared" si="38"/>
        <v>-36.805999999999997</v>
      </c>
      <c r="T101" s="33">
        <f t="shared" si="39"/>
        <v>-184.03</v>
      </c>
      <c r="U101" s="29">
        <f t="shared" si="43"/>
        <v>-220.83600000000001</v>
      </c>
      <c r="V101" s="29">
        <f t="shared" si="44"/>
        <v>-220.83600000000001</v>
      </c>
      <c r="W101" s="35">
        <f t="shared" si="45"/>
        <v>42597</v>
      </c>
      <c r="X101" s="35">
        <v>42600</v>
      </c>
      <c r="Z101" s="58">
        <f t="shared" si="40"/>
        <v>-184.03</v>
      </c>
      <c r="AA101" s="31">
        <f t="shared" si="42"/>
        <v>0</v>
      </c>
      <c r="AB101" t="b">
        <f t="shared" si="46"/>
        <v>0</v>
      </c>
    </row>
    <row r="102" spans="1:28" x14ac:dyDescent="0.25">
      <c r="A102">
        <v>101</v>
      </c>
      <c r="D102" s="9" t="s">
        <v>270</v>
      </c>
      <c r="E102" s="1">
        <v>42485</v>
      </c>
      <c r="F102" s="1">
        <v>42487</v>
      </c>
      <c r="G102" s="1" t="str">
        <f t="shared" si="30"/>
        <v>Amazon EU Sàrl, 5 Rue Plaetis, L-2338, Luxemburg: Samsung CLT-P406C/ELS Toner Rainbowkit B00Ef´4F1EMK</v>
      </c>
      <c r="H102" t="s">
        <v>72</v>
      </c>
      <c r="I102" s="10" t="s">
        <v>157</v>
      </c>
      <c r="J102" t="s">
        <v>272</v>
      </c>
      <c r="N102" t="b">
        <f t="shared" si="36"/>
        <v>0</v>
      </c>
      <c r="O102" s="36">
        <v>245.22</v>
      </c>
      <c r="P102" s="51">
        <v>1</v>
      </c>
      <c r="Q102" s="27">
        <v>20</v>
      </c>
      <c r="R102" s="31">
        <f t="shared" si="41"/>
        <v>49.043999999999997</v>
      </c>
      <c r="S102" s="31">
        <f t="shared" si="38"/>
        <v>49.043999999999997</v>
      </c>
      <c r="T102" s="33">
        <f t="shared" si="39"/>
        <v>245.22</v>
      </c>
      <c r="U102" s="29">
        <f t="shared" si="43"/>
        <v>294.26400000000001</v>
      </c>
      <c r="V102" s="29">
        <f t="shared" si="44"/>
        <v>294.26400000000001</v>
      </c>
      <c r="W102" s="35">
        <f t="shared" si="45"/>
        <v>42597</v>
      </c>
      <c r="X102" s="35">
        <v>42600</v>
      </c>
      <c r="Z102" s="58">
        <f t="shared" si="40"/>
        <v>245.22</v>
      </c>
      <c r="AA102" s="31">
        <f t="shared" si="42"/>
        <v>0</v>
      </c>
      <c r="AB102" t="b">
        <f t="shared" si="46"/>
        <v>0</v>
      </c>
    </row>
    <row r="103" spans="1:28" x14ac:dyDescent="0.25">
      <c r="A103">
        <v>102</v>
      </c>
      <c r="D103" s="9" t="s">
        <v>163</v>
      </c>
      <c r="E103" s="1">
        <v>42471</v>
      </c>
      <c r="F103" s="1">
        <v>42469</v>
      </c>
      <c r="G103" s="1" t="str">
        <f t="shared" si="30"/>
        <v>WKO: Grundumlage</v>
      </c>
      <c r="H103" t="s">
        <v>165</v>
      </c>
      <c r="J103" t="s">
        <v>164</v>
      </c>
      <c r="N103" t="b">
        <f t="shared" si="36"/>
        <v>0</v>
      </c>
      <c r="O103" s="36">
        <v>65</v>
      </c>
      <c r="P103" s="51">
        <v>1</v>
      </c>
      <c r="Q103" s="27">
        <v>0</v>
      </c>
      <c r="R103" s="31">
        <f t="shared" si="41"/>
        <v>0</v>
      </c>
      <c r="S103" s="31">
        <f t="shared" si="38"/>
        <v>0</v>
      </c>
      <c r="T103" s="33">
        <f t="shared" si="39"/>
        <v>65</v>
      </c>
      <c r="U103" s="29">
        <f t="shared" si="43"/>
        <v>65</v>
      </c>
      <c r="V103" s="29">
        <f t="shared" si="44"/>
        <v>65</v>
      </c>
      <c r="W103" s="35">
        <f t="shared" si="45"/>
        <v>42597</v>
      </c>
      <c r="X103" s="35">
        <v>42600</v>
      </c>
      <c r="Z103" s="58">
        <f t="shared" si="40"/>
        <v>65</v>
      </c>
      <c r="AA103" s="31">
        <f t="shared" si="42"/>
        <v>0</v>
      </c>
      <c r="AB103" t="b">
        <f t="shared" si="46"/>
        <v>0</v>
      </c>
    </row>
    <row r="104" spans="1:28" x14ac:dyDescent="0.25">
      <c r="A104">
        <v>103</v>
      </c>
      <c r="D104" s="9" t="s">
        <v>283</v>
      </c>
      <c r="E104" s="1">
        <v>42430</v>
      </c>
      <c r="F104" s="1">
        <v>42444</v>
      </c>
      <c r="G104" s="1" t="str">
        <f t="shared" si="30"/>
        <v>MONTANA Energie-Handel AT GmbH: Teilzahlungsbetrag Gas 140001498</v>
      </c>
      <c r="H104" t="s">
        <v>58</v>
      </c>
      <c r="J104" t="s">
        <v>274</v>
      </c>
      <c r="N104" t="b">
        <f t="shared" si="36"/>
        <v>0</v>
      </c>
      <c r="O104" s="36">
        <v>52.5</v>
      </c>
      <c r="P104" s="51">
        <f>Arbeitszimmer!$B$3</f>
        <v>0.27320378419841473</v>
      </c>
      <c r="Q104" s="27">
        <v>20</v>
      </c>
      <c r="R104" s="31">
        <f t="shared" si="41"/>
        <v>10.5</v>
      </c>
      <c r="S104" s="31">
        <f t="shared" si="38"/>
        <v>2.8686397340833549</v>
      </c>
      <c r="T104" s="33">
        <f t="shared" si="39"/>
        <v>14.343198670416774</v>
      </c>
      <c r="U104" s="29">
        <f t="shared" si="43"/>
        <v>63</v>
      </c>
      <c r="V104" s="29">
        <f t="shared" si="44"/>
        <v>17.211838404500128</v>
      </c>
      <c r="W104" s="35">
        <f t="shared" si="45"/>
        <v>42505</v>
      </c>
      <c r="X104" s="35">
        <v>42499</v>
      </c>
      <c r="Z104" s="58">
        <f t="shared" si="40"/>
        <v>14.343198670416774</v>
      </c>
      <c r="AA104" s="31">
        <f t="shared" si="42"/>
        <v>0</v>
      </c>
      <c r="AB104" t="b">
        <f t="shared" si="46"/>
        <v>0</v>
      </c>
    </row>
    <row r="105" spans="1:28" x14ac:dyDescent="0.25">
      <c r="A105">
        <v>104</v>
      </c>
      <c r="D105" s="9" t="s">
        <v>284</v>
      </c>
      <c r="E105" s="1">
        <v>42401</v>
      </c>
      <c r="F105" s="1">
        <v>42415</v>
      </c>
      <c r="G105" s="1" t="str">
        <f t="shared" si="30"/>
        <v>MONTANA Energie-Handel AT GmbH: Teilzahlungsbetrag Gas 140000698</v>
      </c>
      <c r="H105" t="s">
        <v>58</v>
      </c>
      <c r="J105" t="s">
        <v>275</v>
      </c>
      <c r="N105" t="b">
        <f t="shared" si="36"/>
        <v>0</v>
      </c>
      <c r="O105" s="36">
        <v>52.5</v>
      </c>
      <c r="P105" s="51">
        <f>Arbeitszimmer!$B$3</f>
        <v>0.27320378419841473</v>
      </c>
      <c r="Q105" s="27">
        <v>20</v>
      </c>
      <c r="R105" s="31">
        <f t="shared" si="41"/>
        <v>10.5</v>
      </c>
      <c r="S105" s="31">
        <f t="shared" si="38"/>
        <v>2.8686397340833549</v>
      </c>
      <c r="T105" s="33">
        <f t="shared" si="39"/>
        <v>14.343198670416774</v>
      </c>
      <c r="U105" s="29">
        <f t="shared" si="43"/>
        <v>63</v>
      </c>
      <c r="V105" s="29">
        <f t="shared" si="44"/>
        <v>17.211838404500128</v>
      </c>
      <c r="W105" s="35">
        <f t="shared" si="45"/>
        <v>42505</v>
      </c>
      <c r="X105" s="35">
        <v>42499</v>
      </c>
      <c r="Z105" s="58">
        <f t="shared" si="40"/>
        <v>14.343198670416774</v>
      </c>
      <c r="AA105" s="31">
        <f t="shared" si="42"/>
        <v>0</v>
      </c>
      <c r="AB105" t="b">
        <f t="shared" si="46"/>
        <v>0</v>
      </c>
    </row>
    <row r="106" spans="1:28" x14ac:dyDescent="0.25">
      <c r="A106">
        <v>105</v>
      </c>
      <c r="D106" s="9" t="s">
        <v>276</v>
      </c>
      <c r="E106" s="1">
        <v>42486</v>
      </c>
      <c r="F106" s="1">
        <v>42496</v>
      </c>
      <c r="G106" s="1" t="str">
        <f t="shared" si="30"/>
        <v>Hutchison Drei Austria GmbH, Brünner Straße 52, 1210 Wien, Österreich: Rufnummer 0660 534 59 59</v>
      </c>
      <c r="H106" t="s">
        <v>34</v>
      </c>
      <c r="J106" t="s">
        <v>35</v>
      </c>
      <c r="N106" t="b">
        <f t="shared" si="36"/>
        <v>0</v>
      </c>
      <c r="O106" s="36">
        <v>15</v>
      </c>
      <c r="P106" s="51">
        <v>1</v>
      </c>
      <c r="Q106" s="27">
        <v>20</v>
      </c>
      <c r="R106" s="31">
        <f t="shared" si="41"/>
        <v>3</v>
      </c>
      <c r="S106" s="31">
        <f t="shared" si="38"/>
        <v>3</v>
      </c>
      <c r="T106" s="33">
        <f t="shared" si="39"/>
        <v>15</v>
      </c>
      <c r="U106" s="29">
        <f t="shared" si="43"/>
        <v>18</v>
      </c>
      <c r="V106" s="29">
        <f t="shared" si="44"/>
        <v>18</v>
      </c>
      <c r="W106" s="35">
        <f t="shared" si="45"/>
        <v>42597</v>
      </c>
      <c r="X106" s="35">
        <v>42600</v>
      </c>
      <c r="Z106" s="58">
        <f t="shared" si="40"/>
        <v>15</v>
      </c>
      <c r="AA106" s="31">
        <f t="shared" si="42"/>
        <v>0</v>
      </c>
      <c r="AB106" t="b">
        <f t="shared" si="46"/>
        <v>0</v>
      </c>
    </row>
    <row r="107" spans="1:28" x14ac:dyDescent="0.25">
      <c r="A107">
        <v>106</v>
      </c>
      <c r="D107" s="9" t="s">
        <v>277</v>
      </c>
      <c r="E107" s="1">
        <v>42468</v>
      </c>
      <c r="F107" s="1">
        <v>42472</v>
      </c>
      <c r="G107" s="1" t="str">
        <f t="shared" si="30"/>
        <v>Hetzner Online AG, Industriestr. 25, 91710 Gunzenhausen: EQ4 Server #50605 30TB 188.40.75.200, 188.40.75.242</v>
      </c>
      <c r="H107" t="s">
        <v>42</v>
      </c>
      <c r="I107" s="10" t="s">
        <v>154</v>
      </c>
      <c r="J107" t="s">
        <v>19</v>
      </c>
      <c r="N107" t="b">
        <f t="shared" si="36"/>
        <v>0</v>
      </c>
      <c r="O107" s="36">
        <v>42.02</v>
      </c>
      <c r="P107" s="51">
        <v>1</v>
      </c>
      <c r="Q107" s="27">
        <v>0</v>
      </c>
      <c r="R107" s="31">
        <f t="shared" ref="R107:R112" si="47">O107*Q107/100</f>
        <v>0</v>
      </c>
      <c r="S107" s="31">
        <f t="shared" si="38"/>
        <v>0</v>
      </c>
      <c r="T107" s="33">
        <f t="shared" si="39"/>
        <v>42.02</v>
      </c>
      <c r="U107" s="29">
        <f t="shared" si="43"/>
        <v>42.02</v>
      </c>
      <c r="V107" s="29">
        <f t="shared" si="44"/>
        <v>42.02</v>
      </c>
      <c r="W107" s="35">
        <f t="shared" si="45"/>
        <v>42597</v>
      </c>
      <c r="X107" s="35">
        <v>42600</v>
      </c>
      <c r="Y107" s="27">
        <v>20</v>
      </c>
      <c r="Z107" s="58">
        <f t="shared" si="40"/>
        <v>42.02</v>
      </c>
      <c r="AA107" s="31">
        <f t="shared" si="42"/>
        <v>8.4040000000000017</v>
      </c>
      <c r="AB107" t="b">
        <f t="shared" si="46"/>
        <v>0</v>
      </c>
    </row>
    <row r="108" spans="1:28" x14ac:dyDescent="0.25">
      <c r="A108">
        <v>107</v>
      </c>
      <c r="D108" s="9" t="s">
        <v>279</v>
      </c>
      <c r="E108" s="1">
        <v>42480</v>
      </c>
      <c r="F108" s="1">
        <v>42481</v>
      </c>
      <c r="G108" s="1" t="str">
        <f t="shared" si="30"/>
        <v xml:space="preserve">Microsoft Luxembourg Sàrl, 23-29, Rives de Clausen, L-2165 Luxembourg, Luxembourg, USt-IdNr.: LU19878750: </v>
      </c>
      <c r="H108" t="s">
        <v>65</v>
      </c>
      <c r="N108" t="b">
        <f t="shared" si="36"/>
        <v>0</v>
      </c>
      <c r="O108" s="36">
        <v>5.83</v>
      </c>
      <c r="P108" s="51">
        <v>1</v>
      </c>
      <c r="Q108" s="27">
        <v>20</v>
      </c>
      <c r="R108" s="31">
        <f t="shared" si="47"/>
        <v>1.1659999999999999</v>
      </c>
      <c r="S108" s="31">
        <f t="shared" si="38"/>
        <v>1.1659999999999999</v>
      </c>
      <c r="T108" s="33">
        <f t="shared" si="39"/>
        <v>5.83</v>
      </c>
      <c r="U108" s="29">
        <f t="shared" si="43"/>
        <v>6.9960000000000004</v>
      </c>
      <c r="V108" s="29">
        <f t="shared" si="44"/>
        <v>6.9960000000000004</v>
      </c>
      <c r="W108" s="35">
        <f t="shared" si="45"/>
        <v>42597</v>
      </c>
      <c r="X108" s="35">
        <v>42600</v>
      </c>
      <c r="Z108" s="58">
        <f t="shared" si="40"/>
        <v>5.83</v>
      </c>
      <c r="AA108" s="31">
        <f t="shared" si="42"/>
        <v>0</v>
      </c>
      <c r="AB108" t="b">
        <f t="shared" si="46"/>
        <v>0</v>
      </c>
    </row>
    <row r="109" spans="1:28" x14ac:dyDescent="0.25">
      <c r="A109">
        <v>108</v>
      </c>
      <c r="D109" s="9" t="s">
        <v>280</v>
      </c>
      <c r="E109" s="1">
        <v>42461</v>
      </c>
      <c r="F109" s="1">
        <v>42475</v>
      </c>
      <c r="G109" s="1" t="str">
        <f t="shared" si="30"/>
        <v>VERBUND AG, Postfach 8400, 1011 Wien, Österreich: Teilzahlungsbetrag Strom 34001715683</v>
      </c>
      <c r="H109" t="s">
        <v>57</v>
      </c>
      <c r="J109" t="s">
        <v>281</v>
      </c>
      <c r="N109" t="b">
        <f t="shared" si="36"/>
        <v>0</v>
      </c>
      <c r="O109" s="36">
        <v>137.5</v>
      </c>
      <c r="P109" s="51">
        <f>Arbeitszimmer!$B$3</f>
        <v>0.27320378419841473</v>
      </c>
      <c r="Q109" s="27">
        <v>20</v>
      </c>
      <c r="R109" s="31">
        <f t="shared" si="47"/>
        <v>27.5</v>
      </c>
      <c r="S109" s="31">
        <f t="shared" si="38"/>
        <v>7.513104065456405</v>
      </c>
      <c r="T109" s="33">
        <f t="shared" si="39"/>
        <v>37.565520327282023</v>
      </c>
      <c r="U109" s="29">
        <f t="shared" si="43"/>
        <v>165</v>
      </c>
      <c r="V109" s="29">
        <f t="shared" si="44"/>
        <v>45.078624392738426</v>
      </c>
      <c r="W109" s="35">
        <f t="shared" si="45"/>
        <v>42597</v>
      </c>
      <c r="X109" s="35">
        <v>42600</v>
      </c>
      <c r="Z109" s="58">
        <f t="shared" si="40"/>
        <v>37.565520327282023</v>
      </c>
      <c r="AA109" s="31">
        <f t="shared" si="42"/>
        <v>0</v>
      </c>
      <c r="AB109" t="b">
        <f t="shared" si="46"/>
        <v>0</v>
      </c>
    </row>
    <row r="110" spans="1:28" x14ac:dyDescent="0.25">
      <c r="A110">
        <v>109</v>
      </c>
      <c r="D110">
        <v>9222286940</v>
      </c>
      <c r="E110" s="1">
        <v>42500</v>
      </c>
      <c r="F110" s="1">
        <v>42500</v>
      </c>
      <c r="G110" s="1" t="str">
        <f t="shared" si="30"/>
        <v>Vistaprint B.V., Hudsonweg 8, 5928 LW Venlo, Niederlande: Visitenkarten 500 extradick</v>
      </c>
      <c r="H110" t="s">
        <v>37</v>
      </c>
      <c r="I110" s="10" t="s">
        <v>263</v>
      </c>
      <c r="J110" t="s">
        <v>293</v>
      </c>
      <c r="N110" t="b">
        <f t="shared" si="36"/>
        <v>0</v>
      </c>
      <c r="O110" s="36">
        <v>56.55</v>
      </c>
      <c r="P110" s="51">
        <v>1</v>
      </c>
      <c r="Q110" s="27">
        <v>20</v>
      </c>
      <c r="R110" s="31">
        <v>11.3</v>
      </c>
      <c r="S110" s="31">
        <f t="shared" si="38"/>
        <v>11.3</v>
      </c>
      <c r="T110" s="33">
        <f t="shared" si="39"/>
        <v>56.55</v>
      </c>
      <c r="U110" s="29">
        <f t="shared" si="43"/>
        <v>67.849999999999994</v>
      </c>
      <c r="V110" s="29">
        <f t="shared" si="44"/>
        <v>67.849999999999994</v>
      </c>
      <c r="W110" s="35">
        <f t="shared" si="45"/>
        <v>42597</v>
      </c>
      <c r="X110" s="35">
        <v>42600</v>
      </c>
      <c r="Z110" s="58">
        <f t="shared" si="40"/>
        <v>56.55</v>
      </c>
      <c r="AA110" s="31">
        <f>Y110/100*V109</f>
        <v>0</v>
      </c>
      <c r="AB110" t="b">
        <f t="shared" si="46"/>
        <v>0</v>
      </c>
    </row>
    <row r="111" spans="1:28" x14ac:dyDescent="0.25">
      <c r="A111">
        <v>110</v>
      </c>
      <c r="D111" s="9" t="s">
        <v>296</v>
      </c>
      <c r="E111" s="1">
        <v>42501</v>
      </c>
      <c r="F111" s="1">
        <v>42503</v>
      </c>
      <c r="G111" s="1" t="str">
        <f t="shared" si="30"/>
        <v>Amazon EU Sàrl, 5 Rue Plaetis, L-2338, Luxemburg: Samsung CLX-6260ND/SEE Farblaser-Multifunktionsgerät (Drucken, Scannen, Kopieren, 9.600 x 600 dpi, 512 MB Speicher, 533 MHz Prozessor) | B008I7Z57K</v>
      </c>
      <c r="H111" t="s">
        <v>72</v>
      </c>
      <c r="I111" s="10" t="s">
        <v>157</v>
      </c>
      <c r="J111" t="s">
        <v>297</v>
      </c>
      <c r="K111" s="16">
        <v>5</v>
      </c>
      <c r="N111" t="b">
        <f t="shared" si="36"/>
        <v>0</v>
      </c>
      <c r="O111" s="36">
        <v>284.87</v>
      </c>
      <c r="P111" s="51">
        <v>1</v>
      </c>
      <c r="Q111" s="27">
        <v>20</v>
      </c>
      <c r="R111" s="31">
        <f t="shared" si="47"/>
        <v>56.973999999999997</v>
      </c>
      <c r="S111" s="31">
        <f t="shared" si="38"/>
        <v>56.973999999999997</v>
      </c>
      <c r="T111" s="33">
        <f t="shared" si="39"/>
        <v>284.87</v>
      </c>
      <c r="U111" s="29">
        <f t="shared" si="43"/>
        <v>341.84399999999999</v>
      </c>
      <c r="V111" s="29">
        <f t="shared" si="44"/>
        <v>341.84399999999999</v>
      </c>
      <c r="W111" s="35">
        <f t="shared" si="45"/>
        <v>42597</v>
      </c>
      <c r="X111" s="35">
        <v>42600</v>
      </c>
      <c r="Z111" s="58">
        <f t="shared" si="40"/>
        <v>284.87</v>
      </c>
      <c r="AA111" s="31">
        <f>Y111/100*V110</f>
        <v>0</v>
      </c>
      <c r="AB111" t="b">
        <f t="shared" si="46"/>
        <v>0</v>
      </c>
    </row>
    <row r="112" spans="1:28" x14ac:dyDescent="0.25">
      <c r="A112">
        <v>111</v>
      </c>
      <c r="D112" s="9" t="s">
        <v>299</v>
      </c>
      <c r="E112" s="1">
        <v>42508</v>
      </c>
      <c r="F112" s="1">
        <v>42508</v>
      </c>
      <c r="G112" s="1" t="str">
        <f t="shared" si="30"/>
        <v>Amazon EU Sàrl, 5 Rue Plaetis, L-2338, Luxemburg: Zyxel GS-105BV3-EU0101F Metall 5x Switch |
B017JKGBYM; AmazonBasics Vorgeladene Ni-MH-Akkus, AAA
(1.000 Zyklen, typisch 800 mAh, minimal
750 mAh) 4 Stück | B00CWNMW1S</v>
      </c>
      <c r="H112" t="s">
        <v>72</v>
      </c>
      <c r="I112" s="10" t="s">
        <v>157</v>
      </c>
      <c r="J112" t="s">
        <v>298</v>
      </c>
      <c r="N112" t="b">
        <v>0</v>
      </c>
      <c r="O112" s="36">
        <v>24.7</v>
      </c>
      <c r="P112" s="51">
        <v>1</v>
      </c>
      <c r="Q112" s="27">
        <v>20</v>
      </c>
      <c r="R112" s="31">
        <f t="shared" si="47"/>
        <v>4.9400000000000004</v>
      </c>
      <c r="S112" s="31">
        <f t="shared" si="38"/>
        <v>4.9400000000000004</v>
      </c>
      <c r="T112" s="33">
        <f t="shared" si="39"/>
        <v>24.7</v>
      </c>
      <c r="U112" s="29">
        <f t="shared" si="43"/>
        <v>29.64</v>
      </c>
      <c r="V112" s="29">
        <f t="shared" si="44"/>
        <v>29.64</v>
      </c>
      <c r="W112" s="35">
        <f t="shared" si="45"/>
        <v>42597</v>
      </c>
      <c r="X112" s="35">
        <v>42600</v>
      </c>
      <c r="Z112" s="58">
        <f t="shared" si="40"/>
        <v>24.7</v>
      </c>
      <c r="AA112" s="31">
        <f>Y112/100*V111</f>
        <v>0</v>
      </c>
      <c r="AB112" t="b">
        <f t="shared" si="46"/>
        <v>0</v>
      </c>
    </row>
    <row r="113" spans="1:28" x14ac:dyDescent="0.25">
      <c r="A113">
        <v>112</v>
      </c>
      <c r="D113" s="9" t="s">
        <v>373</v>
      </c>
      <c r="E113" s="1">
        <v>42491</v>
      </c>
      <c r="F113" s="1">
        <v>42507</v>
      </c>
      <c r="G113" s="1" t="str">
        <f t="shared" si="30"/>
        <v>MONTANA Energie-Handel AT GmbH: Teilzahlungsbetrag Gas 140003141</v>
      </c>
      <c r="H113" t="s">
        <v>58</v>
      </c>
      <c r="J113" t="s">
        <v>300</v>
      </c>
      <c r="N113" t="b">
        <f>(IF(AND(K113&lt;&gt;"",ABS(T113)&gt;400),TRUE,FALSE))</f>
        <v>0</v>
      </c>
      <c r="O113" s="36">
        <v>52.5</v>
      </c>
      <c r="P113" s="51">
        <f>Arbeitszimmer!$B$3</f>
        <v>0.27320378419841473</v>
      </c>
      <c r="Q113" s="27">
        <v>20</v>
      </c>
      <c r="R113" s="31">
        <f t="shared" ref="R113:R133" si="48">O113*Q113/100</f>
        <v>10.5</v>
      </c>
      <c r="S113" s="31">
        <f t="shared" si="38"/>
        <v>2.8686397340833549</v>
      </c>
      <c r="T113" s="33">
        <f t="shared" si="39"/>
        <v>14.343198670416774</v>
      </c>
      <c r="U113" s="29">
        <f t="shared" si="43"/>
        <v>63</v>
      </c>
      <c r="V113" s="29">
        <f t="shared" si="44"/>
        <v>17.211838404500128</v>
      </c>
      <c r="W113" s="35">
        <f t="shared" si="45"/>
        <v>42597</v>
      </c>
      <c r="X113" s="35">
        <v>42600</v>
      </c>
      <c r="Z113" s="58">
        <f t="shared" si="40"/>
        <v>14.343198670416774</v>
      </c>
      <c r="AA113" s="31">
        <f>Y113/100*V113</f>
        <v>0</v>
      </c>
      <c r="AB113" t="b">
        <f t="shared" si="46"/>
        <v>0</v>
      </c>
    </row>
    <row r="114" spans="1:28" x14ac:dyDescent="0.25">
      <c r="A114">
        <v>113</v>
      </c>
      <c r="D114" s="9" t="s">
        <v>301</v>
      </c>
      <c r="E114" s="1">
        <v>42498</v>
      </c>
      <c r="F114" s="1">
        <v>42500</v>
      </c>
      <c r="G114" s="1" t="str">
        <f t="shared" si="30"/>
        <v>Hetzner Online AG, Industriestr. 25, 91710 Gunzenhausen: EQ4 Server #50605 30TB 188.40.75.200, 188.40.75.242</v>
      </c>
      <c r="H114" t="s">
        <v>42</v>
      </c>
      <c r="I114" s="10" t="s">
        <v>154</v>
      </c>
      <c r="J114" t="s">
        <v>19</v>
      </c>
      <c r="N114" t="b">
        <f>(IF(AND(K114&lt;&gt;"",ABS(T114)&gt;400),TRUE,FALSE))</f>
        <v>0</v>
      </c>
      <c r="O114" s="36">
        <v>42.02</v>
      </c>
      <c r="P114" s="51">
        <v>1</v>
      </c>
      <c r="Q114" s="27">
        <v>0</v>
      </c>
      <c r="R114" s="31">
        <f t="shared" si="48"/>
        <v>0</v>
      </c>
      <c r="S114" s="31">
        <f t="shared" si="38"/>
        <v>0</v>
      </c>
      <c r="T114" s="33">
        <f t="shared" si="39"/>
        <v>42.02</v>
      </c>
      <c r="U114" s="29">
        <f t="shared" si="43"/>
        <v>42.02</v>
      </c>
      <c r="V114" s="29">
        <f t="shared" si="44"/>
        <v>42.02</v>
      </c>
      <c r="W114" s="35">
        <f t="shared" si="45"/>
        <v>42597</v>
      </c>
      <c r="X114" s="35">
        <v>42600</v>
      </c>
      <c r="Y114" s="27">
        <v>20</v>
      </c>
      <c r="Z114" s="58">
        <f t="shared" si="40"/>
        <v>42.02</v>
      </c>
      <c r="AA114" s="31">
        <f>Y114/100*V114</f>
        <v>8.4040000000000017</v>
      </c>
      <c r="AB114" t="b">
        <f t="shared" si="46"/>
        <v>0</v>
      </c>
    </row>
    <row r="115" spans="1:28" x14ac:dyDescent="0.25">
      <c r="A115">
        <v>114</v>
      </c>
      <c r="D115" s="9" t="s">
        <v>161</v>
      </c>
      <c r="E115" s="1">
        <v>42483</v>
      </c>
      <c r="F115" s="1">
        <v>42513</v>
      </c>
      <c r="G115" s="1" t="str">
        <f t="shared" si="30"/>
        <v>Sozialversicherungsanstalt der gewerblichen Wirtschaft, Landesstelle Wien, Wiedner Hauptstraße 84-86, A-1051 Wien: Kontoauszug vom 23.4.2015</v>
      </c>
      <c r="H115" t="s">
        <v>70</v>
      </c>
      <c r="J115" t="s">
        <v>302</v>
      </c>
      <c r="N115" t="b">
        <f>(IF(AND(K115&lt;&gt;"",ABS(T115)&gt;400),TRUE,FALSE))</f>
        <v>0</v>
      </c>
      <c r="O115" s="36">
        <v>569.41999999999996</v>
      </c>
      <c r="P115" s="51">
        <v>1</v>
      </c>
      <c r="Q115" s="27">
        <v>0</v>
      </c>
      <c r="R115" s="31">
        <f t="shared" si="48"/>
        <v>0</v>
      </c>
      <c r="S115" s="31">
        <f t="shared" si="38"/>
        <v>0</v>
      </c>
      <c r="T115" s="33">
        <f t="shared" si="39"/>
        <v>569.41999999999996</v>
      </c>
      <c r="U115" s="29">
        <f t="shared" si="43"/>
        <v>569.41999999999996</v>
      </c>
      <c r="V115" s="29">
        <f t="shared" si="44"/>
        <v>569.41999999999996</v>
      </c>
      <c r="W115" s="35">
        <f t="shared" si="45"/>
        <v>42597</v>
      </c>
      <c r="X115" s="35">
        <v>42600</v>
      </c>
      <c r="Z115" s="58">
        <f t="shared" si="40"/>
        <v>569.41999999999996</v>
      </c>
      <c r="AA115" s="31">
        <f>Y115/100*V115</f>
        <v>0</v>
      </c>
      <c r="AB115" t="b">
        <f t="shared" si="46"/>
        <v>0</v>
      </c>
    </row>
    <row r="116" spans="1:28" x14ac:dyDescent="0.25">
      <c r="A116">
        <v>115</v>
      </c>
      <c r="D116" t="s">
        <v>303</v>
      </c>
      <c r="E116" s="1">
        <v>42512</v>
      </c>
      <c r="F116" s="1">
        <v>42514</v>
      </c>
      <c r="G116" s="1" t="str">
        <f t="shared" si="30"/>
        <v>Amazon EU Sàrl, 5 Rue Plaetis, L-2338, Luxemburg: HP Display Port to VGA Adapter | B00IYETPXW</v>
      </c>
      <c r="H116" t="s">
        <v>72</v>
      </c>
      <c r="I116" s="10" t="s">
        <v>157</v>
      </c>
      <c r="J116" t="s">
        <v>304</v>
      </c>
      <c r="N116" t="b">
        <v>0</v>
      </c>
      <c r="O116" s="36">
        <v>26.43</v>
      </c>
      <c r="P116" s="51">
        <v>1</v>
      </c>
      <c r="Q116" s="27">
        <v>20</v>
      </c>
      <c r="R116" s="31">
        <f t="shared" si="48"/>
        <v>5.2860000000000005</v>
      </c>
      <c r="S116" s="31">
        <f t="shared" si="38"/>
        <v>5.2860000000000005</v>
      </c>
      <c r="T116" s="33">
        <f t="shared" si="39"/>
        <v>26.43</v>
      </c>
      <c r="U116" s="29">
        <f t="shared" si="43"/>
        <v>31.716000000000001</v>
      </c>
      <c r="V116" s="29">
        <f t="shared" si="44"/>
        <v>31.716000000000001</v>
      </c>
      <c r="W116" s="35">
        <f t="shared" si="45"/>
        <v>42597</v>
      </c>
      <c r="X116" s="35"/>
      <c r="Z116" s="58">
        <f t="shared" si="40"/>
        <v>26.43</v>
      </c>
      <c r="AA116" s="31">
        <f>Y116/100*V115</f>
        <v>0</v>
      </c>
      <c r="AB116" t="b">
        <f t="shared" si="46"/>
        <v>0</v>
      </c>
    </row>
    <row r="117" spans="1:28" x14ac:dyDescent="0.25">
      <c r="A117">
        <v>116</v>
      </c>
      <c r="D117" s="9" t="s">
        <v>308</v>
      </c>
      <c r="E117" s="1">
        <v>42514</v>
      </c>
      <c r="F117" s="1">
        <v>42514</v>
      </c>
      <c r="G117" s="1" t="str">
        <f t="shared" si="30"/>
        <v>Büroprofi Koch Papier GmbH, Josefstädterstraße 87, 1080 Wien: Kopierpapier A4 80g weiß</v>
      </c>
      <c r="H117" t="s">
        <v>306</v>
      </c>
      <c r="I117" t="s">
        <v>307</v>
      </c>
      <c r="J117" t="s">
        <v>309</v>
      </c>
      <c r="N117" t="b">
        <v>0</v>
      </c>
      <c r="O117" s="36">
        <v>3.32</v>
      </c>
      <c r="P117" s="51">
        <v>1</v>
      </c>
      <c r="Q117" s="27">
        <v>20</v>
      </c>
      <c r="R117" s="31">
        <f t="shared" si="48"/>
        <v>0.66399999999999992</v>
      </c>
      <c r="S117" s="31">
        <f t="shared" si="38"/>
        <v>0.66399999999999992</v>
      </c>
      <c r="T117" s="33">
        <f t="shared" si="39"/>
        <v>3.32</v>
      </c>
      <c r="U117" s="29">
        <f t="shared" si="43"/>
        <v>3.984</v>
      </c>
      <c r="V117" s="29">
        <f t="shared" si="44"/>
        <v>3.984</v>
      </c>
      <c r="W117" s="35">
        <f>voranmeldefrist_vierteljaehrlich(F116)</f>
        <v>42597</v>
      </c>
      <c r="X117" s="35">
        <v>42600</v>
      </c>
      <c r="Z117" s="58">
        <f t="shared" si="40"/>
        <v>3.32</v>
      </c>
      <c r="AA117" s="31">
        <f>Y117/100*V116</f>
        <v>0</v>
      </c>
      <c r="AB117" t="b">
        <f t="shared" si="46"/>
        <v>0</v>
      </c>
    </row>
    <row r="118" spans="1:28" x14ac:dyDescent="0.25">
      <c r="A118">
        <v>117</v>
      </c>
      <c r="D118" s="9" t="s">
        <v>322</v>
      </c>
      <c r="E118" s="1">
        <v>42522</v>
      </c>
      <c r="F118" s="1">
        <v>42522</v>
      </c>
      <c r="G118" s="1" t="str">
        <f t="shared" si="30"/>
        <v>easyname GmbH, Fernkorngasse 10/3/501, 1110 Wien: Domain: wienerwaldmusikanten.at</v>
      </c>
      <c r="H118" t="s">
        <v>33</v>
      </c>
      <c r="I118" t="s">
        <v>187</v>
      </c>
      <c r="J118" t="s">
        <v>310</v>
      </c>
      <c r="N118" t="b">
        <f t="shared" ref="N118:N131" si="49">(IF(AND(K118&lt;&gt;"",ABS(T118)&gt;400),TRUE,FALSE))</f>
        <v>0</v>
      </c>
      <c r="O118" s="36">
        <v>12.42</v>
      </c>
      <c r="P118" s="51">
        <v>1</v>
      </c>
      <c r="Q118" s="27">
        <v>20</v>
      </c>
      <c r="R118" s="31">
        <f t="shared" si="48"/>
        <v>2.484</v>
      </c>
      <c r="S118" s="31">
        <f t="shared" si="38"/>
        <v>2.484</v>
      </c>
      <c r="T118" s="33">
        <f t="shared" si="39"/>
        <v>12.42</v>
      </c>
      <c r="U118" s="29">
        <f t="shared" si="43"/>
        <v>14.904</v>
      </c>
      <c r="V118" s="29">
        <f t="shared" si="44"/>
        <v>14.904</v>
      </c>
      <c r="W118" s="35">
        <f t="shared" ref="W118:W181" si="50">voranmeldefrist_vierteljaehrlich(F118)</f>
        <v>42597</v>
      </c>
      <c r="X118" s="35">
        <v>42600</v>
      </c>
      <c r="Z118" s="58">
        <f t="shared" si="40"/>
        <v>12.42</v>
      </c>
      <c r="AA118" s="31">
        <f t="shared" ref="AA118:AA125" si="51">Y118/100*V118</f>
        <v>0</v>
      </c>
      <c r="AB118" t="b">
        <f t="shared" si="46"/>
        <v>0</v>
      </c>
    </row>
    <row r="119" spans="1:28" x14ac:dyDescent="0.25">
      <c r="A119">
        <v>118</v>
      </c>
      <c r="D119" s="9" t="s">
        <v>311</v>
      </c>
      <c r="E119" s="1">
        <v>42522</v>
      </c>
      <c r="F119" s="1">
        <v>42522</v>
      </c>
      <c r="G119" s="1" t="str">
        <f t="shared" si="30"/>
        <v>electronic4you GmbH, Inglitschstraße 26, 9020 Klagenfurt: Xperia Z5 Compact schwarz E5823 Smartphone</v>
      </c>
      <c r="H119" t="s">
        <v>312</v>
      </c>
      <c r="I119" t="s">
        <v>313</v>
      </c>
      <c r="J119" t="s">
        <v>314</v>
      </c>
      <c r="K119" s="16">
        <v>2</v>
      </c>
      <c r="N119" t="b">
        <f t="shared" si="49"/>
        <v>0</v>
      </c>
      <c r="O119" s="36">
        <v>341.58</v>
      </c>
      <c r="P119" s="51">
        <v>0.6</v>
      </c>
      <c r="Q119" s="27">
        <v>20</v>
      </c>
      <c r="R119" s="31">
        <f t="shared" si="48"/>
        <v>68.315999999999988</v>
      </c>
      <c r="S119" s="31">
        <f t="shared" si="38"/>
        <v>40.989599999999989</v>
      </c>
      <c r="T119" s="33">
        <f t="shared" si="39"/>
        <v>204.94799999999998</v>
      </c>
      <c r="U119" s="29">
        <f t="shared" si="43"/>
        <v>409.89599999999996</v>
      </c>
      <c r="V119" s="29">
        <f t="shared" si="44"/>
        <v>245.93759999999997</v>
      </c>
      <c r="W119" s="35">
        <f t="shared" si="50"/>
        <v>42597</v>
      </c>
      <c r="X119" s="35">
        <v>42600</v>
      </c>
      <c r="Z119" s="58">
        <f t="shared" si="40"/>
        <v>204.94799999999998</v>
      </c>
      <c r="AA119" s="31">
        <f t="shared" si="51"/>
        <v>0</v>
      </c>
      <c r="AB119" t="b">
        <f t="shared" si="46"/>
        <v>0</v>
      </c>
    </row>
    <row r="120" spans="1:28" x14ac:dyDescent="0.25">
      <c r="A120">
        <v>119</v>
      </c>
      <c r="D120" s="9" t="s">
        <v>315</v>
      </c>
      <c r="E120" s="1">
        <v>42514</v>
      </c>
      <c r="F120" s="1">
        <v>42531</v>
      </c>
      <c r="G120" s="1" t="str">
        <f t="shared" si="30"/>
        <v>Software Quality Lab GmbH, Gewerbepark Urfahr 6, 4040 Linz: IREB CPRE-FL</v>
      </c>
      <c r="H120" t="s">
        <v>316</v>
      </c>
      <c r="I120" t="s">
        <v>317</v>
      </c>
      <c r="J120" t="s">
        <v>318</v>
      </c>
      <c r="N120" t="b">
        <f t="shared" si="49"/>
        <v>0</v>
      </c>
      <c r="O120" s="36">
        <v>1250</v>
      </c>
      <c r="P120" s="51">
        <v>1</v>
      </c>
      <c r="Q120" s="27">
        <v>20</v>
      </c>
      <c r="R120" s="31">
        <f t="shared" si="48"/>
        <v>250</v>
      </c>
      <c r="S120" s="31">
        <f t="shared" si="38"/>
        <v>250</v>
      </c>
      <c r="T120" s="33">
        <f t="shared" si="39"/>
        <v>1250</v>
      </c>
      <c r="U120" s="29">
        <f t="shared" si="43"/>
        <v>1500</v>
      </c>
      <c r="V120" s="29">
        <f t="shared" si="44"/>
        <v>1500</v>
      </c>
      <c r="W120" s="35">
        <f t="shared" si="50"/>
        <v>42597</v>
      </c>
      <c r="X120" s="35">
        <v>42600</v>
      </c>
      <c r="Z120" s="58">
        <f t="shared" si="40"/>
        <v>1250</v>
      </c>
      <c r="AA120" s="31">
        <f t="shared" si="51"/>
        <v>0</v>
      </c>
      <c r="AB120" t="b">
        <f t="shared" si="46"/>
        <v>0</v>
      </c>
    </row>
    <row r="121" spans="1:28" x14ac:dyDescent="0.25">
      <c r="A121">
        <v>120</v>
      </c>
      <c r="D121" s="9" t="s">
        <v>320</v>
      </c>
      <c r="E121" s="1">
        <v>42530</v>
      </c>
      <c r="F121" s="1">
        <v>42530</v>
      </c>
      <c r="G121" s="1" t="str">
        <f t="shared" si="30"/>
        <v>easyname GmbH, Fernkorngasse 10/3/501, 1110 Wien: Domain: msbadvoeslau.at</v>
      </c>
      <c r="H121" t="s">
        <v>33</v>
      </c>
      <c r="I121" t="s">
        <v>187</v>
      </c>
      <c r="J121" t="s">
        <v>321</v>
      </c>
      <c r="N121" t="b">
        <f t="shared" si="49"/>
        <v>0</v>
      </c>
      <c r="O121" s="36">
        <v>12.42</v>
      </c>
      <c r="P121" s="51">
        <v>1</v>
      </c>
      <c r="Q121" s="27">
        <v>20</v>
      </c>
      <c r="R121" s="31">
        <f t="shared" si="48"/>
        <v>2.484</v>
      </c>
      <c r="S121" s="31">
        <f t="shared" ref="S121:S152" si="52">P121*R121</f>
        <v>2.484</v>
      </c>
      <c r="T121" s="33">
        <f t="shared" ref="T121:T152" si="53">O121*P121</f>
        <v>12.42</v>
      </c>
      <c r="U121" s="29">
        <f t="shared" si="43"/>
        <v>14.904</v>
      </c>
      <c r="V121" s="29">
        <f t="shared" si="44"/>
        <v>14.904</v>
      </c>
      <c r="W121" s="35">
        <f t="shared" si="50"/>
        <v>42597</v>
      </c>
      <c r="X121" s="35">
        <v>42600</v>
      </c>
      <c r="Z121" s="58">
        <f t="shared" si="40"/>
        <v>12.42</v>
      </c>
      <c r="AA121" s="31">
        <f t="shared" si="51"/>
        <v>0</v>
      </c>
      <c r="AB121" t="b">
        <f t="shared" si="46"/>
        <v>0</v>
      </c>
    </row>
    <row r="122" spans="1:28" x14ac:dyDescent="0.25">
      <c r="A122">
        <v>121</v>
      </c>
      <c r="E122" s="1">
        <v>42019</v>
      </c>
      <c r="F122" s="1">
        <v>42026</v>
      </c>
      <c r="G122" s="1" t="str">
        <f t="shared" si="30"/>
        <v>Wiener Linien GmbH &amp; Co KG, Erdbergstraße 202, 1031 Wien: Jahreskarte</v>
      </c>
      <c r="H122" t="s">
        <v>323</v>
      </c>
      <c r="I122" t="s">
        <v>324</v>
      </c>
      <c r="J122" t="s">
        <v>325</v>
      </c>
      <c r="N122" t="b">
        <f t="shared" si="49"/>
        <v>0</v>
      </c>
      <c r="O122" s="36">
        <v>331.82</v>
      </c>
      <c r="P122" s="51">
        <v>1</v>
      </c>
      <c r="Q122" s="27">
        <v>10</v>
      </c>
      <c r="R122" s="31">
        <f t="shared" si="48"/>
        <v>33.181999999999995</v>
      </c>
      <c r="S122" s="31">
        <f t="shared" si="52"/>
        <v>33.181999999999995</v>
      </c>
      <c r="T122" s="33">
        <f t="shared" si="53"/>
        <v>331.82</v>
      </c>
      <c r="U122" s="29">
        <f t="shared" si="43"/>
        <v>365.00200000000001</v>
      </c>
      <c r="V122" s="29">
        <f t="shared" si="44"/>
        <v>365.00200000000001</v>
      </c>
      <c r="W122" s="35">
        <f t="shared" si="50"/>
        <v>42139</v>
      </c>
      <c r="X122" s="35">
        <v>42499</v>
      </c>
      <c r="Z122" s="58">
        <f t="shared" si="40"/>
        <v>331.82</v>
      </c>
      <c r="AA122" s="31">
        <f t="shared" si="51"/>
        <v>0</v>
      </c>
      <c r="AB122" t="b">
        <f t="shared" si="46"/>
        <v>0</v>
      </c>
    </row>
    <row r="123" spans="1:28" x14ac:dyDescent="0.25">
      <c r="A123">
        <v>122</v>
      </c>
      <c r="D123" s="9" t="s">
        <v>326</v>
      </c>
      <c r="E123" s="1">
        <v>42309</v>
      </c>
      <c r="F123" s="1">
        <v>42325</v>
      </c>
      <c r="G123" s="1" t="str">
        <f t="shared" si="30"/>
        <v>MONTANA Energie-Handel AT GmbH: Teilzahlungsbetrag Gas 11500319</v>
      </c>
      <c r="H123" t="s">
        <v>58</v>
      </c>
      <c r="J123" t="s">
        <v>327</v>
      </c>
      <c r="N123" t="b">
        <f t="shared" si="49"/>
        <v>0</v>
      </c>
      <c r="O123" s="36">
        <v>-8.08</v>
      </c>
      <c r="P123" s="51">
        <f>Arbeitszimmer!$B$3</f>
        <v>0.27320378419841473</v>
      </c>
      <c r="Q123" s="27">
        <v>20</v>
      </c>
      <c r="R123" s="31">
        <f t="shared" si="48"/>
        <v>-1.6159999999999999</v>
      </c>
      <c r="S123" s="31">
        <f t="shared" si="52"/>
        <v>-0.4414973152646382</v>
      </c>
      <c r="T123" s="33">
        <f t="shared" si="53"/>
        <v>-2.2074865763231912</v>
      </c>
      <c r="U123" s="29">
        <v>-9.69</v>
      </c>
      <c r="V123" s="29">
        <f t="shared" si="44"/>
        <v>-2.6489838915878297</v>
      </c>
      <c r="W123" s="35">
        <f t="shared" si="50"/>
        <v>42415</v>
      </c>
      <c r="X123" s="35"/>
      <c r="Z123" s="58">
        <f t="shared" si="40"/>
        <v>-2.2074865763231912</v>
      </c>
      <c r="AA123" s="31">
        <f t="shared" si="51"/>
        <v>0</v>
      </c>
      <c r="AB123" t="b">
        <f t="shared" si="46"/>
        <v>0</v>
      </c>
    </row>
    <row r="124" spans="1:28" x14ac:dyDescent="0.25">
      <c r="A124">
        <v>123</v>
      </c>
      <c r="D124" s="9" t="s">
        <v>328</v>
      </c>
      <c r="E124" s="1">
        <v>42278</v>
      </c>
      <c r="F124" s="1">
        <v>42292</v>
      </c>
      <c r="G124" s="1" t="str">
        <f t="shared" si="30"/>
        <v>MONTANA Energie-Handel AT GmbH: Teilzahlungsbetrag Gas 11446672</v>
      </c>
      <c r="H124" t="s">
        <v>58</v>
      </c>
      <c r="J124" t="s">
        <v>330</v>
      </c>
      <c r="N124" t="b">
        <f t="shared" si="49"/>
        <v>0</v>
      </c>
      <c r="O124" s="36">
        <v>48.33</v>
      </c>
      <c r="P124" s="51">
        <f>Arbeitszimmer!$B$3</f>
        <v>0.27320378419841473</v>
      </c>
      <c r="Q124" s="27">
        <v>20</v>
      </c>
      <c r="R124" s="31">
        <f t="shared" si="48"/>
        <v>9.6659999999999986</v>
      </c>
      <c r="S124" s="31">
        <f t="shared" si="52"/>
        <v>2.6407877780618763</v>
      </c>
      <c r="T124" s="33">
        <f t="shared" si="53"/>
        <v>13.203938890309384</v>
      </c>
      <c r="U124" s="29">
        <f t="shared" ref="U124:U171" si="54">O124+R124</f>
        <v>57.995999999999995</v>
      </c>
      <c r="V124" s="29">
        <f t="shared" si="44"/>
        <v>15.84472666837126</v>
      </c>
      <c r="W124" s="35">
        <f t="shared" si="50"/>
        <v>42415</v>
      </c>
      <c r="X124" s="35"/>
      <c r="Z124" s="58">
        <f t="shared" si="40"/>
        <v>13.203938890309384</v>
      </c>
      <c r="AA124" s="31">
        <f t="shared" si="51"/>
        <v>0</v>
      </c>
      <c r="AB124" t="b">
        <f t="shared" si="46"/>
        <v>0</v>
      </c>
    </row>
    <row r="125" spans="1:28" x14ac:dyDescent="0.25">
      <c r="A125">
        <v>124</v>
      </c>
      <c r="D125" s="9" t="s">
        <v>329</v>
      </c>
      <c r="E125" s="1">
        <v>42156</v>
      </c>
      <c r="F125" s="1">
        <v>42170</v>
      </c>
      <c r="G125" s="1" t="str">
        <f t="shared" si="30"/>
        <v>MONTANA Energie-Handel AT GmbH: Teilzahlungsbetrag Gas 11231590</v>
      </c>
      <c r="H125" t="s">
        <v>58</v>
      </c>
      <c r="J125" t="s">
        <v>331</v>
      </c>
      <c r="N125" t="b">
        <f t="shared" si="49"/>
        <v>0</v>
      </c>
      <c r="O125" s="36">
        <v>48.33</v>
      </c>
      <c r="P125" s="51">
        <f>Arbeitszimmer!$B$3</f>
        <v>0.27320378419841473</v>
      </c>
      <c r="Q125" s="27">
        <v>20</v>
      </c>
      <c r="R125" s="31">
        <f t="shared" si="48"/>
        <v>9.6659999999999986</v>
      </c>
      <c r="S125" s="31">
        <f t="shared" si="52"/>
        <v>2.6407877780618763</v>
      </c>
      <c r="T125" s="33">
        <f t="shared" si="53"/>
        <v>13.203938890309384</v>
      </c>
      <c r="U125" s="29">
        <f t="shared" si="54"/>
        <v>57.995999999999995</v>
      </c>
      <c r="V125" s="29">
        <f t="shared" si="44"/>
        <v>15.84472666837126</v>
      </c>
      <c r="W125" s="35">
        <f t="shared" si="50"/>
        <v>42231</v>
      </c>
      <c r="X125" s="35"/>
      <c r="Z125" s="58">
        <f t="shared" si="40"/>
        <v>13.203938890309384</v>
      </c>
      <c r="AA125" s="31">
        <f t="shared" si="51"/>
        <v>0</v>
      </c>
      <c r="AB125" t="b">
        <f t="shared" si="46"/>
        <v>0</v>
      </c>
    </row>
    <row r="126" spans="1:28" x14ac:dyDescent="0.25">
      <c r="A126">
        <v>125</v>
      </c>
      <c r="D126" s="9" t="s">
        <v>332</v>
      </c>
      <c r="E126" s="1">
        <v>42164</v>
      </c>
      <c r="F126" s="1">
        <v>42163</v>
      </c>
      <c r="G126" s="1" t="str">
        <f t="shared" si="30"/>
        <v>Vistaprint B.V., Hudsonweg 8, 5928 LW Venlo, Niederlande: Visitenkarten 100</v>
      </c>
      <c r="H126" t="s">
        <v>37</v>
      </c>
      <c r="I126" s="10" t="s">
        <v>263</v>
      </c>
      <c r="J126" t="s">
        <v>333</v>
      </c>
      <c r="N126" t="b">
        <f t="shared" si="49"/>
        <v>0</v>
      </c>
      <c r="O126" s="36">
        <v>24.34</v>
      </c>
      <c r="P126" s="51">
        <v>1</v>
      </c>
      <c r="Q126" s="27">
        <v>20</v>
      </c>
      <c r="R126" s="31">
        <f t="shared" si="48"/>
        <v>4.8680000000000003</v>
      </c>
      <c r="S126" s="31">
        <f t="shared" si="52"/>
        <v>4.8680000000000003</v>
      </c>
      <c r="T126" s="33">
        <f t="shared" si="53"/>
        <v>24.34</v>
      </c>
      <c r="U126" s="29">
        <f t="shared" si="54"/>
        <v>29.207999999999998</v>
      </c>
      <c r="V126" s="29">
        <f t="shared" si="44"/>
        <v>29.207999999999998</v>
      </c>
      <c r="W126" s="35">
        <f t="shared" si="50"/>
        <v>42231</v>
      </c>
      <c r="X126" s="35"/>
      <c r="Z126" s="58">
        <f t="shared" ref="Z126:Z157" si="55">IF(N126=TRUE,T126/K126,T126)</f>
        <v>24.34</v>
      </c>
      <c r="AA126" s="31">
        <f>Y126/100*V125</f>
        <v>0</v>
      </c>
      <c r="AB126" t="b">
        <f t="shared" si="46"/>
        <v>0</v>
      </c>
    </row>
    <row r="127" spans="1:28" x14ac:dyDescent="0.25">
      <c r="A127">
        <v>126</v>
      </c>
      <c r="D127" s="9" t="s">
        <v>17</v>
      </c>
      <c r="E127" s="1">
        <v>42094</v>
      </c>
      <c r="F127" s="1">
        <v>42096</v>
      </c>
      <c r="G127" s="1" t="str">
        <f t="shared" si="30"/>
        <v>easyname GmbH, Fernkorngasse 10/3/501, 1110 Wien: Domain: kolbitsch.eu</v>
      </c>
      <c r="H127" t="s">
        <v>33</v>
      </c>
      <c r="I127" t="s">
        <v>187</v>
      </c>
      <c r="J127" t="s">
        <v>334</v>
      </c>
      <c r="N127" t="b">
        <f t="shared" si="49"/>
        <v>0</v>
      </c>
      <c r="O127" s="36">
        <v>12.42</v>
      </c>
      <c r="P127" s="51">
        <v>1</v>
      </c>
      <c r="Q127" s="27">
        <v>20</v>
      </c>
      <c r="R127" s="31">
        <f t="shared" si="48"/>
        <v>2.484</v>
      </c>
      <c r="S127" s="31">
        <f t="shared" si="52"/>
        <v>2.484</v>
      </c>
      <c r="T127" s="33">
        <f t="shared" si="53"/>
        <v>12.42</v>
      </c>
      <c r="U127" s="29">
        <f t="shared" si="54"/>
        <v>14.904</v>
      </c>
      <c r="V127" s="29">
        <f t="shared" si="44"/>
        <v>14.904</v>
      </c>
      <c r="W127" s="35">
        <f t="shared" si="50"/>
        <v>42231</v>
      </c>
      <c r="X127" s="35">
        <v>42499</v>
      </c>
      <c r="Z127" s="58">
        <f t="shared" si="55"/>
        <v>12.42</v>
      </c>
      <c r="AA127" s="31">
        <f>Y127/100*V127</f>
        <v>0</v>
      </c>
      <c r="AB127" t="b">
        <f t="shared" si="46"/>
        <v>0</v>
      </c>
    </row>
    <row r="128" spans="1:28" x14ac:dyDescent="0.25">
      <c r="A128">
        <v>127</v>
      </c>
      <c r="D128" s="9" t="s">
        <v>335</v>
      </c>
      <c r="E128" s="1">
        <v>42145</v>
      </c>
      <c r="F128" s="1">
        <v>42144</v>
      </c>
      <c r="G128" s="1" t="str">
        <f t="shared" si="30"/>
        <v xml:space="preserve">Microsoft Luxembourg Sàrl, 23-29, Rives de Clausen, L-2165 Luxembourg, Luxembourg, USt-IdNr.: LU19878750: </v>
      </c>
      <c r="H128" t="s">
        <v>65</v>
      </c>
      <c r="N128" t="b">
        <f t="shared" si="49"/>
        <v>0</v>
      </c>
      <c r="O128" s="36">
        <v>5.83</v>
      </c>
      <c r="P128" s="51">
        <v>1</v>
      </c>
      <c r="Q128" s="27">
        <v>20</v>
      </c>
      <c r="R128" s="31">
        <f t="shared" si="48"/>
        <v>1.1659999999999999</v>
      </c>
      <c r="S128" s="31">
        <f t="shared" si="52"/>
        <v>1.1659999999999999</v>
      </c>
      <c r="T128" s="33">
        <f t="shared" si="53"/>
        <v>5.83</v>
      </c>
      <c r="U128" s="29">
        <f t="shared" si="54"/>
        <v>6.9960000000000004</v>
      </c>
      <c r="V128" s="29">
        <f t="shared" si="44"/>
        <v>6.9960000000000004</v>
      </c>
      <c r="W128" s="35">
        <f t="shared" si="50"/>
        <v>42231</v>
      </c>
      <c r="Z128" s="58">
        <f t="shared" si="55"/>
        <v>5.83</v>
      </c>
      <c r="AA128" s="31">
        <f>Y128/100*V128</f>
        <v>0</v>
      </c>
      <c r="AB128" t="b">
        <f t="shared" si="46"/>
        <v>0</v>
      </c>
    </row>
    <row r="129" spans="1:28" x14ac:dyDescent="0.25">
      <c r="A129">
        <v>128</v>
      </c>
      <c r="D129" s="9" t="s">
        <v>336</v>
      </c>
      <c r="E129" s="1">
        <v>42177</v>
      </c>
      <c r="F129" s="1">
        <v>42175</v>
      </c>
      <c r="G129" s="1" t="str">
        <f t="shared" si="30"/>
        <v xml:space="preserve">Microsoft Luxembourg Sàrl, 23-29, Rives de Clausen, L-2165 Luxembourg, Luxembourg, USt-IdNr.: LU19878750: </v>
      </c>
      <c r="H129" t="s">
        <v>65</v>
      </c>
      <c r="N129" t="b">
        <f t="shared" si="49"/>
        <v>0</v>
      </c>
      <c r="O129" s="36">
        <v>5.83</v>
      </c>
      <c r="P129" s="51">
        <v>1</v>
      </c>
      <c r="Q129" s="27">
        <v>20</v>
      </c>
      <c r="R129" s="31">
        <f t="shared" si="48"/>
        <v>1.1659999999999999</v>
      </c>
      <c r="S129" s="31">
        <f t="shared" si="52"/>
        <v>1.1659999999999999</v>
      </c>
      <c r="T129" s="33">
        <f t="shared" si="53"/>
        <v>5.83</v>
      </c>
      <c r="U129" s="29">
        <f t="shared" si="54"/>
        <v>6.9960000000000004</v>
      </c>
      <c r="V129" s="29">
        <f t="shared" si="44"/>
        <v>6.9960000000000004</v>
      </c>
      <c r="W129" s="35">
        <f t="shared" si="50"/>
        <v>42231</v>
      </c>
      <c r="Z129" s="58">
        <f t="shared" si="55"/>
        <v>5.83</v>
      </c>
      <c r="AA129" s="31">
        <f>Y129/100*V129</f>
        <v>0</v>
      </c>
      <c r="AB129" t="b">
        <f t="shared" si="46"/>
        <v>0</v>
      </c>
    </row>
    <row r="130" spans="1:28" x14ac:dyDescent="0.25">
      <c r="A130">
        <v>129</v>
      </c>
      <c r="D130" s="9" t="s">
        <v>337</v>
      </c>
      <c r="E130" s="1">
        <v>42339</v>
      </c>
      <c r="F130" s="1">
        <v>42353</v>
      </c>
      <c r="G130" s="1" t="str">
        <f t="shared" si="30"/>
        <v>MONTANA Energie-Handel AT GmbH: Teilzahlungsbetrag Gas 11559724</v>
      </c>
      <c r="H130" t="s">
        <v>58</v>
      </c>
      <c r="J130" t="s">
        <v>376</v>
      </c>
      <c r="N130" t="b">
        <f t="shared" si="49"/>
        <v>0</v>
      </c>
      <c r="O130" s="36">
        <v>52.5</v>
      </c>
      <c r="P130" s="51">
        <f>Arbeitszimmer!$B$3</f>
        <v>0.27320378419841473</v>
      </c>
      <c r="Q130" s="27">
        <v>20</v>
      </c>
      <c r="R130" s="31">
        <f t="shared" si="48"/>
        <v>10.5</v>
      </c>
      <c r="S130" s="31">
        <f t="shared" si="52"/>
        <v>2.8686397340833549</v>
      </c>
      <c r="T130" s="33">
        <f t="shared" si="53"/>
        <v>14.343198670416774</v>
      </c>
      <c r="U130" s="29">
        <f t="shared" si="54"/>
        <v>63</v>
      </c>
      <c r="V130" s="29">
        <f t="shared" ref="V130:V161" si="56">T130+S130</f>
        <v>17.211838404500128</v>
      </c>
      <c r="W130" s="35">
        <f t="shared" si="50"/>
        <v>42415</v>
      </c>
      <c r="X130" s="35"/>
      <c r="Z130" s="58">
        <f t="shared" si="55"/>
        <v>14.343198670416774</v>
      </c>
      <c r="AA130" s="31">
        <f>Y130/100*V130</f>
        <v>0</v>
      </c>
      <c r="AB130" t="b">
        <f t="shared" ref="AB130:AB161" si="57">IF(AND(Y130&gt;0,Q130=Y130),TRUE,FALSE)</f>
        <v>0</v>
      </c>
    </row>
    <row r="131" spans="1:28" x14ac:dyDescent="0.25">
      <c r="A131">
        <v>130</v>
      </c>
      <c r="D131" t="str">
        <f>"1023382000107230810807 "</f>
        <v xml:space="preserve">1023382000107230810807 </v>
      </c>
      <c r="E131" s="1">
        <v>42515</v>
      </c>
      <c r="F131" s="1">
        <v>42523</v>
      </c>
      <c r="G131" s="1" t="str">
        <f t="shared" ref="G131:G194" si="58">CONCATENATE(H131,": ",J131)</f>
        <v>Hutchison Drei Austria GmbH, Brünner Straße 52, 1210 Wien, Österreich: Rufnummer 0660 534 59 59</v>
      </c>
      <c r="H131" t="s">
        <v>34</v>
      </c>
      <c r="J131" t="s">
        <v>35</v>
      </c>
      <c r="N131" t="b">
        <f t="shared" si="49"/>
        <v>0</v>
      </c>
      <c r="O131" s="36">
        <v>15</v>
      </c>
      <c r="P131" s="51">
        <v>1</v>
      </c>
      <c r="Q131" s="27">
        <v>20</v>
      </c>
      <c r="R131" s="31">
        <f t="shared" si="48"/>
        <v>3</v>
      </c>
      <c r="S131" s="31">
        <f t="shared" si="52"/>
        <v>3</v>
      </c>
      <c r="T131" s="33">
        <f t="shared" si="53"/>
        <v>15</v>
      </c>
      <c r="U131" s="29">
        <f t="shared" si="54"/>
        <v>18</v>
      </c>
      <c r="V131" s="29">
        <f t="shared" si="56"/>
        <v>18</v>
      </c>
      <c r="W131" s="35">
        <f t="shared" si="50"/>
        <v>42597</v>
      </c>
      <c r="X131" s="35">
        <v>42600</v>
      </c>
      <c r="Z131" s="58">
        <f t="shared" si="55"/>
        <v>15</v>
      </c>
      <c r="AA131" s="31">
        <f>Y131/100*V131</f>
        <v>0</v>
      </c>
      <c r="AB131" t="b">
        <f t="shared" si="57"/>
        <v>0</v>
      </c>
    </row>
    <row r="132" spans="1:28" x14ac:dyDescent="0.25">
      <c r="A132">
        <v>131</v>
      </c>
      <c r="D132" s="9" t="s">
        <v>341</v>
      </c>
      <c r="E132" s="1">
        <v>42546</v>
      </c>
      <c r="F132" s="1">
        <v>42549</v>
      </c>
      <c r="G132" s="1" t="str">
        <f t="shared" si="58"/>
        <v>Amazon EU Sàrl, 5 Rue Plaetis, L-2338, Luxemburg: HP Display Port to VGA Adapter | B00IYETPXW</v>
      </c>
      <c r="H132" t="s">
        <v>72</v>
      </c>
      <c r="I132" s="10" t="s">
        <v>157</v>
      </c>
      <c r="J132" t="s">
        <v>304</v>
      </c>
      <c r="N132" t="b">
        <v>0</v>
      </c>
      <c r="O132" s="36">
        <v>29.4</v>
      </c>
      <c r="P132" s="51">
        <v>1</v>
      </c>
      <c r="Q132" s="27">
        <v>20</v>
      </c>
      <c r="R132" s="31">
        <f t="shared" si="48"/>
        <v>5.88</v>
      </c>
      <c r="S132" s="31">
        <f t="shared" si="52"/>
        <v>5.88</v>
      </c>
      <c r="T132" s="33">
        <f t="shared" si="53"/>
        <v>29.4</v>
      </c>
      <c r="U132" s="29">
        <f t="shared" si="54"/>
        <v>35.28</v>
      </c>
      <c r="V132" s="29">
        <f t="shared" si="56"/>
        <v>35.28</v>
      </c>
      <c r="W132" s="35">
        <f t="shared" si="50"/>
        <v>42597</v>
      </c>
      <c r="X132" s="35">
        <v>42600</v>
      </c>
      <c r="Z132" s="58">
        <f t="shared" si="55"/>
        <v>29.4</v>
      </c>
      <c r="AA132" s="31">
        <f>Y132/100*V131</f>
        <v>0</v>
      </c>
      <c r="AB132" t="b">
        <f t="shared" si="57"/>
        <v>0</v>
      </c>
    </row>
    <row r="133" spans="1:28" x14ac:dyDescent="0.25">
      <c r="A133">
        <v>132</v>
      </c>
      <c r="D133" s="9" t="s">
        <v>340</v>
      </c>
      <c r="E133" s="1">
        <v>42548</v>
      </c>
      <c r="F133" s="1">
        <v>42548</v>
      </c>
      <c r="G133" s="1" t="str">
        <f t="shared" si="58"/>
        <v xml:space="preserve">Libro 1090 Wien, Alserstr 20, ATU 56240311: </v>
      </c>
      <c r="H133" t="s">
        <v>115</v>
      </c>
      <c r="I133" t="s">
        <v>339</v>
      </c>
      <c r="N133" t="b">
        <v>0</v>
      </c>
      <c r="O133" s="36">
        <v>6.8</v>
      </c>
      <c r="P133" s="51">
        <v>1</v>
      </c>
      <c r="Q133" s="27">
        <v>20</v>
      </c>
      <c r="R133" s="31">
        <f t="shared" si="48"/>
        <v>1.36</v>
      </c>
      <c r="S133" s="31">
        <f t="shared" si="52"/>
        <v>1.36</v>
      </c>
      <c r="T133" s="33">
        <f t="shared" si="53"/>
        <v>6.8</v>
      </c>
      <c r="U133" s="29">
        <f t="shared" si="54"/>
        <v>8.16</v>
      </c>
      <c r="V133" s="29">
        <f t="shared" si="56"/>
        <v>8.16</v>
      </c>
      <c r="W133" s="35">
        <f t="shared" si="50"/>
        <v>42597</v>
      </c>
      <c r="X133" s="35">
        <v>42600</v>
      </c>
      <c r="Z133" s="58">
        <f t="shared" si="55"/>
        <v>6.8</v>
      </c>
      <c r="AA133" s="31">
        <f>Y133/100*V132</f>
        <v>0</v>
      </c>
      <c r="AB133" t="b">
        <f t="shared" si="57"/>
        <v>0</v>
      </c>
    </row>
    <row r="134" spans="1:28" x14ac:dyDescent="0.25">
      <c r="A134">
        <v>133</v>
      </c>
      <c r="D134" s="9" t="s">
        <v>346</v>
      </c>
      <c r="E134" s="1">
        <v>42541</v>
      </c>
      <c r="F134" s="1">
        <v>42541</v>
      </c>
      <c r="G134" s="1" t="str">
        <f t="shared" si="58"/>
        <v xml:space="preserve">Da Capo, Pizzeria - Ristorante, 1010 Wien, Schulerstr. 18: </v>
      </c>
      <c r="H134" t="s">
        <v>342</v>
      </c>
      <c r="I134" t="s">
        <v>343</v>
      </c>
      <c r="N134" t="b">
        <v>0</v>
      </c>
      <c r="O134" s="36">
        <f>21.27+6.75</f>
        <v>28.02</v>
      </c>
      <c r="P134" s="51">
        <v>0.5</v>
      </c>
      <c r="Q134" s="27" t="s">
        <v>14</v>
      </c>
      <c r="R134" s="31">
        <f>2.13+1.35</f>
        <v>3.48</v>
      </c>
      <c r="S134" s="31">
        <f t="shared" si="52"/>
        <v>1.74</v>
      </c>
      <c r="T134" s="33">
        <f t="shared" si="53"/>
        <v>14.01</v>
      </c>
      <c r="U134" s="29">
        <f t="shared" si="54"/>
        <v>31.5</v>
      </c>
      <c r="V134" s="29">
        <f t="shared" si="56"/>
        <v>15.75</v>
      </c>
      <c r="W134" s="35">
        <f t="shared" si="50"/>
        <v>42597</v>
      </c>
      <c r="X134" s="35">
        <v>42600</v>
      </c>
      <c r="Z134" s="58">
        <f t="shared" si="55"/>
        <v>14.01</v>
      </c>
      <c r="AA134" s="31">
        <f>Y134/100*V133</f>
        <v>0</v>
      </c>
      <c r="AB134" t="b">
        <f t="shared" si="57"/>
        <v>0</v>
      </c>
    </row>
    <row r="135" spans="1:28" x14ac:dyDescent="0.25">
      <c r="A135">
        <v>134</v>
      </c>
      <c r="D135" s="9" t="s">
        <v>362</v>
      </c>
      <c r="E135" s="1">
        <v>42549</v>
      </c>
      <c r="F135" s="1">
        <v>42545</v>
      </c>
      <c r="G135" s="1" t="str">
        <f t="shared" si="58"/>
        <v>haym.infotec GmbH, Petersbrunnstraße 9, 5020 Salzburg: Eizo FlexScan EV2450 schwarz</v>
      </c>
      <c r="H135" t="s">
        <v>344</v>
      </c>
      <c r="I135" t="s">
        <v>361</v>
      </c>
      <c r="J135" t="s">
        <v>345</v>
      </c>
      <c r="N135" t="b">
        <v>0</v>
      </c>
      <c r="O135" s="36">
        <v>234.47</v>
      </c>
      <c r="P135" s="51">
        <v>1</v>
      </c>
      <c r="Q135" s="27">
        <v>20</v>
      </c>
      <c r="R135" s="31">
        <f t="shared" ref="R135:R165" si="59">O135*Q135/100</f>
        <v>46.893999999999998</v>
      </c>
      <c r="S135" s="31">
        <f t="shared" si="52"/>
        <v>46.893999999999998</v>
      </c>
      <c r="T135" s="33">
        <f t="shared" si="53"/>
        <v>234.47</v>
      </c>
      <c r="U135" s="29">
        <f t="shared" si="54"/>
        <v>281.36399999999998</v>
      </c>
      <c r="V135" s="29">
        <f t="shared" si="56"/>
        <v>281.36399999999998</v>
      </c>
      <c r="W135" s="35">
        <f t="shared" si="50"/>
        <v>42597</v>
      </c>
      <c r="X135" s="35">
        <v>42600</v>
      </c>
      <c r="Z135" s="58">
        <f t="shared" si="55"/>
        <v>234.47</v>
      </c>
      <c r="AA135" s="31">
        <f>Y135/100*V134</f>
        <v>0</v>
      </c>
      <c r="AB135" t="b">
        <f t="shared" si="57"/>
        <v>0</v>
      </c>
    </row>
    <row r="136" spans="1:28" x14ac:dyDescent="0.25">
      <c r="A136">
        <v>135</v>
      </c>
      <c r="D136" s="9" t="s">
        <v>347</v>
      </c>
      <c r="E136" s="1">
        <v>42545</v>
      </c>
      <c r="F136" s="1">
        <v>42552</v>
      </c>
      <c r="G136" s="1" t="str">
        <f t="shared" si="58"/>
        <v xml:space="preserve">Hutchison Drei Austria GmbH, Brünner Straße 52, 1210 Wien, Österreich: </v>
      </c>
      <c r="H136" t="s">
        <v>34</v>
      </c>
      <c r="N136" t="b">
        <f>(IF(AND(K136&lt;&gt;"",ABS(T136)&gt;400),TRUE,FALSE))</f>
        <v>0</v>
      </c>
      <c r="O136" s="36">
        <v>15</v>
      </c>
      <c r="P136" s="51">
        <v>1</v>
      </c>
      <c r="Q136" s="27">
        <v>20</v>
      </c>
      <c r="R136" s="31">
        <f t="shared" si="59"/>
        <v>3</v>
      </c>
      <c r="S136" s="31">
        <f t="shared" si="52"/>
        <v>3</v>
      </c>
      <c r="T136" s="33">
        <f t="shared" si="53"/>
        <v>15</v>
      </c>
      <c r="U136" s="29">
        <f t="shared" si="54"/>
        <v>18</v>
      </c>
      <c r="V136" s="29">
        <f t="shared" si="56"/>
        <v>18</v>
      </c>
      <c r="W136" s="35">
        <f t="shared" si="50"/>
        <v>42689</v>
      </c>
      <c r="X136" s="35">
        <v>42687</v>
      </c>
      <c r="Z136" s="58">
        <f t="shared" si="55"/>
        <v>15</v>
      </c>
      <c r="AA136" s="31">
        <f t="shared" ref="AA136:AA171" si="60">Y136/100*V136</f>
        <v>0</v>
      </c>
      <c r="AB136" t="b">
        <f t="shared" si="57"/>
        <v>0</v>
      </c>
    </row>
    <row r="137" spans="1:28" x14ac:dyDescent="0.25">
      <c r="A137">
        <v>136</v>
      </c>
      <c r="D137" s="9" t="s">
        <v>277</v>
      </c>
      <c r="E137" s="1">
        <v>42529</v>
      </c>
      <c r="F137" s="1">
        <v>42531</v>
      </c>
      <c r="G137" s="1" t="str">
        <f t="shared" si="58"/>
        <v>Hetzner Online AG, Industriestr. 25, 91710 Gunzenhausen: EQ4 Server #50605 30TB 188.40.75.200, 188.40.75.242</v>
      </c>
      <c r="H137" t="s">
        <v>42</v>
      </c>
      <c r="I137" s="10" t="s">
        <v>154</v>
      </c>
      <c r="J137" t="s">
        <v>19</v>
      </c>
      <c r="N137" t="b">
        <f>(IF(AND(K137&lt;&gt;"",ABS(T137)&gt;400),TRUE,FALSE))</f>
        <v>0</v>
      </c>
      <c r="O137" s="36">
        <v>41.18</v>
      </c>
      <c r="P137" s="51">
        <v>1</v>
      </c>
      <c r="Q137" s="27">
        <v>0</v>
      </c>
      <c r="R137" s="31">
        <f t="shared" si="59"/>
        <v>0</v>
      </c>
      <c r="S137" s="31">
        <f t="shared" si="52"/>
        <v>0</v>
      </c>
      <c r="T137" s="33">
        <f t="shared" si="53"/>
        <v>41.18</v>
      </c>
      <c r="U137" s="29">
        <f t="shared" si="54"/>
        <v>41.18</v>
      </c>
      <c r="V137" s="29">
        <f t="shared" si="56"/>
        <v>41.18</v>
      </c>
      <c r="W137" s="35">
        <f t="shared" si="50"/>
        <v>42597</v>
      </c>
      <c r="X137" s="35">
        <v>42600</v>
      </c>
      <c r="Y137" s="27">
        <v>20</v>
      </c>
      <c r="Z137" s="58">
        <f t="shared" si="55"/>
        <v>41.18</v>
      </c>
      <c r="AA137" s="31">
        <f t="shared" si="60"/>
        <v>8.2360000000000007</v>
      </c>
      <c r="AB137" t="b">
        <f t="shared" si="57"/>
        <v>0</v>
      </c>
    </row>
    <row r="138" spans="1:28" x14ac:dyDescent="0.25">
      <c r="A138">
        <v>137</v>
      </c>
      <c r="D138" s="9" t="s">
        <v>354</v>
      </c>
      <c r="E138" s="1">
        <v>42545</v>
      </c>
      <c r="F138" s="1">
        <v>42547</v>
      </c>
      <c r="G138" s="1" t="str">
        <f t="shared" si="58"/>
        <v>Digital River Ireland, Ltd., Unit 153 Shannon Free Zone, Shannon, CO. Clare, Ireland: Lenovo HDMI-VGA</v>
      </c>
      <c r="H138" t="s">
        <v>349</v>
      </c>
      <c r="I138" t="s">
        <v>350</v>
      </c>
      <c r="J138" t="s">
        <v>355</v>
      </c>
      <c r="N138" t="b">
        <v>0</v>
      </c>
      <c r="O138" s="36">
        <v>21</v>
      </c>
      <c r="P138" s="51">
        <v>1</v>
      </c>
      <c r="Q138" s="27">
        <v>20</v>
      </c>
      <c r="R138" s="31">
        <f t="shared" si="59"/>
        <v>4.2</v>
      </c>
      <c r="S138" s="31">
        <f t="shared" si="52"/>
        <v>4.2</v>
      </c>
      <c r="T138" s="33">
        <f t="shared" si="53"/>
        <v>21</v>
      </c>
      <c r="U138" s="29">
        <f t="shared" si="54"/>
        <v>25.2</v>
      </c>
      <c r="V138" s="29">
        <f t="shared" si="56"/>
        <v>25.2</v>
      </c>
      <c r="W138" s="35">
        <f t="shared" si="50"/>
        <v>42597</v>
      </c>
      <c r="X138" s="35">
        <v>42600</v>
      </c>
      <c r="Z138" s="58">
        <f t="shared" si="55"/>
        <v>21</v>
      </c>
      <c r="AA138" s="31">
        <f t="shared" si="60"/>
        <v>0</v>
      </c>
      <c r="AB138" t="b">
        <f t="shared" si="57"/>
        <v>0</v>
      </c>
    </row>
    <row r="139" spans="1:28" x14ac:dyDescent="0.25">
      <c r="A139">
        <v>138</v>
      </c>
      <c r="D139" s="9" t="s">
        <v>352</v>
      </c>
      <c r="E139" s="1">
        <v>42541</v>
      </c>
      <c r="F139" s="1">
        <v>42543</v>
      </c>
      <c r="G139" s="1" t="str">
        <f t="shared" si="58"/>
        <v>Digital River Ireland, Ltd., Unit 153 Shannon Free Zone, Shannon, CO. Clare, Ireland: ThinkPad Workstation Dock, Lenovo Mini-DP-DP-Kabel</v>
      </c>
      <c r="H139" t="s">
        <v>349</v>
      </c>
      <c r="I139" t="s">
        <v>350</v>
      </c>
      <c r="J139" t="s">
        <v>353</v>
      </c>
      <c r="N139" t="b">
        <v>0</v>
      </c>
      <c r="O139" s="36">
        <v>309</v>
      </c>
      <c r="P139" s="51">
        <v>1</v>
      </c>
      <c r="Q139" s="27">
        <v>20</v>
      </c>
      <c r="R139" s="31">
        <f t="shared" si="59"/>
        <v>61.8</v>
      </c>
      <c r="S139" s="31">
        <f t="shared" si="52"/>
        <v>61.8</v>
      </c>
      <c r="T139" s="33">
        <f t="shared" si="53"/>
        <v>309</v>
      </c>
      <c r="U139" s="29">
        <f t="shared" si="54"/>
        <v>370.8</v>
      </c>
      <c r="V139" s="29">
        <f t="shared" si="56"/>
        <v>370.8</v>
      </c>
      <c r="W139" s="35">
        <f t="shared" si="50"/>
        <v>42597</v>
      </c>
      <c r="X139" s="35">
        <v>42600</v>
      </c>
      <c r="Z139" s="58">
        <f t="shared" si="55"/>
        <v>309</v>
      </c>
      <c r="AA139" s="31">
        <f t="shared" si="60"/>
        <v>0</v>
      </c>
      <c r="AB139" t="b">
        <f t="shared" si="57"/>
        <v>0</v>
      </c>
    </row>
    <row r="140" spans="1:28" x14ac:dyDescent="0.25">
      <c r="A140">
        <v>139</v>
      </c>
      <c r="D140" s="9" t="s">
        <v>348</v>
      </c>
      <c r="E140" s="1">
        <v>42547</v>
      </c>
      <c r="F140" s="1">
        <v>42549</v>
      </c>
      <c r="G140" s="1" t="str">
        <f t="shared" si="58"/>
        <v>Digital River Ireland, Ltd., Unit 153 Shannon Free Zone, Shannon, CO. Clare, Ireland: ThinkPad P70</v>
      </c>
      <c r="H140" t="s">
        <v>349</v>
      </c>
      <c r="I140" t="s">
        <v>350</v>
      </c>
      <c r="J140" t="s">
        <v>351</v>
      </c>
      <c r="N140" t="b">
        <v>0</v>
      </c>
      <c r="O140" s="36">
        <v>2265.96</v>
      </c>
      <c r="P140" s="51">
        <v>1</v>
      </c>
      <c r="Q140" s="27">
        <v>20</v>
      </c>
      <c r="R140" s="31">
        <f t="shared" si="59"/>
        <v>453.19199999999995</v>
      </c>
      <c r="S140" s="31">
        <f t="shared" si="52"/>
        <v>453.19199999999995</v>
      </c>
      <c r="T140" s="33">
        <f t="shared" si="53"/>
        <v>2265.96</v>
      </c>
      <c r="U140" s="29">
        <f t="shared" si="54"/>
        <v>2719.152</v>
      </c>
      <c r="V140" s="29">
        <f t="shared" si="56"/>
        <v>2719.152</v>
      </c>
      <c r="W140" s="35">
        <f t="shared" si="50"/>
        <v>42597</v>
      </c>
      <c r="X140" s="35">
        <v>42600</v>
      </c>
      <c r="Z140" s="58">
        <f t="shared" si="55"/>
        <v>2265.96</v>
      </c>
      <c r="AA140" s="31">
        <f t="shared" si="60"/>
        <v>0</v>
      </c>
      <c r="AB140" t="b">
        <f t="shared" si="57"/>
        <v>0</v>
      </c>
    </row>
    <row r="141" spans="1:28" x14ac:dyDescent="0.25">
      <c r="A141">
        <v>140</v>
      </c>
      <c r="D141" s="9" t="s">
        <v>357</v>
      </c>
      <c r="E141" s="1">
        <v>42536</v>
      </c>
      <c r="F141" s="1">
        <v>42538</v>
      </c>
      <c r="G141" s="1" t="str">
        <f t="shared" si="58"/>
        <v>ÖBB-Personenverkehr AG: Wien-Feldkirch, Feldirch-Wien</v>
      </c>
      <c r="H141" t="s">
        <v>356</v>
      </c>
      <c r="J141" t="s">
        <v>358</v>
      </c>
      <c r="N141" t="b">
        <v>0</v>
      </c>
      <c r="O141" s="36">
        <v>76.36</v>
      </c>
      <c r="P141" s="51">
        <v>1</v>
      </c>
      <c r="Q141" s="27">
        <v>10</v>
      </c>
      <c r="R141" s="31">
        <f t="shared" si="59"/>
        <v>7.6360000000000001</v>
      </c>
      <c r="S141" s="31">
        <f t="shared" si="52"/>
        <v>7.6360000000000001</v>
      </c>
      <c r="T141" s="33">
        <f t="shared" si="53"/>
        <v>76.36</v>
      </c>
      <c r="U141" s="29">
        <f t="shared" si="54"/>
        <v>83.995999999999995</v>
      </c>
      <c r="V141" s="29">
        <f t="shared" si="56"/>
        <v>83.995999999999995</v>
      </c>
      <c r="W141" s="35">
        <f t="shared" si="50"/>
        <v>42597</v>
      </c>
      <c r="X141" s="35">
        <v>42600</v>
      </c>
      <c r="Z141" s="58">
        <f t="shared" si="55"/>
        <v>76.36</v>
      </c>
      <c r="AA141" s="31">
        <f t="shared" si="60"/>
        <v>0</v>
      </c>
      <c r="AB141" t="b">
        <f t="shared" si="57"/>
        <v>0</v>
      </c>
    </row>
    <row r="142" spans="1:28" x14ac:dyDescent="0.25">
      <c r="A142">
        <v>141</v>
      </c>
      <c r="D142" s="9" t="s">
        <v>375</v>
      </c>
      <c r="E142" s="1">
        <v>42522</v>
      </c>
      <c r="F142" s="1">
        <v>42536</v>
      </c>
      <c r="G142" s="1" t="str">
        <f t="shared" si="58"/>
        <v>MONTANA Energie-Handel AT GmbH: Teilzahlungsbetrag Gas 14000403096</v>
      </c>
      <c r="H142" t="s">
        <v>58</v>
      </c>
      <c r="J142" t="s">
        <v>374</v>
      </c>
      <c r="N142" t="b">
        <f t="shared" ref="N142:N148" si="61">(IF(AND(K142&lt;&gt;"",ABS(T142)&gt;400),TRUE,FALSE))</f>
        <v>0</v>
      </c>
      <c r="O142" s="36">
        <v>52.5</v>
      </c>
      <c r="P142" s="51">
        <f>Arbeitszimmer!$B$3</f>
        <v>0.27320378419841473</v>
      </c>
      <c r="Q142" s="27">
        <v>20</v>
      </c>
      <c r="R142" s="31">
        <f t="shared" si="59"/>
        <v>10.5</v>
      </c>
      <c r="S142" s="31">
        <f t="shared" si="52"/>
        <v>2.8686397340833549</v>
      </c>
      <c r="T142" s="33">
        <f t="shared" si="53"/>
        <v>14.343198670416774</v>
      </c>
      <c r="U142" s="29">
        <f t="shared" si="54"/>
        <v>63</v>
      </c>
      <c r="V142" s="29">
        <f t="shared" si="56"/>
        <v>17.211838404500128</v>
      </c>
      <c r="W142" s="35">
        <f t="shared" si="50"/>
        <v>42597</v>
      </c>
      <c r="X142" s="35">
        <v>42600</v>
      </c>
      <c r="Z142" s="58">
        <f t="shared" si="55"/>
        <v>14.343198670416774</v>
      </c>
      <c r="AA142" s="31">
        <f t="shared" si="60"/>
        <v>0</v>
      </c>
      <c r="AB142" t="b">
        <f t="shared" si="57"/>
        <v>0</v>
      </c>
    </row>
    <row r="143" spans="1:28" x14ac:dyDescent="0.25">
      <c r="A143">
        <v>142</v>
      </c>
      <c r="D143" s="9" t="s">
        <v>359</v>
      </c>
      <c r="E143" s="1">
        <v>42541</v>
      </c>
      <c r="F143" s="1">
        <v>42543</v>
      </c>
      <c r="G143" s="1" t="str">
        <f t="shared" si="58"/>
        <v xml:space="preserve">Microsoft Luxembourg Sàrl, 23-29, Rives de Clausen, L-2165 Luxembourg, Luxembourg, USt-IdNr.: LU19878750: </v>
      </c>
      <c r="H143" t="s">
        <v>65</v>
      </c>
      <c r="N143" t="b">
        <f t="shared" si="61"/>
        <v>0</v>
      </c>
      <c r="O143" s="36">
        <v>57.5</v>
      </c>
      <c r="P143" s="51">
        <v>1</v>
      </c>
      <c r="Q143" s="27">
        <v>20</v>
      </c>
      <c r="R143" s="31">
        <f t="shared" si="59"/>
        <v>11.5</v>
      </c>
      <c r="S143" s="31">
        <f t="shared" si="52"/>
        <v>11.5</v>
      </c>
      <c r="T143" s="33">
        <f t="shared" si="53"/>
        <v>57.5</v>
      </c>
      <c r="U143" s="29">
        <f t="shared" si="54"/>
        <v>69</v>
      </c>
      <c r="V143" s="29">
        <f t="shared" si="56"/>
        <v>69</v>
      </c>
      <c r="W143" s="35">
        <f t="shared" si="50"/>
        <v>42597</v>
      </c>
      <c r="X143" s="35">
        <v>42600</v>
      </c>
      <c r="Z143" s="58">
        <f t="shared" si="55"/>
        <v>57.5</v>
      </c>
      <c r="AA143" s="31">
        <f t="shared" si="60"/>
        <v>0</v>
      </c>
      <c r="AB143" t="b">
        <f t="shared" si="57"/>
        <v>0</v>
      </c>
    </row>
    <row r="144" spans="1:28" x14ac:dyDescent="0.25">
      <c r="A144">
        <v>143</v>
      </c>
      <c r="D144" s="9" t="s">
        <v>372</v>
      </c>
      <c r="E144" s="1">
        <v>42522</v>
      </c>
      <c r="F144" s="1">
        <v>42517</v>
      </c>
      <c r="G144" s="1" t="str">
        <f t="shared" si="58"/>
        <v>IMV Immobilien Management GmbH: Vorschreibung 6/16</v>
      </c>
      <c r="H144" t="s">
        <v>24</v>
      </c>
      <c r="I144" t="s">
        <v>174</v>
      </c>
      <c r="J144" t="s">
        <v>363</v>
      </c>
      <c r="N144" t="b">
        <f t="shared" si="61"/>
        <v>0</v>
      </c>
      <c r="O144" s="36">
        <v>801.77</v>
      </c>
      <c r="P144" s="51">
        <f>Arbeitszimmer!$B$3</f>
        <v>0.27320378419841473</v>
      </c>
      <c r="Q144" s="27">
        <v>10</v>
      </c>
      <c r="R144" s="31">
        <f t="shared" si="59"/>
        <v>80.176999999999992</v>
      </c>
      <c r="S144" s="31">
        <f t="shared" si="52"/>
        <v>21.904659805676296</v>
      </c>
      <c r="T144" s="33">
        <f t="shared" si="53"/>
        <v>219.04659805676297</v>
      </c>
      <c r="U144" s="29">
        <f t="shared" si="54"/>
        <v>881.947</v>
      </c>
      <c r="V144" s="29">
        <f t="shared" si="56"/>
        <v>240.95125786243926</v>
      </c>
      <c r="W144" s="35">
        <f t="shared" si="50"/>
        <v>42597</v>
      </c>
      <c r="X144" s="35">
        <v>42600</v>
      </c>
      <c r="Z144" s="58">
        <f t="shared" si="55"/>
        <v>219.04659805676297</v>
      </c>
      <c r="AA144" s="31">
        <f t="shared" si="60"/>
        <v>0</v>
      </c>
      <c r="AB144" t="b">
        <f t="shared" si="57"/>
        <v>0</v>
      </c>
    </row>
    <row r="145" spans="1:28" x14ac:dyDescent="0.25">
      <c r="A145">
        <v>144</v>
      </c>
      <c r="D145" s="9" t="s">
        <v>364</v>
      </c>
      <c r="E145" s="1">
        <v>42552</v>
      </c>
      <c r="F145" s="1">
        <v>42550</v>
      </c>
      <c r="G145" s="1" t="str">
        <f t="shared" si="58"/>
        <v>IMV Immobilien Management GmbH: Vorschreibung 7/16</v>
      </c>
      <c r="H145" t="s">
        <v>24</v>
      </c>
      <c r="I145" t="s">
        <v>174</v>
      </c>
      <c r="J145" t="s">
        <v>367</v>
      </c>
      <c r="N145" t="b">
        <f t="shared" si="61"/>
        <v>0</v>
      </c>
      <c r="O145" s="36">
        <v>801.77</v>
      </c>
      <c r="P145" s="51">
        <f>Arbeitszimmer!$B$3</f>
        <v>0.27320378419841473</v>
      </c>
      <c r="Q145" s="27">
        <v>10</v>
      </c>
      <c r="R145" s="31">
        <f t="shared" si="59"/>
        <v>80.176999999999992</v>
      </c>
      <c r="S145" s="31">
        <f t="shared" si="52"/>
        <v>21.904659805676296</v>
      </c>
      <c r="T145" s="33">
        <f t="shared" si="53"/>
        <v>219.04659805676297</v>
      </c>
      <c r="U145" s="29">
        <f t="shared" si="54"/>
        <v>881.947</v>
      </c>
      <c r="V145" s="29">
        <f t="shared" si="56"/>
        <v>240.95125786243926</v>
      </c>
      <c r="W145" s="35">
        <f t="shared" si="50"/>
        <v>42597</v>
      </c>
      <c r="X145" s="35">
        <v>42600</v>
      </c>
      <c r="Z145" s="58">
        <f t="shared" si="55"/>
        <v>219.04659805676297</v>
      </c>
      <c r="AA145" s="31">
        <f t="shared" si="60"/>
        <v>0</v>
      </c>
      <c r="AB145" t="b">
        <f t="shared" si="57"/>
        <v>0</v>
      </c>
    </row>
    <row r="146" spans="1:28" x14ac:dyDescent="0.25">
      <c r="A146">
        <v>145</v>
      </c>
      <c r="D146" s="9" t="s">
        <v>366</v>
      </c>
      <c r="E146" s="1">
        <v>42583</v>
      </c>
      <c r="F146" s="1">
        <v>42579</v>
      </c>
      <c r="G146" s="1" t="str">
        <f t="shared" si="58"/>
        <v>IMV Immobilien Management GmbH: Vorschreibung 8/16</v>
      </c>
      <c r="H146" t="s">
        <v>24</v>
      </c>
      <c r="I146" t="s">
        <v>174</v>
      </c>
      <c r="J146" t="s">
        <v>368</v>
      </c>
      <c r="N146" t="b">
        <f t="shared" si="61"/>
        <v>0</v>
      </c>
      <c r="O146" s="36">
        <v>475.87</v>
      </c>
      <c r="P146" s="51">
        <f>Arbeitszimmer!$B$3</f>
        <v>0.27320378419841473</v>
      </c>
      <c r="Q146" s="27">
        <v>10</v>
      </c>
      <c r="R146" s="31">
        <f t="shared" si="59"/>
        <v>47.586999999999996</v>
      </c>
      <c r="S146" s="31">
        <f t="shared" si="52"/>
        <v>13.000948478649962</v>
      </c>
      <c r="T146" s="33">
        <f t="shared" si="53"/>
        <v>130.00948478649963</v>
      </c>
      <c r="U146" s="29">
        <f t="shared" si="54"/>
        <v>523.45699999999999</v>
      </c>
      <c r="V146" s="29">
        <f t="shared" si="56"/>
        <v>143.0104332651496</v>
      </c>
      <c r="W146" s="35">
        <f t="shared" si="50"/>
        <v>42689</v>
      </c>
      <c r="X146" s="35">
        <v>42687</v>
      </c>
      <c r="Z146" s="58">
        <f t="shared" si="55"/>
        <v>130.00948478649963</v>
      </c>
      <c r="AA146" s="31">
        <f t="shared" si="60"/>
        <v>0</v>
      </c>
      <c r="AB146" t="b">
        <f t="shared" si="57"/>
        <v>0</v>
      </c>
    </row>
    <row r="147" spans="1:28" x14ac:dyDescent="0.25">
      <c r="A147">
        <v>146</v>
      </c>
      <c r="D147" s="9" t="s">
        <v>365</v>
      </c>
      <c r="E147" s="1">
        <v>42614</v>
      </c>
      <c r="F147" s="1">
        <v>42611</v>
      </c>
      <c r="G147" s="1" t="str">
        <f t="shared" si="58"/>
        <v>IMV Immobilien Management GmbH: Vorschreibung 9/16</v>
      </c>
      <c r="H147" t="s">
        <v>24</v>
      </c>
      <c r="I147" t="s">
        <v>174</v>
      </c>
      <c r="J147" t="s">
        <v>369</v>
      </c>
      <c r="N147" t="b">
        <f t="shared" si="61"/>
        <v>0</v>
      </c>
      <c r="O147" s="36">
        <v>801.77</v>
      </c>
      <c r="P147" s="51">
        <f>Arbeitszimmer!$B$3</f>
        <v>0.27320378419841473</v>
      </c>
      <c r="Q147" s="27">
        <v>10</v>
      </c>
      <c r="R147" s="31">
        <f t="shared" si="59"/>
        <v>80.176999999999992</v>
      </c>
      <c r="S147" s="31">
        <f t="shared" si="52"/>
        <v>21.904659805676296</v>
      </c>
      <c r="T147" s="33">
        <f t="shared" si="53"/>
        <v>219.04659805676297</v>
      </c>
      <c r="U147" s="29">
        <f t="shared" si="54"/>
        <v>881.947</v>
      </c>
      <c r="V147" s="29">
        <f t="shared" si="56"/>
        <v>240.95125786243926</v>
      </c>
      <c r="W147" s="35">
        <f t="shared" si="50"/>
        <v>42689</v>
      </c>
      <c r="X147" s="35">
        <v>42687</v>
      </c>
      <c r="Z147" s="58">
        <f t="shared" si="55"/>
        <v>219.04659805676297</v>
      </c>
      <c r="AA147" s="31">
        <f t="shared" si="60"/>
        <v>0</v>
      </c>
      <c r="AB147" t="b">
        <f t="shared" si="57"/>
        <v>0</v>
      </c>
    </row>
    <row r="148" spans="1:28" x14ac:dyDescent="0.25">
      <c r="A148">
        <v>147</v>
      </c>
      <c r="D148" s="9" t="s">
        <v>383</v>
      </c>
      <c r="E148" s="1">
        <v>42562</v>
      </c>
      <c r="F148" s="1">
        <v>42562</v>
      </c>
      <c r="G148" s="1" t="str">
        <f t="shared" si="58"/>
        <v>XXXLutz Feldkirch, Königshofstraße 56, A-6800 Feldkirch: Drehstuhl Air Synchro Plus Typ SN80W G200 Schwarz</v>
      </c>
      <c r="H148" t="s">
        <v>384</v>
      </c>
      <c r="I148" t="s">
        <v>385</v>
      </c>
      <c r="J148" t="s">
        <v>386</v>
      </c>
      <c r="N148" t="b">
        <f t="shared" si="61"/>
        <v>0</v>
      </c>
      <c r="O148" s="36">
        <v>369</v>
      </c>
      <c r="P148" s="51">
        <f>Arbeitszimmer!$B$3</f>
        <v>0.27320378419841473</v>
      </c>
      <c r="Q148" s="27">
        <v>10</v>
      </c>
      <c r="R148" s="31">
        <f t="shared" si="59"/>
        <v>36.9</v>
      </c>
      <c r="S148" s="31">
        <f t="shared" si="52"/>
        <v>10.081219636921503</v>
      </c>
      <c r="T148" s="33">
        <f t="shared" si="53"/>
        <v>100.81219636921503</v>
      </c>
      <c r="U148" s="29">
        <f t="shared" si="54"/>
        <v>405.9</v>
      </c>
      <c r="V148" s="29">
        <f t="shared" si="56"/>
        <v>110.89341600613653</v>
      </c>
      <c r="W148" s="35">
        <f t="shared" si="50"/>
        <v>42689</v>
      </c>
      <c r="X148" s="35">
        <v>42687</v>
      </c>
      <c r="Z148" s="58">
        <f t="shared" si="55"/>
        <v>100.81219636921503</v>
      </c>
      <c r="AA148" s="31">
        <f t="shared" si="60"/>
        <v>0</v>
      </c>
      <c r="AB148" t="b">
        <f t="shared" si="57"/>
        <v>0</v>
      </c>
    </row>
    <row r="149" spans="1:28" x14ac:dyDescent="0.25">
      <c r="A149">
        <v>148</v>
      </c>
      <c r="D149" s="9" t="s">
        <v>382</v>
      </c>
      <c r="E149" s="1">
        <v>42576</v>
      </c>
      <c r="F149" s="1">
        <v>42579</v>
      </c>
      <c r="G149" s="1" t="str">
        <f t="shared" si="58"/>
        <v>Amazon EU Sàrl, 5 Rue Plaetis, L-2338, Luxemburg: Samsung Galaxy Tab A (2016) T580N 25,54 cm (10,1 Zoll) Wi-Fi Tablet-PC B01ERY8650</v>
      </c>
      <c r="H149" t="s">
        <v>72</v>
      </c>
      <c r="I149" s="10" t="s">
        <v>157</v>
      </c>
      <c r="J149" t="s">
        <v>381</v>
      </c>
      <c r="N149" t="b">
        <v>0</v>
      </c>
      <c r="O149" s="36">
        <v>217.65</v>
      </c>
      <c r="P149" s="51">
        <v>1</v>
      </c>
      <c r="Q149" s="27">
        <v>20</v>
      </c>
      <c r="R149" s="31">
        <f t="shared" si="59"/>
        <v>43.53</v>
      </c>
      <c r="S149" s="31">
        <f t="shared" si="52"/>
        <v>43.53</v>
      </c>
      <c r="T149" s="33">
        <f t="shared" si="53"/>
        <v>217.65</v>
      </c>
      <c r="U149" s="29">
        <f t="shared" si="54"/>
        <v>261.18</v>
      </c>
      <c r="V149" s="29">
        <f t="shared" si="56"/>
        <v>261.18</v>
      </c>
      <c r="W149" s="35">
        <f t="shared" si="50"/>
        <v>42689</v>
      </c>
      <c r="X149" s="35">
        <v>42687</v>
      </c>
      <c r="Z149" s="58">
        <f t="shared" si="55"/>
        <v>217.65</v>
      </c>
      <c r="AA149" s="31">
        <f t="shared" si="60"/>
        <v>0</v>
      </c>
      <c r="AB149" t="b">
        <f t="shared" si="57"/>
        <v>0</v>
      </c>
    </row>
    <row r="150" spans="1:28" x14ac:dyDescent="0.25">
      <c r="A150">
        <v>149</v>
      </c>
      <c r="D150" s="9" t="s">
        <v>380</v>
      </c>
      <c r="E150" s="1">
        <v>42573</v>
      </c>
      <c r="F150" s="1">
        <v>42575</v>
      </c>
      <c r="G150" s="1" t="str">
        <f t="shared" si="58"/>
        <v>Amazon EU Sàrl, 5 Rue Plaetis, L-2338, Luxemburg: Microsoft Natural Egonomic Keyboard 4000 Tastatur schnurgebunden B000A6DJKW</v>
      </c>
      <c r="H150" t="s">
        <v>72</v>
      </c>
      <c r="I150" s="10" t="s">
        <v>157</v>
      </c>
      <c r="J150" t="s">
        <v>387</v>
      </c>
      <c r="N150" t="b">
        <v>0</v>
      </c>
      <c r="O150" s="36">
        <v>31.08</v>
      </c>
      <c r="P150" s="51">
        <v>1</v>
      </c>
      <c r="Q150" s="27">
        <v>20</v>
      </c>
      <c r="R150" s="31">
        <f t="shared" si="59"/>
        <v>6.2159999999999993</v>
      </c>
      <c r="S150" s="31">
        <f t="shared" si="52"/>
        <v>6.2159999999999993</v>
      </c>
      <c r="T150" s="33">
        <f t="shared" si="53"/>
        <v>31.08</v>
      </c>
      <c r="U150" s="29">
        <f t="shared" si="54"/>
        <v>37.295999999999999</v>
      </c>
      <c r="V150" s="29">
        <f t="shared" si="56"/>
        <v>37.295999999999999</v>
      </c>
      <c r="W150" s="35">
        <f t="shared" si="50"/>
        <v>42689</v>
      </c>
      <c r="X150" s="35">
        <v>42687</v>
      </c>
      <c r="Z150" s="58">
        <f t="shared" si="55"/>
        <v>31.08</v>
      </c>
      <c r="AA150" s="31">
        <f t="shared" si="60"/>
        <v>0</v>
      </c>
      <c r="AB150" t="b">
        <f t="shared" si="57"/>
        <v>0</v>
      </c>
    </row>
    <row r="151" spans="1:28" x14ac:dyDescent="0.25">
      <c r="A151">
        <v>150</v>
      </c>
      <c r="D151" s="9" t="s">
        <v>341</v>
      </c>
      <c r="E151" s="1">
        <v>42546</v>
      </c>
      <c r="F151" s="1">
        <v>42550</v>
      </c>
      <c r="G151" s="1" t="str">
        <f t="shared" si="58"/>
        <v>Amazon EU Sàrl, 5 Rue Plaetis, L-2338, Luxemburg: Business Analysis und Requirements Engineering (Buch)</v>
      </c>
      <c r="H151" t="s">
        <v>72</v>
      </c>
      <c r="I151" s="10" t="s">
        <v>157</v>
      </c>
      <c r="J151" t="s">
        <v>379</v>
      </c>
      <c r="N151" t="b">
        <v>0</v>
      </c>
      <c r="O151" s="36">
        <v>29.4</v>
      </c>
      <c r="P151" s="51">
        <v>1</v>
      </c>
      <c r="Q151" s="27">
        <v>20</v>
      </c>
      <c r="R151" s="31">
        <f t="shared" si="59"/>
        <v>5.88</v>
      </c>
      <c r="S151" s="31">
        <f t="shared" si="52"/>
        <v>5.88</v>
      </c>
      <c r="T151" s="33">
        <f t="shared" si="53"/>
        <v>29.4</v>
      </c>
      <c r="U151" s="29">
        <f t="shared" si="54"/>
        <v>35.28</v>
      </c>
      <c r="V151" s="29">
        <f t="shared" si="56"/>
        <v>35.28</v>
      </c>
      <c r="W151" s="35">
        <f t="shared" si="50"/>
        <v>42597</v>
      </c>
      <c r="X151" s="35">
        <v>42600</v>
      </c>
      <c r="Z151" s="58">
        <f t="shared" si="55"/>
        <v>29.4</v>
      </c>
      <c r="AA151" s="31">
        <f t="shared" si="60"/>
        <v>0</v>
      </c>
      <c r="AB151" t="b">
        <f t="shared" si="57"/>
        <v>0</v>
      </c>
    </row>
    <row r="152" spans="1:28" x14ac:dyDescent="0.25">
      <c r="A152">
        <v>151</v>
      </c>
      <c r="D152" s="9" t="s">
        <v>378</v>
      </c>
      <c r="E152" s="1">
        <v>42559</v>
      </c>
      <c r="F152" s="1">
        <v>42563</v>
      </c>
      <c r="G152" s="1" t="str">
        <f t="shared" si="58"/>
        <v>Hetzner Online AG, Industriestr. 25, 91710 Gunzenhausen: EQ4 Server #50605 30TB 188.40.75.200, 188.40.75.242</v>
      </c>
      <c r="H152" t="s">
        <v>42</v>
      </c>
      <c r="I152" s="10" t="s">
        <v>154</v>
      </c>
      <c r="J152" t="s">
        <v>19</v>
      </c>
      <c r="N152" t="b">
        <f>(IF(AND(K152&lt;&gt;"",ABS(T152)&gt;400),TRUE,FALSE))</f>
        <v>0</v>
      </c>
      <c r="O152" s="36">
        <v>42.02</v>
      </c>
      <c r="P152" s="51">
        <v>1</v>
      </c>
      <c r="Q152" s="27">
        <v>0</v>
      </c>
      <c r="R152" s="31">
        <f t="shared" si="59"/>
        <v>0</v>
      </c>
      <c r="S152" s="31">
        <f t="shared" si="52"/>
        <v>0</v>
      </c>
      <c r="T152" s="33">
        <f t="shared" si="53"/>
        <v>42.02</v>
      </c>
      <c r="U152" s="29">
        <f t="shared" si="54"/>
        <v>42.02</v>
      </c>
      <c r="V152" s="29">
        <f t="shared" si="56"/>
        <v>42.02</v>
      </c>
      <c r="W152" s="35">
        <f t="shared" si="50"/>
        <v>42689</v>
      </c>
      <c r="X152" s="35">
        <v>42687</v>
      </c>
      <c r="Y152" s="27">
        <v>20</v>
      </c>
      <c r="Z152" s="58">
        <f t="shared" si="55"/>
        <v>42.02</v>
      </c>
      <c r="AA152" s="31">
        <f t="shared" si="60"/>
        <v>8.4040000000000017</v>
      </c>
      <c r="AB152" t="b">
        <f t="shared" si="57"/>
        <v>0</v>
      </c>
    </row>
    <row r="153" spans="1:28" x14ac:dyDescent="0.25">
      <c r="A153">
        <v>152</v>
      </c>
      <c r="D153" s="9" t="s">
        <v>377</v>
      </c>
      <c r="E153" s="1">
        <v>42577</v>
      </c>
      <c r="F153" s="1">
        <v>42586</v>
      </c>
      <c r="G153" s="1" t="str">
        <f t="shared" si="58"/>
        <v xml:space="preserve">Hutchison Drei Austria GmbH, Brünner Straße 52, 1210 Wien, Österreich: </v>
      </c>
      <c r="H153" t="s">
        <v>34</v>
      </c>
      <c r="N153" t="b">
        <f>(IF(AND(K153&lt;&gt;"",ABS(T153)&gt;400),TRUE,FALSE))</f>
        <v>0</v>
      </c>
      <c r="O153" s="36">
        <v>15</v>
      </c>
      <c r="P153" s="51">
        <v>1</v>
      </c>
      <c r="Q153" s="27">
        <v>20</v>
      </c>
      <c r="R153" s="31">
        <f t="shared" si="59"/>
        <v>3</v>
      </c>
      <c r="S153" s="31">
        <f t="shared" ref="S153:S176" si="62">P153*R153</f>
        <v>3</v>
      </c>
      <c r="T153" s="33">
        <f t="shared" ref="T153:T176" si="63">O153*P153</f>
        <v>15</v>
      </c>
      <c r="U153" s="29">
        <f t="shared" si="54"/>
        <v>18</v>
      </c>
      <c r="V153" s="29">
        <f t="shared" si="56"/>
        <v>18</v>
      </c>
      <c r="W153" s="35">
        <f t="shared" si="50"/>
        <v>42689</v>
      </c>
      <c r="X153" s="35">
        <v>42687</v>
      </c>
      <c r="Z153" s="58">
        <f t="shared" si="55"/>
        <v>15</v>
      </c>
      <c r="AA153" s="31">
        <f t="shared" si="60"/>
        <v>0</v>
      </c>
      <c r="AB153" t="b">
        <f t="shared" si="57"/>
        <v>0</v>
      </c>
    </row>
    <row r="154" spans="1:28" x14ac:dyDescent="0.25">
      <c r="A154">
        <v>153</v>
      </c>
      <c r="D154" s="9" t="s">
        <v>389</v>
      </c>
      <c r="E154" s="1">
        <v>42587</v>
      </c>
      <c r="F154" s="1">
        <v>42588</v>
      </c>
      <c r="G154" s="1" t="str">
        <f t="shared" si="58"/>
        <v>Amazon EU Sàrl, 5 Rue Plaetis, L-2338, Luxemburg: SanDisk Extreme USB-Flash-Laufwerk 32GB USB 3.0 FFP bis zu 245 MB/Sek | B0095SIH2Q</v>
      </c>
      <c r="H154" t="s">
        <v>72</v>
      </c>
      <c r="I154" s="10" t="s">
        <v>157</v>
      </c>
      <c r="J154" t="s">
        <v>390</v>
      </c>
      <c r="N154" t="b">
        <v>0</v>
      </c>
      <c r="O154" s="36">
        <v>20.16</v>
      </c>
      <c r="P154" s="51">
        <v>1</v>
      </c>
      <c r="Q154" s="27">
        <v>20</v>
      </c>
      <c r="R154" s="31">
        <f t="shared" si="59"/>
        <v>4.032</v>
      </c>
      <c r="S154" s="31">
        <f t="shared" si="62"/>
        <v>4.032</v>
      </c>
      <c r="T154" s="33">
        <f t="shared" si="63"/>
        <v>20.16</v>
      </c>
      <c r="U154" s="29">
        <f t="shared" si="54"/>
        <v>24.192</v>
      </c>
      <c r="V154" s="29">
        <f t="shared" si="56"/>
        <v>24.192</v>
      </c>
      <c r="W154" s="35">
        <f t="shared" si="50"/>
        <v>42689</v>
      </c>
      <c r="X154" s="35">
        <v>42687</v>
      </c>
      <c r="Z154" s="58">
        <f t="shared" si="55"/>
        <v>20.16</v>
      </c>
      <c r="AA154" s="31">
        <f t="shared" si="60"/>
        <v>0</v>
      </c>
      <c r="AB154" t="b">
        <f t="shared" si="57"/>
        <v>0</v>
      </c>
    </row>
    <row r="155" spans="1:28" x14ac:dyDescent="0.25">
      <c r="A155">
        <v>154</v>
      </c>
      <c r="D155" s="9" t="s">
        <v>391</v>
      </c>
      <c r="E155" s="1">
        <v>42590</v>
      </c>
      <c r="F155" s="1">
        <v>42588</v>
      </c>
      <c r="G155" s="1" t="str">
        <f t="shared" si="58"/>
        <v>(Achtung: Zahlung über Amazon) Ganz Einfach GmbH · Wohlenbergstr. 16 · 30179 Hannover: HID Maus USB, R, 6 Tasten, optisch, 1600dpi, schwarz, vertikal, CSL / 260681 19,85 19,85 1000/1600dpi, vertikale Form</v>
      </c>
      <c r="H155" t="s">
        <v>396</v>
      </c>
      <c r="I155" s="10"/>
      <c r="J155" t="s">
        <v>392</v>
      </c>
      <c r="N155" t="b">
        <v>0</v>
      </c>
      <c r="O155" s="36">
        <v>16.54</v>
      </c>
      <c r="P155" s="51">
        <v>1</v>
      </c>
      <c r="Q155" s="27">
        <v>20</v>
      </c>
      <c r="R155" s="31">
        <f t="shared" si="59"/>
        <v>3.3079999999999994</v>
      </c>
      <c r="S155" s="31">
        <f t="shared" si="62"/>
        <v>3.3079999999999994</v>
      </c>
      <c r="T155" s="33">
        <f t="shared" si="63"/>
        <v>16.54</v>
      </c>
      <c r="U155" s="29">
        <f t="shared" si="54"/>
        <v>19.847999999999999</v>
      </c>
      <c r="V155" s="29">
        <f t="shared" si="56"/>
        <v>19.847999999999999</v>
      </c>
      <c r="W155" s="35">
        <f t="shared" si="50"/>
        <v>42689</v>
      </c>
      <c r="X155" s="35">
        <v>42687</v>
      </c>
      <c r="Z155" s="58">
        <f t="shared" si="55"/>
        <v>16.54</v>
      </c>
      <c r="AA155" s="31">
        <f t="shared" si="60"/>
        <v>0</v>
      </c>
      <c r="AB155" t="b">
        <f t="shared" si="57"/>
        <v>0</v>
      </c>
    </row>
    <row r="156" spans="1:28" x14ac:dyDescent="0.25">
      <c r="A156">
        <v>155</v>
      </c>
      <c r="D156" s="9" t="s">
        <v>394</v>
      </c>
      <c r="E156" s="1">
        <v>42571</v>
      </c>
      <c r="F156" s="1">
        <v>42591</v>
      </c>
      <c r="G156" s="1" t="str">
        <f t="shared" si="58"/>
        <v>Software Quality Lab GmbH, Gewerbepark Urfahr 6, 4040 Linz: Prüfungsgebühr IREB Certified Professional for Requirements Engineering - öffentliches Seminar</v>
      </c>
      <c r="H156" t="s">
        <v>316</v>
      </c>
      <c r="I156" s="10"/>
      <c r="J156" t="s">
        <v>393</v>
      </c>
      <c r="N156" t="b">
        <f t="shared" ref="N156:N163" si="64">(IF(AND(K156&lt;&gt;"",ABS(T156)&gt;400),TRUE,FALSE))</f>
        <v>0</v>
      </c>
      <c r="O156" s="36">
        <v>250</v>
      </c>
      <c r="P156" s="51">
        <v>1</v>
      </c>
      <c r="Q156" s="27">
        <v>20</v>
      </c>
      <c r="R156" s="31">
        <f t="shared" si="59"/>
        <v>50</v>
      </c>
      <c r="S156" s="31">
        <f t="shared" si="62"/>
        <v>50</v>
      </c>
      <c r="T156" s="33">
        <f t="shared" si="63"/>
        <v>250</v>
      </c>
      <c r="U156" s="29">
        <f t="shared" si="54"/>
        <v>300</v>
      </c>
      <c r="V156" s="29">
        <f t="shared" si="56"/>
        <v>300</v>
      </c>
      <c r="W156" s="35">
        <f t="shared" si="50"/>
        <v>42689</v>
      </c>
      <c r="X156" s="35">
        <v>42687</v>
      </c>
      <c r="Z156" s="58">
        <f t="shared" si="55"/>
        <v>250</v>
      </c>
      <c r="AA156" s="31">
        <f t="shared" si="60"/>
        <v>0</v>
      </c>
      <c r="AB156" t="b">
        <f t="shared" si="57"/>
        <v>0</v>
      </c>
    </row>
    <row r="157" spans="1:28" x14ac:dyDescent="0.25">
      <c r="A157">
        <v>156</v>
      </c>
      <c r="D157" s="9" t="s">
        <v>395</v>
      </c>
      <c r="E157" s="1">
        <v>42590</v>
      </c>
      <c r="F157" s="1">
        <v>42592</v>
      </c>
      <c r="G157" s="1" t="str">
        <f t="shared" si="58"/>
        <v>Hetzner Online AG, Industriestr. 25, 91710 Gunzenhausen: EQ4 Server #50605 30TB 188.40.75.200, 188.40.75.242</v>
      </c>
      <c r="H157" t="s">
        <v>42</v>
      </c>
      <c r="I157" s="10" t="s">
        <v>154</v>
      </c>
      <c r="J157" t="s">
        <v>19</v>
      </c>
      <c r="N157" t="b">
        <f t="shared" si="64"/>
        <v>0</v>
      </c>
      <c r="O157" s="36">
        <v>42.02</v>
      </c>
      <c r="P157" s="51">
        <v>1</v>
      </c>
      <c r="Q157" s="27">
        <v>0</v>
      </c>
      <c r="R157" s="31">
        <f t="shared" si="59"/>
        <v>0</v>
      </c>
      <c r="S157" s="31">
        <f t="shared" si="62"/>
        <v>0</v>
      </c>
      <c r="T157" s="33">
        <f t="shared" si="63"/>
        <v>42.02</v>
      </c>
      <c r="U157" s="29">
        <f t="shared" si="54"/>
        <v>42.02</v>
      </c>
      <c r="V157" s="29">
        <f t="shared" si="56"/>
        <v>42.02</v>
      </c>
      <c r="W157" s="35">
        <f t="shared" si="50"/>
        <v>42689</v>
      </c>
      <c r="X157" s="35">
        <v>42687</v>
      </c>
      <c r="Y157" s="27">
        <v>20</v>
      </c>
      <c r="Z157" s="58">
        <f t="shared" si="55"/>
        <v>42.02</v>
      </c>
      <c r="AA157" s="31">
        <f t="shared" si="60"/>
        <v>8.4040000000000017</v>
      </c>
      <c r="AB157" t="b">
        <f t="shared" si="57"/>
        <v>0</v>
      </c>
    </row>
    <row r="158" spans="1:28" x14ac:dyDescent="0.25">
      <c r="A158">
        <v>157</v>
      </c>
      <c r="D158" s="9" t="s">
        <v>161</v>
      </c>
      <c r="E158" s="1">
        <v>42574</v>
      </c>
      <c r="F158" s="1">
        <v>42607</v>
      </c>
      <c r="G158" s="1" t="str">
        <f t="shared" si="58"/>
        <v>Sozialversicherungsanstalt der gewerblichen Wirtschaft, Landesstelle Wien, Wiedner Hauptstraße 84-86, A-1051 Wien: Kontoauszug vom 23.7.2016</v>
      </c>
      <c r="H158" t="s">
        <v>70</v>
      </c>
      <c r="J158" t="s">
        <v>398</v>
      </c>
      <c r="N158" t="b">
        <f t="shared" si="64"/>
        <v>0</v>
      </c>
      <c r="O158" s="36">
        <v>589.57000000000005</v>
      </c>
      <c r="P158" s="51">
        <v>1</v>
      </c>
      <c r="Q158" s="27">
        <v>0</v>
      </c>
      <c r="R158" s="31">
        <f t="shared" si="59"/>
        <v>0</v>
      </c>
      <c r="S158" s="31">
        <f t="shared" si="62"/>
        <v>0</v>
      </c>
      <c r="T158" s="33">
        <f t="shared" si="63"/>
        <v>589.57000000000005</v>
      </c>
      <c r="U158" s="29">
        <f t="shared" si="54"/>
        <v>589.57000000000005</v>
      </c>
      <c r="V158" s="29">
        <f t="shared" si="56"/>
        <v>589.57000000000005</v>
      </c>
      <c r="W158" s="35">
        <f t="shared" si="50"/>
        <v>42689</v>
      </c>
      <c r="X158" s="35">
        <v>42687</v>
      </c>
      <c r="Z158" s="58">
        <f t="shared" ref="Z158:Z189" si="65">IF(N158=TRUE,T158/K158,T158)</f>
        <v>589.57000000000005</v>
      </c>
      <c r="AA158" s="31">
        <f t="shared" si="60"/>
        <v>0</v>
      </c>
      <c r="AB158" t="b">
        <f t="shared" si="57"/>
        <v>0</v>
      </c>
    </row>
    <row r="159" spans="1:28" x14ac:dyDescent="0.25">
      <c r="A159">
        <v>158</v>
      </c>
      <c r="D159" s="9" t="s">
        <v>397</v>
      </c>
      <c r="E159" s="1">
        <v>42552</v>
      </c>
      <c r="F159" s="1">
        <v>42566</v>
      </c>
      <c r="G159" s="1" t="str">
        <f t="shared" si="58"/>
        <v>MONTANA Energie-Handel AT GmbH: Teilzahlungsbetrag Gas 14000403096</v>
      </c>
      <c r="H159" t="s">
        <v>58</v>
      </c>
      <c r="J159" t="s">
        <v>374</v>
      </c>
      <c r="N159" t="b">
        <f t="shared" si="64"/>
        <v>0</v>
      </c>
      <c r="O159" s="36">
        <v>52.5</v>
      </c>
      <c r="P159" s="51">
        <f>Arbeitszimmer!$B$3</f>
        <v>0.27320378419841473</v>
      </c>
      <c r="Q159" s="27">
        <v>20</v>
      </c>
      <c r="R159" s="31">
        <f t="shared" si="59"/>
        <v>10.5</v>
      </c>
      <c r="S159" s="31">
        <f t="shared" si="62"/>
        <v>2.8686397340833549</v>
      </c>
      <c r="T159" s="33">
        <f t="shared" si="63"/>
        <v>14.343198670416774</v>
      </c>
      <c r="U159" s="29">
        <f t="shared" si="54"/>
        <v>63</v>
      </c>
      <c r="V159" s="29">
        <f t="shared" si="56"/>
        <v>17.211838404500128</v>
      </c>
      <c r="W159" s="35">
        <f t="shared" si="50"/>
        <v>42689</v>
      </c>
      <c r="X159" s="35">
        <v>42687</v>
      </c>
      <c r="Z159" s="58">
        <f t="shared" si="65"/>
        <v>14.343198670416774</v>
      </c>
      <c r="AA159" s="31">
        <f t="shared" si="60"/>
        <v>0</v>
      </c>
      <c r="AB159" t="b">
        <f t="shared" si="57"/>
        <v>0</v>
      </c>
    </row>
    <row r="160" spans="1:28" x14ac:dyDescent="0.25">
      <c r="A160">
        <v>159</v>
      </c>
      <c r="D160" s="9" t="s">
        <v>399</v>
      </c>
      <c r="E160" s="1">
        <v>42552</v>
      </c>
      <c r="F160" s="1">
        <v>42566</v>
      </c>
      <c r="G160" s="1" t="str">
        <f t="shared" si="58"/>
        <v>VERBUND AG, Postfach 8400, 1011 Wien, Österreich: Teilzahlungsbetrag Strom</v>
      </c>
      <c r="H160" t="s">
        <v>57</v>
      </c>
      <c r="J160" t="s">
        <v>400</v>
      </c>
      <c r="N160" t="b">
        <f t="shared" si="64"/>
        <v>0</v>
      </c>
      <c r="O160" s="36">
        <v>137.5</v>
      </c>
      <c r="P160" s="51">
        <f>Arbeitszimmer!$B$3</f>
        <v>0.27320378419841473</v>
      </c>
      <c r="Q160" s="27">
        <v>20</v>
      </c>
      <c r="R160" s="31">
        <f t="shared" si="59"/>
        <v>27.5</v>
      </c>
      <c r="S160" s="31">
        <f t="shared" si="62"/>
        <v>7.513104065456405</v>
      </c>
      <c r="T160" s="33">
        <f t="shared" si="63"/>
        <v>37.565520327282023</v>
      </c>
      <c r="U160" s="29">
        <f t="shared" si="54"/>
        <v>165</v>
      </c>
      <c r="V160" s="29">
        <f t="shared" si="56"/>
        <v>45.078624392738426</v>
      </c>
      <c r="W160" s="35">
        <f t="shared" si="50"/>
        <v>42689</v>
      </c>
      <c r="X160" s="35">
        <v>42687</v>
      </c>
      <c r="Z160" s="58">
        <f t="shared" si="65"/>
        <v>37.565520327282023</v>
      </c>
      <c r="AA160" s="31">
        <f t="shared" si="60"/>
        <v>0</v>
      </c>
      <c r="AB160" t="b">
        <f t="shared" si="57"/>
        <v>0</v>
      </c>
    </row>
    <row r="161" spans="1:28" x14ac:dyDescent="0.25">
      <c r="A161">
        <v>160</v>
      </c>
      <c r="D161" s="9" t="s">
        <v>402</v>
      </c>
      <c r="E161" s="1">
        <v>42583</v>
      </c>
      <c r="F161" s="1">
        <v>42598</v>
      </c>
      <c r="G161" s="1" t="str">
        <f t="shared" si="58"/>
        <v>MONTANA Energie-Handel AT GmbH: Teilzahlungsbetrag Gas</v>
      </c>
      <c r="H161" t="s">
        <v>58</v>
      </c>
      <c r="J161" t="s">
        <v>401</v>
      </c>
      <c r="N161" t="b">
        <f t="shared" si="64"/>
        <v>0</v>
      </c>
      <c r="O161" s="36">
        <v>52.5</v>
      </c>
      <c r="P161" s="51">
        <f>Arbeitszimmer!$B$3</f>
        <v>0.27320378419841473</v>
      </c>
      <c r="Q161" s="27">
        <v>20</v>
      </c>
      <c r="R161" s="31">
        <f t="shared" si="59"/>
        <v>10.5</v>
      </c>
      <c r="S161" s="31">
        <f t="shared" si="62"/>
        <v>2.8686397340833549</v>
      </c>
      <c r="T161" s="33">
        <f t="shared" si="63"/>
        <v>14.343198670416774</v>
      </c>
      <c r="U161" s="29">
        <f t="shared" si="54"/>
        <v>63</v>
      </c>
      <c r="V161" s="29">
        <f t="shared" si="56"/>
        <v>17.211838404500128</v>
      </c>
      <c r="W161" s="35">
        <f t="shared" si="50"/>
        <v>42689</v>
      </c>
      <c r="X161" s="35">
        <v>42687</v>
      </c>
      <c r="Z161" s="58">
        <f t="shared" si="65"/>
        <v>14.343198670416774</v>
      </c>
      <c r="AA161" s="31">
        <f t="shared" si="60"/>
        <v>0</v>
      </c>
      <c r="AB161" t="b">
        <f t="shared" si="57"/>
        <v>0</v>
      </c>
    </row>
    <row r="162" spans="1:28" x14ac:dyDescent="0.25">
      <c r="A162">
        <v>161</v>
      </c>
      <c r="D162" s="9" t="s">
        <v>404</v>
      </c>
      <c r="E162" s="1">
        <v>42598</v>
      </c>
      <c r="F162" s="1">
        <v>42614</v>
      </c>
      <c r="G162" s="1" t="str">
        <f t="shared" si="58"/>
        <v>MONTANA Energie-Handel AT GmbH: Abrechnung Gas 11.8.15-8.8.16</v>
      </c>
      <c r="H162" t="s">
        <v>58</v>
      </c>
      <c r="J162" t="s">
        <v>403</v>
      </c>
      <c r="N162" t="b">
        <f t="shared" si="64"/>
        <v>0</v>
      </c>
      <c r="O162" s="36">
        <f>323.44/1.2</f>
        <v>269.53333333333336</v>
      </c>
      <c r="P162" s="51">
        <f>Arbeitszimmer!$B$3</f>
        <v>0.27320378419841473</v>
      </c>
      <c r="Q162" s="27">
        <v>20</v>
      </c>
      <c r="R162" s="31">
        <f t="shared" si="59"/>
        <v>53.906666666666666</v>
      </c>
      <c r="S162" s="31">
        <f t="shared" si="62"/>
        <v>14.727505326855876</v>
      </c>
      <c r="T162" s="33">
        <f t="shared" si="63"/>
        <v>73.637526634279396</v>
      </c>
      <c r="U162" s="29">
        <f t="shared" si="54"/>
        <v>323.44000000000005</v>
      </c>
      <c r="V162" s="29">
        <f t="shared" ref="V162:V171" si="66">T162+S162</f>
        <v>88.365031961135273</v>
      </c>
      <c r="W162" s="35">
        <f t="shared" si="50"/>
        <v>42689</v>
      </c>
      <c r="X162" s="35">
        <v>42687</v>
      </c>
      <c r="Z162" s="58">
        <f t="shared" si="65"/>
        <v>73.637526634279396</v>
      </c>
      <c r="AA162" s="31">
        <f t="shared" si="60"/>
        <v>0</v>
      </c>
      <c r="AB162" t="b">
        <f t="shared" ref="AB162:AB171" si="67">IF(AND(Y162&gt;0,Q162=Y162),TRUE,FALSE)</f>
        <v>0</v>
      </c>
    </row>
    <row r="163" spans="1:28" x14ac:dyDescent="0.25">
      <c r="A163">
        <v>162</v>
      </c>
      <c r="D163" s="9" t="s">
        <v>405</v>
      </c>
      <c r="E163" s="1">
        <v>42606</v>
      </c>
      <c r="F163" s="1">
        <v>42614</v>
      </c>
      <c r="G163" s="1" t="str">
        <f t="shared" si="58"/>
        <v xml:space="preserve">Hutchison Drei Austria GmbH, Brünner Straße 52, 1210 Wien, Österreich: </v>
      </c>
      <c r="H163" t="s">
        <v>34</v>
      </c>
      <c r="N163" t="b">
        <f t="shared" si="64"/>
        <v>0</v>
      </c>
      <c r="O163" s="36">
        <v>15</v>
      </c>
      <c r="P163" s="51">
        <v>1</v>
      </c>
      <c r="Q163" s="27">
        <v>20</v>
      </c>
      <c r="R163" s="31">
        <f t="shared" si="59"/>
        <v>3</v>
      </c>
      <c r="S163" s="31">
        <f t="shared" si="62"/>
        <v>3</v>
      </c>
      <c r="T163" s="33">
        <f t="shared" si="63"/>
        <v>15</v>
      </c>
      <c r="U163" s="29">
        <f t="shared" si="54"/>
        <v>18</v>
      </c>
      <c r="V163" s="29">
        <f t="shared" si="66"/>
        <v>18</v>
      </c>
      <c r="W163" s="35">
        <f t="shared" si="50"/>
        <v>42689</v>
      </c>
      <c r="X163" s="35">
        <v>42687</v>
      </c>
      <c r="Z163" s="58">
        <f t="shared" si="65"/>
        <v>15</v>
      </c>
      <c r="AA163" s="31">
        <f t="shared" si="60"/>
        <v>0</v>
      </c>
      <c r="AB163" t="b">
        <f t="shared" si="67"/>
        <v>0</v>
      </c>
    </row>
    <row r="164" spans="1:28" x14ac:dyDescent="0.25">
      <c r="A164">
        <v>163</v>
      </c>
      <c r="D164" s="9" t="s">
        <v>411</v>
      </c>
      <c r="E164" s="1">
        <v>42608</v>
      </c>
      <c r="F164" s="1">
        <v>42612</v>
      </c>
      <c r="G164" s="1" t="str">
        <f t="shared" si="58"/>
        <v>Amazon Media EU Sàrl, 5 Rue Plaetis, L-2338, Luxemburg: Zu teuer!: 118 freche, humorvolle, überzeugende und</v>
      </c>
      <c r="H164" t="s">
        <v>425</v>
      </c>
      <c r="I164" s="10" t="s">
        <v>422</v>
      </c>
      <c r="J164" t="s">
        <v>412</v>
      </c>
      <c r="N164" t="b">
        <v>0</v>
      </c>
      <c r="O164" s="36">
        <v>2.4900000000000002</v>
      </c>
      <c r="P164" s="51">
        <v>1</v>
      </c>
      <c r="Q164" s="27">
        <v>20</v>
      </c>
      <c r="R164" s="31">
        <f t="shared" si="59"/>
        <v>0.49800000000000005</v>
      </c>
      <c r="S164" s="31">
        <f t="shared" si="62"/>
        <v>0.49800000000000005</v>
      </c>
      <c r="T164" s="33">
        <f t="shared" si="63"/>
        <v>2.4900000000000002</v>
      </c>
      <c r="U164" s="29">
        <f t="shared" si="54"/>
        <v>2.9880000000000004</v>
      </c>
      <c r="V164" s="29">
        <f t="shared" si="66"/>
        <v>2.9880000000000004</v>
      </c>
      <c r="W164" s="35">
        <f t="shared" si="50"/>
        <v>42689</v>
      </c>
      <c r="X164" s="35">
        <v>42687</v>
      </c>
      <c r="Z164" s="58">
        <f t="shared" si="65"/>
        <v>2.4900000000000002</v>
      </c>
      <c r="AA164" s="31">
        <f t="shared" si="60"/>
        <v>0</v>
      </c>
      <c r="AB164" t="b">
        <f t="shared" si="67"/>
        <v>0</v>
      </c>
    </row>
    <row r="165" spans="1:28" x14ac:dyDescent="0.25">
      <c r="A165">
        <v>164</v>
      </c>
      <c r="D165" t="s">
        <v>413</v>
      </c>
      <c r="E165" s="1">
        <v>42609</v>
      </c>
      <c r="F165" s="1">
        <v>42610</v>
      </c>
      <c r="G165" s="1" t="str">
        <f t="shared" si="58"/>
        <v>Amazon EU Sàrl, 5 Rue Plaetis, L-2338, Luxemburg: Existenzgründung und Businessplan: Ein Leitfaden für erfolgreiche Start-ups | 3503158790</v>
      </c>
      <c r="H165" t="s">
        <v>72</v>
      </c>
      <c r="I165" s="10" t="s">
        <v>157</v>
      </c>
      <c r="J165" t="s">
        <v>414</v>
      </c>
      <c r="N165" t="b">
        <v>0</v>
      </c>
      <c r="O165" s="36">
        <v>32.659999999999997</v>
      </c>
      <c r="P165" s="51">
        <v>1</v>
      </c>
      <c r="Q165" s="27">
        <v>10</v>
      </c>
      <c r="R165" s="31">
        <f t="shared" si="59"/>
        <v>3.2659999999999996</v>
      </c>
      <c r="S165" s="31">
        <f t="shared" si="62"/>
        <v>3.2659999999999996</v>
      </c>
      <c r="T165" s="33">
        <f t="shared" si="63"/>
        <v>32.659999999999997</v>
      </c>
      <c r="U165" s="29">
        <f t="shared" si="54"/>
        <v>35.925999999999995</v>
      </c>
      <c r="V165" s="29">
        <f t="shared" si="66"/>
        <v>35.925999999999995</v>
      </c>
      <c r="W165" s="35">
        <f t="shared" si="50"/>
        <v>42689</v>
      </c>
      <c r="X165" s="35">
        <v>42687</v>
      </c>
      <c r="Z165" s="58">
        <f t="shared" si="65"/>
        <v>32.659999999999997</v>
      </c>
      <c r="AA165" s="31">
        <f t="shared" si="60"/>
        <v>0</v>
      </c>
      <c r="AB165" t="b">
        <f t="shared" si="67"/>
        <v>0</v>
      </c>
    </row>
    <row r="166" spans="1:28" x14ac:dyDescent="0.25">
      <c r="A166">
        <v>165</v>
      </c>
      <c r="D166" s="9" t="s">
        <v>406</v>
      </c>
      <c r="E166" s="1">
        <v>42609</v>
      </c>
      <c r="F166" s="1">
        <v>42612</v>
      </c>
      <c r="G166" s="1" t="str">
        <f t="shared" si="58"/>
        <v>XING AG, D-20354 Hamburg, Dammtorstrasse 30: Xing Premium 3 Monate</v>
      </c>
      <c r="H166" t="s">
        <v>158</v>
      </c>
      <c r="I166" s="10" t="s">
        <v>159</v>
      </c>
      <c r="J166" t="s">
        <v>74</v>
      </c>
      <c r="N166" t="b">
        <f t="shared" ref="N166:N172" si="68">(IF(AND(K166&lt;&gt;"",ABS(T166)&gt;400),TRUE,FALSE))</f>
        <v>0</v>
      </c>
      <c r="O166" s="36">
        <v>24.87</v>
      </c>
      <c r="P166" s="51">
        <v>1</v>
      </c>
      <c r="Q166" s="27">
        <v>20</v>
      </c>
      <c r="R166" s="31">
        <f>4.98</f>
        <v>4.9800000000000004</v>
      </c>
      <c r="S166" s="31">
        <f t="shared" si="62"/>
        <v>4.9800000000000004</v>
      </c>
      <c r="T166" s="33">
        <f t="shared" si="63"/>
        <v>24.87</v>
      </c>
      <c r="U166" s="29">
        <f t="shared" si="54"/>
        <v>29.85</v>
      </c>
      <c r="V166" s="29">
        <f t="shared" si="66"/>
        <v>29.85</v>
      </c>
      <c r="W166" s="35">
        <f t="shared" si="50"/>
        <v>42689</v>
      </c>
      <c r="X166" s="35">
        <v>42687</v>
      </c>
      <c r="Z166" s="58">
        <f t="shared" si="65"/>
        <v>24.87</v>
      </c>
      <c r="AA166" s="31">
        <f t="shared" si="60"/>
        <v>0</v>
      </c>
      <c r="AB166" t="b">
        <f t="shared" si="67"/>
        <v>0</v>
      </c>
    </row>
    <row r="167" spans="1:28" x14ac:dyDescent="0.25">
      <c r="A167">
        <v>166</v>
      </c>
      <c r="D167" s="9" t="s">
        <v>409</v>
      </c>
      <c r="E167" s="1">
        <v>42611</v>
      </c>
      <c r="F167" s="1">
        <v>42607</v>
      </c>
      <c r="G167" s="1" t="str">
        <f t="shared" si="58"/>
        <v>BA-Computer HandelsgesmbH., Oberlaaerstraße 92, 1100 Wien: My Passport Ultra 4 TB Noble Blue + Versand</v>
      </c>
      <c r="H167" t="s">
        <v>87</v>
      </c>
      <c r="I167" t="s">
        <v>407</v>
      </c>
      <c r="J167" t="s">
        <v>408</v>
      </c>
      <c r="N167" t="b">
        <f t="shared" si="68"/>
        <v>0</v>
      </c>
      <c r="O167" s="36">
        <v>128.69999999999999</v>
      </c>
      <c r="P167" s="51">
        <v>1</v>
      </c>
      <c r="Q167" s="27">
        <v>20</v>
      </c>
      <c r="R167" s="31">
        <f t="shared" ref="R167:R175" si="69">O167*Q167/100</f>
        <v>25.74</v>
      </c>
      <c r="S167" s="31">
        <f t="shared" si="62"/>
        <v>25.74</v>
      </c>
      <c r="T167" s="33">
        <f t="shared" si="63"/>
        <v>128.69999999999999</v>
      </c>
      <c r="U167" s="29">
        <f t="shared" si="54"/>
        <v>154.44</v>
      </c>
      <c r="V167" s="29">
        <f t="shared" si="66"/>
        <v>154.44</v>
      </c>
      <c r="W167" s="35">
        <f t="shared" si="50"/>
        <v>42689</v>
      </c>
      <c r="X167" s="35">
        <v>42687</v>
      </c>
      <c r="Z167" s="58">
        <f t="shared" si="65"/>
        <v>128.69999999999999</v>
      </c>
      <c r="AA167" s="31">
        <f t="shared" si="60"/>
        <v>0</v>
      </c>
      <c r="AB167" t="b">
        <f t="shared" si="67"/>
        <v>0</v>
      </c>
    </row>
    <row r="168" spans="1:28" x14ac:dyDescent="0.25">
      <c r="A168">
        <v>167</v>
      </c>
      <c r="D168" s="9" t="s">
        <v>410</v>
      </c>
      <c r="E168" s="1">
        <v>42614</v>
      </c>
      <c r="F168" s="1">
        <v>42628</v>
      </c>
      <c r="G168" s="1" t="str">
        <f t="shared" si="58"/>
        <v>MONTANA Energie-Handel AT GmbH: Teilzahlungsbetrag Gas</v>
      </c>
      <c r="H168" t="s">
        <v>58</v>
      </c>
      <c r="J168" t="s">
        <v>401</v>
      </c>
      <c r="N168" t="b">
        <f t="shared" si="68"/>
        <v>0</v>
      </c>
      <c r="O168" s="36">
        <v>80</v>
      </c>
      <c r="P168" s="51">
        <f>Arbeitszimmer!$B$3</f>
        <v>0.27320378419841473</v>
      </c>
      <c r="Q168" s="27">
        <v>20</v>
      </c>
      <c r="R168" s="31">
        <f t="shared" si="69"/>
        <v>16</v>
      </c>
      <c r="S168" s="31">
        <f t="shared" si="62"/>
        <v>4.3712605471746357</v>
      </c>
      <c r="T168" s="33">
        <f t="shared" si="63"/>
        <v>21.856302735873179</v>
      </c>
      <c r="U168" s="29">
        <f t="shared" si="54"/>
        <v>96</v>
      </c>
      <c r="V168" s="29">
        <f t="shared" si="66"/>
        <v>26.227563283047814</v>
      </c>
      <c r="W168" s="35">
        <f t="shared" si="50"/>
        <v>42689</v>
      </c>
      <c r="X168" s="35">
        <v>42687</v>
      </c>
      <c r="Z168" s="58">
        <f t="shared" si="65"/>
        <v>21.856302735873179</v>
      </c>
      <c r="AA168" s="31">
        <f t="shared" si="60"/>
        <v>0</v>
      </c>
      <c r="AB168" t="b">
        <f t="shared" si="67"/>
        <v>0</v>
      </c>
    </row>
    <row r="169" spans="1:28" x14ac:dyDescent="0.25">
      <c r="A169">
        <v>168</v>
      </c>
      <c r="D169" s="9" t="s">
        <v>415</v>
      </c>
      <c r="E169" s="1">
        <v>42621</v>
      </c>
      <c r="F169" s="1">
        <v>42623</v>
      </c>
      <c r="G169" s="1" t="str">
        <f t="shared" si="58"/>
        <v>Hetzner Online AG, Industriestr. 25, 91710 Gunzenhausen: EQ4 Server #50605 30TB 188.40.75.200, 188.40.75.242</v>
      </c>
      <c r="H169" t="s">
        <v>42</v>
      </c>
      <c r="I169" s="10" t="s">
        <v>154</v>
      </c>
      <c r="J169" t="s">
        <v>19</v>
      </c>
      <c r="N169" t="b">
        <f t="shared" si="68"/>
        <v>0</v>
      </c>
      <c r="O169" s="36">
        <v>42.02</v>
      </c>
      <c r="P169" s="51">
        <v>1</v>
      </c>
      <c r="Q169" s="27">
        <v>0</v>
      </c>
      <c r="R169" s="31">
        <f t="shared" si="69"/>
        <v>0</v>
      </c>
      <c r="S169" s="31">
        <f t="shared" si="62"/>
        <v>0</v>
      </c>
      <c r="T169" s="33">
        <f t="shared" si="63"/>
        <v>42.02</v>
      </c>
      <c r="U169" s="29">
        <f t="shared" si="54"/>
        <v>42.02</v>
      </c>
      <c r="V169" s="29">
        <f t="shared" si="66"/>
        <v>42.02</v>
      </c>
      <c r="W169" s="35">
        <f t="shared" si="50"/>
        <v>42689</v>
      </c>
      <c r="X169" s="35">
        <v>42687</v>
      </c>
      <c r="Y169" s="27">
        <v>20</v>
      </c>
      <c r="Z169" s="58">
        <f t="shared" si="65"/>
        <v>42.02</v>
      </c>
      <c r="AA169" s="31">
        <f t="shared" si="60"/>
        <v>8.4040000000000017</v>
      </c>
      <c r="AB169" t="b">
        <f t="shared" si="67"/>
        <v>0</v>
      </c>
    </row>
    <row r="170" spans="1:28" x14ac:dyDescent="0.25">
      <c r="A170">
        <v>169</v>
      </c>
      <c r="D170" s="9" t="s">
        <v>418</v>
      </c>
      <c r="E170" s="1">
        <v>42640</v>
      </c>
      <c r="F170" s="1">
        <v>42649</v>
      </c>
      <c r="G170" s="1" t="str">
        <f t="shared" si="58"/>
        <v xml:space="preserve">Hutchison Drei Austria GmbH, Brünner Straße 52, 1210 Wien, Österreich: </v>
      </c>
      <c r="H170" t="s">
        <v>34</v>
      </c>
      <c r="N170" t="b">
        <f t="shared" si="68"/>
        <v>0</v>
      </c>
      <c r="O170" s="36">
        <v>15</v>
      </c>
      <c r="P170" s="51">
        <v>1</v>
      </c>
      <c r="Q170" s="27">
        <v>20</v>
      </c>
      <c r="R170" s="31">
        <f t="shared" si="69"/>
        <v>3</v>
      </c>
      <c r="S170" s="31">
        <f t="shared" si="62"/>
        <v>3</v>
      </c>
      <c r="T170" s="33">
        <f t="shared" si="63"/>
        <v>15</v>
      </c>
      <c r="U170" s="29">
        <f t="shared" si="54"/>
        <v>18</v>
      </c>
      <c r="V170" s="29">
        <f t="shared" si="66"/>
        <v>18</v>
      </c>
      <c r="W170" s="35">
        <f t="shared" si="50"/>
        <v>42781</v>
      </c>
      <c r="X170" s="35">
        <v>42777</v>
      </c>
      <c r="Z170" s="58">
        <f t="shared" si="65"/>
        <v>15</v>
      </c>
      <c r="AA170" s="31">
        <f t="shared" si="60"/>
        <v>0</v>
      </c>
      <c r="AB170" t="b">
        <f t="shared" si="67"/>
        <v>0</v>
      </c>
    </row>
    <row r="171" spans="1:28" x14ac:dyDescent="0.25">
      <c r="A171">
        <v>170</v>
      </c>
      <c r="D171" s="9" t="s">
        <v>417</v>
      </c>
      <c r="E171" s="1">
        <v>42642</v>
      </c>
      <c r="F171" s="1">
        <v>42644</v>
      </c>
      <c r="G171" s="1" t="str">
        <f t="shared" si="58"/>
        <v>easyname GmbH, Fernkorngasse 10/3/501, 1110 Wien: Domain: physio-weis.at</v>
      </c>
      <c r="H171" t="s">
        <v>33</v>
      </c>
      <c r="I171" t="s">
        <v>187</v>
      </c>
      <c r="J171" t="s">
        <v>99</v>
      </c>
      <c r="N171" t="b">
        <f t="shared" si="68"/>
        <v>0</v>
      </c>
      <c r="O171" s="36">
        <v>12.42</v>
      </c>
      <c r="P171" s="51">
        <v>1</v>
      </c>
      <c r="Q171" s="27">
        <v>20</v>
      </c>
      <c r="R171" s="31">
        <f t="shared" si="69"/>
        <v>2.484</v>
      </c>
      <c r="S171" s="31">
        <f t="shared" si="62"/>
        <v>2.484</v>
      </c>
      <c r="T171" s="33">
        <f t="shared" si="63"/>
        <v>12.42</v>
      </c>
      <c r="U171" s="29">
        <f t="shared" si="54"/>
        <v>14.904</v>
      </c>
      <c r="V171" s="29">
        <f t="shared" si="66"/>
        <v>14.904</v>
      </c>
      <c r="W171" s="35">
        <f t="shared" si="50"/>
        <v>42781</v>
      </c>
      <c r="X171" s="35">
        <v>42777</v>
      </c>
      <c r="Z171" s="58">
        <f t="shared" si="65"/>
        <v>12.42</v>
      </c>
      <c r="AA171" s="31">
        <f t="shared" si="60"/>
        <v>0</v>
      </c>
      <c r="AB171" t="b">
        <f t="shared" si="67"/>
        <v>0</v>
      </c>
    </row>
    <row r="172" spans="1:28" x14ac:dyDescent="0.25">
      <c r="A172">
        <v>171</v>
      </c>
      <c r="D172" s="9" t="s">
        <v>420</v>
      </c>
      <c r="E172" s="1">
        <v>42651</v>
      </c>
      <c r="F172" s="1">
        <v>42654</v>
      </c>
      <c r="G172" s="1" t="str">
        <f t="shared" si="58"/>
        <v>Hetzner Online AG, Industriestr. 25, 91710 Gunzenhausen: EQ4 Server #50605 30TB 188.40.75.200, 188.40.75.242</v>
      </c>
      <c r="H172" t="s">
        <v>42</v>
      </c>
      <c r="I172" s="10" t="s">
        <v>154</v>
      </c>
      <c r="J172" t="s">
        <v>19</v>
      </c>
      <c r="N172" t="b">
        <f t="shared" si="68"/>
        <v>0</v>
      </c>
      <c r="O172" s="36">
        <v>42.02</v>
      </c>
      <c r="P172" s="51">
        <v>1</v>
      </c>
      <c r="Q172" s="27">
        <v>0</v>
      </c>
      <c r="R172" s="31">
        <f t="shared" si="69"/>
        <v>0</v>
      </c>
      <c r="S172" s="31">
        <f t="shared" si="62"/>
        <v>0</v>
      </c>
      <c r="T172" s="33">
        <f t="shared" si="63"/>
        <v>42.02</v>
      </c>
      <c r="U172" s="29">
        <f>O172+R172</f>
        <v>42.02</v>
      </c>
      <c r="V172" s="29">
        <f>T172+S172</f>
        <v>42.02</v>
      </c>
      <c r="W172" s="35">
        <f t="shared" si="50"/>
        <v>42781</v>
      </c>
      <c r="X172" s="35">
        <v>42777</v>
      </c>
      <c r="Y172" s="27">
        <v>20</v>
      </c>
      <c r="Z172" s="58">
        <f t="shared" si="65"/>
        <v>42.02</v>
      </c>
      <c r="AA172" s="31">
        <f>Y172/100*V172</f>
        <v>8.4040000000000017</v>
      </c>
      <c r="AB172" t="b">
        <f>IF(AND(Y172&gt;0,Q172=Y172),TRUE,FALSE)</f>
        <v>0</v>
      </c>
    </row>
    <row r="173" spans="1:28" x14ac:dyDescent="0.25">
      <c r="A173">
        <v>172</v>
      </c>
      <c r="D173" s="9" t="s">
        <v>424</v>
      </c>
      <c r="E173" s="1">
        <v>42663</v>
      </c>
      <c r="F173" s="1">
        <v>42667</v>
      </c>
      <c r="G173" s="1" t="str">
        <f t="shared" si="58"/>
        <v>Amazon Media EU S.à r.l., 5 rue Plaetis, L-2338 Luxemburg: Marketing-Ansätze in öffentlichen Musikschulen</v>
      </c>
      <c r="H173" t="s">
        <v>423</v>
      </c>
      <c r="I173" s="10" t="s">
        <v>422</v>
      </c>
      <c r="J173" t="s">
        <v>426</v>
      </c>
      <c r="N173" t="b">
        <v>0</v>
      </c>
      <c r="O173" s="36">
        <v>24.99</v>
      </c>
      <c r="P173" s="51">
        <v>1</v>
      </c>
      <c r="Q173" s="27">
        <v>20</v>
      </c>
      <c r="R173" s="31">
        <f t="shared" si="69"/>
        <v>4.9979999999999993</v>
      </c>
      <c r="S173" s="31">
        <f t="shared" si="62"/>
        <v>4.9979999999999993</v>
      </c>
      <c r="T173" s="33">
        <f t="shared" si="63"/>
        <v>24.99</v>
      </c>
      <c r="U173" s="29">
        <f>O173+R173</f>
        <v>29.988</v>
      </c>
      <c r="V173" s="29">
        <f>T173+S173</f>
        <v>29.988</v>
      </c>
      <c r="W173" s="35">
        <f t="shared" si="50"/>
        <v>42781</v>
      </c>
      <c r="X173" s="35">
        <v>42777</v>
      </c>
      <c r="Z173" s="58">
        <f t="shared" si="65"/>
        <v>24.99</v>
      </c>
      <c r="AA173" s="31">
        <f>Y173/100*V173</f>
        <v>0</v>
      </c>
      <c r="AB173" t="b">
        <f>IF(AND(Y173&gt;0,Q173=Y173),TRUE,FALSE)</f>
        <v>0</v>
      </c>
    </row>
    <row r="174" spans="1:28" x14ac:dyDescent="0.25">
      <c r="A174">
        <v>173</v>
      </c>
      <c r="D174" s="9" t="s">
        <v>421</v>
      </c>
      <c r="E174" s="1">
        <v>42668</v>
      </c>
      <c r="F174" s="1">
        <v>42678</v>
      </c>
      <c r="G174" s="1" t="str">
        <f t="shared" si="58"/>
        <v xml:space="preserve">Hutchison Drei Austria GmbH, Brünner Straße 52, 1210 Wien, Österreich: </v>
      </c>
      <c r="H174" t="s">
        <v>34</v>
      </c>
      <c r="N174" t="b">
        <f t="shared" ref="N174:N180" si="70">(IF(AND(K174&lt;&gt;"",ABS(T174)&gt;400),TRUE,FALSE))</f>
        <v>0</v>
      </c>
      <c r="O174" s="36">
        <v>16.940000000000001</v>
      </c>
      <c r="P174" s="51">
        <v>1</v>
      </c>
      <c r="Q174" s="27">
        <v>20</v>
      </c>
      <c r="R174" s="31">
        <f t="shared" si="69"/>
        <v>3.3879999999999999</v>
      </c>
      <c r="S174" s="31">
        <f t="shared" si="62"/>
        <v>3.3879999999999999</v>
      </c>
      <c r="T174" s="33">
        <f t="shared" si="63"/>
        <v>16.940000000000001</v>
      </c>
      <c r="U174" s="29">
        <v>20.32</v>
      </c>
      <c r="V174" s="29">
        <v>20.32</v>
      </c>
      <c r="W174" s="35">
        <f t="shared" si="50"/>
        <v>42781</v>
      </c>
      <c r="X174" s="35">
        <v>42777</v>
      </c>
      <c r="Z174" s="58">
        <f t="shared" si="65"/>
        <v>16.940000000000001</v>
      </c>
      <c r="AA174" s="31">
        <f>Y174/100*V174</f>
        <v>0</v>
      </c>
      <c r="AB174" t="b">
        <f>IF(AND(Y174&gt;0,Q174=Y174),TRUE,FALSE)</f>
        <v>0</v>
      </c>
    </row>
    <row r="175" spans="1:28" x14ac:dyDescent="0.25">
      <c r="A175">
        <v>174</v>
      </c>
      <c r="D175" s="9" t="s">
        <v>161</v>
      </c>
      <c r="E175" s="1">
        <v>42665</v>
      </c>
      <c r="F175" s="1">
        <v>42699</v>
      </c>
      <c r="G175" s="1" t="str">
        <f t="shared" si="58"/>
        <v>Sozialversicherungsanstalt der gewerblichen Wirtschaft, Landesstelle Wien, Wiedner Hauptstraße 84-86, A-1051 Wien: Kontoauszug vom 22.10.2016</v>
      </c>
      <c r="H175" t="s">
        <v>70</v>
      </c>
      <c r="J175" t="s">
        <v>431</v>
      </c>
      <c r="N175" t="b">
        <f t="shared" si="70"/>
        <v>0</v>
      </c>
      <c r="O175" s="36">
        <v>597.04999999999995</v>
      </c>
      <c r="P175" s="51">
        <v>1</v>
      </c>
      <c r="Q175" s="27">
        <v>0</v>
      </c>
      <c r="R175" s="31">
        <f t="shared" si="69"/>
        <v>0</v>
      </c>
      <c r="S175" s="31">
        <f t="shared" si="62"/>
        <v>0</v>
      </c>
      <c r="T175" s="33">
        <f t="shared" si="63"/>
        <v>597.04999999999995</v>
      </c>
      <c r="U175" s="29">
        <f>O175+R175</f>
        <v>597.04999999999995</v>
      </c>
      <c r="V175" s="29">
        <f>T175+S175</f>
        <v>597.04999999999995</v>
      </c>
      <c r="W175" s="35">
        <f t="shared" si="50"/>
        <v>42781</v>
      </c>
      <c r="X175" s="35">
        <v>42777</v>
      </c>
      <c r="Z175" s="58">
        <f t="shared" si="65"/>
        <v>597.04999999999995</v>
      </c>
      <c r="AA175" s="31">
        <f t="shared" ref="AA175:AA181" si="71">Y175/100*V175</f>
        <v>0</v>
      </c>
      <c r="AB175" t="b">
        <f>IF(AND(Y175&gt;0,Q175=Y175),TRUE,FALSE)</f>
        <v>0</v>
      </c>
    </row>
    <row r="176" spans="1:28" x14ac:dyDescent="0.25">
      <c r="A176">
        <v>175</v>
      </c>
      <c r="D176" s="9" t="s">
        <v>440</v>
      </c>
      <c r="E176" s="1">
        <v>42701</v>
      </c>
      <c r="F176" s="1">
        <v>42702</v>
      </c>
      <c r="G176" s="1" t="str">
        <f t="shared" si="58"/>
        <v>XING AG, D-20354 Hamburg, Dammtorstrasse 30: Three-month Premium membership</v>
      </c>
      <c r="H176" t="s">
        <v>158</v>
      </c>
      <c r="I176" s="10" t="s">
        <v>159</v>
      </c>
      <c r="J176" t="s">
        <v>441</v>
      </c>
      <c r="N176" t="b">
        <f t="shared" si="70"/>
        <v>0</v>
      </c>
      <c r="O176" s="36">
        <v>24.87</v>
      </c>
      <c r="P176" s="51">
        <v>1</v>
      </c>
      <c r="Q176" s="27">
        <v>20</v>
      </c>
      <c r="R176" s="31">
        <f>4.98</f>
        <v>4.9800000000000004</v>
      </c>
      <c r="S176" s="31">
        <f t="shared" si="62"/>
        <v>4.9800000000000004</v>
      </c>
      <c r="T176" s="33">
        <f t="shared" si="63"/>
        <v>24.87</v>
      </c>
      <c r="U176" s="29">
        <f>O176+R176</f>
        <v>29.85</v>
      </c>
      <c r="V176" s="29">
        <f>T176+S176</f>
        <v>29.85</v>
      </c>
      <c r="W176" s="35">
        <f t="shared" si="50"/>
        <v>42781</v>
      </c>
      <c r="X176" s="35">
        <v>42777</v>
      </c>
      <c r="Z176" s="58">
        <f t="shared" si="65"/>
        <v>24.87</v>
      </c>
      <c r="AA176" s="31">
        <f t="shared" si="71"/>
        <v>0</v>
      </c>
      <c r="AB176" t="b">
        <f>IF(AND(Y176&gt;0,Q176=Y176),TRUE,FALSE)</f>
        <v>0</v>
      </c>
    </row>
    <row r="177" spans="1:29" x14ac:dyDescent="0.25">
      <c r="A177">
        <v>176</v>
      </c>
      <c r="D177" s="9" t="s">
        <v>438</v>
      </c>
      <c r="E177" s="1">
        <v>42682</v>
      </c>
      <c r="F177" s="1">
        <v>42684</v>
      </c>
      <c r="G177" s="1" t="str">
        <f t="shared" si="58"/>
        <v>Hetzner Online AG, Industriestr. 25, 91710 Gunzenhausen: EQ4 Server #50605 30TB 188.40.75.200, 188.40.75.242</v>
      </c>
      <c r="H177" t="s">
        <v>42</v>
      </c>
      <c r="I177" s="10" t="s">
        <v>154</v>
      </c>
      <c r="J177" t="s">
        <v>19</v>
      </c>
      <c r="N177" t="b">
        <f t="shared" si="70"/>
        <v>0</v>
      </c>
      <c r="O177" s="36">
        <v>42.02</v>
      </c>
      <c r="P177" s="51">
        <v>1</v>
      </c>
      <c r="Q177" s="27">
        <v>0</v>
      </c>
      <c r="R177" s="31">
        <f t="shared" ref="R177:R183" si="72">O177*Q177/100</f>
        <v>0</v>
      </c>
      <c r="S177" s="31">
        <f t="shared" ref="S177:S183" si="73">P177*R177</f>
        <v>0</v>
      </c>
      <c r="T177" s="33">
        <f t="shared" ref="T177:T183" si="74">O177*P177</f>
        <v>42.02</v>
      </c>
      <c r="U177" s="29">
        <f t="shared" ref="U177:U184" si="75">O177+R177</f>
        <v>42.02</v>
      </c>
      <c r="V177" s="29">
        <f t="shared" ref="V177:V184" si="76">T177+S177</f>
        <v>42.02</v>
      </c>
      <c r="W177" s="35">
        <f t="shared" si="50"/>
        <v>42781</v>
      </c>
      <c r="X177" s="35">
        <v>42777</v>
      </c>
      <c r="Y177" s="27">
        <v>20</v>
      </c>
      <c r="Z177" s="58">
        <f t="shared" si="65"/>
        <v>42.02</v>
      </c>
      <c r="AA177" s="31">
        <f t="shared" si="71"/>
        <v>8.4040000000000017</v>
      </c>
      <c r="AB177" t="b">
        <f t="shared" ref="AB177:AB184" si="77">IF(AND(Y177&gt;0,Q177=Y177),TRUE,FALSE)</f>
        <v>0</v>
      </c>
    </row>
    <row r="178" spans="1:29" x14ac:dyDescent="0.25">
      <c r="A178">
        <v>177</v>
      </c>
      <c r="D178" s="9" t="s">
        <v>439</v>
      </c>
      <c r="E178" s="1">
        <v>42712</v>
      </c>
      <c r="F178" s="1">
        <v>42714</v>
      </c>
      <c r="G178" s="1" t="str">
        <f t="shared" si="58"/>
        <v>Hetzner Online AG, Industriestr. 25, 91710 Gunzenhausen: EQ4 Server #50605 30TB 188.40.75.200, 188.40.75.242</v>
      </c>
      <c r="H178" t="s">
        <v>42</v>
      </c>
      <c r="I178" s="10" t="s">
        <v>154</v>
      </c>
      <c r="J178" t="s">
        <v>19</v>
      </c>
      <c r="N178" t="b">
        <f t="shared" si="70"/>
        <v>0</v>
      </c>
      <c r="O178" s="36">
        <v>42.02</v>
      </c>
      <c r="P178" s="51">
        <v>1</v>
      </c>
      <c r="Q178" s="27">
        <v>0</v>
      </c>
      <c r="R178" s="31">
        <f t="shared" si="72"/>
        <v>0</v>
      </c>
      <c r="S178" s="31">
        <f t="shared" si="73"/>
        <v>0</v>
      </c>
      <c r="T178" s="33">
        <f t="shared" si="74"/>
        <v>42.02</v>
      </c>
      <c r="U178" s="29">
        <f t="shared" si="75"/>
        <v>42.02</v>
      </c>
      <c r="V178" s="29">
        <f t="shared" si="76"/>
        <v>42.02</v>
      </c>
      <c r="W178" s="35">
        <f t="shared" si="50"/>
        <v>42781</v>
      </c>
      <c r="X178" s="35">
        <v>42777</v>
      </c>
      <c r="Y178" s="27">
        <v>20</v>
      </c>
      <c r="Z178" s="58">
        <f t="shared" si="65"/>
        <v>42.02</v>
      </c>
      <c r="AA178" s="31">
        <f t="shared" si="71"/>
        <v>8.4040000000000017</v>
      </c>
      <c r="AB178" t="b">
        <f t="shared" si="77"/>
        <v>0</v>
      </c>
    </row>
    <row r="179" spans="1:29" x14ac:dyDescent="0.25">
      <c r="A179">
        <v>178</v>
      </c>
      <c r="D179" s="9" t="s">
        <v>442</v>
      </c>
      <c r="E179" s="1">
        <v>42626</v>
      </c>
      <c r="F179" s="1">
        <v>42713</v>
      </c>
      <c r="G179" s="1" t="str">
        <f t="shared" si="58"/>
        <v>nic.at GmbH, Jakob-Haringer-Strasse 8, 5020 Salzburg, Austria: Domain: energiebalance-lichtherz.at</v>
      </c>
      <c r="H179" t="s">
        <v>103</v>
      </c>
      <c r="J179" t="s">
        <v>104</v>
      </c>
      <c r="N179" t="b">
        <f t="shared" si="70"/>
        <v>0</v>
      </c>
      <c r="O179" s="36">
        <v>29.1</v>
      </c>
      <c r="P179" s="51">
        <v>1</v>
      </c>
      <c r="Q179" s="27">
        <v>20</v>
      </c>
      <c r="R179" s="31">
        <f t="shared" si="72"/>
        <v>5.82</v>
      </c>
      <c r="S179" s="31">
        <f t="shared" si="73"/>
        <v>5.82</v>
      </c>
      <c r="T179" s="33">
        <f t="shared" si="74"/>
        <v>29.1</v>
      </c>
      <c r="U179" s="29">
        <f t="shared" si="75"/>
        <v>34.92</v>
      </c>
      <c r="V179" s="29">
        <f t="shared" si="76"/>
        <v>34.92</v>
      </c>
      <c r="W179" s="35">
        <f t="shared" si="50"/>
        <v>42781</v>
      </c>
      <c r="X179" s="35">
        <v>42777</v>
      </c>
      <c r="Z179" s="58">
        <f t="shared" si="65"/>
        <v>29.1</v>
      </c>
      <c r="AA179" s="31">
        <f t="shared" si="71"/>
        <v>0</v>
      </c>
      <c r="AB179" t="b">
        <f t="shared" si="77"/>
        <v>0</v>
      </c>
    </row>
    <row r="180" spans="1:29" x14ac:dyDescent="0.25">
      <c r="A180">
        <v>179</v>
      </c>
      <c r="D180" s="9" t="s">
        <v>443</v>
      </c>
      <c r="E180" s="1">
        <v>42711</v>
      </c>
      <c r="F180" s="1">
        <v>42713</v>
      </c>
      <c r="G180" s="1" t="str">
        <f t="shared" si="58"/>
        <v>Wilhelm Blaha, Steuerberater, 1080 Wien, Roter Hof 1a: Jahresabschluss 2015</v>
      </c>
      <c r="H180" t="s">
        <v>446</v>
      </c>
      <c r="I180" s="10" t="s">
        <v>444</v>
      </c>
      <c r="J180" t="s">
        <v>445</v>
      </c>
      <c r="N180" t="b">
        <f t="shared" si="70"/>
        <v>0</v>
      </c>
      <c r="O180" s="36">
        <v>475</v>
      </c>
      <c r="P180" s="51">
        <v>1</v>
      </c>
      <c r="Q180" s="27">
        <v>20</v>
      </c>
      <c r="R180" s="31">
        <f t="shared" si="72"/>
        <v>95</v>
      </c>
      <c r="S180" s="31">
        <f t="shared" si="73"/>
        <v>95</v>
      </c>
      <c r="T180" s="33">
        <f t="shared" si="74"/>
        <v>475</v>
      </c>
      <c r="U180" s="29">
        <f t="shared" si="75"/>
        <v>570</v>
      </c>
      <c r="V180" s="29">
        <f t="shared" si="76"/>
        <v>570</v>
      </c>
      <c r="W180" s="35">
        <f t="shared" si="50"/>
        <v>42781</v>
      </c>
      <c r="X180" s="35">
        <v>42777</v>
      </c>
      <c r="Z180" s="58">
        <f t="shared" si="65"/>
        <v>475</v>
      </c>
      <c r="AA180" s="31">
        <f t="shared" si="71"/>
        <v>0</v>
      </c>
      <c r="AB180" t="b">
        <f t="shared" si="77"/>
        <v>0</v>
      </c>
    </row>
    <row r="181" spans="1:29" x14ac:dyDescent="0.25">
      <c r="A181">
        <v>180</v>
      </c>
      <c r="D181" s="9" t="s">
        <v>447</v>
      </c>
      <c r="E181" s="1">
        <v>42723</v>
      </c>
      <c r="F181" s="1">
        <v>42725</v>
      </c>
      <c r="G181" s="1" t="str">
        <f t="shared" si="58"/>
        <v>Amazon EU Sàrl, 5 Rue Plaetis, L-2338, Luxemburg: Buchführung und Bilanzierung für Dummies |3527712518</v>
      </c>
      <c r="H181" t="s">
        <v>72</v>
      </c>
      <c r="I181" s="10" t="s">
        <v>157</v>
      </c>
      <c r="J181" t="s">
        <v>448</v>
      </c>
      <c r="N181" t="b">
        <v>0</v>
      </c>
      <c r="O181" s="36">
        <v>23.36</v>
      </c>
      <c r="P181" s="51">
        <v>1</v>
      </c>
      <c r="Q181" s="27">
        <v>10</v>
      </c>
      <c r="R181" s="31">
        <f t="shared" si="72"/>
        <v>2.3359999999999999</v>
      </c>
      <c r="S181" s="31">
        <f t="shared" si="73"/>
        <v>2.3359999999999999</v>
      </c>
      <c r="T181" s="33">
        <f t="shared" si="74"/>
        <v>23.36</v>
      </c>
      <c r="U181" s="29">
        <f t="shared" si="75"/>
        <v>25.695999999999998</v>
      </c>
      <c r="V181" s="29">
        <f t="shared" si="76"/>
        <v>25.695999999999998</v>
      </c>
      <c r="W181" s="35">
        <f t="shared" si="50"/>
        <v>42781</v>
      </c>
      <c r="X181" s="35">
        <v>42777</v>
      </c>
      <c r="Z181" s="58">
        <f t="shared" si="65"/>
        <v>23.36</v>
      </c>
      <c r="AA181" s="31">
        <f t="shared" si="71"/>
        <v>0</v>
      </c>
      <c r="AB181" t="b">
        <f t="shared" si="77"/>
        <v>0</v>
      </c>
    </row>
    <row r="182" spans="1:29" x14ac:dyDescent="0.25">
      <c r="A182">
        <v>181</v>
      </c>
      <c r="D182" s="9" t="s">
        <v>161</v>
      </c>
      <c r="E182" s="1">
        <v>42732</v>
      </c>
      <c r="F182" s="1">
        <v>42732</v>
      </c>
      <c r="G182" s="1" t="str">
        <f t="shared" si="58"/>
        <v>Sozialversicherungsanstalt der gewerblichen Wirtschaft, Landesstelle Wien, Wiedner Hauptstraße 84-86, A-1051 Wien: freiwillige Vorauszahlung 2015</v>
      </c>
      <c r="H182" t="s">
        <v>70</v>
      </c>
      <c r="J182" t="s">
        <v>449</v>
      </c>
      <c r="N182" t="b">
        <f t="shared" ref="N182:N213" si="78">(IF(AND(K182&lt;&gt;"",ABS(T182)&gt;400),TRUE,FALSE))</f>
        <v>0</v>
      </c>
      <c r="O182" s="36">
        <v>1000</v>
      </c>
      <c r="P182" s="51">
        <v>1</v>
      </c>
      <c r="Q182" s="27">
        <v>0</v>
      </c>
      <c r="R182" s="31">
        <f t="shared" si="72"/>
        <v>0</v>
      </c>
      <c r="S182" s="31">
        <f t="shared" si="73"/>
        <v>0</v>
      </c>
      <c r="T182" s="33">
        <f t="shared" si="74"/>
        <v>1000</v>
      </c>
      <c r="U182" s="29">
        <f t="shared" si="75"/>
        <v>1000</v>
      </c>
      <c r="V182" s="29">
        <f t="shared" si="76"/>
        <v>1000</v>
      </c>
      <c r="W182" s="35">
        <f t="shared" ref="W182:W245" si="79">voranmeldefrist_vierteljaehrlich(F182)</f>
        <v>42781</v>
      </c>
      <c r="X182" s="35">
        <v>42777</v>
      </c>
      <c r="Z182" s="58">
        <f t="shared" si="65"/>
        <v>1000</v>
      </c>
      <c r="AA182" s="31">
        <f t="shared" ref="AA182:AA207" si="80">Y182/100*V182</f>
        <v>0</v>
      </c>
      <c r="AB182" t="b">
        <f t="shared" si="77"/>
        <v>0</v>
      </c>
    </row>
    <row r="183" spans="1:29" x14ac:dyDescent="0.25">
      <c r="A183">
        <v>182</v>
      </c>
      <c r="D183" s="9" t="s">
        <v>161</v>
      </c>
      <c r="E183" s="1">
        <v>42732</v>
      </c>
      <c r="F183" s="1">
        <v>42732</v>
      </c>
      <c r="G183" s="1" t="str">
        <f t="shared" si="58"/>
        <v>Sozialversicherungsanstalt der gewerblichen Wirtschaft, Landesstelle Wien, Wiedner Hauptstraße 84-86, A-1051 Wien: freiwillige Vorauszahlung 2016</v>
      </c>
      <c r="H183" t="s">
        <v>70</v>
      </c>
      <c r="J183" t="s">
        <v>450</v>
      </c>
      <c r="N183" t="b">
        <f t="shared" si="78"/>
        <v>0</v>
      </c>
      <c r="O183" s="36">
        <v>10000</v>
      </c>
      <c r="P183" s="51">
        <v>1</v>
      </c>
      <c r="Q183" s="27">
        <v>0</v>
      </c>
      <c r="R183" s="31">
        <f t="shared" si="72"/>
        <v>0</v>
      </c>
      <c r="S183" s="31">
        <f t="shared" si="73"/>
        <v>0</v>
      </c>
      <c r="T183" s="33">
        <f t="shared" si="74"/>
        <v>10000</v>
      </c>
      <c r="U183" s="29">
        <f t="shared" si="75"/>
        <v>10000</v>
      </c>
      <c r="V183" s="29">
        <f t="shared" si="76"/>
        <v>10000</v>
      </c>
      <c r="W183" s="35">
        <f t="shared" si="79"/>
        <v>42781</v>
      </c>
      <c r="X183" s="35">
        <v>42777</v>
      </c>
      <c r="Z183" s="58">
        <f t="shared" si="65"/>
        <v>10000</v>
      </c>
      <c r="AA183" s="31">
        <f t="shared" si="80"/>
        <v>0</v>
      </c>
      <c r="AB183" t="b">
        <f t="shared" si="77"/>
        <v>0</v>
      </c>
    </row>
    <row r="184" spans="1:29" x14ac:dyDescent="0.25">
      <c r="A184">
        <v>183</v>
      </c>
      <c r="D184" s="9" t="s">
        <v>452</v>
      </c>
      <c r="E184" s="1">
        <v>42732</v>
      </c>
      <c r="F184" s="1">
        <v>42744</v>
      </c>
      <c r="G184" s="1" t="str">
        <f t="shared" si="58"/>
        <v xml:space="preserve">Hutchison Drei Austria GmbH, Brünner Straße 52, 1210 Wien, Österreich: </v>
      </c>
      <c r="H184" t="s">
        <v>34</v>
      </c>
      <c r="N184" t="b">
        <f t="shared" si="78"/>
        <v>0</v>
      </c>
      <c r="O184" s="36">
        <v>15</v>
      </c>
      <c r="P184" s="51">
        <v>1</v>
      </c>
      <c r="Q184" s="27">
        <v>20</v>
      </c>
      <c r="R184" s="31">
        <f t="shared" ref="R184:R198" si="81">O184*Q184/100</f>
        <v>3</v>
      </c>
      <c r="S184" s="31">
        <f t="shared" ref="S184:S215" si="82">P184*R184</f>
        <v>3</v>
      </c>
      <c r="T184" s="33">
        <f t="shared" ref="T184:T215" si="83">O184*P184</f>
        <v>15</v>
      </c>
      <c r="U184" s="29">
        <f t="shared" si="75"/>
        <v>18</v>
      </c>
      <c r="V184" s="29">
        <f t="shared" si="76"/>
        <v>18</v>
      </c>
      <c r="W184" s="35">
        <f t="shared" si="79"/>
        <v>42870</v>
      </c>
      <c r="X184" s="35">
        <v>42860</v>
      </c>
      <c r="Z184" s="58">
        <f t="shared" si="65"/>
        <v>15</v>
      </c>
      <c r="AA184" s="31">
        <f t="shared" si="80"/>
        <v>0</v>
      </c>
      <c r="AB184" t="b">
        <f t="shared" si="77"/>
        <v>0</v>
      </c>
      <c r="AC184" t="b">
        <f>Z184&lt;&gt;T184</f>
        <v>0</v>
      </c>
    </row>
    <row r="185" spans="1:29" x14ac:dyDescent="0.25">
      <c r="A185">
        <v>184</v>
      </c>
      <c r="D185" s="9" t="s">
        <v>451</v>
      </c>
      <c r="E185" s="1">
        <v>42736</v>
      </c>
      <c r="F185" s="1">
        <v>42738</v>
      </c>
      <c r="G185" s="1" t="str">
        <f t="shared" si="58"/>
        <v>easyname GmbH, Fernkorngasse 10/3/501, 1110 Wien: Domain: dr-schiller.at</v>
      </c>
      <c r="H185" t="s">
        <v>33</v>
      </c>
      <c r="I185" t="s">
        <v>187</v>
      </c>
      <c r="J185" t="s">
        <v>191</v>
      </c>
      <c r="N185" t="b">
        <f t="shared" si="78"/>
        <v>0</v>
      </c>
      <c r="O185" s="36">
        <v>12.42</v>
      </c>
      <c r="P185" s="51">
        <v>1</v>
      </c>
      <c r="Q185" s="27">
        <v>20</v>
      </c>
      <c r="R185" s="31">
        <f t="shared" si="81"/>
        <v>2.484</v>
      </c>
      <c r="S185" s="31">
        <f t="shared" si="82"/>
        <v>2.484</v>
      </c>
      <c r="T185" s="33">
        <f t="shared" si="83"/>
        <v>12.42</v>
      </c>
      <c r="U185" s="29">
        <f t="shared" ref="U185:U196" si="84">O185+R185</f>
        <v>14.904</v>
      </c>
      <c r="V185" s="29">
        <f t="shared" ref="V185:V196" si="85">T185+S185</f>
        <v>14.904</v>
      </c>
      <c r="W185" s="35">
        <f t="shared" si="79"/>
        <v>42870</v>
      </c>
      <c r="X185" s="35">
        <v>42860</v>
      </c>
      <c r="Z185" s="58">
        <f t="shared" si="65"/>
        <v>12.42</v>
      </c>
      <c r="AA185" s="31">
        <f t="shared" si="80"/>
        <v>0</v>
      </c>
      <c r="AB185" t="b">
        <f t="shared" ref="AB185:AB207" si="86">IF(AND(Y185&gt;0,Q185=Y185),TRUE,FALSE)</f>
        <v>0</v>
      </c>
      <c r="AC185" t="b">
        <f>Z185&lt;&gt;T185</f>
        <v>0</v>
      </c>
    </row>
    <row r="186" spans="1:29" x14ac:dyDescent="0.25">
      <c r="A186">
        <v>185</v>
      </c>
      <c r="D186" s="9" t="s">
        <v>459</v>
      </c>
      <c r="E186" s="1">
        <v>42644</v>
      </c>
      <c r="F186" s="1">
        <v>42639</v>
      </c>
      <c r="G186" s="1" t="str">
        <f t="shared" si="58"/>
        <v>IMV Immobilien Management GmbH: Vorschreibung 10/16</v>
      </c>
      <c r="H186" t="s">
        <v>24</v>
      </c>
      <c r="I186" t="s">
        <v>174</v>
      </c>
      <c r="J186" t="s">
        <v>456</v>
      </c>
      <c r="N186" t="b">
        <f t="shared" si="78"/>
        <v>0</v>
      </c>
      <c r="O186" s="36">
        <v>801.77</v>
      </c>
      <c r="P186" s="51">
        <f>Arbeitszimmer!$B$3</f>
        <v>0.27320378419841473</v>
      </c>
      <c r="Q186" s="27">
        <v>10</v>
      </c>
      <c r="R186" s="31">
        <f t="shared" si="81"/>
        <v>80.176999999999992</v>
      </c>
      <c r="S186" s="31">
        <f t="shared" si="82"/>
        <v>21.904659805676296</v>
      </c>
      <c r="T186" s="33">
        <f t="shared" si="83"/>
        <v>219.04659805676297</v>
      </c>
      <c r="U186" s="29">
        <f t="shared" si="84"/>
        <v>881.947</v>
      </c>
      <c r="V186" s="29">
        <f t="shared" si="85"/>
        <v>240.95125786243926</v>
      </c>
      <c r="W186" s="35">
        <f t="shared" si="79"/>
        <v>42689</v>
      </c>
      <c r="X186" s="35"/>
      <c r="Z186" s="58">
        <f t="shared" si="65"/>
        <v>219.04659805676297</v>
      </c>
      <c r="AA186" s="31">
        <f t="shared" si="80"/>
        <v>0</v>
      </c>
      <c r="AB186" t="b">
        <f t="shared" si="86"/>
        <v>0</v>
      </c>
    </row>
    <row r="187" spans="1:29" x14ac:dyDescent="0.25">
      <c r="A187">
        <v>186</v>
      </c>
      <c r="D187" s="9" t="s">
        <v>460</v>
      </c>
      <c r="E187" s="1">
        <v>42675</v>
      </c>
      <c r="F187" s="1">
        <v>42685</v>
      </c>
      <c r="G187" s="1" t="str">
        <f t="shared" si="58"/>
        <v>IMV Immobilien Management GmbH: Vorschreibung 11/16</v>
      </c>
      <c r="H187" t="s">
        <v>24</v>
      </c>
      <c r="I187" t="s">
        <v>174</v>
      </c>
      <c r="J187" t="s">
        <v>457</v>
      </c>
      <c r="N187" t="b">
        <f t="shared" si="78"/>
        <v>0</v>
      </c>
      <c r="O187" s="36">
        <v>801.77</v>
      </c>
      <c r="P187" s="51">
        <f>Arbeitszimmer!$B$3</f>
        <v>0.27320378419841473</v>
      </c>
      <c r="Q187" s="27">
        <v>10</v>
      </c>
      <c r="R187" s="31">
        <f t="shared" si="81"/>
        <v>80.176999999999992</v>
      </c>
      <c r="S187" s="31">
        <f t="shared" si="82"/>
        <v>21.904659805676296</v>
      </c>
      <c r="T187" s="33">
        <f t="shared" si="83"/>
        <v>219.04659805676297</v>
      </c>
      <c r="U187" s="29">
        <f t="shared" si="84"/>
        <v>881.947</v>
      </c>
      <c r="V187" s="29">
        <f t="shared" si="85"/>
        <v>240.95125786243926</v>
      </c>
      <c r="W187" s="35">
        <f t="shared" si="79"/>
        <v>42781</v>
      </c>
      <c r="X187" s="35">
        <v>42777</v>
      </c>
      <c r="Z187" s="58">
        <f t="shared" si="65"/>
        <v>219.04659805676297</v>
      </c>
      <c r="AA187" s="31">
        <f t="shared" si="80"/>
        <v>0</v>
      </c>
      <c r="AB187" t="b">
        <f t="shared" si="86"/>
        <v>0</v>
      </c>
    </row>
    <row r="188" spans="1:29" x14ac:dyDescent="0.25">
      <c r="A188">
        <v>187</v>
      </c>
      <c r="D188" s="9" t="s">
        <v>461</v>
      </c>
      <c r="E188" s="1">
        <v>42705</v>
      </c>
      <c r="F188" s="1">
        <v>42699</v>
      </c>
      <c r="G188" s="1" t="str">
        <f t="shared" si="58"/>
        <v>IMV Immobilien Management GmbH: Vorschreibung 12/16</v>
      </c>
      <c r="H188" t="s">
        <v>24</v>
      </c>
      <c r="I188" t="s">
        <v>174</v>
      </c>
      <c r="J188" t="s">
        <v>458</v>
      </c>
      <c r="N188" t="b">
        <f t="shared" si="78"/>
        <v>0</v>
      </c>
      <c r="O188" s="36">
        <v>801.77</v>
      </c>
      <c r="P188" s="51">
        <f>Arbeitszimmer!$B$3</f>
        <v>0.27320378419841473</v>
      </c>
      <c r="Q188" s="27">
        <v>10</v>
      </c>
      <c r="R188" s="31">
        <f t="shared" si="81"/>
        <v>80.176999999999992</v>
      </c>
      <c r="S188" s="31">
        <f t="shared" si="82"/>
        <v>21.904659805676296</v>
      </c>
      <c r="T188" s="33">
        <f t="shared" si="83"/>
        <v>219.04659805676297</v>
      </c>
      <c r="U188" s="29">
        <f t="shared" si="84"/>
        <v>881.947</v>
      </c>
      <c r="V188" s="29">
        <f t="shared" si="85"/>
        <v>240.95125786243926</v>
      </c>
      <c r="W188" s="35">
        <f t="shared" si="79"/>
        <v>42781</v>
      </c>
      <c r="X188" s="35">
        <v>42777</v>
      </c>
      <c r="Z188" s="58">
        <f t="shared" si="65"/>
        <v>219.04659805676297</v>
      </c>
      <c r="AA188" s="31">
        <f t="shared" si="80"/>
        <v>0</v>
      </c>
      <c r="AB188" t="b">
        <f t="shared" si="86"/>
        <v>0</v>
      </c>
    </row>
    <row r="189" spans="1:29" x14ac:dyDescent="0.25">
      <c r="A189">
        <v>188</v>
      </c>
      <c r="D189" s="9" t="s">
        <v>463</v>
      </c>
      <c r="E189" s="1">
        <v>42736</v>
      </c>
      <c r="F189" s="1">
        <v>42744</v>
      </c>
      <c r="G189" s="1" t="str">
        <f t="shared" si="58"/>
        <v>PREMIUM Laudongasse 58 GmbH &amp; Co KG: Dauerrechnung 2017-01</v>
      </c>
      <c r="H189" t="s">
        <v>462</v>
      </c>
      <c r="I189" t="s">
        <v>174</v>
      </c>
      <c r="J189" t="s">
        <v>464</v>
      </c>
      <c r="N189" t="b">
        <f t="shared" si="78"/>
        <v>0</v>
      </c>
      <c r="O189" s="36">
        <v>801.77</v>
      </c>
      <c r="P189" s="51">
        <f>Arbeitszimmer!$B$3</f>
        <v>0.27320378419841473</v>
      </c>
      <c r="Q189" s="27">
        <v>10</v>
      </c>
      <c r="R189" s="31">
        <f t="shared" si="81"/>
        <v>80.176999999999992</v>
      </c>
      <c r="S189" s="31">
        <f t="shared" si="82"/>
        <v>21.904659805676296</v>
      </c>
      <c r="T189" s="33">
        <f t="shared" si="83"/>
        <v>219.04659805676297</v>
      </c>
      <c r="U189" s="29">
        <f t="shared" si="84"/>
        <v>881.947</v>
      </c>
      <c r="V189" s="29">
        <f t="shared" si="85"/>
        <v>240.95125786243926</v>
      </c>
      <c r="W189" s="35">
        <f t="shared" si="79"/>
        <v>42870</v>
      </c>
      <c r="X189" s="35">
        <v>42860</v>
      </c>
      <c r="Z189" s="58">
        <f t="shared" si="65"/>
        <v>219.04659805676297</v>
      </c>
      <c r="AA189" s="31">
        <f t="shared" si="80"/>
        <v>0</v>
      </c>
      <c r="AB189" t="b">
        <f t="shared" si="86"/>
        <v>0</v>
      </c>
      <c r="AC189" t="b">
        <f t="shared" ref="AC189:AC196" si="87">Z189&lt;&gt;T189</f>
        <v>0</v>
      </c>
    </row>
    <row r="190" spans="1:29" x14ac:dyDescent="0.25">
      <c r="A190">
        <v>189</v>
      </c>
      <c r="D190" s="9" t="s">
        <v>463</v>
      </c>
      <c r="E190" s="1">
        <v>42736</v>
      </c>
      <c r="F190" s="1">
        <v>42760</v>
      </c>
      <c r="G190" s="1" t="str">
        <f t="shared" si="58"/>
        <v>PREMIUM Laudongasse 58 GmbH &amp; Co KG: Dauerrechnung 2017-D-2</v>
      </c>
      <c r="H190" t="s">
        <v>462</v>
      </c>
      <c r="I190" t="s">
        <v>174</v>
      </c>
      <c r="J190" t="s">
        <v>465</v>
      </c>
      <c r="N190" t="b">
        <f t="shared" si="78"/>
        <v>0</v>
      </c>
      <c r="O190" s="36">
        <v>801.77</v>
      </c>
      <c r="P190" s="51">
        <f>Arbeitszimmer!$B$3</f>
        <v>0.27320378419841473</v>
      </c>
      <c r="Q190" s="27">
        <v>10</v>
      </c>
      <c r="R190" s="31">
        <f t="shared" si="81"/>
        <v>80.176999999999992</v>
      </c>
      <c r="S190" s="31">
        <f t="shared" si="82"/>
        <v>21.904659805676296</v>
      </c>
      <c r="T190" s="33">
        <f t="shared" si="83"/>
        <v>219.04659805676297</v>
      </c>
      <c r="U190" s="29">
        <f t="shared" si="84"/>
        <v>881.947</v>
      </c>
      <c r="V190" s="29">
        <f t="shared" si="85"/>
        <v>240.95125786243926</v>
      </c>
      <c r="W190" s="35">
        <f t="shared" si="79"/>
        <v>42870</v>
      </c>
      <c r="X190" s="35">
        <v>42860</v>
      </c>
      <c r="Z190" s="58">
        <f t="shared" ref="Z190:Z221" si="88">IF(N190=TRUE,T190/K190,T190)</f>
        <v>219.04659805676297</v>
      </c>
      <c r="AA190" s="31">
        <f t="shared" si="80"/>
        <v>0</v>
      </c>
      <c r="AB190" t="b">
        <f t="shared" si="86"/>
        <v>0</v>
      </c>
      <c r="AC190" t="b">
        <f t="shared" si="87"/>
        <v>0</v>
      </c>
    </row>
    <row r="191" spans="1:29" x14ac:dyDescent="0.25">
      <c r="A191">
        <v>190</v>
      </c>
      <c r="D191" s="9" t="s">
        <v>466</v>
      </c>
      <c r="E191" s="1">
        <v>42760</v>
      </c>
      <c r="F191" s="1">
        <v>42768</v>
      </c>
      <c r="G191" s="1" t="str">
        <f t="shared" si="58"/>
        <v xml:space="preserve">Hutchison Drei Austria GmbH, Brünner Straße 52, 1210 Wien, Österreich: </v>
      </c>
      <c r="H191" t="s">
        <v>34</v>
      </c>
      <c r="N191" t="b">
        <f t="shared" si="78"/>
        <v>0</v>
      </c>
      <c r="O191" s="36">
        <v>15</v>
      </c>
      <c r="P191" s="51">
        <v>1</v>
      </c>
      <c r="Q191" s="27">
        <v>20</v>
      </c>
      <c r="R191" s="31">
        <f t="shared" si="81"/>
        <v>3</v>
      </c>
      <c r="S191" s="31">
        <f t="shared" si="82"/>
        <v>3</v>
      </c>
      <c r="T191" s="33">
        <f t="shared" si="83"/>
        <v>15</v>
      </c>
      <c r="U191" s="29">
        <f t="shared" si="84"/>
        <v>18</v>
      </c>
      <c r="V191" s="29">
        <f t="shared" si="85"/>
        <v>18</v>
      </c>
      <c r="W191" s="35">
        <f t="shared" si="79"/>
        <v>42870</v>
      </c>
      <c r="X191" s="35">
        <v>42860</v>
      </c>
      <c r="Z191" s="58">
        <f t="shared" si="88"/>
        <v>15</v>
      </c>
      <c r="AA191" s="31">
        <f t="shared" si="80"/>
        <v>0</v>
      </c>
      <c r="AB191" t="b">
        <f t="shared" si="86"/>
        <v>0</v>
      </c>
      <c r="AC191" t="b">
        <f t="shared" si="87"/>
        <v>0</v>
      </c>
    </row>
    <row r="192" spans="1:29" x14ac:dyDescent="0.25">
      <c r="A192">
        <v>191</v>
      </c>
      <c r="D192" s="9" t="s">
        <v>467</v>
      </c>
      <c r="E192" s="1">
        <v>42765</v>
      </c>
      <c r="F192" s="1">
        <v>42768</v>
      </c>
      <c r="G192" s="1" t="str">
        <f t="shared" si="58"/>
        <v>easyname GmbH, Fernkorngasse 10/3/501, 1110 Wien: Domain: amweg.at</v>
      </c>
      <c r="H192" t="s">
        <v>33</v>
      </c>
      <c r="I192" t="s">
        <v>187</v>
      </c>
      <c r="J192" t="s">
        <v>209</v>
      </c>
      <c r="N192" t="b">
        <f t="shared" si="78"/>
        <v>0</v>
      </c>
      <c r="O192" s="36">
        <v>12.42</v>
      </c>
      <c r="P192" s="51">
        <v>1</v>
      </c>
      <c r="Q192" s="27">
        <v>20</v>
      </c>
      <c r="R192" s="31">
        <f t="shared" si="81"/>
        <v>2.484</v>
      </c>
      <c r="S192" s="31">
        <f t="shared" si="82"/>
        <v>2.484</v>
      </c>
      <c r="T192" s="33">
        <f t="shared" si="83"/>
        <v>12.42</v>
      </c>
      <c r="U192" s="29">
        <f t="shared" si="84"/>
        <v>14.904</v>
      </c>
      <c r="V192" s="29">
        <f t="shared" si="85"/>
        <v>14.904</v>
      </c>
      <c r="W192" s="35">
        <f t="shared" si="79"/>
        <v>42870</v>
      </c>
      <c r="X192" s="35">
        <v>42860</v>
      </c>
      <c r="Z192" s="58">
        <f t="shared" si="88"/>
        <v>12.42</v>
      </c>
      <c r="AA192" s="31">
        <f t="shared" si="80"/>
        <v>0</v>
      </c>
      <c r="AB192" t="b">
        <f t="shared" si="86"/>
        <v>0</v>
      </c>
      <c r="AC192" t="b">
        <f t="shared" si="87"/>
        <v>0</v>
      </c>
    </row>
    <row r="193" spans="1:29" x14ac:dyDescent="0.25">
      <c r="A193">
        <v>192</v>
      </c>
      <c r="D193" s="9" t="s">
        <v>468</v>
      </c>
      <c r="E193" s="1">
        <v>42758</v>
      </c>
      <c r="F193" s="1">
        <v>42761</v>
      </c>
      <c r="G193" s="1" t="str">
        <f t="shared" si="58"/>
        <v>easyname GmbH, Fernkorngasse 10/3/501, 1110 Wien: Domain: jarosoft.at</v>
      </c>
      <c r="H193" t="s">
        <v>33</v>
      </c>
      <c r="I193" t="s">
        <v>187</v>
      </c>
      <c r="J193" t="s">
        <v>188</v>
      </c>
      <c r="N193" t="b">
        <f t="shared" si="78"/>
        <v>0</v>
      </c>
      <c r="O193" s="36">
        <v>12.42</v>
      </c>
      <c r="P193" s="51">
        <v>1</v>
      </c>
      <c r="Q193" s="27">
        <v>20</v>
      </c>
      <c r="R193" s="31">
        <f t="shared" si="81"/>
        <v>2.484</v>
      </c>
      <c r="S193" s="31">
        <f t="shared" si="82"/>
        <v>2.484</v>
      </c>
      <c r="T193" s="33">
        <f t="shared" si="83"/>
        <v>12.42</v>
      </c>
      <c r="U193" s="29">
        <f t="shared" si="84"/>
        <v>14.904</v>
      </c>
      <c r="V193" s="29">
        <f t="shared" si="85"/>
        <v>14.904</v>
      </c>
      <c r="W193" s="35">
        <f t="shared" si="79"/>
        <v>42870</v>
      </c>
      <c r="X193" s="35">
        <v>42860</v>
      </c>
      <c r="Z193" s="58">
        <f t="shared" si="88"/>
        <v>12.42</v>
      </c>
      <c r="AA193" s="31">
        <f t="shared" si="80"/>
        <v>0</v>
      </c>
      <c r="AB193" t="b">
        <f t="shared" si="86"/>
        <v>0</v>
      </c>
      <c r="AC193" t="b">
        <f t="shared" si="87"/>
        <v>0</v>
      </c>
    </row>
    <row r="194" spans="1:29" x14ac:dyDescent="0.25">
      <c r="A194">
        <v>193</v>
      </c>
      <c r="D194" s="9" t="s">
        <v>469</v>
      </c>
      <c r="E194" s="1">
        <v>42743</v>
      </c>
      <c r="F194" s="1">
        <v>42745</v>
      </c>
      <c r="G194" s="1" t="str">
        <f t="shared" si="58"/>
        <v>Hetzner Online AG, Industriestr. 25, 91710 Gunzenhausen: EQ4 Server #50605 30TB 188.40.75.200, 188.40.75.242</v>
      </c>
      <c r="H194" t="s">
        <v>42</v>
      </c>
      <c r="I194" s="10" t="s">
        <v>154</v>
      </c>
      <c r="J194" t="s">
        <v>19</v>
      </c>
      <c r="N194" t="b">
        <f t="shared" si="78"/>
        <v>0</v>
      </c>
      <c r="O194" s="36">
        <v>42.02</v>
      </c>
      <c r="P194" s="51">
        <v>1</v>
      </c>
      <c r="Q194" s="27">
        <v>0</v>
      </c>
      <c r="R194" s="31">
        <f t="shared" si="81"/>
        <v>0</v>
      </c>
      <c r="S194" s="31">
        <f t="shared" si="82"/>
        <v>0</v>
      </c>
      <c r="T194" s="33">
        <f t="shared" si="83"/>
        <v>42.02</v>
      </c>
      <c r="U194" s="29">
        <f t="shared" si="84"/>
        <v>42.02</v>
      </c>
      <c r="V194" s="29">
        <f t="shared" si="85"/>
        <v>42.02</v>
      </c>
      <c r="W194" s="35">
        <f t="shared" si="79"/>
        <v>42870</v>
      </c>
      <c r="X194" s="35">
        <v>42860</v>
      </c>
      <c r="Y194" s="27">
        <v>20</v>
      </c>
      <c r="Z194" s="58">
        <f t="shared" si="88"/>
        <v>42.02</v>
      </c>
      <c r="AA194" s="31">
        <f t="shared" si="80"/>
        <v>8.4040000000000017</v>
      </c>
      <c r="AB194" t="b">
        <f t="shared" si="86"/>
        <v>0</v>
      </c>
      <c r="AC194" t="b">
        <f t="shared" si="87"/>
        <v>0</v>
      </c>
    </row>
    <row r="195" spans="1:29" x14ac:dyDescent="0.25">
      <c r="A195">
        <v>194</v>
      </c>
      <c r="E195" s="1">
        <v>42745</v>
      </c>
      <c r="F195" s="1">
        <v>42765</v>
      </c>
      <c r="G195" s="1" t="str">
        <f t="shared" ref="G195:G259" si="89">CONCATENATE(H195,": ",J195)</f>
        <v>Wiener Linien GmbH &amp; Co KG, Erdbergstraße 202, 1031 Wien: Jahreskarte</v>
      </c>
      <c r="H195" t="s">
        <v>323</v>
      </c>
      <c r="I195" t="s">
        <v>324</v>
      </c>
      <c r="J195" t="s">
        <v>325</v>
      </c>
      <c r="N195" t="b">
        <f t="shared" si="78"/>
        <v>0</v>
      </c>
      <c r="O195" s="36">
        <v>331.82</v>
      </c>
      <c r="P195" s="51">
        <v>1</v>
      </c>
      <c r="Q195" s="27">
        <v>10</v>
      </c>
      <c r="R195" s="31">
        <f t="shared" si="81"/>
        <v>33.181999999999995</v>
      </c>
      <c r="S195" s="31">
        <f t="shared" si="82"/>
        <v>33.181999999999995</v>
      </c>
      <c r="T195" s="33">
        <f t="shared" si="83"/>
        <v>331.82</v>
      </c>
      <c r="U195" s="29">
        <f t="shared" si="84"/>
        <v>365.00200000000001</v>
      </c>
      <c r="V195" s="29">
        <f t="shared" si="85"/>
        <v>365.00200000000001</v>
      </c>
      <c r="W195" s="35">
        <f t="shared" si="79"/>
        <v>42870</v>
      </c>
      <c r="X195" s="35">
        <v>42860</v>
      </c>
      <c r="Z195" s="58">
        <f t="shared" si="88"/>
        <v>331.82</v>
      </c>
      <c r="AA195" s="31">
        <f t="shared" si="80"/>
        <v>0</v>
      </c>
      <c r="AB195" t="b">
        <f t="shared" si="86"/>
        <v>0</v>
      </c>
      <c r="AC195" t="b">
        <f t="shared" si="87"/>
        <v>0</v>
      </c>
    </row>
    <row r="196" spans="1:29" x14ac:dyDescent="0.25">
      <c r="A196">
        <v>195</v>
      </c>
      <c r="D196" s="9" t="s">
        <v>470</v>
      </c>
      <c r="E196" s="1">
        <v>42774</v>
      </c>
      <c r="F196" s="1">
        <v>42776</v>
      </c>
      <c r="G196" s="1" t="str">
        <f t="shared" si="89"/>
        <v>Hetzner Online AG, Industriestr. 25, 91710 Gunzenhausen: EQ4 Server #50605 30TB 188.40.75.200, 188.40.75.242</v>
      </c>
      <c r="H196" t="s">
        <v>42</v>
      </c>
      <c r="I196" s="10" t="s">
        <v>154</v>
      </c>
      <c r="J196" t="s">
        <v>19</v>
      </c>
      <c r="N196" t="b">
        <f t="shared" si="78"/>
        <v>0</v>
      </c>
      <c r="O196" s="36">
        <v>42.02</v>
      </c>
      <c r="P196" s="51">
        <v>1</v>
      </c>
      <c r="Q196" s="27">
        <v>0</v>
      </c>
      <c r="R196" s="31">
        <f t="shared" si="81"/>
        <v>0</v>
      </c>
      <c r="S196" s="31">
        <f t="shared" si="82"/>
        <v>0</v>
      </c>
      <c r="T196" s="33">
        <f t="shared" si="83"/>
        <v>42.02</v>
      </c>
      <c r="U196" s="29">
        <f t="shared" si="84"/>
        <v>42.02</v>
      </c>
      <c r="V196" s="29">
        <f t="shared" si="85"/>
        <v>42.02</v>
      </c>
      <c r="W196" s="35">
        <f t="shared" si="79"/>
        <v>42870</v>
      </c>
      <c r="X196" s="35">
        <v>42860</v>
      </c>
      <c r="Y196" s="27">
        <v>20</v>
      </c>
      <c r="Z196" s="58">
        <f t="shared" si="88"/>
        <v>42.02</v>
      </c>
      <c r="AA196" s="31">
        <f t="shared" si="80"/>
        <v>8.4040000000000017</v>
      </c>
      <c r="AB196" t="b">
        <f t="shared" si="86"/>
        <v>0</v>
      </c>
      <c r="AC196" t="b">
        <f t="shared" si="87"/>
        <v>0</v>
      </c>
    </row>
    <row r="197" spans="1:29" x14ac:dyDescent="0.25">
      <c r="A197">
        <v>196</v>
      </c>
      <c r="D197" s="9" t="s">
        <v>472</v>
      </c>
      <c r="E197" s="1">
        <v>42679</v>
      </c>
      <c r="F197" s="1">
        <v>42679</v>
      </c>
      <c r="G197" s="1" t="str">
        <f t="shared" si="89"/>
        <v>Saturn Handels GmbH, Mariahilfer Str. 42-48, 1070 Wien: Canon 384 Tinte</v>
      </c>
      <c r="H197" t="s">
        <v>473</v>
      </c>
      <c r="I197" t="s">
        <v>474</v>
      </c>
      <c r="J197" t="s">
        <v>471</v>
      </c>
      <c r="N197" t="b">
        <f t="shared" si="78"/>
        <v>0</v>
      </c>
      <c r="O197" s="36">
        <v>58.4</v>
      </c>
      <c r="P197" s="51">
        <v>1</v>
      </c>
      <c r="Q197" s="27">
        <v>20</v>
      </c>
      <c r="R197" s="31">
        <f t="shared" si="81"/>
        <v>11.68</v>
      </c>
      <c r="S197" s="31">
        <f t="shared" si="82"/>
        <v>11.68</v>
      </c>
      <c r="T197" s="33">
        <f t="shared" si="83"/>
        <v>58.4</v>
      </c>
      <c r="U197" s="29">
        <f t="shared" ref="U197:U202" si="90">O197+R197</f>
        <v>70.08</v>
      </c>
      <c r="V197" s="29">
        <f t="shared" ref="V197:V202" si="91">T197+S197</f>
        <v>70.08</v>
      </c>
      <c r="W197" s="35">
        <f t="shared" si="79"/>
        <v>42781</v>
      </c>
      <c r="X197" s="35">
        <v>42777</v>
      </c>
      <c r="Z197" s="58">
        <f t="shared" si="88"/>
        <v>58.4</v>
      </c>
      <c r="AA197" s="31">
        <f t="shared" si="80"/>
        <v>0</v>
      </c>
      <c r="AB197" t="b">
        <f t="shared" si="86"/>
        <v>0</v>
      </c>
    </row>
    <row r="198" spans="1:29" x14ac:dyDescent="0.25">
      <c r="A198">
        <v>197</v>
      </c>
      <c r="D198" s="9" t="s">
        <v>476</v>
      </c>
      <c r="E198" s="1">
        <v>42790</v>
      </c>
      <c r="F198" s="1">
        <v>42800</v>
      </c>
      <c r="G198" s="1" t="str">
        <f t="shared" si="89"/>
        <v xml:space="preserve">Hutchison Drei Austria GmbH, Brünner Straße 52, 1210 Wien, Österreich: </v>
      </c>
      <c r="H198" t="s">
        <v>34</v>
      </c>
      <c r="N198" t="b">
        <f t="shared" si="78"/>
        <v>0</v>
      </c>
      <c r="O198" s="36">
        <v>15</v>
      </c>
      <c r="P198" s="51">
        <v>1</v>
      </c>
      <c r="Q198" s="27">
        <v>20</v>
      </c>
      <c r="R198" s="31">
        <f t="shared" si="81"/>
        <v>3</v>
      </c>
      <c r="S198" s="31">
        <f t="shared" si="82"/>
        <v>3</v>
      </c>
      <c r="T198" s="33">
        <f t="shared" si="83"/>
        <v>15</v>
      </c>
      <c r="U198" s="29">
        <f t="shared" si="90"/>
        <v>18</v>
      </c>
      <c r="V198" s="29">
        <f t="shared" si="91"/>
        <v>18</v>
      </c>
      <c r="W198" s="35">
        <f t="shared" si="79"/>
        <v>42870</v>
      </c>
      <c r="X198" s="35">
        <v>42860</v>
      </c>
      <c r="Z198" s="58">
        <f t="shared" si="88"/>
        <v>15</v>
      </c>
      <c r="AA198" s="31">
        <f t="shared" si="80"/>
        <v>0</v>
      </c>
      <c r="AB198" t="b">
        <f t="shared" si="86"/>
        <v>0</v>
      </c>
      <c r="AC198" t="b">
        <f t="shared" ref="AC198:AC212" si="92">Z198&lt;&gt;T198</f>
        <v>0</v>
      </c>
    </row>
    <row r="199" spans="1:29" x14ac:dyDescent="0.25">
      <c r="A199">
        <v>198</v>
      </c>
      <c r="D199" s="9" t="s">
        <v>480</v>
      </c>
      <c r="E199" s="1">
        <v>42793</v>
      </c>
      <c r="F199" s="1">
        <v>42794</v>
      </c>
      <c r="G199" s="1" t="str">
        <f t="shared" si="89"/>
        <v>XING AG, D-20354 Hamburg, Dammtorstrasse 30: Three-month Premium membership</v>
      </c>
      <c r="H199" t="s">
        <v>158</v>
      </c>
      <c r="I199" s="10" t="s">
        <v>159</v>
      </c>
      <c r="J199" t="s">
        <v>441</v>
      </c>
      <c r="N199" t="b">
        <f t="shared" si="78"/>
        <v>0</v>
      </c>
      <c r="O199" s="36">
        <v>24.87</v>
      </c>
      <c r="P199" s="51">
        <v>1</v>
      </c>
      <c r="Q199" s="27">
        <v>20</v>
      </c>
      <c r="R199" s="31">
        <v>4.9800000000000004</v>
      </c>
      <c r="S199" s="31">
        <f t="shared" si="82"/>
        <v>4.9800000000000004</v>
      </c>
      <c r="T199" s="33">
        <f t="shared" si="83"/>
        <v>24.87</v>
      </c>
      <c r="U199" s="29">
        <f t="shared" si="90"/>
        <v>29.85</v>
      </c>
      <c r="V199" s="29">
        <f t="shared" si="91"/>
        <v>29.85</v>
      </c>
      <c r="W199" s="35">
        <f t="shared" si="79"/>
        <v>42870</v>
      </c>
      <c r="X199" s="35">
        <v>42860</v>
      </c>
      <c r="Z199" s="58">
        <f t="shared" si="88"/>
        <v>24.87</v>
      </c>
      <c r="AA199" s="31">
        <f t="shared" si="80"/>
        <v>0</v>
      </c>
      <c r="AB199" t="b">
        <f t="shared" si="86"/>
        <v>0</v>
      </c>
      <c r="AC199" t="b">
        <f t="shared" si="92"/>
        <v>0</v>
      </c>
    </row>
    <row r="200" spans="1:29" x14ac:dyDescent="0.25">
      <c r="A200">
        <v>199</v>
      </c>
      <c r="D200" s="9" t="s">
        <v>479</v>
      </c>
      <c r="E200" s="1">
        <v>42793</v>
      </c>
      <c r="F200" s="1">
        <v>42795</v>
      </c>
      <c r="G200" s="1" t="str">
        <f t="shared" si="89"/>
        <v>Amazon EU Sàrl, 5 Rue Plaetis, L-2338, Luxemburg: Sennheiser PC 7 USB Headset | B005HWEZ98</v>
      </c>
      <c r="H200" t="s">
        <v>72</v>
      </c>
      <c r="I200" s="10" t="s">
        <v>157</v>
      </c>
      <c r="J200" t="s">
        <v>481</v>
      </c>
      <c r="N200" t="b">
        <f t="shared" si="78"/>
        <v>0</v>
      </c>
      <c r="O200" s="36">
        <v>19.32</v>
      </c>
      <c r="P200" s="51">
        <v>1</v>
      </c>
      <c r="Q200" s="27">
        <v>20</v>
      </c>
      <c r="R200" s="31">
        <f t="shared" ref="R200:R215" si="93">O200*Q200/100</f>
        <v>3.8639999999999999</v>
      </c>
      <c r="S200" s="31">
        <f t="shared" si="82"/>
        <v>3.8639999999999999</v>
      </c>
      <c r="T200" s="33">
        <f t="shared" si="83"/>
        <v>19.32</v>
      </c>
      <c r="U200" s="29">
        <f t="shared" si="90"/>
        <v>23.184000000000001</v>
      </c>
      <c r="V200" s="29">
        <f t="shared" si="91"/>
        <v>23.184000000000001</v>
      </c>
      <c r="W200" s="35">
        <f t="shared" si="79"/>
        <v>42870</v>
      </c>
      <c r="X200" s="35">
        <v>42860</v>
      </c>
      <c r="Z200" s="58">
        <f t="shared" si="88"/>
        <v>19.32</v>
      </c>
      <c r="AA200" s="31">
        <f t="shared" si="80"/>
        <v>0</v>
      </c>
      <c r="AB200" t="b">
        <f t="shared" si="86"/>
        <v>0</v>
      </c>
      <c r="AC200" t="b">
        <f t="shared" si="92"/>
        <v>0</v>
      </c>
    </row>
    <row r="201" spans="1:29" x14ac:dyDescent="0.25">
      <c r="A201">
        <v>200</v>
      </c>
      <c r="D201" s="9" t="s">
        <v>477</v>
      </c>
      <c r="E201" s="1">
        <v>42801</v>
      </c>
      <c r="F201" s="1">
        <v>42803</v>
      </c>
      <c r="G201" s="1" t="str">
        <f t="shared" si="89"/>
        <v>Primus Office products Handelsges.mb.H &amp; Co KG FN210677w - ATU52268004, Margaretengürtel 44, 1050 Wien: Samsung Toner black CLT-K506L 6000 S.</v>
      </c>
      <c r="H201" t="s">
        <v>43</v>
      </c>
      <c r="J201" t="s">
        <v>478</v>
      </c>
      <c r="N201" t="b">
        <f t="shared" si="78"/>
        <v>0</v>
      </c>
      <c r="O201" s="36">
        <v>67.959999999999994</v>
      </c>
      <c r="P201" s="51">
        <v>1</v>
      </c>
      <c r="Q201" s="27">
        <v>20</v>
      </c>
      <c r="R201" s="31">
        <f t="shared" si="93"/>
        <v>13.591999999999999</v>
      </c>
      <c r="S201" s="31">
        <f t="shared" si="82"/>
        <v>13.591999999999999</v>
      </c>
      <c r="T201" s="33">
        <f t="shared" si="83"/>
        <v>67.959999999999994</v>
      </c>
      <c r="U201" s="29">
        <f t="shared" si="90"/>
        <v>81.551999999999992</v>
      </c>
      <c r="V201" s="29">
        <f t="shared" si="91"/>
        <v>81.551999999999992</v>
      </c>
      <c r="W201" s="35">
        <f t="shared" si="79"/>
        <v>42870</v>
      </c>
      <c r="X201" s="35">
        <v>42860</v>
      </c>
      <c r="Z201" s="58">
        <f t="shared" si="88"/>
        <v>67.959999999999994</v>
      </c>
      <c r="AA201" s="31">
        <f t="shared" si="80"/>
        <v>0</v>
      </c>
      <c r="AB201" t="b">
        <f t="shared" si="86"/>
        <v>0</v>
      </c>
      <c r="AC201" t="b">
        <f t="shared" si="92"/>
        <v>0</v>
      </c>
    </row>
    <row r="202" spans="1:29" x14ac:dyDescent="0.25">
      <c r="A202">
        <v>201</v>
      </c>
      <c r="D202" s="9" t="s">
        <v>482</v>
      </c>
      <c r="E202" s="1">
        <v>42803</v>
      </c>
      <c r="F202" s="1">
        <v>42803</v>
      </c>
      <c r="G202" s="1" t="str">
        <f t="shared" si="89"/>
        <v>Digital River Ireland Ltd, Unit 153, Shannon Free Zone West, Shannon, Co. Clare, Ireland: Dragon Professional Individual v15 elektron. Download</v>
      </c>
      <c r="H202" t="s">
        <v>483</v>
      </c>
      <c r="J202" t="s">
        <v>484</v>
      </c>
      <c r="N202" t="b">
        <f t="shared" si="78"/>
        <v>0</v>
      </c>
      <c r="O202" s="36">
        <v>332.5</v>
      </c>
      <c r="P202" s="51">
        <v>1</v>
      </c>
      <c r="Q202" s="27">
        <v>0</v>
      </c>
      <c r="R202" s="31">
        <f t="shared" si="93"/>
        <v>0</v>
      </c>
      <c r="S202" s="31">
        <f t="shared" si="82"/>
        <v>0</v>
      </c>
      <c r="T202" s="33">
        <f t="shared" si="83"/>
        <v>332.5</v>
      </c>
      <c r="U202" s="29">
        <f t="shared" si="90"/>
        <v>332.5</v>
      </c>
      <c r="V202" s="29">
        <f t="shared" si="91"/>
        <v>332.5</v>
      </c>
      <c r="W202" s="35">
        <f t="shared" si="79"/>
        <v>42870</v>
      </c>
      <c r="X202" s="35">
        <v>42860</v>
      </c>
      <c r="Y202" s="27">
        <v>20</v>
      </c>
      <c r="Z202" s="58">
        <f t="shared" si="88"/>
        <v>332.5</v>
      </c>
      <c r="AA202" s="31">
        <f t="shared" si="80"/>
        <v>66.5</v>
      </c>
      <c r="AB202" t="b">
        <f t="shared" si="86"/>
        <v>0</v>
      </c>
      <c r="AC202" t="b">
        <f t="shared" si="92"/>
        <v>0</v>
      </c>
    </row>
    <row r="203" spans="1:29" x14ac:dyDescent="0.25">
      <c r="A203">
        <v>202</v>
      </c>
      <c r="D203" s="9" t="s">
        <v>486</v>
      </c>
      <c r="E203" s="1">
        <v>42818</v>
      </c>
      <c r="F203" s="1">
        <v>42825</v>
      </c>
      <c r="G203" s="1" t="str">
        <f t="shared" si="89"/>
        <v xml:space="preserve">Hutchison Drei Austria GmbH, Brünner Straße 52, 1210 Wien, Österreich: </v>
      </c>
      <c r="H203" t="s">
        <v>34</v>
      </c>
      <c r="N203" t="b">
        <f t="shared" si="78"/>
        <v>0</v>
      </c>
      <c r="O203" s="36">
        <v>15</v>
      </c>
      <c r="P203" s="51">
        <v>1</v>
      </c>
      <c r="Q203" s="27">
        <v>20</v>
      </c>
      <c r="R203" s="31">
        <f t="shared" si="93"/>
        <v>3</v>
      </c>
      <c r="S203" s="31">
        <f t="shared" si="82"/>
        <v>3</v>
      </c>
      <c r="T203" s="33">
        <f t="shared" si="83"/>
        <v>15</v>
      </c>
      <c r="U203" s="29">
        <f t="shared" ref="U203:U215" si="94">O203+R203</f>
        <v>18</v>
      </c>
      <c r="V203" s="29">
        <f t="shared" ref="V203:V215" si="95">T203+S203</f>
        <v>18</v>
      </c>
      <c r="W203" s="35">
        <f t="shared" si="79"/>
        <v>42870</v>
      </c>
      <c r="X203" s="35">
        <v>42860</v>
      </c>
      <c r="Z203" s="58">
        <f t="shared" si="88"/>
        <v>15</v>
      </c>
      <c r="AA203" s="31">
        <f t="shared" si="80"/>
        <v>0</v>
      </c>
      <c r="AB203" t="b">
        <f t="shared" si="86"/>
        <v>0</v>
      </c>
      <c r="AC203" t="b">
        <f t="shared" si="92"/>
        <v>0</v>
      </c>
    </row>
    <row r="204" spans="1:29" x14ac:dyDescent="0.25">
      <c r="A204">
        <v>203</v>
      </c>
      <c r="D204" s="9" t="s">
        <v>485</v>
      </c>
      <c r="E204" s="1">
        <v>42851</v>
      </c>
      <c r="F204" s="1">
        <v>42860</v>
      </c>
      <c r="G204" s="1" t="str">
        <f t="shared" si="89"/>
        <v xml:space="preserve">Hutchison Drei Austria GmbH, Brünner Straße 52, 1210 Wien, Österreich: </v>
      </c>
      <c r="H204" t="s">
        <v>34</v>
      </c>
      <c r="N204" t="b">
        <f t="shared" si="78"/>
        <v>0</v>
      </c>
      <c r="O204" s="36">
        <v>16.03</v>
      </c>
      <c r="P204" s="51">
        <v>1</v>
      </c>
      <c r="Q204" s="27">
        <v>20</v>
      </c>
      <c r="R204" s="31">
        <f t="shared" si="93"/>
        <v>3.2060000000000004</v>
      </c>
      <c r="S204" s="31">
        <f t="shared" si="82"/>
        <v>3.2060000000000004</v>
      </c>
      <c r="T204" s="33">
        <f t="shared" si="83"/>
        <v>16.03</v>
      </c>
      <c r="U204" s="29">
        <f t="shared" si="94"/>
        <v>19.236000000000001</v>
      </c>
      <c r="V204" s="29">
        <f t="shared" si="95"/>
        <v>19.236000000000001</v>
      </c>
      <c r="W204" s="35">
        <f t="shared" si="79"/>
        <v>42962</v>
      </c>
      <c r="X204" s="35">
        <v>42983</v>
      </c>
      <c r="Z204" s="58">
        <f t="shared" si="88"/>
        <v>16.03</v>
      </c>
      <c r="AA204" s="31">
        <f t="shared" si="80"/>
        <v>0</v>
      </c>
      <c r="AB204" t="b">
        <f t="shared" si="86"/>
        <v>0</v>
      </c>
      <c r="AC204" t="b">
        <f t="shared" si="92"/>
        <v>0</v>
      </c>
    </row>
    <row r="205" spans="1:29" x14ac:dyDescent="0.25">
      <c r="A205">
        <v>204</v>
      </c>
      <c r="D205" s="9" t="s">
        <v>487</v>
      </c>
      <c r="E205" s="1">
        <v>42873</v>
      </c>
      <c r="F205" s="1">
        <v>42892</v>
      </c>
      <c r="G205" s="1" t="str">
        <f t="shared" si="89"/>
        <v>WKO: Grundumlage UBIT</v>
      </c>
      <c r="H205" t="s">
        <v>165</v>
      </c>
      <c r="J205" t="s">
        <v>488</v>
      </c>
      <c r="N205" t="b">
        <f t="shared" si="78"/>
        <v>0</v>
      </c>
      <c r="O205" s="36">
        <v>65</v>
      </c>
      <c r="P205" s="51">
        <v>1</v>
      </c>
      <c r="Q205" s="27">
        <v>0</v>
      </c>
      <c r="R205" s="31">
        <f t="shared" si="93"/>
        <v>0</v>
      </c>
      <c r="S205" s="31">
        <f t="shared" si="82"/>
        <v>0</v>
      </c>
      <c r="T205" s="33">
        <f t="shared" si="83"/>
        <v>65</v>
      </c>
      <c r="U205" s="29">
        <f t="shared" si="94"/>
        <v>65</v>
      </c>
      <c r="V205" s="29">
        <f t="shared" si="95"/>
        <v>65</v>
      </c>
      <c r="W205" s="35">
        <f t="shared" si="79"/>
        <v>42962</v>
      </c>
      <c r="X205" s="35">
        <v>42983</v>
      </c>
      <c r="Z205" s="58">
        <f t="shared" si="88"/>
        <v>65</v>
      </c>
      <c r="AA205" s="31">
        <f t="shared" si="80"/>
        <v>0</v>
      </c>
      <c r="AB205" t="b">
        <f t="shared" si="86"/>
        <v>0</v>
      </c>
      <c r="AC205" t="b">
        <f t="shared" si="92"/>
        <v>0</v>
      </c>
    </row>
    <row r="206" spans="1:29" x14ac:dyDescent="0.25">
      <c r="A206">
        <v>205</v>
      </c>
      <c r="D206" s="9" t="s">
        <v>489</v>
      </c>
      <c r="E206" s="1">
        <v>42872</v>
      </c>
      <c r="F206" s="1">
        <v>42906</v>
      </c>
      <c r="G206" s="1" t="str">
        <f t="shared" si="89"/>
        <v>Amazon EU Sàrl, 5 Rue Plaetis, L-2338, Luxemburg: Scythe USB_2FS-2 USB Fußschalter | B004FS0120</v>
      </c>
      <c r="H206" t="s">
        <v>72</v>
      </c>
      <c r="I206" t="s">
        <v>157</v>
      </c>
      <c r="J206" t="s">
        <v>490</v>
      </c>
      <c r="N206" t="b">
        <f t="shared" si="78"/>
        <v>0</v>
      </c>
      <c r="O206" s="36">
        <v>33.54</v>
      </c>
      <c r="P206" s="51">
        <v>1</v>
      </c>
      <c r="Q206" s="27">
        <v>20</v>
      </c>
      <c r="R206" s="31">
        <f t="shared" si="93"/>
        <v>6.7079999999999993</v>
      </c>
      <c r="S206" s="31">
        <f t="shared" si="82"/>
        <v>6.7079999999999993</v>
      </c>
      <c r="T206" s="33">
        <f t="shared" si="83"/>
        <v>33.54</v>
      </c>
      <c r="U206" s="29">
        <f t="shared" si="94"/>
        <v>40.247999999999998</v>
      </c>
      <c r="V206" s="29">
        <f t="shared" si="95"/>
        <v>40.247999999999998</v>
      </c>
      <c r="W206" s="35">
        <f t="shared" si="79"/>
        <v>42962</v>
      </c>
      <c r="X206" s="35">
        <v>42983</v>
      </c>
      <c r="Z206" s="58">
        <f t="shared" si="88"/>
        <v>33.54</v>
      </c>
      <c r="AA206" s="31">
        <f t="shared" si="80"/>
        <v>0</v>
      </c>
      <c r="AB206" t="b">
        <f t="shared" si="86"/>
        <v>0</v>
      </c>
      <c r="AC206" t="b">
        <f t="shared" si="92"/>
        <v>0</v>
      </c>
    </row>
    <row r="207" spans="1:29" x14ac:dyDescent="0.25">
      <c r="A207">
        <v>206</v>
      </c>
      <c r="D207" s="9" t="s">
        <v>491</v>
      </c>
      <c r="E207" s="1">
        <v>42906</v>
      </c>
      <c r="F207" s="1">
        <v>42907</v>
      </c>
      <c r="G207" s="1" t="str">
        <f t="shared" si="89"/>
        <v>Microsoft Ireland Operations Ltd., Atrium Building Block B, Carmenhall Rd., Sandyford Industrial Estate, Dublin 18, Ireland: Office 365</v>
      </c>
      <c r="H207" t="s">
        <v>492</v>
      </c>
      <c r="I207" t="s">
        <v>160</v>
      </c>
      <c r="J207" t="s">
        <v>100</v>
      </c>
      <c r="N207" t="b">
        <f t="shared" si="78"/>
        <v>0</v>
      </c>
      <c r="O207" s="36">
        <v>57.5</v>
      </c>
      <c r="P207" s="51">
        <v>1</v>
      </c>
      <c r="Q207" s="27">
        <v>20</v>
      </c>
      <c r="R207" s="31">
        <f t="shared" si="93"/>
        <v>11.5</v>
      </c>
      <c r="S207" s="31">
        <f t="shared" si="82"/>
        <v>11.5</v>
      </c>
      <c r="T207" s="33">
        <f t="shared" si="83"/>
        <v>57.5</v>
      </c>
      <c r="U207" s="29">
        <f t="shared" si="94"/>
        <v>69</v>
      </c>
      <c r="V207" s="29">
        <f t="shared" si="95"/>
        <v>69</v>
      </c>
      <c r="W207" s="35">
        <f t="shared" si="79"/>
        <v>42962</v>
      </c>
      <c r="X207" s="35">
        <v>42983</v>
      </c>
      <c r="Z207" s="58">
        <f t="shared" si="88"/>
        <v>57.5</v>
      </c>
      <c r="AA207" s="31">
        <f t="shared" si="80"/>
        <v>0</v>
      </c>
      <c r="AB207" t="b">
        <f t="shared" si="86"/>
        <v>0</v>
      </c>
      <c r="AC207" t="b">
        <f t="shared" si="92"/>
        <v>0</v>
      </c>
    </row>
    <row r="208" spans="1:29" x14ac:dyDescent="0.25">
      <c r="A208">
        <v>207</v>
      </c>
      <c r="D208" s="9" t="s">
        <v>493</v>
      </c>
      <c r="E208" s="1">
        <v>42880</v>
      </c>
      <c r="F208" s="1">
        <v>42888</v>
      </c>
      <c r="G208" s="1" t="str">
        <f t="shared" si="89"/>
        <v xml:space="preserve">Hutchison Drei Austria GmbH, Brünner Straße 52, 1210 Wien, Österreich: </v>
      </c>
      <c r="H208" t="s">
        <v>34</v>
      </c>
      <c r="N208" t="b">
        <f t="shared" si="78"/>
        <v>0</v>
      </c>
      <c r="O208" s="36">
        <v>15</v>
      </c>
      <c r="P208" s="51">
        <v>1</v>
      </c>
      <c r="Q208" s="27">
        <v>20</v>
      </c>
      <c r="R208" s="31">
        <f t="shared" si="93"/>
        <v>3</v>
      </c>
      <c r="S208" s="31">
        <f t="shared" si="82"/>
        <v>3</v>
      </c>
      <c r="T208" s="33">
        <f t="shared" si="83"/>
        <v>15</v>
      </c>
      <c r="U208" s="29">
        <f t="shared" si="94"/>
        <v>18</v>
      </c>
      <c r="V208" s="29">
        <f t="shared" si="95"/>
        <v>18</v>
      </c>
      <c r="W208" s="35">
        <f t="shared" si="79"/>
        <v>42962</v>
      </c>
      <c r="X208" s="35">
        <v>42983</v>
      </c>
      <c r="Z208" s="58">
        <f t="shared" si="88"/>
        <v>15</v>
      </c>
      <c r="AA208" s="31">
        <f t="shared" ref="AA208:AA213" si="96">Y208/100*V208</f>
        <v>0</v>
      </c>
      <c r="AB208" t="b">
        <f t="shared" ref="AB208:AB213" si="97">IF(AND(Y208&gt;0,Q208=Y208),TRUE,FALSE)</f>
        <v>0</v>
      </c>
      <c r="AC208" t="b">
        <f t="shared" si="92"/>
        <v>0</v>
      </c>
    </row>
    <row r="209" spans="1:29" x14ac:dyDescent="0.25">
      <c r="A209">
        <v>208</v>
      </c>
      <c r="D209" s="9" t="s">
        <v>463</v>
      </c>
      <c r="E209" s="1">
        <v>42736</v>
      </c>
      <c r="F209" s="1">
        <v>42793</v>
      </c>
      <c r="G209" s="1" t="str">
        <f t="shared" si="89"/>
        <v>PREMIUM Laudongasse 58 GmbH &amp; Co KG: Dauerrechnung 2017-D-3</v>
      </c>
      <c r="H209" t="s">
        <v>462</v>
      </c>
      <c r="I209" t="s">
        <v>174</v>
      </c>
      <c r="J209" t="s">
        <v>497</v>
      </c>
      <c r="N209" t="b">
        <f t="shared" si="78"/>
        <v>0</v>
      </c>
      <c r="O209" s="36">
        <v>801.77</v>
      </c>
      <c r="P209" s="51">
        <f>Arbeitszimmer!$B$3</f>
        <v>0.27320378419841473</v>
      </c>
      <c r="Q209" s="27">
        <v>10</v>
      </c>
      <c r="R209" s="31">
        <f t="shared" si="93"/>
        <v>80.176999999999992</v>
      </c>
      <c r="S209" s="31">
        <f t="shared" si="82"/>
        <v>21.904659805676296</v>
      </c>
      <c r="T209" s="33">
        <f t="shared" si="83"/>
        <v>219.04659805676297</v>
      </c>
      <c r="U209" s="29">
        <f t="shared" si="94"/>
        <v>881.947</v>
      </c>
      <c r="V209" s="29">
        <f t="shared" si="95"/>
        <v>240.95125786243926</v>
      </c>
      <c r="W209" s="35">
        <f t="shared" si="79"/>
        <v>42870</v>
      </c>
      <c r="X209" s="35"/>
      <c r="Z209" s="58">
        <f t="shared" si="88"/>
        <v>219.04659805676297</v>
      </c>
      <c r="AA209" s="31">
        <f t="shared" si="96"/>
        <v>0</v>
      </c>
      <c r="AB209" t="b">
        <f t="shared" si="97"/>
        <v>0</v>
      </c>
      <c r="AC209" t="b">
        <f t="shared" si="92"/>
        <v>0</v>
      </c>
    </row>
    <row r="210" spans="1:29" x14ac:dyDescent="0.25">
      <c r="A210">
        <v>209</v>
      </c>
      <c r="D210" s="9" t="s">
        <v>463</v>
      </c>
      <c r="E210" s="1">
        <v>42736</v>
      </c>
      <c r="F210" s="1">
        <v>42821</v>
      </c>
      <c r="G210" s="1" t="str">
        <f t="shared" si="89"/>
        <v>PREMIUM Laudongasse 58 GmbH &amp; Co KG: Dauerrechnung 2017-D-4</v>
      </c>
      <c r="H210" t="s">
        <v>462</v>
      </c>
      <c r="I210" t="s">
        <v>174</v>
      </c>
      <c r="J210" t="s">
        <v>496</v>
      </c>
      <c r="N210" t="b">
        <f t="shared" si="78"/>
        <v>0</v>
      </c>
      <c r="O210" s="36">
        <v>801.77</v>
      </c>
      <c r="P210" s="51">
        <f>Arbeitszimmer!$B$3</f>
        <v>0.27320378419841473</v>
      </c>
      <c r="Q210" s="27">
        <v>10</v>
      </c>
      <c r="R210" s="31">
        <f t="shared" si="93"/>
        <v>80.176999999999992</v>
      </c>
      <c r="S210" s="31">
        <f t="shared" si="82"/>
        <v>21.904659805676296</v>
      </c>
      <c r="T210" s="33">
        <f t="shared" si="83"/>
        <v>219.04659805676297</v>
      </c>
      <c r="U210" s="29">
        <f t="shared" si="94"/>
        <v>881.947</v>
      </c>
      <c r="V210" s="29">
        <f t="shared" si="95"/>
        <v>240.95125786243926</v>
      </c>
      <c r="W210" s="35">
        <f t="shared" si="79"/>
        <v>42870</v>
      </c>
      <c r="X210" s="35"/>
      <c r="Z210" s="58">
        <f t="shared" si="88"/>
        <v>219.04659805676297</v>
      </c>
      <c r="AA210" s="31">
        <f t="shared" si="96"/>
        <v>0</v>
      </c>
      <c r="AB210" t="b">
        <f t="shared" si="97"/>
        <v>0</v>
      </c>
      <c r="AC210" t="b">
        <f t="shared" si="92"/>
        <v>0</v>
      </c>
    </row>
    <row r="211" spans="1:29" x14ac:dyDescent="0.25">
      <c r="A211">
        <v>210</v>
      </c>
      <c r="D211" s="9" t="s">
        <v>463</v>
      </c>
      <c r="E211" s="1">
        <v>42736</v>
      </c>
      <c r="F211" s="1">
        <v>42850</v>
      </c>
      <c r="G211" s="1" t="str">
        <f t="shared" si="89"/>
        <v>PREMIUM Laudongasse 58 GmbH &amp; Co KG: Dauerrechnung 2017-D-5</v>
      </c>
      <c r="H211" t="s">
        <v>462</v>
      </c>
      <c r="I211" t="s">
        <v>174</v>
      </c>
      <c r="J211" t="s">
        <v>495</v>
      </c>
      <c r="N211" t="b">
        <f t="shared" si="78"/>
        <v>0</v>
      </c>
      <c r="O211" s="36">
        <v>801.77</v>
      </c>
      <c r="P211" s="51">
        <f>Arbeitszimmer!$B$3</f>
        <v>0.27320378419841473</v>
      </c>
      <c r="Q211" s="27">
        <v>10</v>
      </c>
      <c r="R211" s="31">
        <f t="shared" si="93"/>
        <v>80.176999999999992</v>
      </c>
      <c r="S211" s="31">
        <f t="shared" si="82"/>
        <v>21.904659805676296</v>
      </c>
      <c r="T211" s="33">
        <f t="shared" si="83"/>
        <v>219.04659805676297</v>
      </c>
      <c r="U211" s="29">
        <f t="shared" si="94"/>
        <v>881.947</v>
      </c>
      <c r="V211" s="29">
        <f t="shared" si="95"/>
        <v>240.95125786243926</v>
      </c>
      <c r="W211" s="35">
        <f t="shared" si="79"/>
        <v>42962</v>
      </c>
      <c r="X211" s="35">
        <v>42983</v>
      </c>
      <c r="Z211" s="58">
        <f t="shared" si="88"/>
        <v>219.04659805676297</v>
      </c>
      <c r="AA211" s="31">
        <f t="shared" si="96"/>
        <v>0</v>
      </c>
      <c r="AB211" t="b">
        <f t="shared" si="97"/>
        <v>0</v>
      </c>
      <c r="AC211" t="b">
        <f t="shared" si="92"/>
        <v>0</v>
      </c>
    </row>
    <row r="212" spans="1:29" x14ac:dyDescent="0.25">
      <c r="A212">
        <v>211</v>
      </c>
      <c r="D212" s="9" t="s">
        <v>463</v>
      </c>
      <c r="E212" s="1">
        <v>42736</v>
      </c>
      <c r="F212" s="1">
        <v>42881</v>
      </c>
      <c r="G212" s="1" t="str">
        <f t="shared" si="89"/>
        <v>PREMIUM Laudongasse 58 GmbH &amp; Co KG: Dauerrechnung 2017-D-6</v>
      </c>
      <c r="H212" t="s">
        <v>462</v>
      </c>
      <c r="I212" t="s">
        <v>174</v>
      </c>
      <c r="J212" t="s">
        <v>494</v>
      </c>
      <c r="N212" t="b">
        <f t="shared" si="78"/>
        <v>0</v>
      </c>
      <c r="O212" s="36">
        <v>801.77</v>
      </c>
      <c r="P212" s="51">
        <f>Arbeitszimmer!$B$3</f>
        <v>0.27320378419841473</v>
      </c>
      <c r="Q212" s="27">
        <v>10</v>
      </c>
      <c r="R212" s="31">
        <f t="shared" si="93"/>
        <v>80.176999999999992</v>
      </c>
      <c r="S212" s="31">
        <f t="shared" si="82"/>
        <v>21.904659805676296</v>
      </c>
      <c r="T212" s="33">
        <f t="shared" si="83"/>
        <v>219.04659805676297</v>
      </c>
      <c r="U212" s="29">
        <f t="shared" si="94"/>
        <v>881.947</v>
      </c>
      <c r="V212" s="29">
        <f t="shared" si="95"/>
        <v>240.95125786243926</v>
      </c>
      <c r="W212" s="35">
        <f t="shared" si="79"/>
        <v>42962</v>
      </c>
      <c r="X212" s="35">
        <v>42983</v>
      </c>
      <c r="Z212" s="58">
        <f t="shared" si="88"/>
        <v>219.04659805676297</v>
      </c>
      <c r="AA212" s="31">
        <f t="shared" si="96"/>
        <v>0</v>
      </c>
      <c r="AB212" t="b">
        <f t="shared" si="97"/>
        <v>0</v>
      </c>
      <c r="AC212" t="b">
        <f t="shared" si="92"/>
        <v>0</v>
      </c>
    </row>
    <row r="213" spans="1:29" x14ac:dyDescent="0.25">
      <c r="A213">
        <v>212</v>
      </c>
      <c r="D213" s="9" t="s">
        <v>498</v>
      </c>
      <c r="E213" s="1">
        <v>42604</v>
      </c>
      <c r="F213" s="1">
        <v>42628</v>
      </c>
      <c r="G213" s="1" t="str">
        <f t="shared" si="89"/>
        <v>VERBUND AG, Postfach 8400, 1011 Wien, Österreich: Jahresabrechnung 12.8.2015-17.8.2016</v>
      </c>
      <c r="H213" t="s">
        <v>57</v>
      </c>
      <c r="I213" t="s">
        <v>499</v>
      </c>
      <c r="J213" t="s">
        <v>500</v>
      </c>
      <c r="N213" t="b">
        <f t="shared" si="78"/>
        <v>0</v>
      </c>
      <c r="O213" s="36">
        <v>14.166600000000001</v>
      </c>
      <c r="P213" s="51">
        <f>Arbeitszimmer!$B$3</f>
        <v>0.27320378419841473</v>
      </c>
      <c r="Q213" s="27">
        <v>20</v>
      </c>
      <c r="R213" s="31">
        <f t="shared" si="93"/>
        <v>2.8333200000000001</v>
      </c>
      <c r="S213" s="31">
        <f t="shared" si="82"/>
        <v>0.7740737458450524</v>
      </c>
      <c r="T213" s="33">
        <f t="shared" si="83"/>
        <v>3.8703687292252624</v>
      </c>
      <c r="U213" s="29">
        <f t="shared" si="94"/>
        <v>16.999919999999999</v>
      </c>
      <c r="V213" s="29">
        <f t="shared" si="95"/>
        <v>4.6444424750703153</v>
      </c>
      <c r="W213" s="35">
        <f t="shared" si="79"/>
        <v>42689</v>
      </c>
      <c r="X213" s="35"/>
      <c r="Z213" s="58">
        <f t="shared" si="88"/>
        <v>3.8703687292252624</v>
      </c>
      <c r="AA213" s="31">
        <f t="shared" si="96"/>
        <v>0</v>
      </c>
      <c r="AB213" t="b">
        <f t="shared" si="97"/>
        <v>0</v>
      </c>
    </row>
    <row r="214" spans="1:29" x14ac:dyDescent="0.25">
      <c r="A214">
        <v>213</v>
      </c>
      <c r="D214" s="9" t="s">
        <v>501</v>
      </c>
      <c r="E214" s="1">
        <v>42644</v>
      </c>
      <c r="F214" s="1">
        <v>42660</v>
      </c>
      <c r="G214" s="1" t="str">
        <f t="shared" si="89"/>
        <v>VERBUND AG, Postfach 8400, 1011 Wien, Österreich: Teilzahlungsvorschreibung</v>
      </c>
      <c r="H214" t="s">
        <v>57</v>
      </c>
      <c r="I214" t="s">
        <v>499</v>
      </c>
      <c r="J214" t="s">
        <v>502</v>
      </c>
      <c r="N214" t="b">
        <f t="shared" ref="N214:N248" si="98">(IF(AND(K214&lt;&gt;"",ABS(T214)&gt;400),TRUE,FALSE))</f>
        <v>0</v>
      </c>
      <c r="O214" s="36">
        <v>142.5</v>
      </c>
      <c r="P214" s="51">
        <f>Arbeitszimmer!$B$3</f>
        <v>0.27320378419841473</v>
      </c>
      <c r="Q214" s="27">
        <v>20</v>
      </c>
      <c r="R214" s="31">
        <f t="shared" si="93"/>
        <v>28.5</v>
      </c>
      <c r="S214" s="31">
        <f t="shared" si="82"/>
        <v>7.7863078496548201</v>
      </c>
      <c r="T214" s="33">
        <f t="shared" si="83"/>
        <v>38.931539248274099</v>
      </c>
      <c r="U214" s="29">
        <f t="shared" si="94"/>
        <v>171</v>
      </c>
      <c r="V214" s="29">
        <f t="shared" si="95"/>
        <v>46.717847097928917</v>
      </c>
      <c r="W214" s="35">
        <f t="shared" si="79"/>
        <v>42781</v>
      </c>
      <c r="X214" s="35"/>
      <c r="Z214" s="58">
        <f t="shared" si="88"/>
        <v>38.931539248274099</v>
      </c>
      <c r="AA214" s="31">
        <f>Y214/100*V214</f>
        <v>0</v>
      </c>
      <c r="AB214" t="b">
        <f>IF(AND(Y214&gt;0,Q214=Y214),TRUE,FALSE)</f>
        <v>0</v>
      </c>
    </row>
    <row r="215" spans="1:29" x14ac:dyDescent="0.25">
      <c r="A215">
        <v>214</v>
      </c>
      <c r="D215" s="9" t="s">
        <v>503</v>
      </c>
      <c r="E215" s="1">
        <v>42736</v>
      </c>
      <c r="F215" s="1">
        <v>42751</v>
      </c>
      <c r="G215" s="1" t="str">
        <f t="shared" si="89"/>
        <v>VERBUND AG, Postfach 8400, 1011 Wien, Österreich: Teilzahlungsvorschreibung</v>
      </c>
      <c r="H215" t="s">
        <v>57</v>
      </c>
      <c r="I215" t="s">
        <v>499</v>
      </c>
      <c r="J215" t="s">
        <v>502</v>
      </c>
      <c r="N215" t="b">
        <f t="shared" si="98"/>
        <v>0</v>
      </c>
      <c r="O215" s="36">
        <v>142.5</v>
      </c>
      <c r="P215" s="51">
        <f>Arbeitszimmer!$B$3</f>
        <v>0.27320378419841473</v>
      </c>
      <c r="Q215" s="27">
        <v>20</v>
      </c>
      <c r="R215" s="31">
        <f t="shared" si="93"/>
        <v>28.5</v>
      </c>
      <c r="S215" s="31">
        <f t="shared" si="82"/>
        <v>7.7863078496548201</v>
      </c>
      <c r="T215" s="33">
        <f t="shared" si="83"/>
        <v>38.931539248274099</v>
      </c>
      <c r="U215" s="29">
        <f t="shared" si="94"/>
        <v>171</v>
      </c>
      <c r="V215" s="29">
        <f t="shared" si="95"/>
        <v>46.717847097928917</v>
      </c>
      <c r="W215" s="35">
        <f t="shared" si="79"/>
        <v>42870</v>
      </c>
      <c r="X215" s="35"/>
      <c r="Z215" s="58">
        <f t="shared" si="88"/>
        <v>38.931539248274099</v>
      </c>
      <c r="AA215" s="31">
        <f>Y215/100*V215</f>
        <v>0</v>
      </c>
      <c r="AB215" t="b">
        <f>IF(AND(Y215&gt;0,Q215=Y215),TRUE,FALSE)</f>
        <v>0</v>
      </c>
      <c r="AC215" t="b">
        <f>Z215&lt;&gt;T215</f>
        <v>0</v>
      </c>
    </row>
    <row r="216" spans="1:29" x14ac:dyDescent="0.25">
      <c r="A216">
        <v>215</v>
      </c>
      <c r="D216" s="9" t="s">
        <v>504</v>
      </c>
      <c r="E216" s="1">
        <v>42826</v>
      </c>
      <c r="F216" s="1">
        <v>42843</v>
      </c>
      <c r="G216" s="1" t="str">
        <f t="shared" si="89"/>
        <v>VERBUND AG, Postfach 8400, 1011 Wien, Österreich: Teilzahlungsvorschreibung</v>
      </c>
      <c r="H216" t="s">
        <v>57</v>
      </c>
      <c r="I216" t="s">
        <v>499</v>
      </c>
      <c r="J216" t="s">
        <v>502</v>
      </c>
      <c r="N216" t="b">
        <f t="shared" si="98"/>
        <v>0</v>
      </c>
      <c r="O216" s="36">
        <v>142.5</v>
      </c>
      <c r="P216" s="51">
        <f>Arbeitszimmer!$B$3</f>
        <v>0.27320378419841473</v>
      </c>
      <c r="Q216" s="27">
        <v>20</v>
      </c>
      <c r="R216" s="31">
        <f t="shared" ref="R216:R222" si="99">O216*Q216/100</f>
        <v>28.5</v>
      </c>
      <c r="S216" s="31">
        <f t="shared" ref="S216:S222" si="100">P216*R216</f>
        <v>7.7863078496548201</v>
      </c>
      <c r="T216" s="33">
        <f t="shared" ref="T216:T222" si="101">O216*P216</f>
        <v>38.931539248274099</v>
      </c>
      <c r="U216" s="29">
        <f t="shared" ref="U216:U222" si="102">O216+R216</f>
        <v>171</v>
      </c>
      <c r="V216" s="29">
        <f t="shared" ref="V216:V222" si="103">T216+S216</f>
        <v>46.717847097928917</v>
      </c>
      <c r="W216" s="35">
        <f t="shared" si="79"/>
        <v>42962</v>
      </c>
      <c r="X216" s="35">
        <v>42983</v>
      </c>
      <c r="Z216" s="58">
        <f t="shared" si="88"/>
        <v>38.931539248274099</v>
      </c>
      <c r="AA216" s="31">
        <f t="shared" ref="AA216:AA222" si="104">Y216/100*V216</f>
        <v>0</v>
      </c>
      <c r="AB216" t="b">
        <f t="shared" ref="AB216:AB222" si="105">IF(AND(Y216&gt;0,Q216=Y216),TRUE,FALSE)</f>
        <v>0</v>
      </c>
      <c r="AC216" t="b">
        <f>Z216&lt;&gt;T216</f>
        <v>0</v>
      </c>
    </row>
    <row r="217" spans="1:29" x14ac:dyDescent="0.25">
      <c r="A217">
        <v>216</v>
      </c>
      <c r="D217" s="9" t="s">
        <v>505</v>
      </c>
      <c r="E217" s="1">
        <v>42644</v>
      </c>
      <c r="F217" s="1">
        <v>42660</v>
      </c>
      <c r="G217" s="1" t="str">
        <f t="shared" si="89"/>
        <v>MONTANA Energie-Handel AT GmbH: Teilzahlungsbetrag Gas</v>
      </c>
      <c r="H217" t="s">
        <v>58</v>
      </c>
      <c r="J217" t="s">
        <v>401</v>
      </c>
      <c r="N217" t="b">
        <f t="shared" si="98"/>
        <v>0</v>
      </c>
      <c r="O217" s="36">
        <v>80</v>
      </c>
      <c r="P217" s="51">
        <f>Arbeitszimmer!$B$3</f>
        <v>0.27320378419841473</v>
      </c>
      <c r="Q217" s="27">
        <v>20</v>
      </c>
      <c r="R217" s="31">
        <f t="shared" si="99"/>
        <v>16</v>
      </c>
      <c r="S217" s="31">
        <f t="shared" si="100"/>
        <v>4.3712605471746357</v>
      </c>
      <c r="T217" s="33">
        <f t="shared" si="101"/>
        <v>21.856302735873179</v>
      </c>
      <c r="U217" s="29">
        <f t="shared" si="102"/>
        <v>96</v>
      </c>
      <c r="V217" s="29">
        <f t="shared" si="103"/>
        <v>26.227563283047814</v>
      </c>
      <c r="W217" s="35">
        <f t="shared" si="79"/>
        <v>42781</v>
      </c>
      <c r="X217" s="35">
        <v>42687</v>
      </c>
      <c r="Z217" s="58">
        <f t="shared" si="88"/>
        <v>21.856302735873179</v>
      </c>
      <c r="AA217" s="31">
        <f t="shared" si="104"/>
        <v>0</v>
      </c>
      <c r="AB217" t="b">
        <f t="shared" si="105"/>
        <v>0</v>
      </c>
    </row>
    <row r="218" spans="1:29" x14ac:dyDescent="0.25">
      <c r="A218">
        <v>217</v>
      </c>
      <c r="D218" s="9" t="s">
        <v>506</v>
      </c>
      <c r="E218" s="1">
        <v>42675</v>
      </c>
      <c r="F218" s="1">
        <v>42689</v>
      </c>
      <c r="G218" s="1" t="str">
        <f t="shared" si="89"/>
        <v>MONTANA Energie-Handel AT GmbH: Teilzahlungsbetrag Gas</v>
      </c>
      <c r="H218" t="s">
        <v>58</v>
      </c>
      <c r="J218" t="s">
        <v>401</v>
      </c>
      <c r="N218" t="b">
        <f t="shared" si="98"/>
        <v>0</v>
      </c>
      <c r="O218" s="36">
        <v>80</v>
      </c>
      <c r="P218" s="51">
        <f>Arbeitszimmer!$B$3</f>
        <v>0.27320378419841473</v>
      </c>
      <c r="Q218" s="27">
        <v>20</v>
      </c>
      <c r="R218" s="31">
        <f t="shared" si="99"/>
        <v>16</v>
      </c>
      <c r="S218" s="31">
        <f t="shared" si="100"/>
        <v>4.3712605471746357</v>
      </c>
      <c r="T218" s="33">
        <f t="shared" si="101"/>
        <v>21.856302735873179</v>
      </c>
      <c r="U218" s="29">
        <f t="shared" si="102"/>
        <v>96</v>
      </c>
      <c r="V218" s="29">
        <f t="shared" si="103"/>
        <v>26.227563283047814</v>
      </c>
      <c r="W218" s="35">
        <f t="shared" si="79"/>
        <v>42781</v>
      </c>
      <c r="X218" s="35">
        <v>42687</v>
      </c>
      <c r="Z218" s="58">
        <f t="shared" si="88"/>
        <v>21.856302735873179</v>
      </c>
      <c r="AA218" s="31">
        <f t="shared" si="104"/>
        <v>0</v>
      </c>
      <c r="AB218" t="b">
        <f t="shared" si="105"/>
        <v>0</v>
      </c>
    </row>
    <row r="219" spans="1:29" x14ac:dyDescent="0.25">
      <c r="A219">
        <v>218</v>
      </c>
      <c r="D219" s="9" t="s">
        <v>507</v>
      </c>
      <c r="E219" s="1">
        <v>42705</v>
      </c>
      <c r="F219" s="1">
        <v>42719</v>
      </c>
      <c r="G219" s="1" t="str">
        <f t="shared" si="89"/>
        <v>MONTANA Energie-Handel AT GmbH: Teilzahlungsbetrag Gas</v>
      </c>
      <c r="H219" t="s">
        <v>58</v>
      </c>
      <c r="J219" t="s">
        <v>401</v>
      </c>
      <c r="N219" t="b">
        <f t="shared" si="98"/>
        <v>0</v>
      </c>
      <c r="O219" s="36">
        <v>80</v>
      </c>
      <c r="P219" s="51">
        <f>Arbeitszimmer!$B$3</f>
        <v>0.27320378419841473</v>
      </c>
      <c r="Q219" s="27">
        <v>20</v>
      </c>
      <c r="R219" s="31">
        <f t="shared" si="99"/>
        <v>16</v>
      </c>
      <c r="S219" s="31">
        <f t="shared" si="100"/>
        <v>4.3712605471746357</v>
      </c>
      <c r="T219" s="33">
        <f t="shared" si="101"/>
        <v>21.856302735873179</v>
      </c>
      <c r="U219" s="29">
        <f t="shared" si="102"/>
        <v>96</v>
      </c>
      <c r="V219" s="29">
        <f t="shared" si="103"/>
        <v>26.227563283047814</v>
      </c>
      <c r="W219" s="35">
        <f t="shared" si="79"/>
        <v>42781</v>
      </c>
      <c r="X219" s="35">
        <v>42687</v>
      </c>
      <c r="Z219" s="58">
        <f t="shared" si="88"/>
        <v>21.856302735873179</v>
      </c>
      <c r="AA219" s="31">
        <f t="shared" si="104"/>
        <v>0</v>
      </c>
      <c r="AB219" t="b">
        <f t="shared" si="105"/>
        <v>0</v>
      </c>
    </row>
    <row r="220" spans="1:29" x14ac:dyDescent="0.25">
      <c r="A220">
        <v>219</v>
      </c>
      <c r="D220" s="9" t="s">
        <v>508</v>
      </c>
      <c r="E220" s="1">
        <v>42736</v>
      </c>
      <c r="F220" s="1">
        <v>42751</v>
      </c>
      <c r="G220" s="1" t="str">
        <f t="shared" si="89"/>
        <v>MONTANA Energie-Handel AT GmbH: Teilzahlungsbetrag Gas</v>
      </c>
      <c r="H220" t="s">
        <v>58</v>
      </c>
      <c r="J220" t="s">
        <v>401</v>
      </c>
      <c r="N220" t="b">
        <f t="shared" si="98"/>
        <v>0</v>
      </c>
      <c r="O220" s="36">
        <v>80</v>
      </c>
      <c r="P220" s="51">
        <f>Arbeitszimmer!$B$3</f>
        <v>0.27320378419841473</v>
      </c>
      <c r="Q220" s="27">
        <v>20</v>
      </c>
      <c r="R220" s="31">
        <f t="shared" si="99"/>
        <v>16</v>
      </c>
      <c r="S220" s="31">
        <f t="shared" si="100"/>
        <v>4.3712605471746357</v>
      </c>
      <c r="T220" s="33">
        <f t="shared" si="101"/>
        <v>21.856302735873179</v>
      </c>
      <c r="U220" s="29">
        <f t="shared" si="102"/>
        <v>96</v>
      </c>
      <c r="V220" s="29">
        <f t="shared" si="103"/>
        <v>26.227563283047814</v>
      </c>
      <c r="W220" s="35">
        <f t="shared" si="79"/>
        <v>42870</v>
      </c>
      <c r="X220" s="35">
        <v>42687</v>
      </c>
      <c r="Z220" s="58">
        <f t="shared" si="88"/>
        <v>21.856302735873179</v>
      </c>
      <c r="AA220" s="31">
        <f t="shared" si="104"/>
        <v>0</v>
      </c>
      <c r="AB220" t="b">
        <f t="shared" si="105"/>
        <v>0</v>
      </c>
      <c r="AC220" t="b">
        <f t="shared" ref="AC220:AC278" si="106">Z220&lt;&gt;T220</f>
        <v>0</v>
      </c>
    </row>
    <row r="221" spans="1:29" x14ac:dyDescent="0.25">
      <c r="A221">
        <v>220</v>
      </c>
      <c r="D221" s="9" t="s">
        <v>509</v>
      </c>
      <c r="E221" s="1">
        <v>42767</v>
      </c>
      <c r="F221" s="1">
        <v>42781</v>
      </c>
      <c r="G221" s="1" t="str">
        <f t="shared" si="89"/>
        <v>MONTANA Energie-Handel AT GmbH: Teilzahlungsbetrag Gas</v>
      </c>
      <c r="H221" t="s">
        <v>58</v>
      </c>
      <c r="J221" t="s">
        <v>401</v>
      </c>
      <c r="N221" t="b">
        <f t="shared" si="98"/>
        <v>0</v>
      </c>
      <c r="O221" s="36">
        <v>80</v>
      </c>
      <c r="P221" s="51">
        <f>Arbeitszimmer!$B$3</f>
        <v>0.27320378419841473</v>
      </c>
      <c r="Q221" s="27">
        <v>20</v>
      </c>
      <c r="R221" s="31">
        <f t="shared" si="99"/>
        <v>16</v>
      </c>
      <c r="S221" s="31">
        <f t="shared" si="100"/>
        <v>4.3712605471746357</v>
      </c>
      <c r="T221" s="33">
        <f t="shared" si="101"/>
        <v>21.856302735873179</v>
      </c>
      <c r="U221" s="29">
        <f t="shared" si="102"/>
        <v>96</v>
      </c>
      <c r="V221" s="29">
        <f t="shared" si="103"/>
        <v>26.227563283047814</v>
      </c>
      <c r="W221" s="35">
        <f t="shared" si="79"/>
        <v>42870</v>
      </c>
      <c r="X221" s="35">
        <v>42687</v>
      </c>
      <c r="Z221" s="58">
        <f t="shared" si="88"/>
        <v>21.856302735873179</v>
      </c>
      <c r="AA221" s="31">
        <f t="shared" si="104"/>
        <v>0</v>
      </c>
      <c r="AB221" t="b">
        <f t="shared" si="105"/>
        <v>0</v>
      </c>
      <c r="AC221" t="b">
        <f t="shared" si="106"/>
        <v>0</v>
      </c>
    </row>
    <row r="222" spans="1:29" x14ac:dyDescent="0.25">
      <c r="A222">
        <v>221</v>
      </c>
      <c r="D222" s="9" t="s">
        <v>510</v>
      </c>
      <c r="E222" s="1">
        <v>42795</v>
      </c>
      <c r="F222" s="1">
        <v>42809</v>
      </c>
      <c r="G222" s="1" t="str">
        <f t="shared" si="89"/>
        <v>MONTANA Energie-Handel AT GmbH: Teilzahlungsbetrag Gas</v>
      </c>
      <c r="H222" t="s">
        <v>58</v>
      </c>
      <c r="J222" t="s">
        <v>401</v>
      </c>
      <c r="N222" t="b">
        <f t="shared" si="98"/>
        <v>0</v>
      </c>
      <c r="O222" s="36">
        <v>80</v>
      </c>
      <c r="P222" s="51">
        <f>Arbeitszimmer!$B$3</f>
        <v>0.27320378419841473</v>
      </c>
      <c r="Q222" s="27">
        <v>20</v>
      </c>
      <c r="R222" s="31">
        <f t="shared" si="99"/>
        <v>16</v>
      </c>
      <c r="S222" s="31">
        <f t="shared" si="100"/>
        <v>4.3712605471746357</v>
      </c>
      <c r="T222" s="33">
        <f t="shared" si="101"/>
        <v>21.856302735873179</v>
      </c>
      <c r="U222" s="29">
        <f t="shared" si="102"/>
        <v>96</v>
      </c>
      <c r="V222" s="29">
        <f t="shared" si="103"/>
        <v>26.227563283047814</v>
      </c>
      <c r="W222" s="35">
        <f t="shared" si="79"/>
        <v>42870</v>
      </c>
      <c r="X222" s="35">
        <v>42687</v>
      </c>
      <c r="Z222" s="58">
        <f t="shared" ref="Z222:Z248" si="107">IF(N222=TRUE,T222/K222,T222)</f>
        <v>21.856302735873179</v>
      </c>
      <c r="AA222" s="31">
        <f t="shared" si="104"/>
        <v>0</v>
      </c>
      <c r="AB222" t="b">
        <f t="shared" si="105"/>
        <v>0</v>
      </c>
      <c r="AC222" t="b">
        <f t="shared" si="106"/>
        <v>0</v>
      </c>
    </row>
    <row r="223" spans="1:29" x14ac:dyDescent="0.25">
      <c r="A223">
        <v>222</v>
      </c>
      <c r="D223" s="9" t="s">
        <v>511</v>
      </c>
      <c r="E223" s="1">
        <v>42826</v>
      </c>
      <c r="F223" s="1">
        <v>42843</v>
      </c>
      <c r="G223" s="1" t="str">
        <f t="shared" si="89"/>
        <v>MONTANA Energie-Handel AT GmbH: Teilzahlungsbetrag Gas</v>
      </c>
      <c r="H223" t="s">
        <v>58</v>
      </c>
      <c r="J223" t="s">
        <v>401</v>
      </c>
      <c r="N223" t="b">
        <f t="shared" si="98"/>
        <v>0</v>
      </c>
      <c r="O223" s="36">
        <v>80</v>
      </c>
      <c r="P223" s="51">
        <f>Arbeitszimmer!$B$3</f>
        <v>0.27320378419841473</v>
      </c>
      <c r="Q223" s="27">
        <v>20</v>
      </c>
      <c r="R223" s="31">
        <f t="shared" ref="R223:R245" si="108">O223*Q223/100</f>
        <v>16</v>
      </c>
      <c r="S223" s="31">
        <f t="shared" ref="S223:S248" si="109">P223*R223</f>
        <v>4.3712605471746357</v>
      </c>
      <c r="T223" s="33">
        <f t="shared" ref="T223:T248" si="110">O223*P223</f>
        <v>21.856302735873179</v>
      </c>
      <c r="U223" s="29">
        <f t="shared" ref="U223:U248" si="111">O223+R223</f>
        <v>96</v>
      </c>
      <c r="V223" s="29">
        <f t="shared" ref="V223:V248" si="112">T223+S223</f>
        <v>26.227563283047814</v>
      </c>
      <c r="W223" s="35">
        <f t="shared" si="79"/>
        <v>42962</v>
      </c>
      <c r="X223" s="35">
        <v>42983</v>
      </c>
      <c r="Z223" s="58">
        <f t="shared" si="107"/>
        <v>21.856302735873179</v>
      </c>
      <c r="AA223" s="31">
        <f t="shared" ref="AA223:AA248" si="113">Y223/100*V223</f>
        <v>0</v>
      </c>
      <c r="AB223" t="b">
        <f t="shared" ref="AB223:AB248" si="114">IF(AND(Y223&gt;0,Q223=Y223),TRUE,FALSE)</f>
        <v>0</v>
      </c>
      <c r="AC223" t="b">
        <f t="shared" si="106"/>
        <v>0</v>
      </c>
    </row>
    <row r="224" spans="1:29" x14ac:dyDescent="0.25">
      <c r="A224">
        <v>223</v>
      </c>
      <c r="D224" s="9" t="s">
        <v>512</v>
      </c>
      <c r="E224" s="1">
        <v>42856</v>
      </c>
      <c r="F224" s="1">
        <v>42870</v>
      </c>
      <c r="G224" s="1" t="str">
        <f t="shared" si="89"/>
        <v>MONTANA Energie-Handel AT GmbH: Teilzahlungsbetrag Gas</v>
      </c>
      <c r="H224" t="s">
        <v>58</v>
      </c>
      <c r="J224" t="s">
        <v>401</v>
      </c>
      <c r="N224" t="b">
        <f t="shared" si="98"/>
        <v>0</v>
      </c>
      <c r="O224" s="36">
        <v>80</v>
      </c>
      <c r="P224" s="51">
        <f>Arbeitszimmer!$B$3</f>
        <v>0.27320378419841473</v>
      </c>
      <c r="Q224" s="27">
        <v>20</v>
      </c>
      <c r="R224" s="31">
        <f t="shared" si="108"/>
        <v>16</v>
      </c>
      <c r="S224" s="31">
        <f t="shared" si="109"/>
        <v>4.3712605471746357</v>
      </c>
      <c r="T224" s="33">
        <f t="shared" si="110"/>
        <v>21.856302735873179</v>
      </c>
      <c r="U224" s="29">
        <f t="shared" si="111"/>
        <v>96</v>
      </c>
      <c r="V224" s="29">
        <f t="shared" si="112"/>
        <v>26.227563283047814</v>
      </c>
      <c r="W224" s="35">
        <f t="shared" si="79"/>
        <v>42962</v>
      </c>
      <c r="X224" s="35">
        <v>42983</v>
      </c>
      <c r="Z224" s="58">
        <f t="shared" si="107"/>
        <v>21.856302735873179</v>
      </c>
      <c r="AA224" s="31">
        <f t="shared" si="113"/>
        <v>0</v>
      </c>
      <c r="AB224" t="b">
        <f t="shared" si="114"/>
        <v>0</v>
      </c>
      <c r="AC224" t="b">
        <f t="shared" si="106"/>
        <v>0</v>
      </c>
    </row>
    <row r="225" spans="1:29" x14ac:dyDescent="0.25">
      <c r="A225">
        <v>224</v>
      </c>
      <c r="D225" s="9" t="s">
        <v>513</v>
      </c>
      <c r="E225" s="1">
        <v>42887</v>
      </c>
      <c r="F225" s="1">
        <v>42902</v>
      </c>
      <c r="G225" s="1" t="str">
        <f t="shared" si="89"/>
        <v>MONTANA Energie-Handel AT GmbH: Teilzahlungsbetrag Gas</v>
      </c>
      <c r="H225" t="s">
        <v>58</v>
      </c>
      <c r="J225" t="s">
        <v>401</v>
      </c>
      <c r="N225" t="b">
        <f t="shared" si="98"/>
        <v>0</v>
      </c>
      <c r="O225" s="36">
        <v>80</v>
      </c>
      <c r="P225" s="51">
        <f>Arbeitszimmer!$B$3</f>
        <v>0.27320378419841473</v>
      </c>
      <c r="Q225" s="27">
        <v>20</v>
      </c>
      <c r="R225" s="31">
        <f t="shared" si="108"/>
        <v>16</v>
      </c>
      <c r="S225" s="31">
        <f t="shared" si="109"/>
        <v>4.3712605471746357</v>
      </c>
      <c r="T225" s="33">
        <f t="shared" si="110"/>
        <v>21.856302735873179</v>
      </c>
      <c r="U225" s="29">
        <f t="shared" si="111"/>
        <v>96</v>
      </c>
      <c r="V225" s="29">
        <f t="shared" si="112"/>
        <v>26.227563283047814</v>
      </c>
      <c r="W225" s="35">
        <f t="shared" si="79"/>
        <v>42962</v>
      </c>
      <c r="X225" s="35">
        <v>42983</v>
      </c>
      <c r="Z225" s="58">
        <f t="shared" si="107"/>
        <v>21.856302735873179</v>
      </c>
      <c r="AA225" s="31">
        <f t="shared" si="113"/>
        <v>0</v>
      </c>
      <c r="AB225" t="b">
        <f t="shared" si="114"/>
        <v>0</v>
      </c>
      <c r="AC225" t="b">
        <f t="shared" si="106"/>
        <v>0</v>
      </c>
    </row>
    <row r="226" spans="1:29" x14ac:dyDescent="0.25">
      <c r="A226">
        <v>225</v>
      </c>
      <c r="D226" s="9" t="s">
        <v>514</v>
      </c>
      <c r="E226" s="1">
        <v>42912</v>
      </c>
      <c r="F226" s="1">
        <v>42919</v>
      </c>
      <c r="G226" s="1" t="str">
        <f t="shared" si="89"/>
        <v xml:space="preserve">Hutchison Drei Austria GmbH, Brünner Straße 52, 1210 Wien, Österreich: </v>
      </c>
      <c r="H226" t="s">
        <v>34</v>
      </c>
      <c r="N226" t="b">
        <f t="shared" si="98"/>
        <v>0</v>
      </c>
      <c r="O226" s="36">
        <v>15</v>
      </c>
      <c r="P226" s="51">
        <v>1</v>
      </c>
      <c r="Q226" s="27">
        <v>20</v>
      </c>
      <c r="R226" s="31">
        <f t="shared" si="108"/>
        <v>3</v>
      </c>
      <c r="S226" s="31">
        <f t="shared" si="109"/>
        <v>3</v>
      </c>
      <c r="T226" s="33">
        <f t="shared" si="110"/>
        <v>15</v>
      </c>
      <c r="U226" s="29">
        <f t="shared" si="111"/>
        <v>18</v>
      </c>
      <c r="V226" s="29">
        <f t="shared" si="112"/>
        <v>18</v>
      </c>
      <c r="W226" s="35">
        <f t="shared" si="79"/>
        <v>43054</v>
      </c>
      <c r="X226" s="35">
        <v>43047</v>
      </c>
      <c r="Z226" s="58">
        <f t="shared" si="107"/>
        <v>15</v>
      </c>
      <c r="AA226" s="31">
        <f t="shared" si="113"/>
        <v>0</v>
      </c>
      <c r="AB226" t="b">
        <f t="shared" si="114"/>
        <v>0</v>
      </c>
      <c r="AC226" t="b">
        <f t="shared" si="106"/>
        <v>0</v>
      </c>
    </row>
    <row r="227" spans="1:29" x14ac:dyDescent="0.25">
      <c r="A227">
        <v>226</v>
      </c>
      <c r="D227" s="9" t="s">
        <v>463</v>
      </c>
      <c r="E227" s="1">
        <v>42736</v>
      </c>
      <c r="F227" s="1">
        <v>42912</v>
      </c>
      <c r="G227" s="1" t="str">
        <f t="shared" si="89"/>
        <v>PREMIUM Laudongasse 58 GmbH &amp; Co KG: Dauerrechnung 2017-D-7</v>
      </c>
      <c r="H227" t="s">
        <v>462</v>
      </c>
      <c r="I227" t="s">
        <v>174</v>
      </c>
      <c r="J227" t="s">
        <v>515</v>
      </c>
      <c r="N227" t="b">
        <f t="shared" si="98"/>
        <v>0</v>
      </c>
      <c r="O227" s="36">
        <v>801.77</v>
      </c>
      <c r="P227" s="51">
        <f>Arbeitszimmer!$B$3</f>
        <v>0.27320378419841473</v>
      </c>
      <c r="Q227" s="27">
        <v>10</v>
      </c>
      <c r="R227" s="31">
        <f t="shared" si="108"/>
        <v>80.176999999999992</v>
      </c>
      <c r="S227" s="31">
        <f t="shared" si="109"/>
        <v>21.904659805676296</v>
      </c>
      <c r="T227" s="33">
        <f t="shared" si="110"/>
        <v>219.04659805676297</v>
      </c>
      <c r="U227" s="29">
        <f t="shared" si="111"/>
        <v>881.947</v>
      </c>
      <c r="V227" s="29">
        <f t="shared" si="112"/>
        <v>240.95125786243926</v>
      </c>
      <c r="W227" s="35">
        <f t="shared" si="79"/>
        <v>42962</v>
      </c>
      <c r="X227" s="35"/>
      <c r="Z227" s="58">
        <f t="shared" si="107"/>
        <v>219.04659805676297</v>
      </c>
      <c r="AA227" s="31">
        <f t="shared" si="113"/>
        <v>0</v>
      </c>
      <c r="AB227" t="b">
        <f t="shared" si="114"/>
        <v>0</v>
      </c>
      <c r="AC227" t="b">
        <f t="shared" si="106"/>
        <v>0</v>
      </c>
    </row>
    <row r="228" spans="1:29" x14ac:dyDescent="0.25">
      <c r="A228">
        <v>227</v>
      </c>
      <c r="D228" s="39" t="s">
        <v>519</v>
      </c>
      <c r="E228" s="1">
        <v>42917</v>
      </c>
      <c r="F228" s="1">
        <v>42933</v>
      </c>
      <c r="G228" s="1" t="str">
        <f t="shared" si="89"/>
        <v>VERBUND AG, Postfach 8400, 1011 Wien, Österreich: Teilzahlungsvorschreibung</v>
      </c>
      <c r="H228" t="s">
        <v>57</v>
      </c>
      <c r="I228" t="s">
        <v>499</v>
      </c>
      <c r="J228" t="s">
        <v>502</v>
      </c>
      <c r="N228" t="b">
        <f t="shared" si="98"/>
        <v>0</v>
      </c>
      <c r="O228" s="36">
        <v>142.5</v>
      </c>
      <c r="P228" s="51">
        <f>Arbeitszimmer!$B$3</f>
        <v>0.27320378419841473</v>
      </c>
      <c r="Q228" s="27">
        <v>20</v>
      </c>
      <c r="R228" s="31">
        <f t="shared" si="108"/>
        <v>28.5</v>
      </c>
      <c r="S228" s="31">
        <f t="shared" si="109"/>
        <v>7.7863078496548201</v>
      </c>
      <c r="T228" s="33">
        <f t="shared" si="110"/>
        <v>38.931539248274099</v>
      </c>
      <c r="U228" s="29">
        <f t="shared" si="111"/>
        <v>171</v>
      </c>
      <c r="V228" s="29">
        <f t="shared" si="112"/>
        <v>46.717847097928917</v>
      </c>
      <c r="W228" s="35">
        <f t="shared" si="79"/>
        <v>43054</v>
      </c>
      <c r="X228" s="35">
        <v>43047</v>
      </c>
      <c r="Z228" s="58">
        <f t="shared" si="107"/>
        <v>38.931539248274099</v>
      </c>
      <c r="AA228" s="31">
        <f t="shared" si="113"/>
        <v>0</v>
      </c>
      <c r="AB228" t="b">
        <f t="shared" si="114"/>
        <v>0</v>
      </c>
      <c r="AC228" t="b">
        <f t="shared" si="106"/>
        <v>0</v>
      </c>
    </row>
    <row r="229" spans="1:29" x14ac:dyDescent="0.25">
      <c r="A229">
        <v>228</v>
      </c>
      <c r="D229" s="39" t="s">
        <v>520</v>
      </c>
      <c r="E229" s="1">
        <v>42917</v>
      </c>
      <c r="F229" s="1">
        <v>42933</v>
      </c>
      <c r="G229" s="1" t="str">
        <f t="shared" si="89"/>
        <v>MONTANA Energie-Handel AT GmbH: Teilzahlungsbetrag Gas</v>
      </c>
      <c r="H229" t="s">
        <v>58</v>
      </c>
      <c r="J229" t="s">
        <v>401</v>
      </c>
      <c r="N229" t="b">
        <f t="shared" si="98"/>
        <v>0</v>
      </c>
      <c r="O229" s="36">
        <v>80</v>
      </c>
      <c r="P229" s="51">
        <f>Arbeitszimmer!$B$3</f>
        <v>0.27320378419841473</v>
      </c>
      <c r="Q229" s="27">
        <v>20</v>
      </c>
      <c r="R229" s="31">
        <f t="shared" si="108"/>
        <v>16</v>
      </c>
      <c r="S229" s="31">
        <f t="shared" si="109"/>
        <v>4.3712605471746357</v>
      </c>
      <c r="T229" s="33">
        <f t="shared" si="110"/>
        <v>21.856302735873179</v>
      </c>
      <c r="U229" s="29">
        <f t="shared" si="111"/>
        <v>96</v>
      </c>
      <c r="V229" s="29">
        <f t="shared" si="112"/>
        <v>26.227563283047814</v>
      </c>
      <c r="W229" s="35">
        <f t="shared" si="79"/>
        <v>43054</v>
      </c>
      <c r="X229" s="35">
        <v>43047</v>
      </c>
      <c r="Z229" s="58">
        <f t="shared" si="107"/>
        <v>21.856302735873179</v>
      </c>
      <c r="AA229" s="31">
        <f t="shared" si="113"/>
        <v>0</v>
      </c>
      <c r="AB229" t="b">
        <f t="shared" si="114"/>
        <v>0</v>
      </c>
      <c r="AC229" t="b">
        <f t="shared" si="106"/>
        <v>0</v>
      </c>
    </row>
    <row r="230" spans="1:29" x14ac:dyDescent="0.25">
      <c r="A230">
        <v>229</v>
      </c>
      <c r="D230" s="9" t="s">
        <v>463</v>
      </c>
      <c r="E230" s="1">
        <v>42736</v>
      </c>
      <c r="F230" s="1">
        <v>42937</v>
      </c>
      <c r="G230" s="1" t="str">
        <f t="shared" si="89"/>
        <v>PREMIUM Laudongasse 58 GmbH &amp; Co KG: Rückerstattung BK 2016</v>
      </c>
      <c r="H230" t="s">
        <v>462</v>
      </c>
      <c r="I230" t="s">
        <v>174</v>
      </c>
      <c r="J230" t="s">
        <v>518</v>
      </c>
      <c r="N230" t="b">
        <f t="shared" si="98"/>
        <v>0</v>
      </c>
      <c r="O230" s="36">
        <v>-333.55</v>
      </c>
      <c r="P230" s="51">
        <f>Arbeitszimmer!$B$3</f>
        <v>0.27320378419841473</v>
      </c>
      <c r="Q230" s="27">
        <v>10</v>
      </c>
      <c r="R230" s="31">
        <f t="shared" si="108"/>
        <v>-33.354999999999997</v>
      </c>
      <c r="S230" s="31">
        <f t="shared" si="109"/>
        <v>-9.1127122219381231</v>
      </c>
      <c r="T230" s="33">
        <f t="shared" si="110"/>
        <v>-91.127122219381235</v>
      </c>
      <c r="U230" s="29">
        <f t="shared" si="111"/>
        <v>-366.90500000000003</v>
      </c>
      <c r="V230" s="29">
        <f t="shared" si="112"/>
        <v>-100.23983444131936</v>
      </c>
      <c r="W230" s="35">
        <f t="shared" si="79"/>
        <v>43054</v>
      </c>
      <c r="X230" s="35">
        <v>43047</v>
      </c>
      <c r="Z230" s="58">
        <f t="shared" si="107"/>
        <v>-91.127122219381235</v>
      </c>
      <c r="AA230" s="31">
        <f t="shared" si="113"/>
        <v>0</v>
      </c>
      <c r="AB230" t="b">
        <f t="shared" si="114"/>
        <v>0</v>
      </c>
      <c r="AC230" t="b">
        <f t="shared" si="106"/>
        <v>0</v>
      </c>
    </row>
    <row r="231" spans="1:29" x14ac:dyDescent="0.25">
      <c r="A231">
        <v>230</v>
      </c>
      <c r="D231" s="9" t="s">
        <v>463</v>
      </c>
      <c r="E231" s="1">
        <v>42736</v>
      </c>
      <c r="F231" s="1">
        <v>42941</v>
      </c>
      <c r="G231" s="1" t="str">
        <f t="shared" si="89"/>
        <v>PREMIUM Laudongasse 58 GmbH &amp; Co KG: Dauerrechnung 2017-D-8</v>
      </c>
      <c r="H231" t="s">
        <v>462</v>
      </c>
      <c r="I231" t="s">
        <v>174</v>
      </c>
      <c r="J231" t="s">
        <v>516</v>
      </c>
      <c r="N231" t="b">
        <f t="shared" si="98"/>
        <v>0</v>
      </c>
      <c r="O231" s="36">
        <v>801.77</v>
      </c>
      <c r="P231" s="51">
        <f>Arbeitszimmer!$B$3</f>
        <v>0.27320378419841473</v>
      </c>
      <c r="Q231" s="27">
        <v>10</v>
      </c>
      <c r="R231" s="31">
        <f t="shared" si="108"/>
        <v>80.176999999999992</v>
      </c>
      <c r="S231" s="31">
        <f t="shared" si="109"/>
        <v>21.904659805676296</v>
      </c>
      <c r="T231" s="33">
        <f t="shared" si="110"/>
        <v>219.04659805676297</v>
      </c>
      <c r="U231" s="29">
        <f t="shared" si="111"/>
        <v>881.947</v>
      </c>
      <c r="V231" s="29">
        <f t="shared" si="112"/>
        <v>240.95125786243926</v>
      </c>
      <c r="W231" s="35">
        <f t="shared" si="79"/>
        <v>43054</v>
      </c>
      <c r="X231" s="35">
        <v>43047</v>
      </c>
      <c r="Z231" s="58">
        <f t="shared" si="107"/>
        <v>219.04659805676297</v>
      </c>
      <c r="AA231" s="31">
        <f t="shared" si="113"/>
        <v>0</v>
      </c>
      <c r="AB231" t="b">
        <f t="shared" si="114"/>
        <v>0</v>
      </c>
      <c r="AC231" t="b">
        <f t="shared" si="106"/>
        <v>0</v>
      </c>
    </row>
    <row r="232" spans="1:29" x14ac:dyDescent="0.25">
      <c r="A232">
        <v>231</v>
      </c>
      <c r="D232" s="9" t="s">
        <v>522</v>
      </c>
      <c r="E232" s="1">
        <v>42941</v>
      </c>
      <c r="F232" s="1">
        <v>42949</v>
      </c>
      <c r="G232" s="1" t="str">
        <f t="shared" si="89"/>
        <v xml:space="preserve">Hutchison Drei Austria GmbH, Brünner Straße 52, 1210 Wien, Österreich: </v>
      </c>
      <c r="H232" t="s">
        <v>34</v>
      </c>
      <c r="N232" t="b">
        <f t="shared" si="98"/>
        <v>0</v>
      </c>
      <c r="O232" s="36">
        <v>15</v>
      </c>
      <c r="P232" s="51">
        <v>1</v>
      </c>
      <c r="Q232" s="27">
        <v>20</v>
      </c>
      <c r="R232" s="31">
        <f t="shared" si="108"/>
        <v>3</v>
      </c>
      <c r="S232" s="31">
        <f t="shared" si="109"/>
        <v>3</v>
      </c>
      <c r="T232" s="33">
        <f t="shared" si="110"/>
        <v>15</v>
      </c>
      <c r="U232" s="29">
        <f t="shared" si="111"/>
        <v>18</v>
      </c>
      <c r="V232" s="29">
        <f t="shared" si="112"/>
        <v>18</v>
      </c>
      <c r="W232" s="35">
        <f t="shared" si="79"/>
        <v>43054</v>
      </c>
      <c r="X232" s="35">
        <v>43047</v>
      </c>
      <c r="Z232" s="58">
        <f t="shared" si="107"/>
        <v>15</v>
      </c>
      <c r="AA232" s="31">
        <f t="shared" si="113"/>
        <v>0</v>
      </c>
      <c r="AB232" t="b">
        <f t="shared" si="114"/>
        <v>0</v>
      </c>
      <c r="AC232" t="b">
        <f t="shared" si="106"/>
        <v>0</v>
      </c>
    </row>
    <row r="233" spans="1:29" x14ac:dyDescent="0.25">
      <c r="A233">
        <v>232</v>
      </c>
      <c r="D233" s="39" t="s">
        <v>521</v>
      </c>
      <c r="E233" s="1">
        <v>42948</v>
      </c>
      <c r="F233" s="1">
        <v>42963</v>
      </c>
      <c r="G233" s="1" t="str">
        <f t="shared" si="89"/>
        <v>MONTANA Energie-Handel AT GmbH: Teilzahlungsbetrag Gas</v>
      </c>
      <c r="H233" t="s">
        <v>58</v>
      </c>
      <c r="J233" t="s">
        <v>401</v>
      </c>
      <c r="N233" t="b">
        <f t="shared" si="98"/>
        <v>0</v>
      </c>
      <c r="O233" s="36">
        <v>80</v>
      </c>
      <c r="P233" s="51">
        <f>Arbeitszimmer!$B$3</f>
        <v>0.27320378419841473</v>
      </c>
      <c r="Q233" s="27">
        <v>20</v>
      </c>
      <c r="R233" s="31">
        <f t="shared" si="108"/>
        <v>16</v>
      </c>
      <c r="S233" s="31">
        <f t="shared" si="109"/>
        <v>4.3712605471746357</v>
      </c>
      <c r="T233" s="33">
        <f t="shared" si="110"/>
        <v>21.856302735873179</v>
      </c>
      <c r="U233" s="29">
        <f t="shared" si="111"/>
        <v>96</v>
      </c>
      <c r="V233" s="29">
        <f t="shared" si="112"/>
        <v>26.227563283047814</v>
      </c>
      <c r="W233" s="35">
        <f t="shared" si="79"/>
        <v>43054</v>
      </c>
      <c r="X233" s="35">
        <v>43047</v>
      </c>
      <c r="Z233" s="58">
        <f t="shared" si="107"/>
        <v>21.856302735873179</v>
      </c>
      <c r="AA233" s="31">
        <f t="shared" si="113"/>
        <v>0</v>
      </c>
      <c r="AB233" t="b">
        <f t="shared" si="114"/>
        <v>0</v>
      </c>
      <c r="AC233" t="b">
        <f t="shared" si="106"/>
        <v>0</v>
      </c>
    </row>
    <row r="234" spans="1:29" x14ac:dyDescent="0.25">
      <c r="A234">
        <v>233</v>
      </c>
      <c r="D234" s="9" t="s">
        <v>463</v>
      </c>
      <c r="E234" s="1">
        <v>42736</v>
      </c>
      <c r="F234" s="1">
        <v>42972</v>
      </c>
      <c r="G234" s="1" t="str">
        <f t="shared" si="89"/>
        <v>PREMIUM Laudongasse 58 GmbH &amp; Co KG: Dauerrechnung 2017-D-9</v>
      </c>
      <c r="H234" t="s">
        <v>462</v>
      </c>
      <c r="I234" t="s">
        <v>174</v>
      </c>
      <c r="J234" t="s">
        <v>517</v>
      </c>
      <c r="N234" t="b">
        <f t="shared" si="98"/>
        <v>0</v>
      </c>
      <c r="O234" s="36">
        <v>801.77</v>
      </c>
      <c r="P234" s="51">
        <f>Arbeitszimmer!$B$3</f>
        <v>0.27320378419841473</v>
      </c>
      <c r="Q234" s="27">
        <v>10</v>
      </c>
      <c r="R234" s="31">
        <f t="shared" si="108"/>
        <v>80.176999999999992</v>
      </c>
      <c r="S234" s="31">
        <f t="shared" si="109"/>
        <v>21.904659805676296</v>
      </c>
      <c r="T234" s="33">
        <f t="shared" si="110"/>
        <v>219.04659805676297</v>
      </c>
      <c r="U234" s="29">
        <f t="shared" si="111"/>
        <v>881.947</v>
      </c>
      <c r="V234" s="29">
        <f t="shared" si="112"/>
        <v>240.95125786243926</v>
      </c>
      <c r="W234" s="35">
        <f t="shared" si="79"/>
        <v>43054</v>
      </c>
      <c r="X234" s="35">
        <v>43047</v>
      </c>
      <c r="Z234" s="58">
        <f t="shared" si="107"/>
        <v>219.04659805676297</v>
      </c>
      <c r="AA234" s="31">
        <f t="shared" si="113"/>
        <v>0</v>
      </c>
      <c r="AB234" t="b">
        <f t="shared" si="114"/>
        <v>0</v>
      </c>
      <c r="AC234" t="b">
        <f t="shared" si="106"/>
        <v>0</v>
      </c>
    </row>
    <row r="235" spans="1:29" x14ac:dyDescent="0.25">
      <c r="A235">
        <v>234</v>
      </c>
      <c r="D235" s="9" t="s">
        <v>524</v>
      </c>
      <c r="E235" s="1">
        <v>42971</v>
      </c>
      <c r="F235" s="1">
        <v>42978</v>
      </c>
      <c r="G235" s="1" t="str">
        <f t="shared" si="89"/>
        <v xml:space="preserve">Hutchison Drei Austria GmbH, Brünner Straße 52, 1210 Wien, Österreich: </v>
      </c>
      <c r="H235" t="s">
        <v>34</v>
      </c>
      <c r="N235" t="b">
        <f t="shared" si="98"/>
        <v>0</v>
      </c>
      <c r="O235" s="36">
        <v>15</v>
      </c>
      <c r="P235" s="51">
        <v>1</v>
      </c>
      <c r="Q235" s="27">
        <v>20</v>
      </c>
      <c r="R235" s="31">
        <f t="shared" si="108"/>
        <v>3</v>
      </c>
      <c r="S235" s="31">
        <f t="shared" si="109"/>
        <v>3</v>
      </c>
      <c r="T235" s="33">
        <f t="shared" si="110"/>
        <v>15</v>
      </c>
      <c r="U235" s="29">
        <f t="shared" si="111"/>
        <v>18</v>
      </c>
      <c r="V235" s="29">
        <f t="shared" si="112"/>
        <v>18</v>
      </c>
      <c r="W235" s="35">
        <f t="shared" si="79"/>
        <v>43054</v>
      </c>
      <c r="X235" s="35">
        <v>43047</v>
      </c>
      <c r="Z235" s="58">
        <f t="shared" si="107"/>
        <v>15</v>
      </c>
      <c r="AA235" s="31">
        <f t="shared" si="113"/>
        <v>0</v>
      </c>
      <c r="AB235" t="b">
        <f t="shared" si="114"/>
        <v>0</v>
      </c>
      <c r="AC235" t="b">
        <f t="shared" si="106"/>
        <v>0</v>
      </c>
    </row>
    <row r="236" spans="1:29" x14ac:dyDescent="0.25">
      <c r="A236">
        <v>235</v>
      </c>
      <c r="D236" s="9" t="s">
        <v>523</v>
      </c>
      <c r="E236" s="1">
        <v>42979</v>
      </c>
      <c r="F236" s="1">
        <v>42993</v>
      </c>
      <c r="G236" s="1" t="str">
        <f t="shared" si="89"/>
        <v>MONTANA Energie-Handel AT GmbH: Teilzahlungsbetrag Gas</v>
      </c>
      <c r="H236" t="s">
        <v>58</v>
      </c>
      <c r="J236" t="s">
        <v>401</v>
      </c>
      <c r="N236" t="b">
        <f t="shared" si="98"/>
        <v>0</v>
      </c>
      <c r="O236" s="36">
        <v>80</v>
      </c>
      <c r="P236" s="51">
        <f>Arbeitszimmer!$B$3</f>
        <v>0.27320378419841473</v>
      </c>
      <c r="Q236" s="27">
        <v>20</v>
      </c>
      <c r="R236" s="31">
        <f t="shared" si="108"/>
        <v>16</v>
      </c>
      <c r="S236" s="31">
        <f t="shared" si="109"/>
        <v>4.3712605471746357</v>
      </c>
      <c r="T236" s="33">
        <f t="shared" si="110"/>
        <v>21.856302735873179</v>
      </c>
      <c r="U236" s="29">
        <f t="shared" si="111"/>
        <v>96</v>
      </c>
      <c r="V236" s="29">
        <f t="shared" si="112"/>
        <v>26.227563283047814</v>
      </c>
      <c r="W236" s="35">
        <f t="shared" si="79"/>
        <v>43054</v>
      </c>
      <c r="X236" s="35">
        <v>43047</v>
      </c>
      <c r="Z236" s="58">
        <f t="shared" si="107"/>
        <v>21.856302735873179</v>
      </c>
      <c r="AA236" s="31">
        <f t="shared" si="113"/>
        <v>0</v>
      </c>
      <c r="AB236" t="b">
        <f t="shared" si="114"/>
        <v>0</v>
      </c>
      <c r="AC236" t="b">
        <f t="shared" si="106"/>
        <v>0</v>
      </c>
    </row>
    <row r="237" spans="1:29" x14ac:dyDescent="0.25">
      <c r="A237">
        <v>236</v>
      </c>
      <c r="D237" s="9" t="s">
        <v>526</v>
      </c>
      <c r="E237" s="1">
        <v>42968</v>
      </c>
      <c r="F237" s="1">
        <v>42993</v>
      </c>
      <c r="G237" s="1" t="str">
        <f t="shared" si="89"/>
        <v>VERBUND AG, Postfach 8400, 1011 Wien, Österreich: Teilzahlungsvorschreibung</v>
      </c>
      <c r="H237" t="s">
        <v>57</v>
      </c>
      <c r="I237" t="s">
        <v>499</v>
      </c>
      <c r="J237" t="s">
        <v>502</v>
      </c>
      <c r="N237" t="b">
        <f t="shared" si="98"/>
        <v>0</v>
      </c>
      <c r="O237" s="36">
        <v>21.82</v>
      </c>
      <c r="P237" s="51">
        <f>Arbeitszimmer!$B$3</f>
        <v>0.27320378419841473</v>
      </c>
      <c r="Q237" s="27">
        <v>20</v>
      </c>
      <c r="R237" s="31">
        <f t="shared" si="108"/>
        <v>4.3639999999999999</v>
      </c>
      <c r="S237" s="31">
        <f t="shared" si="109"/>
        <v>1.1922613142418819</v>
      </c>
      <c r="T237" s="33">
        <f t="shared" si="110"/>
        <v>5.96130657120941</v>
      </c>
      <c r="U237" s="29">
        <f t="shared" si="111"/>
        <v>26.184000000000001</v>
      </c>
      <c r="V237" s="29">
        <f t="shared" si="112"/>
        <v>7.1535678854512916</v>
      </c>
      <c r="W237" s="35">
        <f t="shared" si="79"/>
        <v>43054</v>
      </c>
      <c r="X237" s="35">
        <v>43047</v>
      </c>
      <c r="Z237" s="58">
        <f t="shared" si="107"/>
        <v>5.96130657120941</v>
      </c>
      <c r="AA237" s="31">
        <f t="shared" si="113"/>
        <v>0</v>
      </c>
      <c r="AB237" t="b">
        <f t="shared" si="114"/>
        <v>0</v>
      </c>
      <c r="AC237" t="b">
        <f t="shared" si="106"/>
        <v>0</v>
      </c>
    </row>
    <row r="238" spans="1:29" x14ac:dyDescent="0.25">
      <c r="A238">
        <v>237</v>
      </c>
      <c r="D238" s="9" t="s">
        <v>525</v>
      </c>
      <c r="E238" s="1">
        <v>42990</v>
      </c>
      <c r="F238" s="1">
        <v>43031</v>
      </c>
      <c r="G238" s="1" t="str">
        <f t="shared" si="89"/>
        <v>nic.at GmbH, Jakob-Haringer-Strasse 8, 5020 Salzburg, Austria: Domain: energiebalance-lichtherz.at</v>
      </c>
      <c r="H238" t="s">
        <v>103</v>
      </c>
      <c r="J238" t="s">
        <v>104</v>
      </c>
      <c r="N238" t="b">
        <f t="shared" si="98"/>
        <v>0</v>
      </c>
      <c r="O238" s="36">
        <v>29.1</v>
      </c>
      <c r="P238" s="51">
        <v>1</v>
      </c>
      <c r="Q238" s="27">
        <v>20</v>
      </c>
      <c r="R238" s="31">
        <f t="shared" si="108"/>
        <v>5.82</v>
      </c>
      <c r="S238" s="31">
        <f t="shared" si="109"/>
        <v>5.82</v>
      </c>
      <c r="T238" s="33">
        <f t="shared" si="110"/>
        <v>29.1</v>
      </c>
      <c r="U238" s="29">
        <f t="shared" si="111"/>
        <v>34.92</v>
      </c>
      <c r="V238" s="29">
        <f t="shared" si="112"/>
        <v>34.92</v>
      </c>
      <c r="W238" s="35">
        <f t="shared" si="79"/>
        <v>43146</v>
      </c>
      <c r="X238" s="35">
        <v>43134</v>
      </c>
      <c r="Z238" s="58">
        <f t="shared" si="107"/>
        <v>29.1</v>
      </c>
      <c r="AA238" s="31">
        <f t="shared" si="113"/>
        <v>0</v>
      </c>
      <c r="AB238" t="b">
        <f t="shared" si="114"/>
        <v>0</v>
      </c>
      <c r="AC238" t="b">
        <f t="shared" si="106"/>
        <v>0</v>
      </c>
    </row>
    <row r="239" spans="1:29" x14ac:dyDescent="0.25">
      <c r="A239">
        <v>238</v>
      </c>
      <c r="D239" s="9" t="s">
        <v>463</v>
      </c>
      <c r="E239" s="1">
        <v>42736</v>
      </c>
      <c r="F239" s="1">
        <v>43003</v>
      </c>
      <c r="G239" s="1" t="str">
        <f t="shared" si="89"/>
        <v>PREMIUM Laudongasse 58 GmbH &amp; Co KG: Dauerrechnung 2017-D-9</v>
      </c>
      <c r="H239" t="s">
        <v>462</v>
      </c>
      <c r="I239" t="s">
        <v>174</v>
      </c>
      <c r="J239" t="s">
        <v>517</v>
      </c>
      <c r="N239" t="b">
        <f t="shared" si="98"/>
        <v>0</v>
      </c>
      <c r="O239" s="36">
        <v>801.77</v>
      </c>
      <c r="P239" s="51">
        <f>Arbeitszimmer!$B$3</f>
        <v>0.27320378419841473</v>
      </c>
      <c r="Q239" s="27">
        <v>10</v>
      </c>
      <c r="R239" s="31">
        <f t="shared" si="108"/>
        <v>80.176999999999992</v>
      </c>
      <c r="S239" s="31">
        <f t="shared" si="109"/>
        <v>21.904659805676296</v>
      </c>
      <c r="T239" s="33">
        <f t="shared" si="110"/>
        <v>219.04659805676297</v>
      </c>
      <c r="U239" s="29">
        <f t="shared" si="111"/>
        <v>881.947</v>
      </c>
      <c r="V239" s="29">
        <f t="shared" si="112"/>
        <v>240.95125786243926</v>
      </c>
      <c r="W239" s="35">
        <f t="shared" si="79"/>
        <v>43054</v>
      </c>
      <c r="X239" s="35">
        <v>43047</v>
      </c>
      <c r="Z239" s="58">
        <f t="shared" si="107"/>
        <v>219.04659805676297</v>
      </c>
      <c r="AA239" s="31">
        <f t="shared" si="113"/>
        <v>0</v>
      </c>
      <c r="AB239" t="b">
        <f t="shared" si="114"/>
        <v>0</v>
      </c>
      <c r="AC239" t="b">
        <f t="shared" si="106"/>
        <v>0</v>
      </c>
    </row>
    <row r="240" spans="1:29" x14ac:dyDescent="0.25">
      <c r="A240">
        <v>239</v>
      </c>
      <c r="D240" s="9" t="s">
        <v>527</v>
      </c>
      <c r="E240" s="1">
        <v>43004</v>
      </c>
      <c r="F240" s="1">
        <v>43013</v>
      </c>
      <c r="G240" s="1" t="str">
        <f t="shared" si="89"/>
        <v xml:space="preserve">Hutchison Drei Austria GmbH, Brünner Straße 52, 1210 Wien, Österreich: </v>
      </c>
      <c r="H240" t="s">
        <v>34</v>
      </c>
      <c r="N240" t="b">
        <f t="shared" si="98"/>
        <v>0</v>
      </c>
      <c r="O240" s="36">
        <v>15</v>
      </c>
      <c r="P240" s="51">
        <v>1</v>
      </c>
      <c r="Q240" s="27">
        <v>20</v>
      </c>
      <c r="R240" s="31">
        <f t="shared" si="108"/>
        <v>3</v>
      </c>
      <c r="S240" s="31">
        <f t="shared" si="109"/>
        <v>3</v>
      </c>
      <c r="T240" s="33">
        <f t="shared" si="110"/>
        <v>15</v>
      </c>
      <c r="U240" s="29">
        <f t="shared" si="111"/>
        <v>18</v>
      </c>
      <c r="V240" s="29">
        <f t="shared" si="112"/>
        <v>18</v>
      </c>
      <c r="W240" s="35">
        <f t="shared" si="79"/>
        <v>43146</v>
      </c>
      <c r="X240" s="35">
        <v>43134</v>
      </c>
      <c r="Z240" s="58">
        <f t="shared" si="107"/>
        <v>15</v>
      </c>
      <c r="AA240" s="31">
        <f t="shared" si="113"/>
        <v>0</v>
      </c>
      <c r="AB240" t="b">
        <f t="shared" si="114"/>
        <v>0</v>
      </c>
      <c r="AC240" t="b">
        <f t="shared" si="106"/>
        <v>0</v>
      </c>
    </row>
    <row r="241" spans="1:30" x14ac:dyDescent="0.25">
      <c r="A241">
        <v>240</v>
      </c>
      <c r="D241" s="9" t="s">
        <v>529</v>
      </c>
      <c r="E241" s="1">
        <v>43009</v>
      </c>
      <c r="F241" s="1">
        <v>43024</v>
      </c>
      <c r="G241" s="1" t="str">
        <f t="shared" si="89"/>
        <v>MONTANA Energie-Handel AT GmbH: Teilzahlungsbetrag Gas</v>
      </c>
      <c r="H241" t="s">
        <v>58</v>
      </c>
      <c r="J241" t="s">
        <v>401</v>
      </c>
      <c r="N241" t="b">
        <f t="shared" si="98"/>
        <v>0</v>
      </c>
      <c r="O241" s="36">
        <v>80</v>
      </c>
      <c r="P241" s="51">
        <f>Arbeitszimmer!$B$3</f>
        <v>0.27320378419841473</v>
      </c>
      <c r="Q241" s="27">
        <v>20</v>
      </c>
      <c r="R241" s="31">
        <f t="shared" si="108"/>
        <v>16</v>
      </c>
      <c r="S241" s="31">
        <f t="shared" si="109"/>
        <v>4.3712605471746357</v>
      </c>
      <c r="T241" s="33">
        <f t="shared" si="110"/>
        <v>21.856302735873179</v>
      </c>
      <c r="U241" s="29">
        <f t="shared" si="111"/>
        <v>96</v>
      </c>
      <c r="V241" s="29">
        <f t="shared" si="112"/>
        <v>26.227563283047814</v>
      </c>
      <c r="W241" s="35">
        <f t="shared" si="79"/>
        <v>43146</v>
      </c>
      <c r="X241" s="35">
        <v>43134</v>
      </c>
      <c r="Z241" s="58">
        <f t="shared" si="107"/>
        <v>21.856302735873179</v>
      </c>
      <c r="AA241" s="31">
        <f t="shared" si="113"/>
        <v>0</v>
      </c>
      <c r="AB241" t="b">
        <f t="shared" si="114"/>
        <v>0</v>
      </c>
      <c r="AC241" t="b">
        <f t="shared" si="106"/>
        <v>0</v>
      </c>
    </row>
    <row r="242" spans="1:30" x14ac:dyDescent="0.25">
      <c r="A242">
        <v>241</v>
      </c>
      <c r="D242" s="9" t="s">
        <v>528</v>
      </c>
      <c r="E242" s="1">
        <v>43009</v>
      </c>
      <c r="F242" s="1">
        <v>43024</v>
      </c>
      <c r="G242" s="1" t="str">
        <f t="shared" si="89"/>
        <v>VERBUND AG, Postfach 8400, 1011 Wien, Österreich: Teilzahlungsvorschreibung</v>
      </c>
      <c r="H242" t="s">
        <v>57</v>
      </c>
      <c r="I242" t="s">
        <v>499</v>
      </c>
      <c r="J242" t="s">
        <v>502</v>
      </c>
      <c r="N242" t="b">
        <f t="shared" si="98"/>
        <v>0</v>
      </c>
      <c r="O242" s="36">
        <v>151.66999999999999</v>
      </c>
      <c r="P242" s="51">
        <f>Arbeitszimmer!$B$3</f>
        <v>0.27320378419841473</v>
      </c>
      <c r="Q242" s="27">
        <v>20</v>
      </c>
      <c r="R242" s="31">
        <f t="shared" si="108"/>
        <v>30.333999999999996</v>
      </c>
      <c r="S242" s="31">
        <f t="shared" si="109"/>
        <v>8.2873635898747118</v>
      </c>
      <c r="T242" s="33">
        <f t="shared" si="110"/>
        <v>41.436817949373562</v>
      </c>
      <c r="U242" s="29">
        <f t="shared" si="111"/>
        <v>182.00399999999999</v>
      </c>
      <c r="V242" s="29">
        <f t="shared" si="112"/>
        <v>49.724181539248278</v>
      </c>
      <c r="W242" s="35">
        <f t="shared" si="79"/>
        <v>43146</v>
      </c>
      <c r="X242" s="35">
        <v>43134</v>
      </c>
      <c r="Z242" s="58">
        <f t="shared" si="107"/>
        <v>41.436817949373562</v>
      </c>
      <c r="AA242" s="31">
        <f t="shared" si="113"/>
        <v>0</v>
      </c>
      <c r="AB242" t="b">
        <f t="shared" si="114"/>
        <v>0</v>
      </c>
      <c r="AC242" t="b">
        <f t="shared" si="106"/>
        <v>0</v>
      </c>
    </row>
    <row r="243" spans="1:30" x14ac:dyDescent="0.25">
      <c r="A243">
        <v>242</v>
      </c>
      <c r="D243" s="9" t="s">
        <v>463</v>
      </c>
      <c r="E243" s="1">
        <v>42736</v>
      </c>
      <c r="F243" s="1">
        <v>43033</v>
      </c>
      <c r="G243" s="1" t="str">
        <f t="shared" si="89"/>
        <v>PREMIUM Laudongasse 58 GmbH &amp; Co KG: Dauerrechnung 2017-D-9</v>
      </c>
      <c r="H243" t="s">
        <v>462</v>
      </c>
      <c r="I243" t="s">
        <v>174</v>
      </c>
      <c r="J243" t="s">
        <v>517</v>
      </c>
      <c r="N243" t="b">
        <f t="shared" si="98"/>
        <v>0</v>
      </c>
      <c r="O243" s="36">
        <v>801.77</v>
      </c>
      <c r="P243" s="51">
        <f>Arbeitszimmer!$B$3</f>
        <v>0.27320378419841473</v>
      </c>
      <c r="Q243" s="27">
        <v>10</v>
      </c>
      <c r="R243" s="31">
        <f t="shared" si="108"/>
        <v>80.176999999999992</v>
      </c>
      <c r="S243" s="31">
        <f t="shared" si="109"/>
        <v>21.904659805676296</v>
      </c>
      <c r="T243" s="33">
        <f t="shared" si="110"/>
        <v>219.04659805676297</v>
      </c>
      <c r="U243" s="29">
        <f t="shared" si="111"/>
        <v>881.947</v>
      </c>
      <c r="V243" s="29">
        <f t="shared" si="112"/>
        <v>240.95125786243926</v>
      </c>
      <c r="W243" s="35">
        <f t="shared" si="79"/>
        <v>43146</v>
      </c>
      <c r="X243" s="35">
        <v>43134</v>
      </c>
      <c r="Z243" s="58">
        <f t="shared" si="107"/>
        <v>219.04659805676297</v>
      </c>
      <c r="AA243" s="31">
        <f t="shared" si="113"/>
        <v>0</v>
      </c>
      <c r="AB243" t="b">
        <f t="shared" si="114"/>
        <v>0</v>
      </c>
      <c r="AC243" t="b">
        <f t="shared" si="106"/>
        <v>0</v>
      </c>
      <c r="AD243" s="38">
        <f>T243*12</f>
        <v>2628.5591766811558</v>
      </c>
    </row>
    <row r="244" spans="1:30" x14ac:dyDescent="0.25">
      <c r="A244">
        <v>243</v>
      </c>
      <c r="D244" s="9" t="s">
        <v>531</v>
      </c>
      <c r="E244" s="1">
        <v>43024</v>
      </c>
      <c r="F244" s="1">
        <v>43026</v>
      </c>
      <c r="G244" s="1" t="str">
        <f t="shared" si="89"/>
        <v>easyname GmbH, Fernkorngasse 10/3/501, 1110 Wien: via VISA MJ: Domain: stokol.at</v>
      </c>
      <c r="H244" t="s">
        <v>33</v>
      </c>
      <c r="I244" t="s">
        <v>187</v>
      </c>
      <c r="J244" t="s">
        <v>530</v>
      </c>
      <c r="N244" t="b">
        <f t="shared" si="98"/>
        <v>0</v>
      </c>
      <c r="O244" s="36">
        <v>12.42</v>
      </c>
      <c r="P244" s="51">
        <v>1</v>
      </c>
      <c r="Q244" s="27">
        <v>20</v>
      </c>
      <c r="R244" s="31">
        <f t="shared" si="108"/>
        <v>2.484</v>
      </c>
      <c r="S244" s="31">
        <f t="shared" si="109"/>
        <v>2.484</v>
      </c>
      <c r="T244" s="33">
        <f t="shared" si="110"/>
        <v>12.42</v>
      </c>
      <c r="U244" s="29">
        <f t="shared" si="111"/>
        <v>14.904</v>
      </c>
      <c r="V244" s="29">
        <f t="shared" si="112"/>
        <v>14.904</v>
      </c>
      <c r="W244" s="35">
        <f t="shared" si="79"/>
        <v>43146</v>
      </c>
      <c r="X244" s="35">
        <v>43134</v>
      </c>
      <c r="Z244" s="58">
        <f t="shared" si="107"/>
        <v>12.42</v>
      </c>
      <c r="AA244" s="31">
        <f t="shared" si="113"/>
        <v>0</v>
      </c>
      <c r="AB244" t="b">
        <f t="shared" si="114"/>
        <v>0</v>
      </c>
      <c r="AC244" t="b">
        <f t="shared" si="106"/>
        <v>0</v>
      </c>
    </row>
    <row r="245" spans="1:30" x14ac:dyDescent="0.25">
      <c r="A245">
        <v>244</v>
      </c>
      <c r="D245" s="6">
        <v>6144051313</v>
      </c>
      <c r="E245" s="1">
        <v>43032</v>
      </c>
      <c r="F245" s="1">
        <v>43045</v>
      </c>
      <c r="G245" s="1" t="str">
        <f t="shared" si="89"/>
        <v xml:space="preserve">Hutchison Drei Austria GmbH, Brünner Straße 52, 1210 Wien, Österreich: </v>
      </c>
      <c r="H245" t="s">
        <v>34</v>
      </c>
      <c r="N245" t="b">
        <f t="shared" si="98"/>
        <v>0</v>
      </c>
      <c r="O245" s="36">
        <v>15</v>
      </c>
      <c r="P245" s="51">
        <v>1</v>
      </c>
      <c r="Q245" s="27">
        <v>20</v>
      </c>
      <c r="R245" s="31">
        <f t="shared" si="108"/>
        <v>3</v>
      </c>
      <c r="S245" s="31">
        <f t="shared" si="109"/>
        <v>3</v>
      </c>
      <c r="T245" s="33">
        <f t="shared" si="110"/>
        <v>15</v>
      </c>
      <c r="U245" s="29">
        <f t="shared" si="111"/>
        <v>18</v>
      </c>
      <c r="V245" s="29">
        <f t="shared" si="112"/>
        <v>18</v>
      </c>
      <c r="W245" s="35">
        <f t="shared" si="79"/>
        <v>43146</v>
      </c>
      <c r="X245" s="35">
        <v>43134</v>
      </c>
      <c r="Z245" s="58">
        <f t="shared" si="107"/>
        <v>15</v>
      </c>
      <c r="AA245" s="31">
        <f t="shared" si="113"/>
        <v>0</v>
      </c>
      <c r="AB245" t="b">
        <f t="shared" si="114"/>
        <v>0</v>
      </c>
      <c r="AC245" t="b">
        <f t="shared" si="106"/>
        <v>0</v>
      </c>
    </row>
    <row r="246" spans="1:30" x14ac:dyDescent="0.25">
      <c r="A246">
        <v>245</v>
      </c>
      <c r="D246" s="9" t="s">
        <v>535</v>
      </c>
      <c r="E246" s="1">
        <v>43028</v>
      </c>
      <c r="F246" s="1">
        <v>43054</v>
      </c>
      <c r="G246" s="1" t="str">
        <f t="shared" si="89"/>
        <v>Mag. Barbara Hube, Huber Unternehmensberatung, 1210, Mühlschüttelgasse 59/2/9: UB gefördert Art.Nr. 23</v>
      </c>
      <c r="H246" t="s">
        <v>532</v>
      </c>
      <c r="I246" t="s">
        <v>533</v>
      </c>
      <c r="J246" t="s">
        <v>534</v>
      </c>
      <c r="N246" t="b">
        <f t="shared" si="98"/>
        <v>0</v>
      </c>
      <c r="O246" s="36">
        <f>936/1.2</f>
        <v>780</v>
      </c>
      <c r="P246" s="51">
        <v>1</v>
      </c>
      <c r="Q246" s="27">
        <v>20</v>
      </c>
      <c r="R246" s="31">
        <f>Q246%*O246</f>
        <v>156</v>
      </c>
      <c r="S246" s="31">
        <f t="shared" si="109"/>
        <v>156</v>
      </c>
      <c r="T246" s="33">
        <f t="shared" si="110"/>
        <v>780</v>
      </c>
      <c r="U246" s="29">
        <f t="shared" si="111"/>
        <v>936</v>
      </c>
      <c r="V246" s="29">
        <f t="shared" si="112"/>
        <v>936</v>
      </c>
      <c r="W246" s="35">
        <f t="shared" ref="W246:W309" si="115">voranmeldefrist_vierteljaehrlich(F246)</f>
        <v>43146</v>
      </c>
      <c r="X246" s="35">
        <v>43134</v>
      </c>
      <c r="Z246" s="58">
        <f t="shared" si="107"/>
        <v>780</v>
      </c>
      <c r="AA246" s="31">
        <f t="shared" si="113"/>
        <v>0</v>
      </c>
      <c r="AB246" t="b">
        <f t="shared" si="114"/>
        <v>0</v>
      </c>
      <c r="AC246" t="b">
        <f t="shared" si="106"/>
        <v>0</v>
      </c>
    </row>
    <row r="247" spans="1:30" x14ac:dyDescent="0.25">
      <c r="A247">
        <v>245</v>
      </c>
      <c r="D247" s="9" t="s">
        <v>535</v>
      </c>
      <c r="E247" s="1"/>
      <c r="F247" s="1">
        <v>43054</v>
      </c>
      <c r="G247" s="1" t="s">
        <v>854</v>
      </c>
      <c r="N247" t="b">
        <f t="shared" si="98"/>
        <v>0</v>
      </c>
      <c r="O247" s="36">
        <v>-585</v>
      </c>
      <c r="P247" s="51">
        <v>1</v>
      </c>
      <c r="Q247" s="27">
        <v>0</v>
      </c>
      <c r="R247" s="31">
        <f>Q247%*O247</f>
        <v>0</v>
      </c>
      <c r="S247" s="31">
        <f t="shared" si="109"/>
        <v>0</v>
      </c>
      <c r="T247" s="33">
        <f t="shared" si="110"/>
        <v>-585</v>
      </c>
      <c r="U247" s="29">
        <f t="shared" si="111"/>
        <v>-585</v>
      </c>
      <c r="V247" s="29">
        <f t="shared" si="112"/>
        <v>-585</v>
      </c>
      <c r="W247" s="35">
        <f t="shared" si="115"/>
        <v>43146</v>
      </c>
      <c r="X247" s="35">
        <v>43134</v>
      </c>
      <c r="Z247" s="58">
        <f>IF(N247=TRUE,T247/K247,T247)</f>
        <v>-585</v>
      </c>
      <c r="AA247" s="31">
        <f t="shared" si="113"/>
        <v>0</v>
      </c>
      <c r="AB247" t="b">
        <f t="shared" si="114"/>
        <v>0</v>
      </c>
      <c r="AC247" t="b">
        <f t="shared" si="106"/>
        <v>0</v>
      </c>
    </row>
    <row r="248" spans="1:30" x14ac:dyDescent="0.25">
      <c r="A248">
        <v>246</v>
      </c>
      <c r="D248" s="9" t="s">
        <v>543</v>
      </c>
      <c r="E248" s="1">
        <v>43040</v>
      </c>
      <c r="F248" s="1">
        <v>43054</v>
      </c>
      <c r="G248" s="1" t="str">
        <f t="shared" si="89"/>
        <v>MONTANA Energie-Handel AT GmbH: Teilzahlungsbetrag Gas</v>
      </c>
      <c r="H248" t="s">
        <v>58</v>
      </c>
      <c r="J248" t="s">
        <v>401</v>
      </c>
      <c r="N248" t="b">
        <f t="shared" si="98"/>
        <v>0</v>
      </c>
      <c r="O248" s="36">
        <v>115.1</v>
      </c>
      <c r="P248" s="51">
        <f>Arbeitszimmer!$B$3</f>
        <v>0.27320378419841473</v>
      </c>
      <c r="Q248" s="27">
        <v>20</v>
      </c>
      <c r="R248" s="31">
        <f>O248*Q248/100</f>
        <v>23.02</v>
      </c>
      <c r="S248" s="31">
        <f t="shared" si="109"/>
        <v>6.2891511122475068</v>
      </c>
      <c r="T248" s="33">
        <f t="shared" si="110"/>
        <v>31.445755561237533</v>
      </c>
      <c r="U248" s="29">
        <f t="shared" si="111"/>
        <v>138.12</v>
      </c>
      <c r="V248" s="29">
        <f t="shared" si="112"/>
        <v>37.734906673485042</v>
      </c>
      <c r="W248" s="35">
        <f t="shared" si="115"/>
        <v>43146</v>
      </c>
      <c r="X248" s="35">
        <v>43134</v>
      </c>
      <c r="Z248" s="58">
        <f t="shared" si="107"/>
        <v>31.445755561237533</v>
      </c>
      <c r="AA248" s="31">
        <f t="shared" si="113"/>
        <v>0</v>
      </c>
      <c r="AB248" t="b">
        <f t="shared" si="114"/>
        <v>0</v>
      </c>
      <c r="AC248" t="b">
        <f t="shared" si="106"/>
        <v>0</v>
      </c>
    </row>
    <row r="249" spans="1:30" x14ac:dyDescent="0.25">
      <c r="A249">
        <v>247</v>
      </c>
      <c r="D249" s="9" t="s">
        <v>538</v>
      </c>
      <c r="E249" s="1">
        <v>43056</v>
      </c>
      <c r="F249" s="1">
        <v>43055</v>
      </c>
      <c r="G249" s="1" t="str">
        <f t="shared" si="89"/>
        <v>Lemon Technologies GmbH: Dock, 8GB RAM, ThinkServer TS-150</v>
      </c>
      <c r="H249" t="s">
        <v>537</v>
      </c>
      <c r="I249" t="s">
        <v>550</v>
      </c>
      <c r="J249" t="s">
        <v>539</v>
      </c>
      <c r="M249" s="36" t="s">
        <v>540</v>
      </c>
      <c r="N249" t="b">
        <v>0</v>
      </c>
      <c r="O249" s="36">
        <v>828.44</v>
      </c>
      <c r="P249" s="51">
        <v>1</v>
      </c>
      <c r="Q249" s="27">
        <v>20</v>
      </c>
      <c r="R249" s="31">
        <f t="shared" ref="R249:R266" si="116">O249*Q249/100</f>
        <v>165.68800000000002</v>
      </c>
      <c r="S249" s="31">
        <f t="shared" ref="S249:S266" si="117">P249*R249</f>
        <v>165.68800000000002</v>
      </c>
      <c r="T249" s="33">
        <f t="shared" ref="T249:T266" si="118">O249*P249</f>
        <v>828.44</v>
      </c>
      <c r="U249" s="29">
        <f t="shared" ref="U249:U266" si="119">O249+R249</f>
        <v>994.12800000000004</v>
      </c>
      <c r="V249" s="29">
        <f t="shared" ref="V249:V266" si="120">T249+S249</f>
        <v>994.12800000000004</v>
      </c>
      <c r="W249" s="35">
        <f t="shared" si="115"/>
        <v>43146</v>
      </c>
      <c r="X249" s="35">
        <v>43134</v>
      </c>
      <c r="Z249" s="58">
        <f t="shared" ref="Z249:Z281" si="121">IF(N249=TRUE,T249/M249,T249)</f>
        <v>828.44</v>
      </c>
      <c r="AA249" s="31">
        <f t="shared" ref="AA249:AA270" si="122">Y249/100*V249</f>
        <v>0</v>
      </c>
      <c r="AB249" t="b">
        <f t="shared" ref="AB249:AB268" si="123">IF(AND(Y249&gt;0,Q249=Y249),TRUE,FALSE)</f>
        <v>0</v>
      </c>
      <c r="AC249" t="b">
        <f t="shared" si="106"/>
        <v>0</v>
      </c>
    </row>
    <row r="250" spans="1:30" x14ac:dyDescent="0.25">
      <c r="A250">
        <v>248</v>
      </c>
      <c r="D250" s="9" t="s">
        <v>541</v>
      </c>
      <c r="E250" s="1">
        <v>43053</v>
      </c>
      <c r="F250" s="1">
        <v>43056</v>
      </c>
      <c r="G250" s="1" t="str">
        <f t="shared" si="89"/>
        <v>Amazon EU Sàrl, 5 Rue Plaetis, L-2338, Luxemburg: LG 27BK550Y-B</v>
      </c>
      <c r="H250" t="s">
        <v>72</v>
      </c>
      <c r="I250" t="s">
        <v>157</v>
      </c>
      <c r="J250" t="s">
        <v>542</v>
      </c>
      <c r="M250" s="36" t="s">
        <v>540</v>
      </c>
      <c r="N250" t="b">
        <v>0</v>
      </c>
      <c r="O250" s="36">
        <v>208.25</v>
      </c>
      <c r="P250" s="51">
        <v>1</v>
      </c>
      <c r="Q250" s="27">
        <v>20</v>
      </c>
      <c r="R250" s="31">
        <f t="shared" si="116"/>
        <v>41.65</v>
      </c>
      <c r="S250" s="31">
        <f t="shared" si="117"/>
        <v>41.65</v>
      </c>
      <c r="T250" s="33">
        <f t="shared" si="118"/>
        <v>208.25</v>
      </c>
      <c r="U250" s="29">
        <f t="shared" si="119"/>
        <v>249.9</v>
      </c>
      <c r="V250" s="29">
        <f t="shared" si="120"/>
        <v>249.9</v>
      </c>
      <c r="W250" s="35">
        <f t="shared" si="115"/>
        <v>43146</v>
      </c>
      <c r="X250" s="35">
        <v>43134</v>
      </c>
      <c r="Z250" s="58">
        <f t="shared" si="121"/>
        <v>208.25</v>
      </c>
      <c r="AA250" s="31">
        <f t="shared" si="122"/>
        <v>0</v>
      </c>
      <c r="AB250" t="b">
        <f t="shared" si="123"/>
        <v>0</v>
      </c>
      <c r="AC250" t="b">
        <f t="shared" si="106"/>
        <v>0</v>
      </c>
    </row>
    <row r="251" spans="1:30" x14ac:dyDescent="0.25">
      <c r="A251">
        <v>249</v>
      </c>
      <c r="D251" s="9" t="s">
        <v>544</v>
      </c>
      <c r="E251" s="1">
        <v>43053</v>
      </c>
      <c r="F251" s="1">
        <v>43056</v>
      </c>
      <c r="G251" s="1" t="str">
        <f t="shared" si="89"/>
        <v>Amazon EU Sàrl, 5 Rue Plaetis, L-2338, Luxemburg: LG 27BK550Y-B</v>
      </c>
      <c r="H251" t="s">
        <v>72</v>
      </c>
      <c r="I251" t="s">
        <v>157</v>
      </c>
      <c r="J251" t="s">
        <v>542</v>
      </c>
      <c r="M251" s="36" t="s">
        <v>540</v>
      </c>
      <c r="N251" t="b">
        <v>0</v>
      </c>
      <c r="O251" s="36">
        <v>208.25</v>
      </c>
      <c r="P251" s="51">
        <v>1</v>
      </c>
      <c r="Q251" s="27">
        <v>20</v>
      </c>
      <c r="R251" s="31">
        <f t="shared" si="116"/>
        <v>41.65</v>
      </c>
      <c r="S251" s="31">
        <f t="shared" si="117"/>
        <v>41.65</v>
      </c>
      <c r="T251" s="33">
        <f t="shared" si="118"/>
        <v>208.25</v>
      </c>
      <c r="U251" s="29">
        <f t="shared" si="119"/>
        <v>249.9</v>
      </c>
      <c r="V251" s="29">
        <f t="shared" si="120"/>
        <v>249.9</v>
      </c>
      <c r="W251" s="35">
        <f t="shared" si="115"/>
        <v>43146</v>
      </c>
      <c r="X251" s="35">
        <v>43134</v>
      </c>
      <c r="Z251" s="58">
        <f t="shared" si="121"/>
        <v>208.25</v>
      </c>
      <c r="AA251" s="31">
        <f t="shared" si="122"/>
        <v>0</v>
      </c>
      <c r="AB251" t="b">
        <f t="shared" si="123"/>
        <v>0</v>
      </c>
      <c r="AC251" t="b">
        <f t="shared" si="106"/>
        <v>0</v>
      </c>
    </row>
    <row r="252" spans="1:30" x14ac:dyDescent="0.25">
      <c r="A252">
        <v>250</v>
      </c>
      <c r="D252" s="9" t="s">
        <v>545</v>
      </c>
      <c r="E252" s="1">
        <v>43054</v>
      </c>
      <c r="F252" s="1">
        <v>43056</v>
      </c>
      <c r="G252" s="1" t="str">
        <f t="shared" si="89"/>
        <v>Amazon EU Sàrl, 5 Rue Plaetis, L-2338, Luxemburg: Switch, AP</v>
      </c>
      <c r="H252" t="s">
        <v>72</v>
      </c>
      <c r="I252" t="s">
        <v>157</v>
      </c>
      <c r="J252" t="s">
        <v>546</v>
      </c>
      <c r="M252" s="36" t="s">
        <v>540</v>
      </c>
      <c r="N252" t="b">
        <v>0</v>
      </c>
      <c r="O252" s="36">
        <v>229.06</v>
      </c>
      <c r="P252" s="51">
        <v>1</v>
      </c>
      <c r="Q252" s="27">
        <v>20</v>
      </c>
      <c r="R252" s="31">
        <f t="shared" si="116"/>
        <v>45.811999999999998</v>
      </c>
      <c r="S252" s="31">
        <f t="shared" si="117"/>
        <v>45.811999999999998</v>
      </c>
      <c r="T252" s="33">
        <f t="shared" si="118"/>
        <v>229.06</v>
      </c>
      <c r="U252" s="29">
        <f t="shared" si="119"/>
        <v>274.87200000000001</v>
      </c>
      <c r="V252" s="29">
        <f t="shared" si="120"/>
        <v>274.87200000000001</v>
      </c>
      <c r="W252" s="35">
        <f t="shared" si="115"/>
        <v>43146</v>
      </c>
      <c r="X252" s="35">
        <v>43134</v>
      </c>
      <c r="Z252" s="58">
        <f t="shared" si="121"/>
        <v>229.06</v>
      </c>
      <c r="AA252" s="31">
        <f t="shared" si="122"/>
        <v>0</v>
      </c>
      <c r="AB252" t="b">
        <f t="shared" si="123"/>
        <v>0</v>
      </c>
      <c r="AC252" t="b">
        <f t="shared" si="106"/>
        <v>0</v>
      </c>
    </row>
    <row r="253" spans="1:30" x14ac:dyDescent="0.25">
      <c r="A253">
        <v>251</v>
      </c>
      <c r="D253" s="9" t="s">
        <v>547</v>
      </c>
      <c r="E253" s="1">
        <v>43053</v>
      </c>
      <c r="F253" s="1">
        <v>43059</v>
      </c>
      <c r="G253" s="1" t="str">
        <f t="shared" si="89"/>
        <v>Amazon EU Sàrl, 5 Rue Plaetis, L-2338, Luxemburg: LG 27BK550Y-B</v>
      </c>
      <c r="H253" t="s">
        <v>72</v>
      </c>
      <c r="I253" t="s">
        <v>157</v>
      </c>
      <c r="J253" t="s">
        <v>542</v>
      </c>
      <c r="M253" s="36" t="s">
        <v>540</v>
      </c>
      <c r="N253" t="b">
        <v>0</v>
      </c>
      <c r="O253" s="36">
        <v>208.25</v>
      </c>
      <c r="P253" s="51">
        <v>1</v>
      </c>
      <c r="Q253" s="27">
        <v>20</v>
      </c>
      <c r="R253" s="31">
        <f t="shared" si="116"/>
        <v>41.65</v>
      </c>
      <c r="S253" s="31">
        <f t="shared" si="117"/>
        <v>41.65</v>
      </c>
      <c r="T253" s="33">
        <f t="shared" si="118"/>
        <v>208.25</v>
      </c>
      <c r="U253" s="29">
        <f t="shared" si="119"/>
        <v>249.9</v>
      </c>
      <c r="V253" s="29">
        <f t="shared" si="120"/>
        <v>249.9</v>
      </c>
      <c r="W253" s="35">
        <f t="shared" si="115"/>
        <v>43146</v>
      </c>
      <c r="X253" s="35">
        <v>43134</v>
      </c>
      <c r="Z253" s="58">
        <f t="shared" si="121"/>
        <v>208.25</v>
      </c>
      <c r="AA253" s="31">
        <f t="shared" si="122"/>
        <v>0</v>
      </c>
      <c r="AB253" t="b">
        <f t="shared" si="123"/>
        <v>0</v>
      </c>
      <c r="AC253" t="b">
        <f t="shared" si="106"/>
        <v>0</v>
      </c>
    </row>
    <row r="254" spans="1:30" x14ac:dyDescent="0.25">
      <c r="A254">
        <v>252</v>
      </c>
      <c r="D254" s="9" t="s">
        <v>548</v>
      </c>
      <c r="E254" s="1">
        <v>43053</v>
      </c>
      <c r="F254" s="1">
        <v>43059</v>
      </c>
      <c r="G254" s="1" t="str">
        <f t="shared" si="89"/>
        <v>Amazon EU Sàrl, 5 Rue Plaetis, L-2338, Luxemburg: Lenovo ideacentre Y700</v>
      </c>
      <c r="H254" t="s">
        <v>72</v>
      </c>
      <c r="I254" t="s">
        <v>157</v>
      </c>
      <c r="J254" t="s">
        <v>549</v>
      </c>
      <c r="M254" s="36" t="s">
        <v>540</v>
      </c>
      <c r="N254" t="b">
        <v>0</v>
      </c>
      <c r="O254" s="36">
        <v>1511.77</v>
      </c>
      <c r="P254" s="51">
        <v>1</v>
      </c>
      <c r="Q254" s="27">
        <v>20</v>
      </c>
      <c r="R254" s="31">
        <f t="shared" si="116"/>
        <v>302.35400000000004</v>
      </c>
      <c r="S254" s="31">
        <f t="shared" si="117"/>
        <v>302.35400000000004</v>
      </c>
      <c r="T254" s="33">
        <f t="shared" si="118"/>
        <v>1511.77</v>
      </c>
      <c r="U254" s="29">
        <f t="shared" si="119"/>
        <v>1814.124</v>
      </c>
      <c r="V254" s="29">
        <f t="shared" si="120"/>
        <v>1814.124</v>
      </c>
      <c r="W254" s="35">
        <f t="shared" si="115"/>
        <v>43146</v>
      </c>
      <c r="X254" s="35">
        <v>43134</v>
      </c>
      <c r="Z254" s="58">
        <f t="shared" si="121"/>
        <v>1511.77</v>
      </c>
      <c r="AA254" s="31">
        <f t="shared" si="122"/>
        <v>0</v>
      </c>
      <c r="AB254" t="b">
        <f t="shared" si="123"/>
        <v>0</v>
      </c>
      <c r="AC254" t="b">
        <f t="shared" si="106"/>
        <v>0</v>
      </c>
    </row>
    <row r="255" spans="1:30" x14ac:dyDescent="0.25">
      <c r="A255">
        <v>253</v>
      </c>
      <c r="D255" s="9" t="s">
        <v>551</v>
      </c>
      <c r="E255" s="1">
        <v>43056</v>
      </c>
      <c r="F255" s="1">
        <v>43055</v>
      </c>
      <c r="G255" s="1" t="str">
        <f>CONCATENATE(H255,": ",J255)</f>
        <v>Lemon Technologies GmbH: Office, Win16Svr</v>
      </c>
      <c r="H255" t="s">
        <v>537</v>
      </c>
      <c r="I255" t="s">
        <v>550</v>
      </c>
      <c r="J255" t="s">
        <v>552</v>
      </c>
      <c r="M255" s="36" t="s">
        <v>540</v>
      </c>
      <c r="N255" t="b">
        <v>0</v>
      </c>
      <c r="O255" s="36">
        <v>464.31</v>
      </c>
      <c r="P255" s="51">
        <v>1</v>
      </c>
      <c r="Q255" s="27">
        <v>20</v>
      </c>
      <c r="R255" s="31">
        <f t="shared" si="116"/>
        <v>92.862000000000009</v>
      </c>
      <c r="S255" s="31">
        <f t="shared" si="117"/>
        <v>92.862000000000009</v>
      </c>
      <c r="T255" s="33">
        <f t="shared" si="118"/>
        <v>464.31</v>
      </c>
      <c r="U255" s="29">
        <f t="shared" si="119"/>
        <v>557.17200000000003</v>
      </c>
      <c r="V255" s="29">
        <f t="shared" si="120"/>
        <v>557.17200000000003</v>
      </c>
      <c r="W255" s="35">
        <f t="shared" si="115"/>
        <v>43146</v>
      </c>
      <c r="X255" s="35">
        <v>43134</v>
      </c>
      <c r="Z255" s="58">
        <f t="shared" si="121"/>
        <v>464.31</v>
      </c>
      <c r="AA255" s="31">
        <f t="shared" si="122"/>
        <v>0</v>
      </c>
      <c r="AB255" t="b">
        <f t="shared" si="123"/>
        <v>0</v>
      </c>
      <c r="AC255" t="b">
        <f t="shared" si="106"/>
        <v>0</v>
      </c>
    </row>
    <row r="256" spans="1:30" x14ac:dyDescent="0.25">
      <c r="A256">
        <v>254</v>
      </c>
      <c r="D256" s="9" t="s">
        <v>553</v>
      </c>
      <c r="E256" s="1">
        <v>43056</v>
      </c>
      <c r="F256" s="1">
        <v>43059</v>
      </c>
      <c r="G256" s="1" t="str">
        <f t="shared" si="89"/>
        <v>Amazon EU Sàrl, 5 Rue Plaetis, L-2338, Luxemburg: APC Back UPS Pro USV 900VA</v>
      </c>
      <c r="H256" t="s">
        <v>72</v>
      </c>
      <c r="I256" t="s">
        <v>157</v>
      </c>
      <c r="J256" t="s">
        <v>554</v>
      </c>
      <c r="M256" s="36" t="s">
        <v>540</v>
      </c>
      <c r="N256" t="b">
        <v>0</v>
      </c>
      <c r="O256" s="36">
        <v>150.41999999999999</v>
      </c>
      <c r="P256" s="51">
        <v>1</v>
      </c>
      <c r="Q256" s="27">
        <v>20</v>
      </c>
      <c r="R256" s="31">
        <f t="shared" si="116"/>
        <v>30.083999999999996</v>
      </c>
      <c r="S256" s="31">
        <f t="shared" si="117"/>
        <v>30.083999999999996</v>
      </c>
      <c r="T256" s="33">
        <f t="shared" si="118"/>
        <v>150.41999999999999</v>
      </c>
      <c r="U256" s="29">
        <f t="shared" si="119"/>
        <v>180.50399999999999</v>
      </c>
      <c r="V256" s="29">
        <f t="shared" si="120"/>
        <v>180.50399999999999</v>
      </c>
      <c r="W256" s="35">
        <f t="shared" si="115"/>
        <v>43146</v>
      </c>
      <c r="X256" s="35">
        <v>43134</v>
      </c>
      <c r="Z256" s="58">
        <f t="shared" si="121"/>
        <v>150.41999999999999</v>
      </c>
      <c r="AA256" s="31">
        <f t="shared" si="122"/>
        <v>0</v>
      </c>
      <c r="AB256" t="b">
        <f t="shared" si="123"/>
        <v>0</v>
      </c>
      <c r="AC256" t="b">
        <f t="shared" si="106"/>
        <v>0</v>
      </c>
    </row>
    <row r="257" spans="1:29" x14ac:dyDescent="0.25">
      <c r="A257">
        <v>255</v>
      </c>
      <c r="D257" s="9" t="s">
        <v>555</v>
      </c>
      <c r="E257" s="1">
        <v>43052</v>
      </c>
      <c r="F257" s="1">
        <v>43059</v>
      </c>
      <c r="G257" s="1" t="str">
        <f t="shared" si="89"/>
        <v>Amazon EU Sàrl, 5 Rue Plaetis, L-2338, Luxemburg: Acer G246HYLbid 23,8 Zoll</v>
      </c>
      <c r="H257" t="s">
        <v>72</v>
      </c>
      <c r="I257" t="s">
        <v>157</v>
      </c>
      <c r="J257" t="s">
        <v>556</v>
      </c>
      <c r="M257" s="36" t="s">
        <v>540</v>
      </c>
      <c r="N257" t="b">
        <v>0</v>
      </c>
      <c r="O257" s="36">
        <v>108.19</v>
      </c>
      <c r="P257" s="51">
        <v>1</v>
      </c>
      <c r="Q257" s="27">
        <v>20</v>
      </c>
      <c r="R257" s="31">
        <f t="shared" si="116"/>
        <v>21.638000000000002</v>
      </c>
      <c r="S257" s="31">
        <f t="shared" si="117"/>
        <v>21.638000000000002</v>
      </c>
      <c r="T257" s="33">
        <f t="shared" si="118"/>
        <v>108.19</v>
      </c>
      <c r="U257" s="29">
        <f t="shared" si="119"/>
        <v>129.828</v>
      </c>
      <c r="V257" s="29">
        <f t="shared" si="120"/>
        <v>129.828</v>
      </c>
      <c r="W257" s="35">
        <f t="shared" si="115"/>
        <v>43146</v>
      </c>
      <c r="X257" s="35">
        <v>43134</v>
      </c>
      <c r="Z257" s="58">
        <f t="shared" si="121"/>
        <v>108.19</v>
      </c>
      <c r="AA257" s="31">
        <f t="shared" si="122"/>
        <v>0</v>
      </c>
      <c r="AB257" t="b">
        <f t="shared" si="123"/>
        <v>0</v>
      </c>
      <c r="AC257" t="b">
        <f t="shared" si="106"/>
        <v>0</v>
      </c>
    </row>
    <row r="258" spans="1:29" x14ac:dyDescent="0.25">
      <c r="A258">
        <v>256</v>
      </c>
      <c r="D258" s="9" t="s">
        <v>557</v>
      </c>
      <c r="E258" s="1">
        <v>43057</v>
      </c>
      <c r="F258" s="1">
        <v>43059</v>
      </c>
      <c r="G258" s="1" t="str">
        <f t="shared" si="89"/>
        <v>Ganz Einfach GmbH, Wohlenbergstr 16, Hannover, 30179 DE: 3 7,5m HDMI 3f. geschirmt</v>
      </c>
      <c r="H258" t="s">
        <v>558</v>
      </c>
      <c r="I258" t="s">
        <v>559</v>
      </c>
      <c r="J258" t="s">
        <v>560</v>
      </c>
      <c r="M258" s="36" t="s">
        <v>540</v>
      </c>
      <c r="N258" t="b">
        <v>0</v>
      </c>
      <c r="O258" s="36">
        <v>30.24</v>
      </c>
      <c r="P258" s="51">
        <v>1</v>
      </c>
      <c r="Q258" s="27">
        <v>20</v>
      </c>
      <c r="R258" s="31">
        <f t="shared" si="116"/>
        <v>6.0479999999999992</v>
      </c>
      <c r="S258" s="31">
        <f t="shared" si="117"/>
        <v>6.0479999999999992</v>
      </c>
      <c r="T258" s="33">
        <f t="shared" si="118"/>
        <v>30.24</v>
      </c>
      <c r="U258" s="29">
        <f t="shared" si="119"/>
        <v>36.287999999999997</v>
      </c>
      <c r="V258" s="29">
        <f t="shared" si="120"/>
        <v>36.287999999999997</v>
      </c>
      <c r="W258" s="35">
        <f t="shared" si="115"/>
        <v>43146</v>
      </c>
      <c r="X258" s="35">
        <v>43134</v>
      </c>
      <c r="Z258" s="58">
        <f t="shared" si="121"/>
        <v>30.24</v>
      </c>
      <c r="AA258" s="31">
        <f t="shared" si="122"/>
        <v>0</v>
      </c>
      <c r="AB258" t="b">
        <f t="shared" si="123"/>
        <v>0</v>
      </c>
      <c r="AC258" t="b">
        <f t="shared" si="106"/>
        <v>0</v>
      </c>
    </row>
    <row r="259" spans="1:29" x14ac:dyDescent="0.25">
      <c r="A259">
        <v>257</v>
      </c>
      <c r="D259" s="9" t="s">
        <v>561</v>
      </c>
      <c r="E259" s="1">
        <v>43063</v>
      </c>
      <c r="F259" s="1">
        <v>43059</v>
      </c>
      <c r="G259" s="1" t="str">
        <f t="shared" si="89"/>
        <v>E.Alt KG, MTS-Shop.eu, 1140 Wien, Mühlbergstrasse 18: IPCam, TV-Wandhalterung</v>
      </c>
      <c r="H259" t="s">
        <v>562</v>
      </c>
      <c r="I259" t="s">
        <v>563</v>
      </c>
      <c r="J259" t="s">
        <v>564</v>
      </c>
      <c r="M259" s="36" t="s">
        <v>540</v>
      </c>
      <c r="N259" t="b">
        <v>0</v>
      </c>
      <c r="O259" s="36">
        <v>197.97</v>
      </c>
      <c r="P259" s="51">
        <v>1</v>
      </c>
      <c r="Q259" s="27">
        <v>20</v>
      </c>
      <c r="R259" s="31">
        <f t="shared" si="116"/>
        <v>39.594000000000001</v>
      </c>
      <c r="S259" s="31">
        <f t="shared" si="117"/>
        <v>39.594000000000001</v>
      </c>
      <c r="T259" s="33">
        <f t="shared" si="118"/>
        <v>197.97</v>
      </c>
      <c r="U259" s="29">
        <f t="shared" si="119"/>
        <v>237.56399999999999</v>
      </c>
      <c r="V259" s="29">
        <f t="shared" si="120"/>
        <v>237.56399999999999</v>
      </c>
      <c r="W259" s="35">
        <f t="shared" si="115"/>
        <v>43146</v>
      </c>
      <c r="X259" s="35">
        <v>43134</v>
      </c>
      <c r="Z259" s="58">
        <f t="shared" si="121"/>
        <v>197.97</v>
      </c>
      <c r="AA259" s="31">
        <f t="shared" si="122"/>
        <v>0</v>
      </c>
      <c r="AB259" t="b">
        <f t="shared" si="123"/>
        <v>0</v>
      </c>
      <c r="AC259" t="b">
        <f t="shared" si="106"/>
        <v>0</v>
      </c>
    </row>
    <row r="260" spans="1:29" x14ac:dyDescent="0.25">
      <c r="A260">
        <v>258</v>
      </c>
      <c r="D260" s="9" t="s">
        <v>565</v>
      </c>
      <c r="E260" s="1">
        <v>43057</v>
      </c>
      <c r="F260" s="1">
        <v>43060</v>
      </c>
      <c r="G260" s="1" t="str">
        <f t="shared" ref="G260:G281" si="124">CONCATENATE(H260,": ",J260)</f>
        <v>Amazon EU Sàrl, 5 Rue Plaetis, L-2338, Luxemburg: Sony DVP-SR760HB</v>
      </c>
      <c r="H260" t="s">
        <v>72</v>
      </c>
      <c r="I260" t="s">
        <v>157</v>
      </c>
      <c r="J260" t="s">
        <v>566</v>
      </c>
      <c r="M260" s="36" t="s">
        <v>540</v>
      </c>
      <c r="N260" t="b">
        <v>0</v>
      </c>
      <c r="O260" s="36">
        <v>40.32</v>
      </c>
      <c r="P260" s="51">
        <v>1</v>
      </c>
      <c r="Q260" s="27">
        <v>20</v>
      </c>
      <c r="R260" s="31">
        <f t="shared" si="116"/>
        <v>8.0640000000000001</v>
      </c>
      <c r="S260" s="31">
        <f t="shared" si="117"/>
        <v>8.0640000000000001</v>
      </c>
      <c r="T260" s="33">
        <f t="shared" si="118"/>
        <v>40.32</v>
      </c>
      <c r="U260" s="29">
        <f t="shared" si="119"/>
        <v>48.384</v>
      </c>
      <c r="V260" s="29">
        <f t="shared" si="120"/>
        <v>48.384</v>
      </c>
      <c r="W260" s="35">
        <f t="shared" si="115"/>
        <v>43146</v>
      </c>
      <c r="X260" s="35">
        <v>43134</v>
      </c>
      <c r="Z260" s="58">
        <f t="shared" si="121"/>
        <v>40.32</v>
      </c>
      <c r="AA260" s="31">
        <f t="shared" si="122"/>
        <v>0</v>
      </c>
      <c r="AB260" t="b">
        <f t="shared" si="123"/>
        <v>0</v>
      </c>
      <c r="AC260" t="b">
        <f t="shared" si="106"/>
        <v>0</v>
      </c>
    </row>
    <row r="261" spans="1:29" x14ac:dyDescent="0.25">
      <c r="A261">
        <v>259</v>
      </c>
      <c r="D261" s="9" t="s">
        <v>567</v>
      </c>
      <c r="E261" s="1">
        <v>43057</v>
      </c>
      <c r="F261" s="1">
        <v>43060</v>
      </c>
      <c r="G261" s="1" t="str">
        <f t="shared" si="124"/>
        <v>Amazon EU Sàrl, 5 Rue Plaetis, L-2338, Luxemburg: Seagate STEL800200 8TB</v>
      </c>
      <c r="H261" t="s">
        <v>72</v>
      </c>
      <c r="I261" t="s">
        <v>157</v>
      </c>
      <c r="J261" t="s">
        <v>568</v>
      </c>
      <c r="M261" s="36" t="s">
        <v>540</v>
      </c>
      <c r="N261" t="b">
        <v>0</v>
      </c>
      <c r="O261" s="36">
        <v>171.14</v>
      </c>
      <c r="P261" s="51">
        <v>1</v>
      </c>
      <c r="Q261" s="27">
        <v>20</v>
      </c>
      <c r="R261" s="31">
        <f t="shared" si="116"/>
        <v>34.227999999999994</v>
      </c>
      <c r="S261" s="31">
        <f t="shared" si="117"/>
        <v>34.227999999999994</v>
      </c>
      <c r="T261" s="33">
        <f t="shared" si="118"/>
        <v>171.14</v>
      </c>
      <c r="U261" s="29">
        <f t="shared" si="119"/>
        <v>205.36799999999999</v>
      </c>
      <c r="V261" s="29">
        <f t="shared" si="120"/>
        <v>205.36799999999999</v>
      </c>
      <c r="W261" s="35">
        <f t="shared" si="115"/>
        <v>43146</v>
      </c>
      <c r="X261" s="35">
        <v>43134</v>
      </c>
      <c r="Z261" s="58">
        <f t="shared" si="121"/>
        <v>171.14</v>
      </c>
      <c r="AA261" s="31">
        <f t="shared" si="122"/>
        <v>0</v>
      </c>
      <c r="AB261" t="b">
        <f t="shared" si="123"/>
        <v>0</v>
      </c>
      <c r="AC261" t="b">
        <f t="shared" si="106"/>
        <v>0</v>
      </c>
    </row>
    <row r="262" spans="1:29" x14ac:dyDescent="0.25">
      <c r="A262">
        <v>260</v>
      </c>
      <c r="D262" s="9" t="s">
        <v>569</v>
      </c>
      <c r="E262" s="1">
        <v>43057</v>
      </c>
      <c r="F262" s="1">
        <v>43060</v>
      </c>
      <c r="G262" s="1" t="str">
        <f t="shared" si="124"/>
        <v>Amazon EU Sàrl, 5 Rue Plaetis, L-2338, Luxemburg: SP-Link TL-PoE150S</v>
      </c>
      <c r="H262" t="s">
        <v>72</v>
      </c>
      <c r="I262" t="s">
        <v>157</v>
      </c>
      <c r="J262" t="s">
        <v>570</v>
      </c>
      <c r="M262" s="36" t="s">
        <v>540</v>
      </c>
      <c r="N262" t="b">
        <v>0</v>
      </c>
      <c r="O262" s="36">
        <v>17.559999999999999</v>
      </c>
      <c r="P262" s="51">
        <v>1</v>
      </c>
      <c r="Q262" s="27">
        <v>20</v>
      </c>
      <c r="R262" s="31">
        <f t="shared" si="116"/>
        <v>3.512</v>
      </c>
      <c r="S262" s="31">
        <f t="shared" si="117"/>
        <v>3.512</v>
      </c>
      <c r="T262" s="33">
        <f t="shared" si="118"/>
        <v>17.559999999999999</v>
      </c>
      <c r="U262" s="29">
        <f t="shared" si="119"/>
        <v>21.071999999999999</v>
      </c>
      <c r="V262" s="29">
        <f t="shared" si="120"/>
        <v>21.071999999999999</v>
      </c>
      <c r="W262" s="35">
        <f t="shared" si="115"/>
        <v>43146</v>
      </c>
      <c r="X262" s="35">
        <v>43134</v>
      </c>
      <c r="Z262" s="58">
        <f t="shared" si="121"/>
        <v>17.559999999999999</v>
      </c>
      <c r="AA262" s="31">
        <f t="shared" si="122"/>
        <v>0</v>
      </c>
      <c r="AB262" t="b">
        <f t="shared" si="123"/>
        <v>0</v>
      </c>
      <c r="AC262" t="b">
        <f t="shared" si="106"/>
        <v>0</v>
      </c>
    </row>
    <row r="263" spans="1:29" x14ac:dyDescent="0.25">
      <c r="A263">
        <v>261</v>
      </c>
      <c r="D263" s="9" t="s">
        <v>571</v>
      </c>
      <c r="E263" s="1">
        <v>43057</v>
      </c>
      <c r="F263" s="1">
        <v>43062</v>
      </c>
      <c r="G263" s="1" t="str">
        <f t="shared" si="124"/>
        <v>Amazon EU Sàrl, 5 Rue Plaetis, L-2338, Luxemburg: LogiLink BP0004 TV-Halterung</v>
      </c>
      <c r="H263" t="s">
        <v>72</v>
      </c>
      <c r="I263" t="s">
        <v>157</v>
      </c>
      <c r="J263" t="s">
        <v>572</v>
      </c>
      <c r="M263" s="36" t="s">
        <v>540</v>
      </c>
      <c r="N263" t="b">
        <v>0</v>
      </c>
      <c r="O263" s="36">
        <v>8.93</v>
      </c>
      <c r="P263" s="51">
        <v>1</v>
      </c>
      <c r="Q263" s="27">
        <v>20</v>
      </c>
      <c r="R263" s="31">
        <f t="shared" si="116"/>
        <v>1.786</v>
      </c>
      <c r="S263" s="31">
        <f t="shared" si="117"/>
        <v>1.786</v>
      </c>
      <c r="T263" s="33">
        <f t="shared" si="118"/>
        <v>8.93</v>
      </c>
      <c r="U263" s="29">
        <f t="shared" si="119"/>
        <v>10.715999999999999</v>
      </c>
      <c r="V263" s="29">
        <f t="shared" si="120"/>
        <v>10.715999999999999</v>
      </c>
      <c r="W263" s="35">
        <f t="shared" si="115"/>
        <v>43146</v>
      </c>
      <c r="X263" s="35">
        <v>43134</v>
      </c>
      <c r="Z263" s="58">
        <f t="shared" si="121"/>
        <v>8.93</v>
      </c>
      <c r="AA263" s="31">
        <f t="shared" si="122"/>
        <v>0</v>
      </c>
      <c r="AB263" t="b">
        <f t="shared" si="123"/>
        <v>0</v>
      </c>
      <c r="AC263" t="b">
        <f t="shared" si="106"/>
        <v>0</v>
      </c>
    </row>
    <row r="264" spans="1:29" x14ac:dyDescent="0.25">
      <c r="A264">
        <v>262</v>
      </c>
      <c r="D264" s="9" t="s">
        <v>573</v>
      </c>
      <c r="E264" s="1">
        <v>43057</v>
      </c>
      <c r="F264" s="1">
        <v>43062</v>
      </c>
      <c r="G264" s="1" t="str">
        <f t="shared" si="124"/>
        <v>Amazon EU Sàrl, 5 Rue Plaetis, L-2338, Luxemburg: STRONG SRT 40FX4003</v>
      </c>
      <c r="H264" t="s">
        <v>72</v>
      </c>
      <c r="I264" t="s">
        <v>157</v>
      </c>
      <c r="J264" t="s">
        <v>574</v>
      </c>
      <c r="M264" s="36" t="s">
        <v>540</v>
      </c>
      <c r="N264" t="b">
        <v>0</v>
      </c>
      <c r="O264" s="36">
        <v>238.45</v>
      </c>
      <c r="P264" s="51">
        <v>1</v>
      </c>
      <c r="Q264" s="27">
        <v>20</v>
      </c>
      <c r="R264" s="31">
        <f t="shared" si="116"/>
        <v>47.69</v>
      </c>
      <c r="S264" s="31">
        <f t="shared" si="117"/>
        <v>47.69</v>
      </c>
      <c r="T264" s="33">
        <f t="shared" si="118"/>
        <v>238.45</v>
      </c>
      <c r="U264" s="29">
        <f t="shared" si="119"/>
        <v>286.14</v>
      </c>
      <c r="V264" s="29">
        <f t="shared" si="120"/>
        <v>286.14</v>
      </c>
      <c r="W264" s="35">
        <f t="shared" si="115"/>
        <v>43146</v>
      </c>
      <c r="X264" s="35">
        <v>43134</v>
      </c>
      <c r="Z264" s="58">
        <f t="shared" si="121"/>
        <v>238.45</v>
      </c>
      <c r="AA264" s="31">
        <f t="shared" si="122"/>
        <v>0</v>
      </c>
      <c r="AB264" t="b">
        <f t="shared" si="123"/>
        <v>0</v>
      </c>
      <c r="AC264" t="b">
        <f t="shared" si="106"/>
        <v>0</v>
      </c>
    </row>
    <row r="265" spans="1:29" x14ac:dyDescent="0.25">
      <c r="A265">
        <v>263</v>
      </c>
      <c r="D265" s="9" t="s">
        <v>575</v>
      </c>
      <c r="E265" s="1">
        <v>43059</v>
      </c>
      <c r="F265" s="1">
        <v>43066</v>
      </c>
      <c r="G265" s="1" t="str">
        <f t="shared" si="124"/>
        <v>Amazon EU Sàrl, 5 Rue Plaetis, L-2338, Luxemburg: STRONG SRT 40FX4003</v>
      </c>
      <c r="H265" t="s">
        <v>72</v>
      </c>
      <c r="I265" t="s">
        <v>157</v>
      </c>
      <c r="J265" t="s">
        <v>574</v>
      </c>
      <c r="M265" s="36" t="s">
        <v>540</v>
      </c>
      <c r="N265" t="b">
        <v>0</v>
      </c>
      <c r="O265" s="36">
        <v>238.45</v>
      </c>
      <c r="P265" s="51">
        <v>1</v>
      </c>
      <c r="Q265" s="27">
        <v>20</v>
      </c>
      <c r="R265" s="31">
        <f t="shared" si="116"/>
        <v>47.69</v>
      </c>
      <c r="S265" s="31">
        <f t="shared" si="117"/>
        <v>47.69</v>
      </c>
      <c r="T265" s="33">
        <f t="shared" si="118"/>
        <v>238.45</v>
      </c>
      <c r="U265" s="29">
        <f t="shared" si="119"/>
        <v>286.14</v>
      </c>
      <c r="V265" s="29">
        <f t="shared" si="120"/>
        <v>286.14</v>
      </c>
      <c r="W265" s="35">
        <f t="shared" si="115"/>
        <v>43146</v>
      </c>
      <c r="X265" s="35">
        <v>43134</v>
      </c>
      <c r="Z265" s="58">
        <f t="shared" si="121"/>
        <v>238.45</v>
      </c>
      <c r="AA265" s="31">
        <f t="shared" si="122"/>
        <v>0</v>
      </c>
      <c r="AB265" t="b">
        <f t="shared" si="123"/>
        <v>0</v>
      </c>
      <c r="AC265" t="b">
        <f t="shared" si="106"/>
        <v>0</v>
      </c>
    </row>
    <row r="266" spans="1:29" x14ac:dyDescent="0.25">
      <c r="A266">
        <v>264</v>
      </c>
      <c r="D266" s="9" t="s">
        <v>576</v>
      </c>
      <c r="E266" s="1">
        <v>43065</v>
      </c>
      <c r="F266" s="1">
        <v>43067</v>
      </c>
      <c r="G266" s="1" t="str">
        <f t="shared" si="124"/>
        <v>myKey GmbH, Embelgasse 2-8/4/441, 1050 Wien: Windows 10 Pro Key</v>
      </c>
      <c r="H266" t="s">
        <v>577</v>
      </c>
      <c r="I266" t="s">
        <v>578</v>
      </c>
      <c r="J266" t="s">
        <v>579</v>
      </c>
      <c r="M266" s="36" t="s">
        <v>540</v>
      </c>
      <c r="N266" t="b">
        <v>0</v>
      </c>
      <c r="O266" s="36">
        <v>58.25</v>
      </c>
      <c r="P266" s="51">
        <v>1</v>
      </c>
      <c r="Q266" s="27">
        <v>20</v>
      </c>
      <c r="R266" s="31">
        <f t="shared" si="116"/>
        <v>11.65</v>
      </c>
      <c r="S266" s="31">
        <f t="shared" si="117"/>
        <v>11.65</v>
      </c>
      <c r="T266" s="33">
        <f t="shared" si="118"/>
        <v>58.25</v>
      </c>
      <c r="U266" s="29">
        <f t="shared" si="119"/>
        <v>69.900000000000006</v>
      </c>
      <c r="V266" s="29">
        <f t="shared" si="120"/>
        <v>69.900000000000006</v>
      </c>
      <c r="W266" s="35">
        <f t="shared" si="115"/>
        <v>43146</v>
      </c>
      <c r="X266" s="35">
        <v>43134</v>
      </c>
      <c r="Z266" s="58">
        <f t="shared" si="121"/>
        <v>58.25</v>
      </c>
      <c r="AA266" s="31">
        <f t="shared" si="122"/>
        <v>0</v>
      </c>
      <c r="AB266" t="b">
        <f t="shared" si="123"/>
        <v>0</v>
      </c>
      <c r="AC266" t="b">
        <f t="shared" si="106"/>
        <v>0</v>
      </c>
    </row>
    <row r="267" spans="1:29" x14ac:dyDescent="0.25">
      <c r="A267">
        <v>265</v>
      </c>
      <c r="D267" s="9" t="s">
        <v>581</v>
      </c>
      <c r="E267" s="1">
        <v>43063</v>
      </c>
      <c r="F267" s="1">
        <v>43075</v>
      </c>
      <c r="G267" s="1" t="str">
        <f t="shared" si="124"/>
        <v xml:space="preserve">Hutchison Drei Austria GmbH, Brünner Straße 52, 1210 Wien, Österreich: </v>
      </c>
      <c r="H267" t="s">
        <v>34</v>
      </c>
      <c r="N267" t="b">
        <f>(IF(AND(M267&lt;&gt;"",ABS(T267)&gt;400),TRUE,FALSE))</f>
        <v>0</v>
      </c>
      <c r="O267" s="36">
        <v>15</v>
      </c>
      <c r="P267" s="51">
        <v>1</v>
      </c>
      <c r="Q267" s="27">
        <v>20</v>
      </c>
      <c r="R267" s="31">
        <f t="shared" ref="R267:R282" si="125">O267*Q267/100</f>
        <v>3</v>
      </c>
      <c r="S267" s="31">
        <f t="shared" ref="S267:S283" si="126">P267*R267</f>
        <v>3</v>
      </c>
      <c r="T267" s="33">
        <f t="shared" ref="T267:T283" si="127">O267*P267</f>
        <v>15</v>
      </c>
      <c r="U267" s="29">
        <f t="shared" ref="U267:U284" si="128">O267+R267</f>
        <v>18</v>
      </c>
      <c r="V267" s="29">
        <f t="shared" ref="V267:V284" si="129">T267+S267</f>
        <v>18</v>
      </c>
      <c r="W267" s="35">
        <f t="shared" si="115"/>
        <v>43146</v>
      </c>
      <c r="X267" s="35">
        <v>43134</v>
      </c>
      <c r="Z267" s="58">
        <f t="shared" si="121"/>
        <v>15</v>
      </c>
      <c r="AA267" s="31">
        <f t="shared" si="122"/>
        <v>0</v>
      </c>
      <c r="AB267" t="b">
        <f t="shared" si="123"/>
        <v>0</v>
      </c>
      <c r="AC267" t="b">
        <f t="shared" si="106"/>
        <v>0</v>
      </c>
    </row>
    <row r="268" spans="1:29" x14ac:dyDescent="0.25">
      <c r="A268">
        <v>266</v>
      </c>
      <c r="D268" s="9" t="s">
        <v>580</v>
      </c>
      <c r="E268" s="1">
        <v>43060</v>
      </c>
      <c r="F268" s="1">
        <v>43069</v>
      </c>
      <c r="G268" s="1" t="str">
        <f t="shared" si="124"/>
        <v>officeb2b GmbH - Stettenstr. 15 - 86482 Aystetten - (DE): LogiLink TV-Wandhalterung BP0004</v>
      </c>
      <c r="H268" t="s">
        <v>582</v>
      </c>
      <c r="I268" t="s">
        <v>583</v>
      </c>
      <c r="J268" t="s">
        <v>584</v>
      </c>
      <c r="M268" s="36" t="s">
        <v>540</v>
      </c>
      <c r="N268" t="b">
        <f>(IF(AND(M268&lt;&gt;"",ABS(T268)&gt;400),TRUE,FALSE))</f>
        <v>0</v>
      </c>
      <c r="O268" s="36">
        <v>9.15</v>
      </c>
      <c r="P268" s="51">
        <v>1</v>
      </c>
      <c r="Q268" s="27">
        <v>0</v>
      </c>
      <c r="R268" s="31">
        <f t="shared" si="125"/>
        <v>0</v>
      </c>
      <c r="S268" s="31">
        <f t="shared" si="126"/>
        <v>0</v>
      </c>
      <c r="T268" s="33">
        <f t="shared" si="127"/>
        <v>9.15</v>
      </c>
      <c r="U268" s="29">
        <f t="shared" si="128"/>
        <v>9.15</v>
      </c>
      <c r="V268" s="29">
        <f t="shared" si="129"/>
        <v>9.15</v>
      </c>
      <c r="W268" s="35">
        <f t="shared" si="115"/>
        <v>43146</v>
      </c>
      <c r="X268" s="35">
        <v>43134</v>
      </c>
      <c r="Y268" s="27">
        <v>20</v>
      </c>
      <c r="Z268" s="58">
        <f t="shared" si="121"/>
        <v>9.15</v>
      </c>
      <c r="AA268" s="31">
        <f t="shared" si="122"/>
        <v>1.83</v>
      </c>
      <c r="AB268" t="b">
        <f t="shared" si="123"/>
        <v>0</v>
      </c>
      <c r="AC268" t="b">
        <f t="shared" si="106"/>
        <v>0</v>
      </c>
    </row>
    <row r="269" spans="1:29" x14ac:dyDescent="0.25">
      <c r="A269">
        <v>267</v>
      </c>
      <c r="D269" s="9" t="s">
        <v>585</v>
      </c>
      <c r="E269" s="1">
        <v>43069</v>
      </c>
      <c r="F269" s="1">
        <v>43070</v>
      </c>
      <c r="G269" s="1" t="str">
        <f t="shared" si="124"/>
        <v>1attack.de Mundo del Arte GmbH: Patchkabel</v>
      </c>
      <c r="H269" t="s">
        <v>586</v>
      </c>
      <c r="I269" t="s">
        <v>587</v>
      </c>
      <c r="J269" t="s">
        <v>588</v>
      </c>
      <c r="M269" s="36" t="s">
        <v>540</v>
      </c>
      <c r="N269" t="b">
        <f>(IF(AND(M269&lt;&gt;"",ABS(T269)&gt;400),TRUE,FALSE))</f>
        <v>0</v>
      </c>
      <c r="O269" s="36">
        <v>21.97</v>
      </c>
      <c r="P269" s="51">
        <v>1</v>
      </c>
      <c r="Q269" s="27">
        <v>20</v>
      </c>
      <c r="R269" s="31">
        <f t="shared" si="125"/>
        <v>4.3940000000000001</v>
      </c>
      <c r="S269" s="31">
        <f t="shared" si="126"/>
        <v>4.3940000000000001</v>
      </c>
      <c r="T269" s="33">
        <f t="shared" si="127"/>
        <v>21.97</v>
      </c>
      <c r="U269" s="29">
        <f t="shared" si="128"/>
        <v>26.363999999999997</v>
      </c>
      <c r="V269" s="29">
        <f t="shared" si="129"/>
        <v>26.363999999999997</v>
      </c>
      <c r="W269" s="35">
        <f t="shared" si="115"/>
        <v>43146</v>
      </c>
      <c r="X269" s="35">
        <v>43134</v>
      </c>
      <c r="Z269" s="58">
        <f t="shared" si="121"/>
        <v>21.97</v>
      </c>
      <c r="AA269" s="31">
        <f t="shared" si="122"/>
        <v>0</v>
      </c>
      <c r="AB269" t="b">
        <f t="shared" ref="AB269:AB284" si="130">IF(AND(Y269&gt;0,Q269=Y269),TRUE,FALSE)</f>
        <v>0</v>
      </c>
      <c r="AC269" t="b">
        <f t="shared" si="106"/>
        <v>0</v>
      </c>
    </row>
    <row r="270" spans="1:29" x14ac:dyDescent="0.25">
      <c r="A270">
        <v>268</v>
      </c>
      <c r="D270" s="9" t="s">
        <v>589</v>
      </c>
      <c r="E270" s="1">
        <v>43073</v>
      </c>
      <c r="F270" s="1">
        <v>43074</v>
      </c>
      <c r="G270" s="1" t="str">
        <f t="shared" si="124"/>
        <v>myKey GmbH, Embelgasse 2-8/4/441, 1050 Wien: Windows 10 Pro Key</v>
      </c>
      <c r="H270" t="s">
        <v>577</v>
      </c>
      <c r="I270" t="s">
        <v>578</v>
      </c>
      <c r="J270" t="s">
        <v>579</v>
      </c>
      <c r="M270" s="36" t="s">
        <v>540</v>
      </c>
      <c r="N270" t="b">
        <v>0</v>
      </c>
      <c r="O270" s="36">
        <v>58.25</v>
      </c>
      <c r="P270" s="51">
        <v>1</v>
      </c>
      <c r="Q270" s="27">
        <v>20</v>
      </c>
      <c r="R270" s="31">
        <f t="shared" si="125"/>
        <v>11.65</v>
      </c>
      <c r="S270" s="31">
        <f t="shared" si="126"/>
        <v>11.65</v>
      </c>
      <c r="T270" s="33">
        <f t="shared" si="127"/>
        <v>58.25</v>
      </c>
      <c r="U270" s="29">
        <f t="shared" si="128"/>
        <v>69.900000000000006</v>
      </c>
      <c r="V270" s="29">
        <f t="shared" si="129"/>
        <v>69.900000000000006</v>
      </c>
      <c r="W270" s="35">
        <f t="shared" si="115"/>
        <v>43146</v>
      </c>
      <c r="X270" s="35">
        <v>43134</v>
      </c>
      <c r="Z270" s="58">
        <f t="shared" si="121"/>
        <v>58.25</v>
      </c>
      <c r="AA270" s="31">
        <f t="shared" si="122"/>
        <v>0</v>
      </c>
      <c r="AB270" t="b">
        <f t="shared" si="130"/>
        <v>0</v>
      </c>
      <c r="AC270" t="b">
        <f t="shared" si="106"/>
        <v>0</v>
      </c>
    </row>
    <row r="271" spans="1:29" x14ac:dyDescent="0.25">
      <c r="A271">
        <v>269</v>
      </c>
      <c r="D271" s="9" t="s">
        <v>590</v>
      </c>
      <c r="E271" s="1">
        <v>43077</v>
      </c>
      <c r="F271" s="1">
        <v>43080</v>
      </c>
      <c r="G271" s="1" t="str">
        <f t="shared" si="124"/>
        <v>Ganz Einfach GmbH, Wohlenbergstr 16, Hannover, 30179 DE: CSL -4k UHD HDMI Splitter B01615JA3A</v>
      </c>
      <c r="H271" t="s">
        <v>558</v>
      </c>
      <c r="I271" t="s">
        <v>559</v>
      </c>
      <c r="J271" t="s">
        <v>591</v>
      </c>
      <c r="M271" s="36" t="s">
        <v>540</v>
      </c>
      <c r="N271" t="b">
        <v>0</v>
      </c>
      <c r="O271" s="36">
        <v>16.68</v>
      </c>
      <c r="P271" s="51">
        <v>1</v>
      </c>
      <c r="Q271" s="27">
        <v>20</v>
      </c>
      <c r="R271" s="31">
        <f t="shared" si="125"/>
        <v>3.3360000000000003</v>
      </c>
      <c r="S271" s="31">
        <f t="shared" si="126"/>
        <v>3.3360000000000003</v>
      </c>
      <c r="T271" s="33">
        <f t="shared" si="127"/>
        <v>16.68</v>
      </c>
      <c r="U271" s="29">
        <f t="shared" si="128"/>
        <v>20.015999999999998</v>
      </c>
      <c r="V271" s="29">
        <f t="shared" si="129"/>
        <v>20.015999999999998</v>
      </c>
      <c r="W271" s="35">
        <f t="shared" si="115"/>
        <v>43146</v>
      </c>
      <c r="X271" s="35">
        <v>43134</v>
      </c>
      <c r="Z271" s="58">
        <f t="shared" si="121"/>
        <v>16.68</v>
      </c>
      <c r="AA271" s="31">
        <f t="shared" ref="AA271:AA284" si="131">Y271/100*V271</f>
        <v>0</v>
      </c>
      <c r="AB271" t="b">
        <f t="shared" si="130"/>
        <v>0</v>
      </c>
      <c r="AC271" t="b">
        <f t="shared" si="106"/>
        <v>0</v>
      </c>
    </row>
    <row r="272" spans="1:29" x14ac:dyDescent="0.25">
      <c r="A272">
        <v>270</v>
      </c>
      <c r="D272" s="9" t="s">
        <v>592</v>
      </c>
      <c r="E272" s="1">
        <v>43060</v>
      </c>
      <c r="F272" s="1">
        <v>43060</v>
      </c>
      <c r="G272" s="1" t="str">
        <f t="shared" si="124"/>
        <v>Veloce Botendienste GmbH: Laudong. - Linzerstraße</v>
      </c>
      <c r="H272" t="s">
        <v>593</v>
      </c>
      <c r="I272" t="s">
        <v>594</v>
      </c>
      <c r="J272" t="s">
        <v>595</v>
      </c>
      <c r="M272" s="36"/>
      <c r="N272" t="b">
        <v>0</v>
      </c>
      <c r="O272" s="36">
        <f>13.2/1.2</f>
        <v>11</v>
      </c>
      <c r="P272" s="51">
        <v>1</v>
      </c>
      <c r="Q272" s="27">
        <v>20</v>
      </c>
      <c r="R272" s="31">
        <f t="shared" si="125"/>
        <v>2.2000000000000002</v>
      </c>
      <c r="S272" s="31">
        <f t="shared" si="126"/>
        <v>2.2000000000000002</v>
      </c>
      <c r="T272" s="33">
        <f t="shared" si="127"/>
        <v>11</v>
      </c>
      <c r="U272" s="29">
        <f t="shared" si="128"/>
        <v>13.2</v>
      </c>
      <c r="V272" s="29">
        <f t="shared" si="129"/>
        <v>13.2</v>
      </c>
      <c r="W272" s="35">
        <f t="shared" si="115"/>
        <v>43146</v>
      </c>
      <c r="X272" s="35">
        <v>43134</v>
      </c>
      <c r="Z272" s="58">
        <f t="shared" si="121"/>
        <v>11</v>
      </c>
      <c r="AA272" s="31">
        <f t="shared" si="131"/>
        <v>0</v>
      </c>
      <c r="AB272" t="b">
        <f t="shared" si="130"/>
        <v>0</v>
      </c>
      <c r="AC272" t="b">
        <f t="shared" si="106"/>
        <v>0</v>
      </c>
    </row>
    <row r="273" spans="1:29" x14ac:dyDescent="0.25">
      <c r="A273">
        <v>271</v>
      </c>
      <c r="D273" s="9" t="s">
        <v>601</v>
      </c>
      <c r="E273" s="1">
        <v>43070</v>
      </c>
      <c r="F273" s="1">
        <v>43084</v>
      </c>
      <c r="G273" s="1" t="str">
        <f t="shared" si="124"/>
        <v>MONTANA Energie-Handel AT GmbH: Teilzahlungsbetrag Gas</v>
      </c>
      <c r="H273" t="s">
        <v>58</v>
      </c>
      <c r="J273" t="s">
        <v>401</v>
      </c>
      <c r="N273" t="b">
        <f t="shared" ref="N273:N315" si="132">(IF(AND(M273&lt;&gt;"",ABS(T273)&gt;400),TRUE,FALSE))</f>
        <v>0</v>
      </c>
      <c r="O273" s="36">
        <v>82.5</v>
      </c>
      <c r="P273" s="51">
        <f>Arbeitszimmer!$B$3</f>
        <v>0.27320378419841473</v>
      </c>
      <c r="Q273" s="27">
        <v>20</v>
      </c>
      <c r="R273" s="31">
        <f t="shared" si="125"/>
        <v>16.5</v>
      </c>
      <c r="S273" s="31">
        <f t="shared" si="126"/>
        <v>4.5078624392738433</v>
      </c>
      <c r="T273" s="33">
        <f t="shared" si="127"/>
        <v>22.539312196369217</v>
      </c>
      <c r="U273" s="29">
        <f t="shared" si="128"/>
        <v>99</v>
      </c>
      <c r="V273" s="29">
        <f t="shared" si="129"/>
        <v>27.04717463564306</v>
      </c>
      <c r="W273" s="35">
        <f t="shared" si="115"/>
        <v>43146</v>
      </c>
      <c r="X273" s="35">
        <v>43134</v>
      </c>
      <c r="Z273" s="58">
        <f t="shared" si="121"/>
        <v>22.539312196369217</v>
      </c>
      <c r="AA273" s="31">
        <f t="shared" si="131"/>
        <v>0</v>
      </c>
      <c r="AB273" t="b">
        <f t="shared" si="130"/>
        <v>0</v>
      </c>
      <c r="AC273" t="b">
        <f t="shared" si="106"/>
        <v>0</v>
      </c>
    </row>
    <row r="274" spans="1:29" x14ac:dyDescent="0.25">
      <c r="A274">
        <v>272</v>
      </c>
      <c r="D274" s="9" t="s">
        <v>463</v>
      </c>
      <c r="E274" s="1">
        <v>42736</v>
      </c>
      <c r="F274" s="1">
        <v>43096</v>
      </c>
      <c r="G274" s="1" t="str">
        <f t="shared" si="124"/>
        <v>PREMIUM Laudongasse 58 GmbH &amp; Co KG: Dauerrechnung 2017-D-9</v>
      </c>
      <c r="H274" t="s">
        <v>462</v>
      </c>
      <c r="I274" t="s">
        <v>174</v>
      </c>
      <c r="J274" t="s">
        <v>517</v>
      </c>
      <c r="N274" t="b">
        <f t="shared" si="132"/>
        <v>0</v>
      </c>
      <c r="O274" s="36">
        <v>801.77</v>
      </c>
      <c r="P274" s="51">
        <f>Arbeitszimmer!$B$3</f>
        <v>0.27320378419841473</v>
      </c>
      <c r="Q274" s="27">
        <v>10</v>
      </c>
      <c r="R274" s="31">
        <f t="shared" si="125"/>
        <v>80.176999999999992</v>
      </c>
      <c r="S274" s="31">
        <f t="shared" si="126"/>
        <v>21.904659805676296</v>
      </c>
      <c r="T274" s="33">
        <f t="shared" si="127"/>
        <v>219.04659805676297</v>
      </c>
      <c r="U274" s="29">
        <f t="shared" si="128"/>
        <v>881.947</v>
      </c>
      <c r="V274" s="29">
        <f t="shared" si="129"/>
        <v>240.95125786243926</v>
      </c>
      <c r="W274" s="35">
        <f t="shared" si="115"/>
        <v>43146</v>
      </c>
      <c r="X274" s="35">
        <v>43134</v>
      </c>
      <c r="Z274" s="58">
        <f t="shared" si="121"/>
        <v>219.04659805676297</v>
      </c>
      <c r="AA274" s="31">
        <f t="shared" si="131"/>
        <v>0</v>
      </c>
      <c r="AB274" t="b">
        <f t="shared" si="130"/>
        <v>0</v>
      </c>
      <c r="AC274" t="b">
        <f t="shared" si="106"/>
        <v>0</v>
      </c>
    </row>
    <row r="275" spans="1:29" x14ac:dyDescent="0.25">
      <c r="A275">
        <v>273</v>
      </c>
      <c r="D275" s="9" t="s">
        <v>600</v>
      </c>
      <c r="E275" s="1">
        <v>43081</v>
      </c>
      <c r="F275" s="1">
        <v>43082</v>
      </c>
      <c r="G275" s="1" t="str">
        <f t="shared" si="124"/>
        <v xml:space="preserve">Wall-Art-Design, Patrick Dießl, Streudorfer Str. 124, D-98663 Westhausen: </v>
      </c>
      <c r="H275" t="s">
        <v>598</v>
      </c>
      <c r="I275" t="s">
        <v>599</v>
      </c>
      <c r="N275" t="b">
        <f t="shared" si="132"/>
        <v>0</v>
      </c>
      <c r="O275" s="36">
        <v>7.91</v>
      </c>
      <c r="P275" s="51">
        <v>1</v>
      </c>
      <c r="Q275" s="27">
        <v>20</v>
      </c>
      <c r="R275" s="31">
        <f t="shared" si="125"/>
        <v>1.5819999999999999</v>
      </c>
      <c r="S275" s="31">
        <f t="shared" si="126"/>
        <v>1.5819999999999999</v>
      </c>
      <c r="T275" s="33">
        <f t="shared" si="127"/>
        <v>7.91</v>
      </c>
      <c r="U275" s="29">
        <f t="shared" si="128"/>
        <v>9.4920000000000009</v>
      </c>
      <c r="V275" s="29">
        <f t="shared" si="129"/>
        <v>9.4920000000000009</v>
      </c>
      <c r="W275" s="35">
        <f t="shared" si="115"/>
        <v>43146</v>
      </c>
      <c r="X275" s="35">
        <v>43134</v>
      </c>
      <c r="Z275" s="58">
        <f t="shared" si="121"/>
        <v>7.91</v>
      </c>
      <c r="AA275" s="31">
        <f t="shared" si="131"/>
        <v>0</v>
      </c>
      <c r="AB275" t="b">
        <f t="shared" si="130"/>
        <v>0</v>
      </c>
      <c r="AC275" t="b">
        <f t="shared" si="106"/>
        <v>0</v>
      </c>
    </row>
    <row r="276" spans="1:29" x14ac:dyDescent="0.25">
      <c r="A276">
        <v>274</v>
      </c>
      <c r="D276" s="9" t="s">
        <v>602</v>
      </c>
      <c r="E276" s="1">
        <v>43088</v>
      </c>
      <c r="F276" s="1">
        <v>43090</v>
      </c>
      <c r="G276" s="1" t="str">
        <f t="shared" si="124"/>
        <v>Microsoft Ireland Operations Ltd, One Microsoft Place, South County Business Park Leopardstown Dublin 18, D18 P521 Irland: Office 365 Business Essentials (monatlich)</v>
      </c>
      <c r="H276" t="s">
        <v>603</v>
      </c>
      <c r="I276" t="s">
        <v>160</v>
      </c>
      <c r="J276" t="s">
        <v>604</v>
      </c>
      <c r="M276" s="16" t="s">
        <v>540</v>
      </c>
      <c r="N276" t="b">
        <f t="shared" si="132"/>
        <v>0</v>
      </c>
      <c r="O276" s="36">
        <v>18.7</v>
      </c>
      <c r="P276" s="51">
        <v>1</v>
      </c>
      <c r="Q276" s="27">
        <v>20</v>
      </c>
      <c r="R276" s="31">
        <f t="shared" si="125"/>
        <v>3.74</v>
      </c>
      <c r="S276" s="31">
        <f t="shared" si="126"/>
        <v>3.74</v>
      </c>
      <c r="T276" s="33">
        <f t="shared" si="127"/>
        <v>18.7</v>
      </c>
      <c r="U276" s="29">
        <f t="shared" si="128"/>
        <v>22.439999999999998</v>
      </c>
      <c r="V276" s="29">
        <f t="shared" si="129"/>
        <v>22.439999999999998</v>
      </c>
      <c r="W276" s="35">
        <f t="shared" si="115"/>
        <v>43146</v>
      </c>
      <c r="X276" s="35">
        <v>43134</v>
      </c>
      <c r="Z276" s="58">
        <f t="shared" si="121"/>
        <v>18.7</v>
      </c>
      <c r="AA276" s="31">
        <f t="shared" si="131"/>
        <v>0</v>
      </c>
      <c r="AB276" t="b">
        <f t="shared" si="130"/>
        <v>0</v>
      </c>
      <c r="AC276" t="b">
        <f t="shared" si="106"/>
        <v>0</v>
      </c>
    </row>
    <row r="277" spans="1:29" x14ac:dyDescent="0.25">
      <c r="A277">
        <v>275</v>
      </c>
      <c r="F277" s="1">
        <v>43090</v>
      </c>
      <c r="G277" s="1" t="str">
        <f t="shared" si="124"/>
        <v xml:space="preserve">Vistaprint B.V., Hudsonweg 8, 5928 LW Venlo, Niederlande: </v>
      </c>
      <c r="H277" t="s">
        <v>37</v>
      </c>
      <c r="N277" t="b">
        <f t="shared" si="132"/>
        <v>0</v>
      </c>
      <c r="O277" s="36">
        <f>90.36/1.2</f>
        <v>75.3</v>
      </c>
      <c r="P277" s="51">
        <v>1</v>
      </c>
      <c r="Q277" s="27">
        <v>20</v>
      </c>
      <c r="R277" s="31">
        <f t="shared" si="125"/>
        <v>15.06</v>
      </c>
      <c r="S277" s="31">
        <f t="shared" si="126"/>
        <v>15.06</v>
      </c>
      <c r="T277" s="33">
        <f t="shared" si="127"/>
        <v>75.3</v>
      </c>
      <c r="U277" s="29">
        <f t="shared" si="128"/>
        <v>90.36</v>
      </c>
      <c r="V277" s="29">
        <f t="shared" si="129"/>
        <v>90.36</v>
      </c>
      <c r="W277" s="35">
        <f t="shared" si="115"/>
        <v>43146</v>
      </c>
      <c r="X277" s="35">
        <v>43134</v>
      </c>
      <c r="Z277" s="58">
        <f t="shared" si="121"/>
        <v>75.3</v>
      </c>
      <c r="AA277" s="31">
        <f t="shared" si="131"/>
        <v>0</v>
      </c>
      <c r="AB277" t="b">
        <f t="shared" si="130"/>
        <v>0</v>
      </c>
      <c r="AC277" t="b">
        <f t="shared" si="106"/>
        <v>0</v>
      </c>
    </row>
    <row r="278" spans="1:29" x14ac:dyDescent="0.25">
      <c r="A278">
        <v>276</v>
      </c>
      <c r="D278" s="9" t="s">
        <v>605</v>
      </c>
      <c r="E278" s="1">
        <v>43076</v>
      </c>
      <c r="F278" s="1">
        <v>43098</v>
      </c>
      <c r="G278" s="1" t="str">
        <f t="shared" si="124"/>
        <v>Wilhelm Blaha, Steuerberater, 1080 Wien, Roter Hof 1a: Jahresabschluss 2015</v>
      </c>
      <c r="H278" t="s">
        <v>446</v>
      </c>
      <c r="I278" s="10" t="s">
        <v>444</v>
      </c>
      <c r="J278" t="s">
        <v>445</v>
      </c>
      <c r="N278" t="b">
        <f t="shared" si="132"/>
        <v>0</v>
      </c>
      <c r="O278" s="36">
        <v>825</v>
      </c>
      <c r="P278" s="51">
        <v>1</v>
      </c>
      <c r="Q278" s="27">
        <v>20</v>
      </c>
      <c r="R278" s="31">
        <f t="shared" si="125"/>
        <v>165</v>
      </c>
      <c r="S278" s="31">
        <f t="shared" si="126"/>
        <v>165</v>
      </c>
      <c r="T278" s="33">
        <f t="shared" si="127"/>
        <v>825</v>
      </c>
      <c r="U278" s="29">
        <f t="shared" si="128"/>
        <v>990</v>
      </c>
      <c r="V278" s="29">
        <f t="shared" si="129"/>
        <v>990</v>
      </c>
      <c r="W278" s="35">
        <f t="shared" si="115"/>
        <v>43146</v>
      </c>
      <c r="X278" s="35">
        <v>43134</v>
      </c>
      <c r="Z278" s="58">
        <f t="shared" si="121"/>
        <v>825</v>
      </c>
      <c r="AA278" s="31">
        <f t="shared" si="131"/>
        <v>0</v>
      </c>
      <c r="AB278" t="b">
        <f t="shared" si="130"/>
        <v>0</v>
      </c>
      <c r="AC278" t="b">
        <f t="shared" si="106"/>
        <v>0</v>
      </c>
    </row>
    <row r="279" spans="1:29" x14ac:dyDescent="0.25">
      <c r="A279">
        <v>277</v>
      </c>
      <c r="D279" s="6" t="s">
        <v>613</v>
      </c>
      <c r="E279" s="1">
        <f t="shared" ref="E279:F281" si="133">DATE($D279,1,1)</f>
        <v>42370</v>
      </c>
      <c r="F279" s="1">
        <f t="shared" si="133"/>
        <v>42370</v>
      </c>
      <c r="G279" s="1" t="str">
        <f t="shared" si="124"/>
        <v>jarosoft: AfA 2016</v>
      </c>
      <c r="H279" t="s">
        <v>617</v>
      </c>
      <c r="J279" t="str">
        <f>VLOOKUP(--$D279,AfA!$A:$C,2)</f>
        <v>AfA 2016</v>
      </c>
      <c r="N279" t="b">
        <f t="shared" si="132"/>
        <v>0</v>
      </c>
      <c r="O279" s="36">
        <v>120</v>
      </c>
      <c r="P279" s="51">
        <v>1</v>
      </c>
      <c r="Q279" s="27">
        <v>20</v>
      </c>
      <c r="R279" s="31">
        <f t="shared" si="125"/>
        <v>24</v>
      </c>
      <c r="S279" s="31">
        <f t="shared" si="126"/>
        <v>24</v>
      </c>
      <c r="T279" s="33">
        <f t="shared" si="127"/>
        <v>120</v>
      </c>
      <c r="U279" s="29">
        <f t="shared" si="128"/>
        <v>144</v>
      </c>
      <c r="V279" s="29">
        <f t="shared" si="129"/>
        <v>144</v>
      </c>
      <c r="W279" s="35">
        <f t="shared" si="115"/>
        <v>42505</v>
      </c>
      <c r="X279" s="35"/>
      <c r="Z279" s="58">
        <f t="shared" si="121"/>
        <v>120</v>
      </c>
      <c r="AA279" s="31">
        <f t="shared" si="131"/>
        <v>0</v>
      </c>
      <c r="AB279" t="b">
        <f t="shared" si="130"/>
        <v>0</v>
      </c>
    </row>
    <row r="280" spans="1:29" x14ac:dyDescent="0.25">
      <c r="A280">
        <v>278</v>
      </c>
      <c r="D280" s="9" t="s">
        <v>614</v>
      </c>
      <c r="E280" s="1">
        <f t="shared" si="133"/>
        <v>42736</v>
      </c>
      <c r="F280" s="1">
        <f t="shared" si="133"/>
        <v>42736</v>
      </c>
      <c r="G280" s="1" t="str">
        <f t="shared" si="124"/>
        <v>jarosoft: AfA 2017</v>
      </c>
      <c r="H280" t="s">
        <v>617</v>
      </c>
      <c r="J280" t="str">
        <f>VLOOKUP(--$D280,AfA!$A:$C,2)</f>
        <v>AfA 2017</v>
      </c>
      <c r="N280" t="b">
        <f t="shared" si="132"/>
        <v>0</v>
      </c>
      <c r="O280" s="36">
        <v>494.334</v>
      </c>
      <c r="P280" s="51">
        <v>1</v>
      </c>
      <c r="Q280" s="27">
        <v>0</v>
      </c>
      <c r="R280" s="31">
        <f t="shared" si="125"/>
        <v>0</v>
      </c>
      <c r="S280" s="31">
        <f t="shared" si="126"/>
        <v>0</v>
      </c>
      <c r="T280" s="33">
        <f t="shared" si="127"/>
        <v>494.334</v>
      </c>
      <c r="U280" s="29">
        <f t="shared" si="128"/>
        <v>494.334</v>
      </c>
      <c r="V280" s="29">
        <f t="shared" si="129"/>
        <v>494.334</v>
      </c>
      <c r="W280" s="35">
        <f t="shared" si="115"/>
        <v>42870</v>
      </c>
      <c r="X280" s="35"/>
      <c r="Z280" s="58">
        <f t="shared" si="121"/>
        <v>494.334</v>
      </c>
      <c r="AA280" s="31">
        <f t="shared" si="131"/>
        <v>0</v>
      </c>
      <c r="AB280" t="b">
        <f t="shared" si="130"/>
        <v>0</v>
      </c>
      <c r="AC280" t="b">
        <f>Z280&lt;&gt;T280</f>
        <v>0</v>
      </c>
    </row>
    <row r="281" spans="1:29" x14ac:dyDescent="0.25">
      <c r="A281">
        <v>279</v>
      </c>
      <c r="B281" s="53">
        <v>2018</v>
      </c>
      <c r="C281" s="53">
        <v>1</v>
      </c>
      <c r="D281" s="9" t="s">
        <v>615</v>
      </c>
      <c r="E281" s="1">
        <f t="shared" si="133"/>
        <v>43101</v>
      </c>
      <c r="F281" s="1">
        <f t="shared" si="133"/>
        <v>43101</v>
      </c>
      <c r="G281" s="1" t="str">
        <f t="shared" si="124"/>
        <v>jarosoft: AfA 2018</v>
      </c>
      <c r="H281" t="s">
        <v>617</v>
      </c>
      <c r="J281" t="str">
        <f>VLOOKUP(--$D281,AfA!$A:$C,2)</f>
        <v>AfA 2018</v>
      </c>
      <c r="L281" s="16" t="s">
        <v>687</v>
      </c>
      <c r="M281" s="16" t="str">
        <f>IF(L281="Waren, Rohstoffe, Hilfsstoffe", "Weiterverkauf", "")</f>
        <v/>
      </c>
      <c r="N281" t="b">
        <f t="shared" si="132"/>
        <v>0</v>
      </c>
      <c r="O281" s="36">
        <v>494.334</v>
      </c>
      <c r="P281" s="51">
        <v>1</v>
      </c>
      <c r="Q281" s="27">
        <v>20</v>
      </c>
      <c r="R281" s="31">
        <f t="shared" si="125"/>
        <v>98.866799999999998</v>
      </c>
      <c r="S281" s="31">
        <f t="shared" si="126"/>
        <v>98.866799999999998</v>
      </c>
      <c r="T281" s="33">
        <f t="shared" si="127"/>
        <v>494.334</v>
      </c>
      <c r="U281" s="29">
        <f t="shared" si="128"/>
        <v>593.20079999999996</v>
      </c>
      <c r="V281" s="29">
        <f t="shared" si="129"/>
        <v>593.20079999999996</v>
      </c>
      <c r="W281" s="35">
        <f t="shared" si="115"/>
        <v>43235</v>
      </c>
      <c r="X281" s="35"/>
      <c r="Z281" s="58">
        <f t="shared" si="121"/>
        <v>494.334</v>
      </c>
      <c r="AA281" s="31">
        <f t="shared" si="131"/>
        <v>0</v>
      </c>
      <c r="AB281" t="b">
        <f t="shared" si="130"/>
        <v>0</v>
      </c>
    </row>
    <row r="282" spans="1:29" x14ac:dyDescent="0.25">
      <c r="A282">
        <v>280</v>
      </c>
      <c r="B282" s="53">
        <v>2018</v>
      </c>
      <c r="C282" s="53">
        <v>2</v>
      </c>
      <c r="D282" s="9" t="s">
        <v>621</v>
      </c>
      <c r="F282" s="1">
        <v>43102</v>
      </c>
      <c r="G282" t="s">
        <v>619</v>
      </c>
      <c r="L282" s="16" t="s">
        <v>683</v>
      </c>
      <c r="M282" s="16" t="str">
        <f>IF(L282="Waren, Rohstoffe, Hilfsstoffe", "Weiterverkauf", "")</f>
        <v>Weiterverkauf</v>
      </c>
      <c r="N282" t="b">
        <f t="shared" si="132"/>
        <v>0</v>
      </c>
      <c r="O282" s="36">
        <v>79.33</v>
      </c>
      <c r="P282" s="51">
        <v>1</v>
      </c>
      <c r="Q282" s="27">
        <v>20</v>
      </c>
      <c r="R282" s="31">
        <f t="shared" si="125"/>
        <v>15.866</v>
      </c>
      <c r="S282" s="31">
        <f t="shared" si="126"/>
        <v>15.866</v>
      </c>
      <c r="T282" s="33">
        <f t="shared" si="127"/>
        <v>79.33</v>
      </c>
      <c r="U282" s="29">
        <f t="shared" si="128"/>
        <v>95.195999999999998</v>
      </c>
      <c r="V282" s="29">
        <f t="shared" si="129"/>
        <v>95.195999999999998</v>
      </c>
      <c r="W282" s="35">
        <f t="shared" si="115"/>
        <v>43235</v>
      </c>
      <c r="X282" s="35"/>
      <c r="Z282" s="58">
        <f>IF(N282=TRUE,T282/M282,T282)</f>
        <v>79.33</v>
      </c>
      <c r="AA282" s="31">
        <f t="shared" si="131"/>
        <v>0</v>
      </c>
      <c r="AB282" t="b">
        <f t="shared" si="130"/>
        <v>0</v>
      </c>
    </row>
    <row r="283" spans="1:29" x14ac:dyDescent="0.25">
      <c r="A283">
        <v>281</v>
      </c>
      <c r="B283" s="53">
        <v>2018</v>
      </c>
      <c r="C283" s="53">
        <v>3</v>
      </c>
      <c r="D283" s="9" t="s">
        <v>620</v>
      </c>
      <c r="F283" s="1">
        <v>43103</v>
      </c>
      <c r="G283" t="s">
        <v>647</v>
      </c>
      <c r="L283" s="16" t="s">
        <v>703</v>
      </c>
      <c r="M283" s="16" t="str">
        <f t="shared" ref="M283:M315" si="134">IF(L283="Waren, Rohstoffe, Hilfsstoffe", "Weiterverkauf", "")</f>
        <v/>
      </c>
      <c r="N283" t="b">
        <f t="shared" si="132"/>
        <v>0</v>
      </c>
      <c r="O283" s="36">
        <v>42.12</v>
      </c>
      <c r="P283" s="51">
        <f>20.3/39.11*2/3</f>
        <v>0.34603255774311775</v>
      </c>
      <c r="Q283" s="27" t="s">
        <v>14</v>
      </c>
      <c r="R283" s="31">
        <v>6.38</v>
      </c>
      <c r="S283" s="31">
        <f t="shared" si="126"/>
        <v>2.207687718401091</v>
      </c>
      <c r="T283" s="33">
        <f t="shared" si="127"/>
        <v>14.574891332140119</v>
      </c>
      <c r="U283" s="29">
        <f t="shared" si="128"/>
        <v>48.5</v>
      </c>
      <c r="V283" s="29">
        <f t="shared" si="129"/>
        <v>16.782579050541209</v>
      </c>
      <c r="W283" s="35">
        <f t="shared" si="115"/>
        <v>43235</v>
      </c>
      <c r="X283" s="35"/>
      <c r="Z283" s="58">
        <f>IF(N283=TRUE,T283/M283,T283)</f>
        <v>14.574891332140119</v>
      </c>
      <c r="AA283" s="31">
        <f t="shared" si="131"/>
        <v>0</v>
      </c>
      <c r="AB283" t="b">
        <f t="shared" si="130"/>
        <v>0</v>
      </c>
    </row>
    <row r="284" spans="1:29" x14ac:dyDescent="0.25">
      <c r="A284">
        <v>282</v>
      </c>
      <c r="B284" s="53">
        <v>2018</v>
      </c>
      <c r="C284" s="53">
        <v>4</v>
      </c>
      <c r="D284" s="9" t="s">
        <v>622</v>
      </c>
      <c r="F284" s="1">
        <v>43111</v>
      </c>
      <c r="G284" t="s">
        <v>34</v>
      </c>
      <c r="L284" s="16" t="s">
        <v>703</v>
      </c>
      <c r="M284" s="16" t="str">
        <f t="shared" si="134"/>
        <v/>
      </c>
      <c r="N284" t="b">
        <f t="shared" si="132"/>
        <v>0</v>
      </c>
      <c r="O284" s="36">
        <v>16.739999999999998</v>
      </c>
      <c r="P284" s="51">
        <v>1</v>
      </c>
      <c r="Q284" s="27">
        <v>20</v>
      </c>
      <c r="R284" s="31">
        <f>O284*Q284/100</f>
        <v>3.3479999999999994</v>
      </c>
      <c r="S284" s="31">
        <f t="shared" ref="S284:S301" si="135">P284*R284</f>
        <v>3.3479999999999994</v>
      </c>
      <c r="T284" s="33">
        <f t="shared" ref="T284:T301" si="136">O284*P284</f>
        <v>16.739999999999998</v>
      </c>
      <c r="U284" s="29">
        <f t="shared" si="128"/>
        <v>20.087999999999997</v>
      </c>
      <c r="V284" s="29">
        <f t="shared" si="129"/>
        <v>20.087999999999997</v>
      </c>
      <c r="W284" s="35">
        <f t="shared" si="115"/>
        <v>43235</v>
      </c>
      <c r="X284" s="35"/>
      <c r="Z284" s="58">
        <f>IF(N284=TRUE,T284/M284,T284)</f>
        <v>16.739999999999998</v>
      </c>
      <c r="AA284" s="31">
        <f t="shared" si="131"/>
        <v>0</v>
      </c>
      <c r="AB284" t="b">
        <f t="shared" si="130"/>
        <v>0</v>
      </c>
    </row>
    <row r="285" spans="1:29" x14ac:dyDescent="0.25">
      <c r="A285">
        <v>283</v>
      </c>
      <c r="D285" s="9" t="s">
        <v>635</v>
      </c>
      <c r="F285" s="1">
        <v>42390</v>
      </c>
      <c r="G285" t="s">
        <v>623</v>
      </c>
      <c r="L285" s="16" t="s">
        <v>703</v>
      </c>
      <c r="M285" s="16" t="str">
        <f t="shared" si="134"/>
        <v/>
      </c>
      <c r="N285" t="b">
        <f t="shared" si="132"/>
        <v>0</v>
      </c>
      <c r="O285" s="36">
        <v>40.15</v>
      </c>
      <c r="P285" s="51">
        <f t="shared" ref="P285:P296" si="137">20.3/39.11*2/3</f>
        <v>0.34603255774311775</v>
      </c>
      <c r="Q285" s="27" t="s">
        <v>14</v>
      </c>
      <c r="R285" s="31">
        <v>6.15</v>
      </c>
      <c r="S285" s="31">
        <f t="shared" si="135"/>
        <v>2.1281002301201744</v>
      </c>
      <c r="T285" s="33">
        <f t="shared" si="136"/>
        <v>13.893207193386177</v>
      </c>
      <c r="U285" s="29">
        <f t="shared" ref="U285:U301" si="138">O285+R285</f>
        <v>46.3</v>
      </c>
      <c r="V285" s="29">
        <f t="shared" ref="V285:V301" si="139">T285+S285</f>
        <v>16.02130742350635</v>
      </c>
      <c r="W285" s="35">
        <f t="shared" si="115"/>
        <v>42505</v>
      </c>
      <c r="X285" s="35"/>
      <c r="Z285" s="58">
        <f t="shared" ref="Z285:Z296" si="140">IF(N285=TRUE,T285/M285,T285)</f>
        <v>13.893207193386177</v>
      </c>
      <c r="AA285" s="31">
        <f t="shared" ref="AA285:AA298" si="141">Y285/100*V285</f>
        <v>0</v>
      </c>
      <c r="AB285" t="b">
        <f t="shared" ref="AB285:AB298" si="142">IF(AND(Y285&gt;0,Q285=Y285),TRUE,FALSE)</f>
        <v>0</v>
      </c>
    </row>
    <row r="286" spans="1:29" x14ac:dyDescent="0.25">
      <c r="A286">
        <v>284</v>
      </c>
      <c r="D286" s="9" t="s">
        <v>636</v>
      </c>
      <c r="F286" s="1">
        <v>42415</v>
      </c>
      <c r="G286" t="s">
        <v>624</v>
      </c>
      <c r="L286" s="16" t="s">
        <v>703</v>
      </c>
      <c r="M286" s="16" t="str">
        <f t="shared" si="134"/>
        <v/>
      </c>
      <c r="N286" t="b">
        <f t="shared" si="132"/>
        <v>0</v>
      </c>
      <c r="O286" s="36">
        <v>40.15</v>
      </c>
      <c r="P286" s="51">
        <f t="shared" si="137"/>
        <v>0.34603255774311775</v>
      </c>
      <c r="Q286" s="27" t="s">
        <v>14</v>
      </c>
      <c r="R286" s="31">
        <v>6.15</v>
      </c>
      <c r="S286" s="31">
        <f t="shared" si="135"/>
        <v>2.1281002301201744</v>
      </c>
      <c r="T286" s="33">
        <f t="shared" si="136"/>
        <v>13.893207193386177</v>
      </c>
      <c r="U286" s="29">
        <f t="shared" si="138"/>
        <v>46.3</v>
      </c>
      <c r="V286" s="29">
        <f t="shared" si="139"/>
        <v>16.02130742350635</v>
      </c>
      <c r="W286" s="35">
        <f t="shared" si="115"/>
        <v>42505</v>
      </c>
      <c r="X286" s="35"/>
      <c r="Z286" s="58">
        <f t="shared" si="140"/>
        <v>13.893207193386177</v>
      </c>
      <c r="AA286" s="31">
        <f t="shared" si="141"/>
        <v>0</v>
      </c>
      <c r="AB286" t="b">
        <f t="shared" si="142"/>
        <v>0</v>
      </c>
    </row>
    <row r="287" spans="1:29" x14ac:dyDescent="0.25">
      <c r="A287">
        <v>285</v>
      </c>
      <c r="D287" s="9" t="s">
        <v>637</v>
      </c>
      <c r="F287" s="1">
        <v>42443</v>
      </c>
      <c r="G287" t="s">
        <v>625</v>
      </c>
      <c r="L287" s="16" t="s">
        <v>703</v>
      </c>
      <c r="M287" s="16" t="str">
        <f t="shared" si="134"/>
        <v/>
      </c>
      <c r="N287" t="b">
        <f t="shared" si="132"/>
        <v>0</v>
      </c>
      <c r="O287" s="36">
        <v>40.15</v>
      </c>
      <c r="P287" s="51">
        <f t="shared" si="137"/>
        <v>0.34603255774311775</v>
      </c>
      <c r="Q287" s="27" t="s">
        <v>14</v>
      </c>
      <c r="R287" s="31">
        <v>6.15</v>
      </c>
      <c r="S287" s="31">
        <f t="shared" si="135"/>
        <v>2.1281002301201744</v>
      </c>
      <c r="T287" s="33">
        <f t="shared" si="136"/>
        <v>13.893207193386177</v>
      </c>
      <c r="U287" s="29">
        <f t="shared" si="138"/>
        <v>46.3</v>
      </c>
      <c r="V287" s="29">
        <f t="shared" si="139"/>
        <v>16.02130742350635</v>
      </c>
      <c r="W287" s="35">
        <f t="shared" si="115"/>
        <v>42505</v>
      </c>
      <c r="X287" s="35"/>
      <c r="Z287" s="58">
        <f t="shared" si="140"/>
        <v>13.893207193386177</v>
      </c>
      <c r="AA287" s="31">
        <f t="shared" si="141"/>
        <v>0</v>
      </c>
      <c r="AB287" t="b">
        <f t="shared" si="142"/>
        <v>0</v>
      </c>
    </row>
    <row r="288" spans="1:29" x14ac:dyDescent="0.25">
      <c r="A288">
        <v>286</v>
      </c>
      <c r="D288" s="9" t="s">
        <v>638</v>
      </c>
      <c r="F288" s="1">
        <v>42478</v>
      </c>
      <c r="G288" t="s">
        <v>626</v>
      </c>
      <c r="L288" s="16" t="s">
        <v>703</v>
      </c>
      <c r="M288" s="16" t="str">
        <f t="shared" si="134"/>
        <v/>
      </c>
      <c r="N288" t="b">
        <f t="shared" si="132"/>
        <v>0</v>
      </c>
      <c r="O288" s="36">
        <v>40.15</v>
      </c>
      <c r="P288" s="51">
        <f t="shared" si="137"/>
        <v>0.34603255774311775</v>
      </c>
      <c r="Q288" s="27" t="s">
        <v>14</v>
      </c>
      <c r="R288" s="31">
        <v>6.15</v>
      </c>
      <c r="S288" s="31">
        <f t="shared" si="135"/>
        <v>2.1281002301201744</v>
      </c>
      <c r="T288" s="33">
        <f t="shared" si="136"/>
        <v>13.893207193386177</v>
      </c>
      <c r="U288" s="29">
        <f t="shared" si="138"/>
        <v>46.3</v>
      </c>
      <c r="V288" s="29">
        <f t="shared" si="139"/>
        <v>16.02130742350635</v>
      </c>
      <c r="W288" s="35">
        <f t="shared" si="115"/>
        <v>42597</v>
      </c>
      <c r="X288" s="35"/>
      <c r="Z288" s="58">
        <f t="shared" si="140"/>
        <v>13.893207193386177</v>
      </c>
      <c r="AA288" s="31">
        <f t="shared" si="141"/>
        <v>0</v>
      </c>
      <c r="AB288" t="b">
        <f t="shared" si="142"/>
        <v>0</v>
      </c>
    </row>
    <row r="289" spans="1:29" x14ac:dyDescent="0.25">
      <c r="A289">
        <v>287</v>
      </c>
      <c r="D289" s="9" t="s">
        <v>639</v>
      </c>
      <c r="F289" s="1">
        <v>42507</v>
      </c>
      <c r="G289" t="s">
        <v>627</v>
      </c>
      <c r="L289" s="16" t="s">
        <v>703</v>
      </c>
      <c r="M289" s="16" t="str">
        <f t="shared" si="134"/>
        <v/>
      </c>
      <c r="N289" t="b">
        <f t="shared" si="132"/>
        <v>0</v>
      </c>
      <c r="O289" s="36">
        <v>40.15</v>
      </c>
      <c r="P289" s="51">
        <f t="shared" si="137"/>
        <v>0.34603255774311775</v>
      </c>
      <c r="Q289" s="27" t="s">
        <v>14</v>
      </c>
      <c r="R289" s="31">
        <v>6.15</v>
      </c>
      <c r="S289" s="31">
        <f t="shared" si="135"/>
        <v>2.1281002301201744</v>
      </c>
      <c r="T289" s="33">
        <f t="shared" si="136"/>
        <v>13.893207193386177</v>
      </c>
      <c r="U289" s="29">
        <f t="shared" si="138"/>
        <v>46.3</v>
      </c>
      <c r="V289" s="29">
        <f t="shared" si="139"/>
        <v>16.02130742350635</v>
      </c>
      <c r="W289" s="35">
        <f t="shared" si="115"/>
        <v>42597</v>
      </c>
      <c r="X289" s="35"/>
      <c r="Z289" s="58">
        <f t="shared" si="140"/>
        <v>13.893207193386177</v>
      </c>
      <c r="AA289" s="31">
        <f t="shared" si="141"/>
        <v>0</v>
      </c>
      <c r="AB289" t="b">
        <f t="shared" si="142"/>
        <v>0</v>
      </c>
    </row>
    <row r="290" spans="1:29" x14ac:dyDescent="0.25">
      <c r="A290">
        <v>288</v>
      </c>
      <c r="D290" s="9" t="s">
        <v>640</v>
      </c>
      <c r="F290" s="1">
        <v>42541</v>
      </c>
      <c r="G290" t="s">
        <v>628</v>
      </c>
      <c r="L290" s="16" t="s">
        <v>703</v>
      </c>
      <c r="M290" s="16" t="str">
        <f t="shared" si="134"/>
        <v/>
      </c>
      <c r="N290" t="b">
        <f t="shared" si="132"/>
        <v>0</v>
      </c>
      <c r="O290" s="36">
        <v>40.15</v>
      </c>
      <c r="P290" s="51">
        <f t="shared" si="137"/>
        <v>0.34603255774311775</v>
      </c>
      <c r="Q290" s="27" t="s">
        <v>14</v>
      </c>
      <c r="R290" s="31">
        <v>6.15</v>
      </c>
      <c r="S290" s="31">
        <f t="shared" si="135"/>
        <v>2.1281002301201744</v>
      </c>
      <c r="T290" s="33">
        <f t="shared" si="136"/>
        <v>13.893207193386177</v>
      </c>
      <c r="U290" s="29">
        <f t="shared" si="138"/>
        <v>46.3</v>
      </c>
      <c r="V290" s="29">
        <f t="shared" si="139"/>
        <v>16.02130742350635</v>
      </c>
      <c r="W290" s="35">
        <f t="shared" si="115"/>
        <v>42597</v>
      </c>
      <c r="X290" s="35"/>
      <c r="Z290" s="58">
        <f t="shared" si="140"/>
        <v>13.893207193386177</v>
      </c>
      <c r="AA290" s="31">
        <f t="shared" si="141"/>
        <v>0</v>
      </c>
      <c r="AB290" t="b">
        <f t="shared" si="142"/>
        <v>0</v>
      </c>
    </row>
    <row r="291" spans="1:29" x14ac:dyDescent="0.25">
      <c r="A291">
        <v>289</v>
      </c>
      <c r="D291" s="9" t="s">
        <v>641</v>
      </c>
      <c r="F291" s="1">
        <v>42569</v>
      </c>
      <c r="G291" t="s">
        <v>629</v>
      </c>
      <c r="L291" s="16" t="s">
        <v>703</v>
      </c>
      <c r="M291" s="16" t="str">
        <f t="shared" si="134"/>
        <v/>
      </c>
      <c r="N291" t="b">
        <f t="shared" si="132"/>
        <v>0</v>
      </c>
      <c r="O291" s="36">
        <v>40.15</v>
      </c>
      <c r="P291" s="51">
        <f t="shared" si="137"/>
        <v>0.34603255774311775</v>
      </c>
      <c r="Q291" s="27" t="s">
        <v>14</v>
      </c>
      <c r="R291" s="31">
        <v>6.15</v>
      </c>
      <c r="S291" s="31">
        <f t="shared" si="135"/>
        <v>2.1281002301201744</v>
      </c>
      <c r="T291" s="33">
        <f t="shared" si="136"/>
        <v>13.893207193386177</v>
      </c>
      <c r="U291" s="29">
        <f t="shared" si="138"/>
        <v>46.3</v>
      </c>
      <c r="V291" s="29">
        <f t="shared" si="139"/>
        <v>16.02130742350635</v>
      </c>
      <c r="W291" s="35">
        <f t="shared" si="115"/>
        <v>42689</v>
      </c>
      <c r="X291" s="35"/>
      <c r="Z291" s="58">
        <f t="shared" si="140"/>
        <v>13.893207193386177</v>
      </c>
      <c r="AA291" s="31">
        <f t="shared" si="141"/>
        <v>0</v>
      </c>
      <c r="AB291" t="b">
        <f t="shared" si="142"/>
        <v>0</v>
      </c>
    </row>
    <row r="292" spans="1:29" x14ac:dyDescent="0.25">
      <c r="A292">
        <v>290</v>
      </c>
      <c r="D292" s="9" t="s">
        <v>642</v>
      </c>
      <c r="F292" s="1">
        <v>42598</v>
      </c>
      <c r="G292" t="s">
        <v>630</v>
      </c>
      <c r="L292" s="16" t="s">
        <v>703</v>
      </c>
      <c r="M292" s="16" t="str">
        <f t="shared" si="134"/>
        <v/>
      </c>
      <c r="N292" t="b">
        <f t="shared" si="132"/>
        <v>0</v>
      </c>
      <c r="O292" s="36">
        <v>40.15</v>
      </c>
      <c r="P292" s="51">
        <f t="shared" si="137"/>
        <v>0.34603255774311775</v>
      </c>
      <c r="Q292" s="27" t="s">
        <v>14</v>
      </c>
      <c r="R292" s="31">
        <v>6.15</v>
      </c>
      <c r="S292" s="31">
        <f t="shared" si="135"/>
        <v>2.1281002301201744</v>
      </c>
      <c r="T292" s="33">
        <f t="shared" si="136"/>
        <v>13.893207193386177</v>
      </c>
      <c r="U292" s="29">
        <f t="shared" si="138"/>
        <v>46.3</v>
      </c>
      <c r="V292" s="29">
        <f t="shared" si="139"/>
        <v>16.02130742350635</v>
      </c>
      <c r="W292" s="35">
        <f t="shared" si="115"/>
        <v>42689</v>
      </c>
      <c r="X292" s="35"/>
      <c r="Z292" s="58">
        <f t="shared" si="140"/>
        <v>13.893207193386177</v>
      </c>
      <c r="AA292" s="31">
        <f t="shared" si="141"/>
        <v>0</v>
      </c>
      <c r="AB292" t="b">
        <f t="shared" si="142"/>
        <v>0</v>
      </c>
    </row>
    <row r="293" spans="1:29" x14ac:dyDescent="0.25">
      <c r="A293">
        <v>291</v>
      </c>
      <c r="D293" s="9" t="s">
        <v>643</v>
      </c>
      <c r="F293" s="1">
        <v>42628</v>
      </c>
      <c r="G293" t="s">
        <v>631</v>
      </c>
      <c r="L293" s="16" t="s">
        <v>703</v>
      </c>
      <c r="M293" s="16" t="str">
        <f t="shared" si="134"/>
        <v/>
      </c>
      <c r="N293" t="b">
        <f t="shared" si="132"/>
        <v>0</v>
      </c>
      <c r="O293" s="36">
        <v>40.15</v>
      </c>
      <c r="P293" s="51">
        <f t="shared" si="137"/>
        <v>0.34603255774311775</v>
      </c>
      <c r="Q293" s="27" t="s">
        <v>14</v>
      </c>
      <c r="R293" s="31">
        <v>6.15</v>
      </c>
      <c r="S293" s="31">
        <f t="shared" si="135"/>
        <v>2.1281002301201744</v>
      </c>
      <c r="T293" s="33">
        <f t="shared" si="136"/>
        <v>13.893207193386177</v>
      </c>
      <c r="U293" s="29">
        <f t="shared" si="138"/>
        <v>46.3</v>
      </c>
      <c r="V293" s="29">
        <f t="shared" si="139"/>
        <v>16.02130742350635</v>
      </c>
      <c r="W293" s="35">
        <f t="shared" si="115"/>
        <v>42689</v>
      </c>
      <c r="X293" s="35"/>
      <c r="Z293" s="58">
        <f t="shared" si="140"/>
        <v>13.893207193386177</v>
      </c>
      <c r="AA293" s="31">
        <f t="shared" si="141"/>
        <v>0</v>
      </c>
      <c r="AB293" t="b">
        <f t="shared" si="142"/>
        <v>0</v>
      </c>
    </row>
    <row r="294" spans="1:29" x14ac:dyDescent="0.25">
      <c r="A294">
        <v>292</v>
      </c>
      <c r="D294" s="9" t="s">
        <v>644</v>
      </c>
      <c r="F294" s="1">
        <v>42656</v>
      </c>
      <c r="G294" t="s">
        <v>632</v>
      </c>
      <c r="L294" s="16" t="s">
        <v>703</v>
      </c>
      <c r="M294" s="16" t="str">
        <f t="shared" si="134"/>
        <v/>
      </c>
      <c r="N294" t="b">
        <f t="shared" si="132"/>
        <v>0</v>
      </c>
      <c r="O294" s="36">
        <v>40.15</v>
      </c>
      <c r="P294" s="51">
        <f t="shared" si="137"/>
        <v>0.34603255774311775</v>
      </c>
      <c r="Q294" s="27" t="s">
        <v>14</v>
      </c>
      <c r="R294" s="31">
        <v>6.15</v>
      </c>
      <c r="S294" s="31">
        <f t="shared" si="135"/>
        <v>2.1281002301201744</v>
      </c>
      <c r="T294" s="33">
        <f t="shared" si="136"/>
        <v>13.893207193386177</v>
      </c>
      <c r="U294" s="29">
        <f t="shared" si="138"/>
        <v>46.3</v>
      </c>
      <c r="V294" s="29">
        <f t="shared" si="139"/>
        <v>16.02130742350635</v>
      </c>
      <c r="W294" s="35">
        <f t="shared" si="115"/>
        <v>42781</v>
      </c>
      <c r="X294" s="35"/>
      <c r="Z294" s="58">
        <f t="shared" si="140"/>
        <v>13.893207193386177</v>
      </c>
      <c r="AA294" s="31">
        <f t="shared" si="141"/>
        <v>0</v>
      </c>
      <c r="AB294" t="b">
        <f t="shared" si="142"/>
        <v>0</v>
      </c>
    </row>
    <row r="295" spans="1:29" x14ac:dyDescent="0.25">
      <c r="A295">
        <v>293</v>
      </c>
      <c r="D295" s="9" t="s">
        <v>645</v>
      </c>
      <c r="F295" s="1">
        <v>42688</v>
      </c>
      <c r="G295" t="s">
        <v>633</v>
      </c>
      <c r="L295" s="16" t="s">
        <v>703</v>
      </c>
      <c r="M295" s="16" t="str">
        <f t="shared" si="134"/>
        <v/>
      </c>
      <c r="N295" t="b">
        <f t="shared" si="132"/>
        <v>0</v>
      </c>
      <c r="O295" s="36">
        <v>40.15</v>
      </c>
      <c r="P295" s="51">
        <f t="shared" si="137"/>
        <v>0.34603255774311775</v>
      </c>
      <c r="Q295" s="27" t="s">
        <v>14</v>
      </c>
      <c r="R295" s="31">
        <v>6.15</v>
      </c>
      <c r="S295" s="31">
        <f t="shared" si="135"/>
        <v>2.1281002301201744</v>
      </c>
      <c r="T295" s="33">
        <f t="shared" si="136"/>
        <v>13.893207193386177</v>
      </c>
      <c r="U295" s="29">
        <f t="shared" si="138"/>
        <v>46.3</v>
      </c>
      <c r="V295" s="29">
        <f t="shared" si="139"/>
        <v>16.02130742350635</v>
      </c>
      <c r="W295" s="35">
        <f t="shared" si="115"/>
        <v>42781</v>
      </c>
      <c r="X295" s="35"/>
      <c r="Z295" s="58">
        <f t="shared" si="140"/>
        <v>13.893207193386177</v>
      </c>
      <c r="AA295" s="31">
        <f t="shared" si="141"/>
        <v>0</v>
      </c>
      <c r="AB295" t="b">
        <f t="shared" si="142"/>
        <v>0</v>
      </c>
    </row>
    <row r="296" spans="1:29" x14ac:dyDescent="0.25">
      <c r="A296">
        <v>294</v>
      </c>
      <c r="D296" s="9" t="s">
        <v>646</v>
      </c>
      <c r="F296" s="1">
        <v>42724</v>
      </c>
      <c r="G296" t="s">
        <v>634</v>
      </c>
      <c r="L296" s="16" t="s">
        <v>703</v>
      </c>
      <c r="M296" s="16" t="str">
        <f t="shared" si="134"/>
        <v/>
      </c>
      <c r="N296" t="b">
        <f t="shared" si="132"/>
        <v>0</v>
      </c>
      <c r="O296" s="36">
        <v>40.15</v>
      </c>
      <c r="P296" s="51">
        <f t="shared" si="137"/>
        <v>0.34603255774311775</v>
      </c>
      <c r="Q296" s="27" t="s">
        <v>14</v>
      </c>
      <c r="R296" s="31">
        <v>6.15</v>
      </c>
      <c r="S296" s="31">
        <f t="shared" si="135"/>
        <v>2.1281002301201744</v>
      </c>
      <c r="T296" s="33">
        <f t="shared" si="136"/>
        <v>13.893207193386177</v>
      </c>
      <c r="U296" s="29">
        <f t="shared" si="138"/>
        <v>46.3</v>
      </c>
      <c r="V296" s="29">
        <f t="shared" si="139"/>
        <v>16.02130742350635</v>
      </c>
      <c r="W296" s="35">
        <f t="shared" si="115"/>
        <v>42781</v>
      </c>
      <c r="X296" s="35"/>
      <c r="Z296" s="58">
        <f t="shared" si="140"/>
        <v>13.893207193386177</v>
      </c>
      <c r="AA296" s="31">
        <f t="shared" si="141"/>
        <v>0</v>
      </c>
      <c r="AB296" t="b">
        <f t="shared" si="142"/>
        <v>0</v>
      </c>
    </row>
    <row r="297" spans="1:29" x14ac:dyDescent="0.25">
      <c r="A297">
        <v>295</v>
      </c>
      <c r="B297" s="53">
        <v>2018</v>
      </c>
      <c r="C297" s="53">
        <v>5</v>
      </c>
      <c r="D297" s="9">
        <v>14002676583</v>
      </c>
      <c r="F297" s="1">
        <v>43115</v>
      </c>
      <c r="G297" s="1" t="str">
        <f>CONCATENATE(H297,": ",J297)</f>
        <v>MONTANA Energie-Handel AT GmbH: Teilzahlungsbetrag Gas</v>
      </c>
      <c r="H297" t="s">
        <v>58</v>
      </c>
      <c r="J297" t="s">
        <v>401</v>
      </c>
      <c r="L297" s="16" t="s">
        <v>705</v>
      </c>
      <c r="M297" s="16" t="str">
        <f t="shared" si="134"/>
        <v/>
      </c>
      <c r="N297" t="b">
        <f t="shared" si="132"/>
        <v>0</v>
      </c>
      <c r="O297" s="36">
        <v>82.5</v>
      </c>
      <c r="P297" s="51">
        <f>Arbeitszimmer!$B$3</f>
        <v>0.27320378419841473</v>
      </c>
      <c r="Q297" s="27">
        <v>20</v>
      </c>
      <c r="R297" s="31">
        <f>O297*Q297/100</f>
        <v>16.5</v>
      </c>
      <c r="S297" s="31">
        <f t="shared" si="135"/>
        <v>4.5078624392738433</v>
      </c>
      <c r="T297" s="33">
        <f t="shared" si="136"/>
        <v>22.539312196369217</v>
      </c>
      <c r="U297" s="29">
        <f t="shared" si="138"/>
        <v>99</v>
      </c>
      <c r="V297" s="29">
        <f t="shared" si="139"/>
        <v>27.04717463564306</v>
      </c>
      <c r="W297" s="35">
        <f t="shared" si="115"/>
        <v>43235</v>
      </c>
      <c r="X297" s="35">
        <v>43234</v>
      </c>
      <c r="Z297" s="58">
        <f>IF(N297=TRUE,T297/K297,T297)</f>
        <v>22.539312196369217</v>
      </c>
      <c r="AA297" s="31">
        <f t="shared" si="141"/>
        <v>0</v>
      </c>
      <c r="AB297" t="b">
        <f t="shared" si="142"/>
        <v>0</v>
      </c>
    </row>
    <row r="298" spans="1:29" x14ac:dyDescent="0.25">
      <c r="A298">
        <v>296</v>
      </c>
      <c r="B298" s="53">
        <v>2018</v>
      </c>
      <c r="C298" s="53">
        <v>6</v>
      </c>
      <c r="D298" s="9" t="s">
        <v>648</v>
      </c>
      <c r="F298" s="1">
        <v>43115</v>
      </c>
      <c r="G298" s="1" t="str">
        <f>CONCATENATE(H298,": ",J298)</f>
        <v>VERBUND AG, Postfach 8400, 1011 Wien, Österreich: Teilzahlungsvorschreibung</v>
      </c>
      <c r="H298" t="s">
        <v>57</v>
      </c>
      <c r="I298" t="s">
        <v>499</v>
      </c>
      <c r="J298" t="s">
        <v>502</v>
      </c>
      <c r="L298" s="16" t="s">
        <v>705</v>
      </c>
      <c r="M298" s="16" t="str">
        <f t="shared" si="134"/>
        <v/>
      </c>
      <c r="N298" t="b">
        <f t="shared" si="132"/>
        <v>0</v>
      </c>
      <c r="O298" s="36">
        <v>151.66999999999999</v>
      </c>
      <c r="P298" s="51">
        <f>Arbeitszimmer!$B$3</f>
        <v>0.27320378419841473</v>
      </c>
      <c r="Q298" s="27">
        <v>20</v>
      </c>
      <c r="R298" s="31">
        <f>O298*Q298/100</f>
        <v>30.333999999999996</v>
      </c>
      <c r="S298" s="31">
        <f t="shared" si="135"/>
        <v>8.2873635898747118</v>
      </c>
      <c r="T298" s="33">
        <f t="shared" si="136"/>
        <v>41.436817949373562</v>
      </c>
      <c r="U298" s="29">
        <f t="shared" si="138"/>
        <v>182.00399999999999</v>
      </c>
      <c r="V298" s="29">
        <f t="shared" si="139"/>
        <v>49.724181539248278</v>
      </c>
      <c r="W298" s="35">
        <f t="shared" si="115"/>
        <v>43235</v>
      </c>
      <c r="X298" s="35">
        <v>43234</v>
      </c>
      <c r="Z298" s="58">
        <f>IF(N298=TRUE,T298/K298,T298)</f>
        <v>41.436817949373562</v>
      </c>
      <c r="AA298" s="31">
        <f t="shared" si="141"/>
        <v>0</v>
      </c>
      <c r="AB298" t="b">
        <f t="shared" si="142"/>
        <v>0</v>
      </c>
    </row>
    <row r="299" spans="1:29" x14ac:dyDescent="0.25">
      <c r="A299">
        <v>297</v>
      </c>
      <c r="B299" s="53">
        <v>2018</v>
      </c>
      <c r="C299" s="53">
        <v>7</v>
      </c>
      <c r="D299" s="9" t="s">
        <v>650</v>
      </c>
      <c r="E299" s="1">
        <v>42736</v>
      </c>
      <c r="F299" s="1">
        <v>43125</v>
      </c>
      <c r="G299" s="1" t="str">
        <f>CONCATENATE(H299,": ",J299)</f>
        <v>PREMIUM Laudongasse 58 GmbH &amp; Co KG: Dauerrechnung 2018-D</v>
      </c>
      <c r="H299" t="s">
        <v>462</v>
      </c>
      <c r="I299" t="s">
        <v>174</v>
      </c>
      <c r="J299" t="s">
        <v>649</v>
      </c>
      <c r="L299" s="16" t="s">
        <v>691</v>
      </c>
      <c r="M299" s="16" t="str">
        <f t="shared" si="134"/>
        <v/>
      </c>
      <c r="N299" t="b">
        <f t="shared" si="132"/>
        <v>0</v>
      </c>
      <c r="O299" s="36">
        <f>797.61/1.1</f>
        <v>725.09999999999991</v>
      </c>
      <c r="P299" s="51">
        <f>Arbeitszimmer!$B$3</f>
        <v>0.27320378419841473</v>
      </c>
      <c r="Q299" s="27">
        <v>10</v>
      </c>
      <c r="R299" s="31">
        <f>O299*Q299/100</f>
        <v>72.509999999999991</v>
      </c>
      <c r="S299" s="31">
        <f t="shared" si="135"/>
        <v>19.810006392227049</v>
      </c>
      <c r="T299" s="33">
        <f t="shared" si="136"/>
        <v>198.10006392227049</v>
      </c>
      <c r="U299" s="29">
        <f t="shared" si="138"/>
        <v>797.6099999999999</v>
      </c>
      <c r="V299" s="29">
        <f t="shared" si="139"/>
        <v>217.91007031449755</v>
      </c>
      <c r="W299" s="35">
        <f t="shared" si="115"/>
        <v>43235</v>
      </c>
      <c r="X299" s="35">
        <v>43234</v>
      </c>
      <c r="Z299" s="58">
        <f>IF(N299=TRUE,T299/M299,T299)</f>
        <v>198.10006392227049</v>
      </c>
      <c r="AA299" s="31">
        <f>Y299/100*V299</f>
        <v>0</v>
      </c>
      <c r="AB299" t="b">
        <f>IF(AND(Y299&gt;0,Q299=Y299),TRUE,FALSE)</f>
        <v>0</v>
      </c>
    </row>
    <row r="300" spans="1:29" x14ac:dyDescent="0.25">
      <c r="A300">
        <v>298</v>
      </c>
      <c r="B300" s="53">
        <v>2018</v>
      </c>
      <c r="C300" s="53">
        <v>8</v>
      </c>
      <c r="D300" s="9" t="s">
        <v>678</v>
      </c>
      <c r="F300" s="1">
        <v>43121</v>
      </c>
      <c r="G300" t="s">
        <v>651</v>
      </c>
      <c r="L300" s="16" t="s">
        <v>705</v>
      </c>
      <c r="M300" s="16" t="str">
        <f t="shared" si="134"/>
        <v/>
      </c>
      <c r="N300" t="b">
        <f t="shared" si="132"/>
        <v>0</v>
      </c>
      <c r="O300" s="36">
        <v>15.3</v>
      </c>
      <c r="P300" s="51">
        <v>1</v>
      </c>
      <c r="Q300" s="27">
        <v>20</v>
      </c>
      <c r="R300" s="31">
        <f>O300*Q300/100</f>
        <v>3.06</v>
      </c>
      <c r="S300" s="31">
        <f t="shared" si="135"/>
        <v>3.06</v>
      </c>
      <c r="T300" s="33">
        <f t="shared" si="136"/>
        <v>15.3</v>
      </c>
      <c r="U300" s="29">
        <f t="shared" si="138"/>
        <v>18.36</v>
      </c>
      <c r="V300" s="29">
        <f t="shared" si="139"/>
        <v>18.36</v>
      </c>
      <c r="W300" s="35">
        <f t="shared" si="115"/>
        <v>43235</v>
      </c>
      <c r="X300" s="35">
        <v>43234</v>
      </c>
      <c r="Z300" s="58">
        <f>IF(N300=TRUE,T300/M300,T300)</f>
        <v>15.3</v>
      </c>
      <c r="AA300" s="31">
        <f>Y300/100*V300</f>
        <v>0</v>
      </c>
      <c r="AB300" t="b">
        <f>IF(AND(Y300&gt;0,Q300=Y300),TRUE,FALSE)</f>
        <v>0</v>
      </c>
    </row>
    <row r="301" spans="1:29" x14ac:dyDescent="0.25">
      <c r="A301">
        <v>299</v>
      </c>
      <c r="B301" s="53">
        <v>2018</v>
      </c>
      <c r="C301" s="53">
        <v>9</v>
      </c>
      <c r="D301" s="9" t="s">
        <v>653</v>
      </c>
      <c r="F301" s="1">
        <v>43121</v>
      </c>
      <c r="G301" s="1" t="s">
        <v>652</v>
      </c>
      <c r="I301" t="s">
        <v>187</v>
      </c>
      <c r="L301" s="16" t="s">
        <v>705</v>
      </c>
      <c r="M301" s="16" t="str">
        <f t="shared" si="134"/>
        <v/>
      </c>
      <c r="N301" t="b">
        <f t="shared" si="132"/>
        <v>0</v>
      </c>
      <c r="O301" s="36">
        <v>12.42</v>
      </c>
      <c r="P301" s="51">
        <v>1</v>
      </c>
      <c r="Q301" s="27">
        <v>20</v>
      </c>
      <c r="R301" s="31">
        <f>O301*Q301/100</f>
        <v>2.484</v>
      </c>
      <c r="S301" s="31">
        <f t="shared" si="135"/>
        <v>2.484</v>
      </c>
      <c r="T301" s="33">
        <f t="shared" si="136"/>
        <v>12.42</v>
      </c>
      <c r="U301" s="29">
        <f t="shared" si="138"/>
        <v>14.904</v>
      </c>
      <c r="V301" s="29">
        <f t="shared" si="139"/>
        <v>14.904</v>
      </c>
      <c r="W301" s="35">
        <f t="shared" si="115"/>
        <v>43235</v>
      </c>
      <c r="X301" s="35">
        <v>43234</v>
      </c>
      <c r="Z301" s="58">
        <f>IF(N301=TRUE,T301/K301,T301)</f>
        <v>12.42</v>
      </c>
      <c r="AA301" s="31">
        <f>Y301/100*V301</f>
        <v>0</v>
      </c>
      <c r="AB301" t="b">
        <f>IF(AND(Y301&gt;0,Q301=Y301),TRUE,FALSE)</f>
        <v>0</v>
      </c>
    </row>
    <row r="302" spans="1:29" x14ac:dyDescent="0.25">
      <c r="A302">
        <v>300</v>
      </c>
      <c r="D302" s="9" t="s">
        <v>677</v>
      </c>
      <c r="F302" s="1">
        <v>42752</v>
      </c>
      <c r="G302" t="s">
        <v>665</v>
      </c>
      <c r="L302" s="16" t="s">
        <v>703</v>
      </c>
      <c r="M302" s="16" t="str">
        <f t="shared" si="134"/>
        <v/>
      </c>
      <c r="N302" t="b">
        <f t="shared" si="132"/>
        <v>0</v>
      </c>
      <c r="O302" s="36">
        <f t="shared" ref="O302:O311" si="143">20.61+1.04+2.5-2.5</f>
        <v>21.65</v>
      </c>
      <c r="P302" s="51">
        <f>2/3</f>
        <v>0.66666666666666663</v>
      </c>
      <c r="Q302" s="27">
        <v>20</v>
      </c>
      <c r="R302" s="31">
        <f>Q302%*O302</f>
        <v>4.33</v>
      </c>
      <c r="S302" s="31">
        <f t="shared" ref="S302:S313" si="144">P302*R302</f>
        <v>2.8866666666666667</v>
      </c>
      <c r="T302" s="33">
        <f t="shared" ref="T302:T313" si="145">O302*P302</f>
        <v>14.433333333333332</v>
      </c>
      <c r="U302" s="29">
        <f>O302+R302</f>
        <v>25.979999999999997</v>
      </c>
      <c r="V302" s="29">
        <f t="shared" ref="V302:V313" si="146">T302+S302</f>
        <v>17.32</v>
      </c>
      <c r="W302" s="35">
        <f t="shared" si="115"/>
        <v>42870</v>
      </c>
      <c r="X302" s="35"/>
      <c r="Z302" s="58">
        <f t="shared" ref="Z302:Z313" si="147">IF(N302=TRUE,T302/M302,T302)</f>
        <v>14.433333333333332</v>
      </c>
      <c r="AA302" s="31">
        <f t="shared" ref="AA302:AA313" si="148">Y302/100*V302</f>
        <v>0</v>
      </c>
      <c r="AB302" t="b">
        <f t="shared" ref="AB302:AB313" si="149">IF(AND(Y302&gt;0,Q302=Y302),TRUE,FALSE)</f>
        <v>0</v>
      </c>
      <c r="AC302" t="b">
        <f t="shared" ref="AC302:AC313" si="150">Z302&lt;&gt;T302</f>
        <v>0</v>
      </c>
    </row>
    <row r="303" spans="1:29" x14ac:dyDescent="0.25">
      <c r="A303">
        <v>301</v>
      </c>
      <c r="D303" s="9" t="s">
        <v>676</v>
      </c>
      <c r="F303" s="1">
        <v>42782</v>
      </c>
      <c r="G303" t="s">
        <v>654</v>
      </c>
      <c r="L303" s="16" t="s">
        <v>703</v>
      </c>
      <c r="M303" s="16" t="str">
        <f t="shared" si="134"/>
        <v/>
      </c>
      <c r="N303" t="b">
        <f t="shared" si="132"/>
        <v>0</v>
      </c>
      <c r="O303" s="36">
        <f t="shared" si="143"/>
        <v>21.65</v>
      </c>
      <c r="P303" s="51">
        <f t="shared" ref="P303:P313" si="151">2/3</f>
        <v>0.66666666666666663</v>
      </c>
      <c r="Q303" s="27">
        <v>20</v>
      </c>
      <c r="R303" s="31">
        <f t="shared" ref="R303:R313" si="152">Q303%*O303</f>
        <v>4.33</v>
      </c>
      <c r="S303" s="31">
        <f t="shared" si="144"/>
        <v>2.8866666666666667</v>
      </c>
      <c r="T303" s="33">
        <f t="shared" si="145"/>
        <v>14.433333333333332</v>
      </c>
      <c r="U303" s="29">
        <f t="shared" ref="U303:U313" si="153">O303+R303</f>
        <v>25.979999999999997</v>
      </c>
      <c r="V303" s="29">
        <f t="shared" si="146"/>
        <v>17.32</v>
      </c>
      <c r="W303" s="35">
        <f t="shared" si="115"/>
        <v>42870</v>
      </c>
      <c r="X303" s="35"/>
      <c r="Z303" s="58">
        <f t="shared" si="147"/>
        <v>14.433333333333332</v>
      </c>
      <c r="AA303" s="31">
        <f t="shared" si="148"/>
        <v>0</v>
      </c>
      <c r="AB303" t="b">
        <f t="shared" si="149"/>
        <v>0</v>
      </c>
      <c r="AC303" t="b">
        <f t="shared" si="150"/>
        <v>0</v>
      </c>
    </row>
    <row r="304" spans="1:29" x14ac:dyDescent="0.25">
      <c r="A304">
        <v>302</v>
      </c>
      <c r="D304" s="9" t="s">
        <v>675</v>
      </c>
      <c r="F304" s="1">
        <v>42810</v>
      </c>
      <c r="G304" t="s">
        <v>664</v>
      </c>
      <c r="L304" s="16" t="s">
        <v>703</v>
      </c>
      <c r="N304" t="b">
        <f>(IF(AND(M304&lt;&gt;"",ABS(T304)&gt;400),TRUE,FALSE))</f>
        <v>0</v>
      </c>
      <c r="O304" s="36">
        <f t="shared" si="143"/>
        <v>21.65</v>
      </c>
      <c r="P304" s="51">
        <f t="shared" si="151"/>
        <v>0.66666666666666663</v>
      </c>
      <c r="Q304" s="27">
        <v>20</v>
      </c>
      <c r="R304" s="31">
        <f t="shared" si="152"/>
        <v>4.33</v>
      </c>
      <c r="S304" s="31">
        <f t="shared" si="144"/>
        <v>2.8866666666666667</v>
      </c>
      <c r="T304" s="33">
        <f t="shared" si="145"/>
        <v>14.433333333333332</v>
      </c>
      <c r="U304" s="29">
        <f t="shared" si="153"/>
        <v>25.979999999999997</v>
      </c>
      <c r="V304" s="29">
        <f t="shared" si="146"/>
        <v>17.32</v>
      </c>
      <c r="W304" s="35">
        <f t="shared" si="115"/>
        <v>42870</v>
      </c>
      <c r="X304" s="35"/>
      <c r="Z304" s="58">
        <f t="shared" si="147"/>
        <v>14.433333333333332</v>
      </c>
      <c r="AA304" s="31">
        <f t="shared" si="148"/>
        <v>0</v>
      </c>
      <c r="AB304" t="b">
        <f t="shared" si="149"/>
        <v>0</v>
      </c>
      <c r="AC304" t="b">
        <f t="shared" si="150"/>
        <v>0</v>
      </c>
    </row>
    <row r="305" spans="1:29" x14ac:dyDescent="0.25">
      <c r="A305">
        <v>303</v>
      </c>
      <c r="D305" s="9" t="s">
        <v>674</v>
      </c>
      <c r="F305" s="1">
        <v>42843</v>
      </c>
      <c r="G305" t="s">
        <v>663</v>
      </c>
      <c r="L305" s="16" t="s">
        <v>703</v>
      </c>
      <c r="M305" s="16" t="str">
        <f t="shared" si="134"/>
        <v/>
      </c>
      <c r="N305" t="b">
        <f t="shared" si="132"/>
        <v>0</v>
      </c>
      <c r="O305" s="36">
        <f t="shared" si="143"/>
        <v>21.65</v>
      </c>
      <c r="P305" s="51">
        <f t="shared" si="151"/>
        <v>0.66666666666666663</v>
      </c>
      <c r="Q305" s="27">
        <v>20</v>
      </c>
      <c r="R305" s="31">
        <f t="shared" si="152"/>
        <v>4.33</v>
      </c>
      <c r="S305" s="31">
        <f t="shared" si="144"/>
        <v>2.8866666666666667</v>
      </c>
      <c r="T305" s="33">
        <f t="shared" si="145"/>
        <v>14.433333333333332</v>
      </c>
      <c r="U305" s="29">
        <f t="shared" si="153"/>
        <v>25.979999999999997</v>
      </c>
      <c r="V305" s="29">
        <f t="shared" si="146"/>
        <v>17.32</v>
      </c>
      <c r="W305" s="35">
        <f t="shared" si="115"/>
        <v>42962</v>
      </c>
      <c r="X305" s="35"/>
      <c r="Z305" s="58">
        <f t="shared" si="147"/>
        <v>14.433333333333332</v>
      </c>
      <c r="AA305" s="31">
        <f t="shared" si="148"/>
        <v>0</v>
      </c>
      <c r="AB305" t="b">
        <f t="shared" si="149"/>
        <v>0</v>
      </c>
      <c r="AC305" t="b">
        <f t="shared" si="150"/>
        <v>0</v>
      </c>
    </row>
    <row r="306" spans="1:29" x14ac:dyDescent="0.25">
      <c r="A306">
        <v>304</v>
      </c>
      <c r="D306" s="9" t="s">
        <v>673</v>
      </c>
      <c r="F306" s="1">
        <v>42873</v>
      </c>
      <c r="G306" t="s">
        <v>662</v>
      </c>
      <c r="L306" s="16" t="s">
        <v>703</v>
      </c>
      <c r="M306" s="16" t="str">
        <f t="shared" si="134"/>
        <v/>
      </c>
      <c r="N306" t="b">
        <f t="shared" si="132"/>
        <v>0</v>
      </c>
      <c r="O306" s="36">
        <f t="shared" si="143"/>
        <v>21.65</v>
      </c>
      <c r="P306" s="51">
        <f t="shared" si="151"/>
        <v>0.66666666666666663</v>
      </c>
      <c r="Q306" s="27">
        <v>20</v>
      </c>
      <c r="R306" s="31">
        <f t="shared" si="152"/>
        <v>4.33</v>
      </c>
      <c r="S306" s="31">
        <f t="shared" si="144"/>
        <v>2.8866666666666667</v>
      </c>
      <c r="T306" s="33">
        <f t="shared" si="145"/>
        <v>14.433333333333332</v>
      </c>
      <c r="U306" s="29">
        <f t="shared" si="153"/>
        <v>25.979999999999997</v>
      </c>
      <c r="V306" s="29">
        <f t="shared" si="146"/>
        <v>17.32</v>
      </c>
      <c r="W306" s="35">
        <f t="shared" si="115"/>
        <v>42962</v>
      </c>
      <c r="X306" s="35"/>
      <c r="Z306" s="58">
        <f t="shared" si="147"/>
        <v>14.433333333333332</v>
      </c>
      <c r="AA306" s="31">
        <f t="shared" si="148"/>
        <v>0</v>
      </c>
      <c r="AB306" t="b">
        <f t="shared" si="149"/>
        <v>0</v>
      </c>
      <c r="AC306" t="b">
        <f t="shared" si="150"/>
        <v>0</v>
      </c>
    </row>
    <row r="307" spans="1:29" x14ac:dyDescent="0.25">
      <c r="A307">
        <v>305</v>
      </c>
      <c r="D307" s="9" t="s">
        <v>672</v>
      </c>
      <c r="F307" s="1">
        <v>42906</v>
      </c>
      <c r="G307" t="s">
        <v>661</v>
      </c>
      <c r="L307" s="16" t="s">
        <v>703</v>
      </c>
      <c r="M307" s="16" t="str">
        <f t="shared" si="134"/>
        <v/>
      </c>
      <c r="N307" t="b">
        <f t="shared" si="132"/>
        <v>0</v>
      </c>
      <c r="O307" s="36">
        <f t="shared" si="143"/>
        <v>21.65</v>
      </c>
      <c r="P307" s="51">
        <f t="shared" si="151"/>
        <v>0.66666666666666663</v>
      </c>
      <c r="Q307" s="27">
        <v>20</v>
      </c>
      <c r="R307" s="31">
        <f t="shared" si="152"/>
        <v>4.33</v>
      </c>
      <c r="S307" s="31">
        <f t="shared" si="144"/>
        <v>2.8866666666666667</v>
      </c>
      <c r="T307" s="33">
        <f t="shared" si="145"/>
        <v>14.433333333333332</v>
      </c>
      <c r="U307" s="29">
        <f t="shared" si="153"/>
        <v>25.979999999999997</v>
      </c>
      <c r="V307" s="29">
        <f t="shared" si="146"/>
        <v>17.32</v>
      </c>
      <c r="W307" s="35">
        <f t="shared" si="115"/>
        <v>42962</v>
      </c>
      <c r="X307" s="35"/>
      <c r="Z307" s="58">
        <f t="shared" si="147"/>
        <v>14.433333333333332</v>
      </c>
      <c r="AA307" s="31">
        <f t="shared" si="148"/>
        <v>0</v>
      </c>
      <c r="AB307" t="b">
        <f t="shared" si="149"/>
        <v>0</v>
      </c>
      <c r="AC307" t="b">
        <f t="shared" si="150"/>
        <v>0</v>
      </c>
    </row>
    <row r="308" spans="1:29" x14ac:dyDescent="0.25">
      <c r="A308">
        <v>306</v>
      </c>
      <c r="D308" s="9" t="s">
        <v>671</v>
      </c>
      <c r="F308" s="1">
        <v>42920</v>
      </c>
      <c r="G308" t="s">
        <v>660</v>
      </c>
      <c r="L308" s="16" t="s">
        <v>703</v>
      </c>
      <c r="M308" s="16" t="str">
        <f t="shared" si="134"/>
        <v/>
      </c>
      <c r="N308" t="b">
        <f t="shared" si="132"/>
        <v>0</v>
      </c>
      <c r="O308" s="36">
        <f t="shared" si="143"/>
        <v>21.65</v>
      </c>
      <c r="P308" s="51">
        <f t="shared" si="151"/>
        <v>0.66666666666666663</v>
      </c>
      <c r="Q308" s="27">
        <v>20</v>
      </c>
      <c r="R308" s="31">
        <f t="shared" si="152"/>
        <v>4.33</v>
      </c>
      <c r="S308" s="31">
        <f t="shared" si="144"/>
        <v>2.8866666666666667</v>
      </c>
      <c r="T308" s="33">
        <f t="shared" si="145"/>
        <v>14.433333333333332</v>
      </c>
      <c r="U308" s="29">
        <f t="shared" si="153"/>
        <v>25.979999999999997</v>
      </c>
      <c r="V308" s="29">
        <f t="shared" si="146"/>
        <v>17.32</v>
      </c>
      <c r="W308" s="35">
        <f t="shared" si="115"/>
        <v>43054</v>
      </c>
      <c r="X308" s="35"/>
      <c r="Z308" s="58">
        <f t="shared" si="147"/>
        <v>14.433333333333332</v>
      </c>
      <c r="AA308" s="31">
        <f t="shared" si="148"/>
        <v>0</v>
      </c>
      <c r="AB308" t="b">
        <f t="shared" si="149"/>
        <v>0</v>
      </c>
      <c r="AC308" t="b">
        <f t="shared" si="150"/>
        <v>0</v>
      </c>
    </row>
    <row r="309" spans="1:29" x14ac:dyDescent="0.25">
      <c r="A309">
        <v>307</v>
      </c>
      <c r="D309" s="9" t="s">
        <v>670</v>
      </c>
      <c r="F309" s="1">
        <v>42950</v>
      </c>
      <c r="G309" t="s">
        <v>659</v>
      </c>
      <c r="L309" s="16" t="s">
        <v>703</v>
      </c>
      <c r="M309" s="16" t="str">
        <f t="shared" si="134"/>
        <v/>
      </c>
      <c r="N309" t="b">
        <f t="shared" si="132"/>
        <v>0</v>
      </c>
      <c r="O309" s="36">
        <f t="shared" si="143"/>
        <v>21.65</v>
      </c>
      <c r="P309" s="51">
        <f t="shared" si="151"/>
        <v>0.66666666666666663</v>
      </c>
      <c r="Q309" s="27">
        <v>20</v>
      </c>
      <c r="R309" s="31">
        <f t="shared" si="152"/>
        <v>4.33</v>
      </c>
      <c r="S309" s="31">
        <f t="shared" si="144"/>
        <v>2.8866666666666667</v>
      </c>
      <c r="T309" s="33">
        <f t="shared" si="145"/>
        <v>14.433333333333332</v>
      </c>
      <c r="U309" s="29">
        <f t="shared" si="153"/>
        <v>25.979999999999997</v>
      </c>
      <c r="V309" s="29">
        <f t="shared" si="146"/>
        <v>17.32</v>
      </c>
      <c r="W309" s="35">
        <f t="shared" si="115"/>
        <v>43054</v>
      </c>
      <c r="X309" s="35"/>
      <c r="Z309" s="58">
        <f t="shared" si="147"/>
        <v>14.433333333333332</v>
      </c>
      <c r="AA309" s="31">
        <f t="shared" si="148"/>
        <v>0</v>
      </c>
      <c r="AB309" t="b">
        <f t="shared" si="149"/>
        <v>0</v>
      </c>
      <c r="AC309" t="b">
        <f t="shared" si="150"/>
        <v>0</v>
      </c>
    </row>
    <row r="310" spans="1:29" x14ac:dyDescent="0.25">
      <c r="A310">
        <v>308</v>
      </c>
      <c r="D310" s="9" t="s">
        <v>669</v>
      </c>
      <c r="F310" s="1">
        <v>42983</v>
      </c>
      <c r="G310" t="s">
        <v>658</v>
      </c>
      <c r="L310" s="16" t="s">
        <v>703</v>
      </c>
      <c r="M310" s="16" t="str">
        <f t="shared" si="134"/>
        <v/>
      </c>
      <c r="N310" t="b">
        <f t="shared" si="132"/>
        <v>0</v>
      </c>
      <c r="O310" s="36">
        <f t="shared" si="143"/>
        <v>21.65</v>
      </c>
      <c r="P310" s="51">
        <f t="shared" si="151"/>
        <v>0.66666666666666663</v>
      </c>
      <c r="Q310" s="27">
        <v>20</v>
      </c>
      <c r="R310" s="31">
        <f t="shared" si="152"/>
        <v>4.33</v>
      </c>
      <c r="S310" s="31">
        <f t="shared" si="144"/>
        <v>2.8866666666666667</v>
      </c>
      <c r="T310" s="33">
        <f t="shared" si="145"/>
        <v>14.433333333333332</v>
      </c>
      <c r="U310" s="29">
        <f t="shared" si="153"/>
        <v>25.979999999999997</v>
      </c>
      <c r="V310" s="29">
        <f t="shared" si="146"/>
        <v>17.32</v>
      </c>
      <c r="W310" s="35">
        <f t="shared" ref="W310:W373" si="154">voranmeldefrist_vierteljaehrlich(F310)</f>
        <v>43054</v>
      </c>
      <c r="X310" s="35"/>
      <c r="Z310" s="58">
        <f t="shared" si="147"/>
        <v>14.433333333333332</v>
      </c>
      <c r="AA310" s="31">
        <f t="shared" si="148"/>
        <v>0</v>
      </c>
      <c r="AB310" t="b">
        <f t="shared" si="149"/>
        <v>0</v>
      </c>
      <c r="AC310" t="b">
        <f t="shared" si="150"/>
        <v>0</v>
      </c>
    </row>
    <row r="311" spans="1:29" x14ac:dyDescent="0.25">
      <c r="A311">
        <v>309</v>
      </c>
      <c r="D311" s="9" t="s">
        <v>668</v>
      </c>
      <c r="F311" s="1">
        <v>43013</v>
      </c>
      <c r="G311" t="s">
        <v>657</v>
      </c>
      <c r="L311" s="16" t="s">
        <v>703</v>
      </c>
      <c r="M311" s="16" t="str">
        <f t="shared" si="134"/>
        <v/>
      </c>
      <c r="N311" t="b">
        <f t="shared" si="132"/>
        <v>0</v>
      </c>
      <c r="O311" s="36">
        <f t="shared" si="143"/>
        <v>21.65</v>
      </c>
      <c r="P311" s="51">
        <f t="shared" si="151"/>
        <v>0.66666666666666663</v>
      </c>
      <c r="Q311" s="27">
        <v>20</v>
      </c>
      <c r="R311" s="31">
        <f t="shared" si="152"/>
        <v>4.33</v>
      </c>
      <c r="S311" s="31">
        <f t="shared" si="144"/>
        <v>2.8866666666666667</v>
      </c>
      <c r="T311" s="33">
        <f t="shared" si="145"/>
        <v>14.433333333333332</v>
      </c>
      <c r="U311" s="29">
        <f t="shared" si="153"/>
        <v>25.979999999999997</v>
      </c>
      <c r="V311" s="29">
        <f t="shared" si="146"/>
        <v>17.32</v>
      </c>
      <c r="W311" s="35">
        <f t="shared" si="154"/>
        <v>43146</v>
      </c>
      <c r="X311" s="35">
        <v>43134</v>
      </c>
      <c r="Z311" s="58">
        <f t="shared" si="147"/>
        <v>14.433333333333332</v>
      </c>
      <c r="AA311" s="31">
        <f t="shared" si="148"/>
        <v>0</v>
      </c>
      <c r="AB311" t="b">
        <f t="shared" si="149"/>
        <v>0</v>
      </c>
      <c r="AC311" t="b">
        <f t="shared" si="150"/>
        <v>0</v>
      </c>
    </row>
    <row r="312" spans="1:29" x14ac:dyDescent="0.25">
      <c r="A312">
        <v>310</v>
      </c>
      <c r="D312" s="9" t="s">
        <v>667</v>
      </c>
      <c r="F312" s="1">
        <v>43046</v>
      </c>
      <c r="G312" t="s">
        <v>656</v>
      </c>
      <c r="L312" s="16" t="s">
        <v>703</v>
      </c>
      <c r="M312" s="16" t="str">
        <f t="shared" si="134"/>
        <v/>
      </c>
      <c r="N312" t="b">
        <f t="shared" si="132"/>
        <v>0</v>
      </c>
      <c r="O312" s="36">
        <f>20.61+1.04+2.5-2.5</f>
        <v>21.65</v>
      </c>
      <c r="P312" s="51">
        <f t="shared" si="151"/>
        <v>0.66666666666666663</v>
      </c>
      <c r="Q312" s="27">
        <v>20</v>
      </c>
      <c r="R312" s="31">
        <f t="shared" si="152"/>
        <v>4.33</v>
      </c>
      <c r="S312" s="31">
        <f t="shared" si="144"/>
        <v>2.8866666666666667</v>
      </c>
      <c r="T312" s="33">
        <f t="shared" si="145"/>
        <v>14.433333333333332</v>
      </c>
      <c r="U312" s="29">
        <f t="shared" si="153"/>
        <v>25.979999999999997</v>
      </c>
      <c r="V312" s="29">
        <f t="shared" si="146"/>
        <v>17.32</v>
      </c>
      <c r="W312" s="35">
        <f t="shared" si="154"/>
        <v>43146</v>
      </c>
      <c r="X312" s="35">
        <v>43134</v>
      </c>
      <c r="Z312" s="58">
        <f t="shared" si="147"/>
        <v>14.433333333333332</v>
      </c>
      <c r="AA312" s="31">
        <f t="shared" si="148"/>
        <v>0</v>
      </c>
      <c r="AB312" t="b">
        <f t="shared" si="149"/>
        <v>0</v>
      </c>
      <c r="AC312" t="b">
        <f t="shared" si="150"/>
        <v>0</v>
      </c>
    </row>
    <row r="313" spans="1:29" x14ac:dyDescent="0.25">
      <c r="A313">
        <v>311</v>
      </c>
      <c r="D313" s="9" t="s">
        <v>666</v>
      </c>
      <c r="F313" s="1">
        <v>43074</v>
      </c>
      <c r="G313" t="s">
        <v>655</v>
      </c>
      <c r="L313" s="16" t="s">
        <v>703</v>
      </c>
      <c r="M313" s="16" t="str">
        <f t="shared" si="134"/>
        <v/>
      </c>
      <c r="N313" t="b">
        <f t="shared" si="132"/>
        <v>0</v>
      </c>
      <c r="O313" s="36">
        <f>20.66+1.04+2.5-2.5</f>
        <v>21.7</v>
      </c>
      <c r="P313" s="51">
        <f t="shared" si="151"/>
        <v>0.66666666666666663</v>
      </c>
      <c r="Q313" s="27">
        <v>20</v>
      </c>
      <c r="R313" s="31">
        <f t="shared" si="152"/>
        <v>4.34</v>
      </c>
      <c r="S313" s="31">
        <f t="shared" si="144"/>
        <v>2.8933333333333331</v>
      </c>
      <c r="T313" s="33">
        <f t="shared" si="145"/>
        <v>14.466666666666665</v>
      </c>
      <c r="U313" s="29">
        <f t="shared" si="153"/>
        <v>26.04</v>
      </c>
      <c r="V313" s="29">
        <f t="shared" si="146"/>
        <v>17.36</v>
      </c>
      <c r="W313" s="35">
        <f t="shared" si="154"/>
        <v>43146</v>
      </c>
      <c r="X313" s="35">
        <v>43134</v>
      </c>
      <c r="Z313" s="58">
        <f t="shared" si="147"/>
        <v>14.466666666666665</v>
      </c>
      <c r="AA313" s="31">
        <f t="shared" si="148"/>
        <v>0</v>
      </c>
      <c r="AB313" t="b">
        <f t="shared" si="149"/>
        <v>0</v>
      </c>
      <c r="AC313" t="b">
        <f t="shared" si="150"/>
        <v>0</v>
      </c>
    </row>
    <row r="314" spans="1:29" x14ac:dyDescent="0.25">
      <c r="A314">
        <v>312</v>
      </c>
      <c r="B314" s="53">
        <v>2018</v>
      </c>
      <c r="C314" s="53">
        <v>10</v>
      </c>
      <c r="D314" s="9" t="s">
        <v>679</v>
      </c>
      <c r="F314" s="1">
        <v>43132</v>
      </c>
      <c r="G314" t="s">
        <v>34</v>
      </c>
      <c r="L314" s="16" t="s">
        <v>703</v>
      </c>
      <c r="M314" s="16" t="str">
        <f t="shared" si="134"/>
        <v/>
      </c>
      <c r="N314" t="b">
        <f t="shared" si="132"/>
        <v>0</v>
      </c>
      <c r="O314" s="36">
        <v>15.58</v>
      </c>
      <c r="P314" s="51">
        <v>1</v>
      </c>
      <c r="Q314" s="27">
        <v>20</v>
      </c>
      <c r="R314" s="31">
        <f>O314*Q314/100</f>
        <v>3.1160000000000001</v>
      </c>
      <c r="S314" s="31">
        <f t="shared" ref="S314:S345" si="155">P314*R314</f>
        <v>3.1160000000000001</v>
      </c>
      <c r="T314" s="33">
        <f t="shared" ref="T314:T345" si="156">O314*P314</f>
        <v>15.58</v>
      </c>
      <c r="U314" s="29">
        <f t="shared" ref="U314:U345" si="157">O314+R314</f>
        <v>18.696000000000002</v>
      </c>
      <c r="V314" s="29">
        <f t="shared" ref="V314:V345" si="158">T314+S314</f>
        <v>18.696000000000002</v>
      </c>
      <c r="W314" s="35">
        <f t="shared" si="154"/>
        <v>43235</v>
      </c>
      <c r="X314" s="35">
        <v>43234</v>
      </c>
      <c r="Z314" s="58">
        <f>IF(N314=TRUE,T314/M314,T314)</f>
        <v>15.58</v>
      </c>
      <c r="AA314" s="31">
        <f t="shared" ref="AA314:AA334" si="159">Y314/100*V314</f>
        <v>0</v>
      </c>
      <c r="AB314" t="b">
        <f t="shared" ref="AB314:AB334" si="160">IF(AND(Y314&gt;0,Q314=Y314),TRUE,FALSE)</f>
        <v>0</v>
      </c>
    </row>
    <row r="315" spans="1:29" x14ac:dyDescent="0.25">
      <c r="A315">
        <v>313</v>
      </c>
      <c r="B315" s="53">
        <v>2018</v>
      </c>
      <c r="C315" s="53">
        <v>11</v>
      </c>
      <c r="D315" s="9" t="s">
        <v>680</v>
      </c>
      <c r="F315" s="1">
        <v>43132</v>
      </c>
      <c r="G315" t="s">
        <v>647</v>
      </c>
      <c r="L315" s="16" t="s">
        <v>703</v>
      </c>
      <c r="M315" s="16" t="str">
        <f t="shared" si="134"/>
        <v/>
      </c>
      <c r="N315" t="b">
        <f t="shared" si="132"/>
        <v>0</v>
      </c>
      <c r="O315" s="36">
        <v>42.12</v>
      </c>
      <c r="P315" s="51">
        <f>20.3/39.11*2/3</f>
        <v>0.34603255774311775</v>
      </c>
      <c r="Q315" s="27" t="s">
        <v>14</v>
      </c>
      <c r="R315" s="31">
        <v>6.38</v>
      </c>
      <c r="S315" s="31">
        <f t="shared" si="155"/>
        <v>2.207687718401091</v>
      </c>
      <c r="T315" s="33">
        <f t="shared" si="156"/>
        <v>14.574891332140119</v>
      </c>
      <c r="U315" s="29">
        <f t="shared" si="157"/>
        <v>48.5</v>
      </c>
      <c r="V315" s="29">
        <f t="shared" si="158"/>
        <v>16.782579050541209</v>
      </c>
      <c r="W315" s="35">
        <f t="shared" si="154"/>
        <v>43235</v>
      </c>
      <c r="X315" s="35">
        <v>43234</v>
      </c>
      <c r="Z315" s="58">
        <f>IF(N315=TRUE,T315/M315,T315)</f>
        <v>14.574891332140119</v>
      </c>
      <c r="AA315" s="31">
        <f t="shared" si="159"/>
        <v>0</v>
      </c>
      <c r="AB315" t="b">
        <f t="shared" si="160"/>
        <v>0</v>
      </c>
    </row>
    <row r="316" spans="1:29" x14ac:dyDescent="0.25">
      <c r="A316">
        <v>314</v>
      </c>
      <c r="B316" s="53">
        <v>2018</v>
      </c>
      <c r="C316" s="53">
        <v>12</v>
      </c>
      <c r="D316" s="9" t="s">
        <v>717</v>
      </c>
      <c r="F316" s="1">
        <v>43146</v>
      </c>
      <c r="G316" s="1" t="str">
        <f>CONCATENATE(H316,": ",J316)</f>
        <v>MONTANA Energie-Handel AT GmbH: Teilzahlungsbetrag Gas</v>
      </c>
      <c r="H316" t="s">
        <v>58</v>
      </c>
      <c r="J316" t="s">
        <v>401</v>
      </c>
      <c r="L316" s="16" t="s">
        <v>705</v>
      </c>
      <c r="M316" s="16" t="str">
        <f>IF(L316="Waren, Rohstoffe, Hilfsstoffe", "Weiterverkauf", "")</f>
        <v/>
      </c>
      <c r="N316" t="b">
        <f t="shared" ref="N316:N327" si="161">(IF(AND(M316&lt;&gt;"",ABS(T316)&gt;400),TRUE,FALSE))</f>
        <v>0</v>
      </c>
      <c r="O316" s="36">
        <v>82.5</v>
      </c>
      <c r="P316" s="51">
        <f>Arbeitszimmer!$B$3</f>
        <v>0.27320378419841473</v>
      </c>
      <c r="Q316" s="27">
        <v>20</v>
      </c>
      <c r="R316" s="31">
        <f>O316*Q316/100</f>
        <v>16.5</v>
      </c>
      <c r="S316" s="31">
        <f t="shared" si="155"/>
        <v>4.5078624392738433</v>
      </c>
      <c r="T316" s="33">
        <f t="shared" si="156"/>
        <v>22.539312196369217</v>
      </c>
      <c r="U316" s="29">
        <f t="shared" si="157"/>
        <v>99</v>
      </c>
      <c r="V316" s="29">
        <f t="shared" si="158"/>
        <v>27.04717463564306</v>
      </c>
      <c r="W316" s="35">
        <f t="shared" si="154"/>
        <v>43235</v>
      </c>
      <c r="X316" s="35">
        <v>43234</v>
      </c>
      <c r="Z316" s="58">
        <f>IF(N316=TRUE,T316/K316,T316)</f>
        <v>22.539312196369217</v>
      </c>
      <c r="AA316" s="31">
        <f t="shared" si="159"/>
        <v>0</v>
      </c>
      <c r="AB316" t="b">
        <f t="shared" si="160"/>
        <v>0</v>
      </c>
    </row>
    <row r="317" spans="1:29" x14ac:dyDescent="0.25">
      <c r="A317">
        <v>315</v>
      </c>
      <c r="B317" s="53">
        <v>2018</v>
      </c>
      <c r="C317" s="53">
        <v>13</v>
      </c>
      <c r="D317" s="9" t="s">
        <v>711</v>
      </c>
      <c r="F317" s="1">
        <v>43152</v>
      </c>
      <c r="G317" t="s">
        <v>712</v>
      </c>
      <c r="L317" s="16" t="s">
        <v>705</v>
      </c>
      <c r="N317" t="b">
        <f t="shared" si="161"/>
        <v>0</v>
      </c>
      <c r="O317" s="36">
        <v>168.75</v>
      </c>
      <c r="P317" s="51">
        <v>1</v>
      </c>
      <c r="Q317" s="27">
        <v>20</v>
      </c>
      <c r="R317" s="31">
        <f>O317*Q317/100</f>
        <v>33.75</v>
      </c>
      <c r="S317" s="31">
        <f t="shared" si="155"/>
        <v>33.75</v>
      </c>
      <c r="T317" s="33">
        <f t="shared" si="156"/>
        <v>168.75</v>
      </c>
      <c r="U317" s="29">
        <f t="shared" si="157"/>
        <v>202.5</v>
      </c>
      <c r="V317" s="29">
        <f t="shared" si="158"/>
        <v>202.5</v>
      </c>
      <c r="W317" s="35">
        <f t="shared" si="154"/>
        <v>43235</v>
      </c>
      <c r="X317" s="35">
        <v>43234</v>
      </c>
      <c r="Z317" s="58">
        <f>IF(N317=TRUE,T317/K317,T317)</f>
        <v>168.75</v>
      </c>
      <c r="AA317" s="31">
        <f t="shared" si="159"/>
        <v>0</v>
      </c>
      <c r="AB317" t="b">
        <f t="shared" si="160"/>
        <v>0</v>
      </c>
    </row>
    <row r="318" spans="1:29" x14ac:dyDescent="0.25">
      <c r="B318" s="53">
        <v>2018</v>
      </c>
      <c r="C318" s="53">
        <v>14</v>
      </c>
      <c r="D318" s="9" t="s">
        <v>650</v>
      </c>
      <c r="F318" s="1">
        <v>43157</v>
      </c>
      <c r="G318" s="1" t="str">
        <f>CONCATENATE(H318,": ",J318)</f>
        <v>PREMIUM Laudongasse 58 GmbH &amp; Co KG: Dauerrechnung 2018-D</v>
      </c>
      <c r="H318" t="s">
        <v>462</v>
      </c>
      <c r="I318" t="s">
        <v>174</v>
      </c>
      <c r="J318" t="s">
        <v>649</v>
      </c>
      <c r="L318" s="16" t="s">
        <v>691</v>
      </c>
      <c r="M318" s="16" t="str">
        <f t="shared" ref="M318:M323" si="162">IF(L318="Waren, Rohstoffe, Hilfsstoffe", "Weiterverkauf", "")</f>
        <v/>
      </c>
      <c r="N318" t="b">
        <f t="shared" si="161"/>
        <v>0</v>
      </c>
      <c r="O318" s="36">
        <v>763.44</v>
      </c>
      <c r="P318" s="51">
        <f>Arbeitszimmer!$B$3</f>
        <v>0.27320378419841473</v>
      </c>
      <c r="Q318" s="27">
        <v>10</v>
      </c>
      <c r="R318" s="31">
        <f>O318*Q318/100</f>
        <v>76.344000000000008</v>
      </c>
      <c r="S318" s="31">
        <f t="shared" si="155"/>
        <v>20.857469700843776</v>
      </c>
      <c r="T318" s="33">
        <f t="shared" si="156"/>
        <v>208.57469700843777</v>
      </c>
      <c r="U318" s="29">
        <f t="shared" si="157"/>
        <v>839.78400000000011</v>
      </c>
      <c r="V318" s="29">
        <f t="shared" si="158"/>
        <v>229.43216670928155</v>
      </c>
      <c r="W318" s="35">
        <f t="shared" si="154"/>
        <v>43235</v>
      </c>
      <c r="X318" s="35">
        <v>43234</v>
      </c>
      <c r="Z318" s="58">
        <f>IF(N318=TRUE,T318/M318,T318)</f>
        <v>208.57469700843777</v>
      </c>
      <c r="AA318" s="31">
        <f t="shared" si="159"/>
        <v>0</v>
      </c>
      <c r="AB318" t="b">
        <f t="shared" si="160"/>
        <v>0</v>
      </c>
    </row>
    <row r="319" spans="1:29" x14ac:dyDescent="0.25">
      <c r="B319" s="53">
        <v>2018</v>
      </c>
      <c r="C319" s="53">
        <v>15</v>
      </c>
      <c r="D319" s="9" t="s">
        <v>713</v>
      </c>
      <c r="F319" s="1">
        <v>43160</v>
      </c>
      <c r="G319" t="s">
        <v>647</v>
      </c>
      <c r="L319" s="16" t="s">
        <v>703</v>
      </c>
      <c r="M319" s="16" t="str">
        <f t="shared" si="162"/>
        <v/>
      </c>
      <c r="N319" t="b">
        <f t="shared" si="161"/>
        <v>0</v>
      </c>
      <c r="O319" s="36">
        <v>42.12</v>
      </c>
      <c r="P319" s="51">
        <f>20.3/39.11*2/3</f>
        <v>0.34603255774311775</v>
      </c>
      <c r="Q319" s="27" t="s">
        <v>14</v>
      </c>
      <c r="R319" s="31">
        <v>6.38</v>
      </c>
      <c r="S319" s="31">
        <f t="shared" si="155"/>
        <v>2.207687718401091</v>
      </c>
      <c r="T319" s="33">
        <f t="shared" si="156"/>
        <v>14.574891332140119</v>
      </c>
      <c r="U319" s="29">
        <f t="shared" si="157"/>
        <v>48.5</v>
      </c>
      <c r="V319" s="29">
        <f t="shared" si="158"/>
        <v>16.782579050541209</v>
      </c>
      <c r="W319" s="35">
        <f t="shared" si="154"/>
        <v>43235</v>
      </c>
      <c r="X319" s="35">
        <v>43234</v>
      </c>
      <c r="Z319" s="58">
        <f>IF(N319=TRUE,T319/M319,T319)</f>
        <v>14.574891332140119</v>
      </c>
      <c r="AA319" s="31">
        <f t="shared" si="159"/>
        <v>0</v>
      </c>
      <c r="AB319" t="b">
        <f t="shared" si="160"/>
        <v>0</v>
      </c>
    </row>
    <row r="320" spans="1:29" x14ac:dyDescent="0.25">
      <c r="B320" s="53">
        <v>2018</v>
      </c>
      <c r="C320" s="53">
        <v>16</v>
      </c>
      <c r="D320" s="9" t="s">
        <v>714</v>
      </c>
      <c r="F320" s="1">
        <v>43167</v>
      </c>
      <c r="G320" t="s">
        <v>34</v>
      </c>
      <c r="L320" s="16" t="s">
        <v>703</v>
      </c>
      <c r="M320" s="16" t="str">
        <f t="shared" si="162"/>
        <v/>
      </c>
      <c r="N320" t="b">
        <f t="shared" si="161"/>
        <v>0</v>
      </c>
      <c r="O320" s="36">
        <v>15.58</v>
      </c>
      <c r="P320" s="51">
        <v>1</v>
      </c>
      <c r="Q320" s="27">
        <v>20</v>
      </c>
      <c r="R320" s="31">
        <f>O320*Q320/100</f>
        <v>3.1160000000000001</v>
      </c>
      <c r="S320" s="31">
        <f t="shared" si="155"/>
        <v>3.1160000000000001</v>
      </c>
      <c r="T320" s="33">
        <f t="shared" si="156"/>
        <v>15.58</v>
      </c>
      <c r="U320" s="29">
        <f t="shared" si="157"/>
        <v>18.696000000000002</v>
      </c>
      <c r="V320" s="29">
        <f t="shared" si="158"/>
        <v>18.696000000000002</v>
      </c>
      <c r="W320" s="35">
        <f t="shared" si="154"/>
        <v>43235</v>
      </c>
      <c r="X320" s="35">
        <v>43234</v>
      </c>
      <c r="Z320" s="58">
        <f>IF(N320=TRUE,T320/M320,T320)</f>
        <v>15.58</v>
      </c>
      <c r="AA320" s="31">
        <f t="shared" si="159"/>
        <v>0</v>
      </c>
      <c r="AB320" t="b">
        <f t="shared" si="160"/>
        <v>0</v>
      </c>
    </row>
    <row r="321" spans="2:28" x14ac:dyDescent="0.25">
      <c r="B321" s="53">
        <v>2018</v>
      </c>
      <c r="C321" s="53">
        <v>17</v>
      </c>
      <c r="D321" s="9" t="s">
        <v>715</v>
      </c>
      <c r="F321" s="1">
        <v>43174</v>
      </c>
      <c r="G321" s="1" t="str">
        <f>CONCATENATE(H321,": ",J321)</f>
        <v>MONTANA Energie-Handel AT GmbH: Teilzahlungsbetrag Gas</v>
      </c>
      <c r="H321" t="s">
        <v>58</v>
      </c>
      <c r="J321" t="s">
        <v>401</v>
      </c>
      <c r="L321" s="16" t="s">
        <v>705</v>
      </c>
      <c r="M321" s="16" t="str">
        <f t="shared" si="162"/>
        <v/>
      </c>
      <c r="N321" t="b">
        <f t="shared" si="161"/>
        <v>0</v>
      </c>
      <c r="O321" s="36">
        <f>99/1.2</f>
        <v>82.5</v>
      </c>
      <c r="P321" s="51">
        <f>Arbeitszimmer!$B$3</f>
        <v>0.27320378419841473</v>
      </c>
      <c r="Q321" s="27">
        <v>20</v>
      </c>
      <c r="R321" s="31">
        <f>O321*Q321/100</f>
        <v>16.5</v>
      </c>
      <c r="S321" s="31">
        <f t="shared" si="155"/>
        <v>4.5078624392738433</v>
      </c>
      <c r="T321" s="33">
        <f t="shared" si="156"/>
        <v>22.539312196369217</v>
      </c>
      <c r="U321" s="29">
        <f t="shared" si="157"/>
        <v>99</v>
      </c>
      <c r="V321" s="29">
        <f t="shared" si="158"/>
        <v>27.04717463564306</v>
      </c>
      <c r="W321" s="35">
        <f t="shared" si="154"/>
        <v>43235</v>
      </c>
      <c r="X321" s="35">
        <v>43234</v>
      </c>
      <c r="Z321" s="58">
        <f>IF(N321=TRUE,T321/K321,T321)</f>
        <v>22.539312196369217</v>
      </c>
      <c r="AA321" s="31">
        <f t="shared" si="159"/>
        <v>0</v>
      </c>
      <c r="AB321" t="b">
        <f t="shared" si="160"/>
        <v>0</v>
      </c>
    </row>
    <row r="322" spans="2:28" x14ac:dyDescent="0.25">
      <c r="B322" s="53">
        <v>2018</v>
      </c>
      <c r="C322" s="53">
        <v>18</v>
      </c>
      <c r="D322" s="9" t="s">
        <v>716</v>
      </c>
      <c r="F322" s="1">
        <v>43152</v>
      </c>
      <c r="G322" t="s">
        <v>651</v>
      </c>
      <c r="L322" s="16" t="s">
        <v>705</v>
      </c>
      <c r="M322" s="16" t="str">
        <f t="shared" si="162"/>
        <v/>
      </c>
      <c r="N322" t="b">
        <f t="shared" si="161"/>
        <v>0</v>
      </c>
      <c r="O322" s="36">
        <v>15.3</v>
      </c>
      <c r="P322" s="51">
        <v>1</v>
      </c>
      <c r="Q322" s="27">
        <v>20</v>
      </c>
      <c r="R322" s="31">
        <f>O322*Q322/100</f>
        <v>3.06</v>
      </c>
      <c r="S322" s="31">
        <f t="shared" si="155"/>
        <v>3.06</v>
      </c>
      <c r="T322" s="33">
        <f t="shared" si="156"/>
        <v>15.3</v>
      </c>
      <c r="U322" s="29">
        <f t="shared" si="157"/>
        <v>18.36</v>
      </c>
      <c r="V322" s="29">
        <f t="shared" si="158"/>
        <v>18.36</v>
      </c>
      <c r="W322" s="35">
        <f t="shared" si="154"/>
        <v>43235</v>
      </c>
      <c r="X322" s="35">
        <v>43234</v>
      </c>
      <c r="Z322" s="58">
        <f>IF(N322=TRUE,T322/M322,T322)</f>
        <v>15.3</v>
      </c>
      <c r="AA322" s="31">
        <f t="shared" si="159"/>
        <v>0</v>
      </c>
      <c r="AB322" t="b">
        <f t="shared" si="160"/>
        <v>0</v>
      </c>
    </row>
    <row r="323" spans="2:28" x14ac:dyDescent="0.25">
      <c r="B323" s="53">
        <v>2018</v>
      </c>
      <c r="C323" s="53">
        <v>19</v>
      </c>
      <c r="D323" s="9" t="s">
        <v>650</v>
      </c>
      <c r="F323" s="1">
        <v>43185</v>
      </c>
      <c r="G323" s="1" t="str">
        <f>CONCATENATE(H323,": ",J323)</f>
        <v>PREMIUM Laudongasse 58 GmbH &amp; Co KG: Dauerrechnung 2018-D</v>
      </c>
      <c r="H323" t="s">
        <v>462</v>
      </c>
      <c r="I323" t="s">
        <v>174</v>
      </c>
      <c r="J323" t="s">
        <v>649</v>
      </c>
      <c r="L323" s="16" t="s">
        <v>691</v>
      </c>
      <c r="M323" s="16" t="str">
        <f t="shared" si="162"/>
        <v/>
      </c>
      <c r="N323" t="b">
        <f t="shared" si="161"/>
        <v>0</v>
      </c>
      <c r="O323" s="36">
        <v>763.44</v>
      </c>
      <c r="P323" s="51">
        <f>Arbeitszimmer!$B$3</f>
        <v>0.27320378419841473</v>
      </c>
      <c r="Q323" s="27">
        <v>10</v>
      </c>
      <c r="R323" s="31">
        <f>O323*Q323/100</f>
        <v>76.344000000000008</v>
      </c>
      <c r="S323" s="31">
        <f t="shared" si="155"/>
        <v>20.857469700843776</v>
      </c>
      <c r="T323" s="33">
        <f t="shared" si="156"/>
        <v>208.57469700843777</v>
      </c>
      <c r="U323" s="29">
        <f t="shared" si="157"/>
        <v>839.78400000000011</v>
      </c>
      <c r="V323" s="29">
        <f t="shared" si="158"/>
        <v>229.43216670928155</v>
      </c>
      <c r="W323" s="35">
        <f t="shared" si="154"/>
        <v>43235</v>
      </c>
      <c r="X323" s="35">
        <v>43234</v>
      </c>
      <c r="Z323" s="58">
        <f>IF(N323=TRUE,T323/M323,T323)</f>
        <v>208.57469700843777</v>
      </c>
      <c r="AA323" s="31">
        <f t="shared" si="159"/>
        <v>0</v>
      </c>
      <c r="AB323" t="b">
        <f t="shared" si="160"/>
        <v>0</v>
      </c>
    </row>
    <row r="324" spans="2:28" x14ac:dyDescent="0.25">
      <c r="B324" s="53">
        <v>2018</v>
      </c>
      <c r="C324" s="53">
        <v>20</v>
      </c>
      <c r="D324" s="9" t="s">
        <v>726</v>
      </c>
      <c r="F324" s="1">
        <v>43194</v>
      </c>
      <c r="G324" t="s">
        <v>647</v>
      </c>
      <c r="L324" s="16" t="s">
        <v>703</v>
      </c>
      <c r="N324" t="b">
        <f t="shared" si="161"/>
        <v>0</v>
      </c>
      <c r="O324" s="36">
        <f>57.02</f>
        <v>57.02</v>
      </c>
      <c r="P324" s="56">
        <f>(8.93+27.82+27.81-7.66-19.64)/57.02*(2/3)</f>
        <v>0.4356366187302701</v>
      </c>
      <c r="Q324" s="27" t="s">
        <v>14</v>
      </c>
      <c r="R324" s="31">
        <v>9.5399999999999991</v>
      </c>
      <c r="S324" s="31">
        <f t="shared" si="155"/>
        <v>4.1559733426867762</v>
      </c>
      <c r="T324" s="33">
        <f t="shared" si="156"/>
        <v>24.840000000000003</v>
      </c>
      <c r="U324" s="29">
        <f t="shared" si="157"/>
        <v>66.56</v>
      </c>
      <c r="V324" s="29">
        <f t="shared" si="158"/>
        <v>28.995973342686781</v>
      </c>
      <c r="W324" s="35">
        <f t="shared" si="154"/>
        <v>43327</v>
      </c>
      <c r="X324" s="35">
        <v>43318</v>
      </c>
      <c r="Z324" s="58">
        <f>IF(N324=TRUE,T324/M324,T324)</f>
        <v>24.840000000000003</v>
      </c>
      <c r="AA324" s="31">
        <f t="shared" si="159"/>
        <v>0</v>
      </c>
      <c r="AB324" t="b">
        <f t="shared" si="160"/>
        <v>0</v>
      </c>
    </row>
    <row r="325" spans="2:28" x14ac:dyDescent="0.25">
      <c r="B325" s="53">
        <v>2018</v>
      </c>
      <c r="C325" s="53">
        <v>21</v>
      </c>
      <c r="D325" s="9" t="s">
        <v>725</v>
      </c>
      <c r="F325" s="1">
        <v>43196</v>
      </c>
      <c r="G325" t="s">
        <v>34</v>
      </c>
      <c r="L325" s="16" t="s">
        <v>703</v>
      </c>
      <c r="M325" s="16" t="str">
        <f>IF(L325="Waren, Rohstoffe, Hilfsstoffe", "Weiterverkauf", "")</f>
        <v/>
      </c>
      <c r="N325" t="b">
        <f t="shared" si="161"/>
        <v>0</v>
      </c>
      <c r="O325" s="36">
        <v>15.58</v>
      </c>
      <c r="P325" s="51">
        <v>1</v>
      </c>
      <c r="Q325" s="27">
        <v>20</v>
      </c>
      <c r="R325" s="31">
        <f>O325*Q325/100</f>
        <v>3.1160000000000001</v>
      </c>
      <c r="S325" s="31">
        <f t="shared" si="155"/>
        <v>3.1160000000000001</v>
      </c>
      <c r="T325" s="33">
        <f t="shared" si="156"/>
        <v>15.58</v>
      </c>
      <c r="U325" s="29">
        <f t="shared" si="157"/>
        <v>18.696000000000002</v>
      </c>
      <c r="V325" s="29">
        <f t="shared" si="158"/>
        <v>18.696000000000002</v>
      </c>
      <c r="W325" s="35">
        <f t="shared" si="154"/>
        <v>43327</v>
      </c>
      <c r="X325" s="35">
        <v>43318</v>
      </c>
      <c r="Z325" s="58">
        <f>IF(N325=TRUE,T325/M325,T325)</f>
        <v>15.58</v>
      </c>
      <c r="AA325" s="31">
        <f t="shared" si="159"/>
        <v>0</v>
      </c>
      <c r="AB325" t="b">
        <f t="shared" si="160"/>
        <v>0</v>
      </c>
    </row>
    <row r="326" spans="2:28" x14ac:dyDescent="0.25">
      <c r="B326" s="53">
        <v>2018</v>
      </c>
      <c r="C326" s="53">
        <v>22</v>
      </c>
      <c r="D326" s="9" t="s">
        <v>724</v>
      </c>
      <c r="F326" s="1">
        <v>43206</v>
      </c>
      <c r="G326" s="1" t="str">
        <f>CONCATENATE(H326,": ",J326)</f>
        <v>VERBUND AG, Postfach 8400, 1011 Wien, Österreich: Teilzahlungsvorschreibung</v>
      </c>
      <c r="H326" t="s">
        <v>57</v>
      </c>
      <c r="I326" t="s">
        <v>499</v>
      </c>
      <c r="J326" t="s">
        <v>502</v>
      </c>
      <c r="L326" s="16" t="s">
        <v>705</v>
      </c>
      <c r="M326" s="16" t="str">
        <f>IF(L326="Waren, Rohstoffe, Hilfsstoffe", "Weiterverkauf", "")</f>
        <v/>
      </c>
      <c r="N326" t="b">
        <f t="shared" si="161"/>
        <v>0</v>
      </c>
      <c r="O326" s="36">
        <v>151.66999999999999</v>
      </c>
      <c r="P326" s="51">
        <f>Arbeitszimmer!$B$3</f>
        <v>0.27320378419841473</v>
      </c>
      <c r="Q326" s="27">
        <v>20</v>
      </c>
      <c r="R326" s="31">
        <f>O326*Q326/100</f>
        <v>30.333999999999996</v>
      </c>
      <c r="S326" s="31">
        <f t="shared" si="155"/>
        <v>8.2873635898747118</v>
      </c>
      <c r="T326" s="33">
        <f t="shared" si="156"/>
        <v>41.436817949373562</v>
      </c>
      <c r="U326" s="29">
        <f t="shared" si="157"/>
        <v>182.00399999999999</v>
      </c>
      <c r="V326" s="29">
        <f t="shared" si="158"/>
        <v>49.724181539248278</v>
      </c>
      <c r="W326" s="35">
        <f t="shared" si="154"/>
        <v>43327</v>
      </c>
      <c r="X326" s="35">
        <v>43318</v>
      </c>
      <c r="Z326" s="58">
        <f>IF(N326=TRUE,T326/K326,T326)</f>
        <v>41.436817949373562</v>
      </c>
      <c r="AA326" s="31">
        <f t="shared" si="159"/>
        <v>0</v>
      </c>
      <c r="AB326" t="b">
        <f t="shared" si="160"/>
        <v>0</v>
      </c>
    </row>
    <row r="327" spans="2:28" x14ac:dyDescent="0.25">
      <c r="B327" s="53">
        <v>2018</v>
      </c>
      <c r="C327" s="53">
        <v>23</v>
      </c>
      <c r="D327" s="9" t="s">
        <v>723</v>
      </c>
      <c r="F327" s="1">
        <v>43206</v>
      </c>
      <c r="G327" s="1" t="str">
        <f>CONCATENATE(H327,": ",J327)</f>
        <v>MONTANA Energie-Handel AT GmbH: Teilzahlungsbetrag Gas</v>
      </c>
      <c r="H327" t="s">
        <v>58</v>
      </c>
      <c r="J327" t="s">
        <v>401</v>
      </c>
      <c r="L327" s="16" t="s">
        <v>705</v>
      </c>
      <c r="M327" s="16" t="str">
        <f>IF(L327="Waren, Rohstoffe, Hilfsstoffe", "Weiterverkauf", "")</f>
        <v/>
      </c>
      <c r="N327" t="b">
        <f t="shared" si="161"/>
        <v>0</v>
      </c>
      <c r="O327" s="36">
        <f>99/1.2</f>
        <v>82.5</v>
      </c>
      <c r="P327" s="51">
        <f>Arbeitszimmer!$B$3</f>
        <v>0.27320378419841473</v>
      </c>
      <c r="Q327" s="27">
        <v>20</v>
      </c>
      <c r="R327" s="31">
        <f>O327*Q327/100</f>
        <v>16.5</v>
      </c>
      <c r="S327" s="31">
        <f t="shared" si="155"/>
        <v>4.5078624392738433</v>
      </c>
      <c r="T327" s="33">
        <f t="shared" si="156"/>
        <v>22.539312196369217</v>
      </c>
      <c r="U327" s="29">
        <f t="shared" si="157"/>
        <v>99</v>
      </c>
      <c r="V327" s="29">
        <f t="shared" si="158"/>
        <v>27.04717463564306</v>
      </c>
      <c r="W327" s="35">
        <f t="shared" si="154"/>
        <v>43327</v>
      </c>
      <c r="X327" s="35">
        <v>43318</v>
      </c>
      <c r="Z327" s="58">
        <f>IF(N327=TRUE,T327/K327,T327)</f>
        <v>22.539312196369217</v>
      </c>
      <c r="AA327" s="31">
        <f t="shared" si="159"/>
        <v>0</v>
      </c>
      <c r="AB327" t="b">
        <f t="shared" si="160"/>
        <v>0</v>
      </c>
    </row>
    <row r="328" spans="2:28" x14ac:dyDescent="0.25">
      <c r="B328" s="53">
        <v>2018</v>
      </c>
      <c r="C328" s="53">
        <v>24</v>
      </c>
      <c r="D328" s="9" t="s">
        <v>718</v>
      </c>
      <c r="F328" s="1">
        <v>43181</v>
      </c>
      <c r="G328" s="1" t="s">
        <v>728</v>
      </c>
      <c r="H328" t="s">
        <v>72</v>
      </c>
      <c r="I328" t="s">
        <v>157</v>
      </c>
      <c r="J328" t="s">
        <v>574</v>
      </c>
      <c r="L328" s="16" t="s">
        <v>683</v>
      </c>
      <c r="M328" s="36" t="s">
        <v>540</v>
      </c>
      <c r="N328" t="b">
        <v>0</v>
      </c>
      <c r="O328" s="36">
        <v>30.24</v>
      </c>
      <c r="P328" s="51">
        <v>1</v>
      </c>
      <c r="Q328" s="27">
        <v>20</v>
      </c>
      <c r="R328" s="31">
        <f>O328*Q328/100</f>
        <v>6.0479999999999992</v>
      </c>
      <c r="S328" s="31">
        <f t="shared" si="155"/>
        <v>6.0479999999999992</v>
      </c>
      <c r="T328" s="33">
        <f t="shared" si="156"/>
        <v>30.24</v>
      </c>
      <c r="U328" s="29">
        <f t="shared" si="157"/>
        <v>36.287999999999997</v>
      </c>
      <c r="V328" s="29">
        <f t="shared" si="158"/>
        <v>36.287999999999997</v>
      </c>
      <c r="W328" s="35">
        <f t="shared" si="154"/>
        <v>43235</v>
      </c>
      <c r="X328" s="35">
        <v>43234</v>
      </c>
      <c r="Z328" s="58">
        <f>IF(N328=TRUE,T328/M328,T328)</f>
        <v>30.24</v>
      </c>
      <c r="AA328" s="31">
        <f t="shared" si="159"/>
        <v>0</v>
      </c>
      <c r="AB328" t="b">
        <f t="shared" si="160"/>
        <v>0</v>
      </c>
    </row>
    <row r="329" spans="2:28" x14ac:dyDescent="0.25">
      <c r="B329" s="53">
        <v>2018</v>
      </c>
      <c r="C329" s="53">
        <v>25</v>
      </c>
      <c r="D329" s="9" t="s">
        <v>650</v>
      </c>
      <c r="F329" s="1">
        <v>43215</v>
      </c>
      <c r="G329" s="1" t="str">
        <f>CONCATENATE(H329,": ",J329)</f>
        <v>PREMIUM Laudongasse 58 GmbH &amp; Co KG: Dauerrechnung 2018-D</v>
      </c>
      <c r="H329" t="s">
        <v>462</v>
      </c>
      <c r="I329" t="s">
        <v>174</v>
      </c>
      <c r="J329" t="s">
        <v>649</v>
      </c>
      <c r="L329" s="16" t="s">
        <v>691</v>
      </c>
      <c r="M329" s="16" t="str">
        <f>IF(L329="Waren, Rohstoffe, Hilfsstoffe", "Weiterverkauf", "")</f>
        <v/>
      </c>
      <c r="N329" t="b">
        <f>(IF(AND(M329&lt;&gt;"",ABS(T329)&gt;400),TRUE,FALSE))</f>
        <v>0</v>
      </c>
      <c r="O329" s="36">
        <v>763.44</v>
      </c>
      <c r="P329" s="51">
        <f>Arbeitszimmer!$B$3</f>
        <v>0.27320378419841473</v>
      </c>
      <c r="Q329" s="27">
        <v>10</v>
      </c>
      <c r="R329" s="31">
        <f>O329*Q329/100</f>
        <v>76.344000000000008</v>
      </c>
      <c r="S329" s="31">
        <f t="shared" si="155"/>
        <v>20.857469700843776</v>
      </c>
      <c r="T329" s="33">
        <f t="shared" si="156"/>
        <v>208.57469700843777</v>
      </c>
      <c r="U329" s="29">
        <f t="shared" si="157"/>
        <v>839.78400000000011</v>
      </c>
      <c r="V329" s="29">
        <f t="shared" si="158"/>
        <v>229.43216670928155</v>
      </c>
      <c r="W329" s="35">
        <f t="shared" si="154"/>
        <v>43327</v>
      </c>
      <c r="X329" s="35">
        <v>43318</v>
      </c>
      <c r="Z329" s="58">
        <f>IF(N329=TRUE,T329/M329,T329)</f>
        <v>208.57469700843777</v>
      </c>
      <c r="AA329" s="31">
        <f t="shared" si="159"/>
        <v>0</v>
      </c>
      <c r="AB329" t="b">
        <f t="shared" si="160"/>
        <v>0</v>
      </c>
    </row>
    <row r="330" spans="2:28" x14ac:dyDescent="0.25">
      <c r="B330" s="53">
        <v>2018</v>
      </c>
      <c r="C330" s="53">
        <v>26</v>
      </c>
      <c r="D330" s="9" t="s">
        <v>720</v>
      </c>
      <c r="F330" s="1">
        <v>43224</v>
      </c>
      <c r="G330" t="s">
        <v>647</v>
      </c>
      <c r="L330" s="16" t="s">
        <v>703</v>
      </c>
      <c r="N330" t="b">
        <f>(IF(AND(M330&lt;&gt;"",ABS(T330)&gt;400),TRUE,FALSE))</f>
        <v>0</v>
      </c>
      <c r="O330" s="36">
        <v>48.32</v>
      </c>
      <c r="P330" s="56">
        <f>(27.82+1.04)/48.32*(2/3)</f>
        <v>0.39817880794701987</v>
      </c>
      <c r="Q330" s="27" t="s">
        <v>14</v>
      </c>
      <c r="R330" s="31">
        <v>7.72</v>
      </c>
      <c r="S330" s="31">
        <f t="shared" si="155"/>
        <v>3.0739403973509933</v>
      </c>
      <c r="T330" s="33">
        <f t="shared" si="156"/>
        <v>19.240000000000002</v>
      </c>
      <c r="U330" s="29">
        <f t="shared" si="157"/>
        <v>56.04</v>
      </c>
      <c r="V330" s="29">
        <f t="shared" si="158"/>
        <v>22.313940397350997</v>
      </c>
      <c r="W330" s="35">
        <f t="shared" si="154"/>
        <v>43327</v>
      </c>
      <c r="X330" s="35">
        <v>43318</v>
      </c>
      <c r="Z330" s="58">
        <f>IF(N330=TRUE,T330/M330,T330)</f>
        <v>19.240000000000002</v>
      </c>
      <c r="AA330" s="31">
        <f t="shared" si="159"/>
        <v>0</v>
      </c>
      <c r="AB330" t="b">
        <f t="shared" si="160"/>
        <v>0</v>
      </c>
    </row>
    <row r="331" spans="2:28" x14ac:dyDescent="0.25">
      <c r="B331" s="53">
        <v>2018</v>
      </c>
      <c r="C331" s="53">
        <v>27</v>
      </c>
      <c r="D331" s="9" t="s">
        <v>719</v>
      </c>
      <c r="F331" s="1">
        <v>43227</v>
      </c>
      <c r="G331" t="s">
        <v>34</v>
      </c>
      <c r="L331" s="16" t="s">
        <v>703</v>
      </c>
      <c r="M331" s="16" t="str">
        <f>IF(L331="Waren, Rohstoffe, Hilfsstoffe", "Weiterverkauf", "")</f>
        <v/>
      </c>
      <c r="N331" t="b">
        <f>(IF(AND(M331&lt;&gt;"",ABS(T331)&gt;400),TRUE,FALSE))</f>
        <v>0</v>
      </c>
      <c r="O331" s="36">
        <v>15</v>
      </c>
      <c r="P331" s="51">
        <v>1</v>
      </c>
      <c r="Q331" s="27">
        <v>20</v>
      </c>
      <c r="R331" s="31">
        <f t="shared" ref="R331:R348" si="163">O331*Q331/100</f>
        <v>3</v>
      </c>
      <c r="S331" s="31">
        <f t="shared" si="155"/>
        <v>3</v>
      </c>
      <c r="T331" s="33">
        <f t="shared" si="156"/>
        <v>15</v>
      </c>
      <c r="U331" s="29">
        <f t="shared" si="157"/>
        <v>18</v>
      </c>
      <c r="V331" s="29">
        <f t="shared" si="158"/>
        <v>18</v>
      </c>
      <c r="W331" s="35">
        <f t="shared" si="154"/>
        <v>43327</v>
      </c>
      <c r="X331" s="35">
        <v>43318</v>
      </c>
      <c r="Z331" s="58">
        <f>IF(N331=TRUE,T331/M331,T331)</f>
        <v>15</v>
      </c>
      <c r="AA331" s="31">
        <f t="shared" si="159"/>
        <v>0</v>
      </c>
      <c r="AB331" t="b">
        <f t="shared" si="160"/>
        <v>0</v>
      </c>
    </row>
    <row r="332" spans="2:28" x14ac:dyDescent="0.25">
      <c r="B332" s="53">
        <v>2018</v>
      </c>
      <c r="C332" s="53">
        <v>28</v>
      </c>
      <c r="D332" s="9" t="s">
        <v>721</v>
      </c>
      <c r="F332" s="1">
        <v>43234</v>
      </c>
      <c r="G332" s="1" t="str">
        <f>CONCATENATE(H332,": ",J332)</f>
        <v>WKO: Grundumlage</v>
      </c>
      <c r="H332" t="s">
        <v>165</v>
      </c>
      <c r="J332" t="s">
        <v>164</v>
      </c>
      <c r="L332" s="16" t="s">
        <v>704</v>
      </c>
      <c r="N332" t="b">
        <f>(IF(AND(K332&lt;&gt;"",ABS(T332)&gt;400),TRUE,FALSE))</f>
        <v>0</v>
      </c>
      <c r="O332" s="36">
        <v>65</v>
      </c>
      <c r="P332" s="51">
        <v>1</v>
      </c>
      <c r="Q332" s="27">
        <v>0</v>
      </c>
      <c r="R332" s="31">
        <f t="shared" si="163"/>
        <v>0</v>
      </c>
      <c r="S332" s="31">
        <f t="shared" si="155"/>
        <v>0</v>
      </c>
      <c r="T332" s="33">
        <f t="shared" si="156"/>
        <v>65</v>
      </c>
      <c r="U332" s="29">
        <f t="shared" si="157"/>
        <v>65</v>
      </c>
      <c r="V332" s="29">
        <f t="shared" si="158"/>
        <v>65</v>
      </c>
      <c r="W332" s="35">
        <f t="shared" si="154"/>
        <v>43327</v>
      </c>
      <c r="X332" s="35">
        <v>43318</v>
      </c>
      <c r="Z332" s="58">
        <f>IF(N332=TRUE,T332/K332,T332)</f>
        <v>65</v>
      </c>
      <c r="AA332" s="31">
        <f t="shared" si="159"/>
        <v>0</v>
      </c>
      <c r="AB332" t="b">
        <f t="shared" si="160"/>
        <v>0</v>
      </c>
    </row>
    <row r="333" spans="2:28" x14ac:dyDescent="0.25">
      <c r="B333" s="53">
        <v>2018</v>
      </c>
      <c r="C333" s="53">
        <v>29</v>
      </c>
      <c r="D333" s="9" t="s">
        <v>722</v>
      </c>
      <c r="F333" s="1">
        <v>43235</v>
      </c>
      <c r="G333" s="1" t="str">
        <f>CONCATENATE(H333,": ",J333)</f>
        <v>MONTANA Energie-Handel AT GmbH: Teilzahlungsbetrag Gas</v>
      </c>
      <c r="H333" t="s">
        <v>58</v>
      </c>
      <c r="J333" t="s">
        <v>401</v>
      </c>
      <c r="L333" s="16" t="s">
        <v>705</v>
      </c>
      <c r="M333" s="16" t="str">
        <f>IF(L333="Waren, Rohstoffe, Hilfsstoffe", "Weiterverkauf", "")</f>
        <v/>
      </c>
      <c r="N333" t="b">
        <f>(IF(AND(M333&lt;&gt;"",ABS(T333)&gt;400),TRUE,FALSE))</f>
        <v>0</v>
      </c>
      <c r="O333" s="36">
        <f>99/1.2</f>
        <v>82.5</v>
      </c>
      <c r="P333" s="51">
        <f>Arbeitszimmer!$B$3</f>
        <v>0.27320378419841473</v>
      </c>
      <c r="Q333" s="27">
        <v>20</v>
      </c>
      <c r="R333" s="31">
        <f t="shared" si="163"/>
        <v>16.5</v>
      </c>
      <c r="S333" s="31">
        <f t="shared" si="155"/>
        <v>4.5078624392738433</v>
      </c>
      <c r="T333" s="33">
        <f t="shared" si="156"/>
        <v>22.539312196369217</v>
      </c>
      <c r="U333" s="29">
        <f t="shared" si="157"/>
        <v>99</v>
      </c>
      <c r="V333" s="29">
        <f t="shared" si="158"/>
        <v>27.04717463564306</v>
      </c>
      <c r="W333" s="35">
        <f t="shared" si="154"/>
        <v>43327</v>
      </c>
      <c r="X333" s="35">
        <v>43318</v>
      </c>
      <c r="Z333" s="58">
        <f>IF(N333=TRUE,T333/K333,T333)</f>
        <v>22.539312196369217</v>
      </c>
      <c r="AA333" s="31">
        <f t="shared" si="159"/>
        <v>0</v>
      </c>
      <c r="AB333" t="b">
        <f t="shared" si="160"/>
        <v>0</v>
      </c>
    </row>
    <row r="334" spans="2:28" x14ac:dyDescent="0.25">
      <c r="B334" s="53">
        <v>2018</v>
      </c>
      <c r="C334" s="53">
        <v>30</v>
      </c>
      <c r="D334" s="9" t="s">
        <v>650</v>
      </c>
      <c r="F334" s="1">
        <v>43245</v>
      </c>
      <c r="G334" s="1" t="str">
        <f>CONCATENATE(H334,": ",J334)</f>
        <v>PREMIUM Laudongasse 58 GmbH &amp; Co KG: Dauerrechnung 2018-D</v>
      </c>
      <c r="H334" t="s">
        <v>462</v>
      </c>
      <c r="I334" t="s">
        <v>174</v>
      </c>
      <c r="J334" t="s">
        <v>649</v>
      </c>
      <c r="L334" s="16" t="s">
        <v>691</v>
      </c>
      <c r="M334" s="16" t="str">
        <f>IF(L334="Waren, Rohstoffe, Hilfsstoffe", "Weiterverkauf", "")</f>
        <v/>
      </c>
      <c r="N334" t="b">
        <f>(IF(AND(M334&lt;&gt;"",ABS(T334)&gt;400),TRUE,FALSE))</f>
        <v>0</v>
      </c>
      <c r="O334" s="36">
        <v>763.44</v>
      </c>
      <c r="P334" s="51">
        <f>Arbeitszimmer!$B$3</f>
        <v>0.27320378419841473</v>
      </c>
      <c r="Q334" s="27">
        <v>10</v>
      </c>
      <c r="R334" s="31">
        <f t="shared" si="163"/>
        <v>76.344000000000008</v>
      </c>
      <c r="S334" s="31">
        <f t="shared" si="155"/>
        <v>20.857469700843776</v>
      </c>
      <c r="T334" s="33">
        <f t="shared" si="156"/>
        <v>208.57469700843777</v>
      </c>
      <c r="U334" s="29">
        <f t="shared" si="157"/>
        <v>839.78400000000011</v>
      </c>
      <c r="V334" s="29">
        <f t="shared" si="158"/>
        <v>229.43216670928155</v>
      </c>
      <c r="W334" s="35">
        <f t="shared" si="154"/>
        <v>43327</v>
      </c>
      <c r="X334" s="35">
        <v>43318</v>
      </c>
      <c r="Z334" s="58">
        <f>IF(N334=TRUE,T334/M334,T334)</f>
        <v>208.57469700843777</v>
      </c>
      <c r="AA334" s="31">
        <f t="shared" si="159"/>
        <v>0</v>
      </c>
      <c r="AB334" t="b">
        <f t="shared" si="160"/>
        <v>0</v>
      </c>
    </row>
    <row r="335" spans="2:28" x14ac:dyDescent="0.25">
      <c r="B335" s="53">
        <v>2018</v>
      </c>
      <c r="C335" s="53">
        <v>31</v>
      </c>
      <c r="D335" s="9" t="s">
        <v>729</v>
      </c>
      <c r="F335" s="1">
        <v>43200</v>
      </c>
      <c r="G335" s="1" t="s">
        <v>727</v>
      </c>
      <c r="H335" t="s">
        <v>72</v>
      </c>
      <c r="I335" t="s">
        <v>157</v>
      </c>
      <c r="J335" t="s">
        <v>574</v>
      </c>
      <c r="L335" s="16" t="s">
        <v>683</v>
      </c>
      <c r="M335" s="36" t="s">
        <v>540</v>
      </c>
      <c r="N335" t="b">
        <v>0</v>
      </c>
      <c r="O335" s="36">
        <v>78.13</v>
      </c>
      <c r="P335" s="51">
        <v>1</v>
      </c>
      <c r="Q335" s="27">
        <v>20</v>
      </c>
      <c r="R335" s="31">
        <f t="shared" si="163"/>
        <v>15.625999999999999</v>
      </c>
      <c r="S335" s="31">
        <f t="shared" si="155"/>
        <v>15.625999999999999</v>
      </c>
      <c r="T335" s="33">
        <f t="shared" si="156"/>
        <v>78.13</v>
      </c>
      <c r="U335" s="29">
        <f t="shared" si="157"/>
        <v>93.756</v>
      </c>
      <c r="V335" s="29">
        <f t="shared" si="158"/>
        <v>93.756</v>
      </c>
      <c r="W335" s="35">
        <f t="shared" si="154"/>
        <v>43327</v>
      </c>
      <c r="X335" s="35">
        <v>43318</v>
      </c>
      <c r="Z335" s="58">
        <v>30.24</v>
      </c>
      <c r="AA335" s="31">
        <v>0</v>
      </c>
      <c r="AB335" t="b">
        <v>0</v>
      </c>
    </row>
    <row r="336" spans="2:28" x14ac:dyDescent="0.25">
      <c r="B336" s="53">
        <v>2018</v>
      </c>
      <c r="C336" s="53">
        <v>32</v>
      </c>
      <c r="D336" s="9" t="s">
        <v>730</v>
      </c>
      <c r="F336" s="1">
        <v>43196</v>
      </c>
      <c r="G336" t="s">
        <v>731</v>
      </c>
      <c r="L336" s="16" t="s">
        <v>683</v>
      </c>
      <c r="M336" s="16" t="s">
        <v>540</v>
      </c>
      <c r="N336" t="b">
        <v>0</v>
      </c>
      <c r="O336" s="36">
        <v>32.51</v>
      </c>
      <c r="P336" s="51">
        <v>1</v>
      </c>
      <c r="Q336" s="27">
        <v>21</v>
      </c>
      <c r="R336" s="31">
        <f t="shared" si="163"/>
        <v>6.8270999999999988</v>
      </c>
      <c r="S336" s="31">
        <f t="shared" si="155"/>
        <v>6.8270999999999988</v>
      </c>
      <c r="T336" s="33">
        <f t="shared" si="156"/>
        <v>32.51</v>
      </c>
      <c r="U336" s="29">
        <f t="shared" si="157"/>
        <v>39.3371</v>
      </c>
      <c r="V336" s="29">
        <f t="shared" si="158"/>
        <v>39.3371</v>
      </c>
      <c r="W336" s="35">
        <f t="shared" si="154"/>
        <v>43327</v>
      </c>
      <c r="X336" s="35">
        <v>43318</v>
      </c>
      <c r="Z336" s="58">
        <v>30.24</v>
      </c>
      <c r="AA336" s="31">
        <v>0</v>
      </c>
      <c r="AB336" t="b">
        <v>0</v>
      </c>
    </row>
    <row r="337" spans="2:28" x14ac:dyDescent="0.25">
      <c r="B337" s="53">
        <v>2018</v>
      </c>
      <c r="C337" s="53">
        <v>33</v>
      </c>
      <c r="D337" s="9" t="s">
        <v>732</v>
      </c>
      <c r="F337" s="1">
        <v>43242</v>
      </c>
      <c r="G337" t="s">
        <v>651</v>
      </c>
      <c r="L337" s="16" t="s">
        <v>705</v>
      </c>
      <c r="M337" s="16" t="str">
        <f>IF(L337="Waren, Rohstoffe, Hilfsstoffe", "Weiterverkauf", "")</f>
        <v/>
      </c>
      <c r="N337" t="b">
        <f>(IF(AND(M337&lt;&gt;"",ABS(T337)&gt;400),TRUE,FALSE))</f>
        <v>0</v>
      </c>
      <c r="O337" s="36">
        <v>15.3</v>
      </c>
      <c r="P337" s="51">
        <v>1</v>
      </c>
      <c r="Q337" s="27">
        <v>20</v>
      </c>
      <c r="R337" s="31">
        <f t="shared" si="163"/>
        <v>3.06</v>
      </c>
      <c r="S337" s="31">
        <f t="shared" si="155"/>
        <v>3.06</v>
      </c>
      <c r="T337" s="33">
        <f t="shared" si="156"/>
        <v>15.3</v>
      </c>
      <c r="U337" s="29">
        <f t="shared" si="157"/>
        <v>18.36</v>
      </c>
      <c r="V337" s="29">
        <f t="shared" si="158"/>
        <v>18.36</v>
      </c>
      <c r="W337" s="35">
        <f t="shared" si="154"/>
        <v>43327</v>
      </c>
      <c r="X337" s="35">
        <v>43318</v>
      </c>
      <c r="Z337" s="58">
        <f>IF(N337=TRUE,T337/M337,T337)</f>
        <v>15.3</v>
      </c>
      <c r="AA337" s="31">
        <f>Y337/100*V337</f>
        <v>0</v>
      </c>
      <c r="AB337" t="b">
        <f>IF(AND(Y337&gt;0,Q337=Y337),TRUE,FALSE)</f>
        <v>0</v>
      </c>
    </row>
    <row r="338" spans="2:28" x14ac:dyDescent="0.25">
      <c r="B338" s="53">
        <v>2018</v>
      </c>
      <c r="C338" s="53">
        <v>34</v>
      </c>
      <c r="D338" s="9" t="s">
        <v>734</v>
      </c>
      <c r="F338" s="1">
        <v>43102</v>
      </c>
      <c r="G338" s="1" t="s">
        <v>733</v>
      </c>
      <c r="M338" s="16" t="s">
        <v>540</v>
      </c>
      <c r="N338" t="b">
        <f>(IF(AND(M338&lt;&gt;"",ABS(T338)&gt;400),TRUE,FALSE))</f>
        <v>0</v>
      </c>
      <c r="O338" s="36">
        <v>91.33</v>
      </c>
      <c r="P338" s="51">
        <v>1</v>
      </c>
      <c r="Q338" s="27">
        <v>0</v>
      </c>
      <c r="R338" s="31">
        <f t="shared" si="163"/>
        <v>0</v>
      </c>
      <c r="S338" s="31">
        <f t="shared" si="155"/>
        <v>0</v>
      </c>
      <c r="T338" s="33">
        <f t="shared" si="156"/>
        <v>91.33</v>
      </c>
      <c r="U338" s="29">
        <f t="shared" si="157"/>
        <v>91.33</v>
      </c>
      <c r="V338" s="29">
        <f t="shared" si="158"/>
        <v>91.33</v>
      </c>
      <c r="W338" s="35">
        <f t="shared" si="154"/>
        <v>43235</v>
      </c>
      <c r="X338" s="35"/>
      <c r="Z338" s="58">
        <f>IF(N338=TRUE,T338/M338,T338)</f>
        <v>91.33</v>
      </c>
      <c r="AA338" s="31">
        <f>Y338/100*V338</f>
        <v>0</v>
      </c>
      <c r="AB338" t="b">
        <f>IF(AND(Y338&gt;0,Q338=Y338),TRUE,FALSE)</f>
        <v>0</v>
      </c>
    </row>
    <row r="339" spans="2:28" x14ac:dyDescent="0.25">
      <c r="B339" s="53">
        <v>2018</v>
      </c>
      <c r="C339" s="53">
        <v>35</v>
      </c>
      <c r="D339" s="9" t="s">
        <v>735</v>
      </c>
      <c r="F339" s="1">
        <v>43181</v>
      </c>
      <c r="G339" t="s">
        <v>651</v>
      </c>
      <c r="L339" s="16" t="s">
        <v>705</v>
      </c>
      <c r="M339" s="16" t="str">
        <f>IF(L339="Waren, Rohstoffe, Hilfsstoffe", "Weiterverkauf", "")</f>
        <v/>
      </c>
      <c r="N339" t="b">
        <f>(IF(AND(M339&lt;&gt;"",ABS(T339)&gt;400),TRUE,FALSE))</f>
        <v>0</v>
      </c>
      <c r="O339" s="36">
        <v>15.3</v>
      </c>
      <c r="P339" s="51">
        <v>1</v>
      </c>
      <c r="Q339" s="27">
        <v>20</v>
      </c>
      <c r="R339" s="31">
        <f t="shared" si="163"/>
        <v>3.06</v>
      </c>
      <c r="S339" s="31">
        <f t="shared" si="155"/>
        <v>3.06</v>
      </c>
      <c r="T339" s="33">
        <f t="shared" si="156"/>
        <v>15.3</v>
      </c>
      <c r="U339" s="29">
        <f t="shared" si="157"/>
        <v>18.36</v>
      </c>
      <c r="V339" s="29">
        <f t="shared" si="158"/>
        <v>18.36</v>
      </c>
      <c r="W339" s="35">
        <f t="shared" si="154"/>
        <v>43235</v>
      </c>
      <c r="X339" s="35"/>
      <c r="Z339" s="58">
        <f>IF(N339=TRUE,T339/M339,T339)</f>
        <v>15.3</v>
      </c>
      <c r="AA339" s="31">
        <f>Y339/100*V339</f>
        <v>0</v>
      </c>
      <c r="AB339" t="b">
        <f>IF(AND(Y339&gt;0,Q339=Y339),TRUE,FALSE)</f>
        <v>0</v>
      </c>
    </row>
    <row r="340" spans="2:28" x14ac:dyDescent="0.25">
      <c r="B340" s="53">
        <v>2018</v>
      </c>
      <c r="C340" s="53">
        <v>36</v>
      </c>
      <c r="D340" s="9" t="s">
        <v>736</v>
      </c>
      <c r="F340" s="1">
        <v>43178</v>
      </c>
      <c r="G340" s="1" t="s">
        <v>737</v>
      </c>
      <c r="H340" t="s">
        <v>72</v>
      </c>
      <c r="I340" t="s">
        <v>157</v>
      </c>
      <c r="J340" t="s">
        <v>574</v>
      </c>
      <c r="L340" s="16" t="s">
        <v>683</v>
      </c>
      <c r="M340" s="36" t="s">
        <v>540</v>
      </c>
      <c r="N340" t="b">
        <v>0</v>
      </c>
      <c r="O340" s="36">
        <v>46.02</v>
      </c>
      <c r="P340" s="51">
        <v>1</v>
      </c>
      <c r="Q340" s="27">
        <v>20</v>
      </c>
      <c r="R340" s="31">
        <f t="shared" si="163"/>
        <v>9.2040000000000006</v>
      </c>
      <c r="S340" s="31">
        <f t="shared" si="155"/>
        <v>9.2040000000000006</v>
      </c>
      <c r="T340" s="33">
        <f t="shared" si="156"/>
        <v>46.02</v>
      </c>
      <c r="U340" s="29">
        <f t="shared" si="157"/>
        <v>55.224000000000004</v>
      </c>
      <c r="V340" s="29">
        <f t="shared" si="158"/>
        <v>55.224000000000004</v>
      </c>
      <c r="W340" s="35">
        <f t="shared" si="154"/>
        <v>43235</v>
      </c>
      <c r="X340" s="35"/>
      <c r="Z340" s="58">
        <v>30.24</v>
      </c>
      <c r="AA340" s="31">
        <v>0</v>
      </c>
      <c r="AB340" t="b">
        <v>0</v>
      </c>
    </row>
    <row r="341" spans="2:28" x14ac:dyDescent="0.25">
      <c r="B341" s="53">
        <v>2018</v>
      </c>
      <c r="C341" s="53">
        <v>37</v>
      </c>
      <c r="D341" s="9" t="s">
        <v>739</v>
      </c>
      <c r="F341" s="1">
        <v>43238</v>
      </c>
      <c r="G341" s="1" t="s">
        <v>738</v>
      </c>
      <c r="H341" t="s">
        <v>72</v>
      </c>
      <c r="I341" t="s">
        <v>157</v>
      </c>
      <c r="J341" t="s">
        <v>574</v>
      </c>
      <c r="L341" s="16" t="s">
        <v>701</v>
      </c>
      <c r="M341" s="16" t="str">
        <f>IF(L341="Waren, Rohstoffe, Hilfsstoffe", "Weiterverkauf", "")</f>
        <v/>
      </c>
      <c r="N341" t="b">
        <v>0</v>
      </c>
      <c r="O341" s="36">
        <v>46.73</v>
      </c>
      <c r="P341" s="51">
        <v>1</v>
      </c>
      <c r="Q341" s="27">
        <v>10</v>
      </c>
      <c r="R341" s="31">
        <f t="shared" si="163"/>
        <v>4.6729999999999992</v>
      </c>
      <c r="S341" s="31">
        <f t="shared" si="155"/>
        <v>4.6729999999999992</v>
      </c>
      <c r="T341" s="33">
        <f t="shared" si="156"/>
        <v>46.73</v>
      </c>
      <c r="U341" s="29">
        <f t="shared" si="157"/>
        <v>51.402999999999999</v>
      </c>
      <c r="V341" s="29">
        <f t="shared" si="158"/>
        <v>51.402999999999999</v>
      </c>
      <c r="W341" s="35">
        <f t="shared" si="154"/>
        <v>43327</v>
      </c>
      <c r="X341" s="35">
        <v>43318</v>
      </c>
      <c r="Z341" s="58">
        <v>30.24</v>
      </c>
      <c r="AA341" s="31">
        <v>0</v>
      </c>
      <c r="AB341" t="b">
        <v>0</v>
      </c>
    </row>
    <row r="342" spans="2:28" x14ac:dyDescent="0.25">
      <c r="B342" s="53">
        <v>2018</v>
      </c>
      <c r="C342" s="53">
        <v>38</v>
      </c>
      <c r="D342" s="9" t="s">
        <v>741</v>
      </c>
      <c r="F342" s="1">
        <v>43210</v>
      </c>
      <c r="G342" t="s">
        <v>740</v>
      </c>
      <c r="M342" s="36" t="s">
        <v>540</v>
      </c>
      <c r="N342" t="b">
        <v>0</v>
      </c>
      <c r="O342" s="36">
        <v>20.9</v>
      </c>
      <c r="P342" s="51">
        <v>1</v>
      </c>
      <c r="Q342" s="27">
        <v>20</v>
      </c>
      <c r="R342" s="31">
        <f t="shared" si="163"/>
        <v>4.18</v>
      </c>
      <c r="S342" s="31">
        <f t="shared" si="155"/>
        <v>4.18</v>
      </c>
      <c r="T342" s="33">
        <f t="shared" si="156"/>
        <v>20.9</v>
      </c>
      <c r="U342" s="29">
        <f t="shared" si="157"/>
        <v>25.08</v>
      </c>
      <c r="V342" s="29">
        <f t="shared" si="158"/>
        <v>25.08</v>
      </c>
      <c r="W342" s="35">
        <f t="shared" si="154"/>
        <v>43327</v>
      </c>
      <c r="X342" s="35">
        <v>43318</v>
      </c>
      <c r="Z342" s="58">
        <v>30.24</v>
      </c>
      <c r="AA342" s="31">
        <v>0</v>
      </c>
      <c r="AB342" t="b">
        <v>0</v>
      </c>
    </row>
    <row r="343" spans="2:28" x14ac:dyDescent="0.25">
      <c r="B343" s="53">
        <v>2018</v>
      </c>
      <c r="C343" s="53">
        <v>39</v>
      </c>
      <c r="D343" s="9" t="s">
        <v>742</v>
      </c>
      <c r="F343" s="1">
        <v>43213</v>
      </c>
      <c r="G343" t="s">
        <v>651</v>
      </c>
      <c r="L343" s="16" t="s">
        <v>705</v>
      </c>
      <c r="M343" s="16" t="str">
        <f>IF(L343="Waren, Rohstoffe, Hilfsstoffe", "Weiterverkauf", "")</f>
        <v/>
      </c>
      <c r="N343" t="b">
        <f t="shared" ref="N343:N351" si="164">(IF(AND(M343&lt;&gt;"",ABS(T343)&gt;400),TRUE,FALSE))</f>
        <v>0</v>
      </c>
      <c r="O343" s="36">
        <v>15.3</v>
      </c>
      <c r="P343" s="51">
        <v>1</v>
      </c>
      <c r="Q343" s="27">
        <v>20</v>
      </c>
      <c r="R343" s="31">
        <f t="shared" si="163"/>
        <v>3.06</v>
      </c>
      <c r="S343" s="31">
        <f t="shared" si="155"/>
        <v>3.06</v>
      </c>
      <c r="T343" s="33">
        <f t="shared" si="156"/>
        <v>15.3</v>
      </c>
      <c r="U343" s="29">
        <f t="shared" si="157"/>
        <v>18.36</v>
      </c>
      <c r="V343" s="29">
        <f t="shared" si="158"/>
        <v>18.36</v>
      </c>
      <c r="W343" s="35">
        <f t="shared" si="154"/>
        <v>43327</v>
      </c>
      <c r="X343" s="35">
        <v>43318</v>
      </c>
      <c r="Z343" s="58">
        <f>IF(N343=TRUE,T343/M343,T343)</f>
        <v>15.3</v>
      </c>
      <c r="AA343" s="31">
        <f t="shared" ref="AA343:AA369" si="165">Y343/100*V343</f>
        <v>0</v>
      </c>
      <c r="AB343" t="b">
        <f t="shared" ref="AB343:AB369" si="166">IF(AND(Y343&gt;0,Q343=Y343),TRUE,FALSE)</f>
        <v>0</v>
      </c>
    </row>
    <row r="344" spans="2:28" x14ac:dyDescent="0.25">
      <c r="B344" s="53">
        <v>2018</v>
      </c>
      <c r="C344" s="53">
        <v>40</v>
      </c>
      <c r="D344" s="9" t="s">
        <v>744</v>
      </c>
      <c r="F344" s="1">
        <v>43245</v>
      </c>
      <c r="G344" s="1" t="s">
        <v>743</v>
      </c>
      <c r="I344" t="s">
        <v>187</v>
      </c>
      <c r="L344" s="16" t="s">
        <v>705</v>
      </c>
      <c r="M344" s="16" t="str">
        <f>IF(L344="Waren, Rohstoffe, Hilfsstoffe", "Weiterverkauf", "")</f>
        <v/>
      </c>
      <c r="N344" t="b">
        <f t="shared" si="164"/>
        <v>0</v>
      </c>
      <c r="O344" s="36">
        <v>12.42</v>
      </c>
      <c r="P344" s="51">
        <v>1</v>
      </c>
      <c r="Q344" s="27">
        <v>20</v>
      </c>
      <c r="R344" s="31">
        <f t="shared" si="163"/>
        <v>2.484</v>
      </c>
      <c r="S344" s="31">
        <f t="shared" si="155"/>
        <v>2.484</v>
      </c>
      <c r="T344" s="33">
        <f t="shared" si="156"/>
        <v>12.42</v>
      </c>
      <c r="U344" s="29">
        <f t="shared" si="157"/>
        <v>14.904</v>
      </c>
      <c r="V344" s="29">
        <f t="shared" si="158"/>
        <v>14.904</v>
      </c>
      <c r="W344" s="35">
        <f t="shared" si="154"/>
        <v>43327</v>
      </c>
      <c r="X344" s="35">
        <v>43318</v>
      </c>
      <c r="Z344" s="58">
        <f>IF(N344=TRUE,T344/K344,T344)</f>
        <v>12.42</v>
      </c>
      <c r="AA344" s="31">
        <f t="shared" si="165"/>
        <v>0</v>
      </c>
      <c r="AB344" t="b">
        <f t="shared" si="166"/>
        <v>0</v>
      </c>
    </row>
    <row r="345" spans="2:28" x14ac:dyDescent="0.25">
      <c r="B345" s="53">
        <v>2018</v>
      </c>
      <c r="C345" s="53">
        <v>41</v>
      </c>
      <c r="D345" s="9" t="s">
        <v>746</v>
      </c>
      <c r="F345" s="1">
        <v>43229</v>
      </c>
      <c r="G345" t="s">
        <v>745</v>
      </c>
      <c r="L345" s="16" t="s">
        <v>689</v>
      </c>
      <c r="N345" t="b">
        <f t="shared" si="164"/>
        <v>0</v>
      </c>
      <c r="O345" s="36">
        <v>8.52</v>
      </c>
      <c r="P345" s="51">
        <v>1</v>
      </c>
      <c r="Q345" s="27">
        <v>20</v>
      </c>
      <c r="R345" s="31">
        <f t="shared" si="163"/>
        <v>1.7039999999999997</v>
      </c>
      <c r="S345" s="31">
        <f t="shared" si="155"/>
        <v>1.7039999999999997</v>
      </c>
      <c r="T345" s="33">
        <f t="shared" si="156"/>
        <v>8.52</v>
      </c>
      <c r="U345" s="29">
        <f t="shared" si="157"/>
        <v>10.224</v>
      </c>
      <c r="V345" s="29">
        <f t="shared" si="158"/>
        <v>10.224</v>
      </c>
      <c r="W345" s="35">
        <f t="shared" si="154"/>
        <v>43327</v>
      </c>
      <c r="X345" s="35">
        <v>43318</v>
      </c>
      <c r="Z345" s="58">
        <f>IF(N345=TRUE,T345/K345,T345)</f>
        <v>8.52</v>
      </c>
      <c r="AA345" s="31">
        <f t="shared" si="165"/>
        <v>0</v>
      </c>
      <c r="AB345" t="b">
        <f t="shared" si="166"/>
        <v>0</v>
      </c>
    </row>
    <row r="346" spans="2:28" x14ac:dyDescent="0.25">
      <c r="B346" s="53">
        <v>2018</v>
      </c>
      <c r="C346" s="53">
        <v>42</v>
      </c>
      <c r="D346" s="9" t="s">
        <v>732</v>
      </c>
      <c r="F346" s="1">
        <v>43241</v>
      </c>
      <c r="G346" t="s">
        <v>651</v>
      </c>
      <c r="L346" s="16" t="s">
        <v>705</v>
      </c>
      <c r="N346" t="b">
        <f t="shared" si="164"/>
        <v>0</v>
      </c>
      <c r="O346" s="36">
        <v>15.3</v>
      </c>
      <c r="P346" s="51">
        <v>1</v>
      </c>
      <c r="Q346" s="27">
        <v>20</v>
      </c>
      <c r="R346" s="31">
        <f t="shared" si="163"/>
        <v>3.06</v>
      </c>
      <c r="S346" s="31">
        <f t="shared" ref="S346:S363" si="167">P346*R346</f>
        <v>3.06</v>
      </c>
      <c r="T346" s="33">
        <f t="shared" ref="T346:T363" si="168">O346*P346</f>
        <v>15.3</v>
      </c>
      <c r="U346" s="29">
        <f t="shared" ref="U346:U363" si="169">O346+R346</f>
        <v>18.36</v>
      </c>
      <c r="V346" s="29">
        <f t="shared" ref="V346:V363" si="170">T346+S346</f>
        <v>18.36</v>
      </c>
      <c r="W346" s="35">
        <f t="shared" si="154"/>
        <v>43327</v>
      </c>
      <c r="X346" s="35">
        <v>43318</v>
      </c>
      <c r="Z346" s="58">
        <f>IF(N346=TRUE,T346/K346,T346)</f>
        <v>15.3</v>
      </c>
      <c r="AA346" s="31">
        <f t="shared" si="165"/>
        <v>0</v>
      </c>
      <c r="AB346" t="b">
        <f t="shared" si="166"/>
        <v>0</v>
      </c>
    </row>
    <row r="347" spans="2:28" x14ac:dyDescent="0.25">
      <c r="B347" s="53">
        <v>2018</v>
      </c>
      <c r="C347" s="53">
        <v>43</v>
      </c>
      <c r="D347" s="9" t="s">
        <v>747</v>
      </c>
      <c r="F347" s="1">
        <v>43253</v>
      </c>
      <c r="G347" t="s">
        <v>748</v>
      </c>
      <c r="L347" s="16" t="s">
        <v>705</v>
      </c>
      <c r="N347" t="b">
        <f t="shared" si="164"/>
        <v>0</v>
      </c>
      <c r="O347" s="36">
        <v>2.3199999999999998</v>
      </c>
      <c r="P347" s="51">
        <v>1</v>
      </c>
      <c r="Q347" s="27">
        <v>0</v>
      </c>
      <c r="R347" s="31">
        <f t="shared" si="163"/>
        <v>0</v>
      </c>
      <c r="S347" s="31">
        <f t="shared" si="167"/>
        <v>0</v>
      </c>
      <c r="T347" s="33">
        <f t="shared" si="168"/>
        <v>2.3199999999999998</v>
      </c>
      <c r="U347" s="29">
        <f t="shared" si="169"/>
        <v>2.3199999999999998</v>
      </c>
      <c r="V347" s="29">
        <f t="shared" si="170"/>
        <v>2.3199999999999998</v>
      </c>
      <c r="W347" s="35">
        <f t="shared" si="154"/>
        <v>43327</v>
      </c>
      <c r="X347" s="35">
        <v>43318</v>
      </c>
      <c r="Y347" s="27">
        <v>20</v>
      </c>
      <c r="Z347" s="58">
        <f>IF(N347=TRUE,T347/K347,T347)</f>
        <v>2.3199999999999998</v>
      </c>
      <c r="AA347" s="31">
        <f t="shared" si="165"/>
        <v>0.46399999999999997</v>
      </c>
      <c r="AB347" t="b">
        <f t="shared" si="166"/>
        <v>0</v>
      </c>
    </row>
    <row r="348" spans="2:28" x14ac:dyDescent="0.25">
      <c r="B348" s="53">
        <v>2018</v>
      </c>
      <c r="C348" s="53">
        <v>44</v>
      </c>
      <c r="D348" s="9" t="s">
        <v>749</v>
      </c>
      <c r="F348" s="1">
        <v>43265</v>
      </c>
      <c r="G348" t="s">
        <v>34</v>
      </c>
      <c r="L348" s="16" t="s">
        <v>703</v>
      </c>
      <c r="N348" t="b">
        <f t="shared" si="164"/>
        <v>0</v>
      </c>
      <c r="O348" s="36">
        <v>15.58</v>
      </c>
      <c r="P348" s="51">
        <v>1</v>
      </c>
      <c r="Q348" s="27">
        <v>20</v>
      </c>
      <c r="R348" s="31">
        <f t="shared" si="163"/>
        <v>3.1160000000000001</v>
      </c>
      <c r="S348" s="31">
        <f t="shared" si="167"/>
        <v>3.1160000000000001</v>
      </c>
      <c r="T348" s="33">
        <f t="shared" si="168"/>
        <v>15.58</v>
      </c>
      <c r="U348" s="29">
        <f t="shared" si="169"/>
        <v>18.696000000000002</v>
      </c>
      <c r="V348" s="29">
        <f t="shared" si="170"/>
        <v>18.696000000000002</v>
      </c>
      <c r="W348" s="35">
        <f t="shared" si="154"/>
        <v>43327</v>
      </c>
      <c r="X348" s="35">
        <v>43318</v>
      </c>
      <c r="Z348" s="58">
        <f>IF(N348=TRUE,T348/K348,T348)</f>
        <v>15.58</v>
      </c>
      <c r="AA348" s="31">
        <f t="shared" si="165"/>
        <v>0</v>
      </c>
      <c r="AB348" t="b">
        <f t="shared" si="166"/>
        <v>0</v>
      </c>
    </row>
    <row r="349" spans="2:28" x14ac:dyDescent="0.25">
      <c r="B349" s="53">
        <v>2018</v>
      </c>
      <c r="C349" s="53">
        <v>45</v>
      </c>
      <c r="D349" s="9" t="s">
        <v>750</v>
      </c>
      <c r="F349" s="1">
        <v>43256</v>
      </c>
      <c r="G349" t="s">
        <v>647</v>
      </c>
      <c r="L349" s="16" t="s">
        <v>703</v>
      </c>
      <c r="N349" t="b">
        <f t="shared" si="164"/>
        <v>0</v>
      </c>
      <c r="O349" s="36">
        <v>48.32</v>
      </c>
      <c r="P349" s="51">
        <f>(27.82+1.04)/48.32*(2/3)</f>
        <v>0.39817880794701987</v>
      </c>
      <c r="Q349" s="27" t="s">
        <v>14</v>
      </c>
      <c r="R349" s="31">
        <v>7.72</v>
      </c>
      <c r="S349" s="31">
        <f t="shared" si="167"/>
        <v>3.0739403973509933</v>
      </c>
      <c r="T349" s="33">
        <f t="shared" si="168"/>
        <v>19.240000000000002</v>
      </c>
      <c r="U349" s="29">
        <f t="shared" si="169"/>
        <v>56.04</v>
      </c>
      <c r="V349" s="29">
        <f t="shared" si="170"/>
        <v>22.313940397350997</v>
      </c>
      <c r="W349" s="35">
        <f t="shared" si="154"/>
        <v>43327</v>
      </c>
      <c r="X349" s="35">
        <v>43318</v>
      </c>
      <c r="Z349" s="58">
        <f>IF(N349=TRUE,T349/M349,T349)</f>
        <v>19.240000000000002</v>
      </c>
      <c r="AA349" s="31">
        <f t="shared" si="165"/>
        <v>0</v>
      </c>
      <c r="AB349" t="b">
        <f t="shared" si="166"/>
        <v>0</v>
      </c>
    </row>
    <row r="350" spans="2:28" x14ac:dyDescent="0.25">
      <c r="B350" s="53">
        <v>2018</v>
      </c>
      <c r="C350" s="53">
        <v>46</v>
      </c>
      <c r="D350" s="9" t="s">
        <v>751</v>
      </c>
      <c r="F350" s="1">
        <v>43266</v>
      </c>
      <c r="G350" s="1" t="str">
        <f>CONCATENATE(H350,": ",J350)</f>
        <v>MONTANA Energie-Handel AT GmbH: Teilzahlungsbetrag Gas</v>
      </c>
      <c r="H350" t="s">
        <v>58</v>
      </c>
      <c r="J350" t="s">
        <v>401</v>
      </c>
      <c r="L350" s="16" t="s">
        <v>705</v>
      </c>
      <c r="M350" s="16" t="str">
        <f>IF(L350="Waren, Rohstoffe, Hilfsstoffe", "Weiterverkauf", "")</f>
        <v/>
      </c>
      <c r="N350" t="b">
        <f t="shared" si="164"/>
        <v>0</v>
      </c>
      <c r="O350" s="36">
        <f>99/1.2</f>
        <v>82.5</v>
      </c>
      <c r="P350" s="51">
        <f>Arbeitszimmer!$B$3</f>
        <v>0.27320378419841473</v>
      </c>
      <c r="Q350" s="27">
        <v>20</v>
      </c>
      <c r="R350" s="31">
        <f t="shared" ref="R350:R359" si="171">O350*Q350/100</f>
        <v>16.5</v>
      </c>
      <c r="S350" s="31">
        <f t="shared" si="167"/>
        <v>4.5078624392738433</v>
      </c>
      <c r="T350" s="33">
        <f t="shared" si="168"/>
        <v>22.539312196369217</v>
      </c>
      <c r="U350" s="29">
        <f t="shared" si="169"/>
        <v>99</v>
      </c>
      <c r="V350" s="29">
        <f t="shared" si="170"/>
        <v>27.04717463564306</v>
      </c>
      <c r="W350" s="35">
        <f t="shared" si="154"/>
        <v>43327</v>
      </c>
      <c r="X350" s="35">
        <v>43318</v>
      </c>
      <c r="Z350" s="58">
        <f>IF(N350=TRUE,T350/K350,T350)</f>
        <v>22.539312196369217</v>
      </c>
      <c r="AA350" s="31">
        <f t="shared" si="165"/>
        <v>0</v>
      </c>
      <c r="AB350" t="b">
        <f t="shared" si="166"/>
        <v>0</v>
      </c>
    </row>
    <row r="351" spans="2:28" x14ac:dyDescent="0.25">
      <c r="B351" s="53">
        <v>2018</v>
      </c>
      <c r="C351" s="53">
        <v>47</v>
      </c>
      <c r="D351" s="9" t="s">
        <v>752</v>
      </c>
      <c r="F351" s="1">
        <v>43272</v>
      </c>
      <c r="G351" t="s">
        <v>651</v>
      </c>
      <c r="L351" s="16" t="s">
        <v>705</v>
      </c>
      <c r="N351" t="b">
        <f t="shared" si="164"/>
        <v>0</v>
      </c>
      <c r="O351" s="36">
        <v>57.5</v>
      </c>
      <c r="P351" s="51">
        <v>1</v>
      </c>
      <c r="Q351" s="27">
        <v>20</v>
      </c>
      <c r="R351" s="31">
        <f t="shared" si="171"/>
        <v>11.5</v>
      </c>
      <c r="S351" s="31">
        <f t="shared" si="167"/>
        <v>11.5</v>
      </c>
      <c r="T351" s="33">
        <f t="shared" si="168"/>
        <v>57.5</v>
      </c>
      <c r="U351" s="29">
        <f t="shared" si="169"/>
        <v>69</v>
      </c>
      <c r="V351" s="29">
        <f t="shared" si="170"/>
        <v>69</v>
      </c>
      <c r="W351" s="35">
        <f t="shared" si="154"/>
        <v>43327</v>
      </c>
      <c r="X351" s="35">
        <v>43318</v>
      </c>
      <c r="Z351" s="58">
        <f>IF(N351=TRUE,T351/K351,T351)</f>
        <v>57.5</v>
      </c>
      <c r="AA351" s="31">
        <f t="shared" si="165"/>
        <v>0</v>
      </c>
      <c r="AB351" t="b">
        <f t="shared" si="166"/>
        <v>0</v>
      </c>
    </row>
    <row r="352" spans="2:28" x14ac:dyDescent="0.25">
      <c r="B352" s="53">
        <v>2018</v>
      </c>
      <c r="C352" s="53">
        <v>48</v>
      </c>
      <c r="D352" s="9" t="s">
        <v>753</v>
      </c>
      <c r="F352" s="1">
        <v>43273</v>
      </c>
      <c r="G352" t="s">
        <v>651</v>
      </c>
      <c r="L352" s="16" t="s">
        <v>705</v>
      </c>
      <c r="N352" t="b">
        <v>0</v>
      </c>
      <c r="O352" s="36">
        <v>15.3</v>
      </c>
      <c r="P352" s="51">
        <v>1</v>
      </c>
      <c r="Q352" s="27">
        <v>20</v>
      </c>
      <c r="R352" s="31">
        <f t="shared" si="171"/>
        <v>3.06</v>
      </c>
      <c r="S352" s="31">
        <f t="shared" si="167"/>
        <v>3.06</v>
      </c>
      <c r="T352" s="33">
        <f t="shared" si="168"/>
        <v>15.3</v>
      </c>
      <c r="U352" s="29">
        <f t="shared" si="169"/>
        <v>18.36</v>
      </c>
      <c r="V352" s="29">
        <f t="shared" si="170"/>
        <v>18.36</v>
      </c>
      <c r="W352" s="35">
        <f t="shared" si="154"/>
        <v>43327</v>
      </c>
      <c r="X352" s="35">
        <v>43318</v>
      </c>
      <c r="Z352" s="58">
        <f>IF(N352=TRUE,T352/K352,T352)</f>
        <v>15.3</v>
      </c>
      <c r="AA352" s="31">
        <f t="shared" si="165"/>
        <v>0</v>
      </c>
      <c r="AB352" t="b">
        <f t="shared" si="166"/>
        <v>0</v>
      </c>
    </row>
    <row r="353" spans="2:28" x14ac:dyDescent="0.25">
      <c r="B353" s="53">
        <v>2018</v>
      </c>
      <c r="C353" s="53">
        <v>49</v>
      </c>
      <c r="D353" s="9" t="s">
        <v>650</v>
      </c>
      <c r="F353" s="1">
        <v>43276</v>
      </c>
      <c r="G353" s="1" t="str">
        <f>CONCATENATE(H353,": ",J353)</f>
        <v>PREMIUM Laudongasse 58 GmbH &amp; Co KG: Dauerrechnung 2018-D</v>
      </c>
      <c r="H353" t="s">
        <v>462</v>
      </c>
      <c r="I353" t="s">
        <v>174</v>
      </c>
      <c r="J353" t="s">
        <v>649</v>
      </c>
      <c r="L353" s="16" t="s">
        <v>691</v>
      </c>
      <c r="M353" s="16" t="str">
        <f>IF(L353="Waren, Rohstoffe, Hilfsstoffe", "Weiterverkauf", "")</f>
        <v/>
      </c>
      <c r="N353" t="b">
        <f>(IF(AND(M353&lt;&gt;"",ABS(T353)&gt;400),TRUE,FALSE))</f>
        <v>0</v>
      </c>
      <c r="O353" s="36">
        <v>763.44</v>
      </c>
      <c r="P353" s="51">
        <f>Arbeitszimmer!$B$3</f>
        <v>0.27320378419841473</v>
      </c>
      <c r="Q353" s="27">
        <v>10</v>
      </c>
      <c r="R353" s="31">
        <f t="shared" si="171"/>
        <v>76.344000000000008</v>
      </c>
      <c r="S353" s="31">
        <f t="shared" si="167"/>
        <v>20.857469700843776</v>
      </c>
      <c r="T353" s="33">
        <f t="shared" si="168"/>
        <v>208.57469700843777</v>
      </c>
      <c r="U353" s="29">
        <f t="shared" si="169"/>
        <v>839.78400000000011</v>
      </c>
      <c r="V353" s="29">
        <f t="shared" si="170"/>
        <v>229.43216670928155</v>
      </c>
      <c r="W353" s="35">
        <f t="shared" si="154"/>
        <v>43327</v>
      </c>
      <c r="X353" s="35">
        <v>43318</v>
      </c>
      <c r="Z353" s="58">
        <f>IF(N353=TRUE,T353/M353,T353)</f>
        <v>208.57469700843777</v>
      </c>
      <c r="AA353" s="31">
        <f t="shared" si="165"/>
        <v>0</v>
      </c>
      <c r="AB353" t="b">
        <f t="shared" si="166"/>
        <v>0</v>
      </c>
    </row>
    <row r="354" spans="2:28" x14ac:dyDescent="0.25">
      <c r="B354" s="53">
        <v>2018</v>
      </c>
      <c r="C354" s="53">
        <v>50</v>
      </c>
      <c r="D354" s="9" t="s">
        <v>755</v>
      </c>
      <c r="F354" s="1">
        <v>43278</v>
      </c>
      <c r="G354" t="s">
        <v>754</v>
      </c>
      <c r="L354" s="16" t="s">
        <v>705</v>
      </c>
      <c r="N354" t="b">
        <v>0</v>
      </c>
      <c r="O354" s="36">
        <v>27.09</v>
      </c>
      <c r="P354" s="51">
        <v>1</v>
      </c>
      <c r="Q354" s="27">
        <v>10</v>
      </c>
      <c r="R354" s="31">
        <f t="shared" si="171"/>
        <v>2.7089999999999996</v>
      </c>
      <c r="S354" s="31">
        <f t="shared" si="167"/>
        <v>2.7089999999999996</v>
      </c>
      <c r="T354" s="33">
        <f t="shared" si="168"/>
        <v>27.09</v>
      </c>
      <c r="U354" s="29">
        <f t="shared" si="169"/>
        <v>29.798999999999999</v>
      </c>
      <c r="V354" s="29">
        <f t="shared" si="170"/>
        <v>29.798999999999999</v>
      </c>
      <c r="W354" s="35">
        <f t="shared" si="154"/>
        <v>43327</v>
      </c>
      <c r="X354" s="35">
        <v>43318</v>
      </c>
      <c r="Z354" s="58">
        <f t="shared" ref="Z354:Z359" si="172">IF(N354=TRUE,T354/K354,T354)</f>
        <v>27.09</v>
      </c>
      <c r="AA354" s="31">
        <f t="shared" si="165"/>
        <v>0</v>
      </c>
      <c r="AB354" t="b">
        <f t="shared" si="166"/>
        <v>0</v>
      </c>
    </row>
    <row r="355" spans="2:28" x14ac:dyDescent="0.25">
      <c r="B355" s="53">
        <v>2018</v>
      </c>
      <c r="C355" s="53">
        <v>51</v>
      </c>
      <c r="D355" s="9" t="s">
        <v>770</v>
      </c>
      <c r="F355" s="1">
        <v>43278</v>
      </c>
      <c r="G355" t="s">
        <v>758</v>
      </c>
      <c r="L355" s="16" t="s">
        <v>705</v>
      </c>
      <c r="M355" s="16" t="s">
        <v>540</v>
      </c>
      <c r="N355" t="b">
        <v>0</v>
      </c>
      <c r="O355" s="36">
        <v>3132.56</v>
      </c>
      <c r="P355" s="51">
        <v>1</v>
      </c>
      <c r="Q355" s="27">
        <v>20</v>
      </c>
      <c r="R355" s="31">
        <f t="shared" si="171"/>
        <v>626.51199999999994</v>
      </c>
      <c r="S355" s="31">
        <f t="shared" si="167"/>
        <v>626.51199999999994</v>
      </c>
      <c r="T355" s="33">
        <f t="shared" si="168"/>
        <v>3132.56</v>
      </c>
      <c r="U355" s="29">
        <f t="shared" si="169"/>
        <v>3759.0720000000001</v>
      </c>
      <c r="V355" s="29">
        <f t="shared" si="170"/>
        <v>3759.0720000000001</v>
      </c>
      <c r="W355" s="35">
        <f t="shared" si="154"/>
        <v>43327</v>
      </c>
      <c r="X355" s="35">
        <v>43318</v>
      </c>
      <c r="Z355" s="58">
        <f t="shared" si="172"/>
        <v>3132.56</v>
      </c>
      <c r="AA355" s="31">
        <f t="shared" si="165"/>
        <v>0</v>
      </c>
      <c r="AB355" t="b">
        <f t="shared" si="166"/>
        <v>0</v>
      </c>
    </row>
    <row r="356" spans="2:28" x14ac:dyDescent="0.25">
      <c r="B356" s="53">
        <v>2018</v>
      </c>
      <c r="C356" s="53">
        <v>52</v>
      </c>
      <c r="D356" s="9" t="s">
        <v>756</v>
      </c>
      <c r="F356" s="1">
        <v>43280</v>
      </c>
      <c r="G356" t="s">
        <v>757</v>
      </c>
      <c r="L356" s="16" t="s">
        <v>705</v>
      </c>
      <c r="M356" s="16" t="s">
        <v>540</v>
      </c>
      <c r="N356" t="b">
        <v>0</v>
      </c>
      <c r="O356" s="36">
        <v>529.01</v>
      </c>
      <c r="P356" s="51">
        <v>1</v>
      </c>
      <c r="Q356" s="27">
        <v>20</v>
      </c>
      <c r="R356" s="31">
        <f t="shared" si="171"/>
        <v>105.80200000000001</v>
      </c>
      <c r="S356" s="31">
        <f t="shared" si="167"/>
        <v>105.80200000000001</v>
      </c>
      <c r="T356" s="33">
        <f t="shared" si="168"/>
        <v>529.01</v>
      </c>
      <c r="U356" s="29">
        <f t="shared" si="169"/>
        <v>634.81200000000001</v>
      </c>
      <c r="V356" s="29">
        <f t="shared" si="170"/>
        <v>634.81200000000001</v>
      </c>
      <c r="W356" s="35">
        <f t="shared" si="154"/>
        <v>43327</v>
      </c>
      <c r="X356" s="35">
        <v>43318</v>
      </c>
      <c r="Z356" s="58">
        <f t="shared" si="172"/>
        <v>529.01</v>
      </c>
      <c r="AA356" s="31">
        <f t="shared" si="165"/>
        <v>0</v>
      </c>
      <c r="AB356" t="b">
        <f t="shared" si="166"/>
        <v>0</v>
      </c>
    </row>
    <row r="357" spans="2:28" x14ac:dyDescent="0.25">
      <c r="B357" s="53">
        <v>2018</v>
      </c>
      <c r="C357" s="53">
        <v>53</v>
      </c>
      <c r="D357" s="9" t="s">
        <v>760</v>
      </c>
      <c r="F357" s="1">
        <v>43278</v>
      </c>
      <c r="G357" s="1" t="s">
        <v>759</v>
      </c>
      <c r="L357" s="16" t="s">
        <v>705</v>
      </c>
      <c r="M357" s="16" t="s">
        <v>540</v>
      </c>
      <c r="N357" t="b">
        <v>0</v>
      </c>
      <c r="O357" s="36">
        <f>28.1+23.44</f>
        <v>51.540000000000006</v>
      </c>
      <c r="P357" s="51">
        <v>1</v>
      </c>
      <c r="Q357" s="27">
        <v>20</v>
      </c>
      <c r="R357" s="31">
        <f t="shared" si="171"/>
        <v>10.308000000000002</v>
      </c>
      <c r="S357" s="31">
        <f t="shared" si="167"/>
        <v>10.308000000000002</v>
      </c>
      <c r="T357" s="33">
        <f t="shared" si="168"/>
        <v>51.540000000000006</v>
      </c>
      <c r="U357" s="29">
        <f t="shared" si="169"/>
        <v>61.848000000000006</v>
      </c>
      <c r="V357" s="29">
        <f t="shared" si="170"/>
        <v>61.848000000000006</v>
      </c>
      <c r="W357" s="35">
        <f t="shared" si="154"/>
        <v>43327</v>
      </c>
      <c r="X357" s="35">
        <v>43318</v>
      </c>
      <c r="Z357" s="58">
        <f t="shared" si="172"/>
        <v>51.540000000000006</v>
      </c>
      <c r="AA357" s="31">
        <f t="shared" si="165"/>
        <v>0</v>
      </c>
      <c r="AB357" t="b">
        <f t="shared" si="166"/>
        <v>0</v>
      </c>
    </row>
    <row r="358" spans="2:28" x14ac:dyDescent="0.25">
      <c r="B358" s="53">
        <v>2018</v>
      </c>
      <c r="C358" s="53">
        <v>54</v>
      </c>
      <c r="D358" s="9" t="s">
        <v>761</v>
      </c>
      <c r="F358" s="1">
        <v>43278</v>
      </c>
      <c r="G358" t="s">
        <v>762</v>
      </c>
      <c r="L358" s="16" t="s">
        <v>705</v>
      </c>
      <c r="M358" s="16" t="s">
        <v>540</v>
      </c>
      <c r="N358" t="b">
        <v>0</v>
      </c>
      <c r="O358" s="36">
        <v>29.32</v>
      </c>
      <c r="P358" s="51">
        <v>1</v>
      </c>
      <c r="Q358" s="27">
        <v>20</v>
      </c>
      <c r="R358" s="31">
        <f t="shared" si="171"/>
        <v>5.8639999999999999</v>
      </c>
      <c r="S358" s="31">
        <f t="shared" si="167"/>
        <v>5.8639999999999999</v>
      </c>
      <c r="T358" s="33">
        <f t="shared" si="168"/>
        <v>29.32</v>
      </c>
      <c r="U358" s="29">
        <f t="shared" si="169"/>
        <v>35.183999999999997</v>
      </c>
      <c r="V358" s="29">
        <f t="shared" si="170"/>
        <v>35.183999999999997</v>
      </c>
      <c r="W358" s="35">
        <f t="shared" si="154"/>
        <v>43327</v>
      </c>
      <c r="X358" s="35">
        <v>43318</v>
      </c>
      <c r="Z358" s="58">
        <f t="shared" si="172"/>
        <v>29.32</v>
      </c>
      <c r="AA358" s="31">
        <f t="shared" si="165"/>
        <v>0</v>
      </c>
      <c r="AB358" t="b">
        <f t="shared" si="166"/>
        <v>0</v>
      </c>
    </row>
    <row r="359" spans="2:28" x14ac:dyDescent="0.25">
      <c r="B359" s="53">
        <v>2018</v>
      </c>
      <c r="C359" s="53">
        <v>55</v>
      </c>
      <c r="D359" s="9" t="s">
        <v>763</v>
      </c>
      <c r="F359" s="1">
        <v>43278</v>
      </c>
      <c r="G359" t="s">
        <v>764</v>
      </c>
      <c r="L359" s="16" t="s">
        <v>705</v>
      </c>
      <c r="M359" s="16" t="s">
        <v>540</v>
      </c>
      <c r="N359" t="b">
        <v>0</v>
      </c>
      <c r="O359" s="36">
        <v>42</v>
      </c>
      <c r="P359" s="51">
        <v>1</v>
      </c>
      <c r="Q359" s="27">
        <v>20</v>
      </c>
      <c r="R359" s="31">
        <f t="shared" si="171"/>
        <v>8.4</v>
      </c>
      <c r="S359" s="31">
        <f t="shared" si="167"/>
        <v>8.4</v>
      </c>
      <c r="T359" s="33">
        <f t="shared" si="168"/>
        <v>42</v>
      </c>
      <c r="U359" s="29">
        <f t="shared" si="169"/>
        <v>50.4</v>
      </c>
      <c r="V359" s="29">
        <f t="shared" si="170"/>
        <v>50.4</v>
      </c>
      <c r="W359" s="35">
        <f t="shared" si="154"/>
        <v>43327</v>
      </c>
      <c r="X359" s="35">
        <v>43318</v>
      </c>
      <c r="Z359" s="58">
        <f t="shared" si="172"/>
        <v>42</v>
      </c>
      <c r="AA359" s="31">
        <f t="shared" si="165"/>
        <v>0</v>
      </c>
      <c r="AB359" t="b">
        <f t="shared" si="166"/>
        <v>0</v>
      </c>
    </row>
    <row r="360" spans="2:28" x14ac:dyDescent="0.25">
      <c r="B360" s="53">
        <v>2018</v>
      </c>
      <c r="C360" s="53">
        <v>56</v>
      </c>
      <c r="D360" s="9" t="s">
        <v>765</v>
      </c>
      <c r="F360" s="1">
        <v>43284</v>
      </c>
      <c r="G360" t="s">
        <v>647</v>
      </c>
      <c r="L360" s="16" t="s">
        <v>703</v>
      </c>
      <c r="N360" t="b">
        <f>(IF(AND(M360&lt;&gt;"",ABS(T360)&gt;400),TRUE,FALSE))</f>
        <v>0</v>
      </c>
      <c r="O360" s="36">
        <v>48.32</v>
      </c>
      <c r="P360" s="51">
        <f>(27.82+1.04)/48.32*(2/3)</f>
        <v>0.39817880794701987</v>
      </c>
      <c r="Q360" s="27" t="s">
        <v>14</v>
      </c>
      <c r="R360" s="31">
        <v>7.72</v>
      </c>
      <c r="S360" s="31">
        <f t="shared" si="167"/>
        <v>3.0739403973509933</v>
      </c>
      <c r="T360" s="33">
        <f t="shared" si="168"/>
        <v>19.240000000000002</v>
      </c>
      <c r="U360" s="29">
        <f t="shared" si="169"/>
        <v>56.04</v>
      </c>
      <c r="V360" s="29">
        <f t="shared" si="170"/>
        <v>22.313940397350997</v>
      </c>
      <c r="W360" s="35">
        <f t="shared" si="154"/>
        <v>43419</v>
      </c>
      <c r="X360" s="35">
        <v>43418</v>
      </c>
      <c r="Z360" s="58">
        <f>IF(N360=TRUE,T360/M360,T360)</f>
        <v>19.240000000000002</v>
      </c>
      <c r="AA360" s="31">
        <f t="shared" si="165"/>
        <v>0</v>
      </c>
      <c r="AB360" t="b">
        <f t="shared" si="166"/>
        <v>0</v>
      </c>
    </row>
    <row r="361" spans="2:28" x14ac:dyDescent="0.25">
      <c r="B361" s="53">
        <v>2018</v>
      </c>
      <c r="C361" s="53">
        <v>57</v>
      </c>
      <c r="D361" s="9" t="s">
        <v>766</v>
      </c>
      <c r="F361" s="1">
        <v>43287</v>
      </c>
      <c r="G361" t="s">
        <v>767</v>
      </c>
      <c r="L361" s="16" t="s">
        <v>705</v>
      </c>
      <c r="N361" t="b">
        <v>0</v>
      </c>
      <c r="O361" s="36">
        <v>112.6</v>
      </c>
      <c r="P361" s="51">
        <v>1</v>
      </c>
      <c r="Q361" s="27">
        <v>0</v>
      </c>
      <c r="R361" s="31">
        <f t="shared" ref="R361:R368" si="173">O361*Q361/100</f>
        <v>0</v>
      </c>
      <c r="S361" s="31">
        <f t="shared" si="167"/>
        <v>0</v>
      </c>
      <c r="T361" s="33">
        <f t="shared" si="168"/>
        <v>112.6</v>
      </c>
      <c r="U361" s="29">
        <f t="shared" si="169"/>
        <v>112.6</v>
      </c>
      <c r="V361" s="29">
        <f t="shared" si="170"/>
        <v>112.6</v>
      </c>
      <c r="W361" s="35">
        <f t="shared" si="154"/>
        <v>43419</v>
      </c>
      <c r="X361" s="35">
        <v>43418</v>
      </c>
      <c r="Z361" s="58">
        <f t="shared" ref="Z361:Z366" si="174">IF(N361=TRUE,T361/K361,T361)</f>
        <v>112.6</v>
      </c>
      <c r="AA361" s="31">
        <f t="shared" si="165"/>
        <v>0</v>
      </c>
      <c r="AB361" t="b">
        <f t="shared" si="166"/>
        <v>0</v>
      </c>
    </row>
    <row r="362" spans="2:28" x14ac:dyDescent="0.25">
      <c r="B362" s="53">
        <v>2018</v>
      </c>
      <c r="C362" s="53">
        <v>58</v>
      </c>
      <c r="D362" s="9" t="s">
        <v>769</v>
      </c>
      <c r="F362" s="1">
        <v>43290</v>
      </c>
      <c r="G362" t="s">
        <v>768</v>
      </c>
      <c r="L362" s="16" t="s">
        <v>705</v>
      </c>
      <c r="M362" s="16" t="s">
        <v>540</v>
      </c>
      <c r="N362" t="b">
        <v>0</v>
      </c>
      <c r="O362" s="36">
        <v>12.9</v>
      </c>
      <c r="P362" s="51">
        <v>1</v>
      </c>
      <c r="Q362" s="27">
        <v>20</v>
      </c>
      <c r="R362" s="31">
        <f t="shared" si="173"/>
        <v>2.58</v>
      </c>
      <c r="S362" s="31">
        <f t="shared" si="167"/>
        <v>2.58</v>
      </c>
      <c r="T362" s="33">
        <f t="shared" si="168"/>
        <v>12.9</v>
      </c>
      <c r="U362" s="29">
        <f t="shared" si="169"/>
        <v>15.48</v>
      </c>
      <c r="V362" s="29">
        <f t="shared" si="170"/>
        <v>15.48</v>
      </c>
      <c r="W362" s="35">
        <f t="shared" si="154"/>
        <v>43419</v>
      </c>
      <c r="X362" s="35">
        <v>43418</v>
      </c>
      <c r="Z362" s="58">
        <f t="shared" si="174"/>
        <v>12.9</v>
      </c>
      <c r="AA362" s="31">
        <f t="shared" si="165"/>
        <v>0</v>
      </c>
      <c r="AB362" t="b">
        <f t="shared" si="166"/>
        <v>0</v>
      </c>
    </row>
    <row r="363" spans="2:28" x14ac:dyDescent="0.25">
      <c r="B363" s="53">
        <v>2018</v>
      </c>
      <c r="C363" s="53">
        <v>59</v>
      </c>
      <c r="D363" s="9" t="s">
        <v>771</v>
      </c>
      <c r="F363" s="1">
        <v>43290</v>
      </c>
      <c r="G363" t="s">
        <v>34</v>
      </c>
      <c r="L363" s="16" t="s">
        <v>703</v>
      </c>
      <c r="N363" t="b">
        <f t="shared" ref="N363:N385" si="175">(IF(AND(M363&lt;&gt;"",ABS(T363)&gt;400),TRUE,FALSE))</f>
        <v>0</v>
      </c>
      <c r="O363" s="36">
        <v>15</v>
      </c>
      <c r="P363" s="51">
        <v>1</v>
      </c>
      <c r="Q363" s="27">
        <v>20</v>
      </c>
      <c r="R363" s="31">
        <f t="shared" si="173"/>
        <v>3</v>
      </c>
      <c r="S363" s="31">
        <f t="shared" si="167"/>
        <v>3</v>
      </c>
      <c r="T363" s="33">
        <f t="shared" si="168"/>
        <v>15</v>
      </c>
      <c r="U363" s="29">
        <f t="shared" si="169"/>
        <v>18</v>
      </c>
      <c r="V363" s="29">
        <f t="shared" si="170"/>
        <v>18</v>
      </c>
      <c r="W363" s="35">
        <f t="shared" si="154"/>
        <v>43419</v>
      </c>
      <c r="X363" s="35">
        <v>43418</v>
      </c>
      <c r="Z363" s="58">
        <f t="shared" si="174"/>
        <v>15</v>
      </c>
      <c r="AA363" s="31">
        <f t="shared" si="165"/>
        <v>0</v>
      </c>
      <c r="AB363" t="b">
        <f t="shared" si="166"/>
        <v>0</v>
      </c>
    </row>
    <row r="364" spans="2:28" x14ac:dyDescent="0.25">
      <c r="B364" s="53">
        <v>2018</v>
      </c>
      <c r="C364" s="53">
        <v>60</v>
      </c>
      <c r="D364" s="9" t="s">
        <v>856</v>
      </c>
      <c r="F364" s="1">
        <v>43293</v>
      </c>
      <c r="G364" t="s">
        <v>857</v>
      </c>
      <c r="H364" s="59"/>
      <c r="I364" s="59"/>
      <c r="J364" s="59"/>
      <c r="L364" s="16" t="s">
        <v>705</v>
      </c>
      <c r="M364" s="16" t="s">
        <v>540</v>
      </c>
      <c r="N364" t="b">
        <f t="shared" si="175"/>
        <v>0</v>
      </c>
      <c r="O364" s="36">
        <v>8.99</v>
      </c>
      <c r="P364" s="51">
        <v>1</v>
      </c>
      <c r="Q364" s="27">
        <v>0</v>
      </c>
      <c r="R364" s="31">
        <f t="shared" si="173"/>
        <v>0</v>
      </c>
      <c r="S364" s="31">
        <f t="shared" ref="S364:S370" si="176">P364*R364</f>
        <v>0</v>
      </c>
      <c r="T364" s="33">
        <f t="shared" ref="T364:T370" si="177">O364*P364</f>
        <v>8.99</v>
      </c>
      <c r="U364" s="29">
        <f t="shared" ref="U364:U370" si="178">O364+R364</f>
        <v>8.99</v>
      </c>
      <c r="V364" s="29">
        <f t="shared" ref="V364:V370" si="179">T364+S364</f>
        <v>8.99</v>
      </c>
      <c r="W364" s="35">
        <f t="shared" si="154"/>
        <v>43419</v>
      </c>
      <c r="X364" s="35">
        <v>43418</v>
      </c>
      <c r="Z364" s="58">
        <f t="shared" si="174"/>
        <v>8.99</v>
      </c>
      <c r="AA364" s="31">
        <f t="shared" si="165"/>
        <v>0</v>
      </c>
      <c r="AB364" t="b">
        <f t="shared" si="166"/>
        <v>0</v>
      </c>
    </row>
    <row r="365" spans="2:28" x14ac:dyDescent="0.25">
      <c r="B365" s="53">
        <v>2018</v>
      </c>
      <c r="C365" s="53">
        <v>61</v>
      </c>
      <c r="D365" s="9" t="s">
        <v>772</v>
      </c>
      <c r="F365" s="1">
        <v>43297</v>
      </c>
      <c r="G365" s="1" t="str">
        <f>CONCATENATE(H365,": ",J365)</f>
        <v>VERBUND AG, Postfach 8400, 1011 Wien, Österreich: Teilzahlungsvorschreibung</v>
      </c>
      <c r="H365" t="s">
        <v>57</v>
      </c>
      <c r="I365" t="s">
        <v>499</v>
      </c>
      <c r="J365" t="s">
        <v>502</v>
      </c>
      <c r="L365" s="16" t="s">
        <v>705</v>
      </c>
      <c r="M365" s="16" t="str">
        <f>IF(L365="Waren, Rohstoffe, Hilfsstoffe", "Weiterverkauf", "")</f>
        <v/>
      </c>
      <c r="N365" t="b">
        <f t="shared" si="175"/>
        <v>0</v>
      </c>
      <c r="O365" s="36">
        <v>151.66999999999999</v>
      </c>
      <c r="P365" s="51">
        <f>Arbeitszimmer!$B$3</f>
        <v>0.27320378419841473</v>
      </c>
      <c r="Q365" s="27">
        <v>20</v>
      </c>
      <c r="R365" s="31">
        <f t="shared" si="173"/>
        <v>30.333999999999996</v>
      </c>
      <c r="S365" s="31">
        <f t="shared" si="176"/>
        <v>8.2873635898747118</v>
      </c>
      <c r="T365" s="33">
        <f t="shared" si="177"/>
        <v>41.436817949373562</v>
      </c>
      <c r="U365" s="29">
        <f t="shared" si="178"/>
        <v>182.00399999999999</v>
      </c>
      <c r="V365" s="29">
        <f t="shared" si="179"/>
        <v>49.724181539248278</v>
      </c>
      <c r="W365" s="35">
        <f t="shared" si="154"/>
        <v>43419</v>
      </c>
      <c r="X365" s="35">
        <v>43418</v>
      </c>
      <c r="Z365" s="58">
        <f t="shared" si="174"/>
        <v>41.436817949373562</v>
      </c>
      <c r="AA365" s="31">
        <f t="shared" si="165"/>
        <v>0</v>
      </c>
      <c r="AB365" t="b">
        <f t="shared" si="166"/>
        <v>0</v>
      </c>
    </row>
    <row r="366" spans="2:28" x14ac:dyDescent="0.25">
      <c r="B366" s="53">
        <v>2018</v>
      </c>
      <c r="C366" s="53">
        <v>62</v>
      </c>
      <c r="D366" s="9" t="s">
        <v>773</v>
      </c>
      <c r="F366" s="1">
        <v>43297</v>
      </c>
      <c r="G366" s="1" t="str">
        <f>CONCATENATE(H366,": ",J366)</f>
        <v>MONTANA Energie-Handel AT GmbH: Teilzahlungsbetrag Gas</v>
      </c>
      <c r="H366" t="s">
        <v>58</v>
      </c>
      <c r="J366" t="s">
        <v>401</v>
      </c>
      <c r="L366" s="16" t="s">
        <v>705</v>
      </c>
      <c r="M366" s="16" t="str">
        <f>IF(L366="Waren, Rohstoffe, Hilfsstoffe", "Weiterverkauf", "")</f>
        <v/>
      </c>
      <c r="N366" t="b">
        <f t="shared" si="175"/>
        <v>0</v>
      </c>
      <c r="O366" s="36">
        <f>99/1.2</f>
        <v>82.5</v>
      </c>
      <c r="P366" s="51">
        <f>Arbeitszimmer!$B$3</f>
        <v>0.27320378419841473</v>
      </c>
      <c r="Q366" s="27">
        <v>20</v>
      </c>
      <c r="R366" s="31">
        <f t="shared" si="173"/>
        <v>16.5</v>
      </c>
      <c r="S366" s="31">
        <f t="shared" si="176"/>
        <v>4.5078624392738433</v>
      </c>
      <c r="T366" s="33">
        <f t="shared" si="177"/>
        <v>22.539312196369217</v>
      </c>
      <c r="U366" s="29">
        <f t="shared" si="178"/>
        <v>99</v>
      </c>
      <c r="V366" s="29">
        <f t="shared" si="179"/>
        <v>27.04717463564306</v>
      </c>
      <c r="W366" s="35">
        <f t="shared" si="154"/>
        <v>43419</v>
      </c>
      <c r="X366" s="35">
        <v>43418</v>
      </c>
      <c r="Z366" s="58">
        <f t="shared" si="174"/>
        <v>22.539312196369217</v>
      </c>
      <c r="AA366" s="31">
        <f t="shared" si="165"/>
        <v>0</v>
      </c>
      <c r="AB366" t="b">
        <f t="shared" si="166"/>
        <v>0</v>
      </c>
    </row>
    <row r="367" spans="2:28" x14ac:dyDescent="0.25">
      <c r="B367" s="53">
        <v>2018</v>
      </c>
      <c r="C367" s="53">
        <v>63</v>
      </c>
      <c r="D367" s="9" t="s">
        <v>774</v>
      </c>
      <c r="F367" s="1">
        <v>43304</v>
      </c>
      <c r="G367" t="s">
        <v>651</v>
      </c>
      <c r="L367" s="16" t="s">
        <v>705</v>
      </c>
      <c r="M367" s="16" t="str">
        <f>IF(L367="Waren, Rohstoffe, Hilfsstoffe", "Weiterverkauf", "")</f>
        <v/>
      </c>
      <c r="N367" t="b">
        <f t="shared" si="175"/>
        <v>0</v>
      </c>
      <c r="O367" s="36">
        <v>15.3</v>
      </c>
      <c r="P367" s="51">
        <v>1</v>
      </c>
      <c r="Q367" s="27">
        <v>20</v>
      </c>
      <c r="R367" s="31">
        <f t="shared" si="173"/>
        <v>3.06</v>
      </c>
      <c r="S367" s="31">
        <f t="shared" si="176"/>
        <v>3.06</v>
      </c>
      <c r="T367" s="33">
        <f t="shared" si="177"/>
        <v>15.3</v>
      </c>
      <c r="U367" s="29">
        <f t="shared" si="178"/>
        <v>18.36</v>
      </c>
      <c r="V367" s="29">
        <f t="shared" si="179"/>
        <v>18.36</v>
      </c>
      <c r="W367" s="35">
        <f t="shared" si="154"/>
        <v>43419</v>
      </c>
      <c r="X367" s="35">
        <v>43418</v>
      </c>
      <c r="Z367" s="58">
        <f>IF(N367=TRUE,T367/M367,T367)</f>
        <v>15.3</v>
      </c>
      <c r="AA367" s="31">
        <f t="shared" si="165"/>
        <v>0</v>
      </c>
      <c r="AB367" t="b">
        <f t="shared" si="166"/>
        <v>0</v>
      </c>
    </row>
    <row r="368" spans="2:28" x14ac:dyDescent="0.25">
      <c r="B368" s="53">
        <v>2018</v>
      </c>
      <c r="C368" s="53">
        <v>64</v>
      </c>
      <c r="D368" s="9" t="s">
        <v>650</v>
      </c>
      <c r="F368" s="1">
        <v>43306</v>
      </c>
      <c r="G368" s="1" t="str">
        <f>CONCATENATE(H368,": ",J368)</f>
        <v>PREMIUM Laudongasse 58 GmbH &amp; Co KG: Dauerrechnung 2018-D</v>
      </c>
      <c r="H368" t="s">
        <v>462</v>
      </c>
      <c r="I368" t="s">
        <v>174</v>
      </c>
      <c r="J368" t="s">
        <v>649</v>
      </c>
      <c r="L368" s="16" t="s">
        <v>691</v>
      </c>
      <c r="M368" s="16" t="str">
        <f>IF(L368="Waren, Rohstoffe, Hilfsstoffe", "Weiterverkauf", "")</f>
        <v/>
      </c>
      <c r="N368" t="b">
        <f t="shared" si="175"/>
        <v>0</v>
      </c>
      <c r="O368" s="36">
        <v>763.44</v>
      </c>
      <c r="P368" s="51">
        <f>Arbeitszimmer!$B$3</f>
        <v>0.27320378419841473</v>
      </c>
      <c r="Q368" s="27">
        <v>10</v>
      </c>
      <c r="R368" s="31">
        <f t="shared" si="173"/>
        <v>76.344000000000008</v>
      </c>
      <c r="S368" s="31">
        <f t="shared" si="176"/>
        <v>20.857469700843776</v>
      </c>
      <c r="T368" s="33">
        <f t="shared" si="177"/>
        <v>208.57469700843777</v>
      </c>
      <c r="U368" s="29">
        <f t="shared" si="178"/>
        <v>839.78400000000011</v>
      </c>
      <c r="V368" s="29">
        <f t="shared" si="179"/>
        <v>229.43216670928155</v>
      </c>
      <c r="W368" s="35">
        <f t="shared" si="154"/>
        <v>43419</v>
      </c>
      <c r="X368" s="35">
        <v>43418</v>
      </c>
      <c r="Z368" s="58">
        <f>IF(N368=TRUE,T368/M368,T368)</f>
        <v>208.57469700843777</v>
      </c>
      <c r="AA368" s="31">
        <f t="shared" si="165"/>
        <v>0</v>
      </c>
      <c r="AB368" t="b">
        <f t="shared" si="166"/>
        <v>0</v>
      </c>
    </row>
    <row r="369" spans="2:28" x14ac:dyDescent="0.25">
      <c r="B369" s="53">
        <v>2018</v>
      </c>
      <c r="C369" s="53">
        <v>65</v>
      </c>
      <c r="D369" s="9" t="s">
        <v>775</v>
      </c>
      <c r="F369" s="1">
        <v>43314</v>
      </c>
      <c r="G369" t="s">
        <v>647</v>
      </c>
      <c r="L369" s="16" t="s">
        <v>703</v>
      </c>
      <c r="N369" t="b">
        <f t="shared" si="175"/>
        <v>0</v>
      </c>
      <c r="O369" s="36">
        <v>48.32</v>
      </c>
      <c r="P369" s="51">
        <f>(27.82+1.04)/48.32*(2/3)</f>
        <v>0.39817880794701987</v>
      </c>
      <c r="Q369" s="27" t="s">
        <v>14</v>
      </c>
      <c r="R369" s="31">
        <v>7.72</v>
      </c>
      <c r="S369" s="31">
        <f t="shared" si="176"/>
        <v>3.0739403973509933</v>
      </c>
      <c r="T369" s="33">
        <f t="shared" si="177"/>
        <v>19.240000000000002</v>
      </c>
      <c r="U369" s="29">
        <f t="shared" si="178"/>
        <v>56.04</v>
      </c>
      <c r="V369" s="29">
        <f t="shared" si="179"/>
        <v>22.313940397350997</v>
      </c>
      <c r="W369" s="35">
        <f t="shared" si="154"/>
        <v>43419</v>
      </c>
      <c r="X369" s="35">
        <v>43418</v>
      </c>
      <c r="Z369" s="58">
        <f>IF(N369=TRUE,T369/M369,T369)</f>
        <v>19.240000000000002</v>
      </c>
      <c r="AA369" s="31">
        <f t="shared" si="165"/>
        <v>0</v>
      </c>
      <c r="AB369" t="b">
        <f t="shared" si="166"/>
        <v>0</v>
      </c>
    </row>
    <row r="370" spans="2:28" x14ac:dyDescent="0.25">
      <c r="B370" s="53">
        <v>2018</v>
      </c>
      <c r="C370" s="53">
        <v>66</v>
      </c>
      <c r="D370" s="9" t="s">
        <v>776</v>
      </c>
      <c r="F370" s="1">
        <v>43315</v>
      </c>
      <c r="G370" t="s">
        <v>34</v>
      </c>
      <c r="L370" s="16" t="s">
        <v>703</v>
      </c>
      <c r="N370" t="b">
        <f t="shared" ref="N370:N375" si="180">(IF(AND(M370&lt;&gt;"",ABS(T370)&gt;400),TRUE,FALSE))</f>
        <v>0</v>
      </c>
      <c r="O370" s="36">
        <v>15</v>
      </c>
      <c r="P370" s="51">
        <v>1</v>
      </c>
      <c r="Q370" s="27">
        <v>20</v>
      </c>
      <c r="R370" s="31">
        <f>O370*Q370/100</f>
        <v>3</v>
      </c>
      <c r="S370" s="31">
        <f t="shared" si="176"/>
        <v>3</v>
      </c>
      <c r="T370" s="33">
        <f t="shared" si="177"/>
        <v>15</v>
      </c>
      <c r="U370" s="29">
        <f t="shared" si="178"/>
        <v>18</v>
      </c>
      <c r="V370" s="29">
        <f t="shared" si="179"/>
        <v>18</v>
      </c>
      <c r="W370" s="35">
        <f t="shared" si="154"/>
        <v>43419</v>
      </c>
      <c r="X370" s="35">
        <v>43418</v>
      </c>
      <c r="Z370" s="58">
        <f t="shared" ref="Z370:Z385" si="181">IF(N370=TRUE,T370/M370,T370)</f>
        <v>15</v>
      </c>
      <c r="AA370" s="31">
        <f t="shared" ref="AA370:AA385" si="182">Y370/100*V370</f>
        <v>0</v>
      </c>
      <c r="AB370" t="b">
        <f t="shared" ref="AB370:AB385" si="183">IF(AND(Y370&gt;0,Q370=Y370),TRUE,FALSE)</f>
        <v>0</v>
      </c>
    </row>
    <row r="371" spans="2:28" x14ac:dyDescent="0.25">
      <c r="B371" s="53">
        <v>2018</v>
      </c>
      <c r="C371" s="53">
        <v>67</v>
      </c>
      <c r="D371" s="9" t="s">
        <v>777</v>
      </c>
      <c r="F371" s="1">
        <v>43328</v>
      </c>
      <c r="G371" s="1" t="str">
        <f>CONCATENATE(H371,": ",J371)</f>
        <v>MONTANA Energie-Handel AT GmbH: Teilzahlungsbetrag Gas</v>
      </c>
      <c r="H371" t="s">
        <v>58</v>
      </c>
      <c r="J371" t="s">
        <v>401</v>
      </c>
      <c r="L371" s="16" t="s">
        <v>705</v>
      </c>
      <c r="M371" s="16" t="str">
        <f>IF(L371="Waren, Rohstoffe, Hilfsstoffe", "Weiterverkauf", "")</f>
        <v/>
      </c>
      <c r="N371" t="b">
        <f t="shared" si="180"/>
        <v>0</v>
      </c>
      <c r="O371" s="36">
        <f>99/1.2</f>
        <v>82.5</v>
      </c>
      <c r="P371" s="51">
        <f>Arbeitszimmer!$B$3</f>
        <v>0.27320378419841473</v>
      </c>
      <c r="Q371" s="27">
        <v>20</v>
      </c>
      <c r="R371" s="31">
        <f>O371*Q371/100</f>
        <v>16.5</v>
      </c>
      <c r="S371" s="31">
        <f>P371*R371</f>
        <v>4.5078624392738433</v>
      </c>
      <c r="T371" s="33">
        <f>O371*P371</f>
        <v>22.539312196369217</v>
      </c>
      <c r="U371" s="29">
        <f>O371+R371</f>
        <v>99</v>
      </c>
      <c r="V371" s="29">
        <f>T371+S371</f>
        <v>27.04717463564306</v>
      </c>
      <c r="W371" s="35">
        <f t="shared" si="154"/>
        <v>43419</v>
      </c>
      <c r="X371" s="35">
        <v>43418</v>
      </c>
      <c r="Z371" s="58">
        <f t="shared" si="181"/>
        <v>22.539312196369217</v>
      </c>
      <c r="AA371" s="31">
        <f t="shared" si="182"/>
        <v>0</v>
      </c>
      <c r="AB371" t="b">
        <f t="shared" si="183"/>
        <v>0</v>
      </c>
    </row>
    <row r="372" spans="2:28" x14ac:dyDescent="0.25">
      <c r="B372" s="53">
        <v>2018</v>
      </c>
      <c r="C372" s="53">
        <v>68</v>
      </c>
      <c r="D372" s="9" t="s">
        <v>650</v>
      </c>
      <c r="F372" s="1">
        <v>43339</v>
      </c>
      <c r="G372" s="1" t="str">
        <f>CONCATENATE(H372,": ",J372)</f>
        <v>PREMIUM Laudongasse 58 GmbH &amp; Co KG: Dauerrechnung 2018-D</v>
      </c>
      <c r="H372" t="s">
        <v>462</v>
      </c>
      <c r="I372" t="s">
        <v>174</v>
      </c>
      <c r="J372" t="s">
        <v>649</v>
      </c>
      <c r="L372" s="16" t="s">
        <v>691</v>
      </c>
      <c r="M372" s="16" t="str">
        <f>IF(L372="Waren, Rohstoffe, Hilfsstoffe", "Weiterverkauf", "")</f>
        <v/>
      </c>
      <c r="N372" t="b">
        <f t="shared" si="180"/>
        <v>0</v>
      </c>
      <c r="O372" s="36">
        <v>763.44</v>
      </c>
      <c r="P372" s="51">
        <f>Arbeitszimmer!$B$3</f>
        <v>0.27320378419841473</v>
      </c>
      <c r="Q372" s="27">
        <v>10</v>
      </c>
      <c r="R372" s="31">
        <f>O372*Q372/100</f>
        <v>76.344000000000008</v>
      </c>
      <c r="S372" s="31">
        <f>P372*R372</f>
        <v>20.857469700843776</v>
      </c>
      <c r="T372" s="33">
        <f>O372*P372</f>
        <v>208.57469700843777</v>
      </c>
      <c r="U372" s="29">
        <f>O372+R372</f>
        <v>839.78400000000011</v>
      </c>
      <c r="V372" s="29">
        <f>T372+S372</f>
        <v>229.43216670928155</v>
      </c>
      <c r="W372" s="35">
        <f t="shared" si="154"/>
        <v>43419</v>
      </c>
      <c r="X372" s="35">
        <v>43418</v>
      </c>
      <c r="Z372" s="58">
        <f t="shared" si="181"/>
        <v>208.57469700843777</v>
      </c>
      <c r="AA372" s="31">
        <f t="shared" si="182"/>
        <v>0</v>
      </c>
      <c r="AB372" t="b">
        <f t="shared" si="183"/>
        <v>0</v>
      </c>
    </row>
    <row r="373" spans="2:28" x14ac:dyDescent="0.25">
      <c r="B373" s="53">
        <v>2018</v>
      </c>
      <c r="C373" s="53">
        <v>69</v>
      </c>
      <c r="D373" s="9" t="s">
        <v>778</v>
      </c>
      <c r="F373" s="1">
        <v>43343</v>
      </c>
      <c r="G373" t="s">
        <v>34</v>
      </c>
      <c r="L373" s="16" t="s">
        <v>703</v>
      </c>
      <c r="N373" t="b">
        <f t="shared" si="180"/>
        <v>0</v>
      </c>
      <c r="O373" s="36">
        <v>19.23</v>
      </c>
      <c r="P373" s="51">
        <v>1</v>
      </c>
      <c r="Q373" s="27">
        <v>20</v>
      </c>
      <c r="R373" s="31">
        <f>O373*Q373/100</f>
        <v>3.8460000000000001</v>
      </c>
      <c r="S373" s="31">
        <f>P373*R373</f>
        <v>3.8460000000000001</v>
      </c>
      <c r="T373" s="33">
        <f>O373*P373</f>
        <v>19.23</v>
      </c>
      <c r="U373" s="29">
        <f>O373+R373</f>
        <v>23.076000000000001</v>
      </c>
      <c r="V373" s="29">
        <f>T373+S373</f>
        <v>23.076000000000001</v>
      </c>
      <c r="W373" s="35">
        <f t="shared" si="154"/>
        <v>43419</v>
      </c>
      <c r="X373" s="35">
        <v>43418</v>
      </c>
      <c r="Z373" s="58">
        <f t="shared" si="181"/>
        <v>19.23</v>
      </c>
      <c r="AA373" s="31">
        <f t="shared" si="182"/>
        <v>0</v>
      </c>
      <c r="AB373" t="b">
        <f t="shared" si="183"/>
        <v>0</v>
      </c>
    </row>
    <row r="374" spans="2:28" x14ac:dyDescent="0.25">
      <c r="B374" s="53">
        <v>2018</v>
      </c>
      <c r="C374" s="53">
        <v>70</v>
      </c>
      <c r="D374" s="9" t="s">
        <v>780</v>
      </c>
      <c r="F374" s="1">
        <v>43346</v>
      </c>
      <c r="G374" s="1" t="s">
        <v>779</v>
      </c>
      <c r="I374" t="s">
        <v>187</v>
      </c>
      <c r="L374" s="16" t="s">
        <v>705</v>
      </c>
      <c r="M374" s="16" t="str">
        <f>IF(L374="Waren, Rohstoffe, Hilfsstoffe", "Weiterverkauf", "")</f>
        <v/>
      </c>
      <c r="N374" t="b">
        <f t="shared" si="180"/>
        <v>0</v>
      </c>
      <c r="O374" s="36">
        <v>13.25</v>
      </c>
      <c r="P374" s="51">
        <v>1</v>
      </c>
      <c r="Q374" s="27">
        <v>20</v>
      </c>
      <c r="R374" s="31">
        <f>O374*Q374/100</f>
        <v>2.65</v>
      </c>
      <c r="S374" s="31">
        <f>P374*R374</f>
        <v>2.65</v>
      </c>
      <c r="T374" s="33">
        <f>O374*P374</f>
        <v>13.25</v>
      </c>
      <c r="U374" s="29">
        <f>O374+R374</f>
        <v>15.9</v>
      </c>
      <c r="V374" s="29">
        <f>T374+S374</f>
        <v>15.9</v>
      </c>
      <c r="W374" s="35">
        <f t="shared" ref="W374:W418" si="184">voranmeldefrist_vierteljaehrlich(F374)</f>
        <v>43419</v>
      </c>
      <c r="X374" s="35">
        <v>43418</v>
      </c>
      <c r="Z374" s="58">
        <f t="shared" si="181"/>
        <v>13.25</v>
      </c>
      <c r="AA374" s="31">
        <f t="shared" si="182"/>
        <v>0</v>
      </c>
      <c r="AB374" t="b">
        <f t="shared" si="183"/>
        <v>0</v>
      </c>
    </row>
    <row r="375" spans="2:28" x14ac:dyDescent="0.25">
      <c r="B375" s="53">
        <v>2018</v>
      </c>
      <c r="C375" s="53">
        <v>71</v>
      </c>
      <c r="D375" s="9" t="s">
        <v>781</v>
      </c>
      <c r="F375" s="1">
        <v>43347</v>
      </c>
      <c r="G375" t="s">
        <v>647</v>
      </c>
      <c r="L375" s="16" t="s">
        <v>703</v>
      </c>
      <c r="N375" t="b">
        <f t="shared" si="180"/>
        <v>0</v>
      </c>
      <c r="O375" s="36">
        <v>48.32</v>
      </c>
      <c r="P375" s="51">
        <f>(27.82+1.04)/48.32*(2/3)</f>
        <v>0.39817880794701987</v>
      </c>
      <c r="Q375" s="27" t="s">
        <v>14</v>
      </c>
      <c r="R375" s="31">
        <v>7.72</v>
      </c>
      <c r="S375" s="31">
        <f>P375*R375</f>
        <v>3.0739403973509933</v>
      </c>
      <c r="T375" s="33">
        <f>O375*P375</f>
        <v>19.240000000000002</v>
      </c>
      <c r="U375" s="29">
        <f>O375+R375</f>
        <v>56.04</v>
      </c>
      <c r="V375" s="29">
        <f>T375+S375</f>
        <v>22.313940397350997</v>
      </c>
      <c r="W375" s="35">
        <f t="shared" si="184"/>
        <v>43419</v>
      </c>
      <c r="X375" s="35">
        <v>43418</v>
      </c>
      <c r="Z375" s="58">
        <f t="shared" si="181"/>
        <v>19.240000000000002</v>
      </c>
      <c r="AA375" s="31">
        <f t="shared" si="182"/>
        <v>0</v>
      </c>
      <c r="AB375" t="b">
        <f t="shared" si="183"/>
        <v>0</v>
      </c>
    </row>
    <row r="376" spans="2:28" x14ac:dyDescent="0.25">
      <c r="B376" s="53">
        <v>2018</v>
      </c>
      <c r="C376" s="53">
        <v>72</v>
      </c>
      <c r="D376" s="61"/>
      <c r="F376" s="1">
        <v>43346</v>
      </c>
      <c r="G376" s="59" t="s">
        <v>855</v>
      </c>
      <c r="K376" s="60"/>
      <c r="L376" s="16" t="s">
        <v>705</v>
      </c>
      <c r="N376" t="b">
        <f t="shared" si="175"/>
        <v>0</v>
      </c>
      <c r="O376" s="36">
        <v>14.06</v>
      </c>
      <c r="P376" s="51">
        <v>1</v>
      </c>
      <c r="Q376" s="27">
        <v>20</v>
      </c>
      <c r="R376" s="31">
        <f t="shared" ref="R376:R381" si="185">O376*Q376/100</f>
        <v>2.8119999999999998</v>
      </c>
      <c r="S376" s="31">
        <f t="shared" ref="S376:S381" si="186">P376*R376</f>
        <v>2.8119999999999998</v>
      </c>
      <c r="T376" s="33">
        <f t="shared" ref="T376:T381" si="187">O376*P376</f>
        <v>14.06</v>
      </c>
      <c r="U376" s="29">
        <f t="shared" ref="U376:U381" si="188">O376+R376</f>
        <v>16.872</v>
      </c>
      <c r="V376" s="29">
        <f t="shared" ref="V376:V381" si="189">T376+S376</f>
        <v>16.872</v>
      </c>
      <c r="W376" s="35">
        <f t="shared" si="184"/>
        <v>43419</v>
      </c>
      <c r="X376" s="35">
        <v>43418</v>
      </c>
      <c r="Z376" s="58">
        <f t="shared" si="181"/>
        <v>14.06</v>
      </c>
      <c r="AA376" s="31">
        <f t="shared" si="182"/>
        <v>0</v>
      </c>
      <c r="AB376" t="b">
        <f t="shared" si="183"/>
        <v>0</v>
      </c>
    </row>
    <row r="377" spans="2:28" x14ac:dyDescent="0.25">
      <c r="B377" s="53">
        <v>2018</v>
      </c>
      <c r="C377" s="53">
        <v>73</v>
      </c>
      <c r="D377" s="9" t="s">
        <v>858</v>
      </c>
      <c r="F377" s="1">
        <v>43360</v>
      </c>
      <c r="G377" s="1" t="str">
        <f>CONCATENATE(H377,": ",J377)</f>
        <v>MONTANA Energie-Handel AT GmbH: Teilzahlungsbetrag Gas</v>
      </c>
      <c r="H377" t="s">
        <v>58</v>
      </c>
      <c r="J377" t="s">
        <v>401</v>
      </c>
      <c r="L377" s="16" t="s">
        <v>705</v>
      </c>
      <c r="M377" s="16" t="str">
        <f>IF(L377="Waren, Rohstoffe, Hilfsstoffe", "Weiterverkauf", "")</f>
        <v/>
      </c>
      <c r="N377" t="b">
        <f t="shared" si="175"/>
        <v>0</v>
      </c>
      <c r="O377" s="36">
        <f>99/1.2</f>
        <v>82.5</v>
      </c>
      <c r="P377" s="51">
        <f>Arbeitszimmer!$B$3</f>
        <v>0.27320378419841473</v>
      </c>
      <c r="Q377" s="27">
        <v>20</v>
      </c>
      <c r="R377" s="31">
        <f t="shared" si="185"/>
        <v>16.5</v>
      </c>
      <c r="S377" s="31">
        <f t="shared" si="186"/>
        <v>4.5078624392738433</v>
      </c>
      <c r="T377" s="33">
        <f t="shared" si="187"/>
        <v>22.539312196369217</v>
      </c>
      <c r="U377" s="29">
        <f t="shared" si="188"/>
        <v>99</v>
      </c>
      <c r="V377" s="29">
        <f t="shared" si="189"/>
        <v>27.04717463564306</v>
      </c>
      <c r="W377" s="35">
        <f t="shared" si="184"/>
        <v>43419</v>
      </c>
      <c r="X377" s="35">
        <v>43418</v>
      </c>
      <c r="Z377" s="58">
        <f t="shared" si="181"/>
        <v>22.539312196369217</v>
      </c>
      <c r="AA377" s="31">
        <f t="shared" si="182"/>
        <v>0</v>
      </c>
      <c r="AB377" t="b">
        <f t="shared" si="183"/>
        <v>0</v>
      </c>
    </row>
    <row r="378" spans="2:28" x14ac:dyDescent="0.25">
      <c r="B378" s="53">
        <v>2018</v>
      </c>
      <c r="C378" s="53">
        <v>74</v>
      </c>
      <c r="D378" s="9" t="s">
        <v>859</v>
      </c>
      <c r="F378" s="1">
        <v>43363</v>
      </c>
      <c r="G378" s="1" t="s">
        <v>860</v>
      </c>
      <c r="H378" t="s">
        <v>462</v>
      </c>
      <c r="I378" t="s">
        <v>174</v>
      </c>
      <c r="J378" t="s">
        <v>649</v>
      </c>
      <c r="L378" s="16" t="s">
        <v>691</v>
      </c>
      <c r="M378" s="16" t="str">
        <f>IF(L378="Waren, Rohstoffe, Hilfsstoffe", "Weiterverkauf", "")</f>
        <v/>
      </c>
      <c r="N378" t="b">
        <f>(IF(AND(M378&lt;&gt;"",ABS(T378)&gt;400),TRUE,FALSE))</f>
        <v>0</v>
      </c>
      <c r="O378" s="36">
        <v>-551.95000000000005</v>
      </c>
      <c r="P378" s="51">
        <f>Arbeitszimmer!$B$3</f>
        <v>0.27320378419841473</v>
      </c>
      <c r="Q378" s="27">
        <v>10</v>
      </c>
      <c r="R378" s="31">
        <f t="shared" si="185"/>
        <v>-55.195</v>
      </c>
      <c r="S378" s="31">
        <f t="shared" si="186"/>
        <v>-15.079482868831501</v>
      </c>
      <c r="T378" s="33">
        <f t="shared" si="187"/>
        <v>-150.79482868831502</v>
      </c>
      <c r="U378" s="29">
        <f t="shared" si="188"/>
        <v>-607.1450000000001</v>
      </c>
      <c r="V378" s="29">
        <f t="shared" si="189"/>
        <v>-165.87431155714651</v>
      </c>
      <c r="W378" s="35">
        <f t="shared" si="184"/>
        <v>43419</v>
      </c>
      <c r="X378" s="35">
        <v>43418</v>
      </c>
      <c r="Z378" s="58">
        <f t="shared" si="181"/>
        <v>-150.79482868831502</v>
      </c>
      <c r="AA378" s="31">
        <f t="shared" si="182"/>
        <v>0</v>
      </c>
      <c r="AB378" t="b">
        <f t="shared" si="183"/>
        <v>0</v>
      </c>
    </row>
    <row r="379" spans="2:28" x14ac:dyDescent="0.25">
      <c r="B379" s="53">
        <v>2018</v>
      </c>
      <c r="C379" s="53">
        <v>75</v>
      </c>
      <c r="D379" s="9" t="s">
        <v>861</v>
      </c>
      <c r="F379" s="1">
        <v>43364</v>
      </c>
      <c r="G379" s="1" t="s">
        <v>862</v>
      </c>
      <c r="L379" s="16" t="s">
        <v>689</v>
      </c>
      <c r="N379" t="b">
        <f t="shared" si="175"/>
        <v>0</v>
      </c>
      <c r="O379" s="36">
        <v>10</v>
      </c>
      <c r="P379" s="51">
        <v>1</v>
      </c>
      <c r="Q379" s="27">
        <v>10</v>
      </c>
      <c r="R379" s="31">
        <f t="shared" si="185"/>
        <v>1</v>
      </c>
      <c r="S379" s="31">
        <f t="shared" si="186"/>
        <v>1</v>
      </c>
      <c r="T379" s="33">
        <f t="shared" si="187"/>
        <v>10</v>
      </c>
      <c r="U379" s="29">
        <f t="shared" si="188"/>
        <v>11</v>
      </c>
      <c r="V379" s="29">
        <f t="shared" si="189"/>
        <v>11</v>
      </c>
      <c r="W379" s="35">
        <f t="shared" si="184"/>
        <v>43419</v>
      </c>
      <c r="X379" s="35">
        <v>43418</v>
      </c>
      <c r="Z379" s="58">
        <f t="shared" si="181"/>
        <v>10</v>
      </c>
      <c r="AA379" s="31">
        <f t="shared" si="182"/>
        <v>0</v>
      </c>
      <c r="AB379" t="b">
        <f t="shared" si="183"/>
        <v>0</v>
      </c>
    </row>
    <row r="380" spans="2:28" x14ac:dyDescent="0.25">
      <c r="B380" s="53">
        <v>2018</v>
      </c>
      <c r="C380" s="53">
        <v>76</v>
      </c>
      <c r="D380" s="9" t="s">
        <v>650</v>
      </c>
      <c r="F380" s="1">
        <v>43368</v>
      </c>
      <c r="G380" s="1" t="str">
        <f>CONCATENATE(H380,": ",J380)</f>
        <v>PREMIUM Laudongasse 58 GmbH &amp; Co KG: Dauerrechnung 2018-D</v>
      </c>
      <c r="H380" t="s">
        <v>462</v>
      </c>
      <c r="I380" t="s">
        <v>174</v>
      </c>
      <c r="J380" t="s">
        <v>649</v>
      </c>
      <c r="L380" s="16" t="s">
        <v>691</v>
      </c>
      <c r="M380" s="16" t="str">
        <f>IF(L380="Waren, Rohstoffe, Hilfsstoffe", "Weiterverkauf", "")</f>
        <v/>
      </c>
      <c r="N380" t="b">
        <f>(IF(AND(M380&lt;&gt;"",ABS(T380)&gt;400),TRUE,FALSE))</f>
        <v>0</v>
      </c>
      <c r="O380" s="36">
        <v>763.44</v>
      </c>
      <c r="P380" s="51">
        <f>Arbeitszimmer!$B$3</f>
        <v>0.27320378419841473</v>
      </c>
      <c r="Q380" s="27">
        <v>10</v>
      </c>
      <c r="R380" s="31">
        <f t="shared" si="185"/>
        <v>76.344000000000008</v>
      </c>
      <c r="S380" s="31">
        <f t="shared" si="186"/>
        <v>20.857469700843776</v>
      </c>
      <c r="T380" s="33">
        <f t="shared" si="187"/>
        <v>208.57469700843777</v>
      </c>
      <c r="U380" s="29">
        <f t="shared" si="188"/>
        <v>839.78400000000011</v>
      </c>
      <c r="V380" s="29">
        <f t="shared" si="189"/>
        <v>229.43216670928155</v>
      </c>
      <c r="W380" s="35">
        <f t="shared" si="184"/>
        <v>43419</v>
      </c>
      <c r="X380" s="35">
        <v>43418</v>
      </c>
      <c r="Z380" s="58">
        <f t="shared" si="181"/>
        <v>208.57469700843777</v>
      </c>
      <c r="AA380" s="31">
        <f t="shared" si="182"/>
        <v>0</v>
      </c>
      <c r="AB380" t="b">
        <f t="shared" si="183"/>
        <v>0</v>
      </c>
    </row>
    <row r="381" spans="2:28" x14ac:dyDescent="0.25">
      <c r="B381" s="53">
        <v>2018</v>
      </c>
      <c r="C381" s="53">
        <v>77</v>
      </c>
      <c r="D381" s="9" t="s">
        <v>863</v>
      </c>
      <c r="F381" s="1">
        <v>43369</v>
      </c>
      <c r="G381" s="1" t="s">
        <v>864</v>
      </c>
      <c r="L381" s="16" t="s">
        <v>704</v>
      </c>
      <c r="N381" t="b">
        <f t="shared" si="175"/>
        <v>0</v>
      </c>
      <c r="O381" s="36">
        <v>20.8</v>
      </c>
      <c r="P381" s="51">
        <v>1</v>
      </c>
      <c r="Q381" s="27">
        <v>0</v>
      </c>
      <c r="R381" s="31">
        <f t="shared" si="185"/>
        <v>0</v>
      </c>
      <c r="S381" s="31">
        <f t="shared" si="186"/>
        <v>0</v>
      </c>
      <c r="T381" s="33">
        <f t="shared" si="187"/>
        <v>20.8</v>
      </c>
      <c r="U381" s="29">
        <f t="shared" si="188"/>
        <v>20.8</v>
      </c>
      <c r="V381" s="29">
        <f t="shared" si="189"/>
        <v>20.8</v>
      </c>
      <c r="W381" s="35">
        <f t="shared" si="184"/>
        <v>43419</v>
      </c>
      <c r="X381" s="35">
        <v>43418</v>
      </c>
      <c r="Z381" s="58">
        <f t="shared" si="181"/>
        <v>20.8</v>
      </c>
      <c r="AA381" s="31">
        <f t="shared" si="182"/>
        <v>0</v>
      </c>
      <c r="AB381" t="b">
        <f t="shared" si="183"/>
        <v>0</v>
      </c>
    </row>
    <row r="382" spans="2:28" x14ac:dyDescent="0.25">
      <c r="B382" s="53">
        <v>2018</v>
      </c>
      <c r="C382" s="53">
        <v>78</v>
      </c>
      <c r="D382" s="9" t="s">
        <v>865</v>
      </c>
      <c r="F382" s="1">
        <v>43370</v>
      </c>
      <c r="G382" s="1" t="s">
        <v>866</v>
      </c>
      <c r="L382" s="16" t="s">
        <v>683</v>
      </c>
      <c r="M382" s="16" t="s">
        <v>540</v>
      </c>
      <c r="N382" t="b">
        <f t="shared" si="175"/>
        <v>0</v>
      </c>
      <c r="O382" s="36">
        <v>299.16000000000003</v>
      </c>
      <c r="P382" s="51">
        <v>1</v>
      </c>
      <c r="Q382" s="27">
        <v>20</v>
      </c>
      <c r="R382" s="31">
        <f>O382*Q382/100</f>
        <v>59.832000000000008</v>
      </c>
      <c r="S382" s="31">
        <f t="shared" ref="S382:S392" si="190">P382*R382</f>
        <v>59.832000000000008</v>
      </c>
      <c r="T382" s="33">
        <f t="shared" ref="T382:T392" si="191">O382*P382</f>
        <v>299.16000000000003</v>
      </c>
      <c r="U382" s="29">
        <f t="shared" ref="U382:U392" si="192">O382+R382</f>
        <v>358.99200000000002</v>
      </c>
      <c r="V382" s="29">
        <f t="shared" ref="V382:V392" si="193">T382+S382</f>
        <v>358.99200000000002</v>
      </c>
      <c r="W382" s="35">
        <f t="shared" si="184"/>
        <v>43419</v>
      </c>
      <c r="X382" s="35">
        <v>43418</v>
      </c>
      <c r="Z382" s="58">
        <f t="shared" si="181"/>
        <v>299.16000000000003</v>
      </c>
      <c r="AA382" s="31">
        <f t="shared" si="182"/>
        <v>0</v>
      </c>
      <c r="AB382" t="b">
        <f t="shared" si="183"/>
        <v>0</v>
      </c>
    </row>
    <row r="383" spans="2:28" x14ac:dyDescent="0.25">
      <c r="B383" s="53">
        <v>2018</v>
      </c>
      <c r="C383" s="53">
        <v>79</v>
      </c>
      <c r="D383" s="9" t="s">
        <v>870</v>
      </c>
      <c r="F383" s="1">
        <v>43377</v>
      </c>
      <c r="G383" t="s">
        <v>647</v>
      </c>
      <c r="L383" s="16" t="s">
        <v>703</v>
      </c>
      <c r="N383" t="b">
        <f t="shared" si="175"/>
        <v>0</v>
      </c>
      <c r="O383" s="36">
        <v>48.32</v>
      </c>
      <c r="P383" s="51">
        <f>(27.82+1.04)/48.32*(2/3)</f>
        <v>0.39817880794701987</v>
      </c>
      <c r="Q383" s="27" t="s">
        <v>14</v>
      </c>
      <c r="R383" s="31">
        <v>7.72</v>
      </c>
      <c r="S383" s="31">
        <f t="shared" si="190"/>
        <v>3.0739403973509933</v>
      </c>
      <c r="T383" s="33">
        <f t="shared" si="191"/>
        <v>19.240000000000002</v>
      </c>
      <c r="U383" s="29">
        <f t="shared" si="192"/>
        <v>56.04</v>
      </c>
      <c r="V383" s="29">
        <f t="shared" si="193"/>
        <v>22.313940397350997</v>
      </c>
      <c r="W383" s="35">
        <f t="shared" si="184"/>
        <v>43511</v>
      </c>
      <c r="X383" s="35"/>
      <c r="Z383" s="58">
        <f t="shared" si="181"/>
        <v>19.240000000000002</v>
      </c>
      <c r="AA383" s="31">
        <f t="shared" si="182"/>
        <v>0</v>
      </c>
      <c r="AB383" t="b">
        <f t="shared" si="183"/>
        <v>0</v>
      </c>
    </row>
    <row r="384" spans="2:28" x14ac:dyDescent="0.25">
      <c r="B384" s="53">
        <v>2018</v>
      </c>
      <c r="C384" s="53">
        <v>80</v>
      </c>
      <c r="D384" s="9" t="s">
        <v>874</v>
      </c>
      <c r="F384" s="1">
        <v>43378</v>
      </c>
      <c r="G384" t="s">
        <v>34</v>
      </c>
      <c r="L384" s="16" t="s">
        <v>703</v>
      </c>
      <c r="N384" t="b">
        <f t="shared" si="175"/>
        <v>0</v>
      </c>
      <c r="O384" s="36">
        <v>15</v>
      </c>
      <c r="P384" s="51">
        <v>1</v>
      </c>
      <c r="Q384" s="27">
        <v>20</v>
      </c>
      <c r="R384" s="31">
        <f t="shared" ref="R384:R395" si="194">O384*Q384/100</f>
        <v>3</v>
      </c>
      <c r="S384" s="31">
        <f t="shared" si="190"/>
        <v>3</v>
      </c>
      <c r="T384" s="33">
        <f t="shared" si="191"/>
        <v>15</v>
      </c>
      <c r="U384" s="29">
        <f t="shared" si="192"/>
        <v>18</v>
      </c>
      <c r="V384" s="29">
        <f t="shared" si="193"/>
        <v>18</v>
      </c>
      <c r="W384" s="35">
        <f t="shared" si="184"/>
        <v>43511</v>
      </c>
      <c r="X384" s="35"/>
      <c r="Z384" s="58">
        <f t="shared" si="181"/>
        <v>15</v>
      </c>
      <c r="AA384" s="31">
        <f t="shared" si="182"/>
        <v>0</v>
      </c>
      <c r="AB384" t="b">
        <f t="shared" si="183"/>
        <v>0</v>
      </c>
    </row>
    <row r="385" spans="2:28" x14ac:dyDescent="0.25">
      <c r="B385" s="53">
        <v>2018</v>
      </c>
      <c r="C385" s="53">
        <v>81</v>
      </c>
      <c r="D385" s="9" t="s">
        <v>873</v>
      </c>
      <c r="F385" s="1">
        <v>43382</v>
      </c>
      <c r="G385" s="1" t="s">
        <v>871</v>
      </c>
      <c r="L385" s="16" t="s">
        <v>704</v>
      </c>
      <c r="N385" t="b">
        <f t="shared" si="175"/>
        <v>0</v>
      </c>
      <c r="O385" s="36">
        <v>64.8</v>
      </c>
      <c r="P385" s="51">
        <v>1</v>
      </c>
      <c r="Q385" s="27">
        <v>0</v>
      </c>
      <c r="R385" s="31">
        <f t="shared" si="194"/>
        <v>0</v>
      </c>
      <c r="S385" s="31">
        <f t="shared" si="190"/>
        <v>0</v>
      </c>
      <c r="T385" s="33">
        <f t="shared" si="191"/>
        <v>64.8</v>
      </c>
      <c r="U385" s="29">
        <f t="shared" si="192"/>
        <v>64.8</v>
      </c>
      <c r="V385" s="29">
        <f t="shared" si="193"/>
        <v>64.8</v>
      </c>
      <c r="W385" s="35">
        <f t="shared" si="184"/>
        <v>43511</v>
      </c>
      <c r="Z385" s="58">
        <f t="shared" si="181"/>
        <v>64.8</v>
      </c>
      <c r="AA385" s="31">
        <f t="shared" si="182"/>
        <v>0</v>
      </c>
      <c r="AB385" t="b">
        <f t="shared" si="183"/>
        <v>0</v>
      </c>
    </row>
    <row r="386" spans="2:28" x14ac:dyDescent="0.25">
      <c r="B386" s="53">
        <v>2018</v>
      </c>
      <c r="C386" s="53">
        <v>82</v>
      </c>
      <c r="D386" s="9" t="s">
        <v>875</v>
      </c>
      <c r="F386" s="1">
        <v>43388</v>
      </c>
      <c r="G386" s="1" t="str">
        <f>CONCATENATE(H386,": ",J386)</f>
        <v>VERBUND AG, Postfach 8400, 1011 Wien, Österreich: Teilzahlungsvorschreibung</v>
      </c>
      <c r="H386" t="s">
        <v>57</v>
      </c>
      <c r="I386" t="s">
        <v>499</v>
      </c>
      <c r="J386" t="s">
        <v>502</v>
      </c>
      <c r="L386" s="16" t="s">
        <v>705</v>
      </c>
      <c r="M386" s="16" t="str">
        <f>IF(L386="Waren, Rohstoffe, Hilfsstoffe", "Weiterverkauf", "")</f>
        <v/>
      </c>
      <c r="N386" t="b">
        <f t="shared" ref="N386:N406" si="195">(IF(AND(M386&lt;&gt;"",ABS(T386)&gt;400),TRUE,FALSE))</f>
        <v>0</v>
      </c>
      <c r="O386" s="36">
        <v>151.66999999999999</v>
      </c>
      <c r="P386" s="51">
        <f>Arbeitszimmer!$B$3</f>
        <v>0.27320378419841473</v>
      </c>
      <c r="Q386" s="27">
        <v>20</v>
      </c>
      <c r="R386" s="31">
        <f t="shared" si="194"/>
        <v>30.333999999999996</v>
      </c>
      <c r="S386" s="31">
        <f t="shared" si="190"/>
        <v>8.2873635898747118</v>
      </c>
      <c r="T386" s="33">
        <f t="shared" si="191"/>
        <v>41.436817949373562</v>
      </c>
      <c r="U386" s="29">
        <f t="shared" si="192"/>
        <v>182.00399999999999</v>
      </c>
      <c r="V386" s="29">
        <f t="shared" si="193"/>
        <v>49.724181539248278</v>
      </c>
      <c r="W386" s="35">
        <f t="shared" si="184"/>
        <v>43511</v>
      </c>
      <c r="X386" s="35"/>
      <c r="Z386" s="58">
        <f>IF(N386=TRUE,T386/K386,T386)</f>
        <v>41.436817949373562</v>
      </c>
      <c r="AA386" s="31">
        <f t="shared" ref="AA386:AA393" si="196">Y386/100*V386</f>
        <v>0</v>
      </c>
      <c r="AB386" t="b">
        <f t="shared" ref="AB386:AB393" si="197">IF(AND(Y386&gt;0,Q386=Y386),TRUE,FALSE)</f>
        <v>0</v>
      </c>
    </row>
    <row r="387" spans="2:28" x14ac:dyDescent="0.25">
      <c r="B387" s="53">
        <v>2018</v>
      </c>
      <c r="C387" s="53">
        <v>83</v>
      </c>
      <c r="D387" s="9" t="s">
        <v>876</v>
      </c>
      <c r="F387" s="1">
        <v>43388</v>
      </c>
      <c r="G387" s="1" t="str">
        <f>CONCATENATE(H387,": ",J387)</f>
        <v>MONTANA Energie-Handel AT GmbH: Teilzahlungsbetrag Gas</v>
      </c>
      <c r="H387" t="s">
        <v>58</v>
      </c>
      <c r="J387" t="s">
        <v>401</v>
      </c>
      <c r="L387" s="16" t="s">
        <v>705</v>
      </c>
      <c r="M387" s="16" t="str">
        <f>IF(L387="Waren, Rohstoffe, Hilfsstoffe", "Weiterverkauf", "")</f>
        <v/>
      </c>
      <c r="N387" t="b">
        <f t="shared" si="195"/>
        <v>0</v>
      </c>
      <c r="O387" s="36">
        <f>99/1.2</f>
        <v>82.5</v>
      </c>
      <c r="P387" s="51">
        <f>Arbeitszimmer!$B$3</f>
        <v>0.27320378419841473</v>
      </c>
      <c r="Q387" s="27">
        <v>20</v>
      </c>
      <c r="R387" s="31">
        <f t="shared" si="194"/>
        <v>16.5</v>
      </c>
      <c r="S387" s="31">
        <f t="shared" si="190"/>
        <v>4.5078624392738433</v>
      </c>
      <c r="T387" s="33">
        <f t="shared" si="191"/>
        <v>22.539312196369217</v>
      </c>
      <c r="U387" s="29">
        <f t="shared" si="192"/>
        <v>99</v>
      </c>
      <c r="V387" s="29">
        <f t="shared" si="193"/>
        <v>27.04717463564306</v>
      </c>
      <c r="W387" s="35">
        <f t="shared" si="184"/>
        <v>43511</v>
      </c>
      <c r="X387" s="35"/>
      <c r="Z387" s="58">
        <f>IF(N387=TRUE,T387/K387,T387)</f>
        <v>22.539312196369217</v>
      </c>
      <c r="AA387" s="31">
        <f t="shared" si="196"/>
        <v>0</v>
      </c>
      <c r="AB387" t="b">
        <f t="shared" si="197"/>
        <v>0</v>
      </c>
    </row>
    <row r="388" spans="2:28" x14ac:dyDescent="0.25">
      <c r="B388" s="53">
        <v>2018</v>
      </c>
      <c r="C388" s="53">
        <v>84</v>
      </c>
      <c r="D388" s="9" t="s">
        <v>877</v>
      </c>
      <c r="F388" s="1">
        <v>43382</v>
      </c>
      <c r="G388" s="1" t="s">
        <v>868</v>
      </c>
      <c r="L388" s="16" t="s">
        <v>705</v>
      </c>
      <c r="M388" s="16" t="str">
        <f>IF(L388="Waren, Rohstoffe, Hilfsstoffe", "Weiterverkauf", "")</f>
        <v/>
      </c>
      <c r="N388" t="b">
        <f t="shared" si="195"/>
        <v>0</v>
      </c>
      <c r="O388" s="36">
        <v>12.42</v>
      </c>
      <c r="P388" s="51">
        <v>1</v>
      </c>
      <c r="Q388" s="27">
        <v>20</v>
      </c>
      <c r="R388" s="31">
        <f t="shared" si="194"/>
        <v>2.484</v>
      </c>
      <c r="S388" s="31">
        <f t="shared" si="190"/>
        <v>2.484</v>
      </c>
      <c r="T388" s="33">
        <f t="shared" si="191"/>
        <v>12.42</v>
      </c>
      <c r="U388" s="29">
        <f t="shared" si="192"/>
        <v>14.904</v>
      </c>
      <c r="V388" s="29">
        <f t="shared" si="193"/>
        <v>14.904</v>
      </c>
      <c r="W388" s="35">
        <f t="shared" si="184"/>
        <v>43511</v>
      </c>
      <c r="X388" s="35"/>
      <c r="Z388" s="58">
        <f>IF(N388=TRUE,T388/K388,T388)</f>
        <v>12.42</v>
      </c>
      <c r="AA388" s="31">
        <f t="shared" si="196"/>
        <v>0</v>
      </c>
      <c r="AB388" t="b">
        <f t="shared" si="197"/>
        <v>0</v>
      </c>
    </row>
    <row r="389" spans="2:28" x14ac:dyDescent="0.25">
      <c r="B389" s="53">
        <v>2018</v>
      </c>
      <c r="C389" s="53">
        <v>85</v>
      </c>
      <c r="D389" s="9" t="s">
        <v>878</v>
      </c>
      <c r="F389" s="1">
        <v>43381</v>
      </c>
      <c r="G389" t="s">
        <v>869</v>
      </c>
      <c r="L389" s="16" t="s">
        <v>705</v>
      </c>
      <c r="M389" s="16" t="str">
        <f>IF(L389="Waren, Rohstoffe, Hilfsstoffe", "Weiterverkauf", "")</f>
        <v/>
      </c>
      <c r="N389" t="b">
        <f t="shared" si="195"/>
        <v>0</v>
      </c>
      <c r="O389" s="36">
        <v>100.8</v>
      </c>
      <c r="P389" s="51">
        <v>1</v>
      </c>
      <c r="Q389" s="27">
        <v>20</v>
      </c>
      <c r="R389" s="31">
        <f t="shared" si="194"/>
        <v>20.16</v>
      </c>
      <c r="S389" s="31">
        <f t="shared" si="190"/>
        <v>20.16</v>
      </c>
      <c r="T389" s="33">
        <f t="shared" si="191"/>
        <v>100.8</v>
      </c>
      <c r="U389" s="29">
        <f t="shared" si="192"/>
        <v>120.96</v>
      </c>
      <c r="V389" s="29">
        <f t="shared" si="193"/>
        <v>120.96</v>
      </c>
      <c r="W389" s="35">
        <f t="shared" si="184"/>
        <v>43511</v>
      </c>
      <c r="X389" s="35"/>
      <c r="Z389" s="58">
        <f>IF(N389=TRUE,T389/M389,T389)</f>
        <v>100.8</v>
      </c>
      <c r="AA389" s="31">
        <f t="shared" si="196"/>
        <v>0</v>
      </c>
      <c r="AB389" t="b">
        <f t="shared" si="197"/>
        <v>0</v>
      </c>
    </row>
    <row r="390" spans="2:28" x14ac:dyDescent="0.25">
      <c r="B390" s="53">
        <v>2018</v>
      </c>
      <c r="C390" s="53">
        <v>86</v>
      </c>
      <c r="D390" s="9" t="s">
        <v>879</v>
      </c>
      <c r="F390" s="1">
        <v>43385</v>
      </c>
      <c r="G390" s="1" t="s">
        <v>867</v>
      </c>
      <c r="L390" s="16" t="s">
        <v>705</v>
      </c>
      <c r="M390" s="16" t="str">
        <f>IF(L390="Waren, Rohstoffe, Hilfsstoffe", "Weiterverkauf", "")</f>
        <v/>
      </c>
      <c r="N390" t="b">
        <f t="shared" si="195"/>
        <v>0</v>
      </c>
      <c r="O390" s="36">
        <v>6.67</v>
      </c>
      <c r="P390" s="51">
        <v>1</v>
      </c>
      <c r="Q390" s="27">
        <v>20</v>
      </c>
      <c r="R390" s="31">
        <f t="shared" si="194"/>
        <v>1.3340000000000001</v>
      </c>
      <c r="S390" s="31">
        <f t="shared" si="190"/>
        <v>1.3340000000000001</v>
      </c>
      <c r="T390" s="33">
        <f t="shared" si="191"/>
        <v>6.67</v>
      </c>
      <c r="U390" s="29">
        <f t="shared" si="192"/>
        <v>8.0039999999999996</v>
      </c>
      <c r="V390" s="29">
        <f t="shared" si="193"/>
        <v>8.0039999999999996</v>
      </c>
      <c r="W390" s="35">
        <f t="shared" si="184"/>
        <v>43511</v>
      </c>
      <c r="X390" s="35"/>
      <c r="Z390" s="58">
        <f>IF(N390=TRUE,T390/K390,T390)</f>
        <v>6.67</v>
      </c>
      <c r="AA390" s="31">
        <f t="shared" si="196"/>
        <v>0</v>
      </c>
      <c r="AB390" t="b">
        <f t="shared" si="197"/>
        <v>0</v>
      </c>
    </row>
    <row r="391" spans="2:28" x14ac:dyDescent="0.25">
      <c r="B391" s="53">
        <v>2018</v>
      </c>
      <c r="C391" s="53">
        <v>87</v>
      </c>
      <c r="D391" s="9" t="s">
        <v>873</v>
      </c>
      <c r="F391" s="1">
        <v>43397</v>
      </c>
      <c r="G391" s="1" t="s">
        <v>872</v>
      </c>
      <c r="L391" s="16" t="s">
        <v>704</v>
      </c>
      <c r="N391" t="b">
        <f t="shared" si="195"/>
        <v>0</v>
      </c>
      <c r="O391" s="36">
        <v>91.4</v>
      </c>
      <c r="P391" s="51">
        <v>1</v>
      </c>
      <c r="Q391" s="27">
        <v>20</v>
      </c>
      <c r="R391" s="31">
        <f t="shared" si="194"/>
        <v>18.28</v>
      </c>
      <c r="S391" s="31">
        <f t="shared" si="190"/>
        <v>18.28</v>
      </c>
      <c r="T391" s="33">
        <f t="shared" si="191"/>
        <v>91.4</v>
      </c>
      <c r="U391" s="29">
        <f t="shared" si="192"/>
        <v>109.68</v>
      </c>
      <c r="V391" s="29">
        <f t="shared" si="193"/>
        <v>109.68</v>
      </c>
      <c r="W391" s="35">
        <f t="shared" si="184"/>
        <v>43511</v>
      </c>
      <c r="X391" s="35"/>
      <c r="Z391" s="58">
        <f>IF(N391=TRUE,T391/K391,T391)</f>
        <v>91.4</v>
      </c>
      <c r="AA391" s="31">
        <f t="shared" si="196"/>
        <v>0</v>
      </c>
      <c r="AB391" t="b">
        <f t="shared" si="197"/>
        <v>0</v>
      </c>
    </row>
    <row r="392" spans="2:28" x14ac:dyDescent="0.25">
      <c r="B392" s="53">
        <v>2018</v>
      </c>
      <c r="C392" s="53">
        <v>88</v>
      </c>
      <c r="D392" s="9" t="s">
        <v>859</v>
      </c>
      <c r="F392" s="1">
        <v>43398</v>
      </c>
      <c r="G392" s="1" t="str">
        <f>CONCATENATE(H392,": ",J392)</f>
        <v>PREMIUM Laudongasse 58 GmbH &amp; Co KG: Dauerrechnung 2018-D</v>
      </c>
      <c r="H392" t="s">
        <v>462</v>
      </c>
      <c r="I392" t="s">
        <v>174</v>
      </c>
      <c r="J392" t="s">
        <v>649</v>
      </c>
      <c r="L392" s="16" t="s">
        <v>691</v>
      </c>
      <c r="M392" s="16" t="str">
        <f>IF(L392="Waren, Rohstoffe, Hilfsstoffe", "Weiterverkauf", "")</f>
        <v/>
      </c>
      <c r="N392" t="b">
        <f t="shared" si="195"/>
        <v>0</v>
      </c>
      <c r="O392" s="36">
        <v>763.44</v>
      </c>
      <c r="P392" s="51">
        <f>Arbeitszimmer!$B$3</f>
        <v>0.27320378419841473</v>
      </c>
      <c r="Q392" s="27">
        <v>10</v>
      </c>
      <c r="R392" s="31">
        <f t="shared" si="194"/>
        <v>76.344000000000008</v>
      </c>
      <c r="S392" s="31">
        <f t="shared" si="190"/>
        <v>20.857469700843776</v>
      </c>
      <c r="T392" s="33">
        <f t="shared" si="191"/>
        <v>208.57469700843777</v>
      </c>
      <c r="U392" s="29">
        <f t="shared" si="192"/>
        <v>839.78400000000011</v>
      </c>
      <c r="V392" s="29">
        <f t="shared" si="193"/>
        <v>229.43216670928155</v>
      </c>
      <c r="W392" s="35">
        <f t="shared" si="184"/>
        <v>43511</v>
      </c>
      <c r="X392" s="35"/>
      <c r="Z392" s="58">
        <f>IF(N392=TRUE,T392/M392,T392)</f>
        <v>208.57469700843777</v>
      </c>
      <c r="AA392" s="31">
        <f t="shared" si="196"/>
        <v>0</v>
      </c>
      <c r="AB392" t="b">
        <f t="shared" si="197"/>
        <v>0</v>
      </c>
    </row>
    <row r="393" spans="2:28" x14ac:dyDescent="0.25">
      <c r="B393" s="53">
        <v>2018</v>
      </c>
      <c r="C393" s="53">
        <v>89</v>
      </c>
      <c r="D393" s="9" t="s">
        <v>880</v>
      </c>
      <c r="F393" s="1">
        <v>43403</v>
      </c>
      <c r="G393" s="1" t="s">
        <v>881</v>
      </c>
      <c r="L393" s="16" t="s">
        <v>693</v>
      </c>
      <c r="N393" t="b">
        <f t="shared" si="195"/>
        <v>0</v>
      </c>
      <c r="O393" s="36">
        <v>12.56</v>
      </c>
      <c r="P393" s="51">
        <v>1</v>
      </c>
      <c r="Q393" s="27">
        <v>0</v>
      </c>
      <c r="R393" s="31">
        <f t="shared" si="194"/>
        <v>0</v>
      </c>
      <c r="S393" s="31">
        <f t="shared" ref="S393:S399" si="198">P393*R393</f>
        <v>0</v>
      </c>
      <c r="T393" s="33">
        <f t="shared" ref="T393:T399" si="199">O393*P393</f>
        <v>12.56</v>
      </c>
      <c r="U393" s="29">
        <f t="shared" ref="U393:U399" si="200">O393+R393</f>
        <v>12.56</v>
      </c>
      <c r="V393" s="29">
        <f t="shared" ref="V393:V399" si="201">T393+S393</f>
        <v>12.56</v>
      </c>
      <c r="W393" s="35">
        <f t="shared" si="184"/>
        <v>43511</v>
      </c>
      <c r="X393" s="35"/>
      <c r="Y393" s="27">
        <v>20</v>
      </c>
      <c r="Z393" s="58">
        <f>IF(N393=TRUE,T393/M393,T393)</f>
        <v>12.56</v>
      </c>
      <c r="AA393" s="31">
        <f t="shared" si="196"/>
        <v>2.5120000000000005</v>
      </c>
      <c r="AB393" t="b">
        <f t="shared" si="197"/>
        <v>0</v>
      </c>
    </row>
    <row r="394" spans="2:28" x14ac:dyDescent="0.25">
      <c r="B394" s="53">
        <v>2018</v>
      </c>
      <c r="C394" s="53">
        <v>90</v>
      </c>
      <c r="D394" s="9" t="s">
        <v>882</v>
      </c>
      <c r="F394" s="1">
        <v>43406</v>
      </c>
      <c r="G394" t="s">
        <v>34</v>
      </c>
      <c r="L394" s="16" t="s">
        <v>703</v>
      </c>
      <c r="N394" t="b">
        <f t="shared" si="195"/>
        <v>0</v>
      </c>
      <c r="O394" s="36">
        <v>17.32</v>
      </c>
      <c r="P394" s="51">
        <v>1</v>
      </c>
      <c r="Q394" s="27">
        <v>20</v>
      </c>
      <c r="R394" s="31">
        <f t="shared" si="194"/>
        <v>3.464</v>
      </c>
      <c r="S394" s="31">
        <f t="shared" si="198"/>
        <v>3.464</v>
      </c>
      <c r="T394" s="33">
        <f t="shared" si="199"/>
        <v>17.32</v>
      </c>
      <c r="U394" s="29">
        <f t="shared" si="200"/>
        <v>20.783999999999999</v>
      </c>
      <c r="V394" s="29">
        <f t="shared" si="201"/>
        <v>20.783999999999999</v>
      </c>
      <c r="W394" s="35">
        <f t="shared" si="184"/>
        <v>43511</v>
      </c>
      <c r="X394" s="35"/>
      <c r="Z394" s="58">
        <f t="shared" ref="Z394:Z401" si="202">IF(N394=TRUE,T394/M394,T394)</f>
        <v>17.32</v>
      </c>
      <c r="AA394" s="31">
        <f t="shared" ref="AA394:AA401" si="203">Y394/100*V394</f>
        <v>0</v>
      </c>
      <c r="AB394" t="b">
        <f t="shared" ref="AB394:AB401" si="204">IF(AND(Y394&gt;0,Q394=Y394),TRUE,FALSE)</f>
        <v>0</v>
      </c>
    </row>
    <row r="395" spans="2:28" x14ac:dyDescent="0.25">
      <c r="B395" s="53">
        <v>2018</v>
      </c>
      <c r="C395" s="53">
        <v>91</v>
      </c>
      <c r="D395" s="9" t="s">
        <v>883</v>
      </c>
      <c r="F395" s="1">
        <v>43406</v>
      </c>
      <c r="G395" s="1" t="s">
        <v>884</v>
      </c>
      <c r="L395" s="16" t="s">
        <v>693</v>
      </c>
      <c r="N395" t="b">
        <f t="shared" si="195"/>
        <v>0</v>
      </c>
      <c r="O395" s="36">
        <v>29.99</v>
      </c>
      <c r="P395" s="51">
        <v>1</v>
      </c>
      <c r="Q395" s="27">
        <v>0</v>
      </c>
      <c r="R395" s="31">
        <f t="shared" si="194"/>
        <v>0</v>
      </c>
      <c r="S395" s="31">
        <f t="shared" si="198"/>
        <v>0</v>
      </c>
      <c r="T395" s="33">
        <f t="shared" si="199"/>
        <v>29.99</v>
      </c>
      <c r="U395" s="29">
        <f t="shared" si="200"/>
        <v>29.99</v>
      </c>
      <c r="V395" s="29">
        <f t="shared" si="201"/>
        <v>29.99</v>
      </c>
      <c r="W395" s="35">
        <f t="shared" si="184"/>
        <v>43511</v>
      </c>
      <c r="Y395" s="27">
        <v>20</v>
      </c>
      <c r="Z395" s="58">
        <f t="shared" si="202"/>
        <v>29.99</v>
      </c>
      <c r="AA395" s="31">
        <f t="shared" si="203"/>
        <v>5.9980000000000002</v>
      </c>
      <c r="AB395" t="b">
        <f t="shared" si="204"/>
        <v>0</v>
      </c>
    </row>
    <row r="396" spans="2:28" x14ac:dyDescent="0.25">
      <c r="B396" s="53">
        <v>2018</v>
      </c>
      <c r="C396" s="53">
        <v>92</v>
      </c>
      <c r="D396" s="9" t="s">
        <v>885</v>
      </c>
      <c r="F396" s="1">
        <v>43409</v>
      </c>
      <c r="G396" t="s">
        <v>647</v>
      </c>
      <c r="L396" s="16" t="s">
        <v>703</v>
      </c>
      <c r="N396" t="b">
        <f t="shared" si="195"/>
        <v>0</v>
      </c>
      <c r="O396" s="36">
        <v>48.32</v>
      </c>
      <c r="P396" s="51">
        <f>(27.82+1.04)/48.32*(2/3)</f>
        <v>0.39817880794701987</v>
      </c>
      <c r="Q396" s="27" t="s">
        <v>14</v>
      </c>
      <c r="R396" s="31">
        <v>7.72</v>
      </c>
      <c r="S396" s="31">
        <f t="shared" si="198"/>
        <v>3.0739403973509933</v>
      </c>
      <c r="T396" s="33">
        <f t="shared" si="199"/>
        <v>19.240000000000002</v>
      </c>
      <c r="U396" s="29">
        <f t="shared" si="200"/>
        <v>56.04</v>
      </c>
      <c r="V396" s="29">
        <f t="shared" si="201"/>
        <v>22.313940397350997</v>
      </c>
      <c r="W396" s="35">
        <f t="shared" si="184"/>
        <v>43511</v>
      </c>
      <c r="X396" s="35"/>
      <c r="Z396" s="58">
        <f t="shared" si="202"/>
        <v>19.240000000000002</v>
      </c>
      <c r="AA396" s="31">
        <f t="shared" si="203"/>
        <v>0</v>
      </c>
      <c r="AB396" t="b">
        <f t="shared" si="204"/>
        <v>0</v>
      </c>
    </row>
    <row r="397" spans="2:28" x14ac:dyDescent="0.25">
      <c r="B397" s="53">
        <v>2018</v>
      </c>
      <c r="C397" s="53">
        <v>93</v>
      </c>
      <c r="D397" s="9" t="s">
        <v>886</v>
      </c>
      <c r="F397" s="1">
        <v>43411</v>
      </c>
      <c r="G397" s="1" t="s">
        <v>887</v>
      </c>
      <c r="L397" s="16" t="s">
        <v>683</v>
      </c>
      <c r="M397" s="16" t="s">
        <v>540</v>
      </c>
      <c r="N397" t="b">
        <f t="shared" si="195"/>
        <v>0</v>
      </c>
      <c r="O397" s="36">
        <v>202.17</v>
      </c>
      <c r="P397" s="51">
        <v>1</v>
      </c>
      <c r="Q397" s="27">
        <v>20</v>
      </c>
      <c r="R397" s="31">
        <f t="shared" ref="R397:R405" si="205">O397*Q397/100</f>
        <v>40.433999999999997</v>
      </c>
      <c r="S397" s="31">
        <f t="shared" si="198"/>
        <v>40.433999999999997</v>
      </c>
      <c r="T397" s="33">
        <f t="shared" si="199"/>
        <v>202.17</v>
      </c>
      <c r="U397" s="29">
        <f t="shared" si="200"/>
        <v>242.60399999999998</v>
      </c>
      <c r="V397" s="29">
        <f t="shared" si="201"/>
        <v>242.60399999999998</v>
      </c>
      <c r="W397" s="35">
        <f t="shared" si="184"/>
        <v>43511</v>
      </c>
      <c r="X397" s="35"/>
      <c r="Z397" s="58">
        <f t="shared" si="202"/>
        <v>202.17</v>
      </c>
      <c r="AA397" s="31">
        <f t="shared" si="203"/>
        <v>0</v>
      </c>
      <c r="AB397" t="b">
        <f t="shared" si="204"/>
        <v>0</v>
      </c>
    </row>
    <row r="398" spans="2:28" x14ac:dyDescent="0.25">
      <c r="B398" s="53">
        <v>2018</v>
      </c>
      <c r="C398" s="53">
        <v>94</v>
      </c>
      <c r="D398" s="9" t="s">
        <v>888</v>
      </c>
      <c r="F398" s="1">
        <v>43411</v>
      </c>
      <c r="G398" t="s">
        <v>889</v>
      </c>
      <c r="L398" s="16" t="s">
        <v>683</v>
      </c>
      <c r="M398" s="16" t="s">
        <v>540</v>
      </c>
      <c r="N398" t="b">
        <f t="shared" si="195"/>
        <v>0</v>
      </c>
      <c r="O398" s="36">
        <v>126.08</v>
      </c>
      <c r="P398" s="51">
        <v>1</v>
      </c>
      <c r="Q398" s="27">
        <v>20</v>
      </c>
      <c r="R398" s="31">
        <f t="shared" si="205"/>
        <v>25.215999999999998</v>
      </c>
      <c r="S398" s="31">
        <f t="shared" si="198"/>
        <v>25.215999999999998</v>
      </c>
      <c r="T398" s="33">
        <f t="shared" si="199"/>
        <v>126.08</v>
      </c>
      <c r="U398" s="29">
        <f t="shared" si="200"/>
        <v>151.29599999999999</v>
      </c>
      <c r="V398" s="29">
        <f t="shared" si="201"/>
        <v>151.29599999999999</v>
      </c>
      <c r="W398" s="35">
        <f t="shared" si="184"/>
        <v>43511</v>
      </c>
      <c r="X398" s="35"/>
      <c r="Z398" s="58">
        <f t="shared" si="202"/>
        <v>126.08</v>
      </c>
      <c r="AA398" s="31">
        <f t="shared" si="203"/>
        <v>0</v>
      </c>
      <c r="AB398" t="b">
        <f t="shared" si="204"/>
        <v>0</v>
      </c>
    </row>
    <row r="399" spans="2:28" x14ac:dyDescent="0.25">
      <c r="B399" s="53">
        <v>2018</v>
      </c>
      <c r="C399" s="53">
        <v>95</v>
      </c>
      <c r="D399" s="9" t="s">
        <v>890</v>
      </c>
      <c r="F399" s="1">
        <v>43413</v>
      </c>
      <c r="G399" s="1" t="s">
        <v>891</v>
      </c>
      <c r="L399" s="16" t="s">
        <v>693</v>
      </c>
      <c r="N399" t="b">
        <f t="shared" si="195"/>
        <v>0</v>
      </c>
      <c r="O399" s="36">
        <v>31.01</v>
      </c>
      <c r="P399" s="51">
        <v>1</v>
      </c>
      <c r="Q399" s="27">
        <v>20</v>
      </c>
      <c r="R399" s="31">
        <f t="shared" si="205"/>
        <v>6.2020000000000008</v>
      </c>
      <c r="S399" s="31">
        <f t="shared" si="198"/>
        <v>6.2020000000000008</v>
      </c>
      <c r="T399" s="33">
        <f t="shared" si="199"/>
        <v>31.01</v>
      </c>
      <c r="U399" s="29">
        <f t="shared" si="200"/>
        <v>37.212000000000003</v>
      </c>
      <c r="V399" s="29">
        <f t="shared" si="201"/>
        <v>37.212000000000003</v>
      </c>
      <c r="W399" s="35">
        <f t="shared" si="184"/>
        <v>43511</v>
      </c>
      <c r="X399" s="35"/>
      <c r="Z399" s="58">
        <f t="shared" si="202"/>
        <v>31.01</v>
      </c>
      <c r="AA399" s="31">
        <f t="shared" si="203"/>
        <v>0</v>
      </c>
      <c r="AB399" t="b">
        <f t="shared" si="204"/>
        <v>0</v>
      </c>
    </row>
    <row r="400" spans="2:28" x14ac:dyDescent="0.25">
      <c r="B400" s="53">
        <v>2018</v>
      </c>
      <c r="C400" s="53">
        <v>96</v>
      </c>
      <c r="D400" s="9" t="s">
        <v>892</v>
      </c>
      <c r="F400" s="1">
        <v>43416</v>
      </c>
      <c r="G400" t="s">
        <v>893</v>
      </c>
      <c r="L400" s="16" t="s">
        <v>693</v>
      </c>
      <c r="N400" t="b">
        <f t="shared" si="195"/>
        <v>0</v>
      </c>
      <c r="O400" s="36">
        <v>35</v>
      </c>
      <c r="P400" s="51">
        <v>1</v>
      </c>
      <c r="Q400" s="27">
        <v>0</v>
      </c>
      <c r="R400" s="31">
        <f t="shared" si="205"/>
        <v>0</v>
      </c>
      <c r="S400" s="31">
        <f t="shared" ref="S400:S405" si="206">P400*R400</f>
        <v>0</v>
      </c>
      <c r="T400" s="33">
        <f t="shared" ref="T400:T405" si="207">O400*P400</f>
        <v>35</v>
      </c>
      <c r="U400" s="29">
        <f t="shared" ref="U400:U405" si="208">O400+R400</f>
        <v>35</v>
      </c>
      <c r="V400" s="29">
        <f t="shared" ref="V400:V405" si="209">T400+S400</f>
        <v>35</v>
      </c>
      <c r="W400" s="35">
        <f t="shared" si="184"/>
        <v>43511</v>
      </c>
      <c r="Y400" s="27">
        <v>20</v>
      </c>
      <c r="Z400" s="58">
        <f t="shared" si="202"/>
        <v>35</v>
      </c>
      <c r="AA400" s="31">
        <f t="shared" si="203"/>
        <v>7</v>
      </c>
      <c r="AB400" t="b">
        <f t="shared" si="204"/>
        <v>0</v>
      </c>
    </row>
    <row r="401" spans="2:28" x14ac:dyDescent="0.25">
      <c r="B401" s="53">
        <v>2018</v>
      </c>
      <c r="C401" s="53">
        <v>97</v>
      </c>
      <c r="D401" s="9" t="s">
        <v>894</v>
      </c>
      <c r="F401" s="1">
        <v>43416</v>
      </c>
      <c r="G401" t="s">
        <v>893</v>
      </c>
      <c r="L401" s="16" t="s">
        <v>693</v>
      </c>
      <c r="N401" t="b">
        <f t="shared" si="195"/>
        <v>0</v>
      </c>
      <c r="O401" s="36">
        <v>35</v>
      </c>
      <c r="P401" s="51">
        <v>1</v>
      </c>
      <c r="Q401" s="27">
        <v>0</v>
      </c>
      <c r="R401" s="31">
        <f t="shared" si="205"/>
        <v>0</v>
      </c>
      <c r="S401" s="31">
        <f t="shared" si="206"/>
        <v>0</v>
      </c>
      <c r="T401" s="33">
        <f t="shared" si="207"/>
        <v>35</v>
      </c>
      <c r="U401" s="29">
        <f t="shared" si="208"/>
        <v>35</v>
      </c>
      <c r="V401" s="29">
        <f t="shared" si="209"/>
        <v>35</v>
      </c>
      <c r="W401" s="35">
        <f t="shared" si="184"/>
        <v>43511</v>
      </c>
      <c r="Y401" s="27">
        <v>20</v>
      </c>
      <c r="Z401" s="58">
        <f t="shared" si="202"/>
        <v>35</v>
      </c>
      <c r="AA401" s="31">
        <f t="shared" si="203"/>
        <v>7</v>
      </c>
      <c r="AB401" t="b">
        <f t="shared" si="204"/>
        <v>0</v>
      </c>
    </row>
    <row r="402" spans="2:28" x14ac:dyDescent="0.25">
      <c r="B402" s="53">
        <v>2018</v>
      </c>
      <c r="C402" s="53">
        <v>98</v>
      </c>
      <c r="D402" s="9" t="s">
        <v>904</v>
      </c>
      <c r="F402" s="1">
        <v>43419</v>
      </c>
      <c r="G402" s="1" t="s">
        <v>920</v>
      </c>
      <c r="L402" s="16" t="s">
        <v>705</v>
      </c>
      <c r="N402" t="b">
        <f t="shared" si="195"/>
        <v>0</v>
      </c>
      <c r="O402" s="36">
        <v>22.64</v>
      </c>
      <c r="P402" s="51">
        <f>Arbeitszimmer!$B$3</f>
        <v>0.27320378419841473</v>
      </c>
      <c r="Q402" s="27">
        <v>20</v>
      </c>
      <c r="R402" s="31">
        <f t="shared" si="205"/>
        <v>4.5280000000000005</v>
      </c>
      <c r="S402" s="31">
        <f t="shared" si="206"/>
        <v>1.2370667348504221</v>
      </c>
      <c r="T402" s="33">
        <f t="shared" si="207"/>
        <v>6.1853336742521101</v>
      </c>
      <c r="U402" s="29">
        <f t="shared" si="208"/>
        <v>27.167999999999999</v>
      </c>
      <c r="V402" s="29">
        <f t="shared" si="209"/>
        <v>7.422400409102532</v>
      </c>
      <c r="W402" s="35">
        <f t="shared" si="184"/>
        <v>43511</v>
      </c>
      <c r="Z402" s="58">
        <f>IF(N402=TRUE,T402/M402,T402)</f>
        <v>6.1853336742521101</v>
      </c>
      <c r="AA402" s="31">
        <f>Y402/100*V402</f>
        <v>0</v>
      </c>
      <c r="AB402" t="b">
        <f>IF(AND(Y402&gt;0,Q402=Y402),TRUE,FALSE)</f>
        <v>0</v>
      </c>
    </row>
    <row r="403" spans="2:28" x14ac:dyDescent="0.25">
      <c r="B403" s="53">
        <v>2018</v>
      </c>
      <c r="C403" s="53">
        <v>99</v>
      </c>
      <c r="D403" s="9" t="s">
        <v>903</v>
      </c>
      <c r="F403" s="1">
        <v>43420</v>
      </c>
      <c r="G403" s="1" t="s">
        <v>902</v>
      </c>
      <c r="L403" s="16" t="s">
        <v>705</v>
      </c>
      <c r="N403" t="b">
        <f t="shared" si="195"/>
        <v>0</v>
      </c>
      <c r="O403" s="36">
        <v>117.8</v>
      </c>
      <c r="P403" s="51">
        <v>1</v>
      </c>
      <c r="Q403" s="27">
        <v>0</v>
      </c>
      <c r="R403" s="31">
        <f t="shared" si="205"/>
        <v>0</v>
      </c>
      <c r="S403" s="31">
        <f t="shared" si="206"/>
        <v>0</v>
      </c>
      <c r="T403" s="33">
        <f t="shared" si="207"/>
        <v>117.8</v>
      </c>
      <c r="U403" s="29">
        <f t="shared" si="208"/>
        <v>117.8</v>
      </c>
      <c r="V403" s="29">
        <f t="shared" si="209"/>
        <v>117.8</v>
      </c>
      <c r="W403" s="35">
        <f t="shared" si="184"/>
        <v>43511</v>
      </c>
      <c r="Z403" s="58">
        <f>IF(N403=TRUE,T403/M403,T403)</f>
        <v>117.8</v>
      </c>
      <c r="AA403" s="31">
        <f>Y403/100*V403</f>
        <v>0</v>
      </c>
      <c r="AB403" t="b">
        <f>IF(AND(Y403&gt;0,Q403=Y403),TRUE,FALSE)</f>
        <v>0</v>
      </c>
    </row>
    <row r="404" spans="2:28" x14ac:dyDescent="0.25">
      <c r="B404" s="53">
        <v>2018</v>
      </c>
      <c r="C404" s="53">
        <v>100</v>
      </c>
      <c r="D404" s="9" t="s">
        <v>239</v>
      </c>
      <c r="F404" s="1">
        <v>43425</v>
      </c>
      <c r="G404" s="1" t="s">
        <v>899</v>
      </c>
      <c r="L404" s="16" t="s">
        <v>705</v>
      </c>
      <c r="N404" t="b">
        <f t="shared" si="195"/>
        <v>0</v>
      </c>
      <c r="O404" s="36">
        <v>81.75</v>
      </c>
      <c r="P404" s="51">
        <f>Arbeitszimmer!$B$3</f>
        <v>0.27320378419841473</v>
      </c>
      <c r="Q404" s="27">
        <v>0</v>
      </c>
      <c r="R404" s="31">
        <f t="shared" si="205"/>
        <v>0</v>
      </c>
      <c r="S404" s="31">
        <f t="shared" si="206"/>
        <v>0</v>
      </c>
      <c r="T404" s="33">
        <f t="shared" si="207"/>
        <v>22.334409358220405</v>
      </c>
      <c r="U404" s="29">
        <f t="shared" si="208"/>
        <v>81.75</v>
      </c>
      <c r="V404" s="29">
        <f t="shared" si="209"/>
        <v>22.334409358220405</v>
      </c>
      <c r="W404" s="35">
        <f t="shared" si="184"/>
        <v>43511</v>
      </c>
      <c r="Z404" s="58">
        <f>IF(N404=TRUE,T404/M404,T404)</f>
        <v>22.334409358220405</v>
      </c>
      <c r="AA404" s="31">
        <f>Y404/100*V404</f>
        <v>0</v>
      </c>
      <c r="AB404" t="b">
        <f>IF(AND(Y404&gt;0,Q404=Y404),TRUE,FALSE)</f>
        <v>0</v>
      </c>
    </row>
    <row r="405" spans="2:28" x14ac:dyDescent="0.25">
      <c r="B405" s="53">
        <v>2018</v>
      </c>
      <c r="C405" s="53">
        <v>101</v>
      </c>
      <c r="D405" s="9" t="s">
        <v>898</v>
      </c>
      <c r="F405" s="1">
        <v>43426</v>
      </c>
      <c r="G405" s="1" t="s">
        <v>897</v>
      </c>
      <c r="L405" s="16" t="s">
        <v>683</v>
      </c>
      <c r="M405" s="16" t="s">
        <v>540</v>
      </c>
      <c r="N405" t="b">
        <f t="shared" si="195"/>
        <v>0</v>
      </c>
      <c r="O405" s="36">
        <v>243.78</v>
      </c>
      <c r="P405" s="51">
        <v>1</v>
      </c>
      <c r="Q405" s="27">
        <v>20</v>
      </c>
      <c r="R405" s="31">
        <f t="shared" si="205"/>
        <v>48.756</v>
      </c>
      <c r="S405" s="31">
        <f t="shared" si="206"/>
        <v>48.756</v>
      </c>
      <c r="T405" s="33">
        <f t="shared" si="207"/>
        <v>243.78</v>
      </c>
      <c r="U405" s="29">
        <f t="shared" si="208"/>
        <v>292.536</v>
      </c>
      <c r="V405" s="29">
        <f t="shared" si="209"/>
        <v>292.536</v>
      </c>
      <c r="W405" s="35">
        <f t="shared" si="184"/>
        <v>43511</v>
      </c>
      <c r="Z405" s="58">
        <f>IF(N405=TRUE,T405/M405,T405)</f>
        <v>243.78</v>
      </c>
      <c r="AA405" s="31">
        <f>Y405/100*V405</f>
        <v>0</v>
      </c>
      <c r="AB405" t="b">
        <f>IF(AND(Y405&gt;0,Q405=Y405),TRUE,FALSE)</f>
        <v>0</v>
      </c>
    </row>
    <row r="406" spans="2:28" x14ac:dyDescent="0.25">
      <c r="B406" s="53">
        <v>2018</v>
      </c>
      <c r="C406" s="53">
        <v>102</v>
      </c>
      <c r="D406" s="9" t="s">
        <v>905</v>
      </c>
      <c r="F406" s="1">
        <v>43426</v>
      </c>
      <c r="G406" s="1" t="s">
        <v>912</v>
      </c>
      <c r="L406" s="16" t="s">
        <v>710</v>
      </c>
      <c r="N406" t="b">
        <f t="shared" si="195"/>
        <v>0</v>
      </c>
      <c r="O406" s="36">
        <f>-286.14/1.2</f>
        <v>-238.45</v>
      </c>
      <c r="P406" s="51">
        <v>1</v>
      </c>
      <c r="Q406" s="27">
        <v>20</v>
      </c>
      <c r="R406" s="31">
        <f t="shared" ref="R406:R417" si="210">O406*Q406/100</f>
        <v>-47.69</v>
      </c>
      <c r="S406" s="31">
        <f t="shared" ref="S406:S417" si="211">P406*R406</f>
        <v>-47.69</v>
      </c>
      <c r="T406" s="33">
        <f t="shared" ref="T406:T417" si="212">O406*P406</f>
        <v>-238.45</v>
      </c>
      <c r="U406" s="29">
        <f t="shared" ref="U406:U417" si="213">O406+R406</f>
        <v>-286.14</v>
      </c>
      <c r="V406" s="29">
        <f t="shared" ref="V406:V417" si="214">T406+S406</f>
        <v>-286.14</v>
      </c>
      <c r="W406" s="35">
        <f t="shared" si="184"/>
        <v>43511</v>
      </c>
      <c r="Z406" s="58">
        <f t="shared" ref="Z406:Z417" si="215">IF(N406=TRUE,T406/M406,T406)</f>
        <v>-238.45</v>
      </c>
      <c r="AA406" s="31">
        <f t="shared" ref="AA406:AA417" si="216">Y406/100*V406</f>
        <v>0</v>
      </c>
      <c r="AB406" t="b">
        <f t="shared" ref="AB406:AB417" si="217">IF(AND(Y406&gt;0,Q406=Y406),TRUE,FALSE)</f>
        <v>0</v>
      </c>
    </row>
    <row r="407" spans="2:28" x14ac:dyDescent="0.25">
      <c r="B407" s="53">
        <v>2018</v>
      </c>
      <c r="C407" s="53">
        <v>103</v>
      </c>
      <c r="D407" s="9" t="s">
        <v>905</v>
      </c>
      <c r="F407" s="1">
        <v>43427</v>
      </c>
      <c r="G407" s="1" t="s">
        <v>906</v>
      </c>
      <c r="I407" s="10"/>
      <c r="L407" s="16" t="s">
        <v>683</v>
      </c>
      <c r="M407" s="16" t="s">
        <v>540</v>
      </c>
      <c r="N407" t="b">
        <f>(IF(AND(M407&lt;&gt;"",ABS(T406)&gt;400),TRUE,FALSE))</f>
        <v>0</v>
      </c>
      <c r="O407" s="36">
        <v>188.19</v>
      </c>
      <c r="P407" s="51">
        <v>1</v>
      </c>
      <c r="Q407" s="27">
        <v>20</v>
      </c>
      <c r="R407" s="31">
        <f t="shared" si="210"/>
        <v>37.638000000000005</v>
      </c>
      <c r="S407" s="31">
        <f t="shared" si="211"/>
        <v>37.638000000000005</v>
      </c>
      <c r="T407" s="33">
        <f t="shared" si="212"/>
        <v>188.19</v>
      </c>
      <c r="U407" s="29">
        <f t="shared" si="213"/>
        <v>225.828</v>
      </c>
      <c r="V407" s="29">
        <f t="shared" si="214"/>
        <v>225.828</v>
      </c>
      <c r="W407" s="35">
        <f t="shared" si="184"/>
        <v>43511</v>
      </c>
      <c r="Z407" s="58">
        <f t="shared" si="215"/>
        <v>188.19</v>
      </c>
      <c r="AA407" s="31">
        <f t="shared" si="216"/>
        <v>0</v>
      </c>
      <c r="AB407" t="b">
        <f t="shared" si="217"/>
        <v>0</v>
      </c>
    </row>
    <row r="408" spans="2:28" x14ac:dyDescent="0.25">
      <c r="B408" s="53">
        <v>2018</v>
      </c>
      <c r="C408" s="53">
        <v>104</v>
      </c>
      <c r="D408" s="9" t="s">
        <v>650</v>
      </c>
      <c r="F408" s="1">
        <v>43430</v>
      </c>
      <c r="G408" s="1" t="s">
        <v>909</v>
      </c>
      <c r="I408" s="10"/>
      <c r="L408" s="16" t="s">
        <v>691</v>
      </c>
      <c r="N408" t="b">
        <f>(IF(AND(M408&lt;&gt;"",ABS(T407)&gt;400),TRUE,FALSE))</f>
        <v>0</v>
      </c>
      <c r="O408" s="36">
        <v>763.44</v>
      </c>
      <c r="P408" s="51">
        <f>Arbeitszimmer!$B$3</f>
        <v>0.27320378419841473</v>
      </c>
      <c r="Q408" s="27">
        <v>10</v>
      </c>
      <c r="R408" s="31">
        <f t="shared" si="210"/>
        <v>76.344000000000008</v>
      </c>
      <c r="S408" s="31">
        <f t="shared" si="211"/>
        <v>20.857469700843776</v>
      </c>
      <c r="T408" s="33">
        <f t="shared" si="212"/>
        <v>208.57469700843777</v>
      </c>
      <c r="U408" s="29">
        <f t="shared" si="213"/>
        <v>839.78400000000011</v>
      </c>
      <c r="V408" s="29">
        <f t="shared" si="214"/>
        <v>229.43216670928155</v>
      </c>
      <c r="W408" s="35">
        <f t="shared" si="184"/>
        <v>43511</v>
      </c>
      <c r="Z408" s="58">
        <f t="shared" si="215"/>
        <v>208.57469700843777</v>
      </c>
      <c r="AA408" s="31">
        <f t="shared" si="216"/>
        <v>0</v>
      </c>
      <c r="AB408" t="b">
        <f t="shared" si="217"/>
        <v>0</v>
      </c>
    </row>
    <row r="409" spans="2:28" x14ac:dyDescent="0.25">
      <c r="B409" s="53">
        <v>2018</v>
      </c>
      <c r="C409" s="53">
        <v>105</v>
      </c>
      <c r="D409" s="9" t="s">
        <v>911</v>
      </c>
      <c r="F409" s="1">
        <v>43430</v>
      </c>
      <c r="G409" s="1" t="s">
        <v>910</v>
      </c>
      <c r="I409" s="10"/>
      <c r="L409" s="16" t="s">
        <v>705</v>
      </c>
      <c r="N409" t="b">
        <f>(IF(AND(M409&lt;&gt;"",ABS(T408)&gt;400),TRUE,FALSE))</f>
        <v>0</v>
      </c>
      <c r="O409" s="36">
        <v>855</v>
      </c>
      <c r="P409" s="51">
        <v>1</v>
      </c>
      <c r="Q409" s="27">
        <v>20</v>
      </c>
      <c r="R409" s="31">
        <f t="shared" si="210"/>
        <v>171</v>
      </c>
      <c r="S409" s="31">
        <f t="shared" si="211"/>
        <v>171</v>
      </c>
      <c r="T409" s="33">
        <f t="shared" si="212"/>
        <v>855</v>
      </c>
      <c r="U409" s="29">
        <f t="shared" si="213"/>
        <v>1026</v>
      </c>
      <c r="V409" s="29">
        <f t="shared" si="214"/>
        <v>1026</v>
      </c>
      <c r="W409" s="35">
        <f t="shared" si="184"/>
        <v>43511</v>
      </c>
      <c r="Z409" s="58">
        <f t="shared" si="215"/>
        <v>855</v>
      </c>
      <c r="AA409" s="31">
        <f t="shared" si="216"/>
        <v>0</v>
      </c>
      <c r="AB409" t="b">
        <f t="shared" si="217"/>
        <v>0</v>
      </c>
    </row>
    <row r="410" spans="2:28" x14ac:dyDescent="0.25">
      <c r="B410" s="53">
        <v>2018</v>
      </c>
      <c r="C410" s="53">
        <v>106</v>
      </c>
      <c r="D410" s="9" t="s">
        <v>907</v>
      </c>
      <c r="F410" s="1">
        <v>43431</v>
      </c>
      <c r="G410" s="1" t="s">
        <v>908</v>
      </c>
      <c r="I410" s="10"/>
      <c r="L410" s="16" t="s">
        <v>704</v>
      </c>
      <c r="N410" t="b">
        <f>(IF(AND(M410&lt;&gt;"",ABS(T409)&gt;400),TRUE,FALSE))</f>
        <v>0</v>
      </c>
      <c r="O410" s="36">
        <v>11.5</v>
      </c>
      <c r="P410" s="51">
        <v>1</v>
      </c>
      <c r="Q410" s="27">
        <v>0</v>
      </c>
      <c r="R410" s="31">
        <f t="shared" si="210"/>
        <v>0</v>
      </c>
      <c r="S410" s="31">
        <f t="shared" si="211"/>
        <v>0</v>
      </c>
      <c r="T410" s="33">
        <f t="shared" si="212"/>
        <v>11.5</v>
      </c>
      <c r="U410" s="29">
        <f t="shared" si="213"/>
        <v>11.5</v>
      </c>
      <c r="V410" s="29">
        <f t="shared" si="214"/>
        <v>11.5</v>
      </c>
      <c r="W410" s="35">
        <f t="shared" si="184"/>
        <v>43511</v>
      </c>
      <c r="Z410" s="58">
        <f t="shared" si="215"/>
        <v>11.5</v>
      </c>
      <c r="AA410" s="31">
        <f t="shared" si="216"/>
        <v>0</v>
      </c>
      <c r="AB410" t="b">
        <f t="shared" si="217"/>
        <v>0</v>
      </c>
    </row>
    <row r="411" spans="2:28" x14ac:dyDescent="0.25">
      <c r="B411" s="53">
        <v>2018</v>
      </c>
      <c r="C411" s="53">
        <v>107</v>
      </c>
      <c r="D411" s="9" t="s">
        <v>900</v>
      </c>
      <c r="F411" s="1">
        <v>43433</v>
      </c>
      <c r="G411" s="1" t="s">
        <v>901</v>
      </c>
      <c r="H411" t="s">
        <v>158</v>
      </c>
      <c r="I411" s="10" t="s">
        <v>159</v>
      </c>
      <c r="J411" t="s">
        <v>74</v>
      </c>
      <c r="L411" s="16" t="s">
        <v>693</v>
      </c>
      <c r="N411" t="b">
        <f>(IF(AND(M411&lt;&gt;"",ABS(T410)&gt;400),TRUE,FALSE))</f>
        <v>0</v>
      </c>
      <c r="O411" s="36">
        <v>24.88</v>
      </c>
      <c r="P411" s="51">
        <v>1</v>
      </c>
      <c r="Q411" s="27">
        <v>0</v>
      </c>
      <c r="R411" s="31">
        <f t="shared" si="210"/>
        <v>0</v>
      </c>
      <c r="S411" s="31">
        <f t="shared" si="211"/>
        <v>0</v>
      </c>
      <c r="T411" s="33">
        <f t="shared" si="212"/>
        <v>24.88</v>
      </c>
      <c r="U411" s="29">
        <f t="shared" si="213"/>
        <v>24.88</v>
      </c>
      <c r="V411" s="29">
        <f t="shared" si="214"/>
        <v>24.88</v>
      </c>
      <c r="W411" s="35">
        <f t="shared" si="184"/>
        <v>43511</v>
      </c>
      <c r="Y411" s="27">
        <v>20</v>
      </c>
      <c r="Z411" s="58">
        <f t="shared" si="215"/>
        <v>24.88</v>
      </c>
      <c r="AA411" s="31">
        <f t="shared" si="216"/>
        <v>4.976</v>
      </c>
      <c r="AB411" t="b">
        <f t="shared" si="217"/>
        <v>0</v>
      </c>
    </row>
    <row r="412" spans="2:28" x14ac:dyDescent="0.25">
      <c r="B412" s="53">
        <v>2018</v>
      </c>
      <c r="C412" s="53">
        <v>108</v>
      </c>
      <c r="D412" s="9" t="s">
        <v>913</v>
      </c>
      <c r="F412" s="1">
        <v>43437</v>
      </c>
      <c r="G412" t="s">
        <v>647</v>
      </c>
      <c r="L412" s="16" t="s">
        <v>703</v>
      </c>
      <c r="N412" t="b">
        <f t="shared" ref="N412:N417" si="218">(IF(AND(M412&lt;&gt;"",ABS(T412)&gt;400),TRUE,FALSE))</f>
        <v>0</v>
      </c>
      <c r="O412" s="36">
        <v>48.32</v>
      </c>
      <c r="P412" s="51">
        <f>(27.82+1.04)/48.32*(2/3)</f>
        <v>0.39817880794701987</v>
      </c>
      <c r="Q412" s="27" t="s">
        <v>14</v>
      </c>
      <c r="R412" s="31">
        <v>7.72</v>
      </c>
      <c r="S412" s="31">
        <f t="shared" si="211"/>
        <v>3.0739403973509933</v>
      </c>
      <c r="T412" s="33">
        <f t="shared" si="212"/>
        <v>19.240000000000002</v>
      </c>
      <c r="U412" s="29">
        <f t="shared" si="213"/>
        <v>56.04</v>
      </c>
      <c r="V412" s="29">
        <f t="shared" si="214"/>
        <v>22.313940397350997</v>
      </c>
      <c r="W412" s="35">
        <f t="shared" si="184"/>
        <v>43511</v>
      </c>
      <c r="X412" s="35"/>
      <c r="Z412" s="58">
        <f t="shared" si="215"/>
        <v>19.240000000000002</v>
      </c>
      <c r="AA412" s="31">
        <f t="shared" si="216"/>
        <v>0</v>
      </c>
      <c r="AB412" t="b">
        <f t="shared" si="217"/>
        <v>0</v>
      </c>
    </row>
    <row r="413" spans="2:28" x14ac:dyDescent="0.25">
      <c r="B413" s="53">
        <v>2018</v>
      </c>
      <c r="C413" s="53">
        <v>109</v>
      </c>
      <c r="D413" s="9" t="s">
        <v>914</v>
      </c>
      <c r="F413" s="1">
        <v>43437</v>
      </c>
      <c r="G413" t="s">
        <v>34</v>
      </c>
      <c r="L413" s="16" t="s">
        <v>703</v>
      </c>
      <c r="N413" t="b">
        <f t="shared" si="218"/>
        <v>0</v>
      </c>
      <c r="O413" s="36">
        <v>15</v>
      </c>
      <c r="P413" s="51">
        <v>1</v>
      </c>
      <c r="Q413" s="27">
        <v>20</v>
      </c>
      <c r="R413" s="31">
        <f t="shared" si="210"/>
        <v>3</v>
      </c>
      <c r="S413" s="31">
        <f t="shared" si="211"/>
        <v>3</v>
      </c>
      <c r="T413" s="33">
        <f t="shared" si="212"/>
        <v>15</v>
      </c>
      <c r="U413" s="29">
        <f t="shared" si="213"/>
        <v>18</v>
      </c>
      <c r="V413" s="29">
        <f t="shared" si="214"/>
        <v>18</v>
      </c>
      <c r="W413" s="35">
        <f t="shared" si="184"/>
        <v>43511</v>
      </c>
      <c r="Z413" s="58">
        <f t="shared" si="215"/>
        <v>15</v>
      </c>
      <c r="AA413" s="31">
        <f t="shared" si="216"/>
        <v>0</v>
      </c>
      <c r="AB413" t="b">
        <f t="shared" si="217"/>
        <v>0</v>
      </c>
    </row>
    <row r="414" spans="2:28" x14ac:dyDescent="0.25">
      <c r="B414" s="53">
        <v>2018</v>
      </c>
      <c r="C414" s="53">
        <v>110</v>
      </c>
      <c r="D414" s="9" t="s">
        <v>915</v>
      </c>
      <c r="F414" s="1">
        <v>43437</v>
      </c>
      <c r="G414" s="1" t="str">
        <f>CONCATENATE(H414,": ",J414)</f>
        <v>VERBUND AG, Postfach 8400, 1011 Wien, Österreich: Teilzahlungsvorschreibung</v>
      </c>
      <c r="H414" t="s">
        <v>57</v>
      </c>
      <c r="I414" t="s">
        <v>499</v>
      </c>
      <c r="J414" t="s">
        <v>502</v>
      </c>
      <c r="L414" s="16" t="s">
        <v>705</v>
      </c>
      <c r="M414" s="16" t="str">
        <f>IF(L414="Waren, Rohstoffe, Hilfsstoffe", "Weiterverkauf", "")</f>
        <v/>
      </c>
      <c r="N414" t="b">
        <f t="shared" si="218"/>
        <v>0</v>
      </c>
      <c r="O414" s="36">
        <v>149.16999999999999</v>
      </c>
      <c r="P414" s="51">
        <f>Arbeitszimmer!$B$3</f>
        <v>0.27320378419841473</v>
      </c>
      <c r="Q414" s="27">
        <v>20</v>
      </c>
      <c r="R414" s="31">
        <f t="shared" si="210"/>
        <v>29.833999999999996</v>
      </c>
      <c r="S414" s="31">
        <f t="shared" si="211"/>
        <v>8.1507616977755042</v>
      </c>
      <c r="T414" s="33">
        <f t="shared" si="212"/>
        <v>40.753808488877524</v>
      </c>
      <c r="U414" s="29">
        <f t="shared" si="213"/>
        <v>179.00399999999999</v>
      </c>
      <c r="V414" s="29">
        <f t="shared" si="214"/>
        <v>48.904570186653032</v>
      </c>
      <c r="W414" s="35">
        <f t="shared" si="184"/>
        <v>43511</v>
      </c>
      <c r="Z414" s="58">
        <f t="shared" si="215"/>
        <v>40.753808488877524</v>
      </c>
      <c r="AA414" s="31">
        <f t="shared" si="216"/>
        <v>0</v>
      </c>
      <c r="AB414" t="b">
        <f t="shared" si="217"/>
        <v>0</v>
      </c>
    </row>
    <row r="415" spans="2:28" x14ac:dyDescent="0.25">
      <c r="B415" s="53">
        <v>2018</v>
      </c>
      <c r="C415" s="53">
        <v>111</v>
      </c>
      <c r="D415" s="9" t="s">
        <v>916</v>
      </c>
      <c r="F415" s="1">
        <v>43451</v>
      </c>
      <c r="G415" s="1" t="s">
        <v>917</v>
      </c>
      <c r="L415" s="16" t="s">
        <v>701</v>
      </c>
      <c r="N415" t="b">
        <f t="shared" si="218"/>
        <v>0</v>
      </c>
      <c r="O415" s="36">
        <v>31.93</v>
      </c>
      <c r="P415" s="51">
        <v>1</v>
      </c>
      <c r="Q415" s="27">
        <v>20</v>
      </c>
      <c r="R415" s="31">
        <f t="shared" si="210"/>
        <v>6.3860000000000001</v>
      </c>
      <c r="S415" s="31">
        <f t="shared" si="211"/>
        <v>6.3860000000000001</v>
      </c>
      <c r="T415" s="33">
        <f t="shared" si="212"/>
        <v>31.93</v>
      </c>
      <c r="U415" s="29">
        <f t="shared" si="213"/>
        <v>38.316000000000003</v>
      </c>
      <c r="V415" s="29">
        <f t="shared" si="214"/>
        <v>38.316000000000003</v>
      </c>
      <c r="W415" s="35">
        <f t="shared" si="184"/>
        <v>43511</v>
      </c>
      <c r="Z415" s="58">
        <f t="shared" si="215"/>
        <v>31.93</v>
      </c>
      <c r="AA415" s="31">
        <f t="shared" si="216"/>
        <v>0</v>
      </c>
      <c r="AB415" t="b">
        <f t="shared" si="217"/>
        <v>0</v>
      </c>
    </row>
    <row r="416" spans="2:28" x14ac:dyDescent="0.25">
      <c r="B416" s="53">
        <v>2018</v>
      </c>
      <c r="C416" s="53">
        <v>112</v>
      </c>
      <c r="D416" s="9" t="s">
        <v>918</v>
      </c>
      <c r="F416" s="1">
        <v>43451</v>
      </c>
      <c r="G416" s="1" t="s">
        <v>919</v>
      </c>
      <c r="L416" s="16" t="s">
        <v>339</v>
      </c>
      <c r="N416" t="b">
        <f t="shared" si="218"/>
        <v>0</v>
      </c>
      <c r="O416" s="36">
        <f>27.9/1.2</f>
        <v>23.25</v>
      </c>
      <c r="P416" s="51">
        <v>1</v>
      </c>
      <c r="Q416" s="27">
        <v>20</v>
      </c>
      <c r="R416" s="31">
        <f t="shared" si="210"/>
        <v>4.6500000000000004</v>
      </c>
      <c r="S416" s="31">
        <f t="shared" si="211"/>
        <v>4.6500000000000004</v>
      </c>
      <c r="T416" s="33">
        <f t="shared" si="212"/>
        <v>23.25</v>
      </c>
      <c r="U416" s="29">
        <f t="shared" si="213"/>
        <v>27.9</v>
      </c>
      <c r="V416" s="29">
        <f t="shared" si="214"/>
        <v>27.9</v>
      </c>
      <c r="W416" s="35">
        <f t="shared" si="184"/>
        <v>43511</v>
      </c>
      <c r="Z416" s="58">
        <f t="shared" si="215"/>
        <v>23.25</v>
      </c>
      <c r="AA416" s="31">
        <f t="shared" si="216"/>
        <v>0</v>
      </c>
      <c r="AB416" t="b">
        <f t="shared" si="217"/>
        <v>0</v>
      </c>
    </row>
    <row r="417" spans="2:28" x14ac:dyDescent="0.25">
      <c r="B417" s="53">
        <v>2018</v>
      </c>
      <c r="C417" s="53">
        <v>113</v>
      </c>
      <c r="D417" s="9" t="s">
        <v>921</v>
      </c>
      <c r="F417" s="1">
        <v>43451</v>
      </c>
      <c r="G417" s="1" t="s">
        <v>920</v>
      </c>
      <c r="L417" s="16" t="s">
        <v>705</v>
      </c>
      <c r="N417" t="b">
        <f t="shared" si="218"/>
        <v>0</v>
      </c>
      <c r="O417" s="36">
        <v>78.33</v>
      </c>
      <c r="P417" s="51">
        <f>Arbeitszimmer!$B$3</f>
        <v>0.27320378419841473</v>
      </c>
      <c r="Q417" s="27">
        <v>20</v>
      </c>
      <c r="R417" s="31">
        <f t="shared" si="210"/>
        <v>15.665999999999999</v>
      </c>
      <c r="S417" s="31">
        <f t="shared" si="211"/>
        <v>4.2800104832523651</v>
      </c>
      <c r="T417" s="33">
        <f t="shared" si="212"/>
        <v>21.400052416261826</v>
      </c>
      <c r="U417" s="29">
        <f t="shared" si="213"/>
        <v>93.995999999999995</v>
      </c>
      <c r="V417" s="29">
        <f t="shared" si="214"/>
        <v>25.680062899514191</v>
      </c>
      <c r="W417" s="35">
        <f t="shared" si="184"/>
        <v>43511</v>
      </c>
      <c r="Z417" s="58">
        <f t="shared" si="215"/>
        <v>21.400052416261826</v>
      </c>
      <c r="AA417" s="31">
        <f t="shared" si="216"/>
        <v>0</v>
      </c>
      <c r="AB417" t="b">
        <f t="shared" si="217"/>
        <v>0</v>
      </c>
    </row>
    <row r="418" spans="2:28" x14ac:dyDescent="0.25">
      <c r="B418" s="53">
        <v>2018</v>
      </c>
      <c r="C418" s="53">
        <v>114</v>
      </c>
      <c r="D418" s="9" t="s">
        <v>650</v>
      </c>
      <c r="F418" s="1">
        <v>43461</v>
      </c>
      <c r="G418" s="1" t="s">
        <v>909</v>
      </c>
      <c r="I418" s="10"/>
      <c r="L418" s="16" t="s">
        <v>691</v>
      </c>
      <c r="N418" t="b">
        <f>(IF(AND(M418&lt;&gt;"",ABS(T417)&gt;400),TRUE,FALSE))</f>
        <v>0</v>
      </c>
      <c r="O418" s="36">
        <v>763.44</v>
      </c>
      <c r="P418" s="51">
        <f>Arbeitszimmer!$B$3</f>
        <v>0.27320378419841473</v>
      </c>
      <c r="Q418" s="27">
        <v>10</v>
      </c>
      <c r="R418" s="31">
        <f>O418*Q418/100</f>
        <v>76.344000000000008</v>
      </c>
      <c r="S418" s="31">
        <f>P418*R418</f>
        <v>20.857469700843776</v>
      </c>
      <c r="T418" s="33">
        <f>O418*P418</f>
        <v>208.57469700843777</v>
      </c>
      <c r="U418" s="29">
        <f>O418+R418</f>
        <v>839.78400000000011</v>
      </c>
      <c r="V418" s="29">
        <f>T418+S418</f>
        <v>229.43216670928155</v>
      </c>
      <c r="W418" s="35">
        <f t="shared" si="184"/>
        <v>43511</v>
      </c>
      <c r="Z418" s="58">
        <f>IF(N418=TRUE,T418/M418,T418)</f>
        <v>208.57469700843777</v>
      </c>
      <c r="AA418" s="31">
        <f>Y418/100*V418</f>
        <v>0</v>
      </c>
      <c r="AB418" t="b">
        <f>IF(AND(Y418&gt;0,Q418=Y418),TRUE,FALSE)</f>
        <v>0</v>
      </c>
    </row>
  </sheetData>
  <autoFilter ref="D1:Y418" xr:uid="{00000000-0009-0000-0000-000002000000}"/>
  <sortState xmlns:xlrd2="http://schemas.microsoft.com/office/spreadsheetml/2017/richdata2" ref="A302:AB313">
    <sortCondition ref="D302:D313"/>
  </sortState>
  <conditionalFormatting sqref="W2:W62 W145:W171 W227:W235 W239:W241 W314 W356 W419:W1010">
    <cfRule type="expression" dxfId="6490" priority="1065">
      <formula>AND(AND($W2&lt;TODAY(),$W2&lt;&gt;""),$X2="")</formula>
    </cfRule>
  </conditionalFormatting>
  <conditionalFormatting sqref="F26:F27 F37:F43 F45:F46 F66:F67 F52:F64 F69 F74:F76 F30 F89:F92 F95:F102 F111:F114 F105:F108 F119:F120 F122:F136 F116 F140:F143 F145:F147 F149:F157 F159:F171 F176:F193 F195:F197 F199:F201 F206:F208 F203:F204 F213:F214 F217:F225 F227:F235 F242 F246:F254 F256:F269 F271:F278 F1:F22 F282:F298 F317:F318 F300:F315 F322:F336 F338 F340 F342:F344 F346:F379 F381:F388 F392:F395 F397:F400 F404:F405 F407:F1048576">
    <cfRule type="expression" dxfId="6489" priority="1054">
      <formula>ISBLANK($F1)</formula>
    </cfRule>
  </conditionalFormatting>
  <conditionalFormatting sqref="E45 E1:E13 E52:E54 E15:E20 E26:E27 F23 E34:E35 E22:E23 E66:E67 E56:E64 E69 E74:E76 E83:E86 E90:E92 E94:E97 E99:E102 E111:E114 E105:E108 E116:E117 E119:E120 E122:E131 E133:E136 E140:E143 E145:E147 E149:E157 E159:E168 E170:E171 E176:E193 E195:E197 E199:E201 E203:E204 E217:E225 E206:E214 E227:E231 E233:E235 E241:E242 E244:E254 E257:E269 E275:E278 E271:E273 E282:E298 E300:E318 E322:E336 E338 E340:E379 E381:E400 E404:E405 E407:E1048576">
    <cfRule type="expression" dxfId="6488" priority="1053">
      <formula>ISBLANK($E1)</formula>
    </cfRule>
  </conditionalFormatting>
  <conditionalFormatting sqref="F24">
    <cfRule type="expression" dxfId="6487" priority="1035">
      <formula>ISBLANK($F24)</formula>
    </cfRule>
  </conditionalFormatting>
  <conditionalFormatting sqref="F28">
    <cfRule type="expression" dxfId="6486" priority="1034">
      <formula>ISBLANK($F28)</formula>
    </cfRule>
  </conditionalFormatting>
  <conditionalFormatting sqref="F25">
    <cfRule type="expression" dxfId="6485" priority="1030">
      <formula>ISBLANK($F25)</formula>
    </cfRule>
  </conditionalFormatting>
  <conditionalFormatting sqref="E30">
    <cfRule type="expression" dxfId="6484" priority="1027">
      <formula>ISBLANK($F30)</formula>
    </cfRule>
  </conditionalFormatting>
  <conditionalFormatting sqref="F44">
    <cfRule type="expression" dxfId="6483" priority="1003">
      <formula>ISBLANK($F44)</formula>
    </cfRule>
  </conditionalFormatting>
  <conditionalFormatting sqref="D14 D21">
    <cfRule type="expression" dxfId="6482" priority="1067">
      <formula>ISBLANK($D14)</formula>
    </cfRule>
  </conditionalFormatting>
  <conditionalFormatting sqref="E55">
    <cfRule type="expression" dxfId="6481" priority="995">
      <formula>ISBLANK($F55)</formula>
    </cfRule>
  </conditionalFormatting>
  <conditionalFormatting sqref="O1:O53 O55:O57 O66:O67 O97 O99 O101:O102 O111:O112 O117 O119:O120 O122 O135 O141 O143 O180 O189:O190 O197 O200:O201 O206:O207 O203:O204 O227 O234:O235 O246:O247 O252 O254:O266 O268:O269 O272 O276:O277 M249:M266 M268:M272 O282:O284 O317 O324 O338 O345:O348 O351:O352 O354:O357 O361:O362 O364 O376 O381:O382 O385 O393 O395 O416 O419:O1048576">
    <cfRule type="expression" dxfId="6480" priority="989">
      <formula>"$G$G&gt;400"</formula>
    </cfRule>
  </conditionalFormatting>
  <conditionalFormatting sqref="O62">
    <cfRule type="expression" dxfId="6479" priority="986">
      <formula>"$G$G&gt;400"</formula>
    </cfRule>
  </conditionalFormatting>
  <conditionalFormatting sqref="O61">
    <cfRule type="expression" dxfId="6478" priority="983">
      <formula>"$G$G&gt;400"</formula>
    </cfRule>
  </conditionalFormatting>
  <conditionalFormatting sqref="O59">
    <cfRule type="expression" dxfId="6477" priority="977">
      <formula>"$G$G&gt;400"</formula>
    </cfRule>
  </conditionalFormatting>
  <conditionalFormatting sqref="O60">
    <cfRule type="expression" dxfId="6476" priority="975">
      <formula>"$G$G&gt;400"</formula>
    </cfRule>
  </conditionalFormatting>
  <conditionalFormatting sqref="O58">
    <cfRule type="expression" dxfId="6475" priority="973">
      <formula>"$G$G&gt;400"</formula>
    </cfRule>
  </conditionalFormatting>
  <conditionalFormatting sqref="O54">
    <cfRule type="expression" dxfId="6474" priority="971">
      <formula>"$G$G&gt;400"</formula>
    </cfRule>
  </conditionalFormatting>
  <conditionalFormatting sqref="W65">
    <cfRule type="expression" dxfId="6473" priority="970">
      <formula>AND(AND($W65&lt;TODAY(),$W65&lt;&gt;""),$X65="")</formula>
    </cfRule>
  </conditionalFormatting>
  <conditionalFormatting sqref="F65">
    <cfRule type="expression" dxfId="6472" priority="969">
      <formula>ISBLANK($F65)</formula>
    </cfRule>
  </conditionalFormatting>
  <conditionalFormatting sqref="E65">
    <cfRule type="expression" dxfId="6471" priority="968">
      <formula>ISBLANK($E65)</formula>
    </cfRule>
  </conditionalFormatting>
  <conditionalFormatting sqref="O65">
    <cfRule type="expression" dxfId="6470" priority="966">
      <formula>"$G$G&gt;400"</formula>
    </cfRule>
  </conditionalFormatting>
  <conditionalFormatting sqref="W66">
    <cfRule type="expression" dxfId="6469" priority="965">
      <formula>AND(AND($W66&lt;TODAY(),$W66&lt;&gt;""),$X66="")</formula>
    </cfRule>
  </conditionalFormatting>
  <conditionalFormatting sqref="W67">
    <cfRule type="expression" dxfId="6468" priority="963">
      <formula>AND(AND($W67&lt;TODAY(),$W67&lt;&gt;""),$X67="")</formula>
    </cfRule>
  </conditionalFormatting>
  <conditionalFormatting sqref="W63">
    <cfRule type="expression" dxfId="6467" priority="961">
      <formula>AND(AND($W63&lt;TODAY(),$W63&lt;&gt;""),$X63="")</formula>
    </cfRule>
  </conditionalFormatting>
  <conditionalFormatting sqref="O63">
    <cfRule type="expression" dxfId="6466" priority="960">
      <formula>"$G$G&gt;400"</formula>
    </cfRule>
  </conditionalFormatting>
  <conditionalFormatting sqref="W64">
    <cfRule type="expression" dxfId="6465" priority="959">
      <formula>AND(AND($W64&lt;TODAY(),$W64&lt;&gt;""),$X64="")</formula>
    </cfRule>
  </conditionalFormatting>
  <conditionalFormatting sqref="O64">
    <cfRule type="expression" dxfId="6464" priority="957">
      <formula>"$G$G&gt;400"</formula>
    </cfRule>
  </conditionalFormatting>
  <conditionalFormatting sqref="W68:W109">
    <cfRule type="expression" dxfId="6463" priority="956">
      <formula>AND(AND($W68&lt;TODAY(),$W68&lt;&gt;""),$X68="")</formula>
    </cfRule>
  </conditionalFormatting>
  <conditionalFormatting sqref="F68">
    <cfRule type="expression" dxfId="6462" priority="955">
      <formula>ISBLANK($F68)</formula>
    </cfRule>
  </conditionalFormatting>
  <conditionalFormatting sqref="O68">
    <cfRule type="expression" dxfId="6461" priority="953">
      <formula>"$G$G&gt;400"</formula>
    </cfRule>
  </conditionalFormatting>
  <conditionalFormatting sqref="O69">
    <cfRule type="expression" dxfId="6460" priority="951">
      <formula>"$G$G&gt;400"</formula>
    </cfRule>
  </conditionalFormatting>
  <conditionalFormatting sqref="F70:F71">
    <cfRule type="expression" dxfId="6459" priority="949">
      <formula>ISBLANK($F70)</formula>
    </cfRule>
  </conditionalFormatting>
  <conditionalFormatting sqref="O70:O71">
    <cfRule type="expression" dxfId="6458" priority="947">
      <formula>"$G$G&gt;400"</formula>
    </cfRule>
  </conditionalFormatting>
  <conditionalFormatting sqref="O74">
    <cfRule type="expression" dxfId="6457" priority="944">
      <formula>"$G$G&gt;400"</formula>
    </cfRule>
  </conditionalFormatting>
  <conditionalFormatting sqref="F72:F73">
    <cfRule type="expression" dxfId="6456" priority="940">
      <formula>ISBLANK($F72)</formula>
    </cfRule>
  </conditionalFormatting>
  <conditionalFormatting sqref="D73">
    <cfRule type="expression" dxfId="6455" priority="942">
      <formula>ISBLANK($D73)</formula>
    </cfRule>
  </conditionalFormatting>
  <conditionalFormatting sqref="O72:O73">
    <cfRule type="expression" dxfId="6454" priority="938">
      <formula>"$G$G&gt;400"</formula>
    </cfRule>
  </conditionalFormatting>
  <conditionalFormatting sqref="O75">
    <cfRule type="expression" dxfId="6453" priority="936">
      <formula>"$G$G&gt;400"</formula>
    </cfRule>
  </conditionalFormatting>
  <conditionalFormatting sqref="F78">
    <cfRule type="expression" dxfId="6452" priority="929">
      <formula>ISBLANK($F78)</formula>
    </cfRule>
  </conditionalFormatting>
  <conditionalFormatting sqref="E78">
    <cfRule type="expression" dxfId="6451" priority="928">
      <formula>ISBLANK($E78)</formula>
    </cfRule>
  </conditionalFormatting>
  <conditionalFormatting sqref="O78">
    <cfRule type="expression" dxfId="6450" priority="924">
      <formula>"$G$G&gt;400"</formula>
    </cfRule>
  </conditionalFormatting>
  <conditionalFormatting sqref="O79">
    <cfRule type="expression" dxfId="6449" priority="896">
      <formula>"$G$G&gt;400"</formula>
    </cfRule>
  </conditionalFormatting>
  <conditionalFormatting sqref="O80">
    <cfRule type="expression" dxfId="6448" priority="891">
      <formula>"$G$G&gt;400"</formula>
    </cfRule>
  </conditionalFormatting>
  <conditionalFormatting sqref="O81">
    <cfRule type="expression" dxfId="6447" priority="886">
      <formula>"$G$G&gt;400"</formula>
    </cfRule>
  </conditionalFormatting>
  <conditionalFormatting sqref="O82">
    <cfRule type="expression" dxfId="6446" priority="881">
      <formula>"$G$G&gt;400"</formula>
    </cfRule>
  </conditionalFormatting>
  <conditionalFormatting sqref="F79:F82">
    <cfRule type="expression" dxfId="6445" priority="878">
      <formula>ISBLANK($F79)</formula>
    </cfRule>
  </conditionalFormatting>
  <conditionalFormatting sqref="E79:E82">
    <cfRule type="expression" dxfId="6444" priority="877">
      <formula>ISBLANK($E79)</formula>
    </cfRule>
  </conditionalFormatting>
  <conditionalFormatting sqref="O76">
    <cfRule type="expression" dxfId="6443" priority="874">
      <formula>"$G$G&gt;400"</formula>
    </cfRule>
  </conditionalFormatting>
  <conditionalFormatting sqref="F77">
    <cfRule type="expression" dxfId="6442" priority="872">
      <formula>ISBLANK($F77)</formula>
    </cfRule>
  </conditionalFormatting>
  <conditionalFormatting sqref="O77">
    <cfRule type="expression" dxfId="6441" priority="870">
      <formula>"$G$G&gt;400"</formula>
    </cfRule>
  </conditionalFormatting>
  <conditionalFormatting sqref="O83">
    <cfRule type="expression" dxfId="6440" priority="865">
      <formula>"$G$G&gt;400"</formula>
    </cfRule>
  </conditionalFormatting>
  <conditionalFormatting sqref="O84:O86">
    <cfRule type="expression" dxfId="6439" priority="860">
      <formula>"$G$G&gt;400"</formula>
    </cfRule>
  </conditionalFormatting>
  <conditionalFormatting sqref="F88">
    <cfRule type="expression" dxfId="6438" priority="857">
      <formula>ISBLANK($F88)</formula>
    </cfRule>
  </conditionalFormatting>
  <conditionalFormatting sqref="E88">
    <cfRule type="expression" dxfId="6437" priority="856">
      <formula>ISBLANK($E88)</formula>
    </cfRule>
  </conditionalFormatting>
  <conditionalFormatting sqref="O88">
    <cfRule type="expression" dxfId="6436" priority="855">
      <formula>"$G$G&gt;400"</formula>
    </cfRule>
  </conditionalFormatting>
  <conditionalFormatting sqref="F87">
    <cfRule type="expression" dxfId="6435" priority="852">
      <formula>ISBLANK($F87)</formula>
    </cfRule>
  </conditionalFormatting>
  <conditionalFormatting sqref="E87">
    <cfRule type="expression" dxfId="6434" priority="851">
      <formula>ISBLANK($E87)</formula>
    </cfRule>
  </conditionalFormatting>
  <conditionalFormatting sqref="O87">
    <cfRule type="expression" dxfId="6433" priority="849">
      <formula>"$G$G&gt;400"</formula>
    </cfRule>
  </conditionalFormatting>
  <conditionalFormatting sqref="F83:F86">
    <cfRule type="expression" dxfId="6432" priority="848">
      <formula>ISBLANK($F83)</formula>
    </cfRule>
  </conditionalFormatting>
  <conditionalFormatting sqref="E89">
    <cfRule type="expression" dxfId="6431" priority="845">
      <formula>ISBLANK($E89)</formula>
    </cfRule>
  </conditionalFormatting>
  <conditionalFormatting sqref="O89">
    <cfRule type="expression" dxfId="6430" priority="842">
      <formula>"$G$G&gt;400"</formula>
    </cfRule>
  </conditionalFormatting>
  <conditionalFormatting sqref="O90">
    <cfRule type="expression" dxfId="6429" priority="839">
      <formula>"$G$G&gt;400"</formula>
    </cfRule>
  </conditionalFormatting>
  <conditionalFormatting sqref="O92">
    <cfRule type="expression" dxfId="6428" priority="835">
      <formula>"$G$G&gt;400"</formula>
    </cfRule>
  </conditionalFormatting>
  <conditionalFormatting sqref="O91">
    <cfRule type="expression" dxfId="6427" priority="833">
      <formula>"$G$G&gt;400"</formula>
    </cfRule>
  </conditionalFormatting>
  <conditionalFormatting sqref="O93">
    <cfRule type="expression" dxfId="6426" priority="831">
      <formula>"$G$G&gt;400"</formula>
    </cfRule>
  </conditionalFormatting>
  <conditionalFormatting sqref="O94">
    <cfRule type="expression" dxfId="6425" priority="829">
      <formula>"$G$G&gt;400"</formula>
    </cfRule>
  </conditionalFormatting>
  <conditionalFormatting sqref="O95">
    <cfRule type="expression" dxfId="6424" priority="825">
      <formula>"$G$G&gt;400"</formula>
    </cfRule>
  </conditionalFormatting>
  <conditionalFormatting sqref="O96">
    <cfRule type="expression" dxfId="6423" priority="822">
      <formula>"$G$G&gt;400"</formula>
    </cfRule>
  </conditionalFormatting>
  <conditionalFormatting sqref="O98">
    <cfRule type="expression" dxfId="6422" priority="820">
      <formula>"$G$G&gt;400"</formula>
    </cfRule>
  </conditionalFormatting>
  <conditionalFormatting sqref="O100">
    <cfRule type="expression" dxfId="6421" priority="815">
      <formula>"$G$G&gt;400"</formula>
    </cfRule>
  </conditionalFormatting>
  <conditionalFormatting sqref="F103">
    <cfRule type="expression" dxfId="6420" priority="812">
      <formula>ISBLANK($F103)</formula>
    </cfRule>
  </conditionalFormatting>
  <conditionalFormatting sqref="E103">
    <cfRule type="expression" dxfId="6419" priority="811">
      <formula>ISBLANK($E103)</formula>
    </cfRule>
  </conditionalFormatting>
  <conditionalFormatting sqref="O103">
    <cfRule type="expression" dxfId="6418" priority="810">
      <formula>"$G$G&gt;400"</formula>
    </cfRule>
  </conditionalFormatting>
  <conditionalFormatting sqref="F104">
    <cfRule type="expression" dxfId="6417" priority="808">
      <formula>ISBLANK($F104)</formula>
    </cfRule>
  </conditionalFormatting>
  <conditionalFormatting sqref="E104">
    <cfRule type="expression" dxfId="6416" priority="807">
      <formula>ISBLANK($E104)</formula>
    </cfRule>
  </conditionalFormatting>
  <conditionalFormatting sqref="O104:O105">
    <cfRule type="expression" dxfId="6415" priority="801">
      <formula>"$G$G&gt;400"</formula>
    </cfRule>
  </conditionalFormatting>
  <conditionalFormatting sqref="O106">
    <cfRule type="expression" dxfId="6414" priority="796">
      <formula>"$G$G&gt;400"</formula>
    </cfRule>
  </conditionalFormatting>
  <conditionalFormatting sqref="O107">
    <cfRule type="expression" dxfId="6413" priority="792">
      <formula>"$G$G&gt;400"</formula>
    </cfRule>
  </conditionalFormatting>
  <conditionalFormatting sqref="O108">
    <cfRule type="expression" dxfId="6412" priority="789">
      <formula>"$G$G&gt;400"</formula>
    </cfRule>
  </conditionalFormatting>
  <conditionalFormatting sqref="F93">
    <cfRule type="expression" dxfId="6411" priority="787">
      <formula>ISBLANK($F93)</formula>
    </cfRule>
  </conditionalFormatting>
  <conditionalFormatting sqref="F94">
    <cfRule type="expression" dxfId="6410" priority="786">
      <formula>ISBLANK($F94)</formula>
    </cfRule>
  </conditionalFormatting>
  <conditionalFormatting sqref="O109">
    <cfRule type="expression" dxfId="6409" priority="783">
      <formula>"$G$G&gt;400"</formula>
    </cfRule>
  </conditionalFormatting>
  <conditionalFormatting sqref="F110">
    <cfRule type="expression" dxfId="6408" priority="775">
      <formula>ISBLANK($F110)</formula>
    </cfRule>
  </conditionalFormatting>
  <conditionalFormatting sqref="E110">
    <cfRule type="expression" dxfId="6407" priority="774">
      <formula>ISBLANK($E110)</formula>
    </cfRule>
  </conditionalFormatting>
  <conditionalFormatting sqref="W110">
    <cfRule type="expression" dxfId="6406" priority="773">
      <formula>AND(AND($W110&lt;TODAY(),$W110&lt;&gt;""),$X110="")</formula>
    </cfRule>
  </conditionalFormatting>
  <conditionalFormatting sqref="O110">
    <cfRule type="expression" dxfId="6405" priority="771">
      <formula>"$G$G&gt;400"</formula>
    </cfRule>
  </conditionalFormatting>
  <conditionalFormatting sqref="W111">
    <cfRule type="expression" dxfId="6404" priority="770">
      <formula>AND(AND($W111&lt;TODAY(),$W111&lt;&gt;""),$X111="")</formula>
    </cfRule>
  </conditionalFormatting>
  <conditionalFormatting sqref="W112">
    <cfRule type="expression" dxfId="6403" priority="768">
      <formula>AND(AND($W112&lt;TODAY(),$W112&lt;&gt;""),$X112="")</formula>
    </cfRule>
  </conditionalFormatting>
  <conditionalFormatting sqref="W113">
    <cfRule type="expression" dxfId="6402" priority="766">
      <formula>AND(AND($W113&lt;TODAY(),$W113&lt;&gt;""),$X113="")</formula>
    </cfRule>
  </conditionalFormatting>
  <conditionalFormatting sqref="O113">
    <cfRule type="expression" dxfId="6401" priority="764">
      <formula>"$G$G&gt;400"</formula>
    </cfRule>
  </conditionalFormatting>
  <conditionalFormatting sqref="W114">
    <cfRule type="expression" dxfId="6400" priority="763">
      <formula>AND(AND($W114&lt;TODAY(),$W114&lt;&gt;""),$X114="")</formula>
    </cfRule>
  </conditionalFormatting>
  <conditionalFormatting sqref="O114">
    <cfRule type="expression" dxfId="6399" priority="762">
      <formula>"$G$G&gt;400"</formula>
    </cfRule>
  </conditionalFormatting>
  <conditionalFormatting sqref="W115">
    <cfRule type="expression" dxfId="6398" priority="760">
      <formula>AND(AND($W115&lt;TODAY(),$W115&lt;&gt;""),$X115="")</formula>
    </cfRule>
  </conditionalFormatting>
  <conditionalFormatting sqref="F115">
    <cfRule type="expression" dxfId="6397" priority="759">
      <formula>ISBLANK($F115)</formula>
    </cfRule>
  </conditionalFormatting>
  <conditionalFormatting sqref="E115">
    <cfRule type="expression" dxfId="6396" priority="758">
      <formula>ISBLANK($E115)</formula>
    </cfRule>
  </conditionalFormatting>
  <conditionalFormatting sqref="O115">
    <cfRule type="expression" dxfId="6395" priority="756">
      <formula>"$G$G&gt;400"</formula>
    </cfRule>
  </conditionalFormatting>
  <conditionalFormatting sqref="O116">
    <cfRule type="expression" dxfId="6394" priority="755">
      <formula>"$G$G&gt;400"</formula>
    </cfRule>
  </conditionalFormatting>
  <conditionalFormatting sqref="W117">
    <cfRule type="expression" dxfId="6393" priority="752">
      <formula>AND(AND($W117&lt;TODAY(),$W117&lt;&gt;""),$X117="")</formula>
    </cfRule>
  </conditionalFormatting>
  <conditionalFormatting sqref="W118">
    <cfRule type="expression" dxfId="6392" priority="750">
      <formula>AND(AND($W118&lt;TODAY(),$W118&lt;&gt;""),$X118="")</formula>
    </cfRule>
  </conditionalFormatting>
  <conditionalFormatting sqref="F118">
    <cfRule type="expression" dxfId="6391" priority="749">
      <formula>ISBLANK($F118)</formula>
    </cfRule>
  </conditionalFormatting>
  <conditionalFormatting sqref="O118">
    <cfRule type="expression" dxfId="6390" priority="747">
      <formula>"$G$G&gt;400"</formula>
    </cfRule>
  </conditionalFormatting>
  <conditionalFormatting sqref="W119">
    <cfRule type="expression" dxfId="6389" priority="746">
      <formula>AND(AND($W119&lt;TODAY(),$W119&lt;&gt;""),$X119="")</formula>
    </cfRule>
  </conditionalFormatting>
  <conditionalFormatting sqref="W120">
    <cfRule type="expression" dxfId="6388" priority="744">
      <formula>AND(AND($W120&lt;TODAY(),$W120&lt;&gt;""),$X120="")</formula>
    </cfRule>
  </conditionalFormatting>
  <conditionalFormatting sqref="W121">
    <cfRule type="expression" dxfId="6387" priority="742">
      <formula>AND(AND($W121&lt;TODAY(),$W121&lt;&gt;""),$X121="")</formula>
    </cfRule>
  </conditionalFormatting>
  <conditionalFormatting sqref="F121">
    <cfRule type="expression" dxfId="6386" priority="741">
      <formula>ISBLANK($F121)</formula>
    </cfRule>
  </conditionalFormatting>
  <conditionalFormatting sqref="O121">
    <cfRule type="expression" dxfId="6385" priority="739">
      <formula>"$G$G&gt;400"</formula>
    </cfRule>
  </conditionalFormatting>
  <conditionalFormatting sqref="W122">
    <cfRule type="expression" dxfId="6384" priority="738">
      <formula>AND(AND($W122&lt;TODAY(),$W122&lt;&gt;""),$X122="")</formula>
    </cfRule>
  </conditionalFormatting>
  <conditionalFormatting sqref="W123">
    <cfRule type="expression" dxfId="6383" priority="736">
      <formula>AND(AND($W123&lt;TODAY(),$W123&lt;&gt;""),$X123="")</formula>
    </cfRule>
  </conditionalFormatting>
  <conditionalFormatting sqref="O123">
    <cfRule type="expression" dxfId="6382" priority="734">
      <formula>"$G$G&gt;400"</formula>
    </cfRule>
  </conditionalFormatting>
  <conditionalFormatting sqref="W124">
    <cfRule type="expression" dxfId="6381" priority="733">
      <formula>AND(AND($W124&lt;TODAY(),$W124&lt;&gt;""),$X124="")</formula>
    </cfRule>
  </conditionalFormatting>
  <conditionalFormatting sqref="O124">
    <cfRule type="expression" dxfId="6380" priority="731">
      <formula>"$G$G&gt;400"</formula>
    </cfRule>
  </conditionalFormatting>
  <conditionalFormatting sqref="W125">
    <cfRule type="expression" dxfId="6379" priority="730">
      <formula>AND(AND($W125&lt;TODAY(),$W125&lt;&gt;""),$X125="")</formula>
    </cfRule>
  </conditionalFormatting>
  <conditionalFormatting sqref="O125">
    <cfRule type="expression" dxfId="6378" priority="728">
      <formula>"$G$G&gt;400"</formula>
    </cfRule>
  </conditionalFormatting>
  <conditionalFormatting sqref="W126">
    <cfRule type="expression" dxfId="6377" priority="727">
      <formula>AND(AND($W126&lt;TODAY(),$W126&lt;&gt;""),$X126="")</formula>
    </cfRule>
  </conditionalFormatting>
  <conditionalFormatting sqref="O126">
    <cfRule type="expression" dxfId="6376" priority="725">
      <formula>"$G$G&gt;400"</formula>
    </cfRule>
  </conditionalFormatting>
  <conditionalFormatting sqref="W127">
    <cfRule type="expression" dxfId="6375" priority="724">
      <formula>AND(AND($W127&lt;TODAY(),$W127&lt;&gt;""),$X127="")</formula>
    </cfRule>
  </conditionalFormatting>
  <conditionalFormatting sqref="O127">
    <cfRule type="expression" dxfId="6374" priority="722">
      <formula>"$G$G&gt;400"</formula>
    </cfRule>
  </conditionalFormatting>
  <conditionalFormatting sqref="W128">
    <cfRule type="expression" dxfId="6373" priority="721">
      <formula>AND(AND($W128&lt;TODAY(),$W128&lt;&gt;""),$X128="")</formula>
    </cfRule>
  </conditionalFormatting>
  <conditionalFormatting sqref="O128">
    <cfRule type="expression" dxfId="6372" priority="720">
      <formula>"$G$G&gt;400"</formula>
    </cfRule>
  </conditionalFormatting>
  <conditionalFormatting sqref="W129">
    <cfRule type="expression" dxfId="6371" priority="718">
      <formula>AND(AND($W129&lt;TODAY(),$W129&lt;&gt;""),$X129="")</formula>
    </cfRule>
  </conditionalFormatting>
  <conditionalFormatting sqref="O129">
    <cfRule type="expression" dxfId="6370" priority="717">
      <formula>"$G$G&gt;400"</formula>
    </cfRule>
  </conditionalFormatting>
  <conditionalFormatting sqref="W130">
    <cfRule type="expression" dxfId="6369" priority="715">
      <formula>AND(AND($W130&lt;TODAY(),$W130&lt;&gt;""),$X130="")</formula>
    </cfRule>
  </conditionalFormatting>
  <conditionalFormatting sqref="O130">
    <cfRule type="expression" dxfId="6368" priority="713">
      <formula>"$G$G&gt;400"</formula>
    </cfRule>
  </conditionalFormatting>
  <conditionalFormatting sqref="W131">
    <cfRule type="expression" dxfId="6367" priority="712">
      <formula>AND(AND($W131&lt;TODAY(),$W131&lt;&gt;""),$X131="")</formula>
    </cfRule>
  </conditionalFormatting>
  <conditionalFormatting sqref="O131">
    <cfRule type="expression" dxfId="6366" priority="711">
      <formula>"$G$G&gt;400"</formula>
    </cfRule>
  </conditionalFormatting>
  <conditionalFormatting sqref="O132">
    <cfRule type="expression" dxfId="6365" priority="709">
      <formula>"$G$G&gt;400"</formula>
    </cfRule>
  </conditionalFormatting>
  <conditionalFormatting sqref="W132">
    <cfRule type="expression" dxfId="6364" priority="708">
      <formula>AND(AND($W132&lt;TODAY(),$W132&lt;&gt;""),$X132="")</formula>
    </cfRule>
  </conditionalFormatting>
  <conditionalFormatting sqref="O134">
    <cfRule type="expression" dxfId="6363" priority="706">
      <formula>"$G$G&gt;400"</formula>
    </cfRule>
  </conditionalFormatting>
  <conditionalFormatting sqref="W134">
    <cfRule type="expression" dxfId="6362" priority="705">
      <formula>AND(AND($W134&lt;TODAY(),$W134&lt;&gt;""),$X134="")</formula>
    </cfRule>
  </conditionalFormatting>
  <conditionalFormatting sqref="O133">
    <cfRule type="expression" dxfId="6361" priority="703">
      <formula>"$G$G&gt;400"</formula>
    </cfRule>
  </conditionalFormatting>
  <conditionalFormatting sqref="W133">
    <cfRule type="expression" dxfId="6360" priority="702">
      <formula>AND(AND($W133&lt;TODAY(),$W133&lt;&gt;""),$X133="")</formula>
    </cfRule>
  </conditionalFormatting>
  <conditionalFormatting sqref="W135">
    <cfRule type="expression" dxfId="6359" priority="700">
      <formula>AND(AND($W135&lt;TODAY(),$W135&lt;&gt;""),$X135="")</formula>
    </cfRule>
  </conditionalFormatting>
  <conditionalFormatting sqref="F137">
    <cfRule type="expression" dxfId="6358" priority="698">
      <formula>ISBLANK($F137)</formula>
    </cfRule>
  </conditionalFormatting>
  <conditionalFormatting sqref="E137">
    <cfRule type="expression" dxfId="6357" priority="697">
      <formula>ISBLANK($E137)</formula>
    </cfRule>
  </conditionalFormatting>
  <conditionalFormatting sqref="W137">
    <cfRule type="expression" dxfId="6356" priority="696">
      <formula>AND(AND($W137&lt;TODAY(),$W137&lt;&gt;""),$X137="")</formula>
    </cfRule>
  </conditionalFormatting>
  <conditionalFormatting sqref="O137">
    <cfRule type="expression" dxfId="6355" priority="695">
      <formula>"$G$G&gt;400"</formula>
    </cfRule>
  </conditionalFormatting>
  <conditionalFormatting sqref="O136">
    <cfRule type="expression" dxfId="6354" priority="692">
      <formula>"$G$G&gt;400"</formula>
    </cfRule>
  </conditionalFormatting>
  <conditionalFormatting sqref="O140">
    <cfRule type="expression" dxfId="6353" priority="689">
      <formula>"$G$G&gt;400"</formula>
    </cfRule>
  </conditionalFormatting>
  <conditionalFormatting sqref="W140">
    <cfRule type="expression" dxfId="6352" priority="687">
      <formula>AND(AND($W140&lt;TODAY(),$W140&lt;&gt;""),$X140="")</formula>
    </cfRule>
  </conditionalFormatting>
  <conditionalFormatting sqref="F138:F139">
    <cfRule type="expression" dxfId="6351" priority="685">
      <formula>ISBLANK($F138)</formula>
    </cfRule>
  </conditionalFormatting>
  <conditionalFormatting sqref="E138:E139">
    <cfRule type="expression" dxfId="6350" priority="684">
      <formula>ISBLANK($E138)</formula>
    </cfRule>
  </conditionalFormatting>
  <conditionalFormatting sqref="O138:O139">
    <cfRule type="expression" dxfId="6349" priority="683">
      <formula>"$G$G&gt;400"</formula>
    </cfRule>
  </conditionalFormatting>
  <conditionalFormatting sqref="W138:W139">
    <cfRule type="expression" dxfId="6348" priority="682">
      <formula>AND(AND($W138&lt;TODAY(),$W138&lt;&gt;""),$X138="")</formula>
    </cfRule>
  </conditionalFormatting>
  <conditionalFormatting sqref="F117">
    <cfRule type="expression" dxfId="6347" priority="680">
      <formula>ISBLANK($F117)</formula>
    </cfRule>
  </conditionalFormatting>
  <conditionalFormatting sqref="W141">
    <cfRule type="expression" dxfId="6346" priority="679">
      <formula>AND(AND($W141&lt;TODAY(),$W141&lt;&gt;""),$X141="")</formula>
    </cfRule>
  </conditionalFormatting>
  <conditionalFormatting sqref="W143">
    <cfRule type="expression" dxfId="6345" priority="677">
      <formula>AND(AND($W143&lt;TODAY(),$W143&lt;&gt;""),$X143="")</formula>
    </cfRule>
  </conditionalFormatting>
  <conditionalFormatting sqref="E144">
    <cfRule type="expression" dxfId="6344" priority="675">
      <formula>ISBLANK($E144)</formula>
    </cfRule>
  </conditionalFormatting>
  <conditionalFormatting sqref="W144">
    <cfRule type="expression" dxfId="6343" priority="674">
      <formula>AND(AND($W144&lt;TODAY(),$W144&lt;&gt;""),$X144="")</formula>
    </cfRule>
  </conditionalFormatting>
  <conditionalFormatting sqref="O144">
    <cfRule type="expression" dxfId="6342" priority="673">
      <formula>"$G$G&gt;400"</formula>
    </cfRule>
  </conditionalFormatting>
  <conditionalFormatting sqref="F144">
    <cfRule type="expression" dxfId="6341" priority="671">
      <formula>ISBLANK($F144)</formula>
    </cfRule>
  </conditionalFormatting>
  <conditionalFormatting sqref="O145:O148">
    <cfRule type="expression" dxfId="6340" priority="669">
      <formula>"$G$G&gt;400"</formula>
    </cfRule>
  </conditionalFormatting>
  <conditionalFormatting sqref="W142">
    <cfRule type="expression" dxfId="6339" priority="667">
      <formula>AND(AND($W142&lt;TODAY(),$W142&lt;&gt;""),$X142="")</formula>
    </cfRule>
  </conditionalFormatting>
  <conditionalFormatting sqref="O142">
    <cfRule type="expression" dxfId="6338" priority="665">
      <formula>"$G$G&gt;400"</formula>
    </cfRule>
  </conditionalFormatting>
  <conditionalFormatting sqref="O153">
    <cfRule type="expression" dxfId="6337" priority="661">
      <formula>"$G$G&gt;400"</formula>
    </cfRule>
  </conditionalFormatting>
  <conditionalFormatting sqref="W136">
    <cfRule type="expression" dxfId="6336" priority="660">
      <formula>AND(AND($W136&lt;TODAY(),$W136&lt;&gt;""),$X136="")</formula>
    </cfRule>
  </conditionalFormatting>
  <conditionalFormatting sqref="W153 W170">
    <cfRule type="expression" dxfId="6335" priority="1072">
      <formula>AND(AND($W153&lt;TODAY(),$W153&lt;&gt;""),$X148="")</formula>
    </cfRule>
  </conditionalFormatting>
  <conditionalFormatting sqref="W152">
    <cfRule type="expression" dxfId="6334" priority="659">
      <formula>AND(AND($W152&lt;TODAY(),$W152&lt;&gt;""),$X152="")</formula>
    </cfRule>
  </conditionalFormatting>
  <conditionalFormatting sqref="O152">
    <cfRule type="expression" dxfId="6333" priority="658">
      <formula>"$G$G&gt;400"</formula>
    </cfRule>
  </conditionalFormatting>
  <conditionalFormatting sqref="O151">
    <cfRule type="expression" dxfId="6332" priority="657">
      <formula>"$G$G&gt;400"</formula>
    </cfRule>
  </conditionalFormatting>
  <conditionalFormatting sqref="W151">
    <cfRule type="expression" dxfId="6331" priority="656">
      <formula>AND(AND($W151&lt;TODAY(),$W151&lt;&gt;""),$X151="")</formula>
    </cfRule>
  </conditionalFormatting>
  <conditionalFormatting sqref="O150">
    <cfRule type="expression" dxfId="6330" priority="655">
      <formula>"$G$G&gt;400"</formula>
    </cfRule>
  </conditionalFormatting>
  <conditionalFormatting sqref="W150">
    <cfRule type="expression" dxfId="6329" priority="654">
      <formula>AND(AND($W150&lt;TODAY(),$W150&lt;&gt;""),$X150="")</formula>
    </cfRule>
  </conditionalFormatting>
  <conditionalFormatting sqref="O149">
    <cfRule type="expression" dxfId="6328" priority="653">
      <formula>"$G$G&gt;400"</formula>
    </cfRule>
  </conditionalFormatting>
  <conditionalFormatting sqref="W149">
    <cfRule type="expression" dxfId="6327" priority="652">
      <formula>AND(AND($W149&lt;TODAY(),$W149&lt;&gt;""),$X149="")</formula>
    </cfRule>
  </conditionalFormatting>
  <conditionalFormatting sqref="W148">
    <cfRule type="expression" dxfId="6326" priority="651">
      <formula>AND(AND($W148&lt;TODAY(),$W148&lt;&gt;""),$X148="")</formula>
    </cfRule>
  </conditionalFormatting>
  <conditionalFormatting sqref="W116">
    <cfRule type="expression" dxfId="6325" priority="650">
      <formula>AND(AND($W116&lt;TODAY(),$W116&lt;&gt;""),$X116="")</formula>
    </cfRule>
  </conditionalFormatting>
  <conditionalFormatting sqref="O154">
    <cfRule type="expression" dxfId="6324" priority="649">
      <formula>"$G$G&gt;400"</formula>
    </cfRule>
  </conditionalFormatting>
  <conditionalFormatting sqref="W154">
    <cfRule type="expression" dxfId="6323" priority="648">
      <formula>AND(AND($W154&lt;TODAY(),$W154&lt;&gt;""),$X154="")</formula>
    </cfRule>
  </conditionalFormatting>
  <conditionalFormatting sqref="O155">
    <cfRule type="expression" dxfId="6322" priority="647">
      <formula>"$G$G&gt;400"</formula>
    </cfRule>
  </conditionalFormatting>
  <conditionalFormatting sqref="W155">
    <cfRule type="expression" dxfId="6321" priority="646">
      <formula>AND(AND($W155&lt;TODAY(),$W155&lt;&gt;""),$X155="")</formula>
    </cfRule>
  </conditionalFormatting>
  <conditionalFormatting sqref="O156">
    <cfRule type="expression" dxfId="6320" priority="641">
      <formula>"$G$G&gt;400"</formula>
    </cfRule>
  </conditionalFormatting>
  <conditionalFormatting sqref="W156">
    <cfRule type="expression" dxfId="6319" priority="640">
      <formula>AND(AND($W156&lt;TODAY(),$W156&lt;&gt;""),$X156="")</formula>
    </cfRule>
  </conditionalFormatting>
  <conditionalFormatting sqref="W157">
    <cfRule type="expression" dxfId="6318" priority="639">
      <formula>AND(AND($W157&lt;TODAY(),$W157&lt;&gt;""),$X157="")</formula>
    </cfRule>
  </conditionalFormatting>
  <conditionalFormatting sqref="O157">
    <cfRule type="expression" dxfId="6317" priority="638">
      <formula>"$G$G&gt;400"</formula>
    </cfRule>
  </conditionalFormatting>
  <conditionalFormatting sqref="W158">
    <cfRule type="expression" dxfId="6316" priority="637">
      <formula>AND(AND($W158&lt;TODAY(),$W158&lt;&gt;""),$X158="")</formula>
    </cfRule>
  </conditionalFormatting>
  <conditionalFormatting sqref="F158">
    <cfRule type="expression" dxfId="6315" priority="636">
      <formula>ISBLANK($F158)</formula>
    </cfRule>
  </conditionalFormatting>
  <conditionalFormatting sqref="E158">
    <cfRule type="expression" dxfId="6314" priority="635">
      <formula>ISBLANK($E158)</formula>
    </cfRule>
  </conditionalFormatting>
  <conditionalFormatting sqref="O158">
    <cfRule type="expression" dxfId="6313" priority="634">
      <formula>"$G$G&gt;400"</formula>
    </cfRule>
  </conditionalFormatting>
  <conditionalFormatting sqref="W159">
    <cfRule type="expression" dxfId="6312" priority="633">
      <formula>AND(AND($W159&lt;TODAY(),$W159&lt;&gt;""),$X159="")</formula>
    </cfRule>
  </conditionalFormatting>
  <conditionalFormatting sqref="O159">
    <cfRule type="expression" dxfId="6311" priority="632">
      <formula>"$G$G&gt;400"</formula>
    </cfRule>
  </conditionalFormatting>
  <conditionalFormatting sqref="W160">
    <cfRule type="expression" dxfId="6310" priority="631">
      <formula>AND(AND($W160&lt;TODAY(),$W160&lt;&gt;""),$X160="")</formula>
    </cfRule>
  </conditionalFormatting>
  <conditionalFormatting sqref="O160">
    <cfRule type="expression" dxfId="6309" priority="630">
      <formula>"$G$G&gt;400"</formula>
    </cfRule>
  </conditionalFormatting>
  <conditionalFormatting sqref="W161">
    <cfRule type="expression" dxfId="6308" priority="629">
      <formula>AND(AND($W161&lt;TODAY(),$W161&lt;&gt;""),$X161="")</formula>
    </cfRule>
  </conditionalFormatting>
  <conditionalFormatting sqref="O161">
    <cfRule type="expression" dxfId="6307" priority="628">
      <formula>"$G$G&gt;400"</formula>
    </cfRule>
  </conditionalFormatting>
  <conditionalFormatting sqref="W162">
    <cfRule type="expression" dxfId="6306" priority="627">
      <formula>AND(AND($W162&lt;TODAY(),$W162&lt;&gt;""),$X162="")</formula>
    </cfRule>
  </conditionalFormatting>
  <conditionalFormatting sqref="O162">
    <cfRule type="expression" dxfId="6305" priority="626">
      <formula>"$G$G&gt;400"</formula>
    </cfRule>
  </conditionalFormatting>
  <conditionalFormatting sqref="O163">
    <cfRule type="expression" dxfId="6304" priority="625">
      <formula>"$G$G&gt;400"</formula>
    </cfRule>
  </conditionalFormatting>
  <conditionalFormatting sqref="O166">
    <cfRule type="expression" dxfId="6303" priority="622">
      <formula>"$G$G&gt;400"</formula>
    </cfRule>
  </conditionalFormatting>
  <conditionalFormatting sqref="O167">
    <cfRule type="expression" dxfId="6302" priority="620">
      <formula>"$G$G&gt;400"</formula>
    </cfRule>
  </conditionalFormatting>
  <conditionalFormatting sqref="O168">
    <cfRule type="expression" dxfId="6301" priority="616">
      <formula>"$G$G&gt;400"</formula>
    </cfRule>
  </conditionalFormatting>
  <conditionalFormatting sqref="O164">
    <cfRule type="expression" dxfId="6300" priority="614">
      <formula>"$G$G&gt;400"</formula>
    </cfRule>
  </conditionalFormatting>
  <conditionalFormatting sqref="O165">
    <cfRule type="expression" dxfId="6299" priority="610">
      <formula>"$G$G&gt;400"</formula>
    </cfRule>
  </conditionalFormatting>
  <conditionalFormatting sqref="O169">
    <cfRule type="expression" dxfId="6298" priority="605">
      <formula>"$G$G&gt;400"</formula>
    </cfRule>
  </conditionalFormatting>
  <conditionalFormatting sqref="O170">
    <cfRule type="expression" dxfId="6297" priority="597">
      <formula>"$G$G&gt;400"</formula>
    </cfRule>
  </conditionalFormatting>
  <conditionalFormatting sqref="O171">
    <cfRule type="expression" dxfId="6296" priority="600">
      <formula>"$G$G&gt;400"</formula>
    </cfRule>
  </conditionalFormatting>
  <conditionalFormatting sqref="W172">
    <cfRule type="expression" dxfId="6295" priority="596">
      <formula>AND(AND($W172&lt;TODAY(),$W172&lt;&gt;""),$X172="")</formula>
    </cfRule>
  </conditionalFormatting>
  <conditionalFormatting sqref="O172">
    <cfRule type="expression" dxfId="6294" priority="595">
      <formula>"$G$G&gt;400"</formula>
    </cfRule>
  </conditionalFormatting>
  <conditionalFormatting sqref="F172">
    <cfRule type="expression" dxfId="6293" priority="594">
      <formula>ISBLANK($F172)</formula>
    </cfRule>
  </conditionalFormatting>
  <conditionalFormatting sqref="O174">
    <cfRule type="expression" dxfId="6292" priority="591">
      <formula>"$G$G&gt;400"</formula>
    </cfRule>
  </conditionalFormatting>
  <conditionalFormatting sqref="W173">
    <cfRule type="expression" dxfId="6291" priority="590">
      <formula>AND(AND($W173&lt;TODAY(),$W173&lt;&gt;""),$X173="")</formula>
    </cfRule>
  </conditionalFormatting>
  <conditionalFormatting sqref="O173">
    <cfRule type="expression" dxfId="6290" priority="589">
      <formula>"$G$G&gt;400"</formula>
    </cfRule>
  </conditionalFormatting>
  <conditionalFormatting sqref="F173:F174">
    <cfRule type="expression" dxfId="6289" priority="588">
      <formula>ISBLANK($F173)</formula>
    </cfRule>
  </conditionalFormatting>
  <conditionalFormatting sqref="F175">
    <cfRule type="expression" dxfId="6288" priority="585">
      <formula>ISBLANK($F175)</formula>
    </cfRule>
  </conditionalFormatting>
  <conditionalFormatting sqref="E175">
    <cfRule type="expression" dxfId="6287" priority="584">
      <formula>ISBLANK($E175)</formula>
    </cfRule>
  </conditionalFormatting>
  <conditionalFormatting sqref="O175">
    <cfRule type="expression" dxfId="6286" priority="583">
      <formula>"$G$G&gt;400"</formula>
    </cfRule>
  </conditionalFormatting>
  <conditionalFormatting sqref="O177">
    <cfRule type="expression" dxfId="6285" priority="582">
      <formula>"$G$G&gt;400"</formula>
    </cfRule>
  </conditionalFormatting>
  <conditionalFormatting sqref="O178">
    <cfRule type="expression" dxfId="6284" priority="581">
      <formula>"$G$G&gt;400"</formula>
    </cfRule>
  </conditionalFormatting>
  <conditionalFormatting sqref="O176">
    <cfRule type="expression" dxfId="6283" priority="578">
      <formula>"$G$G&gt;400"</formula>
    </cfRule>
  </conditionalFormatting>
  <conditionalFormatting sqref="O179">
    <cfRule type="expression" dxfId="6282" priority="576">
      <formula>"$G$G&gt;400"</formula>
    </cfRule>
  </conditionalFormatting>
  <conditionalFormatting sqref="O181">
    <cfRule type="expression" dxfId="6281" priority="573">
      <formula>"$G$G&gt;400"</formula>
    </cfRule>
  </conditionalFormatting>
  <conditionalFormatting sqref="O182">
    <cfRule type="expression" dxfId="6280" priority="567">
      <formula>"$G$G&gt;400"</formula>
    </cfRule>
  </conditionalFormatting>
  <conditionalFormatting sqref="O183">
    <cfRule type="expression" dxfId="6279" priority="564">
      <formula>"$G$G&gt;400"</formula>
    </cfRule>
  </conditionalFormatting>
  <conditionalFormatting sqref="O185">
    <cfRule type="expression" dxfId="6278" priority="562">
      <formula>"$G$G&gt;400"</formula>
    </cfRule>
  </conditionalFormatting>
  <conditionalFormatting sqref="O184">
    <cfRule type="expression" dxfId="6277" priority="559">
      <formula>"$G$G&gt;400"</formula>
    </cfRule>
  </conditionalFormatting>
  <conditionalFormatting sqref="O186">
    <cfRule type="expression" dxfId="6276" priority="555">
      <formula>"$G$G&gt;400"</formula>
    </cfRule>
  </conditionalFormatting>
  <conditionalFormatting sqref="O187:O188">
    <cfRule type="expression" dxfId="6275" priority="554">
      <formula>"$G$G&gt;400"</formula>
    </cfRule>
  </conditionalFormatting>
  <conditionalFormatting sqref="O191">
    <cfRule type="expression" dxfId="6274" priority="548">
      <formula>"$G$G&gt;400"</formula>
    </cfRule>
  </conditionalFormatting>
  <conditionalFormatting sqref="O192">
    <cfRule type="expression" dxfId="6273" priority="547">
      <formula>"$G$G&gt;400"</formula>
    </cfRule>
  </conditionalFormatting>
  <conditionalFormatting sqref="O193">
    <cfRule type="expression" dxfId="6272" priority="544">
      <formula>"$G$G&gt;400"</formula>
    </cfRule>
  </conditionalFormatting>
  <conditionalFormatting sqref="F194">
    <cfRule type="expression" dxfId="6271" priority="541">
      <formula>ISBLANK($F194)</formula>
    </cfRule>
  </conditionalFormatting>
  <conditionalFormatting sqref="E194">
    <cfRule type="expression" dxfId="6270" priority="540">
      <formula>ISBLANK($E194)</formula>
    </cfRule>
  </conditionalFormatting>
  <conditionalFormatting sqref="O194">
    <cfRule type="expression" dxfId="6269" priority="539">
      <formula>"$G$G&gt;400"</formula>
    </cfRule>
  </conditionalFormatting>
  <conditionalFormatting sqref="O195">
    <cfRule type="expression" dxfId="6268" priority="537">
      <formula>"$G$G&gt;400"</formula>
    </cfRule>
  </conditionalFormatting>
  <conditionalFormatting sqref="O196">
    <cfRule type="expression" dxfId="6267" priority="535">
      <formula>"$G$G&gt;400"</formula>
    </cfRule>
  </conditionalFormatting>
  <conditionalFormatting sqref="O198">
    <cfRule type="expression" dxfId="6266" priority="530">
      <formula>"$G$G&gt;400"</formula>
    </cfRule>
  </conditionalFormatting>
  <conditionalFormatting sqref="F198">
    <cfRule type="expression" dxfId="6265" priority="529">
      <formula>ISBLANK($F198)</formula>
    </cfRule>
  </conditionalFormatting>
  <conditionalFormatting sqref="O199">
    <cfRule type="expression" dxfId="6264" priority="526">
      <formula>"$G$G&gt;400"</formula>
    </cfRule>
  </conditionalFormatting>
  <conditionalFormatting sqref="F205">
    <cfRule type="expression" dxfId="6263" priority="517">
      <formula>ISBLANK($F205)</formula>
    </cfRule>
  </conditionalFormatting>
  <conditionalFormatting sqref="E205">
    <cfRule type="expression" dxfId="6262" priority="516">
      <formula>ISBLANK($E205)</formula>
    </cfRule>
  </conditionalFormatting>
  <conditionalFormatting sqref="O205">
    <cfRule type="expression" dxfId="6261" priority="515">
      <formula>"$G$G&gt;400"</formula>
    </cfRule>
  </conditionalFormatting>
  <conditionalFormatting sqref="O208">
    <cfRule type="expression" dxfId="6260" priority="510">
      <formula>"$G$G&gt;400"</formula>
    </cfRule>
  </conditionalFormatting>
  <conditionalFormatting sqref="F209:F212">
    <cfRule type="expression" dxfId="6259" priority="509">
      <formula>ISBLANK($E209)</formula>
    </cfRule>
  </conditionalFormatting>
  <conditionalFormatting sqref="O209:O212">
    <cfRule type="expression" dxfId="6258" priority="508">
      <formula>"$G$G&gt;400"</formula>
    </cfRule>
  </conditionalFormatting>
  <conditionalFormatting sqref="W174:W212">
    <cfRule type="expression" dxfId="6257" priority="502">
      <formula>AND(AND($W174&lt;TODAY(),$W174&lt;&gt;""),$X174="")</formula>
    </cfRule>
  </conditionalFormatting>
  <conditionalFormatting sqref="W213">
    <cfRule type="expression" dxfId="6256" priority="501">
      <formula>AND(AND($W213&lt;TODAY(),$W213&lt;&gt;""),$X213="")</formula>
    </cfRule>
  </conditionalFormatting>
  <conditionalFormatting sqref="W213">
    <cfRule type="expression" dxfId="6255" priority="500">
      <formula>AND(AND($W213&lt;TODAY(),$W213&lt;&gt;""),$X213="")</formula>
    </cfRule>
  </conditionalFormatting>
  <conditionalFormatting sqref="O213">
    <cfRule type="expression" dxfId="6254" priority="499">
      <formula>"$G$G&gt;400"</formula>
    </cfRule>
  </conditionalFormatting>
  <conditionalFormatting sqref="W214">
    <cfRule type="expression" dxfId="6253" priority="498">
      <formula>AND(AND($W214&lt;TODAY(),$W214&lt;&gt;""),$X214="")</formula>
    </cfRule>
  </conditionalFormatting>
  <conditionalFormatting sqref="W214">
    <cfRule type="expression" dxfId="6252" priority="497">
      <formula>AND(AND($W214&lt;TODAY(),$W214&lt;&gt;""),$X214="")</formula>
    </cfRule>
  </conditionalFormatting>
  <conditionalFormatting sqref="O214">
    <cfRule type="expression" dxfId="6251" priority="496">
      <formula>"$G$G&gt;400"</formula>
    </cfRule>
  </conditionalFormatting>
  <conditionalFormatting sqref="F215">
    <cfRule type="expression" dxfId="6250" priority="495">
      <formula>ISBLANK($F215)</formula>
    </cfRule>
  </conditionalFormatting>
  <conditionalFormatting sqref="E215">
    <cfRule type="expression" dxfId="6249" priority="494">
      <formula>ISBLANK($E215)</formula>
    </cfRule>
  </conditionalFormatting>
  <conditionalFormatting sqref="W215">
    <cfRule type="expression" dxfId="6248" priority="493">
      <formula>AND(AND($W215&lt;TODAY(),$W215&lt;&gt;""),$X215="")</formula>
    </cfRule>
  </conditionalFormatting>
  <conditionalFormatting sqref="W215">
    <cfRule type="expression" dxfId="6247" priority="492">
      <formula>AND(AND($W215&lt;TODAY(),$W215&lt;&gt;""),$X215="")</formula>
    </cfRule>
  </conditionalFormatting>
  <conditionalFormatting sqref="O215">
    <cfRule type="expression" dxfId="6246" priority="491">
      <formula>"$G$G&gt;400"</formula>
    </cfRule>
  </conditionalFormatting>
  <conditionalFormatting sqref="F216">
    <cfRule type="expression" dxfId="6245" priority="490">
      <formula>ISBLANK($F216)</formula>
    </cfRule>
  </conditionalFormatting>
  <conditionalFormatting sqref="E216">
    <cfRule type="expression" dxfId="6244" priority="489">
      <formula>ISBLANK($E216)</formula>
    </cfRule>
  </conditionalFormatting>
  <conditionalFormatting sqref="W216">
    <cfRule type="expression" dxfId="6243" priority="488">
      <formula>AND(AND($W216&lt;TODAY(),$W216&lt;&gt;""),$X216="")</formula>
    </cfRule>
  </conditionalFormatting>
  <conditionalFormatting sqref="W216">
    <cfRule type="expression" dxfId="6242" priority="487">
      <formula>AND(AND($W216&lt;TODAY(),$W216&lt;&gt;""),$X216="")</formula>
    </cfRule>
  </conditionalFormatting>
  <conditionalFormatting sqref="O216">
    <cfRule type="expression" dxfId="6241" priority="486">
      <formula>"$G$G&gt;400"</formula>
    </cfRule>
  </conditionalFormatting>
  <conditionalFormatting sqref="W217:W224">
    <cfRule type="expression" dxfId="6240" priority="485">
      <formula>AND(AND($W217&lt;TODAY(),$W217&lt;&gt;""),$X217="")</formula>
    </cfRule>
  </conditionalFormatting>
  <conditionalFormatting sqref="O217:O224">
    <cfRule type="expression" dxfId="6239" priority="484">
      <formula>"$G$G&gt;400"</formula>
    </cfRule>
  </conditionalFormatting>
  <conditionalFormatting sqref="W225">
    <cfRule type="expression" dxfId="6238" priority="483">
      <formula>AND(AND($W225&lt;TODAY(),$W225&lt;&gt;""),$X225="")</formula>
    </cfRule>
  </conditionalFormatting>
  <conditionalFormatting sqref="O225">
    <cfRule type="expression" dxfId="6237" priority="482">
      <formula>"$G$G&gt;400"</formula>
    </cfRule>
  </conditionalFormatting>
  <conditionalFormatting sqref="F226">
    <cfRule type="expression" dxfId="6236" priority="481">
      <formula>ISBLANK($F226)</formula>
    </cfRule>
  </conditionalFormatting>
  <conditionalFormatting sqref="E226">
    <cfRule type="expression" dxfId="6235" priority="480">
      <formula>ISBLANK($E226)</formula>
    </cfRule>
  </conditionalFormatting>
  <conditionalFormatting sqref="O226">
    <cfRule type="expression" dxfId="6234" priority="479">
      <formula>"$G$G&gt;400"</formula>
    </cfRule>
  </conditionalFormatting>
  <conditionalFormatting sqref="W226">
    <cfRule type="expression" dxfId="6233" priority="478">
      <formula>AND(AND($W226&lt;TODAY(),$W226&lt;&gt;""),$X226="")</formula>
    </cfRule>
  </conditionalFormatting>
  <conditionalFormatting sqref="O233">
    <cfRule type="expression" dxfId="6232" priority="476">
      <formula>"$G$G&gt;400"</formula>
    </cfRule>
  </conditionalFormatting>
  <conditionalFormatting sqref="O229">
    <cfRule type="expression" dxfId="6231" priority="474">
      <formula>"$G$G&gt;400"</formula>
    </cfRule>
  </conditionalFormatting>
  <conditionalFormatting sqref="O228">
    <cfRule type="expression" dxfId="6230" priority="471">
      <formula>"$G$G&gt;400"</formula>
    </cfRule>
  </conditionalFormatting>
  <conditionalFormatting sqref="O234">
    <cfRule type="expression" dxfId="6229" priority="470">
      <formula>"$G$G&gt;400"</formula>
    </cfRule>
  </conditionalFormatting>
  <conditionalFormatting sqref="O231">
    <cfRule type="expression" dxfId="6228" priority="467">
      <formula>"$G$G&gt;400"</formula>
    </cfRule>
  </conditionalFormatting>
  <conditionalFormatting sqref="O230">
    <cfRule type="expression" dxfId="6227" priority="464">
      <formula>"$G$G&gt;400"</formula>
    </cfRule>
  </conditionalFormatting>
  <conditionalFormatting sqref="O227">
    <cfRule type="expression" dxfId="6226" priority="461">
      <formula>"$G$G&gt;400"</formula>
    </cfRule>
  </conditionalFormatting>
  <conditionalFormatting sqref="O232">
    <cfRule type="expression" dxfId="6225" priority="459">
      <formula>"$G$G&gt;400"</formula>
    </cfRule>
  </conditionalFormatting>
  <conditionalFormatting sqref="O235">
    <cfRule type="expression" dxfId="6224" priority="457">
      <formula>"$G$G&gt;400"</formula>
    </cfRule>
  </conditionalFormatting>
  <conditionalFormatting sqref="O236">
    <cfRule type="expression" dxfId="6223" priority="454">
      <formula>"$G$G&gt;400"</formula>
    </cfRule>
  </conditionalFormatting>
  <conditionalFormatting sqref="O237">
    <cfRule type="expression" dxfId="6222" priority="452">
      <formula>"$G$G&gt;400"</formula>
    </cfRule>
  </conditionalFormatting>
  <conditionalFormatting sqref="O238">
    <cfRule type="expression" dxfId="6221" priority="451">
      <formula>"$G$G&gt;400"</formula>
    </cfRule>
  </conditionalFormatting>
  <conditionalFormatting sqref="W236">
    <cfRule type="expression" dxfId="6220" priority="449">
      <formula>AND(AND($W236&lt;TODAY(),$W236&lt;&gt;""),$X236="")</formula>
    </cfRule>
  </conditionalFormatting>
  <conditionalFormatting sqref="W237">
    <cfRule type="expression" dxfId="6219" priority="448">
      <formula>AND(AND($W237&lt;TODAY(),$W237&lt;&gt;""),$X237="")</formula>
    </cfRule>
  </conditionalFormatting>
  <conditionalFormatting sqref="W238">
    <cfRule type="expression" dxfId="6218" priority="447">
      <formula>AND(AND($W238&lt;TODAY(),$W238&lt;&gt;""),$X238="")</formula>
    </cfRule>
  </conditionalFormatting>
  <conditionalFormatting sqref="O240">
    <cfRule type="expression" dxfId="6217" priority="446">
      <formula>"$G$G&gt;400"</formula>
    </cfRule>
  </conditionalFormatting>
  <conditionalFormatting sqref="O241">
    <cfRule type="expression" dxfId="6216" priority="444">
      <formula>"$G$G&gt;400"</formula>
    </cfRule>
  </conditionalFormatting>
  <conditionalFormatting sqref="O239">
    <cfRule type="expression" dxfId="6215" priority="441">
      <formula>"$G$G&gt;400"</formula>
    </cfRule>
  </conditionalFormatting>
  <conditionalFormatting sqref="O239">
    <cfRule type="expression" dxfId="6214" priority="440">
      <formula>"$G$G&gt;400"</formula>
    </cfRule>
  </conditionalFormatting>
  <conditionalFormatting sqref="O242">
    <cfRule type="expression" dxfId="6213" priority="439">
      <formula>"$G$G&gt;400"</formula>
    </cfRule>
  </conditionalFormatting>
  <conditionalFormatting sqref="W242">
    <cfRule type="expression" dxfId="6212" priority="438">
      <formula>AND(AND($W242&lt;TODAY(),$W242&lt;&gt;""),$X242="")</formula>
    </cfRule>
  </conditionalFormatting>
  <conditionalFormatting sqref="W243">
    <cfRule type="expression" dxfId="6211" priority="435">
      <formula>AND(AND($W243&lt;TODAY(),$W243&lt;&gt;""),$X243="")</formula>
    </cfRule>
  </conditionalFormatting>
  <conditionalFormatting sqref="O243">
    <cfRule type="expression" dxfId="6210" priority="434">
      <formula>"$G$G&gt;400"</formula>
    </cfRule>
  </conditionalFormatting>
  <conditionalFormatting sqref="O243">
    <cfRule type="expression" dxfId="6209" priority="433">
      <formula>"$G$G&gt;400"</formula>
    </cfRule>
  </conditionalFormatting>
  <conditionalFormatting sqref="O244">
    <cfRule type="expression" dxfId="6208" priority="432">
      <formula>"$G$G&gt;400"</formula>
    </cfRule>
  </conditionalFormatting>
  <conditionalFormatting sqref="W244">
    <cfRule type="expression" dxfId="6207" priority="431">
      <formula>AND(AND($W244&lt;TODAY(),$W244&lt;&gt;""),$X244="")</formula>
    </cfRule>
  </conditionalFormatting>
  <conditionalFormatting sqref="E239">
    <cfRule type="expression" dxfId="6206" priority="430">
      <formula>ISBLANK($E239)</formula>
    </cfRule>
  </conditionalFormatting>
  <conditionalFormatting sqref="E243">
    <cfRule type="expression" dxfId="6205" priority="429">
      <formula>ISBLANK($E243)</formula>
    </cfRule>
  </conditionalFormatting>
  <conditionalFormatting sqref="W245">
    <cfRule type="expression" dxfId="6204" priority="428">
      <formula>AND(AND($W245&lt;TODAY(),$W245&lt;&gt;""),$X245="")</formula>
    </cfRule>
  </conditionalFormatting>
  <conditionalFormatting sqref="O245">
    <cfRule type="expression" dxfId="6203" priority="427">
      <formula>"$G$G&gt;400"</formula>
    </cfRule>
  </conditionalFormatting>
  <conditionalFormatting sqref="W246">
    <cfRule type="expression" dxfId="6202" priority="426">
      <formula>AND(AND($W246&lt;TODAY(),$W246&lt;&gt;""),$X246="")</formula>
    </cfRule>
  </conditionalFormatting>
  <conditionalFormatting sqref="W248">
    <cfRule type="expression" dxfId="6201" priority="425">
      <formula>AND(AND($W248&lt;TODAY(),$W248&lt;&gt;""),$X248="")</formula>
    </cfRule>
  </conditionalFormatting>
  <conditionalFormatting sqref="O248">
    <cfRule type="expression" dxfId="6200" priority="424">
      <formula>"$G$G&gt;400"</formula>
    </cfRule>
  </conditionalFormatting>
  <conditionalFormatting sqref="W249:W266">
    <cfRule type="expression" dxfId="6199" priority="423">
      <formula>AND(AND($W249&lt;TODAY(),$W249&lt;&gt;""),$X249="")</formula>
    </cfRule>
  </conditionalFormatting>
  <conditionalFormatting sqref="F255">
    <cfRule type="expression" dxfId="6198" priority="417">
      <formula>ISBLANK($F255)</formula>
    </cfRule>
  </conditionalFormatting>
  <conditionalFormatting sqref="E255">
    <cfRule type="expression" dxfId="6197" priority="416">
      <formula>ISBLANK($E255)</formula>
    </cfRule>
  </conditionalFormatting>
  <conditionalFormatting sqref="E256">
    <cfRule type="expression" dxfId="6196" priority="415">
      <formula>ISBLANK($E256)</formula>
    </cfRule>
  </conditionalFormatting>
  <conditionalFormatting sqref="W267">
    <cfRule type="expression" dxfId="6195" priority="414">
      <formula>AND(AND($W267&lt;TODAY(),$W267&lt;&gt;""),$X267="")</formula>
    </cfRule>
  </conditionalFormatting>
  <conditionalFormatting sqref="O267">
    <cfRule type="expression" dxfId="6194" priority="413">
      <formula>"$G$G&gt;400"</formula>
    </cfRule>
  </conditionalFormatting>
  <conditionalFormatting sqref="W268">
    <cfRule type="expression" dxfId="6193" priority="412">
      <formula>AND(AND($W268&lt;TODAY(),$W268&lt;&gt;""),$X268="")</formula>
    </cfRule>
  </conditionalFormatting>
  <conditionalFormatting sqref="W269">
    <cfRule type="expression" dxfId="6192" priority="411">
      <formula>AND(AND($W269&lt;TODAY(),$W269&lt;&gt;""),$X269="")</formula>
    </cfRule>
  </conditionalFormatting>
  <conditionalFormatting sqref="F270">
    <cfRule type="expression" dxfId="6191" priority="410">
      <formula>ISBLANK($F270)</formula>
    </cfRule>
  </conditionalFormatting>
  <conditionalFormatting sqref="E270">
    <cfRule type="expression" dxfId="6190" priority="409">
      <formula>ISBLANK($E270)</formula>
    </cfRule>
  </conditionalFormatting>
  <conditionalFormatting sqref="O270">
    <cfRule type="expression" dxfId="6189" priority="408">
      <formula>"$G$G&gt;400"</formula>
    </cfRule>
  </conditionalFormatting>
  <conditionalFormatting sqref="W270">
    <cfRule type="expression" dxfId="6188" priority="407">
      <formula>AND(AND($W270&lt;TODAY(),$W270&lt;&gt;""),$X270="")</formula>
    </cfRule>
  </conditionalFormatting>
  <conditionalFormatting sqref="O271">
    <cfRule type="expression" dxfId="6187" priority="406">
      <formula>"$G$G&gt;400"</formula>
    </cfRule>
  </conditionalFormatting>
  <conditionalFormatting sqref="W271">
    <cfRule type="expression" dxfId="6186" priority="405">
      <formula>AND(AND($W271&lt;TODAY(),$W271&lt;&gt;""),$X271="")</formula>
    </cfRule>
  </conditionalFormatting>
  <conditionalFormatting sqref="W272">
    <cfRule type="expression" dxfId="6185" priority="403">
      <formula>AND(AND($W272&lt;TODAY(),$W272&lt;&gt;""),$X272="")</formula>
    </cfRule>
  </conditionalFormatting>
  <conditionalFormatting sqref="W273">
    <cfRule type="expression" dxfId="6184" priority="402">
      <formula>AND(AND($W273&lt;TODAY(),$W273&lt;&gt;""),$X273="")</formula>
    </cfRule>
  </conditionalFormatting>
  <conditionalFormatting sqref="O273">
    <cfRule type="expression" dxfId="6183" priority="401">
      <formula>"$G$G&gt;400"</formula>
    </cfRule>
  </conditionalFormatting>
  <conditionalFormatting sqref="W274">
    <cfRule type="expression" dxfId="6182" priority="400">
      <formula>AND(AND($W274&lt;TODAY(),$W274&lt;&gt;""),$X274="")</formula>
    </cfRule>
  </conditionalFormatting>
  <conditionalFormatting sqref="O274:O275">
    <cfRule type="expression" dxfId="6181" priority="399">
      <formula>"$G$G&gt;400"</formula>
    </cfRule>
  </conditionalFormatting>
  <conditionalFormatting sqref="O274:O275">
    <cfRule type="expression" dxfId="6180" priority="398">
      <formula>"$G$G&gt;400"</formula>
    </cfRule>
  </conditionalFormatting>
  <conditionalFormatting sqref="W275">
    <cfRule type="expression" dxfId="6179" priority="397">
      <formula>AND(AND($W275&lt;TODAY(),$W275&lt;&gt;""),$X275="")</formula>
    </cfRule>
  </conditionalFormatting>
  <conditionalFormatting sqref="E274">
    <cfRule type="expression" dxfId="6178" priority="396">
      <formula>ISBLANK($E274)</formula>
    </cfRule>
  </conditionalFormatting>
  <conditionalFormatting sqref="W276">
    <cfRule type="expression" dxfId="6177" priority="395">
      <formula>AND(AND($W276&lt;TODAY(),$W276&lt;&gt;""),$X276="")</formula>
    </cfRule>
  </conditionalFormatting>
  <conditionalFormatting sqref="W277">
    <cfRule type="expression" dxfId="6176" priority="394">
      <formula>AND(AND($W277&lt;TODAY(),$W277&lt;&gt;""),$X277="")</formula>
    </cfRule>
  </conditionalFormatting>
  <conditionalFormatting sqref="O278">
    <cfRule type="expression" dxfId="6175" priority="393">
      <formula>"$G$G&gt;400"</formula>
    </cfRule>
  </conditionalFormatting>
  <conditionalFormatting sqref="W278">
    <cfRule type="expression" dxfId="6174" priority="392">
      <formula>AND(AND($W278&lt;TODAY(),$W278&lt;&gt;""),$X278="")</formula>
    </cfRule>
  </conditionalFormatting>
  <conditionalFormatting sqref="E279">
    <cfRule type="expression" dxfId="6173" priority="387">
      <formula>ISBLANK($F279)</formula>
    </cfRule>
  </conditionalFormatting>
  <conditionalFormatting sqref="J279">
    <cfRule type="expression" dxfId="6172" priority="385">
      <formula>ISBLANK($F279)</formula>
    </cfRule>
  </conditionalFormatting>
  <conditionalFormatting sqref="F279">
    <cfRule type="expression" dxfId="6171" priority="382">
      <formula>ISBLANK($F279)</formula>
    </cfRule>
  </conditionalFormatting>
  <conditionalFormatting sqref="J280">
    <cfRule type="expression" dxfId="6170" priority="381">
      <formula>ISBLANK($F280)</formula>
    </cfRule>
  </conditionalFormatting>
  <conditionalFormatting sqref="E280">
    <cfRule type="expression" dxfId="6169" priority="379">
      <formula>ISBLANK($F280)</formula>
    </cfRule>
  </conditionalFormatting>
  <conditionalFormatting sqref="F280">
    <cfRule type="expression" dxfId="6168" priority="378">
      <formula>ISBLANK($F280)</formula>
    </cfRule>
  </conditionalFormatting>
  <conditionalFormatting sqref="J281">
    <cfRule type="expression" dxfId="6167" priority="377">
      <formula>ISBLANK($F281)</formula>
    </cfRule>
  </conditionalFormatting>
  <conditionalFormatting sqref="E281">
    <cfRule type="expression" dxfId="6166" priority="375">
      <formula>ISBLANK($F281)</formula>
    </cfRule>
  </conditionalFormatting>
  <conditionalFormatting sqref="F281">
    <cfRule type="expression" dxfId="6165" priority="374">
      <formula>ISBLANK($F281)</formula>
    </cfRule>
  </conditionalFormatting>
  <conditionalFormatting sqref="W279:W281">
    <cfRule type="expression" dxfId="6164" priority="373">
      <formula>AND(AND($W279&lt;TODAY(),$W279&lt;&gt;""),$X279="")</formula>
    </cfRule>
  </conditionalFormatting>
  <conditionalFormatting sqref="O279:O281">
    <cfRule type="expression" dxfId="6163" priority="372">
      <formula>"$G$G&gt;400"</formula>
    </cfRule>
  </conditionalFormatting>
  <conditionalFormatting sqref="W282">
    <cfRule type="expression" dxfId="6162" priority="366">
      <formula>AND(AND($W282&lt;TODAY(),$W282&lt;&gt;""),$X282="")</formula>
    </cfRule>
  </conditionalFormatting>
  <conditionalFormatting sqref="W283">
    <cfRule type="expression" dxfId="6161" priority="365">
      <formula>AND(AND($W283&lt;TODAY(),$W283&lt;&gt;""),$X283="")</formula>
    </cfRule>
  </conditionalFormatting>
  <conditionalFormatting sqref="W284">
    <cfRule type="expression" dxfId="6160" priority="364">
      <formula>AND(AND($W284&lt;TODAY(),$W284&lt;&gt;""),$X284="")</formula>
    </cfRule>
  </conditionalFormatting>
  <conditionalFormatting sqref="O285:O296">
    <cfRule type="expression" dxfId="6159" priority="363">
      <formula>"$G$G&gt;400"</formula>
    </cfRule>
  </conditionalFormatting>
  <conditionalFormatting sqref="W285:W296">
    <cfRule type="expression" dxfId="6158" priority="362">
      <formula>AND(AND($W285&lt;TODAY(),$W285&lt;&gt;""),$X285="")</formula>
    </cfRule>
  </conditionalFormatting>
  <conditionalFormatting sqref="W297">
    <cfRule type="expression" dxfId="6157" priority="361">
      <formula>AND(AND($W297&lt;TODAY(),$W297&lt;&gt;""),$X297="")</formula>
    </cfRule>
  </conditionalFormatting>
  <conditionalFormatting sqref="O297">
    <cfRule type="expression" dxfId="6156" priority="360">
      <formula>"$G$G&gt;400"</formula>
    </cfRule>
  </conditionalFormatting>
  <conditionalFormatting sqref="O298">
    <cfRule type="expression" dxfId="6155" priority="359">
      <formula>"$G$G&gt;400"</formula>
    </cfRule>
  </conditionalFormatting>
  <conditionalFormatting sqref="W298">
    <cfRule type="expression" dxfId="6154" priority="358">
      <formula>AND(AND($W298&lt;TODAY(),$W298&lt;&gt;""),$X298="")</formula>
    </cfRule>
  </conditionalFormatting>
  <conditionalFormatting sqref="F299">
    <cfRule type="expression" dxfId="6153" priority="357">
      <formula>ISBLANK($F299)</formula>
    </cfRule>
  </conditionalFormatting>
  <conditionalFormatting sqref="W299">
    <cfRule type="expression" dxfId="6152" priority="356">
      <formula>AND(AND($W299&lt;TODAY(),$W299&lt;&gt;""),$X299="")</formula>
    </cfRule>
  </conditionalFormatting>
  <conditionalFormatting sqref="E299">
    <cfRule type="expression" dxfId="6151" priority="353">
      <formula>ISBLANK($E299)</formula>
    </cfRule>
  </conditionalFormatting>
  <conditionalFormatting sqref="W300">
    <cfRule type="expression" dxfId="6150" priority="351">
      <formula>AND(AND($W300&lt;TODAY(),$W300&lt;&gt;""),$X300="")</formula>
    </cfRule>
  </conditionalFormatting>
  <conditionalFormatting sqref="W301">
    <cfRule type="expression" dxfId="6149" priority="350">
      <formula>AND(AND($W301&lt;TODAY(),$W301&lt;&gt;""),$X301="")</formula>
    </cfRule>
  </conditionalFormatting>
  <conditionalFormatting sqref="O301">
    <cfRule type="expression" dxfId="6148" priority="349">
      <formula>"$G$G&gt;400"</formula>
    </cfRule>
  </conditionalFormatting>
  <conditionalFormatting sqref="W302">
    <cfRule type="expression" dxfId="6147" priority="348">
      <formula>AND(AND($W302&lt;TODAY(),$W302&lt;&gt;""),$X302="")</formula>
    </cfRule>
  </conditionalFormatting>
  <conditionalFormatting sqref="W303:W313">
    <cfRule type="expression" dxfId="6146" priority="347">
      <formula>AND(AND($W303&lt;TODAY(),$W303&lt;&gt;""),$X303="")</formula>
    </cfRule>
  </conditionalFormatting>
  <conditionalFormatting sqref="O314">
    <cfRule type="expression" dxfId="6145" priority="338">
      <formula>"$G$G&gt;400"</formula>
    </cfRule>
  </conditionalFormatting>
  <conditionalFormatting sqref="O315">
    <cfRule type="expression" dxfId="6144" priority="336">
      <formula>"$G$G&gt;400"</formula>
    </cfRule>
  </conditionalFormatting>
  <conditionalFormatting sqref="W315">
    <cfRule type="expression" dxfId="6143" priority="335">
      <formula>AND(AND($W315&lt;TODAY(),$W315&lt;&gt;""),$X315="")</formula>
    </cfRule>
  </conditionalFormatting>
  <conditionalFormatting sqref="O299">
    <cfRule type="expression" dxfId="6142" priority="334">
      <formula>"$G$G&gt;400"</formula>
    </cfRule>
  </conditionalFormatting>
  <conditionalFormatting sqref="O299">
    <cfRule type="expression" dxfId="6141" priority="333">
      <formula>"$G$G&gt;400"</formula>
    </cfRule>
  </conditionalFormatting>
  <conditionalFormatting sqref="W316">
    <cfRule type="expression" dxfId="6140" priority="332">
      <formula>AND(AND($W316&lt;TODAY(),$W316&lt;&gt;""),$X316="")</formula>
    </cfRule>
  </conditionalFormatting>
  <conditionalFormatting sqref="O316">
    <cfRule type="expression" dxfId="6139" priority="331">
      <formula>"$G$G&gt;400"</formula>
    </cfRule>
  </conditionalFormatting>
  <conditionalFormatting sqref="W318">
    <cfRule type="expression" dxfId="6138" priority="330">
      <formula>AND(AND($W318&lt;TODAY(),$W318&lt;&gt;""),$X318="")</formula>
    </cfRule>
  </conditionalFormatting>
  <conditionalFormatting sqref="O318">
    <cfRule type="expression" dxfId="6137" priority="329">
      <formula>"$G$G&gt;400"</formula>
    </cfRule>
  </conditionalFormatting>
  <conditionalFormatting sqref="O318">
    <cfRule type="expression" dxfId="6136" priority="328">
      <formula>"$G$G&gt;400"</formula>
    </cfRule>
  </conditionalFormatting>
  <conditionalFormatting sqref="F319">
    <cfRule type="expression" dxfId="6135" priority="327">
      <formula>ISBLANK($F319)</formula>
    </cfRule>
  </conditionalFormatting>
  <conditionalFormatting sqref="E319">
    <cfRule type="expression" dxfId="6134" priority="326">
      <formula>ISBLANK($E319)</formula>
    </cfRule>
  </conditionalFormatting>
  <conditionalFormatting sqref="O319">
    <cfRule type="expression" dxfId="6133" priority="325">
      <formula>"$G$G&gt;400"</formula>
    </cfRule>
  </conditionalFormatting>
  <conditionalFormatting sqref="W319">
    <cfRule type="expression" dxfId="6132" priority="324">
      <formula>AND(AND($W319&lt;TODAY(),$W319&lt;&gt;""),$X319="")</formula>
    </cfRule>
  </conditionalFormatting>
  <conditionalFormatting sqref="W320">
    <cfRule type="expression" dxfId="6131" priority="323">
      <formula>AND(AND($W320&lt;TODAY(),$W320&lt;&gt;""),$X320="")</formula>
    </cfRule>
  </conditionalFormatting>
  <conditionalFormatting sqref="F320">
    <cfRule type="expression" dxfId="6130" priority="322">
      <formula>ISBLANK($F320)</formula>
    </cfRule>
  </conditionalFormatting>
  <conditionalFormatting sqref="E320">
    <cfRule type="expression" dxfId="6129" priority="321">
      <formula>ISBLANK($E320)</formula>
    </cfRule>
  </conditionalFormatting>
  <conditionalFormatting sqref="O320">
    <cfRule type="expression" dxfId="6128" priority="320">
      <formula>"$G$G&gt;400"</formula>
    </cfRule>
  </conditionalFormatting>
  <conditionalFormatting sqref="E321">
    <cfRule type="expression" dxfId="6127" priority="319">
      <formula>ISBLANK($E321)</formula>
    </cfRule>
  </conditionalFormatting>
  <conditionalFormatting sqref="W321">
    <cfRule type="expression" dxfId="6126" priority="318">
      <formula>AND(AND($W321&lt;TODAY(),$W321&lt;&gt;""),$X321="")</formula>
    </cfRule>
  </conditionalFormatting>
  <conditionalFormatting sqref="O321">
    <cfRule type="expression" dxfId="6125" priority="317">
      <formula>"$G$G&gt;400"</formula>
    </cfRule>
  </conditionalFormatting>
  <conditionalFormatting sqref="W322">
    <cfRule type="expression" dxfId="6124" priority="315">
      <formula>AND(AND($W322&lt;TODAY(),$W322&lt;&gt;""),$X322="")</formula>
    </cfRule>
  </conditionalFormatting>
  <conditionalFormatting sqref="W323">
    <cfRule type="expression" dxfId="6123" priority="313">
      <formula>AND(AND($W323&lt;TODAY(),$W323&lt;&gt;""),$X323="")</formula>
    </cfRule>
  </conditionalFormatting>
  <conditionalFormatting sqref="O323">
    <cfRule type="expression" dxfId="6122" priority="312">
      <formula>"$G$G&gt;400"</formula>
    </cfRule>
  </conditionalFormatting>
  <conditionalFormatting sqref="O323">
    <cfRule type="expression" dxfId="6121" priority="311">
      <formula>"$G$G&gt;400"</formula>
    </cfRule>
  </conditionalFormatting>
  <conditionalFormatting sqref="W324">
    <cfRule type="expression" dxfId="6120" priority="310">
      <formula>AND(AND($W324&lt;TODAY(),$W324&lt;&gt;""),$X324="")</formula>
    </cfRule>
  </conditionalFormatting>
  <conditionalFormatting sqref="W325">
    <cfRule type="expression" dxfId="6119" priority="309">
      <formula>AND(AND($W325&lt;TODAY(),$W325&lt;&gt;""),$X325="")</formula>
    </cfRule>
  </conditionalFormatting>
  <conditionalFormatting sqref="O325">
    <cfRule type="expression" dxfId="6118" priority="308">
      <formula>"$G$G&gt;400"</formula>
    </cfRule>
  </conditionalFormatting>
  <conditionalFormatting sqref="O326">
    <cfRule type="expression" dxfId="6117" priority="307">
      <formula>"$G$G&gt;400"</formula>
    </cfRule>
  </conditionalFormatting>
  <conditionalFormatting sqref="W326">
    <cfRule type="expression" dxfId="6116" priority="306">
      <formula>AND(AND($W326&lt;TODAY(),$W326&lt;&gt;""),$X326="")</formula>
    </cfRule>
  </conditionalFormatting>
  <conditionalFormatting sqref="W327">
    <cfRule type="expression" dxfId="6115" priority="305">
      <formula>AND(AND($W327&lt;TODAY(),$W327&lt;&gt;""),$X327="")</formula>
    </cfRule>
  </conditionalFormatting>
  <conditionalFormatting sqref="O327">
    <cfRule type="expression" dxfId="6114" priority="304">
      <formula>"$G$G&gt;400"</formula>
    </cfRule>
  </conditionalFormatting>
  <conditionalFormatting sqref="O328 M328">
    <cfRule type="expression" dxfId="6113" priority="303">
      <formula>"$G$G&gt;400"</formula>
    </cfRule>
  </conditionalFormatting>
  <conditionalFormatting sqref="W317">
    <cfRule type="expression" dxfId="6112" priority="301">
      <formula>AND(AND($W317&lt;TODAY(),$W317&lt;&gt;""),$X317="")</formula>
    </cfRule>
  </conditionalFormatting>
  <conditionalFormatting sqref="W329">
    <cfRule type="expression" dxfId="6111" priority="300">
      <formula>AND(AND($W329&lt;TODAY(),$W329&lt;&gt;""),$X329="")</formula>
    </cfRule>
  </conditionalFormatting>
  <conditionalFormatting sqref="O329">
    <cfRule type="expression" dxfId="6110" priority="299">
      <formula>"$G$G&gt;400"</formula>
    </cfRule>
  </conditionalFormatting>
  <conditionalFormatting sqref="O329">
    <cfRule type="expression" dxfId="6109" priority="298">
      <formula>"$G$G&gt;400"</formula>
    </cfRule>
  </conditionalFormatting>
  <conditionalFormatting sqref="O330">
    <cfRule type="expression" dxfId="6108" priority="297">
      <formula>"$G$G&gt;400"</formula>
    </cfRule>
  </conditionalFormatting>
  <conditionalFormatting sqref="W330">
    <cfRule type="expression" dxfId="6107" priority="296">
      <formula>AND(AND($W330&lt;TODAY(),$W330&lt;&gt;""),$X330="")</formula>
    </cfRule>
  </conditionalFormatting>
  <conditionalFormatting sqref="W331">
    <cfRule type="expression" dxfId="6106" priority="295">
      <formula>AND(AND($W331&lt;TODAY(),$W331&lt;&gt;""),$X331="")</formula>
    </cfRule>
  </conditionalFormatting>
  <conditionalFormatting sqref="O331">
    <cfRule type="expression" dxfId="6105" priority="294">
      <formula>"$G$G&gt;400"</formula>
    </cfRule>
  </conditionalFormatting>
  <conditionalFormatting sqref="W332">
    <cfRule type="expression" dxfId="6104" priority="293">
      <formula>AND(AND($W332&lt;TODAY(),$W332&lt;&gt;""),$X332="")</formula>
    </cfRule>
  </conditionalFormatting>
  <conditionalFormatting sqref="O332">
    <cfRule type="expression" dxfId="6103" priority="292">
      <formula>"$G$G&gt;400"</formula>
    </cfRule>
  </conditionalFormatting>
  <conditionalFormatting sqref="W333">
    <cfRule type="expression" dxfId="6102" priority="291">
      <formula>AND(AND($W333&lt;TODAY(),$W333&lt;&gt;""),$X333="")</formula>
    </cfRule>
  </conditionalFormatting>
  <conditionalFormatting sqref="O333">
    <cfRule type="expression" dxfId="6101" priority="290">
      <formula>"$G$G&gt;400"</formula>
    </cfRule>
  </conditionalFormatting>
  <conditionalFormatting sqref="W334">
    <cfRule type="expression" dxfId="6100" priority="289">
      <formula>AND(AND($W334&lt;TODAY(),$W334&lt;&gt;""),$X334="")</formula>
    </cfRule>
  </conditionalFormatting>
  <conditionalFormatting sqref="O334">
    <cfRule type="expression" dxfId="6099" priority="288">
      <formula>"$G$G&gt;400"</formula>
    </cfRule>
  </conditionalFormatting>
  <conditionalFormatting sqref="O334">
    <cfRule type="expression" dxfId="6098" priority="287">
      <formula>"$G$G&gt;400"</formula>
    </cfRule>
  </conditionalFormatting>
  <conditionalFormatting sqref="O335 M335">
    <cfRule type="expression" dxfId="6097" priority="286">
      <formula>"$G$G&gt;400"</formula>
    </cfRule>
  </conditionalFormatting>
  <conditionalFormatting sqref="W335">
    <cfRule type="expression" dxfId="6096" priority="284">
      <formula>AND(AND($W335&lt;TODAY(),$W335&lt;&gt;""),$X335="")</formula>
    </cfRule>
  </conditionalFormatting>
  <conditionalFormatting sqref="W328">
    <cfRule type="expression" dxfId="6095" priority="283">
      <formula>AND(AND($W328&lt;TODAY(),$W328&lt;&gt;""),$X328="")</formula>
    </cfRule>
  </conditionalFormatting>
  <conditionalFormatting sqref="O336">
    <cfRule type="expression" dxfId="6094" priority="282">
      <formula>"$G$G&gt;400"</formula>
    </cfRule>
  </conditionalFormatting>
  <conditionalFormatting sqref="W336">
    <cfRule type="expression" dxfId="6093" priority="281">
      <formula>AND(AND($W336&lt;TODAY(),$W336&lt;&gt;""),$X336="")</formula>
    </cfRule>
  </conditionalFormatting>
  <conditionalFormatting sqref="F337">
    <cfRule type="expression" dxfId="6092" priority="280">
      <formula>ISBLANK($F337)</formula>
    </cfRule>
  </conditionalFormatting>
  <conditionalFormatting sqref="E337">
    <cfRule type="expression" dxfId="6091" priority="279">
      <formula>ISBLANK($E337)</formula>
    </cfRule>
  </conditionalFormatting>
  <conditionalFormatting sqref="W337">
    <cfRule type="expression" dxfId="6090" priority="277">
      <formula>AND(AND($W337&lt;TODAY(),$W337&lt;&gt;""),$X337="")</formula>
    </cfRule>
  </conditionalFormatting>
  <conditionalFormatting sqref="W338">
    <cfRule type="expression" dxfId="6089" priority="276">
      <formula>AND(AND($W338&lt;TODAY(),$W338&lt;&gt;""),$X338="")</formula>
    </cfRule>
  </conditionalFormatting>
  <conditionalFormatting sqref="F339">
    <cfRule type="expression" dxfId="6088" priority="275">
      <formula>ISBLANK($F339)</formula>
    </cfRule>
  </conditionalFormatting>
  <conditionalFormatting sqref="E339">
    <cfRule type="expression" dxfId="6087" priority="274">
      <formula>ISBLANK($E339)</formula>
    </cfRule>
  </conditionalFormatting>
  <conditionalFormatting sqref="W339">
    <cfRule type="expression" dxfId="6086" priority="272">
      <formula>AND(AND($W339&lt;TODAY(),$W339&lt;&gt;""),$X339="")</formula>
    </cfRule>
  </conditionalFormatting>
  <conditionalFormatting sqref="O340 M340">
    <cfRule type="expression" dxfId="6085" priority="271">
      <formula>"$G$G&gt;400"</formula>
    </cfRule>
  </conditionalFormatting>
  <conditionalFormatting sqref="W340">
    <cfRule type="expression" dxfId="6084" priority="270">
      <formula>AND(AND($W340&lt;TODAY(),$W340&lt;&gt;""),$X340="")</formula>
    </cfRule>
  </conditionalFormatting>
  <conditionalFormatting sqref="F341">
    <cfRule type="expression" dxfId="6083" priority="269">
      <formula>ISBLANK($F341)</formula>
    </cfRule>
  </conditionalFormatting>
  <conditionalFormatting sqref="O341">
    <cfRule type="expression" dxfId="6082" priority="268">
      <formula>"$G$G&gt;400"</formula>
    </cfRule>
  </conditionalFormatting>
  <conditionalFormatting sqref="W341">
    <cfRule type="expression" dxfId="6081" priority="267">
      <formula>AND(AND($W341&lt;TODAY(),$W341&lt;&gt;""),$X341="")</formula>
    </cfRule>
  </conditionalFormatting>
  <conditionalFormatting sqref="M342">
    <cfRule type="expression" dxfId="6080" priority="265">
      <formula>"$G$G&gt;400"</formula>
    </cfRule>
  </conditionalFormatting>
  <conditionalFormatting sqref="O342">
    <cfRule type="expression" dxfId="6079" priority="264">
      <formula>"$G$G&gt;400"</formula>
    </cfRule>
  </conditionalFormatting>
  <conditionalFormatting sqref="W342">
    <cfRule type="expression" dxfId="6078" priority="263">
      <formula>AND(AND($W342&lt;TODAY(),$W342&lt;&gt;""),$X342="")</formula>
    </cfRule>
  </conditionalFormatting>
  <conditionalFormatting sqref="O343">
    <cfRule type="expression" dxfId="6077" priority="262">
      <formula>"$G$G&gt;400"</formula>
    </cfRule>
  </conditionalFormatting>
  <conditionalFormatting sqref="W343">
    <cfRule type="expression" dxfId="6076" priority="261">
      <formula>AND(AND($W343&lt;TODAY(),$W343&lt;&gt;""),$X343="")</formula>
    </cfRule>
  </conditionalFormatting>
  <conditionalFormatting sqref="O337">
    <cfRule type="expression" dxfId="6075" priority="260">
      <formula>"$G$G&gt;400"</formula>
    </cfRule>
  </conditionalFormatting>
  <conditionalFormatting sqref="O322">
    <cfRule type="expression" dxfId="6074" priority="259">
      <formula>"$G$G&gt;400"</formula>
    </cfRule>
  </conditionalFormatting>
  <conditionalFormatting sqref="O300">
    <cfRule type="expression" dxfId="6073" priority="258">
      <formula>"$G$G&gt;400"</formula>
    </cfRule>
  </conditionalFormatting>
  <conditionalFormatting sqref="W344">
    <cfRule type="expression" dxfId="6072" priority="256">
      <formula>AND(AND($W344&lt;TODAY(),$W344&lt;&gt;""),$X344="")</formula>
    </cfRule>
  </conditionalFormatting>
  <conditionalFormatting sqref="O344">
    <cfRule type="expression" dxfId="6071" priority="255">
      <formula>"$G$G&gt;400"</formula>
    </cfRule>
  </conditionalFormatting>
  <conditionalFormatting sqref="O339">
    <cfRule type="expression" dxfId="6070" priority="254">
      <formula>"$G$G&gt;400"</formula>
    </cfRule>
  </conditionalFormatting>
  <conditionalFormatting sqref="W355">
    <cfRule type="expression" dxfId="6069" priority="253">
      <formula>AND(AND($W355&lt;TODAY(),$W355&lt;&gt;""),$X355="")</formula>
    </cfRule>
  </conditionalFormatting>
  <conditionalFormatting sqref="F345">
    <cfRule type="expression" dxfId="6068" priority="252">
      <formula>ISBLANK($F345)</formula>
    </cfRule>
  </conditionalFormatting>
  <conditionalFormatting sqref="W345:W348 W351:W352 W354:W356">
    <cfRule type="expression" dxfId="6067" priority="251">
      <formula>AND(AND($W345&lt;TODAY(),$W345&lt;&gt;""),$X345="")</formula>
    </cfRule>
  </conditionalFormatting>
  <conditionalFormatting sqref="W354">
    <cfRule type="expression" dxfId="6066" priority="250">
      <formula>AND(AND($W354&lt;TODAY(),$W354&lt;&gt;""),$X354="")</formula>
    </cfRule>
  </conditionalFormatting>
  <conditionalFormatting sqref="W356">
    <cfRule type="expression" dxfId="6065" priority="249">
      <formula>AND(AND($W356&lt;TODAY(),$W356&lt;&gt;""),$X356="")</formula>
    </cfRule>
  </conditionalFormatting>
  <conditionalFormatting sqref="W355">
    <cfRule type="expression" dxfId="6064" priority="248">
      <formula>AND(AND($W355&lt;TODAY(),$W355&lt;&gt;""),$X355="")</formula>
    </cfRule>
  </conditionalFormatting>
  <conditionalFormatting sqref="O349">
    <cfRule type="expression" dxfId="6063" priority="247">
      <formula>"$G$G&gt;400"</formula>
    </cfRule>
  </conditionalFormatting>
  <conditionalFormatting sqref="W349">
    <cfRule type="expression" dxfId="6062" priority="246">
      <formula>AND(AND($W349&lt;TODAY(),$W349&lt;&gt;""),$X349="")</formula>
    </cfRule>
  </conditionalFormatting>
  <conditionalFormatting sqref="W350">
    <cfRule type="expression" dxfId="6061" priority="245">
      <formula>AND(AND($W350&lt;TODAY(),$W350&lt;&gt;""),$X350="")</formula>
    </cfRule>
  </conditionalFormatting>
  <conditionalFormatting sqref="O350">
    <cfRule type="expression" dxfId="6060" priority="244">
      <formula>"$G$G&gt;400"</formula>
    </cfRule>
  </conditionalFormatting>
  <conditionalFormatting sqref="W356">
    <cfRule type="expression" dxfId="6059" priority="243">
      <formula>AND(AND($W356&lt;TODAY(),$W356&lt;&gt;""),$X356="")</formula>
    </cfRule>
  </conditionalFormatting>
  <conditionalFormatting sqref="W355">
    <cfRule type="expression" dxfId="6058" priority="242">
      <formula>AND(AND($W355&lt;TODAY(),$W355&lt;&gt;""),$X355="")</formula>
    </cfRule>
  </conditionalFormatting>
  <conditionalFormatting sqref="W356">
    <cfRule type="expression" dxfId="6057" priority="240">
      <formula>AND(AND($W356&lt;TODAY(),$W356&lt;&gt;""),$X356="")</formula>
    </cfRule>
  </conditionalFormatting>
  <conditionalFormatting sqref="W353">
    <cfRule type="expression" dxfId="6056" priority="239">
      <formula>AND(AND($W353&lt;TODAY(),$W353&lt;&gt;""),$X353="")</formula>
    </cfRule>
  </conditionalFormatting>
  <conditionalFormatting sqref="O353">
    <cfRule type="expression" dxfId="6055" priority="238">
      <formula>"$G$G&gt;400"</formula>
    </cfRule>
  </conditionalFormatting>
  <conditionalFormatting sqref="O353">
    <cfRule type="expression" dxfId="6054" priority="237">
      <formula>"$G$G&gt;400"</formula>
    </cfRule>
  </conditionalFormatting>
  <conditionalFormatting sqref="W356">
    <cfRule type="expression" dxfId="6053" priority="236">
      <formula>AND(AND($W356&lt;TODAY(),$W356&lt;&gt;""),$X356="")</formula>
    </cfRule>
  </conditionalFormatting>
  <conditionalFormatting sqref="W355">
    <cfRule type="expression" dxfId="6052" priority="235">
      <formula>AND(AND($W355&lt;TODAY(),$W355&lt;&gt;""),$X355="")</formula>
    </cfRule>
  </conditionalFormatting>
  <conditionalFormatting sqref="W356">
    <cfRule type="expression" dxfId="6051" priority="233">
      <formula>AND(AND($W356&lt;TODAY(),$W356&lt;&gt;""),$X356="")</formula>
    </cfRule>
  </conditionalFormatting>
  <conditionalFormatting sqref="W356">
    <cfRule type="expression" dxfId="6050" priority="231">
      <formula>AND(AND($W356&lt;TODAY(),$W356&lt;&gt;""),$X356="")</formula>
    </cfRule>
  </conditionalFormatting>
  <conditionalFormatting sqref="W356">
    <cfRule type="expression" dxfId="6049" priority="228">
      <formula>AND(AND($W356&lt;TODAY(),$W356&lt;&gt;""),$X356="")</formula>
    </cfRule>
  </conditionalFormatting>
  <conditionalFormatting sqref="W356">
    <cfRule type="expression" dxfId="6048" priority="226">
      <formula>AND(AND($W356&lt;TODAY(),$W356&lt;&gt;""),$X356="")</formula>
    </cfRule>
  </conditionalFormatting>
  <conditionalFormatting sqref="W356">
    <cfRule type="expression" dxfId="6047" priority="224">
      <formula>AND(AND($W356&lt;TODAY(),$W356&lt;&gt;""),$X356="")</formula>
    </cfRule>
  </conditionalFormatting>
  <conditionalFormatting sqref="W356">
    <cfRule type="expression" dxfId="6046" priority="220">
      <formula>AND(AND($W356&lt;TODAY(),$W356&lt;&gt;""),$X356="")</formula>
    </cfRule>
  </conditionalFormatting>
  <conditionalFormatting sqref="W358:W359">
    <cfRule type="expression" dxfId="6045" priority="213">
      <formula>AND(AND($W358&lt;TODAY(),$W358&lt;&gt;""),$X358="")</formula>
    </cfRule>
  </conditionalFormatting>
  <conditionalFormatting sqref="O358:O359">
    <cfRule type="expression" dxfId="6044" priority="212">
      <formula>"$G$G&gt;400"</formula>
    </cfRule>
  </conditionalFormatting>
  <conditionalFormatting sqref="W358:W359">
    <cfRule type="expression" dxfId="6043" priority="211">
      <formula>AND(AND($W358&lt;TODAY(),$W358&lt;&gt;""),$X358="")</formula>
    </cfRule>
  </conditionalFormatting>
  <conditionalFormatting sqref="W358">
    <cfRule type="expression" dxfId="6042" priority="210">
      <formula>AND(AND($W358&lt;TODAY(),$W358&lt;&gt;""),$X358="")</formula>
    </cfRule>
  </conditionalFormatting>
  <conditionalFormatting sqref="W358">
    <cfRule type="expression" dxfId="6041" priority="209">
      <formula>AND(AND($W358&lt;TODAY(),$W358&lt;&gt;""),$X358="")</formula>
    </cfRule>
  </conditionalFormatting>
  <conditionalFormatting sqref="W359">
    <cfRule type="expression" dxfId="6040" priority="208">
      <formula>AND(AND($W359&lt;TODAY(),$W359&lt;&gt;""),$X359="")</formula>
    </cfRule>
  </conditionalFormatting>
  <conditionalFormatting sqref="W358">
    <cfRule type="expression" dxfId="6039" priority="207">
      <formula>AND(AND($W358&lt;TODAY(),$W358&lt;&gt;""),$X358="")</formula>
    </cfRule>
  </conditionalFormatting>
  <conditionalFormatting sqref="W358">
    <cfRule type="expression" dxfId="6038" priority="206">
      <formula>AND(AND($W358&lt;TODAY(),$W358&lt;&gt;""),$X358="")</formula>
    </cfRule>
  </conditionalFormatting>
  <conditionalFormatting sqref="W359">
    <cfRule type="expression" dxfId="6037" priority="205">
      <formula>AND(AND($W359&lt;TODAY(),$W359&lt;&gt;""),$X359="")</formula>
    </cfRule>
  </conditionalFormatting>
  <conditionalFormatting sqref="W358">
    <cfRule type="expression" dxfId="6036" priority="204">
      <formula>AND(AND($W358&lt;TODAY(),$W358&lt;&gt;""),$X358="")</formula>
    </cfRule>
  </conditionalFormatting>
  <conditionalFormatting sqref="W359">
    <cfRule type="expression" dxfId="6035" priority="203">
      <formula>AND(AND($W359&lt;TODAY(),$W359&lt;&gt;""),$X359="")</formula>
    </cfRule>
  </conditionalFormatting>
  <conditionalFormatting sqref="W358">
    <cfRule type="expression" dxfId="6034" priority="202">
      <formula>AND(AND($W358&lt;TODAY(),$W358&lt;&gt;""),$X358="")</formula>
    </cfRule>
  </conditionalFormatting>
  <conditionalFormatting sqref="W359">
    <cfRule type="expression" dxfId="6033" priority="201">
      <formula>AND(AND($W359&lt;TODAY(),$W359&lt;&gt;""),$X359="")</formula>
    </cfRule>
  </conditionalFormatting>
  <conditionalFormatting sqref="W358">
    <cfRule type="expression" dxfId="6032" priority="200">
      <formula>AND(AND($W358&lt;TODAY(),$W358&lt;&gt;""),$X358="")</formula>
    </cfRule>
  </conditionalFormatting>
  <conditionalFormatting sqref="W359">
    <cfRule type="expression" dxfId="6031" priority="199">
      <formula>AND(AND($W359&lt;TODAY(),$W359&lt;&gt;""),$X359="")</formula>
    </cfRule>
  </conditionalFormatting>
  <conditionalFormatting sqref="W358">
    <cfRule type="expression" dxfId="6030" priority="198">
      <formula>AND(AND($W358&lt;TODAY(),$W358&lt;&gt;""),$X358="")</formula>
    </cfRule>
  </conditionalFormatting>
  <conditionalFormatting sqref="W359">
    <cfRule type="expression" dxfId="6029" priority="197">
      <formula>AND(AND($W359&lt;TODAY(),$W359&lt;&gt;""),$X359="")</formula>
    </cfRule>
  </conditionalFormatting>
  <conditionalFormatting sqref="W358">
    <cfRule type="expression" dxfId="6028" priority="196">
      <formula>AND(AND($W358&lt;TODAY(),$W358&lt;&gt;""),$X358="")</formula>
    </cfRule>
  </conditionalFormatting>
  <conditionalFormatting sqref="W359">
    <cfRule type="expression" dxfId="6027" priority="195">
      <formula>AND(AND($W359&lt;TODAY(),$W359&lt;&gt;""),$X359="")</formula>
    </cfRule>
  </conditionalFormatting>
  <conditionalFormatting sqref="W359">
    <cfRule type="expression" dxfId="6026" priority="194">
      <formula>AND(AND($W359&lt;TODAY(),$W359&lt;&gt;""),$X359="")</formula>
    </cfRule>
  </conditionalFormatting>
  <conditionalFormatting sqref="W358">
    <cfRule type="expression" dxfId="6025" priority="193">
      <formula>AND(AND($W358&lt;TODAY(),$W358&lt;&gt;""),$X358="")</formula>
    </cfRule>
  </conditionalFormatting>
  <conditionalFormatting sqref="W359">
    <cfRule type="expression" dxfId="6024" priority="192">
      <formula>AND(AND($W359&lt;TODAY(),$W359&lt;&gt;""),$X359="")</formula>
    </cfRule>
  </conditionalFormatting>
  <conditionalFormatting sqref="W359">
    <cfRule type="expression" dxfId="6023" priority="191">
      <formula>AND(AND($W359&lt;TODAY(),$W359&lt;&gt;""),$X359="")</formula>
    </cfRule>
  </conditionalFormatting>
  <conditionalFormatting sqref="W357">
    <cfRule type="expression" dxfId="6022" priority="190">
      <formula>AND(AND($W357&lt;TODAY(),$W357&lt;&gt;""),$X357="")</formula>
    </cfRule>
  </conditionalFormatting>
  <conditionalFormatting sqref="W357">
    <cfRule type="expression" dxfId="6021" priority="189">
      <formula>AND(AND($W357&lt;TODAY(),$W357&lt;&gt;""),$X357="")</formula>
    </cfRule>
  </conditionalFormatting>
  <conditionalFormatting sqref="W357">
    <cfRule type="expression" dxfId="6020" priority="188">
      <formula>AND(AND($W357&lt;TODAY(),$W357&lt;&gt;""),$X357="")</formula>
    </cfRule>
  </conditionalFormatting>
  <conditionalFormatting sqref="W357">
    <cfRule type="expression" dxfId="6019" priority="187">
      <formula>AND(AND($W357&lt;TODAY(),$W357&lt;&gt;""),$X357="")</formula>
    </cfRule>
  </conditionalFormatting>
  <conditionalFormatting sqref="W357">
    <cfRule type="expression" dxfId="6018" priority="186">
      <formula>AND(AND($W357&lt;TODAY(),$W357&lt;&gt;""),$X357="")</formula>
    </cfRule>
  </conditionalFormatting>
  <conditionalFormatting sqref="W357">
    <cfRule type="expression" dxfId="6017" priority="185">
      <formula>AND(AND($W357&lt;TODAY(),$W357&lt;&gt;""),$X357="")</formula>
    </cfRule>
  </conditionalFormatting>
  <conditionalFormatting sqref="W357">
    <cfRule type="expression" dxfId="6016" priority="184">
      <formula>AND(AND($W357&lt;TODAY(),$W357&lt;&gt;""),$X357="")</formula>
    </cfRule>
  </conditionalFormatting>
  <conditionalFormatting sqref="W357">
    <cfRule type="expression" dxfId="6015" priority="183">
      <formula>AND(AND($W357&lt;TODAY(),$W357&lt;&gt;""),$X357="")</formula>
    </cfRule>
  </conditionalFormatting>
  <conditionalFormatting sqref="W357">
    <cfRule type="expression" dxfId="6014" priority="182">
      <formula>AND(AND($W357&lt;TODAY(),$W357&lt;&gt;""),$X357="")</formula>
    </cfRule>
  </conditionalFormatting>
  <conditionalFormatting sqref="W357">
    <cfRule type="expression" dxfId="6013" priority="181">
      <formula>AND(AND($W357&lt;TODAY(),$W357&lt;&gt;""),$X357="")</formula>
    </cfRule>
  </conditionalFormatting>
  <conditionalFormatting sqref="W357">
    <cfRule type="expression" dxfId="6012" priority="180">
      <formula>AND(AND($W357&lt;TODAY(),$W357&lt;&gt;""),$X357="")</formula>
    </cfRule>
  </conditionalFormatting>
  <conditionalFormatting sqref="W357">
    <cfRule type="expression" dxfId="6011" priority="179">
      <formula>AND(AND($W357&lt;TODAY(),$W357&lt;&gt;""),$X357="")</formula>
    </cfRule>
  </conditionalFormatting>
  <conditionalFormatting sqref="O360">
    <cfRule type="expression" dxfId="6010" priority="178">
      <formula>"$G$G&gt;400"</formula>
    </cfRule>
  </conditionalFormatting>
  <conditionalFormatting sqref="W360">
    <cfRule type="expression" dxfId="6009" priority="177">
      <formula>AND(AND($W360&lt;TODAY(),$W360&lt;&gt;""),$X360="")</formula>
    </cfRule>
  </conditionalFormatting>
  <conditionalFormatting sqref="W361:W362">
    <cfRule type="expression" dxfId="6008" priority="176">
      <formula>AND(AND($W361&lt;TODAY(),$W361&lt;&gt;""),$X361="")</formula>
    </cfRule>
  </conditionalFormatting>
  <conditionalFormatting sqref="W361:W362">
    <cfRule type="expression" dxfId="6007" priority="175">
      <formula>AND(AND($W361&lt;TODAY(),$W361&lt;&gt;""),$X361="")</formula>
    </cfRule>
  </conditionalFormatting>
  <conditionalFormatting sqref="W361:W362">
    <cfRule type="expression" dxfId="6006" priority="174">
      <formula>AND(AND($W361&lt;TODAY(),$W361&lt;&gt;""),$X361="")</formula>
    </cfRule>
  </conditionalFormatting>
  <conditionalFormatting sqref="W361:W362">
    <cfRule type="expression" dxfId="6005" priority="173">
      <formula>AND(AND($W361&lt;TODAY(),$W361&lt;&gt;""),$X361="")</formula>
    </cfRule>
  </conditionalFormatting>
  <conditionalFormatting sqref="W361:W362">
    <cfRule type="expression" dxfId="6004" priority="172">
      <formula>AND(AND($W361&lt;TODAY(),$W361&lt;&gt;""),$X361="")</formula>
    </cfRule>
  </conditionalFormatting>
  <conditionalFormatting sqref="W361:W362">
    <cfRule type="expression" dxfId="6003" priority="171">
      <formula>AND(AND($W361&lt;TODAY(),$W361&lt;&gt;""),$X361="")</formula>
    </cfRule>
  </conditionalFormatting>
  <conditionalFormatting sqref="W361:W362">
    <cfRule type="expression" dxfId="6002" priority="170">
      <formula>AND(AND($W361&lt;TODAY(),$W361&lt;&gt;""),$X361="")</formula>
    </cfRule>
  </conditionalFormatting>
  <conditionalFormatting sqref="W361:W362">
    <cfRule type="expression" dxfId="6001" priority="169">
      <formula>AND(AND($W361&lt;TODAY(),$W361&lt;&gt;""),$X361="")</formula>
    </cfRule>
  </conditionalFormatting>
  <conditionalFormatting sqref="W361:W362">
    <cfRule type="expression" dxfId="6000" priority="168">
      <formula>AND(AND($W361&lt;TODAY(),$W361&lt;&gt;""),$X361="")</formula>
    </cfRule>
  </conditionalFormatting>
  <conditionalFormatting sqref="W361:W362">
    <cfRule type="expression" dxfId="5999" priority="167">
      <formula>AND(AND($W361&lt;TODAY(),$W361&lt;&gt;""),$X361="")</formula>
    </cfRule>
  </conditionalFormatting>
  <conditionalFormatting sqref="W361:W362">
    <cfRule type="expression" dxfId="5998" priority="166">
      <formula>AND(AND($W361&lt;TODAY(),$W361&lt;&gt;""),$X361="")</formula>
    </cfRule>
  </conditionalFormatting>
  <conditionalFormatting sqref="W361:W362">
    <cfRule type="expression" dxfId="5997" priority="165">
      <formula>AND(AND($W361&lt;TODAY(),$W361&lt;&gt;""),$X361="")</formula>
    </cfRule>
  </conditionalFormatting>
  <conditionalFormatting sqref="O363">
    <cfRule type="expression" dxfId="5996" priority="164">
      <formula>"$G$G&gt;400"</formula>
    </cfRule>
  </conditionalFormatting>
  <conditionalFormatting sqref="W363">
    <cfRule type="expression" dxfId="5995" priority="163">
      <formula>AND(AND($W363&lt;TODAY(),$W363&lt;&gt;""),$X363="")</formula>
    </cfRule>
  </conditionalFormatting>
  <conditionalFormatting sqref="W364">
    <cfRule type="expression" dxfId="5994" priority="162">
      <formula>AND(AND($W364&lt;TODAY(),$W364&lt;&gt;""),$X364="")</formula>
    </cfRule>
  </conditionalFormatting>
  <conditionalFormatting sqref="O365">
    <cfRule type="expression" dxfId="5993" priority="161">
      <formula>"$G$G&gt;400"</formula>
    </cfRule>
  </conditionalFormatting>
  <conditionalFormatting sqref="W365">
    <cfRule type="expression" dxfId="5992" priority="160">
      <formula>AND(AND($W365&lt;TODAY(),$W365&lt;&gt;""),$X365="")</formula>
    </cfRule>
  </conditionalFormatting>
  <conditionalFormatting sqref="W366">
    <cfRule type="expression" dxfId="5991" priority="159">
      <formula>AND(AND($W366&lt;TODAY(),$W366&lt;&gt;""),$X366="")</formula>
    </cfRule>
  </conditionalFormatting>
  <conditionalFormatting sqref="O366">
    <cfRule type="expression" dxfId="5990" priority="158">
      <formula>"$G$G&gt;400"</formula>
    </cfRule>
  </conditionalFormatting>
  <conditionalFormatting sqref="W367">
    <cfRule type="expression" dxfId="5989" priority="157">
      <formula>AND(AND($W367&lt;TODAY(),$W367&lt;&gt;""),$X367="")</formula>
    </cfRule>
  </conditionalFormatting>
  <conditionalFormatting sqref="O367">
    <cfRule type="expression" dxfId="5988" priority="156">
      <formula>"$G$G&gt;400"</formula>
    </cfRule>
  </conditionalFormatting>
  <conditionalFormatting sqref="W368">
    <cfRule type="expression" dxfId="5987" priority="155">
      <formula>AND(AND($W368&lt;TODAY(),$W368&lt;&gt;""),$X368="")</formula>
    </cfRule>
  </conditionalFormatting>
  <conditionalFormatting sqref="O368">
    <cfRule type="expression" dxfId="5986" priority="154">
      <formula>"$G$G&gt;400"</formula>
    </cfRule>
  </conditionalFormatting>
  <conditionalFormatting sqref="O368">
    <cfRule type="expression" dxfId="5985" priority="153">
      <formula>"$G$G&gt;400"</formula>
    </cfRule>
  </conditionalFormatting>
  <conditionalFormatting sqref="O369">
    <cfRule type="expression" dxfId="5984" priority="152">
      <formula>"$G$G&gt;400"</formula>
    </cfRule>
  </conditionalFormatting>
  <conditionalFormatting sqref="W369">
    <cfRule type="expression" dxfId="5983" priority="151">
      <formula>AND(AND($W369&lt;TODAY(),$W369&lt;&gt;""),$X369="")</formula>
    </cfRule>
  </conditionalFormatting>
  <conditionalFormatting sqref="O370">
    <cfRule type="expression" dxfId="5982" priority="150">
      <formula>"$G$G&gt;400"</formula>
    </cfRule>
  </conditionalFormatting>
  <conditionalFormatting sqref="W370">
    <cfRule type="expression" dxfId="5981" priority="149">
      <formula>AND(AND($W370&lt;TODAY(),$W370&lt;&gt;""),$X370="")</formula>
    </cfRule>
  </conditionalFormatting>
  <conditionalFormatting sqref="W371">
    <cfRule type="expression" dxfId="5980" priority="148">
      <formula>AND(AND($W371&lt;TODAY(),$W371&lt;&gt;""),$X371="")</formula>
    </cfRule>
  </conditionalFormatting>
  <conditionalFormatting sqref="O371">
    <cfRule type="expression" dxfId="5979" priority="147">
      <formula>"$G$G&gt;400"</formula>
    </cfRule>
  </conditionalFormatting>
  <conditionalFormatting sqref="W372">
    <cfRule type="expression" dxfId="5978" priority="146">
      <formula>AND(AND($W372&lt;TODAY(),$W372&lt;&gt;""),$X372="")</formula>
    </cfRule>
  </conditionalFormatting>
  <conditionalFormatting sqref="O372">
    <cfRule type="expression" dxfId="5977" priority="145">
      <formula>"$G$G&gt;400"</formula>
    </cfRule>
  </conditionalFormatting>
  <conditionalFormatting sqref="O372">
    <cfRule type="expression" dxfId="5976" priority="144">
      <formula>"$G$G&gt;400"</formula>
    </cfRule>
  </conditionalFormatting>
  <conditionalFormatting sqref="O373">
    <cfRule type="expression" dxfId="5975" priority="143">
      <formula>"$G$G&gt;400"</formula>
    </cfRule>
  </conditionalFormatting>
  <conditionalFormatting sqref="W373">
    <cfRule type="expression" dxfId="5974" priority="142">
      <formula>AND(AND($W373&lt;TODAY(),$W373&lt;&gt;""),$X373="")</formula>
    </cfRule>
  </conditionalFormatting>
  <conditionalFormatting sqref="W374">
    <cfRule type="expression" dxfId="5973" priority="141">
      <formula>AND(AND($W374&lt;TODAY(),$W374&lt;&gt;""),$X374="")</formula>
    </cfRule>
  </conditionalFormatting>
  <conditionalFormatting sqref="O374">
    <cfRule type="expression" dxfId="5972" priority="140">
      <formula>"$G$G&gt;400"</formula>
    </cfRule>
  </conditionalFormatting>
  <conditionalFormatting sqref="O375">
    <cfRule type="expression" dxfId="5971" priority="139">
      <formula>"$G$G&gt;400"</formula>
    </cfRule>
  </conditionalFormatting>
  <conditionalFormatting sqref="W375">
    <cfRule type="expression" dxfId="5970" priority="138">
      <formula>AND(AND($W375&lt;TODAY(),$W375&lt;&gt;""),$X375="")</formula>
    </cfRule>
  </conditionalFormatting>
  <conditionalFormatting sqref="W376">
    <cfRule type="expression" dxfId="5969" priority="137">
      <formula>AND(AND($W376&lt;TODAY(),$W376&lt;&gt;""),$X376="")</formula>
    </cfRule>
  </conditionalFormatting>
  <conditionalFormatting sqref="O313">
    <cfRule type="expression" dxfId="5968" priority="136">
      <formula>"$G$G&gt;400"</formula>
    </cfRule>
  </conditionalFormatting>
  <conditionalFormatting sqref="O302:O312">
    <cfRule type="expression" dxfId="5967" priority="135">
      <formula>"$G$G&gt;400"</formula>
    </cfRule>
  </conditionalFormatting>
  <conditionalFormatting sqref="W247">
    <cfRule type="expression" dxfId="5966" priority="134">
      <formula>AND(AND($W247&lt;TODAY(),$W247&lt;&gt;""),$X247="")</formula>
    </cfRule>
  </conditionalFormatting>
  <conditionalFormatting sqref="AC1:AC1048576">
    <cfRule type="iconSet" priority="133">
      <iconSet iconSet="3Symbols2">
        <cfvo type="percent" val="0"/>
        <cfvo type="percent" val="33"/>
        <cfvo type="percent" val="67"/>
      </iconSet>
    </cfRule>
  </conditionalFormatting>
  <conditionalFormatting sqref="W377">
    <cfRule type="expression" dxfId="5965" priority="132">
      <formula>AND(AND($W377&lt;TODAY(),$W377&lt;&gt;""),$X377="")</formula>
    </cfRule>
  </conditionalFormatting>
  <conditionalFormatting sqref="O377">
    <cfRule type="expression" dxfId="5964" priority="131">
      <formula>"$G$G&gt;400"</formula>
    </cfRule>
  </conditionalFormatting>
  <conditionalFormatting sqref="W378">
    <cfRule type="expression" dxfId="5963" priority="130">
      <formula>AND(AND($W378&lt;TODAY(),$W378&lt;&gt;""),$X378="")</formula>
    </cfRule>
  </conditionalFormatting>
  <conditionalFormatting sqref="O378">
    <cfRule type="expression" dxfId="5962" priority="129">
      <formula>"$G$G&gt;400"</formula>
    </cfRule>
  </conditionalFormatting>
  <conditionalFormatting sqref="O378">
    <cfRule type="expression" dxfId="5961" priority="128">
      <formula>"$G$G&gt;400"</formula>
    </cfRule>
  </conditionalFormatting>
  <conditionalFormatting sqref="O379">
    <cfRule type="expression" dxfId="5960" priority="127">
      <formula>"$G$G&gt;400"</formula>
    </cfRule>
  </conditionalFormatting>
  <conditionalFormatting sqref="W379">
    <cfRule type="expression" dxfId="5959" priority="126">
      <formula>AND(AND($W379&lt;TODAY(),$W379&lt;&gt;""),$X379="")</formula>
    </cfRule>
  </conditionalFormatting>
  <conditionalFormatting sqref="F380">
    <cfRule type="expression" dxfId="5958" priority="125">
      <formula>ISBLANK($F380)</formula>
    </cfRule>
  </conditionalFormatting>
  <conditionalFormatting sqref="E380">
    <cfRule type="expression" dxfId="5957" priority="124">
      <formula>ISBLANK($E380)</formula>
    </cfRule>
  </conditionalFormatting>
  <conditionalFormatting sqref="W380">
    <cfRule type="expression" dxfId="5956" priority="123">
      <formula>AND(AND($W380&lt;TODAY(),$W380&lt;&gt;""),$X380="")</formula>
    </cfRule>
  </conditionalFormatting>
  <conditionalFormatting sqref="O380">
    <cfRule type="expression" dxfId="5955" priority="122">
      <formula>"$G$G&gt;400"</formula>
    </cfRule>
  </conditionalFormatting>
  <conditionalFormatting sqref="O380">
    <cfRule type="expression" dxfId="5954" priority="121">
      <formula>"$G$G&gt;400"</formula>
    </cfRule>
  </conditionalFormatting>
  <conditionalFormatting sqref="W381">
    <cfRule type="expression" dxfId="5953" priority="119">
      <formula>AND(AND($W381&lt;TODAY(),$W381&lt;&gt;""),$X381="")</formula>
    </cfRule>
  </conditionalFormatting>
  <conditionalFormatting sqref="W382">
    <cfRule type="expression" dxfId="5952" priority="118">
      <formula>AND(AND($W382&lt;TODAY(),$W382&lt;&gt;""),$X382="")</formula>
    </cfRule>
  </conditionalFormatting>
  <conditionalFormatting sqref="O383">
    <cfRule type="expression" dxfId="5951" priority="117">
      <formula>"$G$G&gt;400"</formula>
    </cfRule>
  </conditionalFormatting>
  <conditionalFormatting sqref="O384">
    <cfRule type="expression" dxfId="5950" priority="116">
      <formula>"$G$G&gt;400"</formula>
    </cfRule>
  </conditionalFormatting>
  <conditionalFormatting sqref="O386">
    <cfRule type="expression" dxfId="5949" priority="115">
      <formula>"$G$G&gt;400"</formula>
    </cfRule>
  </conditionalFormatting>
  <conditionalFormatting sqref="O387">
    <cfRule type="expression" dxfId="5948" priority="114">
      <formula>"$G$G&gt;400"</formula>
    </cfRule>
  </conditionalFormatting>
  <conditionalFormatting sqref="W386">
    <cfRule type="expression" dxfId="5947" priority="111">
      <formula>AND(AND($W386&lt;TODAY(),$W386&lt;&gt;""),$X386="")</formula>
    </cfRule>
  </conditionalFormatting>
  <conditionalFormatting sqref="W387">
    <cfRule type="expression" dxfId="5946" priority="110">
      <formula>AND(AND($W387&lt;TODAY(),$W387&lt;&gt;""),$X387="")</formula>
    </cfRule>
  </conditionalFormatting>
  <conditionalFormatting sqref="W384">
    <cfRule type="expression" dxfId="5945" priority="109">
      <formula>AND(AND($W384&lt;TODAY(),$W384&lt;&gt;""),$X384="")</formula>
    </cfRule>
  </conditionalFormatting>
  <conditionalFormatting sqref="W383">
    <cfRule type="expression" dxfId="5944" priority="108">
      <formula>AND(AND($W383&lt;TODAY(),$W383&lt;&gt;""),$X383="")</formula>
    </cfRule>
  </conditionalFormatting>
  <conditionalFormatting sqref="F391">
    <cfRule type="expression" dxfId="5943" priority="107">
      <formula>ISBLANK($F391)</formula>
    </cfRule>
  </conditionalFormatting>
  <conditionalFormatting sqref="W388">
    <cfRule type="expression" dxfId="5942" priority="106">
      <formula>AND(AND($W388&lt;TODAY(),$W388&lt;&gt;""),$X388="")</formula>
    </cfRule>
  </conditionalFormatting>
  <conditionalFormatting sqref="O388">
    <cfRule type="expression" dxfId="5941" priority="105">
      <formula>"$G$G&gt;400"</formula>
    </cfRule>
  </conditionalFormatting>
  <conditionalFormatting sqref="F389">
    <cfRule type="expression" dxfId="5940" priority="102">
      <formula>ISBLANK($F389)</formula>
    </cfRule>
  </conditionalFormatting>
  <conditionalFormatting sqref="W389">
    <cfRule type="expression" dxfId="5939" priority="101">
      <formula>AND(AND($W389&lt;TODAY(),$W389&lt;&gt;""),$X389="")</formula>
    </cfRule>
  </conditionalFormatting>
  <conditionalFormatting sqref="O389">
    <cfRule type="expression" dxfId="5938" priority="100">
      <formula>"$G$G&gt;400"</formula>
    </cfRule>
  </conditionalFormatting>
  <conditionalFormatting sqref="F390">
    <cfRule type="expression" dxfId="5937" priority="97">
      <formula>ISBLANK($F390)</formula>
    </cfRule>
  </conditionalFormatting>
  <conditionalFormatting sqref="W390">
    <cfRule type="expression" dxfId="5936" priority="96">
      <formula>AND(AND($W390&lt;TODAY(),$W390&lt;&gt;""),$X390="")</formula>
    </cfRule>
  </conditionalFormatting>
  <conditionalFormatting sqref="O390">
    <cfRule type="expression" dxfId="5935" priority="95">
      <formula>"$G$G&gt;400"</formula>
    </cfRule>
  </conditionalFormatting>
  <conditionalFormatting sqref="W391">
    <cfRule type="expression" dxfId="5934" priority="94">
      <formula>AND(AND($W391&lt;TODAY(),$W391&lt;&gt;""),$X391="")</formula>
    </cfRule>
  </conditionalFormatting>
  <conditionalFormatting sqref="O391">
    <cfRule type="expression" dxfId="5933" priority="93">
      <formula>"$G$G&gt;400"</formula>
    </cfRule>
  </conditionalFormatting>
  <conditionalFormatting sqref="W392">
    <cfRule type="expression" dxfId="5932" priority="92">
      <formula>AND(AND($W392&lt;TODAY(),$W392&lt;&gt;""),$X392="")</formula>
    </cfRule>
  </conditionalFormatting>
  <conditionalFormatting sqref="O392">
    <cfRule type="expression" dxfId="5931" priority="91">
      <formula>"$G$G&gt;400"</formula>
    </cfRule>
  </conditionalFormatting>
  <conditionalFormatting sqref="O392">
    <cfRule type="expression" dxfId="5930" priority="90">
      <formula>"$G$G&gt;400"</formula>
    </cfRule>
  </conditionalFormatting>
  <conditionalFormatting sqref="W393">
    <cfRule type="expression" dxfId="5929" priority="89">
      <formula>AND(AND($W393&lt;TODAY(),$W393&lt;&gt;""),$X393="")</formula>
    </cfRule>
  </conditionalFormatting>
  <conditionalFormatting sqref="O394">
    <cfRule type="expression" dxfId="5928" priority="88">
      <formula>"$G$G&gt;400"</formula>
    </cfRule>
  </conditionalFormatting>
  <conditionalFormatting sqref="W394">
    <cfRule type="expression" dxfId="5927" priority="87">
      <formula>AND(AND($W394&lt;TODAY(),$W394&lt;&gt;""),$X394="")</formula>
    </cfRule>
  </conditionalFormatting>
  <conditionalFormatting sqref="F396">
    <cfRule type="expression" dxfId="5926" priority="86">
      <formula>ISBLANK($F396)</formula>
    </cfRule>
  </conditionalFormatting>
  <conditionalFormatting sqref="O396">
    <cfRule type="expression" dxfId="5925" priority="85">
      <formula>"$G$G&gt;400"</formula>
    </cfRule>
  </conditionalFormatting>
  <conditionalFormatting sqref="W396">
    <cfRule type="expression" dxfId="5924" priority="84">
      <formula>AND(AND($W396&lt;TODAY(),$W396&lt;&gt;""),$X396="")</formula>
    </cfRule>
  </conditionalFormatting>
  <conditionalFormatting sqref="O397:O399">
    <cfRule type="expression" dxfId="5923" priority="83">
      <formula>"$G$G&gt;400"</formula>
    </cfRule>
  </conditionalFormatting>
  <conditionalFormatting sqref="W397:W399">
    <cfRule type="expression" dxfId="5922" priority="80">
      <formula>AND(AND($W397&lt;TODAY(),$W397&lt;&gt;""),$X397="")</formula>
    </cfRule>
  </conditionalFormatting>
  <conditionalFormatting sqref="O400">
    <cfRule type="expression" dxfId="5921" priority="79">
      <formula>"$G$G&gt;400"</formula>
    </cfRule>
  </conditionalFormatting>
  <conditionalFormatting sqref="W400">
    <cfRule type="expression" dxfId="5920" priority="78">
      <formula>AND(AND($W400&lt;TODAY(),$W400&lt;&gt;""),$X400="")</formula>
    </cfRule>
  </conditionalFormatting>
  <conditionalFormatting sqref="F401">
    <cfRule type="expression" dxfId="5919" priority="77">
      <formula>ISBLANK($F401)</formula>
    </cfRule>
  </conditionalFormatting>
  <conditionalFormatting sqref="E401">
    <cfRule type="expression" dxfId="5918" priority="76">
      <formula>ISBLANK($E401)</formula>
    </cfRule>
  </conditionalFormatting>
  <conditionalFormatting sqref="O401">
    <cfRule type="expression" dxfId="5917" priority="75">
      <formula>"$G$G&gt;400"</formula>
    </cfRule>
  </conditionalFormatting>
  <conditionalFormatting sqref="W401">
    <cfRule type="expression" dxfId="5916" priority="74">
      <formula>AND(AND($W401&lt;TODAY(),$W401&lt;&gt;""),$X401="")</formula>
    </cfRule>
  </conditionalFormatting>
  <conditionalFormatting sqref="W385">
    <cfRule type="expression" dxfId="5915" priority="73">
      <formula>AND(AND($W385&lt;TODAY(),$W385&lt;&gt;""),$X385="")</formula>
    </cfRule>
  </conditionalFormatting>
  <conditionalFormatting sqref="W395">
    <cfRule type="expression" dxfId="5914" priority="72">
      <formula>AND(AND($W395&lt;TODAY(),$W395&lt;&gt;""),$X395="")</formula>
    </cfRule>
  </conditionalFormatting>
  <conditionalFormatting sqref="O404 O407">
    <cfRule type="expression" dxfId="5913" priority="71">
      <formula>"$G$G&gt;400"</formula>
    </cfRule>
  </conditionalFormatting>
  <conditionalFormatting sqref="W402:W405">
    <cfRule type="expression" dxfId="5912" priority="70">
      <formula>AND(AND($W402&lt;TODAY(),$W402&lt;&gt;""),$X402="")</formula>
    </cfRule>
  </conditionalFormatting>
  <conditionalFormatting sqref="F403">
    <cfRule type="expression" dxfId="5911" priority="69">
      <formula>ISBLANK($F403)</formula>
    </cfRule>
  </conditionalFormatting>
  <conditionalFormatting sqref="E403">
    <cfRule type="expression" dxfId="5910" priority="68">
      <formula>ISBLANK($E403)</formula>
    </cfRule>
  </conditionalFormatting>
  <conditionalFormatting sqref="O403">
    <cfRule type="expression" dxfId="5909" priority="67">
      <formula>"$G$G&gt;400"</formula>
    </cfRule>
  </conditionalFormatting>
  <conditionalFormatting sqref="O405">
    <cfRule type="expression" dxfId="5908" priority="66">
      <formula>"$G$G&gt;400"</formula>
    </cfRule>
  </conditionalFormatting>
  <conditionalFormatting sqref="F402">
    <cfRule type="expression" dxfId="5907" priority="65">
      <formula>ISBLANK($F402)</formula>
    </cfRule>
  </conditionalFormatting>
  <conditionalFormatting sqref="E402">
    <cfRule type="expression" dxfId="5906" priority="64">
      <formula>ISBLANK($E402)</formula>
    </cfRule>
  </conditionalFormatting>
  <conditionalFormatting sqref="F404">
    <cfRule type="expression" dxfId="5905" priority="62">
      <formula>ISBLANK($F404)</formula>
    </cfRule>
  </conditionalFormatting>
  <conditionalFormatting sqref="E404">
    <cfRule type="expression" dxfId="5904" priority="61">
      <formula>ISBLANK($E404)</formula>
    </cfRule>
  </conditionalFormatting>
  <conditionalFormatting sqref="O404">
    <cfRule type="expression" dxfId="5903" priority="60">
      <formula>"$G$G&gt;400"</formula>
    </cfRule>
  </conditionalFormatting>
  <conditionalFormatting sqref="F403">
    <cfRule type="expression" dxfId="5902" priority="59">
      <formula>ISBLANK($F403)</formula>
    </cfRule>
  </conditionalFormatting>
  <conditionalFormatting sqref="E403">
    <cfRule type="expression" dxfId="5901" priority="58">
      <formula>ISBLANK($E403)</formula>
    </cfRule>
  </conditionalFormatting>
  <conditionalFormatting sqref="O403">
    <cfRule type="expression" dxfId="5900" priority="57">
      <formula>"$G$G&gt;400"</formula>
    </cfRule>
  </conditionalFormatting>
  <conditionalFormatting sqref="O405">
    <cfRule type="expression" dxfId="5899" priority="56">
      <formula>"$G$G&gt;400"</formula>
    </cfRule>
  </conditionalFormatting>
  <conditionalFormatting sqref="F404">
    <cfRule type="expression" dxfId="5898" priority="55">
      <formula>ISBLANK($F404)</formula>
    </cfRule>
  </conditionalFormatting>
  <conditionalFormatting sqref="E404">
    <cfRule type="expression" dxfId="5897" priority="54">
      <formula>ISBLANK($E404)</formula>
    </cfRule>
  </conditionalFormatting>
  <conditionalFormatting sqref="O404">
    <cfRule type="expression" dxfId="5896" priority="53">
      <formula>"$G$G&gt;400"</formula>
    </cfRule>
  </conditionalFormatting>
  <conditionalFormatting sqref="O407">
    <cfRule type="expression" dxfId="5895" priority="52">
      <formula>"$G$G&gt;400"</formula>
    </cfRule>
  </conditionalFormatting>
  <conditionalFormatting sqref="F403">
    <cfRule type="expression" dxfId="5894" priority="51">
      <formula>ISBLANK($F403)</formula>
    </cfRule>
  </conditionalFormatting>
  <conditionalFormatting sqref="E403">
    <cfRule type="expression" dxfId="5893" priority="50">
      <formula>ISBLANK($E403)</formula>
    </cfRule>
  </conditionalFormatting>
  <conditionalFormatting sqref="O403">
    <cfRule type="expression" dxfId="5892" priority="49">
      <formula>"$G$G&gt;400"</formula>
    </cfRule>
  </conditionalFormatting>
  <conditionalFormatting sqref="F405">
    <cfRule type="expression" dxfId="5891" priority="48">
      <formula>ISBLANK($F405)</formula>
    </cfRule>
  </conditionalFormatting>
  <conditionalFormatting sqref="E405">
    <cfRule type="expression" dxfId="5890" priority="47">
      <formula>ISBLANK($E405)</formula>
    </cfRule>
  </conditionalFormatting>
  <conditionalFormatting sqref="O405">
    <cfRule type="expression" dxfId="5889" priority="46">
      <formula>"$G$G&gt;400"</formula>
    </cfRule>
  </conditionalFormatting>
  <conditionalFormatting sqref="F404">
    <cfRule type="expression" dxfId="5888" priority="45">
      <formula>ISBLANK($F404)</formula>
    </cfRule>
  </conditionalFormatting>
  <conditionalFormatting sqref="E404">
    <cfRule type="expression" dxfId="5887" priority="44">
      <formula>ISBLANK($E404)</formula>
    </cfRule>
  </conditionalFormatting>
  <conditionalFormatting sqref="O404">
    <cfRule type="expression" dxfId="5886" priority="43">
      <formula>"$G$G&gt;400"</formula>
    </cfRule>
  </conditionalFormatting>
  <conditionalFormatting sqref="O410">
    <cfRule type="expression" dxfId="5885" priority="32">
      <formula>"$G$G&gt;400"</formula>
    </cfRule>
  </conditionalFormatting>
  <conditionalFormatting sqref="O410">
    <cfRule type="expression" dxfId="5884" priority="31">
      <formula>"$G$G&gt;400"</formula>
    </cfRule>
  </conditionalFormatting>
  <conditionalFormatting sqref="O411">
    <cfRule type="expression" dxfId="5883" priority="28">
      <formula>"$G$G&gt;400"</formula>
    </cfRule>
  </conditionalFormatting>
  <conditionalFormatting sqref="O411">
    <cfRule type="expression" dxfId="5882" priority="27">
      <formula>"$G$G&gt;400"</formula>
    </cfRule>
  </conditionalFormatting>
  <conditionalFormatting sqref="O409">
    <cfRule type="expression" dxfId="5881" priority="25">
      <formula>"$G$G&gt;400"</formula>
    </cfRule>
  </conditionalFormatting>
  <conditionalFormatting sqref="O409">
    <cfRule type="expression" dxfId="5880" priority="24">
      <formula>"$G$G&gt;400"</formula>
    </cfRule>
  </conditionalFormatting>
  <conditionalFormatting sqref="O408">
    <cfRule type="expression" dxfId="5879" priority="23">
      <formula>"$G$G&gt;400"</formula>
    </cfRule>
  </conditionalFormatting>
  <conditionalFormatting sqref="O408">
    <cfRule type="expression" dxfId="5878" priority="22">
      <formula>"$G$G&gt;400"</formula>
    </cfRule>
  </conditionalFormatting>
  <conditionalFormatting sqref="O412">
    <cfRule type="expression" dxfId="5877" priority="20">
      <formula>"$G$G&gt;400"</formula>
    </cfRule>
  </conditionalFormatting>
  <conditionalFormatting sqref="O413">
    <cfRule type="expression" dxfId="5876" priority="18">
      <formula>"$G$G&gt;400"</formula>
    </cfRule>
  </conditionalFormatting>
  <conditionalFormatting sqref="O415">
    <cfRule type="expression" dxfId="5875" priority="12">
      <formula>"$G$G&gt;400"</formula>
    </cfRule>
  </conditionalFormatting>
  <conditionalFormatting sqref="O402">
    <cfRule type="expression" dxfId="5874" priority="10">
      <formula>"$G$G&gt;400"</formula>
    </cfRule>
  </conditionalFormatting>
  <conditionalFormatting sqref="W406:W411 W413:W416">
    <cfRule type="expression" dxfId="5873" priority="9">
      <formula>AND(AND($W406&lt;TODAY(),$W406&lt;&gt;""),$X406="")</formula>
    </cfRule>
  </conditionalFormatting>
  <conditionalFormatting sqref="W412">
    <cfRule type="expression" dxfId="5872" priority="8">
      <formula>AND(AND($W412&lt;TODAY(),$W412&lt;&gt;""),$X412="")</formula>
    </cfRule>
  </conditionalFormatting>
  <conditionalFormatting sqref="O414">
    <cfRule type="expression" dxfId="5871" priority="7">
      <formula>"$G$G&gt;400"</formula>
    </cfRule>
  </conditionalFormatting>
  <conditionalFormatting sqref="W418">
    <cfRule type="expression" dxfId="5870" priority="1">
      <formula>AND(AND($W418&lt;TODAY(),$W418&lt;&gt;""),$X418="")</formula>
    </cfRule>
  </conditionalFormatting>
  <conditionalFormatting sqref="W417">
    <cfRule type="expression" dxfId="5869" priority="5">
      <formula>AND(AND($W417&lt;TODAY(),$W417&lt;&gt;""),$X417="")</formula>
    </cfRule>
  </conditionalFormatting>
  <conditionalFormatting sqref="O417">
    <cfRule type="expression" dxfId="5868" priority="4">
      <formula>"$G$G&gt;400"</formula>
    </cfRule>
  </conditionalFormatting>
  <conditionalFormatting sqref="O418">
    <cfRule type="expression" dxfId="5867" priority="3">
      <formula>"$G$G&gt;400"</formula>
    </cfRule>
  </conditionalFormatting>
  <conditionalFormatting sqref="O418">
    <cfRule type="expression" dxfId="5866" priority="2">
      <formula>"$G$G&gt;400"</formula>
    </cfRule>
  </conditionalFormatting>
  <dataValidations count="1">
    <dataValidation type="list" allowBlank="1" showInputMessage="1" showErrorMessage="1" sqref="L2:L1048576" xr:uid="{CF2A502A-42D4-4784-A399-F7F4D8A91DFE}">
      <formula1>Spesenart</formula1>
    </dataValidation>
  </dataValidations>
  <pageMargins left="0.7" right="0.7" top="0.78740157499999996" bottom="0.78740157499999996" header="0.3" footer="0.3"/>
  <pageSetup paperSize="9" scale="10" orientation="landscape"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84" r:id="rId4" name="Schaltfläche 136">
              <controlPr defaultSize="0" print="0" autoFill="0" autoPict="0" macro="[0]!Buchung_Bearbeiten_Ausgaben">
                <anchor moveWithCells="1" sizeWithCells="1">
                  <from>
                    <xdr:col>28</xdr:col>
                    <xdr:colOff>314325</xdr:colOff>
                    <xdr:row>329</xdr:row>
                    <xdr:rowOff>152400</xdr:rowOff>
                  </from>
                  <to>
                    <xdr:col>32</xdr:col>
                    <xdr:colOff>447675</xdr:colOff>
                    <xdr:row>331</xdr:row>
                    <xdr:rowOff>133350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F353D-46D6-40FE-9EB2-8078C1566162}">
  <sheetPr codeName="Tabelle27"/>
  <dimension ref="A1:P22"/>
  <sheetViews>
    <sheetView workbookViewId="0">
      <selection activeCell="G1" sqref="G1"/>
    </sheetView>
  </sheetViews>
  <sheetFormatPr baseColWidth="10" defaultRowHeight="15" x14ac:dyDescent="0.25"/>
  <cols>
    <col min="1" max="2" width="7.85546875" customWidth="1"/>
    <col min="6" max="6" width="11.85546875" bestFit="1" customWidth="1"/>
    <col min="7" max="7" width="12.140625" bestFit="1" customWidth="1"/>
    <col min="8" max="8" width="11.85546875" bestFit="1" customWidth="1"/>
  </cols>
  <sheetData>
    <row r="1" spans="1:16" x14ac:dyDescent="0.25">
      <c r="A1" s="2" t="s">
        <v>1467</v>
      </c>
      <c r="B1" s="2" t="s">
        <v>47</v>
      </c>
      <c r="C1" s="2" t="s">
        <v>1468</v>
      </c>
      <c r="D1" s="2" t="s">
        <v>1469</v>
      </c>
      <c r="E1" s="2" t="s">
        <v>1470</v>
      </c>
      <c r="F1" s="2" t="s">
        <v>1475</v>
      </c>
      <c r="G1" s="2" t="s">
        <v>1474</v>
      </c>
      <c r="H1" s="2" t="s">
        <v>1341</v>
      </c>
      <c r="I1" s="2" t="s">
        <v>1476</v>
      </c>
    </row>
    <row r="2" spans="1:16" x14ac:dyDescent="0.25">
      <c r="A2" s="113">
        <v>1</v>
      </c>
      <c r="B2" s="113">
        <v>2020</v>
      </c>
      <c r="C2" s="1">
        <f t="shared" ref="C2:C13" si="0">DATEVALUE("1."&amp;A2&amp;"."&amp;B2)</f>
        <v>43831</v>
      </c>
      <c r="D2" s="1">
        <f>EOMONTH(C2,0)</f>
        <v>43861</v>
      </c>
      <c r="E2">
        <f>D2-C2+1</f>
        <v>31</v>
      </c>
      <c r="F2" s="48">
        <f>SUMIFS(Journal_ab_2019!$Q:$Q,Journal_ab_2019!$C:$C,"=Einnahmen",Journal_ab_2019!$G:$G,"&gt;="&amp;$C2,Journal_ab_2019!$G:$G,"&lt;="&amp;$D2)</f>
        <v>7927.25</v>
      </c>
      <c r="G2" s="48">
        <f>SUMIFS(Journal_ab_2019!$Q:$Q,Journal_ab_2019!$C:$C,"=Ausgaben",Journal_ab_2019!$G:$G,"&gt;="&amp;$C2,Journal_ab_2019!$G:$G,"&lt;="&amp;$D2)</f>
        <v>3274.6933333333332</v>
      </c>
      <c r="H2" s="70">
        <f>F2-G2</f>
        <v>4652.5566666666673</v>
      </c>
      <c r="J2" t="s">
        <v>1479</v>
      </c>
      <c r="M2" s="1"/>
    </row>
    <row r="3" spans="1:16" x14ac:dyDescent="0.25">
      <c r="A3" s="113">
        <v>2</v>
      </c>
      <c r="B3" s="113">
        <v>2020</v>
      </c>
      <c r="C3" s="1">
        <f t="shared" si="0"/>
        <v>43862</v>
      </c>
      <c r="D3" s="1">
        <f t="shared" ref="D3:D13" si="1">EOMONTH(C3,0)</f>
        <v>43890</v>
      </c>
      <c r="E3">
        <f t="shared" ref="E3:E13" si="2">D3-C3+1</f>
        <v>29</v>
      </c>
      <c r="F3" s="48">
        <f>SUMIFS(Journal_ab_2019!$Q:$Q,Journal_ab_2019!$C:$C,"=Einnahmen",Journal_ab_2019!$G:$G,"&gt;="&amp;$C3,Journal_ab_2019!$G:$G,"&lt;="&amp;$D3)</f>
        <v>945</v>
      </c>
      <c r="G3" s="48">
        <f>SUMIFS(Journal_ab_2019!$Q:$Q,Journal_ab_2019!$C:$C,"=Ausgaben",Journal_ab_2019!$G:$G,"&gt;="&amp;$C3,Journal_ab_2019!$G:$G,"&lt;="&amp;$D3)</f>
        <v>2630.9800000000005</v>
      </c>
      <c r="H3" s="70">
        <f t="shared" ref="H3:H13" si="3">F3-G3</f>
        <v>-1685.9800000000005</v>
      </c>
      <c r="J3" t="s">
        <v>1479</v>
      </c>
    </row>
    <row r="4" spans="1:16" x14ac:dyDescent="0.25">
      <c r="A4" s="113">
        <v>3</v>
      </c>
      <c r="B4" s="113">
        <v>2020</v>
      </c>
      <c r="C4" s="1">
        <f t="shared" si="0"/>
        <v>43891</v>
      </c>
      <c r="D4" s="1">
        <f t="shared" si="1"/>
        <v>43921</v>
      </c>
      <c r="E4">
        <f t="shared" si="2"/>
        <v>31</v>
      </c>
      <c r="F4" s="48">
        <f>SUMIFS(Journal_ab_2019!$Q:$Q,Journal_ab_2019!$C:$C,"=Einnahmen",Journal_ab_2019!$G:$G,"&gt;="&amp;$C4,Journal_ab_2019!$G:$G,"&lt;="&amp;$D4)</f>
        <v>7605</v>
      </c>
      <c r="G4" s="48">
        <f>SUMIFS(Journal_ab_2019!$Q:$Q,Journal_ab_2019!$C:$C,"=Ausgaben",Journal_ab_2019!$G:$G,"&gt;="&amp;$C4,Journal_ab_2019!$G:$G,"&lt;="&amp;$D4)</f>
        <v>1379.5833333333333</v>
      </c>
      <c r="H4" s="70">
        <f t="shared" si="3"/>
        <v>6225.416666666667</v>
      </c>
      <c r="J4" t="s">
        <v>1479</v>
      </c>
    </row>
    <row r="5" spans="1:16" x14ac:dyDescent="0.25">
      <c r="A5" s="113">
        <v>4</v>
      </c>
      <c r="B5" s="113">
        <v>2020</v>
      </c>
      <c r="C5" s="1">
        <f t="shared" si="0"/>
        <v>43922</v>
      </c>
      <c r="D5" s="1">
        <f t="shared" si="1"/>
        <v>43951</v>
      </c>
      <c r="E5">
        <f t="shared" si="2"/>
        <v>30</v>
      </c>
      <c r="F5" s="48">
        <f>SUMIFS(Journal_ab_2019!$Q:$Q,Journal_ab_2019!$C:$C,"=Einnahmen",Journal_ab_2019!$G:$G,"&gt;="&amp;$C5,Journal_ab_2019!$G:$G,"&lt;="&amp;$D5)</f>
        <v>11692.63</v>
      </c>
      <c r="G5" s="48">
        <f>SUMIFS(Journal_ab_2019!$Q:$Q,Journal_ab_2019!$C:$C,"=Ausgaben",Journal_ab_2019!$G:$G,"&gt;="&amp;$C5,Journal_ab_2019!$G:$G,"&lt;="&amp;$D5)</f>
        <v>963.17333333333329</v>
      </c>
      <c r="H5" s="70">
        <f t="shared" si="3"/>
        <v>10729.456666666665</v>
      </c>
      <c r="J5" t="s">
        <v>1479</v>
      </c>
    </row>
    <row r="6" spans="1:16" x14ac:dyDescent="0.25">
      <c r="A6" s="113">
        <v>5</v>
      </c>
      <c r="B6" s="113">
        <v>2020</v>
      </c>
      <c r="C6" s="1">
        <f t="shared" si="0"/>
        <v>43952</v>
      </c>
      <c r="D6" s="1">
        <f t="shared" si="1"/>
        <v>43982</v>
      </c>
      <c r="E6">
        <f t="shared" si="2"/>
        <v>31</v>
      </c>
      <c r="F6" s="48">
        <f>SUMIFS(Journal_ab_2019!$Q:$Q,Journal_ab_2019!$C:$C,"=Einnahmen",Journal_ab_2019!$G:$G,"&gt;="&amp;$C6,Journal_ab_2019!$G:$G,"&lt;="&amp;$D6)</f>
        <v>7251.25</v>
      </c>
      <c r="G6" s="48">
        <f>SUMIFS(Journal_ab_2019!$Q:$Q,Journal_ab_2019!$C:$C,"=Ausgaben",Journal_ab_2019!$G:$G,"&gt;="&amp;$C6,Journal_ab_2019!$G:$G,"&lt;="&amp;$D6)</f>
        <v>2347.913333333333</v>
      </c>
      <c r="H6" s="70">
        <f t="shared" si="3"/>
        <v>4903.336666666667</v>
      </c>
      <c r="J6" t="s">
        <v>1479</v>
      </c>
    </row>
    <row r="7" spans="1:16" x14ac:dyDescent="0.25">
      <c r="A7" s="113">
        <v>6</v>
      </c>
      <c r="B7" s="113">
        <v>2020</v>
      </c>
      <c r="C7" s="1">
        <f t="shared" si="0"/>
        <v>43983</v>
      </c>
      <c r="D7" s="1">
        <f t="shared" si="1"/>
        <v>44012</v>
      </c>
      <c r="E7">
        <f t="shared" si="2"/>
        <v>30</v>
      </c>
      <c r="F7" s="48">
        <f>SUMIFS(Journal_ab_2019!$Q:$Q,Journal_ab_2019!$C:$C,"=Einnahmen",Journal_ab_2019!$G:$G,"&gt;="&amp;$C7,Journal_ab_2019!$G:$G,"&lt;="&amp;$D7)</f>
        <v>9690</v>
      </c>
      <c r="G7" s="48">
        <f>SUMIFS(Journal_ab_2019!$Q:$Q,Journal_ab_2019!$C:$C,"=Ausgaben",Journal_ab_2019!$G:$G,"&gt;="&amp;$C7,Journal_ab_2019!$G:$G,"&lt;="&amp;$D7)</f>
        <v>1556.0800000000002</v>
      </c>
      <c r="H7" s="70">
        <f t="shared" si="3"/>
        <v>8133.92</v>
      </c>
      <c r="J7" t="s">
        <v>1479</v>
      </c>
      <c r="K7" s="70"/>
    </row>
    <row r="8" spans="1:16" x14ac:dyDescent="0.25">
      <c r="A8" s="113">
        <v>7</v>
      </c>
      <c r="B8" s="113">
        <v>2020</v>
      </c>
      <c r="C8" s="1">
        <f t="shared" si="0"/>
        <v>44013</v>
      </c>
      <c r="D8" s="1">
        <f t="shared" si="1"/>
        <v>44043</v>
      </c>
      <c r="E8">
        <f t="shared" si="2"/>
        <v>31</v>
      </c>
      <c r="F8" s="48">
        <f>SUMIFS(Journal_ab_2019!$Q:$Q,Journal_ab_2019!$C:$C,"=Einnahmen",Journal_ab_2019!$G:$G,"&gt;="&amp;$C8,Journal_ab_2019!$G:$G,"&lt;="&amp;$D8)</f>
        <v>7341.15</v>
      </c>
      <c r="G8" s="109">
        <f>SUMIFS(Journal_ab_2019!$Q:$Q,Journal_ab_2019!$C:$C,"=Ausgaben",Journal_ab_2019!$G:$G,"&gt;="&amp;$C8,Journal_ab_2019!$G:$G,"&lt;="&amp;$D8)</f>
        <v>648.64833333333343</v>
      </c>
      <c r="H8" s="70">
        <f t="shared" si="3"/>
        <v>6692.5016666666661</v>
      </c>
      <c r="I8" s="48">
        <v>1337.84</v>
      </c>
      <c r="J8" t="s">
        <v>1478</v>
      </c>
      <c r="P8" s="70"/>
    </row>
    <row r="9" spans="1:16" x14ac:dyDescent="0.25">
      <c r="A9" s="113">
        <v>8</v>
      </c>
      <c r="B9" s="113">
        <v>2020</v>
      </c>
      <c r="C9" s="1">
        <f t="shared" si="0"/>
        <v>44044</v>
      </c>
      <c r="D9" s="1">
        <f t="shared" si="1"/>
        <v>44074</v>
      </c>
      <c r="E9">
        <f t="shared" si="2"/>
        <v>31</v>
      </c>
      <c r="F9" s="48">
        <f>SUMIFS(Journal_ab_2019!$Q:$Q,Journal_ab_2019!$C:$C,"=Einnahmen",Journal_ab_2019!$G:$G,"&gt;="&amp;$C9,Journal_ab_2019!$G:$G,"&lt;="&amp;$D9)</f>
        <v>0</v>
      </c>
      <c r="G9" s="48">
        <f>SUMIFS(Journal_ab_2019!$Q:$Q,Journal_ab_2019!$C:$C,"=Ausgaben",Journal_ab_2019!$G:$G,"&gt;="&amp;$C9,Journal_ab_2019!$G:$G,"&lt;="&amp;$D9)</f>
        <v>2109.9699999999998</v>
      </c>
      <c r="H9" s="70">
        <f t="shared" si="3"/>
        <v>-2109.9699999999998</v>
      </c>
      <c r="I9" s="48">
        <v>1481.18</v>
      </c>
      <c r="J9" t="s">
        <v>1477</v>
      </c>
    </row>
    <row r="10" spans="1:16" x14ac:dyDescent="0.25">
      <c r="A10" s="113">
        <v>9</v>
      </c>
      <c r="B10" s="113">
        <v>2020</v>
      </c>
      <c r="C10" s="1">
        <f t="shared" si="0"/>
        <v>44075</v>
      </c>
      <c r="D10" s="1">
        <f t="shared" si="1"/>
        <v>44104</v>
      </c>
      <c r="E10">
        <f t="shared" si="2"/>
        <v>30</v>
      </c>
      <c r="F10" s="48">
        <f>SUMIFS(Journal_ab_2019!$Q:$Q,Journal_ab_2019!$C:$C,"=Einnahmen",Journal_ab_2019!$G:$G,"&gt;="&amp;$C10,Journal_ab_2019!$G:$G,"&lt;="&amp;$D10)</f>
        <v>24321.48</v>
      </c>
      <c r="G10" s="109">
        <f>SUMIFS(Journal_ab_2019!$Q:$Q,Journal_ab_2019!$C:$C,"=Ausgaben",Journal_ab_2019!$G:$G,"&gt;="&amp;$C10,Journal_ab_2019!$G:$G,"&lt;="&amp;$D10)</f>
        <v>950.29523809523801</v>
      </c>
      <c r="H10" s="70">
        <f t="shared" si="3"/>
        <v>23371.184761904762</v>
      </c>
      <c r="J10" t="s">
        <v>1480</v>
      </c>
      <c r="K10" s="70"/>
    </row>
    <row r="11" spans="1:16" x14ac:dyDescent="0.25">
      <c r="A11" s="113">
        <v>10</v>
      </c>
      <c r="B11" s="113">
        <v>2020</v>
      </c>
      <c r="C11" s="1">
        <f t="shared" si="0"/>
        <v>44105</v>
      </c>
      <c r="D11" s="1">
        <f t="shared" si="1"/>
        <v>44135</v>
      </c>
      <c r="E11">
        <f t="shared" si="2"/>
        <v>31</v>
      </c>
      <c r="F11" s="48">
        <f>SUMIFS(Journal_ab_2019!$Q:$Q,Journal_ab_2019!$C:$C,"=Einnahmen",Journal_ab_2019!$G:$G,"&gt;="&amp;$C11,Journal_ab_2019!$G:$G,"&lt;="&amp;$D11)</f>
        <v>0</v>
      </c>
      <c r="G11" s="48">
        <f>SUMIFS(Journal_ab_2019!$Q:$Q,Journal_ab_2019!$C:$C,"=Ausgaben",Journal_ab_2019!$G:$G,"&gt;="&amp;$C11,Journal_ab_2019!$G:$G,"&lt;="&amp;$D11)</f>
        <v>796.39</v>
      </c>
      <c r="H11" s="70">
        <f t="shared" si="3"/>
        <v>-796.39</v>
      </c>
      <c r="J11" t="s">
        <v>1481</v>
      </c>
    </row>
    <row r="12" spans="1:16" x14ac:dyDescent="0.25">
      <c r="A12" s="113">
        <v>11</v>
      </c>
      <c r="B12" s="113">
        <v>2020</v>
      </c>
      <c r="C12" s="1">
        <f t="shared" si="0"/>
        <v>44136</v>
      </c>
      <c r="D12" s="1">
        <f t="shared" si="1"/>
        <v>44165</v>
      </c>
      <c r="E12">
        <f t="shared" si="2"/>
        <v>30</v>
      </c>
      <c r="F12" s="48">
        <f>SUMIFS(Journal_ab_2019!$Q:$Q,Journal_ab_2019!$C:$C,"=Einnahmen",Journal_ab_2019!$G:$G,"&gt;="&amp;$C12,Journal_ab_2019!$G:$G,"&lt;="&amp;$D12)</f>
        <v>10244.94</v>
      </c>
      <c r="G12" s="48">
        <f>SUMIFS(Journal_ab_2019!$Q:$Q,Journal_ab_2019!$C:$C,"=Ausgaben",Journal_ab_2019!$G:$G,"&gt;="&amp;$C12,Journal_ab_2019!$G:$G,"&lt;="&amp;$D12)</f>
        <v>2953.7200000000003</v>
      </c>
      <c r="H12" s="70">
        <f t="shared" si="3"/>
        <v>7291.22</v>
      </c>
      <c r="J12" t="s">
        <v>1481</v>
      </c>
    </row>
    <row r="13" spans="1:16" x14ac:dyDescent="0.25">
      <c r="A13" s="113">
        <v>12</v>
      </c>
      <c r="B13" s="113">
        <v>2020</v>
      </c>
      <c r="C13" s="1">
        <f t="shared" si="0"/>
        <v>44166</v>
      </c>
      <c r="D13" s="1">
        <f t="shared" si="1"/>
        <v>44196</v>
      </c>
      <c r="E13">
        <f t="shared" si="2"/>
        <v>31</v>
      </c>
      <c r="F13" s="48">
        <f>SUMIFS(Journal_ab_2019!$Q:$Q,Journal_ab_2019!$C:$C,"=Einnahmen",Journal_ab_2019!$G:$G,"&gt;="&amp;$C13,Journal_ab_2019!$G:$G,"&lt;="&amp;$D13)</f>
        <v>7770</v>
      </c>
      <c r="G13" s="48">
        <f>SUMIFS(Journal_ab_2019!$Q:$Q,Journal_ab_2019!$C:$C,"=Ausgaben",Journal_ab_2019!$G:$G,"&gt;="&amp;$C13,Journal_ab_2019!$G:$G,"&lt;="&amp;$D13)</f>
        <v>15846.229999999998</v>
      </c>
      <c r="H13" s="70">
        <f t="shared" si="3"/>
        <v>-8076.2299999999977</v>
      </c>
      <c r="J13" t="s">
        <v>1482</v>
      </c>
    </row>
    <row r="14" spans="1:16" x14ac:dyDescent="0.25">
      <c r="A14" t="s">
        <v>1471</v>
      </c>
      <c r="F14" s="70">
        <f>SUM(F2:F13)</f>
        <v>94788.7</v>
      </c>
      <c r="G14" s="70">
        <f>SUM(G2:G13)</f>
        <v>35457.676904761902</v>
      </c>
      <c r="H14" s="70">
        <f>SUM(H2:H13)</f>
        <v>59331.023095238095</v>
      </c>
    </row>
    <row r="21" spans="10:11" x14ac:dyDescent="0.25">
      <c r="J21" s="1"/>
      <c r="K21" s="1"/>
    </row>
    <row r="22" spans="10:11" x14ac:dyDescent="0.25">
      <c r="J22" s="1"/>
      <c r="K22" s="1"/>
    </row>
  </sheetData>
  <pageMargins left="0.7" right="0.7" top="0.78740157499999996" bottom="0.78740157499999996"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6D981E-EDB9-4A23-BB39-A920BB00F0DC}">
  <sheetPr codeName="Tabelle28"/>
  <dimension ref="A1:O633"/>
  <sheetViews>
    <sheetView topLeftCell="B580" workbookViewId="0">
      <selection activeCell="L607" sqref="L607"/>
    </sheetView>
  </sheetViews>
  <sheetFormatPr baseColWidth="10" defaultRowHeight="15" x14ac:dyDescent="0.25"/>
  <cols>
    <col min="1" max="1" width="10.85546875" hidden="1" customWidth="1"/>
    <col min="2" max="2" width="12.140625" bestFit="1" customWidth="1"/>
    <col min="3" max="3" width="11.85546875" bestFit="1" customWidth="1"/>
    <col min="4" max="4" width="11.42578125" hidden="1" customWidth="1"/>
    <col min="5" max="5" width="13.85546875" style="9" hidden="1" customWidth="1"/>
    <col min="6" max="6" width="13.85546875" customWidth="1"/>
    <col min="7" max="8" width="11.85546875" customWidth="1"/>
    <col min="9" max="9" width="8.140625" customWidth="1"/>
    <col min="10" max="10" width="11.42578125" hidden="1" customWidth="1"/>
    <col min="11" max="11" width="10.85546875" hidden="1" customWidth="1"/>
    <col min="12" max="12" width="13.42578125" customWidth="1"/>
    <col min="13" max="13" width="11.85546875" bestFit="1" customWidth="1"/>
    <col min="14" max="14" width="11.42578125" style="72"/>
  </cols>
  <sheetData>
    <row r="1" spans="1:15" x14ac:dyDescent="0.25">
      <c r="A1" s="2" t="s">
        <v>50</v>
      </c>
      <c r="B1" s="2" t="s">
        <v>1509</v>
      </c>
      <c r="C1" s="2" t="s">
        <v>1508</v>
      </c>
      <c r="E1" s="8" t="s">
        <v>50</v>
      </c>
      <c r="F1" s="2" t="str">
        <f>"Monat " &amp;YEAR(E2)</f>
        <v>Monat 2020</v>
      </c>
      <c r="G1" s="2" t="s">
        <v>1508</v>
      </c>
      <c r="H1" s="124" t="s">
        <v>1510</v>
      </c>
      <c r="I1" s="124"/>
      <c r="J1" s="2"/>
      <c r="K1" s="2" t="s">
        <v>50</v>
      </c>
      <c r="L1" s="2" t="str">
        <f>"Monat " &amp;YEAR(K2)</f>
        <v>Monat 2021</v>
      </c>
      <c r="M1" s="2" t="s">
        <v>1508</v>
      </c>
      <c r="N1" s="124" t="s">
        <v>1510</v>
      </c>
    </row>
    <row r="2" spans="1:15" x14ac:dyDescent="0.25">
      <c r="A2" s="1">
        <v>43466</v>
      </c>
      <c r="B2">
        <f>MONTH(A2)</f>
        <v>1</v>
      </c>
      <c r="C2" s="48">
        <f>SUMIFS(Rechnung_Ausgang!$H:$H,Rechnung_Ausgang!$D:$D, "&gt;="&amp;'2021-Covid-Foerder-EntschHilf'!A2,Rechnung_Ausgang!$D:$D, "&lt;"&amp;'2021-Covid-Foerder-EntschHilf'!A3)</f>
        <v>8683.32</v>
      </c>
      <c r="E2" s="137">
        <v>43831</v>
      </c>
      <c r="F2" s="125">
        <f>MONTH(E2)</f>
        <v>1</v>
      </c>
      <c r="G2" s="78">
        <f>SUMIFS(Rechnung_Ausgang!$H:$H,Rechnung_Ausgang!$D:$D, "&gt;="&amp;'2021-Covid-Foerder-EntschHilf'!E2,Rechnung_Ausgang!$D:$D, "&lt;"&amp;'2021-Covid-Foerder-EntschHilf'!E3)</f>
        <v>7927.25</v>
      </c>
      <c r="H2" s="48"/>
      <c r="I2" s="48"/>
      <c r="K2" t="str">
        <f>DAY(E2)&amp;"."&amp;MONTH(E2)&amp;"."&amp;YEAR(E2)+1</f>
        <v>1.1.2021</v>
      </c>
      <c r="L2">
        <f>MONTH(K2)</f>
        <v>1</v>
      </c>
      <c r="M2" s="48">
        <f>SUMIFS(Rechnung_Ausgang!$H:$H,Rechnung_Ausgang!$D:$D, "&gt;="&amp;'2021-Covid-Foerder-EntschHilf'!K2,Rechnung_Ausgang!$D:$D, "&lt;"&amp;'2021-Covid-Foerder-EntschHilf'!K3)</f>
        <v>10039.61</v>
      </c>
      <c r="N2" s="91">
        <f t="shared" ref="N2:N7" si="0">IF(C2&gt;0,M2/C2-100%,0)</f>
        <v>0.15619486555833495</v>
      </c>
    </row>
    <row r="3" spans="1:15" x14ac:dyDescent="0.25">
      <c r="A3" s="1">
        <v>43497</v>
      </c>
      <c r="B3">
        <f t="shared" ref="B3:B14" si="1">MONTH(A3)</f>
        <v>2</v>
      </c>
      <c r="C3" s="48">
        <f>SUMIFS(Rechnung_Ausgang!$H:$H,Rechnung_Ausgang!$D:$D, "&gt;="&amp;'2021-Covid-Foerder-EntschHilf'!A3,Rechnung_Ausgang!$D:$D, "&lt;"&amp;'2021-Covid-Foerder-EntschHilf'!A4)</f>
        <v>93.75</v>
      </c>
      <c r="E3" s="137">
        <v>43862</v>
      </c>
      <c r="F3" s="125">
        <f t="shared" ref="F3:F14" si="2">MONTH(E3)</f>
        <v>2</v>
      </c>
      <c r="G3" s="78">
        <f>SUMIFS(Rechnung_Ausgang!$H:$H,Rechnung_Ausgang!$D:$D, "&gt;="&amp;'2021-Covid-Foerder-EntschHilf'!E3,Rechnung_Ausgang!$D:$D, "&lt;"&amp;'2021-Covid-Foerder-EntschHilf'!E4)</f>
        <v>945</v>
      </c>
      <c r="H3" s="48"/>
      <c r="I3" s="48"/>
      <c r="K3" t="str">
        <f t="shared" ref="K3:K14" si="3">DAY(E3)&amp;"."&amp;MONTH(E3)&amp;"."&amp;YEAR(E3)+1</f>
        <v>1.2.2021</v>
      </c>
      <c r="L3">
        <f t="shared" ref="L3:L13" si="4">MONTH(K3)</f>
        <v>2</v>
      </c>
      <c r="M3" s="48">
        <f>SUMIFS(Rechnung_Ausgang!$H:$H,Rechnung_Ausgang!$D:$D, "&gt;="&amp;'2021-Covid-Foerder-EntschHilf'!K3,Rechnung_Ausgang!$D:$D, "&lt;"&amp;'2021-Covid-Foerder-EntschHilf'!K4)</f>
        <v>8996.2599999999984</v>
      </c>
      <c r="N3" s="91">
        <f t="shared" si="0"/>
        <v>94.960106666666647</v>
      </c>
    </row>
    <row r="4" spans="1:15" x14ac:dyDescent="0.25">
      <c r="A4" s="1">
        <v>43525</v>
      </c>
      <c r="B4">
        <f t="shared" si="1"/>
        <v>3</v>
      </c>
      <c r="C4" s="48">
        <f>SUMIFS(Rechnung_Ausgang!$H:$H,Rechnung_Ausgang!$D:$D, "&gt;="&amp;'2021-Covid-Foerder-EntschHilf'!A4,Rechnung_Ausgang!$D:$D, "&lt;"&amp;'2021-Covid-Foerder-EntschHilf'!A5)</f>
        <v>0</v>
      </c>
      <c r="E4" s="137">
        <v>43891</v>
      </c>
      <c r="F4" s="125">
        <f t="shared" si="2"/>
        <v>3</v>
      </c>
      <c r="G4" s="78">
        <f>SUMIFS(Rechnung_Ausgang!$H:$H,Rechnung_Ausgang!$D:$D, "&gt;="&amp;'2021-Covid-Foerder-EntschHilf'!E4,Rechnung_Ausgang!$D:$D, "&lt;"&amp;'2021-Covid-Foerder-EntschHilf'!E5)</f>
        <v>7605</v>
      </c>
      <c r="H4" s="48"/>
      <c r="I4" s="48"/>
      <c r="K4" t="str">
        <f t="shared" si="3"/>
        <v>1.3.2021</v>
      </c>
      <c r="L4">
        <f t="shared" si="4"/>
        <v>3</v>
      </c>
      <c r="M4" s="48">
        <f>SUMIFS(Rechnung_Ausgang!$H:$H,Rechnung_Ausgang!$D:$D, "&gt;="&amp;'2021-Covid-Foerder-EntschHilf'!K4,Rechnung_Ausgang!$D:$D, "&lt;"&amp;'2021-Covid-Foerder-EntschHilf'!K5)</f>
        <v>0</v>
      </c>
      <c r="N4" s="91">
        <f t="shared" si="0"/>
        <v>0</v>
      </c>
    </row>
    <row r="5" spans="1:15" x14ac:dyDescent="0.25">
      <c r="A5" s="1">
        <v>43556</v>
      </c>
      <c r="B5">
        <f t="shared" si="1"/>
        <v>4</v>
      </c>
      <c r="C5" s="48">
        <f>SUMIFS(Rechnung_Ausgang!$H:$H,Rechnung_Ausgang!$D:$D, "&gt;="&amp;'2021-Covid-Foerder-EntschHilf'!A5,Rechnung_Ausgang!$D:$D, "&lt;"&amp;'2021-Covid-Foerder-EntschHilf'!A6)</f>
        <v>6451.3099999999995</v>
      </c>
      <c r="E5" s="137">
        <v>43922</v>
      </c>
      <c r="F5" s="125">
        <f t="shared" si="2"/>
        <v>4</v>
      </c>
      <c r="G5" s="78">
        <f>SUMIFS(Rechnung_Ausgang!$H:$H,Rechnung_Ausgang!$D:$D, "&gt;="&amp;'2021-Covid-Foerder-EntschHilf'!E5,Rechnung_Ausgang!$D:$D, "&lt;"&amp;'2021-Covid-Foerder-EntschHilf'!E6)</f>
        <v>11692.63</v>
      </c>
      <c r="H5" s="48"/>
      <c r="I5" s="48"/>
      <c r="K5" t="str">
        <f t="shared" si="3"/>
        <v>1.4.2021</v>
      </c>
      <c r="L5">
        <f t="shared" si="4"/>
        <v>4</v>
      </c>
      <c r="M5" s="48">
        <f>SUMIFS(Rechnung_Ausgang!$H:$H,Rechnung_Ausgang!$D:$D, "&gt;="&amp;'2021-Covid-Foerder-EntschHilf'!K5,Rechnung_Ausgang!$D:$D, "&lt;"&amp;'2021-Covid-Foerder-EntschHilf'!K6)</f>
        <v>11434.93</v>
      </c>
      <c r="N5" s="91">
        <f t="shared" si="0"/>
        <v>0.77249736875146313</v>
      </c>
      <c r="O5" t="s">
        <v>1507</v>
      </c>
    </row>
    <row r="6" spans="1:15" x14ac:dyDescent="0.25">
      <c r="A6" s="1">
        <v>43586</v>
      </c>
      <c r="B6">
        <f t="shared" si="1"/>
        <v>5</v>
      </c>
      <c r="C6" s="48">
        <f>SUMIFS(Rechnung_Ausgang!$H:$H,Rechnung_Ausgang!$D:$D, "&gt;="&amp;'2021-Covid-Foerder-EntschHilf'!A6,Rechnung_Ausgang!$D:$D, "&lt;"&amp;'2021-Covid-Foerder-EntschHilf'!A7)</f>
        <v>3671.15</v>
      </c>
      <c r="E6" s="137">
        <v>43952</v>
      </c>
      <c r="F6" s="125">
        <f t="shared" si="2"/>
        <v>5</v>
      </c>
      <c r="G6" s="78">
        <f>SUMIFS(Rechnung_Ausgang!$H:$H,Rechnung_Ausgang!$D:$D, "&gt;="&amp;'2021-Covid-Foerder-EntschHilf'!E6,Rechnung_Ausgang!$D:$D, "&lt;"&amp;'2021-Covid-Foerder-EntschHilf'!E7)</f>
        <v>7251.25</v>
      </c>
      <c r="H6" s="48"/>
      <c r="I6" s="48"/>
      <c r="K6" t="str">
        <f t="shared" si="3"/>
        <v>1.5.2021</v>
      </c>
      <c r="L6">
        <f t="shared" si="4"/>
        <v>5</v>
      </c>
      <c r="M6">
        <v>0</v>
      </c>
      <c r="N6" s="123">
        <f t="shared" si="0"/>
        <v>-1</v>
      </c>
      <c r="O6" t="s">
        <v>1507</v>
      </c>
    </row>
    <row r="7" spans="1:15" x14ac:dyDescent="0.25">
      <c r="A7" s="1">
        <v>43617</v>
      </c>
      <c r="B7">
        <f t="shared" si="1"/>
        <v>6</v>
      </c>
      <c r="C7" s="48">
        <f>SUMIFS(Rechnung_Ausgang!$H:$H,Rechnung_Ausgang!$D:$D, "&gt;="&amp;'2021-Covid-Foerder-EntschHilf'!A7,Rechnung_Ausgang!$D:$D, "&lt;"&amp;'2021-Covid-Foerder-EntschHilf'!A8)</f>
        <v>1657.5</v>
      </c>
      <c r="E7" s="137">
        <v>43983</v>
      </c>
      <c r="F7" s="125">
        <f t="shared" si="2"/>
        <v>6</v>
      </c>
      <c r="G7" s="78">
        <f>SUMIFS(Rechnung_Ausgang!$H:$H,Rechnung_Ausgang!$D:$D, "&gt;="&amp;'2021-Covid-Foerder-EntschHilf'!E7,Rechnung_Ausgang!$D:$D, "&lt;"&amp;'2021-Covid-Foerder-EntschHilf'!E8)</f>
        <v>9690</v>
      </c>
      <c r="H7" s="48"/>
      <c r="I7" s="48"/>
      <c r="K7" t="str">
        <f t="shared" si="3"/>
        <v>1.6.2021</v>
      </c>
      <c r="L7">
        <f t="shared" si="4"/>
        <v>6</v>
      </c>
      <c r="M7">
        <v>0</v>
      </c>
      <c r="N7" s="123">
        <f t="shared" si="0"/>
        <v>-1</v>
      </c>
      <c r="O7" t="s">
        <v>1507</v>
      </c>
    </row>
    <row r="8" spans="1:15" x14ac:dyDescent="0.25">
      <c r="A8" s="1">
        <v>43647</v>
      </c>
      <c r="B8">
        <f t="shared" si="1"/>
        <v>7</v>
      </c>
      <c r="C8" s="48">
        <f>SUMIFS(Rechnung_Ausgang!$H:$H,Rechnung_Ausgang!$D:$D, "&gt;="&amp;'2021-Covid-Foerder-EntschHilf'!A8,Rechnung_Ausgang!$D:$D, "&lt;"&amp;'2021-Covid-Foerder-EntschHilf'!A9)</f>
        <v>6648.666666666667</v>
      </c>
      <c r="E8" s="137">
        <v>44013</v>
      </c>
      <c r="F8" s="125">
        <f t="shared" si="2"/>
        <v>7</v>
      </c>
      <c r="G8" s="78">
        <f>SUMIFS(Rechnung_Ausgang!$H:$H,Rechnung_Ausgang!$D:$D, "&gt;="&amp;'2021-Covid-Foerder-EntschHilf'!E8,Rechnung_Ausgang!$D:$D, "&lt;"&amp;'2021-Covid-Foerder-EntschHilf'!E9)</f>
        <v>7341.15</v>
      </c>
      <c r="H8" s="48"/>
      <c r="I8" s="48"/>
      <c r="K8" s="125" t="str">
        <f t="shared" si="3"/>
        <v>1.7.2021</v>
      </c>
      <c r="L8" s="125">
        <f t="shared" si="4"/>
        <v>7</v>
      </c>
      <c r="M8" s="78">
        <v>3600</v>
      </c>
      <c r="N8" s="126"/>
    </row>
    <row r="9" spans="1:15" x14ac:dyDescent="0.25">
      <c r="A9" s="1">
        <v>43678</v>
      </c>
      <c r="B9">
        <f t="shared" si="1"/>
        <v>8</v>
      </c>
      <c r="C9" s="48">
        <f>SUMIFS(Rechnung_Ausgang!$H:$H,Rechnung_Ausgang!$D:$D, "&gt;="&amp;'2021-Covid-Foerder-EntschHilf'!A9,Rechnung_Ausgang!$D:$D, "&lt;"&amp;'2021-Covid-Foerder-EntschHilf'!A10)</f>
        <v>2987.9633333333331</v>
      </c>
      <c r="E9" s="137">
        <v>44044</v>
      </c>
      <c r="F9" s="125">
        <f t="shared" si="2"/>
        <v>8</v>
      </c>
      <c r="G9" s="78">
        <f>SUMIFS(Rechnung_Ausgang!$H:$H,Rechnung_Ausgang!$D:$D, "&gt;="&amp;'2021-Covid-Foerder-EntschHilf'!E9,Rechnung_Ausgang!$D:$D, "&lt;"&amp;'2021-Covid-Foerder-EntschHilf'!E10)</f>
        <v>9150</v>
      </c>
      <c r="H9" s="48"/>
      <c r="I9" s="48"/>
      <c r="K9" s="125" t="str">
        <f t="shared" si="3"/>
        <v>1.8.2021</v>
      </c>
      <c r="L9" s="125">
        <f t="shared" si="4"/>
        <v>8</v>
      </c>
      <c r="M9" s="125">
        <v>0</v>
      </c>
      <c r="N9" s="126"/>
    </row>
    <row r="10" spans="1:15" x14ac:dyDescent="0.25">
      <c r="A10" s="1">
        <v>43709</v>
      </c>
      <c r="B10">
        <f t="shared" si="1"/>
        <v>9</v>
      </c>
      <c r="C10" s="48">
        <f>SUMIFS(Rechnung_Ausgang!$H:$H,Rechnung_Ausgang!$D:$D, "&gt;="&amp;'2021-Covid-Foerder-EntschHilf'!A10,Rechnung_Ausgang!$D:$D, "&lt;"&amp;'2021-Covid-Foerder-EntschHilf'!A11)</f>
        <v>4143.3999999999996</v>
      </c>
      <c r="E10" s="9">
        <v>44090</v>
      </c>
      <c r="F10">
        <f t="shared" si="2"/>
        <v>9</v>
      </c>
      <c r="G10" s="48">
        <f>SUMIFS(Rechnung_Ausgang!$H:$H,Rechnung_Ausgang!$D:$D, "&gt;="&amp;'2021-Covid-Foerder-EntschHilf'!E10,Rechnung_Ausgang!$D:$D, "&lt;"&amp;'2021-Covid-Foerder-EntschHilf'!E11)</f>
        <v>15170.98</v>
      </c>
      <c r="H10" s="91">
        <f>IF(C10&gt;0,G10/C10-100%,0)</f>
        <v>2.6614809093980791</v>
      </c>
      <c r="I10" s="91" t="s">
        <v>1511</v>
      </c>
      <c r="K10" s="125" t="str">
        <f t="shared" si="3"/>
        <v>16.9.2021</v>
      </c>
      <c r="L10" s="125">
        <f t="shared" si="4"/>
        <v>9</v>
      </c>
      <c r="M10" s="125">
        <v>0</v>
      </c>
      <c r="N10" s="126"/>
    </row>
    <row r="11" spans="1:15" x14ac:dyDescent="0.25">
      <c r="A11" s="1">
        <v>43739</v>
      </c>
      <c r="B11">
        <f t="shared" si="1"/>
        <v>10</v>
      </c>
      <c r="C11" s="48">
        <f>SUMIFS(Rechnung_Ausgang!$H:$H,Rechnung_Ausgang!$D:$D, "&gt;="&amp;'2021-Covid-Foerder-EntschHilf'!A11,Rechnung_Ausgang!$D:$D, "&lt;"&amp;'2021-Covid-Foerder-EntschHilf'!A12)</f>
        <v>5336.43</v>
      </c>
      <c r="E11" s="9">
        <v>44105</v>
      </c>
      <c r="F11">
        <f t="shared" si="2"/>
        <v>10</v>
      </c>
      <c r="G11" s="48">
        <f>SUMIFS(Rechnung_Ausgang!$H:$H,Rechnung_Ausgang!$D:$D, "&gt;="&amp;'2021-Covid-Foerder-EntschHilf'!E11,Rechnung_Ausgang!$D:$D, "&lt;"&amp;'2021-Covid-Foerder-EntschHilf'!E12)</f>
        <v>0</v>
      </c>
      <c r="H11" s="123">
        <f>IF(C11&gt;0,G11/C11-100%,0)</f>
        <v>-1</v>
      </c>
      <c r="I11" s="91"/>
      <c r="K11" s="125" t="str">
        <f t="shared" si="3"/>
        <v>1.10.2021</v>
      </c>
      <c r="L11" s="125">
        <f t="shared" si="4"/>
        <v>10</v>
      </c>
      <c r="M11" s="78">
        <v>3600</v>
      </c>
      <c r="N11" s="126"/>
    </row>
    <row r="12" spans="1:15" x14ac:dyDescent="0.25">
      <c r="A12" s="1">
        <v>43770</v>
      </c>
      <c r="B12">
        <f t="shared" si="1"/>
        <v>11</v>
      </c>
      <c r="C12" s="48">
        <f>SUMIFS(Rechnung_Ausgang!$H:$H,Rechnung_Ausgang!$D:$D, "&gt;="&amp;'2021-Covid-Foerder-EntschHilf'!A12,Rechnung_Ausgang!$D:$D, "&lt;"&amp;'2021-Covid-Foerder-EntschHilf'!A13)</f>
        <v>4729.08</v>
      </c>
      <c r="E12" s="9">
        <v>44136</v>
      </c>
      <c r="F12">
        <f t="shared" si="2"/>
        <v>11</v>
      </c>
      <c r="G12" s="48">
        <f>SUMIFS(Rechnung_Ausgang!$H:$H,Rechnung_Ausgang!$D:$D, "&gt;="&amp;'2021-Covid-Foerder-EntschHilf'!E12,Rechnung_Ausgang!$D:$D, "&lt;"&amp;'2021-Covid-Foerder-EntschHilf'!E13)</f>
        <v>10244.94</v>
      </c>
      <c r="H12" s="91">
        <f>IF(C12&gt;0,G12/C12-100%,0)</f>
        <v>1.1663706259991375</v>
      </c>
      <c r="I12" s="91"/>
      <c r="K12" s="125" t="str">
        <f t="shared" si="3"/>
        <v>1.11.2021</v>
      </c>
      <c r="L12" s="125">
        <f t="shared" si="4"/>
        <v>11</v>
      </c>
      <c r="M12" s="125">
        <v>0</v>
      </c>
      <c r="N12" s="126"/>
    </row>
    <row r="13" spans="1:15" x14ac:dyDescent="0.25">
      <c r="A13" s="1">
        <v>43800</v>
      </c>
      <c r="B13">
        <f t="shared" si="1"/>
        <v>12</v>
      </c>
      <c r="C13" s="48">
        <f>SUMIFS(Rechnung_Ausgang!$H:$H,Rechnung_Ausgang!$D:$D, "&gt;="&amp;'2021-Covid-Foerder-EntschHilf'!A13,Rechnung_Ausgang!$D:$D, "&lt;"&amp;'2021-Covid-Foerder-EntschHilf'!A14)</f>
        <v>10392.82</v>
      </c>
      <c r="E13" s="9">
        <v>44166</v>
      </c>
      <c r="F13">
        <f t="shared" si="2"/>
        <v>12</v>
      </c>
      <c r="G13" s="48">
        <f>SUMIFS(Rechnung_Ausgang!$H:$H,Rechnung_Ausgang!$D:$D, "&gt;="&amp;'2021-Covid-Foerder-EntschHilf'!E13,Rechnung_Ausgang!$D:$D, "&lt;"&amp;'2021-Covid-Foerder-EntschHilf'!E14)</f>
        <v>7770</v>
      </c>
      <c r="H13" s="91">
        <f>IF(C13&gt;0,G13/C13-100%,0)</f>
        <v>-0.25236846207285413</v>
      </c>
      <c r="I13" s="91"/>
      <c r="K13" s="125" t="str">
        <f t="shared" si="3"/>
        <v>1.12.2021</v>
      </c>
      <c r="L13" s="125">
        <f t="shared" si="4"/>
        <v>12</v>
      </c>
      <c r="M13" s="125">
        <v>0</v>
      </c>
      <c r="N13" s="126"/>
    </row>
    <row r="14" spans="1:15" hidden="1" x14ac:dyDescent="0.25">
      <c r="A14" s="1">
        <v>43831</v>
      </c>
      <c r="B14">
        <f t="shared" si="1"/>
        <v>1</v>
      </c>
      <c r="E14" s="9">
        <v>44197</v>
      </c>
      <c r="F14">
        <f t="shared" si="2"/>
        <v>1</v>
      </c>
      <c r="K14" s="125" t="str">
        <f t="shared" si="3"/>
        <v>1.1.2022</v>
      </c>
      <c r="L14" s="125"/>
      <c r="M14" s="125"/>
      <c r="N14" s="127" t="e">
        <f>(M14/G14-100%)</f>
        <v>#DIV/0!</v>
      </c>
    </row>
    <row r="15" spans="1:15" s="119" customFormat="1" x14ac:dyDescent="0.25">
      <c r="B15" s="122" t="str">
        <f>"Summe "&amp;YEAR(A13)</f>
        <v>Summe 2019</v>
      </c>
      <c r="C15" s="120">
        <f>SUM(C2:C13)</f>
        <v>54795.39</v>
      </c>
      <c r="E15" s="138"/>
      <c r="F15" s="122" t="str">
        <f>"Summe "&amp;YEAR(E13)</f>
        <v>Summe 2020</v>
      </c>
      <c r="G15" s="120">
        <f>SUM(G2:G13)</f>
        <v>94788.2</v>
      </c>
      <c r="H15" s="120"/>
      <c r="I15" s="120"/>
      <c r="L15" s="122" t="str">
        <f>"Summe "&amp;YEAR(K13)</f>
        <v>Summe 2021</v>
      </c>
      <c r="M15" s="120">
        <f>SUM(M2:M13)</f>
        <v>37670.800000000003</v>
      </c>
      <c r="N15" s="121"/>
    </row>
    <row r="484" spans="4:4" x14ac:dyDescent="0.25">
      <c r="D484" t="s">
        <v>703</v>
      </c>
    </row>
    <row r="498" spans="4:4" x14ac:dyDescent="0.25">
      <c r="D498" t="s">
        <v>703</v>
      </c>
    </row>
    <row r="515" spans="4:4" x14ac:dyDescent="0.25">
      <c r="D515" t="s">
        <v>703</v>
      </c>
    </row>
    <row r="528" spans="4:4" x14ac:dyDescent="0.25">
      <c r="D528" t="s">
        <v>703</v>
      </c>
    </row>
    <row r="543" spans="4:4" x14ac:dyDescent="0.25">
      <c r="D543" t="s">
        <v>703</v>
      </c>
    </row>
    <row r="553" spans="4:4" x14ac:dyDescent="0.25">
      <c r="D553" t="s">
        <v>703</v>
      </c>
    </row>
    <row r="568" spans="4:4" x14ac:dyDescent="0.25">
      <c r="D568" t="s">
        <v>703</v>
      </c>
    </row>
    <row r="587" spans="4:4" x14ac:dyDescent="0.25">
      <c r="D587" t="s">
        <v>703</v>
      </c>
    </row>
    <row r="603" spans="4:4" x14ac:dyDescent="0.25">
      <c r="D603" t="s">
        <v>703</v>
      </c>
    </row>
    <row r="613" spans="4:4" x14ac:dyDescent="0.25">
      <c r="D613" t="s">
        <v>703</v>
      </c>
    </row>
    <row r="628" spans="4:14" x14ac:dyDescent="0.25">
      <c r="E628" s="9" t="s">
        <v>1596</v>
      </c>
      <c r="G628" s="1">
        <v>44496</v>
      </c>
      <c r="H628" t="s">
        <v>1595</v>
      </c>
      <c r="L628">
        <v>20.28</v>
      </c>
      <c r="N628" s="72">
        <v>0</v>
      </c>
    </row>
    <row r="629" spans="4:14" x14ac:dyDescent="0.25">
      <c r="E629" s="9">
        <v>4005917408</v>
      </c>
      <c r="G629" s="1">
        <v>44502</v>
      </c>
      <c r="L629">
        <v>10.4</v>
      </c>
    </row>
    <row r="630" spans="4:14" x14ac:dyDescent="0.25">
      <c r="E630" s="9" t="s">
        <v>1598</v>
      </c>
      <c r="G630" s="1">
        <v>44502</v>
      </c>
    </row>
    <row r="631" spans="4:14" x14ac:dyDescent="0.25">
      <c r="D631" t="s">
        <v>703</v>
      </c>
      <c r="E631" s="9">
        <v>6231435320</v>
      </c>
      <c r="G631" s="1">
        <v>44502</v>
      </c>
    </row>
    <row r="632" spans="4:14" x14ac:dyDescent="0.25">
      <c r="E632" s="131" t="s">
        <v>1600</v>
      </c>
      <c r="G632" s="1">
        <v>44502</v>
      </c>
      <c r="L632">
        <v>3.62</v>
      </c>
    </row>
    <row r="633" spans="4:14" x14ac:dyDescent="0.25">
      <c r="E633" s="131" t="s">
        <v>1601</v>
      </c>
      <c r="G633" s="1">
        <v>44503</v>
      </c>
      <c r="L633">
        <v>3.62</v>
      </c>
    </row>
  </sheetData>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21DE6-69AA-4840-A6DB-E045629229AC}">
  <sheetPr codeName="Tabelle31"/>
  <dimension ref="A1:XEK221"/>
  <sheetViews>
    <sheetView zoomScaleNormal="100" workbookViewId="0">
      <selection activeCell="C8" sqref="C8"/>
    </sheetView>
  </sheetViews>
  <sheetFormatPr baseColWidth="10" defaultColWidth="11.42578125" defaultRowHeight="15" x14ac:dyDescent="0.25"/>
  <cols>
    <col min="2" max="2" width="11.42578125" style="1"/>
    <col min="3" max="3" width="35.7109375" customWidth="1"/>
    <col min="6" max="6" width="11.42578125" style="48"/>
    <col min="14" max="14" width="13.85546875" customWidth="1"/>
    <col min="19" max="19" width="11.85546875" bestFit="1" customWidth="1"/>
  </cols>
  <sheetData>
    <row r="1" spans="1:16365" x14ac:dyDescent="0.25">
      <c r="A1" s="63" t="s">
        <v>845</v>
      </c>
      <c r="B1" s="96" t="s">
        <v>846</v>
      </c>
      <c r="C1" s="63" t="s">
        <v>847</v>
      </c>
      <c r="D1" s="63" t="s">
        <v>706</v>
      </c>
      <c r="E1" s="63" t="s">
        <v>682</v>
      </c>
      <c r="F1" s="95" t="s">
        <v>848</v>
      </c>
      <c r="G1" s="63" t="s">
        <v>844</v>
      </c>
      <c r="H1" s="87"/>
      <c r="I1" s="87" t="s">
        <v>47</v>
      </c>
      <c r="J1" s="87" t="s">
        <v>1751</v>
      </c>
      <c r="K1" s="87" t="s">
        <v>1750</v>
      </c>
      <c r="L1" s="87" t="s">
        <v>682</v>
      </c>
      <c r="M1" s="87" t="s">
        <v>1753</v>
      </c>
      <c r="N1" s="87" t="s">
        <v>1754</v>
      </c>
      <c r="O1" s="87" t="s">
        <v>1752</v>
      </c>
      <c r="P1" s="87"/>
      <c r="Q1" s="87"/>
      <c r="R1" s="87" t="s">
        <v>1755</v>
      </c>
      <c r="S1" s="87" t="s">
        <v>1772</v>
      </c>
      <c r="T1" s="87" t="s">
        <v>1756</v>
      </c>
      <c r="U1" s="87" t="s">
        <v>1757</v>
      </c>
      <c r="V1" s="87" t="s">
        <v>1758</v>
      </c>
      <c r="W1" s="87" t="s">
        <v>1759</v>
      </c>
      <c r="X1" s="87" t="s">
        <v>1769</v>
      </c>
      <c r="Y1" s="87" t="s">
        <v>1771</v>
      </c>
      <c r="Z1" s="87" t="s">
        <v>1770</v>
      </c>
      <c r="AA1" s="87" t="s">
        <v>1760</v>
      </c>
      <c r="AB1" s="87" t="s">
        <v>1761</v>
      </c>
      <c r="AC1" s="87" t="s">
        <v>1762</v>
      </c>
      <c r="AD1" s="87" t="s">
        <v>1763</v>
      </c>
      <c r="AE1" s="87" t="s">
        <v>1764</v>
      </c>
      <c r="AF1" s="87" t="s">
        <v>1765</v>
      </c>
      <c r="AG1" s="87" t="s">
        <v>1766</v>
      </c>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87"/>
      <c r="BLW1" s="87"/>
      <c r="BLX1" s="87"/>
      <c r="BLY1" s="87"/>
      <c r="BLZ1" s="87"/>
      <c r="BMA1" s="87"/>
      <c r="BMB1" s="87"/>
      <c r="BMC1" s="87"/>
      <c r="BMD1" s="87"/>
      <c r="BME1" s="87"/>
      <c r="BMF1" s="87"/>
      <c r="BMG1" s="87"/>
      <c r="BMH1" s="87"/>
      <c r="BMI1" s="87"/>
      <c r="BMJ1" s="87"/>
      <c r="BMK1" s="87"/>
      <c r="BML1" s="87"/>
      <c r="BMM1" s="87"/>
      <c r="BMN1" s="87"/>
      <c r="BMO1" s="87"/>
      <c r="BMP1" s="87"/>
      <c r="BMQ1" s="87"/>
      <c r="BMR1" s="87"/>
      <c r="BMS1" s="87"/>
      <c r="BMT1" s="87"/>
      <c r="BMU1" s="87"/>
      <c r="BMV1" s="87"/>
      <c r="BMW1" s="87"/>
      <c r="BMX1" s="87"/>
      <c r="BMY1" s="87"/>
      <c r="BMZ1" s="87"/>
      <c r="BNA1" s="87"/>
      <c r="BNB1" s="87"/>
      <c r="BNC1" s="87"/>
      <c r="BND1" s="87"/>
      <c r="BNE1" s="87"/>
      <c r="BNF1" s="87"/>
      <c r="BNG1" s="87"/>
      <c r="BNH1" s="87"/>
      <c r="BNI1" s="87"/>
      <c r="BNJ1" s="87"/>
      <c r="BNK1" s="87"/>
      <c r="BNL1" s="87"/>
      <c r="BNM1" s="87"/>
      <c r="BNN1" s="87"/>
      <c r="BNO1" s="87"/>
      <c r="BNP1" s="87"/>
      <c r="BNQ1" s="87"/>
      <c r="BNR1" s="87"/>
      <c r="BNS1" s="87"/>
      <c r="BNT1" s="87"/>
      <c r="BNU1" s="87"/>
      <c r="BNV1" s="87"/>
      <c r="BNW1" s="87"/>
      <c r="BNX1" s="87"/>
      <c r="BNY1" s="87"/>
      <c r="BNZ1" s="87"/>
      <c r="BOA1" s="87"/>
      <c r="BOB1" s="87"/>
      <c r="BOC1" s="87"/>
      <c r="BOD1" s="87"/>
      <c r="BOE1" s="87"/>
      <c r="BOF1" s="87"/>
      <c r="BOG1" s="87"/>
      <c r="BOH1" s="87"/>
      <c r="BOI1" s="87"/>
      <c r="BOJ1" s="87"/>
      <c r="BOK1" s="87"/>
      <c r="BOL1" s="87"/>
      <c r="BOM1" s="87"/>
      <c r="BON1" s="87"/>
      <c r="BOO1" s="87"/>
      <c r="BOP1" s="87"/>
      <c r="BOQ1" s="87"/>
      <c r="BOR1" s="87"/>
      <c r="BOS1" s="87"/>
      <c r="BOT1" s="87"/>
      <c r="BOU1" s="87"/>
      <c r="BOV1" s="87"/>
      <c r="BOW1" s="87"/>
      <c r="BOX1" s="87"/>
      <c r="BOY1" s="87"/>
      <c r="BOZ1" s="87"/>
      <c r="BPA1" s="87"/>
      <c r="BPB1" s="87"/>
      <c r="BPC1" s="87"/>
      <c r="BPD1" s="87"/>
      <c r="BPE1" s="87"/>
      <c r="BPF1" s="87"/>
      <c r="BPG1" s="87"/>
      <c r="BPH1" s="87"/>
      <c r="BPI1" s="87"/>
      <c r="BPJ1" s="87"/>
      <c r="BPK1" s="87"/>
      <c r="BPL1" s="87"/>
      <c r="BPM1" s="87"/>
      <c r="BPN1" s="87"/>
      <c r="BPO1" s="87"/>
      <c r="BPP1" s="87"/>
      <c r="BPQ1" s="87"/>
      <c r="BPR1" s="87"/>
      <c r="BPS1" s="87"/>
      <c r="BPT1" s="87"/>
      <c r="BPU1" s="87"/>
      <c r="BPV1" s="87"/>
      <c r="BPW1" s="87"/>
      <c r="BPX1" s="87"/>
      <c r="BPY1" s="87"/>
      <c r="BPZ1" s="87"/>
      <c r="BQA1" s="87"/>
      <c r="BQB1" s="87"/>
      <c r="BQC1" s="87"/>
      <c r="BQD1" s="87"/>
      <c r="BQE1" s="87"/>
      <c r="BQF1" s="87"/>
      <c r="BQG1" s="87"/>
      <c r="BQH1" s="87"/>
      <c r="BQI1" s="87"/>
      <c r="BQJ1" s="87"/>
      <c r="BQK1" s="87"/>
      <c r="BQL1" s="87"/>
      <c r="BQM1" s="87"/>
      <c r="BQN1" s="87"/>
      <c r="BQO1" s="87"/>
      <c r="BQP1" s="87"/>
      <c r="BQQ1" s="87"/>
      <c r="BQR1" s="87"/>
      <c r="BQS1" s="87"/>
      <c r="BQT1" s="87"/>
      <c r="BQU1" s="87"/>
      <c r="BQV1" s="87"/>
      <c r="BQW1" s="87"/>
      <c r="BQX1" s="87"/>
      <c r="BQY1" s="87"/>
      <c r="BQZ1" s="87"/>
      <c r="BRA1" s="87"/>
      <c r="BRB1" s="87"/>
      <c r="BRC1" s="87"/>
      <c r="BRD1" s="87"/>
      <c r="BRE1" s="87"/>
      <c r="BRF1" s="87"/>
      <c r="BRG1" s="87"/>
      <c r="BRH1" s="87"/>
      <c r="BRI1" s="87"/>
      <c r="BRJ1" s="87"/>
      <c r="BRK1" s="87"/>
      <c r="BRL1" s="87"/>
      <c r="BRM1" s="87"/>
      <c r="BRN1" s="87"/>
      <c r="BRO1" s="87"/>
      <c r="BRP1" s="87"/>
      <c r="BRQ1" s="87"/>
      <c r="BRR1" s="87"/>
      <c r="BRS1" s="87"/>
      <c r="BRT1" s="87"/>
      <c r="BRU1" s="87"/>
      <c r="BRV1" s="87"/>
      <c r="BRW1" s="87"/>
      <c r="BRX1" s="87"/>
      <c r="BRY1" s="87"/>
      <c r="BRZ1" s="87"/>
      <c r="BSA1" s="87"/>
      <c r="BSB1" s="87"/>
      <c r="BSC1" s="87"/>
      <c r="BSD1" s="87"/>
      <c r="BSE1" s="87"/>
      <c r="BSF1" s="87"/>
      <c r="BSG1" s="87"/>
      <c r="BSH1" s="87"/>
      <c r="BSI1" s="87"/>
      <c r="BSJ1" s="87"/>
      <c r="BSK1" s="87"/>
      <c r="BSL1" s="87"/>
      <c r="BSM1" s="87"/>
      <c r="BSN1" s="87"/>
      <c r="BSO1" s="87"/>
      <c r="BSP1" s="87"/>
      <c r="BSQ1" s="87"/>
      <c r="BSR1" s="87"/>
      <c r="BSS1" s="87"/>
      <c r="BST1" s="87"/>
      <c r="BSU1" s="87"/>
      <c r="BSV1" s="87"/>
      <c r="BSW1" s="87"/>
      <c r="BSX1" s="87"/>
      <c r="BSY1" s="87"/>
      <c r="BSZ1" s="87"/>
      <c r="BTA1" s="87"/>
      <c r="BTB1" s="87"/>
      <c r="BTC1" s="87"/>
      <c r="BTD1" s="87"/>
      <c r="BTE1" s="87"/>
      <c r="BTF1" s="87"/>
      <c r="BTG1" s="87"/>
      <c r="BTH1" s="87"/>
      <c r="BTI1" s="87"/>
      <c r="BTJ1" s="87"/>
      <c r="BTK1" s="87"/>
      <c r="BTL1" s="87"/>
      <c r="BTM1" s="87"/>
      <c r="BTN1" s="87"/>
      <c r="BTO1" s="87"/>
      <c r="BTP1" s="87"/>
      <c r="BTQ1" s="87"/>
      <c r="BTR1" s="87"/>
      <c r="BTS1" s="87"/>
      <c r="BTT1" s="87"/>
      <c r="BTU1" s="87"/>
      <c r="BTV1" s="87"/>
      <c r="BTW1" s="87"/>
      <c r="BTX1" s="87"/>
      <c r="BTY1" s="87"/>
      <c r="BTZ1" s="87"/>
      <c r="BUA1" s="87"/>
      <c r="BUB1" s="87"/>
      <c r="BUC1" s="87"/>
      <c r="BUD1" s="87"/>
      <c r="BUE1" s="87"/>
      <c r="BUF1" s="87"/>
      <c r="BUG1" s="87"/>
      <c r="BUH1" s="87"/>
      <c r="BUI1" s="87"/>
      <c r="BUJ1" s="87"/>
      <c r="BUK1" s="87"/>
      <c r="BUL1" s="87"/>
      <c r="BUM1" s="87"/>
      <c r="BUN1" s="87"/>
      <c r="BUO1" s="87"/>
      <c r="BUP1" s="87"/>
      <c r="BUQ1" s="87"/>
      <c r="BUR1" s="87"/>
      <c r="BUS1" s="87"/>
      <c r="BUT1" s="87"/>
      <c r="BUU1" s="87"/>
      <c r="BUV1" s="87"/>
      <c r="BUW1" s="87"/>
      <c r="BUX1" s="87"/>
      <c r="BUY1" s="87"/>
      <c r="BUZ1" s="87"/>
      <c r="BVA1" s="87"/>
      <c r="BVB1" s="87"/>
      <c r="BVC1" s="87"/>
      <c r="BVD1" s="87"/>
      <c r="BVE1" s="87"/>
      <c r="BVF1" s="87"/>
      <c r="BVG1" s="87"/>
      <c r="BVH1" s="87"/>
      <c r="BVI1" s="87"/>
      <c r="BVJ1" s="87"/>
      <c r="BVK1" s="87"/>
      <c r="BVL1" s="87"/>
      <c r="BVM1" s="87"/>
      <c r="BVN1" s="87"/>
      <c r="BVO1" s="87"/>
      <c r="BVP1" s="87"/>
      <c r="BVQ1" s="87"/>
      <c r="BVR1" s="87"/>
      <c r="BVS1" s="87"/>
      <c r="BVT1" s="87"/>
      <c r="BVU1" s="87"/>
      <c r="BVV1" s="87"/>
      <c r="BVW1" s="87"/>
      <c r="BVX1" s="87"/>
      <c r="BVY1" s="87"/>
      <c r="BVZ1" s="87"/>
      <c r="BWA1" s="87"/>
      <c r="BWB1" s="87"/>
      <c r="BWC1" s="87"/>
      <c r="BWD1" s="87"/>
      <c r="BWE1" s="87"/>
      <c r="BWF1" s="87"/>
      <c r="BWG1" s="87"/>
      <c r="BWH1" s="87"/>
      <c r="BWI1" s="87"/>
      <c r="BWJ1" s="87"/>
      <c r="BWK1" s="87"/>
      <c r="BWL1" s="87"/>
      <c r="BWM1" s="87"/>
      <c r="BWN1" s="87"/>
      <c r="BWO1" s="87"/>
      <c r="BWP1" s="87"/>
      <c r="BWQ1" s="87"/>
      <c r="BWR1" s="87"/>
      <c r="BWS1" s="87"/>
      <c r="BWT1" s="87"/>
      <c r="BWU1" s="87"/>
      <c r="BWV1" s="87"/>
      <c r="BWW1" s="87"/>
      <c r="BWX1" s="87"/>
      <c r="BWY1" s="87"/>
      <c r="BWZ1" s="87"/>
      <c r="BXA1" s="87"/>
      <c r="BXB1" s="87"/>
      <c r="BXC1" s="87"/>
      <c r="BXD1" s="87"/>
      <c r="BXE1" s="87"/>
      <c r="BXF1" s="87"/>
      <c r="BXG1" s="87"/>
      <c r="BXH1" s="87"/>
      <c r="BXI1" s="87"/>
      <c r="BXJ1" s="87"/>
      <c r="BXK1" s="87"/>
      <c r="BXL1" s="87"/>
      <c r="BXM1" s="87"/>
      <c r="BXN1" s="87"/>
      <c r="BXO1" s="87"/>
      <c r="BXP1" s="87"/>
      <c r="BXQ1" s="87"/>
      <c r="BXR1" s="87"/>
      <c r="BXS1" s="87"/>
      <c r="BXT1" s="87"/>
      <c r="BXU1" s="87"/>
      <c r="BXV1" s="87"/>
      <c r="BXW1" s="87"/>
      <c r="BXX1" s="87"/>
      <c r="BXY1" s="87"/>
      <c r="BXZ1" s="87"/>
      <c r="BYA1" s="87"/>
      <c r="BYB1" s="87"/>
      <c r="BYC1" s="87"/>
      <c r="BYD1" s="87"/>
      <c r="BYE1" s="87"/>
      <c r="BYF1" s="87"/>
      <c r="BYG1" s="87"/>
      <c r="BYH1" s="87"/>
      <c r="BYI1" s="87"/>
      <c r="BYJ1" s="87"/>
      <c r="BYK1" s="87"/>
      <c r="BYL1" s="87"/>
      <c r="BYM1" s="87"/>
      <c r="BYN1" s="87"/>
      <c r="BYO1" s="87"/>
      <c r="BYP1" s="87"/>
      <c r="BYQ1" s="87"/>
      <c r="BYR1" s="87"/>
      <c r="BYS1" s="87"/>
      <c r="BYT1" s="87"/>
      <c r="BYU1" s="87"/>
      <c r="BYV1" s="87"/>
      <c r="BYW1" s="87"/>
      <c r="BYX1" s="87"/>
      <c r="BYY1" s="87"/>
      <c r="BYZ1" s="87"/>
      <c r="BZA1" s="87"/>
      <c r="BZB1" s="87"/>
      <c r="BZC1" s="87"/>
      <c r="BZD1" s="87"/>
      <c r="BZE1" s="87"/>
      <c r="BZF1" s="87"/>
      <c r="BZG1" s="87"/>
      <c r="BZH1" s="87"/>
      <c r="BZI1" s="87"/>
      <c r="BZJ1" s="87"/>
      <c r="BZK1" s="87"/>
      <c r="BZL1" s="87"/>
      <c r="BZM1" s="87"/>
      <c r="BZN1" s="87"/>
      <c r="BZO1" s="87"/>
      <c r="BZP1" s="87"/>
      <c r="BZQ1" s="87"/>
      <c r="BZR1" s="87"/>
      <c r="BZS1" s="87"/>
      <c r="BZT1" s="87"/>
      <c r="BZU1" s="87"/>
      <c r="BZV1" s="87"/>
      <c r="BZW1" s="87"/>
      <c r="BZX1" s="87"/>
      <c r="BZY1" s="87"/>
      <c r="BZZ1" s="87"/>
      <c r="CAA1" s="87"/>
      <c r="CAB1" s="87"/>
      <c r="CAC1" s="87"/>
      <c r="CAD1" s="87"/>
      <c r="CAE1" s="87"/>
      <c r="CAF1" s="87"/>
      <c r="CAG1" s="87"/>
      <c r="CAH1" s="87"/>
      <c r="CAI1" s="87"/>
      <c r="CAJ1" s="87"/>
      <c r="CAK1" s="87"/>
      <c r="CAL1" s="87"/>
      <c r="CAM1" s="87"/>
      <c r="CAN1" s="87"/>
      <c r="CAO1" s="87"/>
      <c r="CAP1" s="87"/>
      <c r="CAQ1" s="87"/>
      <c r="CAR1" s="87"/>
      <c r="CAS1" s="87"/>
      <c r="CAT1" s="87"/>
      <c r="CAU1" s="87"/>
      <c r="CAV1" s="87"/>
      <c r="CAW1" s="87"/>
      <c r="CAX1" s="87"/>
      <c r="CAY1" s="87"/>
      <c r="CAZ1" s="87"/>
      <c r="CBA1" s="87"/>
      <c r="CBB1" s="87"/>
      <c r="CBC1" s="87"/>
      <c r="CBD1" s="87"/>
      <c r="CBE1" s="87"/>
      <c r="CBF1" s="87"/>
      <c r="CBG1" s="87"/>
      <c r="CBH1" s="87"/>
      <c r="CBI1" s="87"/>
      <c r="CBJ1" s="87"/>
      <c r="CBK1" s="87"/>
      <c r="CBL1" s="87"/>
      <c r="CBM1" s="87"/>
      <c r="CBN1" s="87"/>
      <c r="CBO1" s="87"/>
      <c r="CBP1" s="87"/>
      <c r="CBQ1" s="87"/>
      <c r="CBR1" s="87"/>
      <c r="CBS1" s="87"/>
      <c r="CBT1" s="87"/>
      <c r="CBU1" s="87"/>
      <c r="CBV1" s="87"/>
      <c r="CBW1" s="87"/>
      <c r="CBX1" s="87"/>
      <c r="CBY1" s="87"/>
      <c r="CBZ1" s="87"/>
      <c r="CCA1" s="87"/>
      <c r="CCB1" s="87"/>
      <c r="CCC1" s="87"/>
      <c r="CCD1" s="87"/>
      <c r="CCE1" s="87"/>
      <c r="CCF1" s="87"/>
      <c r="CCG1" s="87"/>
      <c r="CCH1" s="87"/>
      <c r="CCI1" s="87"/>
      <c r="CCJ1" s="87"/>
      <c r="CCK1" s="87"/>
      <c r="CCL1" s="87"/>
      <c r="CCM1" s="87"/>
      <c r="CCN1" s="87"/>
      <c r="CCO1" s="87"/>
      <c r="CCP1" s="87"/>
      <c r="CCQ1" s="87"/>
      <c r="CCR1" s="87"/>
      <c r="CCS1" s="87"/>
      <c r="CCT1" s="87"/>
      <c r="CCU1" s="87"/>
      <c r="CCV1" s="87"/>
      <c r="CCW1" s="87"/>
      <c r="CCX1" s="87"/>
      <c r="CCY1" s="87"/>
      <c r="CCZ1" s="87"/>
      <c r="CDA1" s="87"/>
      <c r="CDB1" s="87"/>
      <c r="CDC1" s="87"/>
      <c r="CDD1" s="87"/>
      <c r="CDE1" s="87"/>
      <c r="CDF1" s="87"/>
      <c r="CDG1" s="87"/>
      <c r="CDH1" s="87"/>
      <c r="CDI1" s="87"/>
      <c r="CDJ1" s="87"/>
      <c r="CDK1" s="87"/>
      <c r="CDL1" s="87"/>
      <c r="CDM1" s="87"/>
      <c r="CDN1" s="87"/>
      <c r="CDO1" s="87"/>
      <c r="CDP1" s="87"/>
      <c r="CDQ1" s="87"/>
      <c r="CDR1" s="87"/>
      <c r="CDS1" s="87"/>
      <c r="CDT1" s="87"/>
      <c r="CDU1" s="87"/>
      <c r="CDV1" s="87"/>
      <c r="CDW1" s="87"/>
      <c r="CDX1" s="87"/>
      <c r="CDY1" s="87"/>
      <c r="CDZ1" s="87"/>
      <c r="CEA1" s="87"/>
      <c r="CEB1" s="87"/>
      <c r="CEC1" s="87"/>
      <c r="CED1" s="87"/>
      <c r="CEE1" s="87"/>
      <c r="CEF1" s="87"/>
      <c r="CEG1" s="87"/>
      <c r="CEH1" s="87"/>
      <c r="CEI1" s="87"/>
      <c r="CEJ1" s="87"/>
      <c r="CEK1" s="87"/>
      <c r="CEL1" s="87"/>
      <c r="CEM1" s="87"/>
      <c r="CEN1" s="87"/>
      <c r="CEO1" s="87"/>
      <c r="CEP1" s="87"/>
      <c r="CEQ1" s="87"/>
      <c r="CER1" s="87"/>
      <c r="CES1" s="87"/>
      <c r="CET1" s="87"/>
      <c r="CEU1" s="87"/>
      <c r="CEV1" s="87"/>
      <c r="CEW1" s="87"/>
      <c r="CEX1" s="87"/>
      <c r="CEY1" s="87"/>
      <c r="CEZ1" s="87"/>
      <c r="CFA1" s="87"/>
      <c r="CFB1" s="87"/>
      <c r="CFC1" s="87"/>
      <c r="CFD1" s="87"/>
      <c r="CFE1" s="87"/>
      <c r="CFF1" s="87"/>
      <c r="CFG1" s="87"/>
      <c r="CFH1" s="87"/>
      <c r="CFI1" s="87"/>
      <c r="CFJ1" s="87"/>
      <c r="CFK1" s="87"/>
      <c r="CFL1" s="87"/>
      <c r="CFM1" s="87"/>
      <c r="CFN1" s="87"/>
      <c r="CFO1" s="87"/>
      <c r="CFP1" s="87"/>
      <c r="CFQ1" s="87"/>
      <c r="CFR1" s="87"/>
      <c r="CFS1" s="87"/>
      <c r="CFT1" s="87"/>
      <c r="CFU1" s="87"/>
      <c r="CFV1" s="87"/>
      <c r="CFW1" s="87"/>
      <c r="CFX1" s="87"/>
      <c r="CFY1" s="87"/>
      <c r="CFZ1" s="87"/>
      <c r="CGA1" s="87"/>
      <c r="CGB1" s="87"/>
      <c r="CGC1" s="87"/>
      <c r="CGD1" s="87"/>
      <c r="CGE1" s="87"/>
      <c r="CGF1" s="87"/>
      <c r="CGG1" s="87"/>
      <c r="CGH1" s="87"/>
      <c r="CGI1" s="87"/>
      <c r="CGJ1" s="87"/>
      <c r="CGK1" s="87"/>
      <c r="CGL1" s="87"/>
      <c r="CGM1" s="87"/>
      <c r="CGN1" s="87"/>
      <c r="CGO1" s="87"/>
      <c r="CGP1" s="87"/>
      <c r="CGQ1" s="87"/>
      <c r="CGR1" s="87"/>
      <c r="CGS1" s="87"/>
      <c r="CGT1" s="87"/>
      <c r="CGU1" s="87"/>
      <c r="CGV1" s="87"/>
      <c r="CGW1" s="87"/>
      <c r="CGX1" s="87"/>
      <c r="CGY1" s="87"/>
      <c r="CGZ1" s="87"/>
      <c r="CHA1" s="87"/>
      <c r="CHB1" s="87"/>
      <c r="CHC1" s="87"/>
      <c r="CHD1" s="87"/>
      <c r="CHE1" s="87"/>
      <c r="CHF1" s="87"/>
      <c r="CHG1" s="87"/>
      <c r="CHH1" s="87"/>
      <c r="CHI1" s="87"/>
      <c r="CHJ1" s="87"/>
      <c r="CHK1" s="87"/>
      <c r="CHL1" s="87"/>
      <c r="CHM1" s="87"/>
      <c r="CHN1" s="87"/>
      <c r="CHO1" s="87"/>
      <c r="CHP1" s="87"/>
      <c r="CHQ1" s="87"/>
      <c r="CHR1" s="87"/>
      <c r="CHS1" s="87"/>
      <c r="CHT1" s="87"/>
      <c r="CHU1" s="87"/>
      <c r="CHV1" s="87"/>
      <c r="CHW1" s="87"/>
      <c r="CHX1" s="87"/>
      <c r="CHY1" s="87"/>
      <c r="CHZ1" s="87"/>
      <c r="CIA1" s="87"/>
      <c r="CIB1" s="87"/>
      <c r="CIC1" s="87"/>
      <c r="CID1" s="87"/>
      <c r="CIE1" s="87"/>
      <c r="CIF1" s="87"/>
      <c r="CIG1" s="87"/>
      <c r="CIH1" s="87"/>
      <c r="CII1" s="87"/>
      <c r="CIJ1" s="87"/>
      <c r="CIK1" s="87"/>
      <c r="CIL1" s="87"/>
      <c r="CIM1" s="87"/>
      <c r="CIN1" s="87"/>
      <c r="CIO1" s="87"/>
      <c r="CIP1" s="87"/>
      <c r="CIQ1" s="87"/>
      <c r="CIR1" s="87"/>
      <c r="CIS1" s="87"/>
      <c r="CIT1" s="87"/>
      <c r="CIU1" s="87"/>
      <c r="CIV1" s="87"/>
      <c r="CIW1" s="87"/>
      <c r="CIX1" s="87"/>
      <c r="CIY1" s="87"/>
      <c r="CIZ1" s="87"/>
      <c r="CJA1" s="87"/>
      <c r="CJB1" s="87"/>
      <c r="CJC1" s="87"/>
      <c r="CJD1" s="87"/>
      <c r="CJE1" s="87"/>
      <c r="CJF1" s="87"/>
      <c r="CJG1" s="87"/>
      <c r="CJH1" s="87"/>
      <c r="CJI1" s="87"/>
      <c r="CJJ1" s="87"/>
      <c r="CJK1" s="87"/>
      <c r="CJL1" s="87"/>
      <c r="CJM1" s="87"/>
      <c r="CJN1" s="87"/>
      <c r="CJO1" s="87"/>
      <c r="CJP1" s="87"/>
      <c r="CJQ1" s="87"/>
      <c r="CJR1" s="87"/>
      <c r="CJS1" s="87"/>
      <c r="CJT1" s="87"/>
      <c r="CJU1" s="87"/>
      <c r="CJV1" s="87"/>
      <c r="CJW1" s="87"/>
      <c r="CJX1" s="87"/>
      <c r="CJY1" s="87"/>
      <c r="CJZ1" s="87"/>
      <c r="CKA1" s="87"/>
      <c r="CKB1" s="87"/>
      <c r="CKC1" s="87"/>
      <c r="CKD1" s="87"/>
      <c r="CKE1" s="87"/>
      <c r="CKF1" s="87"/>
      <c r="CKG1" s="87"/>
      <c r="CKH1" s="87"/>
      <c r="CKI1" s="87"/>
      <c r="CKJ1" s="87"/>
      <c r="CKK1" s="87"/>
      <c r="CKL1" s="87"/>
      <c r="CKM1" s="87"/>
      <c r="CKN1" s="87"/>
      <c r="CKO1" s="87"/>
      <c r="CKP1" s="87"/>
      <c r="CKQ1" s="87"/>
      <c r="CKR1" s="87"/>
      <c r="CKS1" s="87"/>
      <c r="CKT1" s="87"/>
      <c r="CKU1" s="87"/>
      <c r="CKV1" s="87"/>
      <c r="CKW1" s="87"/>
      <c r="CKX1" s="87"/>
      <c r="CKY1" s="87"/>
      <c r="CKZ1" s="87"/>
      <c r="CLA1" s="87"/>
      <c r="CLB1" s="87"/>
      <c r="CLC1" s="87"/>
      <c r="CLD1" s="87"/>
      <c r="CLE1" s="87"/>
      <c r="CLF1" s="87"/>
      <c r="CLG1" s="87"/>
      <c r="CLH1" s="87"/>
      <c r="CLI1" s="87"/>
      <c r="CLJ1" s="87"/>
      <c r="CLK1" s="87"/>
      <c r="CLL1" s="87"/>
      <c r="CLM1" s="87"/>
      <c r="CLN1" s="87"/>
      <c r="CLO1" s="87"/>
      <c r="CLP1" s="87"/>
      <c r="CLQ1" s="87"/>
      <c r="CLR1" s="87"/>
      <c r="CLS1" s="87"/>
      <c r="CLT1" s="87"/>
      <c r="CLU1" s="87"/>
      <c r="CLV1" s="87"/>
      <c r="CLW1" s="87"/>
      <c r="CLX1" s="87"/>
      <c r="CLY1" s="87"/>
      <c r="CLZ1" s="87"/>
      <c r="CMA1" s="87"/>
      <c r="CMB1" s="87"/>
      <c r="CMC1" s="87"/>
      <c r="CMD1" s="87"/>
      <c r="CME1" s="87"/>
      <c r="CMF1" s="87"/>
      <c r="CMG1" s="87"/>
      <c r="CMH1" s="87"/>
      <c r="CMI1" s="87"/>
      <c r="CMJ1" s="87"/>
      <c r="CMK1" s="87"/>
      <c r="CML1" s="87"/>
      <c r="CMM1" s="87"/>
      <c r="CMN1" s="87"/>
      <c r="CMO1" s="87"/>
      <c r="CMP1" s="87"/>
      <c r="CMQ1" s="87"/>
      <c r="CMR1" s="87"/>
      <c r="CMS1" s="87"/>
      <c r="CMT1" s="87"/>
      <c r="CMU1" s="87"/>
      <c r="CMV1" s="87"/>
      <c r="CMW1" s="87"/>
      <c r="CMX1" s="87"/>
      <c r="CMY1" s="87"/>
      <c r="CMZ1" s="87"/>
      <c r="CNA1" s="87"/>
      <c r="CNB1" s="87"/>
      <c r="CNC1" s="87"/>
      <c r="CND1" s="87"/>
      <c r="CNE1" s="87"/>
      <c r="CNF1" s="87"/>
      <c r="CNG1" s="87"/>
      <c r="CNH1" s="87"/>
      <c r="CNI1" s="87"/>
      <c r="CNJ1" s="87"/>
      <c r="CNK1" s="87"/>
      <c r="CNL1" s="87"/>
      <c r="CNM1" s="87"/>
      <c r="CNN1" s="87"/>
      <c r="CNO1" s="87"/>
      <c r="CNP1" s="87"/>
      <c r="CNQ1" s="87"/>
      <c r="CNR1" s="87"/>
      <c r="CNS1" s="87"/>
      <c r="CNT1" s="87"/>
      <c r="CNU1" s="87"/>
      <c r="CNV1" s="87"/>
      <c r="CNW1" s="87"/>
      <c r="CNX1" s="87"/>
      <c r="CNY1" s="87"/>
      <c r="CNZ1" s="87"/>
      <c r="COA1" s="87"/>
      <c r="COB1" s="87"/>
      <c r="COC1" s="87"/>
      <c r="COD1" s="87"/>
      <c r="COE1" s="87"/>
      <c r="COF1" s="87"/>
      <c r="COG1" s="87"/>
      <c r="COH1" s="87"/>
      <c r="COI1" s="87"/>
      <c r="COJ1" s="87"/>
      <c r="COK1" s="87"/>
      <c r="COL1" s="87"/>
      <c r="COM1" s="87"/>
      <c r="CON1" s="87"/>
      <c r="COO1" s="87"/>
      <c r="COP1" s="87"/>
      <c r="COQ1" s="87"/>
      <c r="COR1" s="87"/>
      <c r="COS1" s="87"/>
      <c r="COT1" s="87"/>
      <c r="COU1" s="87"/>
      <c r="COV1" s="87"/>
      <c r="COW1" s="87"/>
      <c r="COX1" s="87"/>
      <c r="COY1" s="87"/>
      <c r="COZ1" s="87"/>
      <c r="CPA1" s="87"/>
      <c r="CPB1" s="87"/>
      <c r="CPC1" s="87"/>
      <c r="CPD1" s="87"/>
      <c r="CPE1" s="87"/>
      <c r="CPF1" s="87"/>
      <c r="CPG1" s="87"/>
      <c r="CPH1" s="87"/>
      <c r="CPI1" s="87"/>
      <c r="CPJ1" s="87"/>
      <c r="CPK1" s="87"/>
      <c r="CPL1" s="87"/>
      <c r="CPM1" s="87"/>
      <c r="CPN1" s="87"/>
      <c r="CPO1" s="87"/>
      <c r="CPP1" s="87"/>
      <c r="CPQ1" s="87"/>
      <c r="CPR1" s="87"/>
      <c r="CPS1" s="87"/>
      <c r="CPT1" s="87"/>
      <c r="CPU1" s="87"/>
      <c r="CPV1" s="87"/>
      <c r="CPW1" s="87"/>
      <c r="CPX1" s="87"/>
      <c r="CPY1" s="87"/>
      <c r="CPZ1" s="87"/>
      <c r="CQA1" s="87"/>
      <c r="CQB1" s="87"/>
      <c r="CQC1" s="87"/>
      <c r="CQD1" s="87"/>
      <c r="CQE1" s="87"/>
      <c r="CQF1" s="87"/>
      <c r="CQG1" s="87"/>
      <c r="CQH1" s="87"/>
      <c r="CQI1" s="87"/>
      <c r="CQJ1" s="87"/>
      <c r="CQK1" s="87"/>
      <c r="CQL1" s="87"/>
      <c r="CQM1" s="87"/>
      <c r="CQN1" s="87"/>
      <c r="CQO1" s="87"/>
      <c r="CQP1" s="87"/>
      <c r="CQQ1" s="87"/>
      <c r="CQR1" s="87"/>
      <c r="CQS1" s="87"/>
      <c r="CQT1" s="87"/>
      <c r="CQU1" s="87"/>
      <c r="CQV1" s="87"/>
      <c r="CQW1" s="87"/>
      <c r="CQX1" s="87"/>
      <c r="CQY1" s="87"/>
      <c r="CQZ1" s="87"/>
      <c r="CRA1" s="87"/>
      <c r="CRB1" s="87"/>
      <c r="CRC1" s="87"/>
      <c r="CRD1" s="87"/>
      <c r="CRE1" s="87"/>
      <c r="CRF1" s="87"/>
      <c r="CRG1" s="87"/>
      <c r="CRH1" s="87"/>
      <c r="CRI1" s="87"/>
      <c r="CRJ1" s="87"/>
      <c r="CRK1" s="87"/>
      <c r="CRL1" s="87"/>
      <c r="CRM1" s="87"/>
      <c r="CRN1" s="87"/>
      <c r="CRO1" s="87"/>
      <c r="CRP1" s="87"/>
      <c r="CRQ1" s="87"/>
      <c r="CRR1" s="87"/>
      <c r="CRS1" s="87"/>
      <c r="CRT1" s="87"/>
      <c r="CRU1" s="87"/>
      <c r="CRV1" s="87"/>
      <c r="CRW1" s="87"/>
      <c r="CRX1" s="87"/>
      <c r="CRY1" s="87"/>
      <c r="CRZ1" s="87"/>
      <c r="CSA1" s="87"/>
      <c r="CSB1" s="87"/>
      <c r="CSC1" s="87"/>
      <c r="CSD1" s="87"/>
      <c r="CSE1" s="87"/>
      <c r="CSF1" s="87"/>
      <c r="CSG1" s="87"/>
      <c r="CSH1" s="87"/>
      <c r="CSI1" s="87"/>
      <c r="CSJ1" s="87"/>
      <c r="CSK1" s="87"/>
      <c r="CSL1" s="87"/>
      <c r="CSM1" s="87"/>
      <c r="CSN1" s="87"/>
      <c r="CSO1" s="87"/>
      <c r="CSP1" s="87"/>
      <c r="CSQ1" s="87"/>
      <c r="CSR1" s="87"/>
      <c r="CSS1" s="87"/>
      <c r="CST1" s="87"/>
      <c r="CSU1" s="87"/>
      <c r="CSV1" s="87"/>
      <c r="CSW1" s="87"/>
      <c r="CSX1" s="87"/>
      <c r="CSY1" s="87"/>
      <c r="CSZ1" s="87"/>
      <c r="CTA1" s="87"/>
      <c r="CTB1" s="87"/>
      <c r="CTC1" s="87"/>
      <c r="CTD1" s="87"/>
      <c r="CTE1" s="87"/>
      <c r="CTF1" s="87"/>
      <c r="CTG1" s="87"/>
      <c r="CTH1" s="87"/>
      <c r="CTI1" s="87"/>
      <c r="CTJ1" s="87"/>
      <c r="CTK1" s="87"/>
      <c r="CTL1" s="87"/>
      <c r="CTM1" s="87"/>
      <c r="CTN1" s="87"/>
      <c r="CTO1" s="87"/>
      <c r="CTP1" s="87"/>
      <c r="CTQ1" s="87"/>
      <c r="CTR1" s="87"/>
      <c r="CTS1" s="87"/>
      <c r="CTT1" s="87"/>
      <c r="CTU1" s="87"/>
      <c r="CTV1" s="87"/>
      <c r="CTW1" s="87"/>
      <c r="CTX1" s="87"/>
      <c r="CTY1" s="87"/>
      <c r="CTZ1" s="87"/>
      <c r="CUA1" s="87"/>
      <c r="CUB1" s="87"/>
      <c r="CUC1" s="87"/>
      <c r="CUD1" s="87"/>
      <c r="CUE1" s="87"/>
      <c r="CUF1" s="87"/>
      <c r="CUG1" s="87"/>
      <c r="CUH1" s="87"/>
      <c r="CUI1" s="87"/>
      <c r="CUJ1" s="87"/>
      <c r="CUK1" s="87"/>
      <c r="CUL1" s="87"/>
      <c r="CUM1" s="87"/>
      <c r="CUN1" s="87"/>
      <c r="CUO1" s="87"/>
      <c r="CUP1" s="87"/>
      <c r="CUQ1" s="87"/>
      <c r="CUR1" s="87"/>
      <c r="CUS1" s="87"/>
      <c r="CUT1" s="87"/>
      <c r="CUU1" s="87"/>
      <c r="CUV1" s="87"/>
      <c r="CUW1" s="87"/>
      <c r="CUX1" s="87"/>
      <c r="CUY1" s="87"/>
      <c r="CUZ1" s="87"/>
      <c r="CVA1" s="87"/>
      <c r="CVB1" s="87"/>
      <c r="CVC1" s="87"/>
      <c r="CVD1" s="87"/>
      <c r="CVE1" s="87"/>
      <c r="CVF1" s="87"/>
      <c r="CVG1" s="87"/>
      <c r="CVH1" s="87"/>
      <c r="CVI1" s="87"/>
      <c r="CVJ1" s="87"/>
      <c r="CVK1" s="87"/>
      <c r="CVL1" s="87"/>
      <c r="CVM1" s="87"/>
      <c r="CVN1" s="87"/>
      <c r="CVO1" s="87"/>
      <c r="CVP1" s="87"/>
      <c r="CVQ1" s="87"/>
      <c r="CVR1" s="87"/>
      <c r="CVS1" s="87"/>
      <c r="CVT1" s="87"/>
      <c r="CVU1" s="87"/>
      <c r="CVV1" s="87"/>
      <c r="CVW1" s="87"/>
      <c r="CVX1" s="87"/>
      <c r="CVY1" s="87"/>
      <c r="CVZ1" s="87"/>
      <c r="CWA1" s="87"/>
      <c r="CWB1" s="87"/>
      <c r="CWC1" s="87"/>
      <c r="CWD1" s="87"/>
      <c r="CWE1" s="87"/>
      <c r="CWF1" s="87"/>
      <c r="CWG1" s="87"/>
      <c r="CWH1" s="87"/>
      <c r="CWI1" s="87"/>
      <c r="CWJ1" s="87"/>
      <c r="CWK1" s="87"/>
      <c r="CWL1" s="87"/>
      <c r="CWM1" s="87"/>
      <c r="CWN1" s="87"/>
      <c r="CWO1" s="87"/>
      <c r="CWP1" s="87"/>
      <c r="CWQ1" s="87"/>
      <c r="CWR1" s="87"/>
      <c r="CWS1" s="87"/>
      <c r="CWT1" s="87"/>
      <c r="CWU1" s="87"/>
      <c r="CWV1" s="87"/>
      <c r="CWW1" s="87"/>
      <c r="CWX1" s="87"/>
      <c r="CWY1" s="87"/>
      <c r="CWZ1" s="87"/>
      <c r="CXA1" s="87"/>
      <c r="CXB1" s="87"/>
      <c r="CXC1" s="87"/>
      <c r="CXD1" s="87"/>
      <c r="CXE1" s="87"/>
      <c r="CXF1" s="87"/>
      <c r="CXG1" s="87"/>
      <c r="CXH1" s="87"/>
      <c r="CXI1" s="87"/>
      <c r="CXJ1" s="87"/>
      <c r="CXK1" s="87"/>
      <c r="CXL1" s="87"/>
      <c r="CXM1" s="87"/>
      <c r="CXN1" s="87"/>
      <c r="CXO1" s="87"/>
      <c r="CXP1" s="87"/>
      <c r="CXQ1" s="87"/>
      <c r="CXR1" s="87"/>
      <c r="CXS1" s="87"/>
      <c r="CXT1" s="87"/>
      <c r="CXU1" s="87"/>
      <c r="CXV1" s="87"/>
      <c r="CXW1" s="87"/>
      <c r="CXX1" s="87"/>
      <c r="CXY1" s="87"/>
      <c r="CXZ1" s="87"/>
      <c r="CYA1" s="87"/>
      <c r="CYB1" s="87"/>
      <c r="CYC1" s="87"/>
      <c r="CYD1" s="87"/>
      <c r="CYE1" s="87"/>
      <c r="CYF1" s="87"/>
      <c r="CYG1" s="87"/>
      <c r="CYH1" s="87"/>
      <c r="CYI1" s="87"/>
      <c r="CYJ1" s="87"/>
      <c r="CYK1" s="87"/>
      <c r="CYL1" s="87"/>
      <c r="CYM1" s="87"/>
      <c r="CYN1" s="87"/>
      <c r="CYO1" s="87"/>
      <c r="CYP1" s="87"/>
      <c r="CYQ1" s="87"/>
      <c r="CYR1" s="87"/>
      <c r="CYS1" s="87"/>
      <c r="CYT1" s="87"/>
      <c r="CYU1" s="87"/>
      <c r="CYV1" s="87"/>
      <c r="CYW1" s="87"/>
      <c r="CYX1" s="87"/>
      <c r="CYY1" s="87"/>
      <c r="CYZ1" s="87"/>
      <c r="CZA1" s="87"/>
      <c r="CZB1" s="87"/>
      <c r="CZC1" s="87"/>
      <c r="CZD1" s="87"/>
      <c r="CZE1" s="87"/>
      <c r="CZF1" s="87"/>
      <c r="CZG1" s="87"/>
      <c r="CZH1" s="87"/>
      <c r="CZI1" s="87"/>
      <c r="CZJ1" s="87"/>
      <c r="CZK1" s="87"/>
      <c r="CZL1" s="87"/>
      <c r="CZM1" s="87"/>
      <c r="CZN1" s="87"/>
      <c r="CZO1" s="87"/>
      <c r="CZP1" s="87"/>
      <c r="CZQ1" s="87"/>
      <c r="CZR1" s="87"/>
      <c r="CZS1" s="87"/>
      <c r="CZT1" s="87"/>
      <c r="CZU1" s="87"/>
      <c r="CZV1" s="87"/>
      <c r="CZW1" s="87"/>
      <c r="CZX1" s="87"/>
      <c r="CZY1" s="87"/>
      <c r="CZZ1" s="87"/>
      <c r="DAA1" s="87"/>
      <c r="DAB1" s="87"/>
      <c r="DAC1" s="87"/>
      <c r="DAD1" s="87"/>
      <c r="DAE1" s="87"/>
      <c r="DAF1" s="87"/>
      <c r="DAG1" s="87"/>
      <c r="DAH1" s="87"/>
      <c r="DAI1" s="87"/>
      <c r="DAJ1" s="87"/>
      <c r="DAK1" s="87"/>
      <c r="DAL1" s="87"/>
      <c r="DAM1" s="87"/>
      <c r="DAN1" s="87"/>
      <c r="DAO1" s="87"/>
      <c r="DAP1" s="87"/>
      <c r="DAQ1" s="87"/>
      <c r="DAR1" s="87"/>
      <c r="DAS1" s="87"/>
      <c r="DAT1" s="87"/>
      <c r="DAU1" s="87"/>
      <c r="DAV1" s="87"/>
      <c r="DAW1" s="87"/>
      <c r="DAX1" s="87"/>
      <c r="DAY1" s="87"/>
      <c r="DAZ1" s="87"/>
      <c r="DBA1" s="87"/>
      <c r="DBB1" s="87"/>
      <c r="DBC1" s="87"/>
      <c r="DBD1" s="87"/>
      <c r="DBE1" s="87"/>
      <c r="DBF1" s="87"/>
      <c r="DBG1" s="87"/>
      <c r="DBH1" s="87"/>
      <c r="DBI1" s="87"/>
      <c r="DBJ1" s="87"/>
      <c r="DBK1" s="87"/>
      <c r="DBL1" s="87"/>
      <c r="DBM1" s="87"/>
      <c r="DBN1" s="87"/>
      <c r="DBO1" s="87"/>
      <c r="DBP1" s="87"/>
      <c r="DBQ1" s="87"/>
      <c r="DBR1" s="87"/>
      <c r="DBS1" s="87"/>
      <c r="DBT1" s="87"/>
      <c r="DBU1" s="87"/>
      <c r="DBV1" s="87"/>
      <c r="DBW1" s="87"/>
      <c r="DBX1" s="87"/>
      <c r="DBY1" s="87"/>
      <c r="DBZ1" s="87"/>
      <c r="DCA1" s="87"/>
      <c r="DCB1" s="87"/>
      <c r="DCC1" s="87"/>
      <c r="DCD1" s="87"/>
      <c r="DCE1" s="87"/>
      <c r="DCF1" s="87"/>
      <c r="DCG1" s="87"/>
      <c r="DCH1" s="87"/>
      <c r="DCI1" s="87"/>
      <c r="DCJ1" s="87"/>
      <c r="DCK1" s="87"/>
      <c r="DCL1" s="87"/>
      <c r="DCM1" s="87"/>
      <c r="DCN1" s="87"/>
      <c r="DCO1" s="87"/>
      <c r="DCP1" s="87"/>
      <c r="DCQ1" s="87"/>
      <c r="DCR1" s="87"/>
      <c r="DCS1" s="87"/>
      <c r="DCT1" s="87"/>
      <c r="DCU1" s="87"/>
      <c r="DCV1" s="87"/>
      <c r="DCW1" s="87"/>
      <c r="DCX1" s="87"/>
      <c r="DCY1" s="87"/>
      <c r="DCZ1" s="87"/>
      <c r="DDA1" s="87"/>
      <c r="DDB1" s="87"/>
      <c r="DDC1" s="87"/>
      <c r="DDD1" s="87"/>
      <c r="DDE1" s="87"/>
      <c r="DDF1" s="87"/>
      <c r="DDG1" s="87"/>
      <c r="DDH1" s="87"/>
      <c r="DDI1" s="87"/>
      <c r="DDJ1" s="87"/>
      <c r="DDK1" s="87"/>
      <c r="DDL1" s="87"/>
      <c r="DDM1" s="87"/>
      <c r="DDN1" s="87"/>
      <c r="DDO1" s="87"/>
      <c r="DDP1" s="87"/>
      <c r="DDQ1" s="87"/>
      <c r="DDR1" s="87"/>
      <c r="DDS1" s="87"/>
      <c r="DDT1" s="87"/>
      <c r="DDU1" s="87"/>
      <c r="DDV1" s="87"/>
      <c r="DDW1" s="87"/>
      <c r="DDX1" s="87"/>
      <c r="DDY1" s="87"/>
      <c r="DDZ1" s="87"/>
      <c r="DEA1" s="87"/>
      <c r="DEB1" s="87"/>
      <c r="DEC1" s="87"/>
      <c r="DED1" s="87"/>
      <c r="DEE1" s="87"/>
      <c r="DEF1" s="87"/>
      <c r="DEG1" s="87"/>
      <c r="DEH1" s="87"/>
      <c r="DEI1" s="87"/>
      <c r="DEJ1" s="87"/>
      <c r="DEK1" s="87"/>
      <c r="DEL1" s="87"/>
      <c r="DEM1" s="87"/>
      <c r="DEN1" s="87"/>
      <c r="DEO1" s="87"/>
      <c r="DEP1" s="87"/>
      <c r="DEQ1" s="87"/>
      <c r="DER1" s="87"/>
      <c r="DES1" s="87"/>
      <c r="DET1" s="87"/>
      <c r="DEU1" s="87"/>
      <c r="DEV1" s="87"/>
      <c r="DEW1" s="87"/>
      <c r="DEX1" s="87"/>
      <c r="DEY1" s="87"/>
      <c r="DEZ1" s="87"/>
      <c r="DFA1" s="87"/>
      <c r="DFB1" s="87"/>
      <c r="DFC1" s="87"/>
      <c r="DFD1" s="87"/>
      <c r="DFE1" s="87"/>
      <c r="DFF1" s="87"/>
      <c r="DFG1" s="87"/>
      <c r="DFH1" s="87"/>
      <c r="DFI1" s="87"/>
      <c r="DFJ1" s="87"/>
      <c r="DFK1" s="87"/>
      <c r="DFL1" s="87"/>
      <c r="DFM1" s="87"/>
      <c r="DFN1" s="87"/>
      <c r="DFO1" s="87"/>
      <c r="DFP1" s="87"/>
      <c r="DFQ1" s="87"/>
      <c r="DFR1" s="87"/>
      <c r="DFS1" s="87"/>
      <c r="DFT1" s="87"/>
      <c r="DFU1" s="87"/>
      <c r="DFV1" s="87"/>
      <c r="DFW1" s="87"/>
      <c r="DFX1" s="87"/>
      <c r="DFY1" s="87"/>
      <c r="DFZ1" s="87"/>
      <c r="DGA1" s="87"/>
      <c r="DGB1" s="87"/>
      <c r="DGC1" s="87"/>
      <c r="DGD1" s="87"/>
      <c r="DGE1" s="87"/>
      <c r="DGF1" s="87"/>
      <c r="DGG1" s="87"/>
      <c r="DGH1" s="87"/>
      <c r="DGI1" s="87"/>
      <c r="DGJ1" s="87"/>
      <c r="DGK1" s="87"/>
      <c r="DGL1" s="87"/>
      <c r="DGM1" s="87"/>
      <c r="DGN1" s="87"/>
      <c r="DGO1" s="87"/>
      <c r="DGP1" s="87"/>
      <c r="DGQ1" s="87"/>
      <c r="DGR1" s="87"/>
      <c r="DGS1" s="87"/>
      <c r="DGT1" s="87"/>
      <c r="DGU1" s="87"/>
      <c r="DGV1" s="87"/>
      <c r="DGW1" s="87"/>
      <c r="DGX1" s="87"/>
      <c r="DGY1" s="87"/>
      <c r="DGZ1" s="87"/>
      <c r="DHA1" s="87"/>
      <c r="DHB1" s="87"/>
      <c r="DHC1" s="87"/>
      <c r="DHD1" s="87"/>
      <c r="DHE1" s="87"/>
      <c r="DHF1" s="87"/>
      <c r="DHG1" s="87"/>
      <c r="DHH1" s="87"/>
      <c r="DHI1" s="87"/>
      <c r="DHJ1" s="87"/>
      <c r="DHK1" s="87"/>
      <c r="DHL1" s="87"/>
      <c r="DHM1" s="87"/>
      <c r="DHN1" s="87"/>
      <c r="DHO1" s="87"/>
      <c r="DHP1" s="87"/>
      <c r="DHQ1" s="87"/>
      <c r="DHR1" s="87"/>
      <c r="DHS1" s="87"/>
      <c r="DHT1" s="87"/>
      <c r="DHU1" s="87"/>
      <c r="DHV1" s="87"/>
      <c r="DHW1" s="87"/>
      <c r="DHX1" s="87"/>
      <c r="DHY1" s="87"/>
      <c r="DHZ1" s="87"/>
      <c r="DIA1" s="87"/>
      <c r="DIB1" s="87"/>
      <c r="DIC1" s="87"/>
      <c r="DID1" s="87"/>
      <c r="DIE1" s="87"/>
      <c r="DIF1" s="87"/>
      <c r="DIG1" s="87"/>
      <c r="DIH1" s="87"/>
      <c r="DII1" s="87"/>
      <c r="DIJ1" s="87"/>
      <c r="DIK1" s="87"/>
      <c r="DIL1" s="87"/>
      <c r="DIM1" s="87"/>
      <c r="DIN1" s="87"/>
      <c r="DIO1" s="87"/>
      <c r="DIP1" s="87"/>
      <c r="DIQ1" s="87"/>
      <c r="DIR1" s="87"/>
      <c r="DIS1" s="87"/>
      <c r="DIT1" s="87"/>
      <c r="DIU1" s="87"/>
      <c r="DIV1" s="87"/>
      <c r="DIW1" s="87"/>
      <c r="DIX1" s="87"/>
      <c r="DIY1" s="87"/>
      <c r="DIZ1" s="87"/>
      <c r="DJA1" s="87"/>
      <c r="DJB1" s="87"/>
      <c r="DJC1" s="87"/>
      <c r="DJD1" s="87"/>
      <c r="DJE1" s="87"/>
      <c r="DJF1" s="87"/>
      <c r="DJG1" s="87"/>
      <c r="DJH1" s="87"/>
      <c r="DJI1" s="87"/>
      <c r="DJJ1" s="87"/>
      <c r="DJK1" s="87"/>
      <c r="DJL1" s="87"/>
      <c r="DJM1" s="87"/>
      <c r="DJN1" s="87"/>
      <c r="DJO1" s="87"/>
      <c r="DJP1" s="87"/>
      <c r="DJQ1" s="87"/>
      <c r="DJR1" s="87"/>
      <c r="DJS1" s="87"/>
      <c r="DJT1" s="87"/>
      <c r="DJU1" s="87"/>
      <c r="DJV1" s="87"/>
      <c r="DJW1" s="87"/>
      <c r="DJX1" s="87"/>
      <c r="DJY1" s="87"/>
      <c r="DJZ1" s="87"/>
      <c r="DKA1" s="87"/>
      <c r="DKB1" s="87"/>
      <c r="DKC1" s="87"/>
      <c r="DKD1" s="87"/>
      <c r="DKE1" s="87"/>
      <c r="DKF1" s="87"/>
      <c r="DKG1" s="87"/>
      <c r="DKH1" s="87"/>
      <c r="DKI1" s="87"/>
      <c r="DKJ1" s="87"/>
      <c r="DKK1" s="87"/>
      <c r="DKL1" s="87"/>
      <c r="DKM1" s="87"/>
      <c r="DKN1" s="87"/>
      <c r="DKO1" s="87"/>
      <c r="DKP1" s="87"/>
      <c r="DKQ1" s="87"/>
      <c r="DKR1" s="87"/>
      <c r="DKS1" s="87"/>
      <c r="DKT1" s="87"/>
      <c r="DKU1" s="87"/>
      <c r="DKV1" s="87"/>
      <c r="DKW1" s="87"/>
      <c r="DKX1" s="87"/>
      <c r="DKY1" s="87"/>
      <c r="DKZ1" s="87"/>
      <c r="DLA1" s="87"/>
      <c r="DLB1" s="87"/>
      <c r="DLC1" s="87"/>
      <c r="DLD1" s="87"/>
      <c r="DLE1" s="87"/>
      <c r="DLF1" s="87"/>
      <c r="DLG1" s="87"/>
      <c r="DLH1" s="87"/>
      <c r="DLI1" s="87"/>
      <c r="DLJ1" s="87"/>
      <c r="DLK1" s="87"/>
      <c r="DLL1" s="87"/>
      <c r="DLM1" s="87"/>
      <c r="DLN1" s="87"/>
      <c r="DLO1" s="87"/>
      <c r="DLP1" s="87"/>
      <c r="DLQ1" s="87"/>
      <c r="DLR1" s="87"/>
      <c r="DLS1" s="87"/>
      <c r="DLT1" s="87"/>
      <c r="DLU1" s="87"/>
      <c r="DLV1" s="87"/>
      <c r="DLW1" s="87"/>
      <c r="DLX1" s="87"/>
      <c r="DLY1" s="87"/>
      <c r="DLZ1" s="87"/>
      <c r="DMA1" s="87"/>
      <c r="DMB1" s="87"/>
      <c r="DMC1" s="87"/>
      <c r="DMD1" s="87"/>
      <c r="DME1" s="87"/>
      <c r="DMF1" s="87"/>
      <c r="DMG1" s="87"/>
      <c r="DMH1" s="87"/>
      <c r="DMI1" s="87"/>
      <c r="DMJ1" s="87"/>
      <c r="DMK1" s="87"/>
      <c r="DML1" s="87"/>
      <c r="DMM1" s="87"/>
      <c r="DMN1" s="87"/>
      <c r="DMO1" s="87"/>
      <c r="DMP1" s="87"/>
      <c r="DMQ1" s="87"/>
      <c r="DMR1" s="87"/>
      <c r="DMS1" s="87"/>
      <c r="DMT1" s="87"/>
      <c r="DMU1" s="87"/>
      <c r="DMV1" s="87"/>
      <c r="DMW1" s="87"/>
      <c r="DMX1" s="87"/>
      <c r="DMY1" s="87"/>
      <c r="DMZ1" s="87"/>
      <c r="DNA1" s="87"/>
      <c r="DNB1" s="87"/>
      <c r="DNC1" s="87"/>
      <c r="DND1" s="87"/>
      <c r="DNE1" s="87"/>
      <c r="DNF1" s="87"/>
      <c r="DNG1" s="87"/>
      <c r="DNH1" s="87"/>
      <c r="DNI1" s="87"/>
      <c r="DNJ1" s="87"/>
      <c r="DNK1" s="87"/>
      <c r="DNL1" s="87"/>
      <c r="DNM1" s="87"/>
      <c r="DNN1" s="87"/>
      <c r="DNO1" s="87"/>
      <c r="DNP1" s="87"/>
      <c r="DNQ1" s="87"/>
      <c r="DNR1" s="87"/>
      <c r="DNS1" s="87"/>
      <c r="DNT1" s="87"/>
      <c r="DNU1" s="87"/>
      <c r="DNV1" s="87"/>
      <c r="DNW1" s="87"/>
      <c r="DNX1" s="87"/>
      <c r="DNY1" s="87"/>
      <c r="DNZ1" s="87"/>
      <c r="DOA1" s="87"/>
      <c r="DOB1" s="87"/>
      <c r="DOC1" s="87"/>
      <c r="DOD1" s="87"/>
      <c r="DOE1" s="87"/>
      <c r="DOF1" s="87"/>
      <c r="DOG1" s="87"/>
      <c r="DOH1" s="87"/>
      <c r="DOI1" s="87"/>
      <c r="DOJ1" s="87"/>
      <c r="DOK1" s="87"/>
      <c r="DOL1" s="87"/>
      <c r="DOM1" s="87"/>
      <c r="DON1" s="87"/>
      <c r="DOO1" s="87"/>
      <c r="DOP1" s="87"/>
      <c r="DOQ1" s="87"/>
      <c r="DOR1" s="87"/>
      <c r="DOS1" s="87"/>
      <c r="DOT1" s="87"/>
      <c r="DOU1" s="87"/>
      <c r="DOV1" s="87"/>
      <c r="DOW1" s="87"/>
      <c r="DOX1" s="87"/>
      <c r="DOY1" s="87"/>
      <c r="DOZ1" s="87"/>
      <c r="DPA1" s="87"/>
      <c r="DPB1" s="87"/>
      <c r="DPC1" s="87"/>
      <c r="DPD1" s="87"/>
      <c r="DPE1" s="87"/>
      <c r="DPF1" s="87"/>
      <c r="DPG1" s="87"/>
      <c r="DPH1" s="87"/>
      <c r="DPI1" s="87"/>
      <c r="DPJ1" s="87"/>
      <c r="DPK1" s="87"/>
      <c r="DPL1" s="87"/>
      <c r="DPM1" s="87"/>
      <c r="DPN1" s="87"/>
      <c r="DPO1" s="87"/>
      <c r="DPP1" s="87"/>
      <c r="DPQ1" s="87"/>
      <c r="DPR1" s="87"/>
      <c r="DPS1" s="87"/>
      <c r="DPT1" s="87"/>
      <c r="DPU1" s="87"/>
      <c r="DPV1" s="87"/>
      <c r="DPW1" s="87"/>
      <c r="DPX1" s="87"/>
      <c r="DPY1" s="87"/>
      <c r="DPZ1" s="87"/>
      <c r="DQA1" s="87"/>
      <c r="DQB1" s="87"/>
      <c r="DQC1" s="87"/>
      <c r="DQD1" s="87"/>
      <c r="DQE1" s="87"/>
      <c r="DQF1" s="87"/>
      <c r="DQG1" s="87"/>
      <c r="DQH1" s="87"/>
      <c r="DQI1" s="87"/>
      <c r="DQJ1" s="87"/>
      <c r="DQK1" s="87"/>
      <c r="DQL1" s="87"/>
      <c r="DQM1" s="87"/>
      <c r="DQN1" s="87"/>
      <c r="DQO1" s="87"/>
      <c r="DQP1" s="87"/>
      <c r="DQQ1" s="87"/>
      <c r="DQR1" s="87"/>
      <c r="DQS1" s="87"/>
      <c r="DQT1" s="87"/>
      <c r="DQU1" s="87"/>
      <c r="DQV1" s="87"/>
      <c r="DQW1" s="87"/>
      <c r="DQX1" s="87"/>
      <c r="DQY1" s="87"/>
      <c r="DQZ1" s="87"/>
      <c r="DRA1" s="87"/>
      <c r="DRB1" s="87"/>
      <c r="DRC1" s="87"/>
      <c r="DRD1" s="87"/>
      <c r="DRE1" s="87"/>
      <c r="DRF1" s="87"/>
      <c r="DRG1" s="87"/>
      <c r="DRH1" s="87"/>
      <c r="DRI1" s="87"/>
      <c r="DRJ1" s="87"/>
      <c r="DRK1" s="87"/>
      <c r="DRL1" s="87"/>
      <c r="DRM1" s="87"/>
      <c r="DRN1" s="87"/>
      <c r="DRO1" s="87"/>
      <c r="DRP1" s="87"/>
      <c r="DRQ1" s="87"/>
      <c r="DRR1" s="87"/>
      <c r="DRS1" s="87"/>
      <c r="DRT1" s="87"/>
      <c r="DRU1" s="87"/>
      <c r="DRV1" s="87"/>
      <c r="DRW1" s="87"/>
      <c r="DRX1" s="87"/>
      <c r="DRY1" s="87"/>
      <c r="DRZ1" s="87"/>
      <c r="DSA1" s="87"/>
      <c r="DSB1" s="87"/>
      <c r="DSC1" s="87"/>
      <c r="DSD1" s="87"/>
      <c r="DSE1" s="87"/>
      <c r="DSF1" s="87"/>
      <c r="DSG1" s="87"/>
      <c r="DSH1" s="87"/>
      <c r="DSI1" s="87"/>
      <c r="DSJ1" s="87"/>
      <c r="DSK1" s="87"/>
      <c r="DSL1" s="87"/>
      <c r="DSM1" s="87"/>
      <c r="DSN1" s="87"/>
      <c r="DSO1" s="87"/>
      <c r="DSP1" s="87"/>
      <c r="DSQ1" s="87"/>
      <c r="DSR1" s="87"/>
      <c r="DSS1" s="87"/>
      <c r="DST1" s="87"/>
      <c r="DSU1" s="87"/>
      <c r="DSV1" s="87"/>
      <c r="DSW1" s="87"/>
      <c r="DSX1" s="87"/>
      <c r="DSY1" s="87"/>
      <c r="DSZ1" s="87"/>
      <c r="DTA1" s="87"/>
      <c r="DTB1" s="87"/>
      <c r="DTC1" s="87"/>
      <c r="DTD1" s="87"/>
      <c r="DTE1" s="87"/>
      <c r="DTF1" s="87"/>
      <c r="DTG1" s="87"/>
      <c r="DTH1" s="87"/>
      <c r="DTI1" s="87"/>
      <c r="DTJ1" s="87"/>
      <c r="DTK1" s="87"/>
      <c r="DTL1" s="87"/>
      <c r="DTM1" s="87"/>
      <c r="DTN1" s="87"/>
      <c r="DTO1" s="87"/>
      <c r="DTP1" s="87"/>
      <c r="DTQ1" s="87"/>
      <c r="DTR1" s="87"/>
      <c r="DTS1" s="87"/>
      <c r="DTT1" s="87"/>
      <c r="DTU1" s="87"/>
      <c r="DTV1" s="87"/>
      <c r="DTW1" s="87"/>
      <c r="DTX1" s="87"/>
      <c r="DTY1" s="87"/>
      <c r="DTZ1" s="87"/>
      <c r="DUA1" s="87"/>
      <c r="DUB1" s="87"/>
      <c r="DUC1" s="87"/>
      <c r="DUD1" s="87"/>
      <c r="DUE1" s="87"/>
      <c r="DUF1" s="87"/>
      <c r="DUG1" s="87"/>
      <c r="DUH1" s="87"/>
      <c r="DUI1" s="87"/>
      <c r="DUJ1" s="87"/>
      <c r="DUK1" s="87"/>
      <c r="DUL1" s="87"/>
      <c r="DUM1" s="87"/>
      <c r="DUN1" s="87"/>
      <c r="DUO1" s="87"/>
      <c r="DUP1" s="87"/>
      <c r="DUQ1" s="87"/>
      <c r="DUR1" s="87"/>
      <c r="DUS1" s="87"/>
      <c r="DUT1" s="87"/>
      <c r="DUU1" s="87"/>
      <c r="DUV1" s="87"/>
      <c r="DUW1" s="87"/>
      <c r="DUX1" s="87"/>
      <c r="DUY1" s="87"/>
      <c r="DUZ1" s="87"/>
      <c r="DVA1" s="87"/>
      <c r="DVB1" s="87"/>
      <c r="DVC1" s="87"/>
      <c r="DVD1" s="87"/>
      <c r="DVE1" s="87"/>
      <c r="DVF1" s="87"/>
      <c r="DVG1" s="87"/>
      <c r="DVH1" s="87"/>
      <c r="DVI1" s="87"/>
      <c r="DVJ1" s="87"/>
      <c r="DVK1" s="87"/>
      <c r="DVL1" s="87"/>
      <c r="DVM1" s="87"/>
      <c r="DVN1" s="87"/>
      <c r="DVO1" s="87"/>
      <c r="DVP1" s="87"/>
      <c r="DVQ1" s="87"/>
      <c r="DVR1" s="87"/>
      <c r="DVS1" s="87"/>
      <c r="DVT1" s="87"/>
      <c r="DVU1" s="87"/>
      <c r="DVV1" s="87"/>
      <c r="DVW1" s="87"/>
      <c r="DVX1" s="87"/>
      <c r="DVY1" s="87"/>
      <c r="DVZ1" s="87"/>
      <c r="DWA1" s="87"/>
      <c r="DWB1" s="87"/>
      <c r="DWC1" s="87"/>
      <c r="DWD1" s="87"/>
      <c r="DWE1" s="87"/>
      <c r="DWF1" s="87"/>
      <c r="DWG1" s="87"/>
      <c r="DWH1" s="87"/>
      <c r="DWI1" s="87"/>
      <c r="DWJ1" s="87"/>
      <c r="DWK1" s="87"/>
      <c r="DWL1" s="87"/>
      <c r="DWM1" s="87"/>
      <c r="DWN1" s="87"/>
      <c r="DWO1" s="87"/>
      <c r="DWP1" s="87"/>
      <c r="DWQ1" s="87"/>
      <c r="DWR1" s="87"/>
      <c r="DWS1" s="87"/>
      <c r="DWT1" s="87"/>
      <c r="DWU1" s="87"/>
      <c r="DWV1" s="87"/>
      <c r="DWW1" s="87"/>
      <c r="DWX1" s="87"/>
      <c r="DWY1" s="87"/>
      <c r="DWZ1" s="87"/>
      <c r="DXA1" s="87"/>
      <c r="DXB1" s="87"/>
      <c r="DXC1" s="87"/>
      <c r="DXD1" s="87"/>
      <c r="DXE1" s="87"/>
      <c r="DXF1" s="87"/>
      <c r="DXG1" s="87"/>
      <c r="DXH1" s="87"/>
      <c r="DXI1" s="87"/>
      <c r="DXJ1" s="87"/>
      <c r="DXK1" s="87"/>
      <c r="DXL1" s="87"/>
      <c r="DXM1" s="87"/>
      <c r="DXN1" s="87"/>
      <c r="DXO1" s="87"/>
      <c r="DXP1" s="87"/>
      <c r="DXQ1" s="87"/>
      <c r="DXR1" s="87"/>
      <c r="DXS1" s="87"/>
      <c r="DXT1" s="87"/>
      <c r="DXU1" s="87"/>
      <c r="DXV1" s="87"/>
      <c r="DXW1" s="87"/>
      <c r="DXX1" s="87"/>
      <c r="DXY1" s="87"/>
      <c r="DXZ1" s="87"/>
      <c r="DYA1" s="87"/>
      <c r="DYB1" s="87"/>
      <c r="DYC1" s="87"/>
      <c r="DYD1" s="87"/>
      <c r="DYE1" s="87"/>
      <c r="DYF1" s="87"/>
      <c r="DYG1" s="87"/>
      <c r="DYH1" s="87"/>
      <c r="DYI1" s="87"/>
      <c r="DYJ1" s="87"/>
      <c r="DYK1" s="87"/>
      <c r="DYL1" s="87"/>
      <c r="DYM1" s="87"/>
      <c r="DYN1" s="87"/>
      <c r="DYO1" s="87"/>
      <c r="DYP1" s="87"/>
      <c r="DYQ1" s="87"/>
      <c r="DYR1" s="87"/>
      <c r="DYS1" s="87"/>
      <c r="DYT1" s="87"/>
      <c r="DYU1" s="87"/>
      <c r="DYV1" s="87"/>
      <c r="DYW1" s="87"/>
      <c r="DYX1" s="87"/>
      <c r="DYY1" s="87"/>
      <c r="DYZ1" s="87"/>
      <c r="DZA1" s="87"/>
      <c r="DZB1" s="87"/>
      <c r="DZC1" s="87"/>
      <c r="DZD1" s="87"/>
      <c r="DZE1" s="87"/>
      <c r="DZF1" s="87"/>
      <c r="DZG1" s="87"/>
      <c r="DZH1" s="87"/>
      <c r="DZI1" s="87"/>
      <c r="DZJ1" s="87"/>
      <c r="DZK1" s="87"/>
      <c r="DZL1" s="87"/>
      <c r="DZM1" s="87"/>
      <c r="DZN1" s="87"/>
      <c r="DZO1" s="87"/>
      <c r="DZP1" s="87"/>
      <c r="DZQ1" s="87"/>
      <c r="DZR1" s="87"/>
      <c r="DZS1" s="87"/>
      <c r="DZT1" s="87"/>
      <c r="DZU1" s="87"/>
      <c r="DZV1" s="87"/>
      <c r="DZW1" s="87"/>
      <c r="DZX1" s="87"/>
      <c r="DZY1" s="87"/>
      <c r="DZZ1" s="87"/>
      <c r="EAA1" s="87"/>
      <c r="EAB1" s="87"/>
      <c r="EAC1" s="87"/>
      <c r="EAD1" s="87"/>
      <c r="EAE1" s="87"/>
      <c r="EAF1" s="87"/>
      <c r="EAG1" s="87"/>
      <c r="EAH1" s="87"/>
      <c r="EAI1" s="87"/>
      <c r="EAJ1" s="87"/>
      <c r="EAK1" s="87"/>
      <c r="EAL1" s="87"/>
      <c r="EAM1" s="87"/>
      <c r="EAN1" s="87"/>
      <c r="EAO1" s="87"/>
      <c r="EAP1" s="87"/>
      <c r="EAQ1" s="87"/>
      <c r="EAR1" s="87"/>
      <c r="EAS1" s="87"/>
      <c r="EAT1" s="87"/>
      <c r="EAU1" s="87"/>
      <c r="EAV1" s="87"/>
      <c r="EAW1" s="87"/>
      <c r="EAX1" s="87"/>
      <c r="EAY1" s="87"/>
      <c r="EAZ1" s="87"/>
      <c r="EBA1" s="87"/>
      <c r="EBB1" s="87"/>
      <c r="EBC1" s="87"/>
      <c r="EBD1" s="87"/>
      <c r="EBE1" s="87"/>
      <c r="EBF1" s="87"/>
      <c r="EBG1" s="87"/>
      <c r="EBH1" s="87"/>
      <c r="EBI1" s="87"/>
      <c r="EBJ1" s="87"/>
      <c r="EBK1" s="87"/>
      <c r="EBL1" s="87"/>
      <c r="EBM1" s="87"/>
      <c r="EBN1" s="87"/>
      <c r="EBO1" s="87"/>
      <c r="EBP1" s="87"/>
      <c r="EBQ1" s="87"/>
      <c r="EBR1" s="87"/>
      <c r="EBS1" s="87"/>
      <c r="EBT1" s="87"/>
      <c r="EBU1" s="87"/>
      <c r="EBV1" s="87"/>
      <c r="EBW1" s="87"/>
      <c r="EBX1" s="87"/>
      <c r="EBY1" s="87"/>
      <c r="EBZ1" s="87"/>
      <c r="ECA1" s="87"/>
      <c r="ECB1" s="87"/>
      <c r="ECC1" s="87"/>
      <c r="ECD1" s="87"/>
      <c r="ECE1" s="87"/>
      <c r="ECF1" s="87"/>
      <c r="ECG1" s="87"/>
      <c r="ECH1" s="87"/>
      <c r="ECI1" s="87"/>
      <c r="ECJ1" s="87"/>
      <c r="ECK1" s="87"/>
      <c r="ECL1" s="87"/>
      <c r="ECM1" s="87"/>
      <c r="ECN1" s="87"/>
      <c r="ECO1" s="87"/>
      <c r="ECP1" s="87"/>
      <c r="ECQ1" s="87"/>
      <c r="ECR1" s="87"/>
      <c r="ECS1" s="87"/>
      <c r="ECT1" s="87"/>
      <c r="ECU1" s="87"/>
      <c r="ECV1" s="87"/>
      <c r="ECW1" s="87"/>
      <c r="ECX1" s="87"/>
      <c r="ECY1" s="87"/>
      <c r="ECZ1" s="87"/>
      <c r="EDA1" s="87"/>
      <c r="EDB1" s="87"/>
      <c r="EDC1" s="87"/>
      <c r="EDD1" s="87"/>
      <c r="EDE1" s="87"/>
      <c r="EDF1" s="87"/>
      <c r="EDG1" s="87"/>
      <c r="EDH1" s="87"/>
      <c r="EDI1" s="87"/>
      <c r="EDJ1" s="87"/>
      <c r="EDK1" s="87"/>
      <c r="EDL1" s="87"/>
      <c r="EDM1" s="87"/>
      <c r="EDN1" s="87"/>
      <c r="EDO1" s="87"/>
      <c r="EDP1" s="87"/>
      <c r="EDQ1" s="87"/>
      <c r="EDR1" s="87"/>
      <c r="EDS1" s="87"/>
      <c r="EDT1" s="87"/>
      <c r="EDU1" s="87"/>
      <c r="EDV1" s="87"/>
      <c r="EDW1" s="87"/>
      <c r="EDX1" s="87"/>
      <c r="EDY1" s="87"/>
      <c r="EDZ1" s="87"/>
      <c r="EEA1" s="87"/>
      <c r="EEB1" s="87"/>
      <c r="EEC1" s="87"/>
      <c r="EED1" s="87"/>
      <c r="EEE1" s="87"/>
      <c r="EEF1" s="87"/>
      <c r="EEG1" s="87"/>
      <c r="EEH1" s="87"/>
      <c r="EEI1" s="87"/>
      <c r="EEJ1" s="87"/>
      <c r="EEK1" s="87"/>
      <c r="EEL1" s="87"/>
      <c r="EEM1" s="87"/>
      <c r="EEN1" s="87"/>
      <c r="EEO1" s="87"/>
      <c r="EEP1" s="87"/>
      <c r="EEQ1" s="87"/>
      <c r="EER1" s="87"/>
      <c r="EES1" s="87"/>
      <c r="EET1" s="87"/>
      <c r="EEU1" s="87"/>
      <c r="EEV1" s="87"/>
      <c r="EEW1" s="87"/>
      <c r="EEX1" s="87"/>
      <c r="EEY1" s="87"/>
      <c r="EEZ1" s="87"/>
      <c r="EFA1" s="87"/>
      <c r="EFB1" s="87"/>
      <c r="EFC1" s="87"/>
      <c r="EFD1" s="87"/>
      <c r="EFE1" s="87"/>
      <c r="EFF1" s="87"/>
      <c r="EFG1" s="87"/>
      <c r="EFH1" s="87"/>
      <c r="EFI1" s="87"/>
      <c r="EFJ1" s="87"/>
      <c r="EFK1" s="87"/>
      <c r="EFL1" s="87"/>
      <c r="EFM1" s="87"/>
      <c r="EFN1" s="87"/>
      <c r="EFO1" s="87"/>
      <c r="EFP1" s="87"/>
      <c r="EFQ1" s="87"/>
      <c r="EFR1" s="87"/>
      <c r="EFS1" s="87"/>
      <c r="EFT1" s="87"/>
      <c r="EFU1" s="87"/>
      <c r="EFV1" s="87"/>
      <c r="EFW1" s="87"/>
      <c r="EFX1" s="87"/>
      <c r="EFY1" s="87"/>
      <c r="EFZ1" s="87"/>
      <c r="EGA1" s="87"/>
      <c r="EGB1" s="87"/>
      <c r="EGC1" s="87"/>
      <c r="EGD1" s="87"/>
      <c r="EGE1" s="87"/>
      <c r="EGF1" s="87"/>
      <c r="EGG1" s="87"/>
      <c r="EGH1" s="87"/>
      <c r="EGI1" s="87"/>
      <c r="EGJ1" s="87"/>
      <c r="EGK1" s="87"/>
      <c r="EGL1" s="87"/>
      <c r="EGM1" s="87"/>
      <c r="EGN1" s="87"/>
      <c r="EGO1" s="87"/>
      <c r="EGP1" s="87"/>
      <c r="EGQ1" s="87"/>
      <c r="EGR1" s="87"/>
      <c r="EGS1" s="87"/>
      <c r="EGT1" s="87"/>
      <c r="EGU1" s="87"/>
      <c r="EGV1" s="87"/>
      <c r="EGW1" s="87"/>
      <c r="EGX1" s="87"/>
      <c r="EGY1" s="87"/>
      <c r="EGZ1" s="87"/>
      <c r="EHA1" s="87"/>
      <c r="EHB1" s="87"/>
      <c r="EHC1" s="87"/>
      <c r="EHD1" s="87"/>
      <c r="EHE1" s="87"/>
      <c r="EHF1" s="87"/>
      <c r="EHG1" s="87"/>
      <c r="EHH1" s="87"/>
      <c r="EHI1" s="87"/>
      <c r="EHJ1" s="87"/>
      <c r="EHK1" s="87"/>
      <c r="EHL1" s="87"/>
      <c r="EHM1" s="87"/>
      <c r="EHN1" s="87"/>
      <c r="EHO1" s="87"/>
      <c r="EHP1" s="87"/>
      <c r="EHQ1" s="87"/>
      <c r="EHR1" s="87"/>
      <c r="EHS1" s="87"/>
      <c r="EHT1" s="87"/>
      <c r="EHU1" s="87"/>
      <c r="EHV1" s="87"/>
      <c r="EHW1" s="87"/>
      <c r="EHX1" s="87"/>
      <c r="EHY1" s="87"/>
      <c r="EHZ1" s="87"/>
      <c r="EIA1" s="87"/>
      <c r="EIB1" s="87"/>
      <c r="EIC1" s="87"/>
      <c r="EID1" s="87"/>
      <c r="EIE1" s="87"/>
      <c r="EIF1" s="87"/>
      <c r="EIG1" s="87"/>
      <c r="EIH1" s="87"/>
      <c r="EII1" s="87"/>
      <c r="EIJ1" s="87"/>
      <c r="EIK1" s="87"/>
      <c r="EIL1" s="87"/>
      <c r="EIM1" s="87"/>
      <c r="EIN1" s="87"/>
      <c r="EIO1" s="87"/>
      <c r="EIP1" s="87"/>
      <c r="EIQ1" s="87"/>
      <c r="EIR1" s="87"/>
      <c r="EIS1" s="87"/>
      <c r="EIT1" s="87"/>
      <c r="EIU1" s="87"/>
      <c r="EIV1" s="87"/>
      <c r="EIW1" s="87"/>
      <c r="EIX1" s="87"/>
      <c r="EIY1" s="87"/>
      <c r="EIZ1" s="87"/>
      <c r="EJA1" s="87"/>
      <c r="EJB1" s="87"/>
      <c r="EJC1" s="87"/>
      <c r="EJD1" s="87"/>
      <c r="EJE1" s="87"/>
      <c r="EJF1" s="87"/>
      <c r="EJG1" s="87"/>
      <c r="EJH1" s="87"/>
      <c r="EJI1" s="87"/>
      <c r="EJJ1" s="87"/>
      <c r="EJK1" s="87"/>
      <c r="EJL1" s="87"/>
      <c r="EJM1" s="87"/>
      <c r="EJN1" s="87"/>
      <c r="EJO1" s="87"/>
      <c r="EJP1" s="87"/>
      <c r="EJQ1" s="87"/>
      <c r="EJR1" s="87"/>
      <c r="EJS1" s="87"/>
      <c r="EJT1" s="87"/>
      <c r="EJU1" s="87"/>
      <c r="EJV1" s="87"/>
      <c r="EJW1" s="87"/>
      <c r="EJX1" s="87"/>
      <c r="EJY1" s="87"/>
      <c r="EJZ1" s="87"/>
      <c r="EKA1" s="87"/>
      <c r="EKB1" s="87"/>
      <c r="EKC1" s="87"/>
      <c r="EKD1" s="87"/>
      <c r="EKE1" s="87"/>
      <c r="EKF1" s="87"/>
      <c r="EKG1" s="87"/>
      <c r="EKH1" s="87"/>
      <c r="EKI1" s="87"/>
      <c r="EKJ1" s="87"/>
      <c r="EKK1" s="87"/>
      <c r="EKL1" s="87"/>
      <c r="EKM1" s="87"/>
      <c r="EKN1" s="87"/>
      <c r="EKO1" s="87"/>
      <c r="EKP1" s="87"/>
      <c r="EKQ1" s="87"/>
      <c r="EKR1" s="87"/>
      <c r="EKS1" s="87"/>
      <c r="EKT1" s="87"/>
      <c r="EKU1" s="87"/>
      <c r="EKV1" s="87"/>
      <c r="EKW1" s="87"/>
      <c r="EKX1" s="87"/>
      <c r="EKY1" s="87"/>
      <c r="EKZ1" s="87"/>
      <c r="ELA1" s="87"/>
      <c r="ELB1" s="87"/>
      <c r="ELC1" s="87"/>
      <c r="ELD1" s="87"/>
      <c r="ELE1" s="87"/>
      <c r="ELF1" s="87"/>
      <c r="ELG1" s="87"/>
      <c r="ELH1" s="87"/>
      <c r="ELI1" s="87"/>
      <c r="ELJ1" s="87"/>
      <c r="ELK1" s="87"/>
      <c r="ELL1" s="87"/>
      <c r="ELM1" s="87"/>
      <c r="ELN1" s="87"/>
      <c r="ELO1" s="87"/>
      <c r="ELP1" s="87"/>
      <c r="ELQ1" s="87"/>
      <c r="ELR1" s="87"/>
      <c r="ELS1" s="87"/>
      <c r="ELT1" s="87"/>
      <c r="ELU1" s="87"/>
      <c r="ELV1" s="87"/>
      <c r="ELW1" s="87"/>
      <c r="ELX1" s="87"/>
      <c r="ELY1" s="87"/>
      <c r="ELZ1" s="87"/>
      <c r="EMA1" s="87"/>
      <c r="EMB1" s="87"/>
      <c r="EMC1" s="87"/>
      <c r="EMD1" s="87"/>
      <c r="EME1" s="87"/>
      <c r="EMF1" s="87"/>
      <c r="EMG1" s="87"/>
      <c r="EMH1" s="87"/>
      <c r="EMI1" s="87"/>
      <c r="EMJ1" s="87"/>
      <c r="EMK1" s="87"/>
      <c r="EML1" s="87"/>
      <c r="EMM1" s="87"/>
      <c r="EMN1" s="87"/>
      <c r="EMO1" s="87"/>
      <c r="EMP1" s="87"/>
      <c r="EMQ1" s="87"/>
      <c r="EMR1" s="87"/>
      <c r="EMS1" s="87"/>
      <c r="EMT1" s="87"/>
      <c r="EMU1" s="87"/>
      <c r="EMV1" s="87"/>
      <c r="EMW1" s="87"/>
      <c r="EMX1" s="87"/>
      <c r="EMY1" s="87"/>
      <c r="EMZ1" s="87"/>
      <c r="ENA1" s="87"/>
      <c r="ENB1" s="87"/>
      <c r="ENC1" s="87"/>
      <c r="END1" s="87"/>
      <c r="ENE1" s="87"/>
      <c r="ENF1" s="87"/>
      <c r="ENG1" s="87"/>
      <c r="ENH1" s="87"/>
      <c r="ENI1" s="87"/>
      <c r="ENJ1" s="87"/>
      <c r="ENK1" s="87"/>
      <c r="ENL1" s="87"/>
      <c r="ENM1" s="87"/>
      <c r="ENN1" s="87"/>
      <c r="ENO1" s="87"/>
      <c r="ENP1" s="87"/>
      <c r="ENQ1" s="87"/>
      <c r="ENR1" s="87"/>
      <c r="ENS1" s="87"/>
      <c r="ENT1" s="87"/>
      <c r="ENU1" s="87"/>
      <c r="ENV1" s="87"/>
      <c r="ENW1" s="87"/>
      <c r="ENX1" s="87"/>
      <c r="ENY1" s="87"/>
      <c r="ENZ1" s="87"/>
      <c r="EOA1" s="87"/>
      <c r="EOB1" s="87"/>
      <c r="EOC1" s="87"/>
      <c r="EOD1" s="87"/>
      <c r="EOE1" s="87"/>
      <c r="EOF1" s="87"/>
      <c r="EOG1" s="87"/>
      <c r="EOH1" s="87"/>
      <c r="EOI1" s="87"/>
      <c r="EOJ1" s="87"/>
      <c r="EOK1" s="87"/>
      <c r="EOL1" s="87"/>
      <c r="EOM1" s="87"/>
      <c r="EON1" s="87"/>
      <c r="EOO1" s="87"/>
      <c r="EOP1" s="87"/>
      <c r="EOQ1" s="87"/>
      <c r="EOR1" s="87"/>
      <c r="EOS1" s="87"/>
      <c r="EOT1" s="87"/>
      <c r="EOU1" s="87"/>
      <c r="EOV1" s="87"/>
      <c r="EOW1" s="87"/>
      <c r="EOX1" s="87"/>
      <c r="EOY1" s="87"/>
      <c r="EOZ1" s="87"/>
      <c r="EPA1" s="87"/>
      <c r="EPB1" s="87"/>
      <c r="EPC1" s="87"/>
      <c r="EPD1" s="87"/>
      <c r="EPE1" s="87"/>
      <c r="EPF1" s="87"/>
      <c r="EPG1" s="87"/>
      <c r="EPH1" s="87"/>
      <c r="EPI1" s="87"/>
      <c r="EPJ1" s="87"/>
      <c r="EPK1" s="87"/>
      <c r="EPL1" s="87"/>
      <c r="EPM1" s="87"/>
      <c r="EPN1" s="87"/>
      <c r="EPO1" s="87"/>
      <c r="EPP1" s="87"/>
      <c r="EPQ1" s="87"/>
      <c r="EPR1" s="87"/>
      <c r="EPS1" s="87"/>
      <c r="EPT1" s="87"/>
      <c r="EPU1" s="87"/>
      <c r="EPV1" s="87"/>
      <c r="EPW1" s="87"/>
      <c r="EPX1" s="87"/>
      <c r="EPY1" s="87"/>
      <c r="EPZ1" s="87"/>
      <c r="EQA1" s="87"/>
      <c r="EQB1" s="87"/>
      <c r="EQC1" s="87"/>
      <c r="EQD1" s="87"/>
      <c r="EQE1" s="87"/>
      <c r="EQF1" s="87"/>
      <c r="EQG1" s="87"/>
      <c r="EQH1" s="87"/>
      <c r="EQI1" s="87"/>
      <c r="EQJ1" s="87"/>
      <c r="EQK1" s="87"/>
      <c r="EQL1" s="87"/>
      <c r="EQM1" s="87"/>
      <c r="EQN1" s="87"/>
      <c r="EQO1" s="87"/>
      <c r="EQP1" s="87"/>
      <c r="EQQ1" s="87"/>
      <c r="EQR1" s="87"/>
      <c r="EQS1" s="87"/>
      <c r="EQT1" s="87"/>
      <c r="EQU1" s="87"/>
      <c r="EQV1" s="87"/>
      <c r="EQW1" s="87"/>
      <c r="EQX1" s="87"/>
      <c r="EQY1" s="87"/>
      <c r="EQZ1" s="87"/>
      <c r="ERA1" s="87"/>
      <c r="ERB1" s="87"/>
      <c r="ERC1" s="87"/>
      <c r="ERD1" s="87"/>
      <c r="ERE1" s="87"/>
      <c r="ERF1" s="87"/>
      <c r="ERG1" s="87"/>
      <c r="ERH1" s="87"/>
      <c r="ERI1" s="87"/>
      <c r="ERJ1" s="87"/>
      <c r="ERK1" s="87"/>
      <c r="ERL1" s="87"/>
      <c r="ERM1" s="87"/>
      <c r="ERN1" s="87"/>
      <c r="ERO1" s="87"/>
      <c r="ERP1" s="87"/>
      <c r="ERQ1" s="87"/>
      <c r="ERR1" s="87"/>
      <c r="ERS1" s="87"/>
      <c r="ERT1" s="87"/>
      <c r="ERU1" s="87"/>
      <c r="ERV1" s="87"/>
      <c r="ERW1" s="87"/>
      <c r="ERX1" s="87"/>
      <c r="ERY1" s="87"/>
      <c r="ERZ1" s="87"/>
      <c r="ESA1" s="87"/>
      <c r="ESB1" s="87"/>
      <c r="ESC1" s="87"/>
      <c r="ESD1" s="87"/>
      <c r="ESE1" s="87"/>
      <c r="ESF1" s="87"/>
      <c r="ESG1" s="87"/>
      <c r="ESH1" s="87"/>
      <c r="ESI1" s="87"/>
      <c r="ESJ1" s="87"/>
      <c r="ESK1" s="87"/>
      <c r="ESL1" s="87"/>
      <c r="ESM1" s="87"/>
      <c r="ESN1" s="87"/>
      <c r="ESO1" s="87"/>
      <c r="ESP1" s="87"/>
      <c r="ESQ1" s="87"/>
      <c r="ESR1" s="87"/>
      <c r="ESS1" s="87"/>
      <c r="EST1" s="87"/>
      <c r="ESU1" s="87"/>
      <c r="ESV1" s="87"/>
      <c r="ESW1" s="87"/>
      <c r="ESX1" s="87"/>
      <c r="ESY1" s="87"/>
      <c r="ESZ1" s="87"/>
      <c r="ETA1" s="87"/>
      <c r="ETB1" s="87"/>
      <c r="ETC1" s="87"/>
      <c r="ETD1" s="87"/>
      <c r="ETE1" s="87"/>
      <c r="ETF1" s="87"/>
      <c r="ETG1" s="87"/>
      <c r="ETH1" s="87"/>
      <c r="ETI1" s="87"/>
      <c r="ETJ1" s="87"/>
      <c r="ETK1" s="87"/>
      <c r="ETL1" s="87"/>
      <c r="ETM1" s="87"/>
      <c r="ETN1" s="87"/>
      <c r="ETO1" s="87"/>
      <c r="ETP1" s="87"/>
      <c r="ETQ1" s="87"/>
      <c r="ETR1" s="87"/>
      <c r="ETS1" s="87"/>
      <c r="ETT1" s="87"/>
      <c r="ETU1" s="87"/>
      <c r="ETV1" s="87"/>
      <c r="ETW1" s="87"/>
      <c r="ETX1" s="87"/>
      <c r="ETY1" s="87"/>
      <c r="ETZ1" s="87"/>
      <c r="EUA1" s="87"/>
      <c r="EUB1" s="87"/>
      <c r="EUC1" s="87"/>
      <c r="EUD1" s="87"/>
      <c r="EUE1" s="87"/>
      <c r="EUF1" s="87"/>
      <c r="EUG1" s="87"/>
      <c r="EUH1" s="87"/>
      <c r="EUI1" s="87"/>
      <c r="EUJ1" s="87"/>
      <c r="EUK1" s="87"/>
      <c r="EUL1" s="87"/>
      <c r="EUM1" s="87"/>
      <c r="EUN1" s="87"/>
      <c r="EUO1" s="87"/>
      <c r="EUP1" s="87"/>
      <c r="EUQ1" s="87"/>
      <c r="EUR1" s="87"/>
      <c r="EUS1" s="87"/>
      <c r="EUT1" s="87"/>
      <c r="EUU1" s="87"/>
      <c r="EUV1" s="87"/>
      <c r="EUW1" s="87"/>
      <c r="EUX1" s="87"/>
      <c r="EUY1" s="87"/>
      <c r="EUZ1" s="87"/>
      <c r="EVA1" s="87"/>
      <c r="EVB1" s="87"/>
      <c r="EVC1" s="87"/>
      <c r="EVD1" s="87"/>
      <c r="EVE1" s="87"/>
      <c r="EVF1" s="87"/>
      <c r="EVG1" s="87"/>
      <c r="EVH1" s="87"/>
      <c r="EVI1" s="87"/>
      <c r="EVJ1" s="87"/>
      <c r="EVK1" s="87"/>
      <c r="EVL1" s="87"/>
      <c r="EVM1" s="87"/>
      <c r="EVN1" s="87"/>
      <c r="EVO1" s="87"/>
      <c r="EVP1" s="87"/>
      <c r="EVQ1" s="87"/>
      <c r="EVR1" s="87"/>
      <c r="EVS1" s="87"/>
      <c r="EVT1" s="87"/>
      <c r="EVU1" s="87"/>
      <c r="EVV1" s="87"/>
      <c r="EVW1" s="87"/>
      <c r="EVX1" s="87"/>
      <c r="EVY1" s="87"/>
      <c r="EVZ1" s="87"/>
      <c r="EWA1" s="87"/>
      <c r="EWB1" s="87"/>
      <c r="EWC1" s="87"/>
      <c r="EWD1" s="87"/>
      <c r="EWE1" s="87"/>
      <c r="EWF1" s="87"/>
      <c r="EWG1" s="87"/>
      <c r="EWH1" s="87"/>
      <c r="EWI1" s="87"/>
      <c r="EWJ1" s="87"/>
      <c r="EWK1" s="87"/>
      <c r="EWL1" s="87"/>
      <c r="EWM1" s="87"/>
      <c r="EWN1" s="87"/>
      <c r="EWO1" s="87"/>
      <c r="EWP1" s="87"/>
      <c r="EWQ1" s="87"/>
      <c r="EWR1" s="87"/>
      <c r="EWS1" s="87"/>
      <c r="EWT1" s="87"/>
      <c r="EWU1" s="87"/>
      <c r="EWV1" s="87"/>
      <c r="EWW1" s="87"/>
      <c r="EWX1" s="87"/>
      <c r="EWY1" s="87"/>
      <c r="EWZ1" s="87"/>
      <c r="EXA1" s="87"/>
      <c r="EXB1" s="87"/>
      <c r="EXC1" s="87"/>
      <c r="EXD1" s="87"/>
      <c r="EXE1" s="87"/>
      <c r="EXF1" s="87"/>
      <c r="EXG1" s="87"/>
      <c r="EXH1" s="87"/>
      <c r="EXI1" s="87"/>
      <c r="EXJ1" s="87"/>
      <c r="EXK1" s="87"/>
      <c r="EXL1" s="87"/>
      <c r="EXM1" s="87"/>
      <c r="EXN1" s="87"/>
      <c r="EXO1" s="87"/>
      <c r="EXP1" s="87"/>
      <c r="EXQ1" s="87"/>
      <c r="EXR1" s="87"/>
      <c r="EXS1" s="87"/>
      <c r="EXT1" s="87"/>
      <c r="EXU1" s="87"/>
      <c r="EXV1" s="87"/>
      <c r="EXW1" s="87"/>
      <c r="EXX1" s="87"/>
      <c r="EXY1" s="87"/>
      <c r="EXZ1" s="87"/>
      <c r="EYA1" s="87"/>
      <c r="EYB1" s="87"/>
      <c r="EYC1" s="87"/>
      <c r="EYD1" s="87"/>
      <c r="EYE1" s="87"/>
      <c r="EYF1" s="87"/>
      <c r="EYG1" s="87"/>
      <c r="EYH1" s="87"/>
      <c r="EYI1" s="87"/>
      <c r="EYJ1" s="87"/>
      <c r="EYK1" s="87"/>
      <c r="EYL1" s="87"/>
      <c r="EYM1" s="87"/>
      <c r="EYN1" s="87"/>
      <c r="EYO1" s="87"/>
      <c r="EYP1" s="87"/>
      <c r="EYQ1" s="87"/>
      <c r="EYR1" s="87"/>
      <c r="EYS1" s="87"/>
      <c r="EYT1" s="87"/>
      <c r="EYU1" s="87"/>
      <c r="EYV1" s="87"/>
      <c r="EYW1" s="87"/>
      <c r="EYX1" s="87"/>
      <c r="EYY1" s="87"/>
      <c r="EYZ1" s="87"/>
      <c r="EZA1" s="87"/>
      <c r="EZB1" s="87"/>
      <c r="EZC1" s="87"/>
      <c r="EZD1" s="87"/>
      <c r="EZE1" s="87"/>
      <c r="EZF1" s="87"/>
      <c r="EZG1" s="87"/>
      <c r="EZH1" s="87"/>
      <c r="EZI1" s="87"/>
      <c r="EZJ1" s="87"/>
      <c r="EZK1" s="87"/>
      <c r="EZL1" s="87"/>
      <c r="EZM1" s="87"/>
      <c r="EZN1" s="87"/>
      <c r="EZO1" s="87"/>
      <c r="EZP1" s="87"/>
      <c r="EZQ1" s="87"/>
      <c r="EZR1" s="87"/>
      <c r="EZS1" s="87"/>
      <c r="EZT1" s="87"/>
      <c r="EZU1" s="87"/>
      <c r="EZV1" s="87"/>
      <c r="EZW1" s="87"/>
      <c r="EZX1" s="87"/>
      <c r="EZY1" s="87"/>
      <c r="EZZ1" s="87"/>
      <c r="FAA1" s="87"/>
      <c r="FAB1" s="87"/>
      <c r="FAC1" s="87"/>
      <c r="FAD1" s="87"/>
      <c r="FAE1" s="87"/>
      <c r="FAF1" s="87"/>
      <c r="FAG1" s="87"/>
      <c r="FAH1" s="87"/>
      <c r="FAI1" s="87"/>
      <c r="FAJ1" s="87"/>
      <c r="FAK1" s="87"/>
      <c r="FAL1" s="87"/>
      <c r="FAM1" s="87"/>
      <c r="FAN1" s="87"/>
      <c r="FAO1" s="87"/>
      <c r="FAP1" s="87"/>
      <c r="FAQ1" s="87"/>
      <c r="FAR1" s="87"/>
      <c r="FAS1" s="87"/>
      <c r="FAT1" s="87"/>
      <c r="FAU1" s="87"/>
      <c r="FAV1" s="87"/>
      <c r="FAW1" s="87"/>
      <c r="FAX1" s="87"/>
      <c r="FAY1" s="87"/>
      <c r="FAZ1" s="87"/>
      <c r="FBA1" s="87"/>
      <c r="FBB1" s="87"/>
      <c r="FBC1" s="87"/>
      <c r="FBD1" s="87"/>
      <c r="FBE1" s="87"/>
      <c r="FBF1" s="87"/>
      <c r="FBG1" s="87"/>
      <c r="FBH1" s="87"/>
      <c r="FBI1" s="87"/>
      <c r="FBJ1" s="87"/>
      <c r="FBK1" s="87"/>
      <c r="FBL1" s="87"/>
      <c r="FBM1" s="87"/>
      <c r="FBN1" s="87"/>
      <c r="FBO1" s="87"/>
      <c r="FBP1" s="87"/>
      <c r="FBQ1" s="87"/>
      <c r="FBR1" s="87"/>
      <c r="FBS1" s="87"/>
      <c r="FBT1" s="87"/>
      <c r="FBU1" s="87"/>
      <c r="FBV1" s="87"/>
      <c r="FBW1" s="87"/>
      <c r="FBX1" s="87"/>
      <c r="FBY1" s="87"/>
      <c r="FBZ1" s="87"/>
      <c r="FCA1" s="87"/>
      <c r="FCB1" s="87"/>
      <c r="FCC1" s="87"/>
      <c r="FCD1" s="87"/>
      <c r="FCE1" s="87"/>
      <c r="FCF1" s="87"/>
      <c r="FCG1" s="87"/>
      <c r="FCH1" s="87"/>
      <c r="FCI1" s="87"/>
      <c r="FCJ1" s="87"/>
      <c r="FCK1" s="87"/>
      <c r="FCL1" s="87"/>
      <c r="FCM1" s="87"/>
      <c r="FCN1" s="87"/>
      <c r="FCO1" s="87"/>
      <c r="FCP1" s="87"/>
      <c r="FCQ1" s="87"/>
      <c r="FCR1" s="87"/>
      <c r="FCS1" s="87"/>
      <c r="FCT1" s="87"/>
      <c r="FCU1" s="87"/>
      <c r="FCV1" s="87"/>
      <c r="FCW1" s="87"/>
      <c r="FCX1" s="87"/>
      <c r="FCY1" s="87"/>
      <c r="FCZ1" s="87"/>
      <c r="FDA1" s="87"/>
      <c r="FDB1" s="87"/>
      <c r="FDC1" s="87"/>
      <c r="FDD1" s="87"/>
      <c r="FDE1" s="87"/>
      <c r="FDF1" s="87"/>
      <c r="FDG1" s="87"/>
      <c r="FDH1" s="87"/>
      <c r="FDI1" s="87"/>
      <c r="FDJ1" s="87"/>
      <c r="FDK1" s="87"/>
      <c r="FDL1" s="87"/>
      <c r="FDM1" s="87"/>
      <c r="FDN1" s="87"/>
      <c r="FDO1" s="87"/>
      <c r="FDP1" s="87"/>
      <c r="FDQ1" s="87"/>
      <c r="FDR1" s="87"/>
      <c r="FDS1" s="87"/>
      <c r="FDT1" s="87"/>
      <c r="FDU1" s="87"/>
      <c r="FDV1" s="87"/>
      <c r="FDW1" s="87"/>
      <c r="FDX1" s="87"/>
      <c r="FDY1" s="87"/>
      <c r="FDZ1" s="87"/>
      <c r="FEA1" s="87"/>
      <c r="FEB1" s="87"/>
      <c r="FEC1" s="87"/>
      <c r="FED1" s="87"/>
      <c r="FEE1" s="87"/>
      <c r="FEF1" s="87"/>
      <c r="FEG1" s="87"/>
      <c r="FEH1" s="87"/>
      <c r="FEI1" s="87"/>
      <c r="FEJ1" s="87"/>
      <c r="FEK1" s="87"/>
      <c r="FEL1" s="87"/>
      <c r="FEM1" s="87"/>
      <c r="FEN1" s="87"/>
      <c r="FEO1" s="87"/>
      <c r="FEP1" s="87"/>
      <c r="FEQ1" s="87"/>
      <c r="FER1" s="87"/>
      <c r="FES1" s="87"/>
      <c r="FET1" s="87"/>
      <c r="FEU1" s="87"/>
      <c r="FEV1" s="87"/>
      <c r="FEW1" s="87"/>
      <c r="FEX1" s="87"/>
      <c r="FEY1" s="87"/>
      <c r="FEZ1" s="87"/>
      <c r="FFA1" s="87"/>
      <c r="FFB1" s="87"/>
      <c r="FFC1" s="87"/>
      <c r="FFD1" s="87"/>
      <c r="FFE1" s="87"/>
      <c r="FFF1" s="87"/>
      <c r="FFG1" s="87"/>
      <c r="FFH1" s="87"/>
      <c r="FFI1" s="87"/>
      <c r="FFJ1" s="87"/>
      <c r="FFK1" s="87"/>
      <c r="FFL1" s="87"/>
      <c r="FFM1" s="87"/>
      <c r="FFN1" s="87"/>
      <c r="FFO1" s="87"/>
      <c r="FFP1" s="87"/>
      <c r="FFQ1" s="87"/>
      <c r="FFR1" s="87"/>
      <c r="FFS1" s="87"/>
      <c r="FFT1" s="87"/>
      <c r="FFU1" s="87"/>
      <c r="FFV1" s="87"/>
      <c r="FFW1" s="87"/>
      <c r="FFX1" s="87"/>
      <c r="FFY1" s="87"/>
      <c r="FFZ1" s="87"/>
      <c r="FGA1" s="87"/>
      <c r="FGB1" s="87"/>
      <c r="FGC1" s="87"/>
      <c r="FGD1" s="87"/>
      <c r="FGE1" s="87"/>
      <c r="FGF1" s="87"/>
      <c r="FGG1" s="87"/>
      <c r="FGH1" s="87"/>
      <c r="FGI1" s="87"/>
      <c r="FGJ1" s="87"/>
      <c r="FGK1" s="87"/>
      <c r="FGL1" s="87"/>
      <c r="FGM1" s="87"/>
      <c r="FGN1" s="87"/>
      <c r="FGO1" s="87"/>
      <c r="FGP1" s="87"/>
      <c r="FGQ1" s="87"/>
      <c r="FGR1" s="87"/>
      <c r="FGS1" s="87"/>
      <c r="FGT1" s="87"/>
      <c r="FGU1" s="87"/>
      <c r="FGV1" s="87"/>
      <c r="FGW1" s="87"/>
      <c r="FGX1" s="87"/>
      <c r="FGY1" s="87"/>
      <c r="FGZ1" s="87"/>
      <c r="FHA1" s="87"/>
      <c r="FHB1" s="87"/>
      <c r="FHC1" s="87"/>
      <c r="FHD1" s="87"/>
      <c r="FHE1" s="87"/>
      <c r="FHF1" s="87"/>
      <c r="FHG1" s="87"/>
      <c r="FHH1" s="87"/>
      <c r="FHI1" s="87"/>
      <c r="FHJ1" s="87"/>
      <c r="FHK1" s="87"/>
      <c r="FHL1" s="87"/>
      <c r="FHM1" s="87"/>
      <c r="FHN1" s="87"/>
      <c r="FHO1" s="87"/>
      <c r="FHP1" s="87"/>
      <c r="FHQ1" s="87"/>
      <c r="FHR1" s="87"/>
      <c r="FHS1" s="87"/>
      <c r="FHT1" s="87"/>
      <c r="FHU1" s="87"/>
      <c r="FHV1" s="87"/>
      <c r="FHW1" s="87"/>
      <c r="FHX1" s="87"/>
      <c r="FHY1" s="87"/>
      <c r="FHZ1" s="87"/>
      <c r="FIA1" s="87"/>
      <c r="FIB1" s="87"/>
      <c r="FIC1" s="87"/>
      <c r="FID1" s="87"/>
      <c r="FIE1" s="87"/>
      <c r="FIF1" s="87"/>
      <c r="FIG1" s="87"/>
      <c r="FIH1" s="87"/>
      <c r="FII1" s="87"/>
      <c r="FIJ1" s="87"/>
      <c r="FIK1" s="87"/>
      <c r="FIL1" s="87"/>
      <c r="FIM1" s="87"/>
      <c r="FIN1" s="87"/>
      <c r="FIO1" s="87"/>
      <c r="FIP1" s="87"/>
      <c r="FIQ1" s="87"/>
      <c r="FIR1" s="87"/>
      <c r="FIS1" s="87"/>
      <c r="FIT1" s="87"/>
      <c r="FIU1" s="87"/>
      <c r="FIV1" s="87"/>
      <c r="FIW1" s="87"/>
      <c r="FIX1" s="87"/>
      <c r="FIY1" s="87"/>
      <c r="FIZ1" s="87"/>
      <c r="FJA1" s="87"/>
      <c r="FJB1" s="87"/>
      <c r="FJC1" s="87"/>
      <c r="FJD1" s="87"/>
      <c r="FJE1" s="87"/>
      <c r="FJF1" s="87"/>
      <c r="FJG1" s="87"/>
      <c r="FJH1" s="87"/>
      <c r="FJI1" s="87"/>
      <c r="FJJ1" s="87"/>
      <c r="FJK1" s="87"/>
      <c r="FJL1" s="87"/>
      <c r="FJM1" s="87"/>
      <c r="FJN1" s="87"/>
      <c r="FJO1" s="87"/>
      <c r="FJP1" s="87"/>
      <c r="FJQ1" s="87"/>
      <c r="FJR1" s="87"/>
      <c r="FJS1" s="87"/>
      <c r="FJT1" s="87"/>
      <c r="FJU1" s="87"/>
      <c r="FJV1" s="87"/>
      <c r="FJW1" s="87"/>
      <c r="FJX1" s="87"/>
      <c r="FJY1" s="87"/>
      <c r="FJZ1" s="87"/>
      <c r="FKA1" s="87"/>
      <c r="FKB1" s="87"/>
      <c r="FKC1" s="87"/>
      <c r="FKD1" s="87"/>
      <c r="FKE1" s="87"/>
      <c r="FKF1" s="87"/>
      <c r="FKG1" s="87"/>
      <c r="FKH1" s="87"/>
      <c r="FKI1" s="87"/>
      <c r="FKJ1" s="87"/>
      <c r="FKK1" s="87"/>
      <c r="FKL1" s="87"/>
      <c r="FKM1" s="87"/>
      <c r="FKN1" s="87"/>
      <c r="FKO1" s="87"/>
      <c r="FKP1" s="87"/>
      <c r="FKQ1" s="87"/>
      <c r="FKR1" s="87"/>
      <c r="FKS1" s="87"/>
      <c r="FKT1" s="87"/>
      <c r="FKU1" s="87"/>
      <c r="FKV1" s="87"/>
      <c r="FKW1" s="87"/>
      <c r="FKX1" s="87"/>
      <c r="FKY1" s="87"/>
      <c r="FKZ1" s="87"/>
      <c r="FLA1" s="87"/>
      <c r="FLB1" s="87"/>
      <c r="FLC1" s="87"/>
      <c r="FLD1" s="87"/>
      <c r="FLE1" s="87"/>
      <c r="FLF1" s="87"/>
      <c r="FLG1" s="87"/>
      <c r="FLH1" s="87"/>
      <c r="FLI1" s="87"/>
      <c r="FLJ1" s="87"/>
      <c r="FLK1" s="87"/>
      <c r="FLL1" s="87"/>
      <c r="FLM1" s="87"/>
      <c r="FLN1" s="87"/>
      <c r="FLO1" s="87"/>
      <c r="FLP1" s="87"/>
      <c r="FLQ1" s="87"/>
      <c r="FLR1" s="87"/>
      <c r="FLS1" s="87"/>
      <c r="FLT1" s="87"/>
      <c r="FLU1" s="87"/>
      <c r="FLV1" s="87"/>
      <c r="FLW1" s="87"/>
      <c r="FLX1" s="87"/>
      <c r="FLY1" s="87"/>
      <c r="FLZ1" s="87"/>
      <c r="FMA1" s="87"/>
      <c r="FMB1" s="87"/>
      <c r="FMC1" s="87"/>
      <c r="FMD1" s="87"/>
      <c r="FME1" s="87"/>
      <c r="FMF1" s="87"/>
      <c r="FMG1" s="87"/>
      <c r="FMH1" s="87"/>
      <c r="FMI1" s="87"/>
      <c r="FMJ1" s="87"/>
      <c r="FMK1" s="87"/>
      <c r="FML1" s="87"/>
      <c r="FMM1" s="87"/>
      <c r="FMN1" s="87"/>
      <c r="FMO1" s="87"/>
      <c r="FMP1" s="87"/>
      <c r="FMQ1" s="87"/>
      <c r="FMR1" s="87"/>
      <c r="FMS1" s="87"/>
      <c r="FMT1" s="87"/>
      <c r="FMU1" s="87"/>
      <c r="FMV1" s="87"/>
      <c r="FMW1" s="87"/>
      <c r="FMX1" s="87"/>
      <c r="FMY1" s="87"/>
      <c r="FMZ1" s="87"/>
      <c r="FNA1" s="87"/>
      <c r="FNB1" s="87"/>
      <c r="FNC1" s="87"/>
      <c r="FND1" s="87"/>
      <c r="FNE1" s="87"/>
      <c r="FNF1" s="87"/>
      <c r="FNG1" s="87"/>
      <c r="FNH1" s="87"/>
      <c r="FNI1" s="87"/>
      <c r="FNJ1" s="87"/>
      <c r="FNK1" s="87"/>
      <c r="FNL1" s="87"/>
      <c r="FNM1" s="87"/>
      <c r="FNN1" s="87"/>
      <c r="FNO1" s="87"/>
      <c r="FNP1" s="87"/>
      <c r="FNQ1" s="87"/>
      <c r="FNR1" s="87"/>
      <c r="FNS1" s="87"/>
      <c r="FNT1" s="87"/>
      <c r="FNU1" s="87"/>
      <c r="FNV1" s="87"/>
      <c r="FNW1" s="87"/>
      <c r="FNX1" s="87"/>
      <c r="FNY1" s="87"/>
      <c r="FNZ1" s="87"/>
      <c r="FOA1" s="87"/>
      <c r="FOB1" s="87"/>
      <c r="FOC1" s="87"/>
      <c r="FOD1" s="87"/>
      <c r="FOE1" s="87"/>
      <c r="FOF1" s="87"/>
      <c r="FOG1" s="87"/>
      <c r="FOH1" s="87"/>
      <c r="FOI1" s="87"/>
      <c r="FOJ1" s="87"/>
      <c r="FOK1" s="87"/>
      <c r="FOL1" s="87"/>
      <c r="FOM1" s="87"/>
      <c r="FON1" s="87"/>
      <c r="FOO1" s="87"/>
      <c r="FOP1" s="87"/>
      <c r="FOQ1" s="87"/>
      <c r="FOR1" s="87"/>
      <c r="FOS1" s="87"/>
      <c r="FOT1" s="87"/>
      <c r="FOU1" s="87"/>
      <c r="FOV1" s="87"/>
      <c r="FOW1" s="87"/>
      <c r="FOX1" s="87"/>
      <c r="FOY1" s="87"/>
      <c r="FOZ1" s="87"/>
      <c r="FPA1" s="87"/>
      <c r="FPB1" s="87"/>
      <c r="FPC1" s="87"/>
      <c r="FPD1" s="87"/>
      <c r="FPE1" s="87"/>
      <c r="FPF1" s="87"/>
      <c r="FPG1" s="87"/>
      <c r="FPH1" s="87"/>
      <c r="FPI1" s="87"/>
      <c r="FPJ1" s="87"/>
      <c r="FPK1" s="87"/>
      <c r="FPL1" s="87"/>
      <c r="FPM1" s="87"/>
      <c r="FPN1" s="87"/>
      <c r="FPO1" s="87"/>
      <c r="FPP1" s="87"/>
      <c r="FPQ1" s="87"/>
      <c r="FPR1" s="87"/>
      <c r="FPS1" s="87"/>
      <c r="FPT1" s="87"/>
      <c r="FPU1" s="87"/>
      <c r="FPV1" s="87"/>
      <c r="FPW1" s="87"/>
      <c r="FPX1" s="87"/>
      <c r="FPY1" s="87"/>
      <c r="FPZ1" s="87"/>
      <c r="FQA1" s="87"/>
      <c r="FQB1" s="87"/>
      <c r="FQC1" s="87"/>
      <c r="FQD1" s="87"/>
      <c r="FQE1" s="87"/>
      <c r="FQF1" s="87"/>
      <c r="FQG1" s="87"/>
      <c r="FQH1" s="87"/>
      <c r="FQI1" s="87"/>
      <c r="FQJ1" s="87"/>
      <c r="FQK1" s="87"/>
      <c r="FQL1" s="87"/>
      <c r="FQM1" s="87"/>
      <c r="FQN1" s="87"/>
      <c r="FQO1" s="87"/>
      <c r="FQP1" s="87"/>
      <c r="FQQ1" s="87"/>
      <c r="FQR1" s="87"/>
      <c r="FQS1" s="87"/>
      <c r="FQT1" s="87"/>
      <c r="FQU1" s="87"/>
      <c r="FQV1" s="87"/>
      <c r="FQW1" s="87"/>
      <c r="FQX1" s="87"/>
      <c r="FQY1" s="87"/>
      <c r="FQZ1" s="87"/>
      <c r="FRA1" s="87"/>
      <c r="FRB1" s="87"/>
      <c r="FRC1" s="87"/>
      <c r="FRD1" s="87"/>
      <c r="FRE1" s="87"/>
      <c r="FRF1" s="87"/>
      <c r="FRG1" s="87"/>
      <c r="FRH1" s="87"/>
      <c r="FRI1" s="87"/>
      <c r="FRJ1" s="87"/>
      <c r="FRK1" s="87"/>
      <c r="FRL1" s="87"/>
      <c r="FRM1" s="87"/>
      <c r="FRN1" s="87"/>
      <c r="FRO1" s="87"/>
      <c r="FRP1" s="87"/>
      <c r="FRQ1" s="87"/>
      <c r="FRR1" s="87"/>
      <c r="FRS1" s="87"/>
      <c r="FRT1" s="87"/>
      <c r="FRU1" s="87"/>
      <c r="FRV1" s="87"/>
      <c r="FRW1" s="87"/>
      <c r="FRX1" s="87"/>
      <c r="FRY1" s="87"/>
      <c r="FRZ1" s="87"/>
      <c r="FSA1" s="87"/>
      <c r="FSB1" s="87"/>
      <c r="FSC1" s="87"/>
      <c r="FSD1" s="87"/>
      <c r="FSE1" s="87"/>
      <c r="FSF1" s="87"/>
      <c r="FSG1" s="87"/>
      <c r="FSH1" s="87"/>
      <c r="FSI1" s="87"/>
      <c r="FSJ1" s="87"/>
      <c r="FSK1" s="87"/>
      <c r="FSL1" s="87"/>
      <c r="FSM1" s="87"/>
      <c r="FSN1" s="87"/>
      <c r="FSO1" s="87"/>
      <c r="FSP1" s="87"/>
      <c r="FSQ1" s="87"/>
      <c r="FSR1" s="87"/>
      <c r="FSS1" s="87"/>
      <c r="FST1" s="87"/>
      <c r="FSU1" s="87"/>
      <c r="FSV1" s="87"/>
      <c r="FSW1" s="87"/>
      <c r="FSX1" s="87"/>
      <c r="FSY1" s="87"/>
      <c r="FSZ1" s="87"/>
      <c r="FTA1" s="87"/>
      <c r="FTB1" s="87"/>
      <c r="FTC1" s="87"/>
      <c r="FTD1" s="87"/>
      <c r="FTE1" s="87"/>
      <c r="FTF1" s="87"/>
      <c r="FTG1" s="87"/>
      <c r="FTH1" s="87"/>
      <c r="FTI1" s="87"/>
      <c r="FTJ1" s="87"/>
      <c r="FTK1" s="87"/>
      <c r="FTL1" s="87"/>
      <c r="FTM1" s="87"/>
      <c r="FTN1" s="87"/>
      <c r="FTO1" s="87"/>
      <c r="FTP1" s="87"/>
      <c r="FTQ1" s="87"/>
      <c r="FTR1" s="87"/>
      <c r="FTS1" s="87"/>
      <c r="FTT1" s="87"/>
      <c r="FTU1" s="87"/>
      <c r="FTV1" s="87"/>
      <c r="FTW1" s="87"/>
      <c r="FTX1" s="87"/>
      <c r="FTY1" s="87"/>
      <c r="FTZ1" s="87"/>
      <c r="FUA1" s="87"/>
      <c r="FUB1" s="87"/>
      <c r="FUC1" s="87"/>
      <c r="FUD1" s="87"/>
      <c r="FUE1" s="87"/>
      <c r="FUF1" s="87"/>
      <c r="FUG1" s="87"/>
      <c r="FUH1" s="87"/>
      <c r="FUI1" s="87"/>
      <c r="FUJ1" s="87"/>
      <c r="FUK1" s="87"/>
      <c r="FUL1" s="87"/>
      <c r="FUM1" s="87"/>
      <c r="FUN1" s="87"/>
      <c r="FUO1" s="87"/>
      <c r="FUP1" s="87"/>
      <c r="FUQ1" s="87"/>
      <c r="FUR1" s="87"/>
      <c r="FUS1" s="87"/>
      <c r="FUT1" s="87"/>
      <c r="FUU1" s="87"/>
      <c r="FUV1" s="87"/>
      <c r="FUW1" s="87"/>
      <c r="FUX1" s="87"/>
      <c r="FUY1" s="87"/>
      <c r="FUZ1" s="87"/>
      <c r="FVA1" s="87"/>
      <c r="FVB1" s="87"/>
      <c r="FVC1" s="87"/>
      <c r="FVD1" s="87"/>
      <c r="FVE1" s="87"/>
      <c r="FVF1" s="87"/>
      <c r="FVG1" s="87"/>
      <c r="FVH1" s="87"/>
      <c r="FVI1" s="87"/>
      <c r="FVJ1" s="87"/>
      <c r="FVK1" s="87"/>
      <c r="FVL1" s="87"/>
      <c r="FVM1" s="87"/>
      <c r="FVN1" s="87"/>
      <c r="FVO1" s="87"/>
      <c r="FVP1" s="87"/>
      <c r="FVQ1" s="87"/>
      <c r="FVR1" s="87"/>
      <c r="FVS1" s="87"/>
      <c r="FVT1" s="87"/>
      <c r="FVU1" s="87"/>
      <c r="FVV1" s="87"/>
      <c r="FVW1" s="87"/>
      <c r="FVX1" s="87"/>
      <c r="FVY1" s="87"/>
      <c r="FVZ1" s="87"/>
      <c r="FWA1" s="87"/>
      <c r="FWB1" s="87"/>
      <c r="FWC1" s="87"/>
      <c r="FWD1" s="87"/>
      <c r="FWE1" s="87"/>
      <c r="FWF1" s="87"/>
      <c r="FWG1" s="87"/>
      <c r="FWH1" s="87"/>
      <c r="FWI1" s="87"/>
      <c r="FWJ1" s="87"/>
      <c r="FWK1" s="87"/>
      <c r="FWL1" s="87"/>
      <c r="FWM1" s="87"/>
      <c r="FWN1" s="87"/>
      <c r="FWO1" s="87"/>
      <c r="FWP1" s="87"/>
      <c r="FWQ1" s="87"/>
      <c r="FWR1" s="87"/>
      <c r="FWS1" s="87"/>
      <c r="FWT1" s="87"/>
      <c r="FWU1" s="87"/>
      <c r="FWV1" s="87"/>
      <c r="FWW1" s="87"/>
      <c r="FWX1" s="87"/>
      <c r="FWY1" s="87"/>
      <c r="FWZ1" s="87"/>
      <c r="FXA1" s="87"/>
      <c r="FXB1" s="87"/>
      <c r="FXC1" s="87"/>
      <c r="FXD1" s="87"/>
      <c r="FXE1" s="87"/>
      <c r="FXF1" s="87"/>
      <c r="FXG1" s="87"/>
      <c r="FXH1" s="87"/>
      <c r="FXI1" s="87"/>
      <c r="FXJ1" s="87"/>
      <c r="FXK1" s="87"/>
      <c r="FXL1" s="87"/>
      <c r="FXM1" s="87"/>
      <c r="FXN1" s="87"/>
      <c r="FXO1" s="87"/>
      <c r="FXP1" s="87"/>
      <c r="FXQ1" s="87"/>
      <c r="FXR1" s="87"/>
      <c r="FXS1" s="87"/>
      <c r="FXT1" s="87"/>
      <c r="FXU1" s="87"/>
      <c r="FXV1" s="87"/>
      <c r="FXW1" s="87"/>
      <c r="FXX1" s="87"/>
      <c r="FXY1" s="87"/>
      <c r="FXZ1" s="87"/>
      <c r="FYA1" s="87"/>
      <c r="FYB1" s="87"/>
      <c r="FYC1" s="87"/>
      <c r="FYD1" s="87"/>
      <c r="FYE1" s="87"/>
      <c r="FYF1" s="87"/>
      <c r="FYG1" s="87"/>
      <c r="FYH1" s="87"/>
      <c r="FYI1" s="87"/>
      <c r="FYJ1" s="87"/>
      <c r="FYK1" s="87"/>
      <c r="FYL1" s="87"/>
      <c r="FYM1" s="87"/>
      <c r="FYN1" s="87"/>
      <c r="FYO1" s="87"/>
      <c r="FYP1" s="87"/>
      <c r="FYQ1" s="87"/>
      <c r="FYR1" s="87"/>
      <c r="FYS1" s="87"/>
      <c r="FYT1" s="87"/>
      <c r="FYU1" s="87"/>
      <c r="FYV1" s="87"/>
      <c r="FYW1" s="87"/>
      <c r="FYX1" s="87"/>
      <c r="FYY1" s="87"/>
      <c r="FYZ1" s="87"/>
      <c r="FZA1" s="87"/>
      <c r="FZB1" s="87"/>
      <c r="FZC1" s="87"/>
      <c r="FZD1" s="87"/>
      <c r="FZE1" s="87"/>
      <c r="FZF1" s="87"/>
      <c r="FZG1" s="87"/>
      <c r="FZH1" s="87"/>
      <c r="FZI1" s="87"/>
      <c r="FZJ1" s="87"/>
      <c r="FZK1" s="87"/>
      <c r="FZL1" s="87"/>
      <c r="FZM1" s="87"/>
      <c r="FZN1" s="87"/>
      <c r="FZO1" s="87"/>
      <c r="FZP1" s="87"/>
      <c r="FZQ1" s="87"/>
      <c r="FZR1" s="87"/>
      <c r="FZS1" s="87"/>
      <c r="FZT1" s="87"/>
      <c r="FZU1" s="87"/>
      <c r="FZV1" s="87"/>
      <c r="FZW1" s="87"/>
      <c r="FZX1" s="87"/>
      <c r="FZY1" s="87"/>
      <c r="FZZ1" s="87"/>
      <c r="GAA1" s="87"/>
      <c r="GAB1" s="87"/>
      <c r="GAC1" s="87"/>
      <c r="GAD1" s="87"/>
      <c r="GAE1" s="87"/>
      <c r="GAF1" s="87"/>
      <c r="GAG1" s="87"/>
      <c r="GAH1" s="87"/>
      <c r="GAI1" s="87"/>
      <c r="GAJ1" s="87"/>
      <c r="GAK1" s="87"/>
      <c r="GAL1" s="87"/>
      <c r="GAM1" s="87"/>
      <c r="GAN1" s="87"/>
      <c r="GAO1" s="87"/>
      <c r="GAP1" s="87"/>
      <c r="GAQ1" s="87"/>
      <c r="GAR1" s="87"/>
      <c r="GAS1" s="87"/>
      <c r="GAT1" s="87"/>
      <c r="GAU1" s="87"/>
      <c r="GAV1" s="87"/>
      <c r="GAW1" s="87"/>
      <c r="GAX1" s="87"/>
      <c r="GAY1" s="87"/>
      <c r="GAZ1" s="87"/>
      <c r="GBA1" s="87"/>
      <c r="GBB1" s="87"/>
      <c r="GBC1" s="87"/>
      <c r="GBD1" s="87"/>
      <c r="GBE1" s="87"/>
      <c r="GBF1" s="87"/>
      <c r="GBG1" s="87"/>
      <c r="GBH1" s="87"/>
      <c r="GBI1" s="87"/>
      <c r="GBJ1" s="87"/>
      <c r="GBK1" s="87"/>
      <c r="GBL1" s="87"/>
      <c r="GBM1" s="87"/>
      <c r="GBN1" s="87"/>
      <c r="GBO1" s="87"/>
      <c r="GBP1" s="87"/>
      <c r="GBQ1" s="87"/>
      <c r="GBR1" s="87"/>
      <c r="GBS1" s="87"/>
      <c r="GBT1" s="87"/>
      <c r="GBU1" s="87"/>
      <c r="GBV1" s="87"/>
      <c r="GBW1" s="87"/>
      <c r="GBX1" s="87"/>
      <c r="GBY1" s="87"/>
      <c r="GBZ1" s="87"/>
      <c r="GCA1" s="87"/>
      <c r="GCB1" s="87"/>
      <c r="GCC1" s="87"/>
      <c r="GCD1" s="87"/>
      <c r="GCE1" s="87"/>
      <c r="GCF1" s="87"/>
      <c r="GCG1" s="87"/>
      <c r="GCH1" s="87"/>
      <c r="GCI1" s="87"/>
      <c r="GCJ1" s="87"/>
      <c r="GCK1" s="87"/>
      <c r="GCL1" s="87"/>
      <c r="GCM1" s="87"/>
      <c r="GCN1" s="87"/>
      <c r="GCO1" s="87"/>
      <c r="GCP1" s="87"/>
      <c r="GCQ1" s="87"/>
      <c r="GCR1" s="87"/>
      <c r="GCS1" s="87"/>
      <c r="GCT1" s="87"/>
      <c r="GCU1" s="87"/>
      <c r="GCV1" s="87"/>
      <c r="GCW1" s="87"/>
      <c r="GCX1" s="87"/>
      <c r="GCY1" s="87"/>
      <c r="GCZ1" s="87"/>
      <c r="GDA1" s="87"/>
      <c r="GDB1" s="87"/>
      <c r="GDC1" s="87"/>
      <c r="GDD1" s="87"/>
      <c r="GDE1" s="87"/>
      <c r="GDF1" s="87"/>
      <c r="GDG1" s="87"/>
      <c r="GDH1" s="87"/>
      <c r="GDI1" s="87"/>
      <c r="GDJ1" s="87"/>
      <c r="GDK1" s="87"/>
      <c r="GDL1" s="87"/>
      <c r="GDM1" s="87"/>
      <c r="GDN1" s="87"/>
      <c r="GDO1" s="87"/>
      <c r="GDP1" s="87"/>
      <c r="GDQ1" s="87"/>
      <c r="GDR1" s="87"/>
      <c r="GDS1" s="87"/>
      <c r="GDT1" s="87"/>
      <c r="GDU1" s="87"/>
      <c r="GDV1" s="87"/>
      <c r="GDW1" s="87"/>
      <c r="GDX1" s="87"/>
      <c r="GDY1" s="87"/>
      <c r="GDZ1" s="87"/>
      <c r="GEA1" s="87"/>
      <c r="GEB1" s="87"/>
      <c r="GEC1" s="87"/>
      <c r="GED1" s="87"/>
      <c r="GEE1" s="87"/>
      <c r="GEF1" s="87"/>
      <c r="GEG1" s="87"/>
      <c r="GEH1" s="87"/>
      <c r="GEI1" s="87"/>
      <c r="GEJ1" s="87"/>
      <c r="GEK1" s="87"/>
      <c r="GEL1" s="87"/>
      <c r="GEM1" s="87"/>
      <c r="GEN1" s="87"/>
      <c r="GEO1" s="87"/>
      <c r="GEP1" s="87"/>
      <c r="GEQ1" s="87"/>
      <c r="GER1" s="87"/>
      <c r="GES1" s="87"/>
      <c r="GET1" s="87"/>
      <c r="GEU1" s="87"/>
      <c r="GEV1" s="87"/>
      <c r="GEW1" s="87"/>
      <c r="GEX1" s="87"/>
      <c r="GEY1" s="87"/>
      <c r="GEZ1" s="87"/>
      <c r="GFA1" s="87"/>
      <c r="GFB1" s="87"/>
      <c r="GFC1" s="87"/>
      <c r="GFD1" s="87"/>
      <c r="GFE1" s="87"/>
      <c r="GFF1" s="87"/>
      <c r="GFG1" s="87"/>
      <c r="GFH1" s="87"/>
      <c r="GFI1" s="87"/>
      <c r="GFJ1" s="87"/>
      <c r="GFK1" s="87"/>
      <c r="GFL1" s="87"/>
      <c r="GFM1" s="87"/>
      <c r="GFN1" s="87"/>
      <c r="GFO1" s="87"/>
      <c r="GFP1" s="87"/>
      <c r="GFQ1" s="87"/>
      <c r="GFR1" s="87"/>
      <c r="GFS1" s="87"/>
      <c r="GFT1" s="87"/>
      <c r="GFU1" s="87"/>
      <c r="GFV1" s="87"/>
      <c r="GFW1" s="87"/>
      <c r="GFX1" s="87"/>
      <c r="GFY1" s="87"/>
      <c r="GFZ1" s="87"/>
      <c r="GGA1" s="87"/>
      <c r="GGB1" s="87"/>
      <c r="GGC1" s="87"/>
      <c r="GGD1" s="87"/>
      <c r="GGE1" s="87"/>
      <c r="GGF1" s="87"/>
      <c r="GGG1" s="87"/>
      <c r="GGH1" s="87"/>
      <c r="GGI1" s="87"/>
      <c r="GGJ1" s="87"/>
      <c r="GGK1" s="87"/>
      <c r="GGL1" s="87"/>
      <c r="GGM1" s="87"/>
      <c r="GGN1" s="87"/>
      <c r="GGO1" s="87"/>
      <c r="GGP1" s="87"/>
      <c r="GGQ1" s="87"/>
      <c r="GGR1" s="87"/>
      <c r="GGS1" s="87"/>
      <c r="GGT1" s="87"/>
      <c r="GGU1" s="87"/>
      <c r="GGV1" s="87"/>
      <c r="GGW1" s="87"/>
      <c r="GGX1" s="87"/>
      <c r="GGY1" s="87"/>
      <c r="GGZ1" s="87"/>
      <c r="GHA1" s="87"/>
      <c r="GHB1" s="87"/>
      <c r="GHC1" s="87"/>
      <c r="GHD1" s="87"/>
      <c r="GHE1" s="87"/>
      <c r="GHF1" s="87"/>
      <c r="GHG1" s="87"/>
      <c r="GHH1" s="87"/>
      <c r="GHI1" s="87"/>
      <c r="GHJ1" s="87"/>
      <c r="GHK1" s="87"/>
      <c r="GHL1" s="87"/>
      <c r="GHM1" s="87"/>
      <c r="GHN1" s="87"/>
      <c r="GHO1" s="87"/>
      <c r="GHP1" s="87"/>
      <c r="GHQ1" s="87"/>
      <c r="GHR1" s="87"/>
      <c r="GHS1" s="87"/>
      <c r="GHT1" s="87"/>
      <c r="GHU1" s="87"/>
      <c r="GHV1" s="87"/>
      <c r="GHW1" s="87"/>
      <c r="GHX1" s="87"/>
      <c r="GHY1" s="87"/>
      <c r="GHZ1" s="87"/>
      <c r="GIA1" s="87"/>
      <c r="GIB1" s="87"/>
      <c r="GIC1" s="87"/>
      <c r="GID1" s="87"/>
      <c r="GIE1" s="87"/>
      <c r="GIF1" s="87"/>
      <c r="GIG1" s="87"/>
      <c r="GIH1" s="87"/>
      <c r="GII1" s="87"/>
      <c r="GIJ1" s="87"/>
      <c r="GIK1" s="87"/>
      <c r="GIL1" s="87"/>
      <c r="GIM1" s="87"/>
      <c r="GIN1" s="87"/>
      <c r="GIO1" s="87"/>
      <c r="GIP1" s="87"/>
      <c r="GIQ1" s="87"/>
      <c r="GIR1" s="87"/>
      <c r="GIS1" s="87"/>
      <c r="GIT1" s="87"/>
      <c r="GIU1" s="87"/>
      <c r="GIV1" s="87"/>
      <c r="GIW1" s="87"/>
      <c r="GIX1" s="87"/>
      <c r="GIY1" s="87"/>
      <c r="GIZ1" s="87"/>
      <c r="GJA1" s="87"/>
      <c r="GJB1" s="87"/>
      <c r="GJC1" s="87"/>
      <c r="GJD1" s="87"/>
      <c r="GJE1" s="87"/>
      <c r="GJF1" s="87"/>
      <c r="GJG1" s="87"/>
      <c r="GJH1" s="87"/>
      <c r="GJI1" s="87"/>
      <c r="GJJ1" s="87"/>
      <c r="GJK1" s="87"/>
      <c r="GJL1" s="87"/>
      <c r="GJM1" s="87"/>
      <c r="GJN1" s="87"/>
      <c r="GJO1" s="87"/>
      <c r="GJP1" s="87"/>
      <c r="GJQ1" s="87"/>
      <c r="GJR1" s="87"/>
      <c r="GJS1" s="87"/>
      <c r="GJT1" s="87"/>
      <c r="GJU1" s="87"/>
      <c r="GJV1" s="87"/>
      <c r="GJW1" s="87"/>
      <c r="GJX1" s="87"/>
      <c r="GJY1" s="87"/>
      <c r="GJZ1" s="87"/>
      <c r="GKA1" s="87"/>
      <c r="GKB1" s="87"/>
      <c r="GKC1" s="87"/>
      <c r="GKD1" s="87"/>
      <c r="GKE1" s="87"/>
      <c r="GKF1" s="87"/>
      <c r="GKG1" s="87"/>
      <c r="GKH1" s="87"/>
      <c r="GKI1" s="87"/>
      <c r="GKJ1" s="87"/>
      <c r="GKK1" s="87"/>
      <c r="GKL1" s="87"/>
      <c r="GKM1" s="87"/>
      <c r="GKN1" s="87"/>
      <c r="GKO1" s="87"/>
      <c r="GKP1" s="87"/>
      <c r="GKQ1" s="87"/>
      <c r="GKR1" s="87"/>
      <c r="GKS1" s="87"/>
      <c r="GKT1" s="87"/>
      <c r="GKU1" s="87"/>
      <c r="GKV1" s="87"/>
      <c r="GKW1" s="87"/>
      <c r="GKX1" s="87"/>
      <c r="GKY1" s="87"/>
      <c r="GKZ1" s="87"/>
      <c r="GLA1" s="87"/>
      <c r="GLB1" s="87"/>
      <c r="GLC1" s="87"/>
      <c r="GLD1" s="87"/>
      <c r="GLE1" s="87"/>
      <c r="GLF1" s="87"/>
      <c r="GLG1" s="87"/>
      <c r="GLH1" s="87"/>
      <c r="GLI1" s="87"/>
      <c r="GLJ1" s="87"/>
      <c r="GLK1" s="87"/>
      <c r="GLL1" s="87"/>
      <c r="GLM1" s="87"/>
      <c r="GLN1" s="87"/>
      <c r="GLO1" s="87"/>
      <c r="GLP1" s="87"/>
      <c r="GLQ1" s="87"/>
      <c r="GLR1" s="87"/>
      <c r="GLS1" s="87"/>
      <c r="GLT1" s="87"/>
      <c r="GLU1" s="87"/>
      <c r="GLV1" s="87"/>
      <c r="GLW1" s="87"/>
      <c r="GLX1" s="87"/>
      <c r="GLY1" s="87"/>
      <c r="GLZ1" s="87"/>
      <c r="GMA1" s="87"/>
      <c r="GMB1" s="87"/>
      <c r="GMC1" s="87"/>
      <c r="GMD1" s="87"/>
      <c r="GME1" s="87"/>
      <c r="GMF1" s="87"/>
      <c r="GMG1" s="87"/>
      <c r="GMH1" s="87"/>
      <c r="GMI1" s="87"/>
      <c r="GMJ1" s="87"/>
      <c r="GMK1" s="87"/>
      <c r="GML1" s="87"/>
      <c r="GMM1" s="87"/>
      <c r="GMN1" s="87"/>
      <c r="GMO1" s="87"/>
      <c r="GMP1" s="87"/>
      <c r="GMQ1" s="87"/>
      <c r="GMR1" s="87"/>
      <c r="GMS1" s="87"/>
      <c r="GMT1" s="87"/>
      <c r="GMU1" s="87"/>
      <c r="GMV1" s="87"/>
      <c r="GMW1" s="87"/>
      <c r="GMX1" s="87"/>
      <c r="GMY1" s="87"/>
      <c r="GMZ1" s="87"/>
      <c r="GNA1" s="87"/>
      <c r="GNB1" s="87"/>
      <c r="GNC1" s="87"/>
      <c r="GND1" s="87"/>
      <c r="GNE1" s="87"/>
      <c r="GNF1" s="87"/>
      <c r="GNG1" s="87"/>
      <c r="GNH1" s="87"/>
      <c r="GNI1" s="87"/>
      <c r="GNJ1" s="87"/>
      <c r="GNK1" s="87"/>
      <c r="GNL1" s="87"/>
      <c r="GNM1" s="87"/>
      <c r="GNN1" s="87"/>
      <c r="GNO1" s="87"/>
      <c r="GNP1" s="87"/>
      <c r="GNQ1" s="87"/>
      <c r="GNR1" s="87"/>
      <c r="GNS1" s="87"/>
      <c r="GNT1" s="87"/>
      <c r="GNU1" s="87"/>
      <c r="GNV1" s="87"/>
      <c r="GNW1" s="87"/>
      <c r="GNX1" s="87"/>
      <c r="GNY1" s="87"/>
      <c r="GNZ1" s="87"/>
      <c r="GOA1" s="87"/>
      <c r="GOB1" s="87"/>
      <c r="GOC1" s="87"/>
      <c r="GOD1" s="87"/>
      <c r="GOE1" s="87"/>
      <c r="GOF1" s="87"/>
      <c r="GOG1" s="87"/>
      <c r="GOH1" s="87"/>
      <c r="GOI1" s="87"/>
      <c r="GOJ1" s="87"/>
      <c r="GOK1" s="87"/>
      <c r="GOL1" s="87"/>
      <c r="GOM1" s="87"/>
      <c r="GON1" s="87"/>
      <c r="GOO1" s="87"/>
      <c r="GOP1" s="87"/>
      <c r="GOQ1" s="87"/>
      <c r="GOR1" s="87"/>
      <c r="GOS1" s="87"/>
      <c r="GOT1" s="87"/>
      <c r="GOU1" s="87"/>
      <c r="GOV1" s="87"/>
      <c r="GOW1" s="87"/>
      <c r="GOX1" s="87"/>
      <c r="GOY1" s="87"/>
      <c r="GOZ1" s="87"/>
      <c r="GPA1" s="87"/>
      <c r="GPB1" s="87"/>
      <c r="GPC1" s="87"/>
      <c r="GPD1" s="87"/>
      <c r="GPE1" s="87"/>
      <c r="GPF1" s="87"/>
      <c r="GPG1" s="87"/>
      <c r="GPH1" s="87"/>
      <c r="GPI1" s="87"/>
      <c r="GPJ1" s="87"/>
      <c r="GPK1" s="87"/>
      <c r="GPL1" s="87"/>
      <c r="GPM1" s="87"/>
      <c r="GPN1" s="87"/>
      <c r="GPO1" s="87"/>
      <c r="GPP1" s="87"/>
      <c r="GPQ1" s="87"/>
      <c r="GPR1" s="87"/>
      <c r="GPS1" s="87"/>
      <c r="GPT1" s="87"/>
      <c r="GPU1" s="87"/>
      <c r="GPV1" s="87"/>
      <c r="GPW1" s="87"/>
      <c r="GPX1" s="87"/>
      <c r="GPY1" s="87"/>
      <c r="GPZ1" s="87"/>
      <c r="GQA1" s="87"/>
      <c r="GQB1" s="87"/>
      <c r="GQC1" s="87"/>
      <c r="GQD1" s="87"/>
      <c r="GQE1" s="87"/>
      <c r="GQF1" s="87"/>
      <c r="GQG1" s="87"/>
      <c r="GQH1" s="87"/>
      <c r="GQI1" s="87"/>
      <c r="GQJ1" s="87"/>
      <c r="GQK1" s="87"/>
      <c r="GQL1" s="87"/>
      <c r="GQM1" s="87"/>
      <c r="GQN1" s="87"/>
      <c r="GQO1" s="87"/>
      <c r="GQP1" s="87"/>
      <c r="GQQ1" s="87"/>
      <c r="GQR1" s="87"/>
      <c r="GQS1" s="87"/>
      <c r="GQT1" s="87"/>
      <c r="GQU1" s="87"/>
      <c r="GQV1" s="87"/>
      <c r="GQW1" s="87"/>
      <c r="GQX1" s="87"/>
      <c r="GQY1" s="87"/>
      <c r="GQZ1" s="87"/>
      <c r="GRA1" s="87"/>
      <c r="GRB1" s="87"/>
      <c r="GRC1" s="87"/>
      <c r="GRD1" s="87"/>
      <c r="GRE1" s="87"/>
      <c r="GRF1" s="87"/>
      <c r="GRG1" s="87"/>
      <c r="GRH1" s="87"/>
      <c r="GRI1" s="87"/>
      <c r="GRJ1" s="87"/>
      <c r="GRK1" s="87"/>
      <c r="GRL1" s="87"/>
      <c r="GRM1" s="87"/>
      <c r="GRN1" s="87"/>
      <c r="GRO1" s="87"/>
      <c r="GRP1" s="87"/>
      <c r="GRQ1" s="87"/>
      <c r="GRR1" s="87"/>
      <c r="GRS1" s="87"/>
      <c r="GRT1" s="87"/>
      <c r="GRU1" s="87"/>
      <c r="GRV1" s="87"/>
      <c r="GRW1" s="87"/>
      <c r="GRX1" s="87"/>
      <c r="GRY1" s="87"/>
      <c r="GRZ1" s="87"/>
      <c r="GSA1" s="87"/>
      <c r="GSB1" s="87"/>
      <c r="GSC1" s="87"/>
      <c r="GSD1" s="87"/>
      <c r="GSE1" s="87"/>
      <c r="GSF1" s="87"/>
      <c r="GSG1" s="87"/>
      <c r="GSH1" s="87"/>
      <c r="GSI1" s="87"/>
      <c r="GSJ1" s="87"/>
      <c r="GSK1" s="87"/>
      <c r="GSL1" s="87"/>
      <c r="GSM1" s="87"/>
      <c r="GSN1" s="87"/>
      <c r="GSO1" s="87"/>
      <c r="GSP1" s="87"/>
      <c r="GSQ1" s="87"/>
      <c r="GSR1" s="87"/>
      <c r="GSS1" s="87"/>
      <c r="GST1" s="87"/>
      <c r="GSU1" s="87"/>
      <c r="GSV1" s="87"/>
      <c r="GSW1" s="87"/>
      <c r="GSX1" s="87"/>
      <c r="GSY1" s="87"/>
      <c r="GSZ1" s="87"/>
      <c r="GTA1" s="87"/>
      <c r="GTB1" s="87"/>
      <c r="GTC1" s="87"/>
      <c r="GTD1" s="87"/>
      <c r="GTE1" s="87"/>
      <c r="GTF1" s="87"/>
      <c r="GTG1" s="87"/>
      <c r="GTH1" s="87"/>
      <c r="GTI1" s="87"/>
      <c r="GTJ1" s="87"/>
      <c r="GTK1" s="87"/>
      <c r="GTL1" s="87"/>
      <c r="GTM1" s="87"/>
      <c r="GTN1" s="87"/>
      <c r="GTO1" s="87"/>
      <c r="GTP1" s="87"/>
      <c r="GTQ1" s="87"/>
      <c r="GTR1" s="87"/>
      <c r="GTS1" s="87"/>
      <c r="GTT1" s="87"/>
      <c r="GTU1" s="87"/>
      <c r="GTV1" s="87"/>
      <c r="GTW1" s="87"/>
      <c r="GTX1" s="87"/>
      <c r="GTY1" s="87"/>
      <c r="GTZ1" s="87"/>
      <c r="GUA1" s="87"/>
      <c r="GUB1" s="87"/>
      <c r="GUC1" s="87"/>
      <c r="GUD1" s="87"/>
      <c r="GUE1" s="87"/>
      <c r="GUF1" s="87"/>
      <c r="GUG1" s="87"/>
      <c r="GUH1" s="87"/>
      <c r="GUI1" s="87"/>
      <c r="GUJ1" s="87"/>
      <c r="GUK1" s="87"/>
      <c r="GUL1" s="87"/>
      <c r="GUM1" s="87"/>
      <c r="GUN1" s="87"/>
      <c r="GUO1" s="87"/>
      <c r="GUP1" s="87"/>
      <c r="GUQ1" s="87"/>
      <c r="GUR1" s="87"/>
      <c r="GUS1" s="87"/>
      <c r="GUT1" s="87"/>
      <c r="GUU1" s="87"/>
      <c r="GUV1" s="87"/>
      <c r="GUW1" s="87"/>
      <c r="GUX1" s="87"/>
      <c r="GUY1" s="87"/>
      <c r="GUZ1" s="87"/>
      <c r="GVA1" s="87"/>
      <c r="GVB1" s="87"/>
      <c r="GVC1" s="87"/>
      <c r="GVD1" s="87"/>
      <c r="GVE1" s="87"/>
      <c r="GVF1" s="87"/>
      <c r="GVG1" s="87"/>
      <c r="GVH1" s="87"/>
      <c r="GVI1" s="87"/>
      <c r="GVJ1" s="87"/>
      <c r="GVK1" s="87"/>
      <c r="GVL1" s="87"/>
      <c r="GVM1" s="87"/>
      <c r="GVN1" s="87"/>
      <c r="GVO1" s="87"/>
      <c r="GVP1" s="87"/>
      <c r="GVQ1" s="87"/>
      <c r="GVR1" s="87"/>
      <c r="GVS1" s="87"/>
      <c r="GVT1" s="87"/>
      <c r="GVU1" s="87"/>
      <c r="GVV1" s="87"/>
      <c r="GVW1" s="87"/>
      <c r="GVX1" s="87"/>
      <c r="GVY1" s="87"/>
      <c r="GVZ1" s="87"/>
      <c r="GWA1" s="87"/>
      <c r="GWB1" s="87"/>
      <c r="GWC1" s="87"/>
      <c r="GWD1" s="87"/>
      <c r="GWE1" s="87"/>
      <c r="GWF1" s="87"/>
      <c r="GWG1" s="87"/>
      <c r="GWH1" s="87"/>
      <c r="GWI1" s="87"/>
      <c r="GWJ1" s="87"/>
      <c r="GWK1" s="87"/>
      <c r="GWL1" s="87"/>
      <c r="GWM1" s="87"/>
      <c r="GWN1" s="87"/>
      <c r="GWO1" s="87"/>
      <c r="GWP1" s="87"/>
      <c r="GWQ1" s="87"/>
      <c r="GWR1" s="87"/>
      <c r="GWS1" s="87"/>
      <c r="GWT1" s="87"/>
      <c r="GWU1" s="87"/>
      <c r="GWV1" s="87"/>
      <c r="GWW1" s="87"/>
      <c r="GWX1" s="87"/>
      <c r="GWY1" s="87"/>
      <c r="GWZ1" s="87"/>
      <c r="GXA1" s="87"/>
      <c r="GXB1" s="87"/>
      <c r="GXC1" s="87"/>
      <c r="GXD1" s="87"/>
      <c r="GXE1" s="87"/>
      <c r="GXF1" s="87"/>
      <c r="GXG1" s="87"/>
      <c r="GXH1" s="87"/>
      <c r="GXI1" s="87"/>
      <c r="GXJ1" s="87"/>
      <c r="GXK1" s="87"/>
      <c r="GXL1" s="87"/>
      <c r="GXM1" s="87"/>
      <c r="GXN1" s="87"/>
      <c r="GXO1" s="87"/>
      <c r="GXP1" s="87"/>
      <c r="GXQ1" s="87"/>
      <c r="GXR1" s="87"/>
      <c r="GXS1" s="87"/>
      <c r="GXT1" s="87"/>
      <c r="GXU1" s="87"/>
      <c r="GXV1" s="87"/>
      <c r="GXW1" s="87"/>
      <c r="GXX1" s="87"/>
      <c r="GXY1" s="87"/>
      <c r="GXZ1" s="87"/>
      <c r="GYA1" s="87"/>
      <c r="GYB1" s="87"/>
      <c r="GYC1" s="87"/>
      <c r="GYD1" s="87"/>
      <c r="GYE1" s="87"/>
      <c r="GYF1" s="87"/>
      <c r="GYG1" s="87"/>
      <c r="GYH1" s="87"/>
      <c r="GYI1" s="87"/>
      <c r="GYJ1" s="87"/>
      <c r="GYK1" s="87"/>
      <c r="GYL1" s="87"/>
      <c r="GYM1" s="87"/>
      <c r="GYN1" s="87"/>
      <c r="GYO1" s="87"/>
      <c r="GYP1" s="87"/>
      <c r="GYQ1" s="87"/>
      <c r="GYR1" s="87"/>
      <c r="GYS1" s="87"/>
      <c r="GYT1" s="87"/>
      <c r="GYU1" s="87"/>
      <c r="GYV1" s="87"/>
      <c r="GYW1" s="87"/>
      <c r="GYX1" s="87"/>
      <c r="GYY1" s="87"/>
      <c r="GYZ1" s="87"/>
      <c r="GZA1" s="87"/>
      <c r="GZB1" s="87"/>
      <c r="GZC1" s="87"/>
      <c r="GZD1" s="87"/>
      <c r="GZE1" s="87"/>
      <c r="GZF1" s="87"/>
      <c r="GZG1" s="87"/>
      <c r="GZH1" s="87"/>
      <c r="GZI1" s="87"/>
      <c r="GZJ1" s="87"/>
      <c r="GZK1" s="87"/>
      <c r="GZL1" s="87"/>
      <c r="GZM1" s="87"/>
      <c r="GZN1" s="87"/>
      <c r="GZO1" s="87"/>
      <c r="GZP1" s="87"/>
      <c r="GZQ1" s="87"/>
      <c r="GZR1" s="87"/>
      <c r="GZS1" s="87"/>
      <c r="GZT1" s="87"/>
      <c r="GZU1" s="87"/>
      <c r="GZV1" s="87"/>
      <c r="GZW1" s="87"/>
      <c r="GZX1" s="87"/>
      <c r="GZY1" s="87"/>
      <c r="GZZ1" s="87"/>
      <c r="HAA1" s="87"/>
      <c r="HAB1" s="87"/>
      <c r="HAC1" s="87"/>
      <c r="HAD1" s="87"/>
      <c r="HAE1" s="87"/>
      <c r="HAF1" s="87"/>
      <c r="HAG1" s="87"/>
      <c r="HAH1" s="87"/>
      <c r="HAI1" s="87"/>
      <c r="HAJ1" s="87"/>
      <c r="HAK1" s="87"/>
      <c r="HAL1" s="87"/>
      <c r="HAM1" s="87"/>
      <c r="HAN1" s="87"/>
      <c r="HAO1" s="87"/>
      <c r="HAP1" s="87"/>
      <c r="HAQ1" s="87"/>
      <c r="HAR1" s="87"/>
      <c r="HAS1" s="87"/>
      <c r="HAT1" s="87"/>
      <c r="HAU1" s="87"/>
      <c r="HAV1" s="87"/>
      <c r="HAW1" s="87"/>
      <c r="HAX1" s="87"/>
      <c r="HAY1" s="87"/>
      <c r="HAZ1" s="87"/>
      <c r="HBA1" s="87"/>
      <c r="HBB1" s="87"/>
      <c r="HBC1" s="87"/>
      <c r="HBD1" s="87"/>
      <c r="HBE1" s="87"/>
      <c r="HBF1" s="87"/>
      <c r="HBG1" s="87"/>
      <c r="HBH1" s="87"/>
      <c r="HBI1" s="87"/>
      <c r="HBJ1" s="87"/>
      <c r="HBK1" s="87"/>
      <c r="HBL1" s="87"/>
      <c r="HBM1" s="87"/>
      <c r="HBN1" s="87"/>
      <c r="HBO1" s="87"/>
      <c r="HBP1" s="87"/>
      <c r="HBQ1" s="87"/>
      <c r="HBR1" s="87"/>
      <c r="HBS1" s="87"/>
      <c r="HBT1" s="87"/>
      <c r="HBU1" s="87"/>
      <c r="HBV1" s="87"/>
      <c r="HBW1" s="87"/>
      <c r="HBX1" s="87"/>
      <c r="HBY1" s="87"/>
      <c r="HBZ1" s="87"/>
      <c r="HCA1" s="87"/>
      <c r="HCB1" s="87"/>
      <c r="HCC1" s="87"/>
      <c r="HCD1" s="87"/>
      <c r="HCE1" s="87"/>
      <c r="HCF1" s="87"/>
      <c r="HCG1" s="87"/>
      <c r="HCH1" s="87"/>
      <c r="HCI1" s="87"/>
      <c r="HCJ1" s="87"/>
      <c r="HCK1" s="87"/>
      <c r="HCL1" s="87"/>
      <c r="HCM1" s="87"/>
      <c r="HCN1" s="87"/>
      <c r="HCO1" s="87"/>
      <c r="HCP1" s="87"/>
      <c r="HCQ1" s="87"/>
      <c r="HCR1" s="87"/>
      <c r="HCS1" s="87"/>
      <c r="HCT1" s="87"/>
      <c r="HCU1" s="87"/>
      <c r="HCV1" s="87"/>
      <c r="HCW1" s="87"/>
      <c r="HCX1" s="87"/>
      <c r="HCY1" s="87"/>
      <c r="HCZ1" s="87"/>
      <c r="HDA1" s="87"/>
      <c r="HDB1" s="87"/>
      <c r="HDC1" s="87"/>
      <c r="HDD1" s="87"/>
      <c r="HDE1" s="87"/>
      <c r="HDF1" s="87"/>
      <c r="HDG1" s="87"/>
      <c r="HDH1" s="87"/>
      <c r="HDI1" s="87"/>
      <c r="HDJ1" s="87"/>
      <c r="HDK1" s="87"/>
      <c r="HDL1" s="87"/>
      <c r="HDM1" s="87"/>
      <c r="HDN1" s="87"/>
      <c r="HDO1" s="87"/>
      <c r="HDP1" s="87"/>
      <c r="HDQ1" s="87"/>
      <c r="HDR1" s="87"/>
      <c r="HDS1" s="87"/>
      <c r="HDT1" s="87"/>
      <c r="HDU1" s="87"/>
      <c r="HDV1" s="87"/>
      <c r="HDW1" s="87"/>
      <c r="HDX1" s="87"/>
      <c r="HDY1" s="87"/>
      <c r="HDZ1" s="87"/>
      <c r="HEA1" s="87"/>
      <c r="HEB1" s="87"/>
      <c r="HEC1" s="87"/>
      <c r="HED1" s="87"/>
      <c r="HEE1" s="87"/>
      <c r="HEF1" s="87"/>
      <c r="HEG1" s="87"/>
      <c r="HEH1" s="87"/>
      <c r="HEI1" s="87"/>
      <c r="HEJ1" s="87"/>
      <c r="HEK1" s="87"/>
      <c r="HEL1" s="87"/>
      <c r="HEM1" s="87"/>
      <c r="HEN1" s="87"/>
      <c r="HEO1" s="87"/>
      <c r="HEP1" s="87"/>
      <c r="HEQ1" s="87"/>
      <c r="HER1" s="87"/>
      <c r="HES1" s="87"/>
      <c r="HET1" s="87"/>
      <c r="HEU1" s="87"/>
      <c r="HEV1" s="87"/>
      <c r="HEW1" s="87"/>
      <c r="HEX1" s="87"/>
      <c r="HEY1" s="87"/>
      <c r="HEZ1" s="87"/>
      <c r="HFA1" s="87"/>
      <c r="HFB1" s="87"/>
      <c r="HFC1" s="87"/>
      <c r="HFD1" s="87"/>
      <c r="HFE1" s="87"/>
      <c r="HFF1" s="87"/>
      <c r="HFG1" s="87"/>
      <c r="HFH1" s="87"/>
      <c r="HFI1" s="87"/>
      <c r="HFJ1" s="87"/>
      <c r="HFK1" s="87"/>
      <c r="HFL1" s="87"/>
      <c r="HFM1" s="87"/>
      <c r="HFN1" s="87"/>
      <c r="HFO1" s="87"/>
      <c r="HFP1" s="87"/>
      <c r="HFQ1" s="87"/>
      <c r="HFR1" s="87"/>
      <c r="HFS1" s="87"/>
      <c r="HFT1" s="87"/>
      <c r="HFU1" s="87"/>
      <c r="HFV1" s="87"/>
      <c r="HFW1" s="87"/>
      <c r="HFX1" s="87"/>
      <c r="HFY1" s="87"/>
      <c r="HFZ1" s="87"/>
      <c r="HGA1" s="87"/>
      <c r="HGB1" s="87"/>
      <c r="HGC1" s="87"/>
      <c r="HGD1" s="87"/>
      <c r="HGE1" s="87"/>
      <c r="HGF1" s="87"/>
      <c r="HGG1" s="87"/>
      <c r="HGH1" s="87"/>
      <c r="HGI1" s="87"/>
      <c r="HGJ1" s="87"/>
      <c r="HGK1" s="87"/>
      <c r="HGL1" s="87"/>
      <c r="HGM1" s="87"/>
      <c r="HGN1" s="87"/>
      <c r="HGO1" s="87"/>
      <c r="HGP1" s="87"/>
      <c r="HGQ1" s="87"/>
      <c r="HGR1" s="87"/>
      <c r="HGS1" s="87"/>
      <c r="HGT1" s="87"/>
      <c r="HGU1" s="87"/>
      <c r="HGV1" s="87"/>
      <c r="HGW1" s="87"/>
      <c r="HGX1" s="87"/>
      <c r="HGY1" s="87"/>
      <c r="HGZ1" s="87"/>
      <c r="HHA1" s="87"/>
      <c r="HHB1" s="87"/>
      <c r="HHC1" s="87"/>
      <c r="HHD1" s="87"/>
      <c r="HHE1" s="87"/>
      <c r="HHF1" s="87"/>
      <c r="HHG1" s="87"/>
      <c r="HHH1" s="87"/>
      <c r="HHI1" s="87"/>
      <c r="HHJ1" s="87"/>
      <c r="HHK1" s="87"/>
      <c r="HHL1" s="87"/>
      <c r="HHM1" s="87"/>
      <c r="HHN1" s="87"/>
      <c r="HHO1" s="87"/>
      <c r="HHP1" s="87"/>
      <c r="HHQ1" s="87"/>
      <c r="HHR1" s="87"/>
      <c r="HHS1" s="87"/>
      <c r="HHT1" s="87"/>
      <c r="HHU1" s="87"/>
      <c r="HHV1" s="87"/>
      <c r="HHW1" s="87"/>
      <c r="HHX1" s="87"/>
      <c r="HHY1" s="87"/>
      <c r="HHZ1" s="87"/>
      <c r="HIA1" s="87"/>
      <c r="HIB1" s="87"/>
      <c r="HIC1" s="87"/>
      <c r="HID1" s="87"/>
      <c r="HIE1" s="87"/>
      <c r="HIF1" s="87"/>
      <c r="HIG1" s="87"/>
      <c r="HIH1" s="87"/>
      <c r="HII1" s="87"/>
      <c r="HIJ1" s="87"/>
      <c r="HIK1" s="87"/>
      <c r="HIL1" s="87"/>
      <c r="HIM1" s="87"/>
      <c r="HIN1" s="87"/>
      <c r="HIO1" s="87"/>
      <c r="HIP1" s="87"/>
      <c r="HIQ1" s="87"/>
      <c r="HIR1" s="87"/>
      <c r="HIS1" s="87"/>
      <c r="HIT1" s="87"/>
      <c r="HIU1" s="87"/>
      <c r="HIV1" s="87"/>
      <c r="HIW1" s="87"/>
      <c r="HIX1" s="87"/>
      <c r="HIY1" s="87"/>
      <c r="HIZ1" s="87"/>
      <c r="HJA1" s="87"/>
      <c r="HJB1" s="87"/>
      <c r="HJC1" s="87"/>
      <c r="HJD1" s="87"/>
      <c r="HJE1" s="87"/>
      <c r="HJF1" s="87"/>
      <c r="HJG1" s="87"/>
      <c r="HJH1" s="87"/>
      <c r="HJI1" s="87"/>
      <c r="HJJ1" s="87"/>
      <c r="HJK1" s="87"/>
      <c r="HJL1" s="87"/>
      <c r="HJM1" s="87"/>
      <c r="HJN1" s="87"/>
      <c r="HJO1" s="87"/>
      <c r="HJP1" s="87"/>
      <c r="HJQ1" s="87"/>
      <c r="HJR1" s="87"/>
      <c r="HJS1" s="87"/>
      <c r="HJT1" s="87"/>
      <c r="HJU1" s="87"/>
      <c r="HJV1" s="87"/>
      <c r="HJW1" s="87"/>
      <c r="HJX1" s="87"/>
      <c r="HJY1" s="87"/>
      <c r="HJZ1" s="87"/>
      <c r="HKA1" s="87"/>
      <c r="HKB1" s="87"/>
      <c r="HKC1" s="87"/>
      <c r="HKD1" s="87"/>
      <c r="HKE1" s="87"/>
      <c r="HKF1" s="87"/>
      <c r="HKG1" s="87"/>
      <c r="HKH1" s="87"/>
      <c r="HKI1" s="87"/>
      <c r="HKJ1" s="87"/>
      <c r="HKK1" s="87"/>
      <c r="HKL1" s="87"/>
      <c r="HKM1" s="87"/>
      <c r="HKN1" s="87"/>
      <c r="HKO1" s="87"/>
      <c r="HKP1" s="87"/>
      <c r="HKQ1" s="87"/>
      <c r="HKR1" s="87"/>
      <c r="HKS1" s="87"/>
      <c r="HKT1" s="87"/>
      <c r="HKU1" s="87"/>
      <c r="HKV1" s="87"/>
      <c r="HKW1" s="87"/>
      <c r="HKX1" s="87"/>
      <c r="HKY1" s="87"/>
      <c r="HKZ1" s="87"/>
      <c r="HLA1" s="87"/>
      <c r="HLB1" s="87"/>
      <c r="HLC1" s="87"/>
      <c r="HLD1" s="87"/>
      <c r="HLE1" s="87"/>
      <c r="HLF1" s="87"/>
      <c r="HLG1" s="87"/>
      <c r="HLH1" s="87"/>
      <c r="HLI1" s="87"/>
      <c r="HLJ1" s="87"/>
      <c r="HLK1" s="87"/>
      <c r="HLL1" s="87"/>
      <c r="HLM1" s="87"/>
      <c r="HLN1" s="87"/>
      <c r="HLO1" s="87"/>
      <c r="HLP1" s="87"/>
      <c r="HLQ1" s="87"/>
      <c r="HLR1" s="87"/>
      <c r="HLS1" s="87"/>
      <c r="HLT1" s="87"/>
      <c r="HLU1" s="87"/>
      <c r="HLV1" s="87"/>
      <c r="HLW1" s="87"/>
      <c r="HLX1" s="87"/>
      <c r="HLY1" s="87"/>
      <c r="HLZ1" s="87"/>
      <c r="HMA1" s="87"/>
      <c r="HMB1" s="87"/>
      <c r="HMC1" s="87"/>
      <c r="HMD1" s="87"/>
      <c r="HME1" s="87"/>
      <c r="HMF1" s="87"/>
      <c r="HMG1" s="87"/>
      <c r="HMH1" s="87"/>
      <c r="HMI1" s="87"/>
      <c r="HMJ1" s="87"/>
      <c r="HMK1" s="87"/>
      <c r="HML1" s="87"/>
      <c r="HMM1" s="87"/>
      <c r="HMN1" s="87"/>
      <c r="HMO1" s="87"/>
      <c r="HMP1" s="87"/>
      <c r="HMQ1" s="87"/>
      <c r="HMR1" s="87"/>
      <c r="HMS1" s="87"/>
      <c r="HMT1" s="87"/>
      <c r="HMU1" s="87"/>
      <c r="HMV1" s="87"/>
      <c r="HMW1" s="87"/>
      <c r="HMX1" s="87"/>
      <c r="HMY1" s="87"/>
      <c r="HMZ1" s="87"/>
      <c r="HNA1" s="87"/>
      <c r="HNB1" s="87"/>
      <c r="HNC1" s="87"/>
      <c r="HND1" s="87"/>
      <c r="HNE1" s="87"/>
      <c r="HNF1" s="87"/>
      <c r="HNG1" s="87"/>
      <c r="HNH1" s="87"/>
      <c r="HNI1" s="87"/>
      <c r="HNJ1" s="87"/>
      <c r="HNK1" s="87"/>
      <c r="HNL1" s="87"/>
      <c r="HNM1" s="87"/>
      <c r="HNN1" s="87"/>
      <c r="HNO1" s="87"/>
      <c r="HNP1" s="87"/>
      <c r="HNQ1" s="87"/>
      <c r="HNR1" s="87"/>
      <c r="HNS1" s="87"/>
      <c r="HNT1" s="87"/>
      <c r="HNU1" s="87"/>
      <c r="HNV1" s="87"/>
      <c r="HNW1" s="87"/>
      <c r="HNX1" s="87"/>
      <c r="HNY1" s="87"/>
      <c r="HNZ1" s="87"/>
      <c r="HOA1" s="87"/>
      <c r="HOB1" s="87"/>
      <c r="HOC1" s="87"/>
      <c r="HOD1" s="87"/>
      <c r="HOE1" s="87"/>
      <c r="HOF1" s="87"/>
      <c r="HOG1" s="87"/>
      <c r="HOH1" s="87"/>
      <c r="HOI1" s="87"/>
      <c r="HOJ1" s="87"/>
      <c r="HOK1" s="87"/>
      <c r="HOL1" s="87"/>
      <c r="HOM1" s="87"/>
      <c r="HON1" s="87"/>
      <c r="HOO1" s="87"/>
      <c r="HOP1" s="87"/>
      <c r="HOQ1" s="87"/>
      <c r="HOR1" s="87"/>
      <c r="HOS1" s="87"/>
      <c r="HOT1" s="87"/>
      <c r="HOU1" s="87"/>
      <c r="HOV1" s="87"/>
      <c r="HOW1" s="87"/>
      <c r="HOX1" s="87"/>
      <c r="HOY1" s="87"/>
      <c r="HOZ1" s="87"/>
      <c r="HPA1" s="87"/>
      <c r="HPB1" s="87"/>
      <c r="HPC1" s="87"/>
      <c r="HPD1" s="87"/>
      <c r="HPE1" s="87"/>
      <c r="HPF1" s="87"/>
      <c r="HPG1" s="87"/>
      <c r="HPH1" s="87"/>
      <c r="HPI1" s="87"/>
      <c r="HPJ1" s="87"/>
      <c r="HPK1" s="87"/>
      <c r="HPL1" s="87"/>
      <c r="HPM1" s="87"/>
      <c r="HPN1" s="87"/>
      <c r="HPO1" s="87"/>
      <c r="HPP1" s="87"/>
      <c r="HPQ1" s="87"/>
      <c r="HPR1" s="87"/>
      <c r="HPS1" s="87"/>
      <c r="HPT1" s="87"/>
      <c r="HPU1" s="87"/>
      <c r="HPV1" s="87"/>
      <c r="HPW1" s="87"/>
      <c r="HPX1" s="87"/>
      <c r="HPY1" s="87"/>
      <c r="HPZ1" s="87"/>
      <c r="HQA1" s="87"/>
      <c r="HQB1" s="87"/>
      <c r="HQC1" s="87"/>
      <c r="HQD1" s="87"/>
      <c r="HQE1" s="87"/>
      <c r="HQF1" s="87"/>
      <c r="HQG1" s="87"/>
      <c r="HQH1" s="87"/>
      <c r="HQI1" s="87"/>
      <c r="HQJ1" s="87"/>
      <c r="HQK1" s="87"/>
      <c r="HQL1" s="87"/>
      <c r="HQM1" s="87"/>
      <c r="HQN1" s="87"/>
      <c r="HQO1" s="87"/>
      <c r="HQP1" s="87"/>
      <c r="HQQ1" s="87"/>
      <c r="HQR1" s="87"/>
      <c r="HQS1" s="87"/>
      <c r="HQT1" s="87"/>
      <c r="HQU1" s="87"/>
      <c r="HQV1" s="87"/>
      <c r="HQW1" s="87"/>
      <c r="HQX1" s="87"/>
      <c r="HQY1" s="87"/>
      <c r="HQZ1" s="87"/>
      <c r="HRA1" s="87"/>
      <c r="HRB1" s="87"/>
      <c r="HRC1" s="87"/>
      <c r="HRD1" s="87"/>
      <c r="HRE1" s="87"/>
      <c r="HRF1" s="87"/>
      <c r="HRG1" s="87"/>
      <c r="HRH1" s="87"/>
      <c r="HRI1" s="87"/>
      <c r="HRJ1" s="87"/>
      <c r="HRK1" s="87"/>
      <c r="HRL1" s="87"/>
      <c r="HRM1" s="87"/>
      <c r="HRN1" s="87"/>
      <c r="HRO1" s="87"/>
      <c r="HRP1" s="87"/>
      <c r="HRQ1" s="87"/>
      <c r="HRR1" s="87"/>
      <c r="HRS1" s="87"/>
      <c r="HRT1" s="87"/>
      <c r="HRU1" s="87"/>
      <c r="HRV1" s="87"/>
      <c r="HRW1" s="87"/>
      <c r="HRX1" s="87"/>
      <c r="HRY1" s="87"/>
      <c r="HRZ1" s="87"/>
      <c r="HSA1" s="87"/>
      <c r="HSB1" s="87"/>
      <c r="HSC1" s="87"/>
      <c r="HSD1" s="87"/>
      <c r="HSE1" s="87"/>
      <c r="HSF1" s="87"/>
      <c r="HSG1" s="87"/>
      <c r="HSH1" s="87"/>
      <c r="HSI1" s="87"/>
      <c r="HSJ1" s="87"/>
      <c r="HSK1" s="87"/>
      <c r="HSL1" s="87"/>
      <c r="HSM1" s="87"/>
      <c r="HSN1" s="87"/>
      <c r="HSO1" s="87"/>
      <c r="HSP1" s="87"/>
      <c r="HSQ1" s="87"/>
      <c r="HSR1" s="87"/>
      <c r="HSS1" s="87"/>
      <c r="HST1" s="87"/>
      <c r="HSU1" s="87"/>
      <c r="HSV1" s="87"/>
      <c r="HSW1" s="87"/>
      <c r="HSX1" s="87"/>
      <c r="HSY1" s="87"/>
      <c r="HSZ1" s="87"/>
      <c r="HTA1" s="87"/>
      <c r="HTB1" s="87"/>
      <c r="HTC1" s="87"/>
      <c r="HTD1" s="87"/>
      <c r="HTE1" s="87"/>
      <c r="HTF1" s="87"/>
      <c r="HTG1" s="87"/>
      <c r="HTH1" s="87"/>
      <c r="HTI1" s="87"/>
      <c r="HTJ1" s="87"/>
      <c r="HTK1" s="87"/>
      <c r="HTL1" s="87"/>
      <c r="HTM1" s="87"/>
      <c r="HTN1" s="87"/>
      <c r="HTO1" s="87"/>
      <c r="HTP1" s="87"/>
      <c r="HTQ1" s="87"/>
      <c r="HTR1" s="87"/>
      <c r="HTS1" s="87"/>
      <c r="HTT1" s="87"/>
      <c r="HTU1" s="87"/>
      <c r="HTV1" s="87"/>
      <c r="HTW1" s="87"/>
      <c r="HTX1" s="87"/>
      <c r="HTY1" s="87"/>
      <c r="HTZ1" s="87"/>
      <c r="HUA1" s="87"/>
      <c r="HUB1" s="87"/>
      <c r="HUC1" s="87"/>
      <c r="HUD1" s="87"/>
      <c r="HUE1" s="87"/>
      <c r="HUF1" s="87"/>
      <c r="HUG1" s="87"/>
      <c r="HUH1" s="87"/>
      <c r="HUI1" s="87"/>
      <c r="HUJ1" s="87"/>
      <c r="HUK1" s="87"/>
      <c r="HUL1" s="87"/>
      <c r="HUM1" s="87"/>
      <c r="HUN1" s="87"/>
      <c r="HUO1" s="87"/>
      <c r="HUP1" s="87"/>
      <c r="HUQ1" s="87"/>
      <c r="HUR1" s="87"/>
      <c r="HUS1" s="87"/>
      <c r="HUT1" s="87"/>
      <c r="HUU1" s="87"/>
      <c r="HUV1" s="87"/>
      <c r="HUW1" s="87"/>
      <c r="HUX1" s="87"/>
      <c r="HUY1" s="87"/>
      <c r="HUZ1" s="87"/>
      <c r="HVA1" s="87"/>
      <c r="HVB1" s="87"/>
      <c r="HVC1" s="87"/>
      <c r="HVD1" s="87"/>
      <c r="HVE1" s="87"/>
      <c r="HVF1" s="87"/>
      <c r="HVG1" s="87"/>
      <c r="HVH1" s="87"/>
      <c r="HVI1" s="87"/>
      <c r="HVJ1" s="87"/>
      <c r="HVK1" s="87"/>
      <c r="HVL1" s="87"/>
      <c r="HVM1" s="87"/>
      <c r="HVN1" s="87"/>
      <c r="HVO1" s="87"/>
      <c r="HVP1" s="87"/>
      <c r="HVQ1" s="87"/>
      <c r="HVR1" s="87"/>
      <c r="HVS1" s="87"/>
      <c r="HVT1" s="87"/>
      <c r="HVU1" s="87"/>
      <c r="HVV1" s="87"/>
      <c r="HVW1" s="87"/>
      <c r="HVX1" s="87"/>
      <c r="HVY1" s="87"/>
      <c r="HVZ1" s="87"/>
      <c r="HWA1" s="87"/>
      <c r="HWB1" s="87"/>
      <c r="HWC1" s="87"/>
      <c r="HWD1" s="87"/>
      <c r="HWE1" s="87"/>
      <c r="HWF1" s="87"/>
      <c r="HWG1" s="87"/>
      <c r="HWH1" s="87"/>
      <c r="HWI1" s="87"/>
      <c r="HWJ1" s="87"/>
      <c r="HWK1" s="87"/>
      <c r="HWL1" s="87"/>
      <c r="HWM1" s="87"/>
      <c r="HWN1" s="87"/>
      <c r="HWO1" s="87"/>
      <c r="HWP1" s="87"/>
      <c r="HWQ1" s="87"/>
      <c r="HWR1" s="87"/>
      <c r="HWS1" s="87"/>
      <c r="HWT1" s="87"/>
      <c r="HWU1" s="87"/>
      <c r="HWV1" s="87"/>
      <c r="HWW1" s="87"/>
      <c r="HWX1" s="87"/>
      <c r="HWY1" s="87"/>
      <c r="HWZ1" s="87"/>
      <c r="HXA1" s="87"/>
      <c r="HXB1" s="87"/>
      <c r="HXC1" s="87"/>
      <c r="HXD1" s="87"/>
      <c r="HXE1" s="87"/>
      <c r="HXF1" s="87"/>
      <c r="HXG1" s="87"/>
      <c r="HXH1" s="87"/>
      <c r="HXI1" s="87"/>
      <c r="HXJ1" s="87"/>
      <c r="HXK1" s="87"/>
      <c r="HXL1" s="87"/>
      <c r="HXM1" s="87"/>
      <c r="HXN1" s="87"/>
      <c r="HXO1" s="87"/>
      <c r="HXP1" s="87"/>
      <c r="HXQ1" s="87"/>
      <c r="HXR1" s="87"/>
      <c r="HXS1" s="87"/>
      <c r="HXT1" s="87"/>
      <c r="HXU1" s="87"/>
      <c r="HXV1" s="87"/>
      <c r="HXW1" s="87"/>
      <c r="HXX1" s="87"/>
      <c r="HXY1" s="87"/>
      <c r="HXZ1" s="87"/>
      <c r="HYA1" s="87"/>
      <c r="HYB1" s="87"/>
      <c r="HYC1" s="87"/>
      <c r="HYD1" s="87"/>
      <c r="HYE1" s="87"/>
      <c r="HYF1" s="87"/>
      <c r="HYG1" s="87"/>
      <c r="HYH1" s="87"/>
      <c r="HYI1" s="87"/>
      <c r="HYJ1" s="87"/>
      <c r="HYK1" s="87"/>
      <c r="HYL1" s="87"/>
      <c r="HYM1" s="87"/>
      <c r="HYN1" s="87"/>
      <c r="HYO1" s="87"/>
      <c r="HYP1" s="87"/>
      <c r="HYQ1" s="87"/>
      <c r="HYR1" s="87"/>
      <c r="HYS1" s="87"/>
      <c r="HYT1" s="87"/>
      <c r="HYU1" s="87"/>
      <c r="HYV1" s="87"/>
      <c r="HYW1" s="87"/>
      <c r="HYX1" s="87"/>
      <c r="HYY1" s="87"/>
      <c r="HYZ1" s="87"/>
      <c r="HZA1" s="87"/>
      <c r="HZB1" s="87"/>
      <c r="HZC1" s="87"/>
      <c r="HZD1" s="87"/>
      <c r="HZE1" s="87"/>
      <c r="HZF1" s="87"/>
      <c r="HZG1" s="87"/>
      <c r="HZH1" s="87"/>
      <c r="HZI1" s="87"/>
      <c r="HZJ1" s="87"/>
      <c r="HZK1" s="87"/>
      <c r="HZL1" s="87"/>
      <c r="HZM1" s="87"/>
      <c r="HZN1" s="87"/>
      <c r="HZO1" s="87"/>
      <c r="HZP1" s="87"/>
      <c r="HZQ1" s="87"/>
      <c r="HZR1" s="87"/>
      <c r="HZS1" s="87"/>
      <c r="HZT1" s="87"/>
      <c r="HZU1" s="87"/>
      <c r="HZV1" s="87"/>
      <c r="HZW1" s="87"/>
      <c r="HZX1" s="87"/>
      <c r="HZY1" s="87"/>
      <c r="HZZ1" s="87"/>
      <c r="IAA1" s="87"/>
      <c r="IAB1" s="87"/>
      <c r="IAC1" s="87"/>
      <c r="IAD1" s="87"/>
      <c r="IAE1" s="87"/>
      <c r="IAF1" s="87"/>
      <c r="IAG1" s="87"/>
      <c r="IAH1" s="87"/>
      <c r="IAI1" s="87"/>
      <c r="IAJ1" s="87"/>
      <c r="IAK1" s="87"/>
      <c r="IAL1" s="87"/>
      <c r="IAM1" s="87"/>
      <c r="IAN1" s="87"/>
      <c r="IAO1" s="87"/>
      <c r="IAP1" s="87"/>
      <c r="IAQ1" s="87"/>
      <c r="IAR1" s="87"/>
      <c r="IAS1" s="87"/>
      <c r="IAT1" s="87"/>
      <c r="IAU1" s="87"/>
      <c r="IAV1" s="87"/>
      <c r="IAW1" s="87"/>
      <c r="IAX1" s="87"/>
      <c r="IAY1" s="87"/>
      <c r="IAZ1" s="87"/>
      <c r="IBA1" s="87"/>
      <c r="IBB1" s="87"/>
      <c r="IBC1" s="87"/>
      <c r="IBD1" s="87"/>
      <c r="IBE1" s="87"/>
      <c r="IBF1" s="87"/>
      <c r="IBG1" s="87"/>
      <c r="IBH1" s="87"/>
      <c r="IBI1" s="87"/>
      <c r="IBJ1" s="87"/>
      <c r="IBK1" s="87"/>
      <c r="IBL1" s="87"/>
      <c r="IBM1" s="87"/>
      <c r="IBN1" s="87"/>
      <c r="IBO1" s="87"/>
      <c r="IBP1" s="87"/>
      <c r="IBQ1" s="87"/>
      <c r="IBR1" s="87"/>
      <c r="IBS1" s="87"/>
      <c r="IBT1" s="87"/>
      <c r="IBU1" s="87"/>
      <c r="IBV1" s="87"/>
      <c r="IBW1" s="87"/>
      <c r="IBX1" s="87"/>
      <c r="IBY1" s="87"/>
      <c r="IBZ1" s="87"/>
      <c r="ICA1" s="87"/>
      <c r="ICB1" s="87"/>
      <c r="ICC1" s="87"/>
      <c r="ICD1" s="87"/>
      <c r="ICE1" s="87"/>
      <c r="ICF1" s="87"/>
      <c r="ICG1" s="87"/>
      <c r="ICH1" s="87"/>
      <c r="ICI1" s="87"/>
      <c r="ICJ1" s="87"/>
      <c r="ICK1" s="87"/>
      <c r="ICL1" s="87"/>
      <c r="ICM1" s="87"/>
      <c r="ICN1" s="87"/>
      <c r="ICO1" s="87"/>
      <c r="ICP1" s="87"/>
      <c r="ICQ1" s="87"/>
      <c r="ICR1" s="87"/>
      <c r="ICS1" s="87"/>
      <c r="ICT1" s="87"/>
      <c r="ICU1" s="87"/>
      <c r="ICV1" s="87"/>
      <c r="ICW1" s="87"/>
      <c r="ICX1" s="87"/>
      <c r="ICY1" s="87"/>
      <c r="ICZ1" s="87"/>
      <c r="IDA1" s="87"/>
      <c r="IDB1" s="87"/>
      <c r="IDC1" s="87"/>
      <c r="IDD1" s="87"/>
      <c r="IDE1" s="87"/>
      <c r="IDF1" s="87"/>
      <c r="IDG1" s="87"/>
      <c r="IDH1" s="87"/>
      <c r="IDI1" s="87"/>
      <c r="IDJ1" s="87"/>
      <c r="IDK1" s="87"/>
      <c r="IDL1" s="87"/>
      <c r="IDM1" s="87"/>
      <c r="IDN1" s="87"/>
      <c r="IDO1" s="87"/>
      <c r="IDP1" s="87"/>
      <c r="IDQ1" s="87"/>
      <c r="IDR1" s="87"/>
      <c r="IDS1" s="87"/>
      <c r="IDT1" s="87"/>
      <c r="IDU1" s="87"/>
      <c r="IDV1" s="87"/>
      <c r="IDW1" s="87"/>
      <c r="IDX1" s="87"/>
      <c r="IDY1" s="87"/>
      <c r="IDZ1" s="87"/>
      <c r="IEA1" s="87"/>
      <c r="IEB1" s="87"/>
      <c r="IEC1" s="87"/>
      <c r="IED1" s="87"/>
      <c r="IEE1" s="87"/>
      <c r="IEF1" s="87"/>
      <c r="IEG1" s="87"/>
      <c r="IEH1" s="87"/>
      <c r="IEI1" s="87"/>
      <c r="IEJ1" s="87"/>
      <c r="IEK1" s="87"/>
      <c r="IEL1" s="87"/>
      <c r="IEM1" s="87"/>
      <c r="IEN1" s="87"/>
      <c r="IEO1" s="87"/>
      <c r="IEP1" s="87"/>
      <c r="IEQ1" s="87"/>
      <c r="IER1" s="87"/>
      <c r="IES1" s="87"/>
      <c r="IET1" s="87"/>
      <c r="IEU1" s="87"/>
      <c r="IEV1" s="87"/>
      <c r="IEW1" s="87"/>
      <c r="IEX1" s="87"/>
      <c r="IEY1" s="87"/>
      <c r="IEZ1" s="87"/>
      <c r="IFA1" s="87"/>
      <c r="IFB1" s="87"/>
      <c r="IFC1" s="87"/>
      <c r="IFD1" s="87"/>
      <c r="IFE1" s="87"/>
      <c r="IFF1" s="87"/>
      <c r="IFG1" s="87"/>
      <c r="IFH1" s="87"/>
      <c r="IFI1" s="87"/>
      <c r="IFJ1" s="87"/>
      <c r="IFK1" s="87"/>
      <c r="IFL1" s="87"/>
      <c r="IFM1" s="87"/>
      <c r="IFN1" s="87"/>
      <c r="IFO1" s="87"/>
      <c r="IFP1" s="87"/>
      <c r="IFQ1" s="87"/>
      <c r="IFR1" s="87"/>
      <c r="IFS1" s="87"/>
      <c r="IFT1" s="87"/>
      <c r="IFU1" s="87"/>
      <c r="IFV1" s="87"/>
      <c r="IFW1" s="87"/>
      <c r="IFX1" s="87"/>
      <c r="IFY1" s="87"/>
      <c r="IFZ1" s="87"/>
      <c r="IGA1" s="87"/>
      <c r="IGB1" s="87"/>
      <c r="IGC1" s="87"/>
      <c r="IGD1" s="87"/>
      <c r="IGE1" s="87"/>
      <c r="IGF1" s="87"/>
      <c r="IGG1" s="87"/>
      <c r="IGH1" s="87"/>
      <c r="IGI1" s="87"/>
      <c r="IGJ1" s="87"/>
      <c r="IGK1" s="87"/>
      <c r="IGL1" s="87"/>
      <c r="IGM1" s="87"/>
      <c r="IGN1" s="87"/>
      <c r="IGO1" s="87"/>
      <c r="IGP1" s="87"/>
      <c r="IGQ1" s="87"/>
      <c r="IGR1" s="87"/>
      <c r="IGS1" s="87"/>
      <c r="IGT1" s="87"/>
      <c r="IGU1" s="87"/>
      <c r="IGV1" s="87"/>
      <c r="IGW1" s="87"/>
      <c r="IGX1" s="87"/>
      <c r="IGY1" s="87"/>
      <c r="IGZ1" s="87"/>
      <c r="IHA1" s="87"/>
      <c r="IHB1" s="87"/>
      <c r="IHC1" s="87"/>
      <c r="IHD1" s="87"/>
      <c r="IHE1" s="87"/>
      <c r="IHF1" s="87"/>
      <c r="IHG1" s="87"/>
      <c r="IHH1" s="87"/>
      <c r="IHI1" s="87"/>
      <c r="IHJ1" s="87"/>
      <c r="IHK1" s="87"/>
      <c r="IHL1" s="87"/>
      <c r="IHM1" s="87"/>
      <c r="IHN1" s="87"/>
      <c r="IHO1" s="87"/>
      <c r="IHP1" s="87"/>
      <c r="IHQ1" s="87"/>
      <c r="IHR1" s="87"/>
      <c r="IHS1" s="87"/>
      <c r="IHT1" s="87"/>
      <c r="IHU1" s="87"/>
      <c r="IHV1" s="87"/>
      <c r="IHW1" s="87"/>
      <c r="IHX1" s="87"/>
      <c r="IHY1" s="87"/>
      <c r="IHZ1" s="87"/>
      <c r="IIA1" s="87"/>
      <c r="IIB1" s="87"/>
      <c r="IIC1" s="87"/>
      <c r="IID1" s="87"/>
      <c r="IIE1" s="87"/>
      <c r="IIF1" s="87"/>
      <c r="IIG1" s="87"/>
      <c r="IIH1" s="87"/>
      <c r="III1" s="87"/>
      <c r="IIJ1" s="87"/>
      <c r="IIK1" s="87"/>
      <c r="IIL1" s="87"/>
      <c r="IIM1" s="87"/>
      <c r="IIN1" s="87"/>
      <c r="IIO1" s="87"/>
      <c r="IIP1" s="87"/>
      <c r="IIQ1" s="87"/>
      <c r="IIR1" s="87"/>
      <c r="IIS1" s="87"/>
      <c r="IIT1" s="87"/>
      <c r="IIU1" s="87"/>
      <c r="IIV1" s="87"/>
      <c r="IIW1" s="87"/>
      <c r="IIX1" s="87"/>
      <c r="IIY1" s="87"/>
      <c r="IIZ1" s="87"/>
      <c r="IJA1" s="87"/>
      <c r="IJB1" s="87"/>
      <c r="IJC1" s="87"/>
      <c r="IJD1" s="87"/>
      <c r="IJE1" s="87"/>
      <c r="IJF1" s="87"/>
      <c r="IJG1" s="87"/>
      <c r="IJH1" s="87"/>
      <c r="IJI1" s="87"/>
      <c r="IJJ1" s="87"/>
      <c r="IJK1" s="87"/>
      <c r="IJL1" s="87"/>
      <c r="IJM1" s="87"/>
      <c r="IJN1" s="87"/>
      <c r="IJO1" s="87"/>
      <c r="IJP1" s="87"/>
      <c r="IJQ1" s="87"/>
      <c r="IJR1" s="87"/>
      <c r="IJS1" s="87"/>
      <c r="IJT1" s="87"/>
      <c r="IJU1" s="87"/>
      <c r="IJV1" s="87"/>
      <c r="IJW1" s="87"/>
      <c r="IJX1" s="87"/>
      <c r="IJY1" s="87"/>
      <c r="IJZ1" s="87"/>
      <c r="IKA1" s="87"/>
      <c r="IKB1" s="87"/>
      <c r="IKC1" s="87"/>
      <c r="IKD1" s="87"/>
      <c r="IKE1" s="87"/>
      <c r="IKF1" s="87"/>
      <c r="IKG1" s="87"/>
      <c r="IKH1" s="87"/>
      <c r="IKI1" s="87"/>
      <c r="IKJ1" s="87"/>
      <c r="IKK1" s="87"/>
      <c r="IKL1" s="87"/>
      <c r="IKM1" s="87"/>
      <c r="IKN1" s="87"/>
      <c r="IKO1" s="87"/>
      <c r="IKP1" s="87"/>
      <c r="IKQ1" s="87"/>
      <c r="IKR1" s="87"/>
      <c r="IKS1" s="87"/>
      <c r="IKT1" s="87"/>
      <c r="IKU1" s="87"/>
      <c r="IKV1" s="87"/>
      <c r="IKW1" s="87"/>
      <c r="IKX1" s="87"/>
      <c r="IKY1" s="87"/>
      <c r="IKZ1" s="87"/>
      <c r="ILA1" s="87"/>
      <c r="ILB1" s="87"/>
      <c r="ILC1" s="87"/>
      <c r="ILD1" s="87"/>
      <c r="ILE1" s="87"/>
      <c r="ILF1" s="87"/>
      <c r="ILG1" s="87"/>
      <c r="ILH1" s="87"/>
      <c r="ILI1" s="87"/>
      <c r="ILJ1" s="87"/>
      <c r="ILK1" s="87"/>
      <c r="ILL1" s="87"/>
      <c r="ILM1" s="87"/>
      <c r="ILN1" s="87"/>
      <c r="ILO1" s="87"/>
      <c r="ILP1" s="87"/>
      <c r="ILQ1" s="87"/>
      <c r="ILR1" s="87"/>
      <c r="ILS1" s="87"/>
      <c r="ILT1" s="87"/>
      <c r="ILU1" s="87"/>
      <c r="ILV1" s="87"/>
      <c r="ILW1" s="87"/>
      <c r="ILX1" s="87"/>
      <c r="ILY1" s="87"/>
      <c r="ILZ1" s="87"/>
      <c r="IMA1" s="87"/>
      <c r="IMB1" s="87"/>
      <c r="IMC1" s="87"/>
      <c r="IMD1" s="87"/>
      <c r="IME1" s="87"/>
      <c r="IMF1" s="87"/>
      <c r="IMG1" s="87"/>
      <c r="IMH1" s="87"/>
      <c r="IMI1" s="87"/>
      <c r="IMJ1" s="87"/>
      <c r="IMK1" s="87"/>
      <c r="IML1" s="87"/>
      <c r="IMM1" s="87"/>
      <c r="IMN1" s="87"/>
      <c r="IMO1" s="87"/>
      <c r="IMP1" s="87"/>
      <c r="IMQ1" s="87"/>
      <c r="IMR1" s="87"/>
      <c r="IMS1" s="87"/>
      <c r="IMT1" s="87"/>
      <c r="IMU1" s="87"/>
      <c r="IMV1" s="87"/>
      <c r="IMW1" s="87"/>
      <c r="IMX1" s="87"/>
      <c r="IMY1" s="87"/>
      <c r="IMZ1" s="87"/>
      <c r="INA1" s="87"/>
      <c r="INB1" s="87"/>
      <c r="INC1" s="87"/>
      <c r="IND1" s="87"/>
      <c r="INE1" s="87"/>
      <c r="INF1" s="87"/>
      <c r="ING1" s="87"/>
      <c r="INH1" s="87"/>
      <c r="INI1" s="87"/>
      <c r="INJ1" s="87"/>
      <c r="INK1" s="87"/>
      <c r="INL1" s="87"/>
      <c r="INM1" s="87"/>
      <c r="INN1" s="87"/>
      <c r="INO1" s="87"/>
      <c r="INP1" s="87"/>
      <c r="INQ1" s="87"/>
      <c r="INR1" s="87"/>
      <c r="INS1" s="87"/>
      <c r="INT1" s="87"/>
      <c r="INU1" s="87"/>
      <c r="INV1" s="87"/>
      <c r="INW1" s="87"/>
      <c r="INX1" s="87"/>
      <c r="INY1" s="87"/>
      <c r="INZ1" s="87"/>
      <c r="IOA1" s="87"/>
      <c r="IOB1" s="87"/>
      <c r="IOC1" s="87"/>
      <c r="IOD1" s="87"/>
      <c r="IOE1" s="87"/>
      <c r="IOF1" s="87"/>
      <c r="IOG1" s="87"/>
      <c r="IOH1" s="87"/>
      <c r="IOI1" s="87"/>
      <c r="IOJ1" s="87"/>
      <c r="IOK1" s="87"/>
      <c r="IOL1" s="87"/>
      <c r="IOM1" s="87"/>
      <c r="ION1" s="87"/>
      <c r="IOO1" s="87"/>
      <c r="IOP1" s="87"/>
      <c r="IOQ1" s="87"/>
      <c r="IOR1" s="87"/>
      <c r="IOS1" s="87"/>
      <c r="IOT1" s="87"/>
      <c r="IOU1" s="87"/>
      <c r="IOV1" s="87"/>
      <c r="IOW1" s="87"/>
      <c r="IOX1" s="87"/>
      <c r="IOY1" s="87"/>
      <c r="IOZ1" s="87"/>
      <c r="IPA1" s="87"/>
      <c r="IPB1" s="87"/>
      <c r="IPC1" s="87"/>
      <c r="IPD1" s="87"/>
      <c r="IPE1" s="87"/>
      <c r="IPF1" s="87"/>
      <c r="IPG1" s="87"/>
      <c r="IPH1" s="87"/>
      <c r="IPI1" s="87"/>
      <c r="IPJ1" s="87"/>
      <c r="IPK1" s="87"/>
      <c r="IPL1" s="87"/>
      <c r="IPM1" s="87"/>
      <c r="IPN1" s="87"/>
      <c r="IPO1" s="87"/>
      <c r="IPP1" s="87"/>
      <c r="IPQ1" s="87"/>
      <c r="IPR1" s="87"/>
      <c r="IPS1" s="87"/>
      <c r="IPT1" s="87"/>
      <c r="IPU1" s="87"/>
      <c r="IPV1" s="87"/>
      <c r="IPW1" s="87"/>
      <c r="IPX1" s="87"/>
      <c r="IPY1" s="87"/>
      <c r="IPZ1" s="87"/>
      <c r="IQA1" s="87"/>
      <c r="IQB1" s="87"/>
      <c r="IQC1" s="87"/>
      <c r="IQD1" s="87"/>
      <c r="IQE1" s="87"/>
      <c r="IQF1" s="87"/>
      <c r="IQG1" s="87"/>
      <c r="IQH1" s="87"/>
      <c r="IQI1" s="87"/>
      <c r="IQJ1" s="87"/>
      <c r="IQK1" s="87"/>
      <c r="IQL1" s="87"/>
      <c r="IQM1" s="87"/>
      <c r="IQN1" s="87"/>
      <c r="IQO1" s="87"/>
      <c r="IQP1" s="87"/>
      <c r="IQQ1" s="87"/>
      <c r="IQR1" s="87"/>
      <c r="IQS1" s="87"/>
      <c r="IQT1" s="87"/>
      <c r="IQU1" s="87"/>
      <c r="IQV1" s="87"/>
      <c r="IQW1" s="87"/>
      <c r="IQX1" s="87"/>
      <c r="IQY1" s="87"/>
      <c r="IQZ1" s="87"/>
      <c r="IRA1" s="87"/>
      <c r="IRB1" s="87"/>
      <c r="IRC1" s="87"/>
      <c r="IRD1" s="87"/>
      <c r="IRE1" s="87"/>
      <c r="IRF1" s="87"/>
      <c r="IRG1" s="87"/>
      <c r="IRH1" s="87"/>
      <c r="IRI1" s="87"/>
      <c r="IRJ1" s="87"/>
      <c r="IRK1" s="87"/>
      <c r="IRL1" s="87"/>
      <c r="IRM1" s="87"/>
      <c r="IRN1" s="87"/>
      <c r="IRO1" s="87"/>
      <c r="IRP1" s="87"/>
      <c r="IRQ1" s="87"/>
      <c r="IRR1" s="87"/>
      <c r="IRS1" s="87"/>
      <c r="IRT1" s="87"/>
      <c r="IRU1" s="87"/>
      <c r="IRV1" s="87"/>
      <c r="IRW1" s="87"/>
      <c r="IRX1" s="87"/>
      <c r="IRY1" s="87"/>
      <c r="IRZ1" s="87"/>
      <c r="ISA1" s="87"/>
      <c r="ISB1" s="87"/>
      <c r="ISC1" s="87"/>
      <c r="ISD1" s="87"/>
      <c r="ISE1" s="87"/>
      <c r="ISF1" s="87"/>
      <c r="ISG1" s="87"/>
      <c r="ISH1" s="87"/>
      <c r="ISI1" s="87"/>
      <c r="ISJ1" s="87"/>
      <c r="ISK1" s="87"/>
      <c r="ISL1" s="87"/>
      <c r="ISM1" s="87"/>
      <c r="ISN1" s="87"/>
      <c r="ISO1" s="87"/>
      <c r="ISP1" s="87"/>
      <c r="ISQ1" s="87"/>
      <c r="ISR1" s="87"/>
      <c r="ISS1" s="87"/>
      <c r="IST1" s="87"/>
      <c r="ISU1" s="87"/>
      <c r="ISV1" s="87"/>
      <c r="ISW1" s="87"/>
      <c r="ISX1" s="87"/>
      <c r="ISY1" s="87"/>
      <c r="ISZ1" s="87"/>
      <c r="ITA1" s="87"/>
      <c r="ITB1" s="87"/>
      <c r="ITC1" s="87"/>
      <c r="ITD1" s="87"/>
      <c r="ITE1" s="87"/>
      <c r="ITF1" s="87"/>
      <c r="ITG1" s="87"/>
      <c r="ITH1" s="87"/>
      <c r="ITI1" s="87"/>
      <c r="ITJ1" s="87"/>
      <c r="ITK1" s="87"/>
      <c r="ITL1" s="87"/>
      <c r="ITM1" s="87"/>
      <c r="ITN1" s="87"/>
      <c r="ITO1" s="87"/>
      <c r="ITP1" s="87"/>
      <c r="ITQ1" s="87"/>
      <c r="ITR1" s="87"/>
      <c r="ITS1" s="87"/>
      <c r="ITT1" s="87"/>
      <c r="ITU1" s="87"/>
      <c r="ITV1" s="87"/>
      <c r="ITW1" s="87"/>
      <c r="ITX1" s="87"/>
      <c r="ITY1" s="87"/>
      <c r="ITZ1" s="87"/>
      <c r="IUA1" s="87"/>
      <c r="IUB1" s="87"/>
      <c r="IUC1" s="87"/>
      <c r="IUD1" s="87"/>
      <c r="IUE1" s="87"/>
      <c r="IUF1" s="87"/>
      <c r="IUG1" s="87"/>
      <c r="IUH1" s="87"/>
      <c r="IUI1" s="87"/>
      <c r="IUJ1" s="87"/>
      <c r="IUK1" s="87"/>
      <c r="IUL1" s="87"/>
      <c r="IUM1" s="87"/>
      <c r="IUN1" s="87"/>
      <c r="IUO1" s="87"/>
      <c r="IUP1" s="87"/>
      <c r="IUQ1" s="87"/>
      <c r="IUR1" s="87"/>
      <c r="IUS1" s="87"/>
      <c r="IUT1" s="87"/>
      <c r="IUU1" s="87"/>
      <c r="IUV1" s="87"/>
      <c r="IUW1" s="87"/>
      <c r="IUX1" s="87"/>
      <c r="IUY1" s="87"/>
      <c r="IUZ1" s="87"/>
      <c r="IVA1" s="87"/>
      <c r="IVB1" s="87"/>
      <c r="IVC1" s="87"/>
      <c r="IVD1" s="87"/>
      <c r="IVE1" s="87"/>
      <c r="IVF1" s="87"/>
      <c r="IVG1" s="87"/>
      <c r="IVH1" s="87"/>
      <c r="IVI1" s="87"/>
      <c r="IVJ1" s="87"/>
      <c r="IVK1" s="87"/>
      <c r="IVL1" s="87"/>
      <c r="IVM1" s="87"/>
      <c r="IVN1" s="87"/>
      <c r="IVO1" s="87"/>
      <c r="IVP1" s="87"/>
      <c r="IVQ1" s="87"/>
      <c r="IVR1" s="87"/>
      <c r="IVS1" s="87"/>
      <c r="IVT1" s="87"/>
      <c r="IVU1" s="87"/>
      <c r="IVV1" s="87"/>
      <c r="IVW1" s="87"/>
      <c r="IVX1" s="87"/>
      <c r="IVY1" s="87"/>
      <c r="IVZ1" s="87"/>
      <c r="IWA1" s="87"/>
      <c r="IWB1" s="87"/>
      <c r="IWC1" s="87"/>
      <c r="IWD1" s="87"/>
      <c r="IWE1" s="87"/>
      <c r="IWF1" s="87"/>
      <c r="IWG1" s="87"/>
      <c r="IWH1" s="87"/>
      <c r="IWI1" s="87"/>
      <c r="IWJ1" s="87"/>
      <c r="IWK1" s="87"/>
      <c r="IWL1" s="87"/>
      <c r="IWM1" s="87"/>
      <c r="IWN1" s="87"/>
      <c r="IWO1" s="87"/>
      <c r="IWP1" s="87"/>
      <c r="IWQ1" s="87"/>
      <c r="IWR1" s="87"/>
      <c r="IWS1" s="87"/>
      <c r="IWT1" s="87"/>
      <c r="IWU1" s="87"/>
      <c r="IWV1" s="87"/>
      <c r="IWW1" s="87"/>
      <c r="IWX1" s="87"/>
      <c r="IWY1" s="87"/>
      <c r="IWZ1" s="87"/>
      <c r="IXA1" s="87"/>
      <c r="IXB1" s="87"/>
      <c r="IXC1" s="87"/>
      <c r="IXD1" s="87"/>
      <c r="IXE1" s="87"/>
      <c r="IXF1" s="87"/>
      <c r="IXG1" s="87"/>
      <c r="IXH1" s="87"/>
      <c r="IXI1" s="87"/>
      <c r="IXJ1" s="87"/>
      <c r="IXK1" s="87"/>
      <c r="IXL1" s="87"/>
      <c r="IXM1" s="87"/>
      <c r="IXN1" s="87"/>
      <c r="IXO1" s="87"/>
      <c r="IXP1" s="87"/>
      <c r="IXQ1" s="87"/>
      <c r="IXR1" s="87"/>
      <c r="IXS1" s="87"/>
      <c r="IXT1" s="87"/>
      <c r="IXU1" s="87"/>
      <c r="IXV1" s="87"/>
      <c r="IXW1" s="87"/>
      <c r="IXX1" s="87"/>
      <c r="IXY1" s="87"/>
      <c r="IXZ1" s="87"/>
      <c r="IYA1" s="87"/>
      <c r="IYB1" s="87"/>
      <c r="IYC1" s="87"/>
      <c r="IYD1" s="87"/>
      <c r="IYE1" s="87"/>
      <c r="IYF1" s="87"/>
      <c r="IYG1" s="87"/>
      <c r="IYH1" s="87"/>
      <c r="IYI1" s="87"/>
      <c r="IYJ1" s="87"/>
      <c r="IYK1" s="87"/>
      <c r="IYL1" s="87"/>
      <c r="IYM1" s="87"/>
      <c r="IYN1" s="87"/>
      <c r="IYO1" s="87"/>
      <c r="IYP1" s="87"/>
      <c r="IYQ1" s="87"/>
      <c r="IYR1" s="87"/>
      <c r="IYS1" s="87"/>
      <c r="IYT1" s="87"/>
      <c r="IYU1" s="87"/>
      <c r="IYV1" s="87"/>
      <c r="IYW1" s="87"/>
      <c r="IYX1" s="87"/>
      <c r="IYY1" s="87"/>
      <c r="IYZ1" s="87"/>
      <c r="IZA1" s="87"/>
      <c r="IZB1" s="87"/>
      <c r="IZC1" s="87"/>
      <c r="IZD1" s="87"/>
      <c r="IZE1" s="87"/>
      <c r="IZF1" s="87"/>
      <c r="IZG1" s="87"/>
      <c r="IZH1" s="87"/>
      <c r="IZI1" s="87"/>
      <c r="IZJ1" s="87"/>
      <c r="IZK1" s="87"/>
      <c r="IZL1" s="87"/>
      <c r="IZM1" s="87"/>
      <c r="IZN1" s="87"/>
      <c r="IZO1" s="87"/>
      <c r="IZP1" s="87"/>
      <c r="IZQ1" s="87"/>
      <c r="IZR1" s="87"/>
      <c r="IZS1" s="87"/>
      <c r="IZT1" s="87"/>
      <c r="IZU1" s="87"/>
      <c r="IZV1" s="87"/>
      <c r="IZW1" s="87"/>
      <c r="IZX1" s="87"/>
      <c r="IZY1" s="87"/>
      <c r="IZZ1" s="87"/>
      <c r="JAA1" s="87"/>
      <c r="JAB1" s="87"/>
      <c r="JAC1" s="87"/>
      <c r="JAD1" s="87"/>
      <c r="JAE1" s="87"/>
      <c r="JAF1" s="87"/>
      <c r="JAG1" s="87"/>
      <c r="JAH1" s="87"/>
      <c r="JAI1" s="87"/>
      <c r="JAJ1" s="87"/>
      <c r="JAK1" s="87"/>
      <c r="JAL1" s="87"/>
      <c r="JAM1" s="87"/>
      <c r="JAN1" s="87"/>
      <c r="JAO1" s="87"/>
      <c r="JAP1" s="87"/>
      <c r="JAQ1" s="87"/>
      <c r="JAR1" s="87"/>
      <c r="JAS1" s="87"/>
      <c r="JAT1" s="87"/>
      <c r="JAU1" s="87"/>
      <c r="JAV1" s="87"/>
      <c r="JAW1" s="87"/>
      <c r="JAX1" s="87"/>
      <c r="JAY1" s="87"/>
      <c r="JAZ1" s="87"/>
      <c r="JBA1" s="87"/>
      <c r="JBB1" s="87"/>
      <c r="JBC1" s="87"/>
      <c r="JBD1" s="87"/>
      <c r="JBE1" s="87"/>
      <c r="JBF1" s="87"/>
      <c r="JBG1" s="87"/>
      <c r="JBH1" s="87"/>
      <c r="JBI1" s="87"/>
      <c r="JBJ1" s="87"/>
      <c r="JBK1" s="87"/>
      <c r="JBL1" s="87"/>
      <c r="JBM1" s="87"/>
      <c r="JBN1" s="87"/>
      <c r="JBO1" s="87"/>
      <c r="JBP1" s="87"/>
      <c r="JBQ1" s="87"/>
      <c r="JBR1" s="87"/>
      <c r="JBS1" s="87"/>
      <c r="JBT1" s="87"/>
      <c r="JBU1" s="87"/>
      <c r="JBV1" s="87"/>
      <c r="JBW1" s="87"/>
      <c r="JBX1" s="87"/>
      <c r="JBY1" s="87"/>
      <c r="JBZ1" s="87"/>
      <c r="JCA1" s="87"/>
      <c r="JCB1" s="87"/>
      <c r="JCC1" s="87"/>
      <c r="JCD1" s="87"/>
      <c r="JCE1" s="87"/>
      <c r="JCF1" s="87"/>
      <c r="JCG1" s="87"/>
      <c r="JCH1" s="87"/>
      <c r="JCI1" s="87"/>
      <c r="JCJ1" s="87"/>
      <c r="JCK1" s="87"/>
      <c r="JCL1" s="87"/>
      <c r="JCM1" s="87"/>
      <c r="JCN1" s="87"/>
      <c r="JCO1" s="87"/>
      <c r="JCP1" s="87"/>
      <c r="JCQ1" s="87"/>
      <c r="JCR1" s="87"/>
      <c r="JCS1" s="87"/>
      <c r="JCT1" s="87"/>
      <c r="JCU1" s="87"/>
      <c r="JCV1" s="87"/>
      <c r="JCW1" s="87"/>
      <c r="JCX1" s="87"/>
      <c r="JCY1" s="87"/>
      <c r="JCZ1" s="87"/>
      <c r="JDA1" s="87"/>
      <c r="JDB1" s="87"/>
      <c r="JDC1" s="87"/>
      <c r="JDD1" s="87"/>
      <c r="JDE1" s="87"/>
      <c r="JDF1" s="87"/>
      <c r="JDG1" s="87"/>
      <c r="JDH1" s="87"/>
      <c r="JDI1" s="87"/>
      <c r="JDJ1" s="87"/>
      <c r="JDK1" s="87"/>
      <c r="JDL1" s="87"/>
      <c r="JDM1" s="87"/>
      <c r="JDN1" s="87"/>
      <c r="JDO1" s="87"/>
      <c r="JDP1" s="87"/>
      <c r="JDQ1" s="87"/>
      <c r="JDR1" s="87"/>
      <c r="JDS1" s="87"/>
      <c r="JDT1" s="87"/>
      <c r="JDU1" s="87"/>
      <c r="JDV1" s="87"/>
      <c r="JDW1" s="87"/>
      <c r="JDX1" s="87"/>
      <c r="JDY1" s="87"/>
      <c r="JDZ1" s="87"/>
      <c r="JEA1" s="87"/>
      <c r="JEB1" s="87"/>
      <c r="JEC1" s="87"/>
      <c r="JED1" s="87"/>
      <c r="JEE1" s="87"/>
      <c r="JEF1" s="87"/>
      <c r="JEG1" s="87"/>
      <c r="JEH1" s="87"/>
      <c r="JEI1" s="87"/>
      <c r="JEJ1" s="87"/>
      <c r="JEK1" s="87"/>
      <c r="JEL1" s="87"/>
      <c r="JEM1" s="87"/>
      <c r="JEN1" s="87"/>
      <c r="JEO1" s="87"/>
      <c r="JEP1" s="87"/>
      <c r="JEQ1" s="87"/>
      <c r="JER1" s="87"/>
      <c r="JES1" s="87"/>
      <c r="JET1" s="87"/>
      <c r="JEU1" s="87"/>
      <c r="JEV1" s="87"/>
      <c r="JEW1" s="87"/>
      <c r="JEX1" s="87"/>
      <c r="JEY1" s="87"/>
      <c r="JEZ1" s="87"/>
      <c r="JFA1" s="87"/>
      <c r="JFB1" s="87"/>
      <c r="JFC1" s="87"/>
      <c r="JFD1" s="87"/>
      <c r="JFE1" s="87"/>
      <c r="JFF1" s="87"/>
      <c r="JFG1" s="87"/>
      <c r="JFH1" s="87"/>
      <c r="JFI1" s="87"/>
      <c r="JFJ1" s="87"/>
      <c r="JFK1" s="87"/>
      <c r="JFL1" s="87"/>
      <c r="JFM1" s="87"/>
      <c r="JFN1" s="87"/>
      <c r="JFO1" s="87"/>
      <c r="JFP1" s="87"/>
      <c r="JFQ1" s="87"/>
      <c r="JFR1" s="87"/>
      <c r="JFS1" s="87"/>
      <c r="JFT1" s="87"/>
      <c r="JFU1" s="87"/>
      <c r="JFV1" s="87"/>
      <c r="JFW1" s="87"/>
      <c r="JFX1" s="87"/>
      <c r="JFY1" s="87"/>
      <c r="JFZ1" s="87"/>
      <c r="JGA1" s="87"/>
      <c r="JGB1" s="87"/>
      <c r="JGC1" s="87"/>
      <c r="JGD1" s="87"/>
      <c r="JGE1" s="87"/>
      <c r="JGF1" s="87"/>
      <c r="JGG1" s="87"/>
      <c r="JGH1" s="87"/>
      <c r="JGI1" s="87"/>
      <c r="JGJ1" s="87"/>
      <c r="JGK1" s="87"/>
      <c r="JGL1" s="87"/>
      <c r="JGM1" s="87"/>
      <c r="JGN1" s="87"/>
      <c r="JGO1" s="87"/>
      <c r="JGP1" s="87"/>
      <c r="JGQ1" s="87"/>
      <c r="JGR1" s="87"/>
      <c r="JGS1" s="87"/>
      <c r="JGT1" s="87"/>
      <c r="JGU1" s="87"/>
      <c r="JGV1" s="87"/>
      <c r="JGW1" s="87"/>
      <c r="JGX1" s="87"/>
      <c r="JGY1" s="87"/>
      <c r="JGZ1" s="87"/>
      <c r="JHA1" s="87"/>
      <c r="JHB1" s="87"/>
      <c r="JHC1" s="87"/>
      <c r="JHD1" s="87"/>
      <c r="JHE1" s="87"/>
      <c r="JHF1" s="87"/>
      <c r="JHG1" s="87"/>
      <c r="JHH1" s="87"/>
      <c r="JHI1" s="87"/>
      <c r="JHJ1" s="87"/>
      <c r="JHK1" s="87"/>
      <c r="JHL1" s="87"/>
      <c r="JHM1" s="87"/>
      <c r="JHN1" s="87"/>
      <c r="JHO1" s="87"/>
      <c r="JHP1" s="87"/>
      <c r="JHQ1" s="87"/>
      <c r="JHR1" s="87"/>
      <c r="JHS1" s="87"/>
      <c r="JHT1" s="87"/>
      <c r="JHU1" s="87"/>
      <c r="JHV1" s="87"/>
      <c r="JHW1" s="87"/>
      <c r="JHX1" s="87"/>
      <c r="JHY1" s="87"/>
      <c r="JHZ1" s="87"/>
      <c r="JIA1" s="87"/>
      <c r="JIB1" s="87"/>
      <c r="JIC1" s="87"/>
      <c r="JID1" s="87"/>
      <c r="JIE1" s="87"/>
      <c r="JIF1" s="87"/>
      <c r="JIG1" s="87"/>
      <c r="JIH1" s="87"/>
      <c r="JII1" s="87"/>
      <c r="JIJ1" s="87"/>
      <c r="JIK1" s="87"/>
      <c r="JIL1" s="87"/>
      <c r="JIM1" s="87"/>
      <c r="JIN1" s="87"/>
      <c r="JIO1" s="87"/>
      <c r="JIP1" s="87"/>
      <c r="JIQ1" s="87"/>
      <c r="JIR1" s="87"/>
      <c r="JIS1" s="87"/>
      <c r="JIT1" s="87"/>
      <c r="JIU1" s="87"/>
      <c r="JIV1" s="87"/>
      <c r="JIW1" s="87"/>
      <c r="JIX1" s="87"/>
      <c r="JIY1" s="87"/>
      <c r="JIZ1" s="87"/>
      <c r="JJA1" s="87"/>
      <c r="JJB1" s="87"/>
      <c r="JJC1" s="87"/>
      <c r="JJD1" s="87"/>
      <c r="JJE1" s="87"/>
      <c r="JJF1" s="87"/>
      <c r="JJG1" s="87"/>
      <c r="JJH1" s="87"/>
      <c r="JJI1" s="87"/>
      <c r="JJJ1" s="87"/>
      <c r="JJK1" s="87"/>
      <c r="JJL1" s="87"/>
      <c r="JJM1" s="87"/>
      <c r="JJN1" s="87"/>
      <c r="JJO1" s="87"/>
      <c r="JJP1" s="87"/>
      <c r="JJQ1" s="87"/>
      <c r="JJR1" s="87"/>
      <c r="JJS1" s="87"/>
      <c r="JJT1" s="87"/>
      <c r="JJU1" s="87"/>
      <c r="JJV1" s="87"/>
      <c r="JJW1" s="87"/>
      <c r="JJX1" s="87"/>
      <c r="JJY1" s="87"/>
      <c r="JJZ1" s="87"/>
      <c r="JKA1" s="87"/>
      <c r="JKB1" s="87"/>
      <c r="JKC1" s="87"/>
      <c r="JKD1" s="87"/>
      <c r="JKE1" s="87"/>
      <c r="JKF1" s="87"/>
      <c r="JKG1" s="87"/>
      <c r="JKH1" s="87"/>
      <c r="JKI1" s="87"/>
      <c r="JKJ1" s="87"/>
      <c r="JKK1" s="87"/>
      <c r="JKL1" s="87"/>
      <c r="JKM1" s="87"/>
      <c r="JKN1" s="87"/>
      <c r="JKO1" s="87"/>
      <c r="JKP1" s="87"/>
      <c r="JKQ1" s="87"/>
      <c r="JKR1" s="87"/>
      <c r="JKS1" s="87"/>
      <c r="JKT1" s="87"/>
      <c r="JKU1" s="87"/>
      <c r="JKV1" s="87"/>
      <c r="JKW1" s="87"/>
      <c r="JKX1" s="87"/>
      <c r="JKY1" s="87"/>
      <c r="JKZ1" s="87"/>
      <c r="JLA1" s="87"/>
      <c r="JLB1" s="87"/>
      <c r="JLC1" s="87"/>
      <c r="JLD1" s="87"/>
      <c r="JLE1" s="87"/>
      <c r="JLF1" s="87"/>
      <c r="JLG1" s="87"/>
      <c r="JLH1" s="87"/>
      <c r="JLI1" s="87"/>
      <c r="JLJ1" s="87"/>
      <c r="JLK1" s="87"/>
      <c r="JLL1" s="87"/>
      <c r="JLM1" s="87"/>
      <c r="JLN1" s="87"/>
      <c r="JLO1" s="87"/>
      <c r="JLP1" s="87"/>
      <c r="JLQ1" s="87"/>
      <c r="JLR1" s="87"/>
      <c r="JLS1" s="87"/>
      <c r="JLT1" s="87"/>
      <c r="JLU1" s="87"/>
      <c r="JLV1" s="87"/>
      <c r="JLW1" s="87"/>
      <c r="JLX1" s="87"/>
      <c r="JLY1" s="87"/>
      <c r="JLZ1" s="87"/>
      <c r="JMA1" s="87"/>
      <c r="JMB1" s="87"/>
      <c r="JMC1" s="87"/>
      <c r="JMD1" s="87"/>
      <c r="JME1" s="87"/>
      <c r="JMF1" s="87"/>
      <c r="JMG1" s="87"/>
      <c r="JMH1" s="87"/>
      <c r="JMI1" s="87"/>
      <c r="JMJ1" s="87"/>
      <c r="JMK1" s="87"/>
      <c r="JML1" s="87"/>
      <c r="JMM1" s="87"/>
      <c r="JMN1" s="87"/>
      <c r="JMO1" s="87"/>
      <c r="JMP1" s="87"/>
      <c r="JMQ1" s="87"/>
      <c r="JMR1" s="87"/>
      <c r="JMS1" s="87"/>
      <c r="JMT1" s="87"/>
      <c r="JMU1" s="87"/>
      <c r="JMV1" s="87"/>
      <c r="JMW1" s="87"/>
      <c r="JMX1" s="87"/>
      <c r="JMY1" s="87"/>
      <c r="JMZ1" s="87"/>
      <c r="JNA1" s="87"/>
      <c r="JNB1" s="87"/>
      <c r="JNC1" s="87"/>
      <c r="JND1" s="87"/>
      <c r="JNE1" s="87"/>
      <c r="JNF1" s="87"/>
      <c r="JNG1" s="87"/>
      <c r="JNH1" s="87"/>
      <c r="JNI1" s="87"/>
      <c r="JNJ1" s="87"/>
      <c r="JNK1" s="87"/>
      <c r="JNL1" s="87"/>
      <c r="JNM1" s="87"/>
      <c r="JNN1" s="87"/>
      <c r="JNO1" s="87"/>
      <c r="JNP1" s="87"/>
      <c r="JNQ1" s="87"/>
      <c r="JNR1" s="87"/>
      <c r="JNS1" s="87"/>
      <c r="JNT1" s="87"/>
      <c r="JNU1" s="87"/>
      <c r="JNV1" s="87"/>
      <c r="JNW1" s="87"/>
      <c r="JNX1" s="87"/>
      <c r="JNY1" s="87"/>
      <c r="JNZ1" s="87"/>
      <c r="JOA1" s="87"/>
      <c r="JOB1" s="87"/>
      <c r="JOC1" s="87"/>
      <c r="JOD1" s="87"/>
      <c r="JOE1" s="87"/>
      <c r="JOF1" s="87"/>
      <c r="JOG1" s="87"/>
      <c r="JOH1" s="87"/>
      <c r="JOI1" s="87"/>
      <c r="JOJ1" s="87"/>
      <c r="JOK1" s="87"/>
      <c r="JOL1" s="87"/>
      <c r="JOM1" s="87"/>
      <c r="JON1" s="87"/>
      <c r="JOO1" s="87"/>
      <c r="JOP1" s="87"/>
      <c r="JOQ1" s="87"/>
      <c r="JOR1" s="87"/>
      <c r="JOS1" s="87"/>
      <c r="JOT1" s="87"/>
      <c r="JOU1" s="87"/>
      <c r="JOV1" s="87"/>
      <c r="JOW1" s="87"/>
      <c r="JOX1" s="87"/>
      <c r="JOY1" s="87"/>
      <c r="JOZ1" s="87"/>
      <c r="JPA1" s="87"/>
      <c r="JPB1" s="87"/>
      <c r="JPC1" s="87"/>
      <c r="JPD1" s="87"/>
      <c r="JPE1" s="87"/>
      <c r="JPF1" s="87"/>
      <c r="JPG1" s="87"/>
      <c r="JPH1" s="87"/>
      <c r="JPI1" s="87"/>
      <c r="JPJ1" s="87"/>
      <c r="JPK1" s="87"/>
      <c r="JPL1" s="87"/>
      <c r="JPM1" s="87"/>
      <c r="JPN1" s="87"/>
      <c r="JPO1" s="87"/>
      <c r="JPP1" s="87"/>
      <c r="JPQ1" s="87"/>
      <c r="JPR1" s="87"/>
      <c r="JPS1" s="87"/>
      <c r="JPT1" s="87"/>
      <c r="JPU1" s="87"/>
      <c r="JPV1" s="87"/>
      <c r="JPW1" s="87"/>
      <c r="JPX1" s="87"/>
      <c r="JPY1" s="87"/>
      <c r="JPZ1" s="87"/>
      <c r="JQA1" s="87"/>
      <c r="JQB1" s="87"/>
      <c r="JQC1" s="87"/>
      <c r="JQD1" s="87"/>
      <c r="JQE1" s="87"/>
      <c r="JQF1" s="87"/>
      <c r="JQG1" s="87"/>
      <c r="JQH1" s="87"/>
      <c r="JQI1" s="87"/>
      <c r="JQJ1" s="87"/>
      <c r="JQK1" s="87"/>
      <c r="JQL1" s="87"/>
      <c r="JQM1" s="87"/>
      <c r="JQN1" s="87"/>
      <c r="JQO1" s="87"/>
      <c r="JQP1" s="87"/>
      <c r="JQQ1" s="87"/>
      <c r="JQR1" s="87"/>
      <c r="JQS1" s="87"/>
      <c r="JQT1" s="87"/>
      <c r="JQU1" s="87"/>
      <c r="JQV1" s="87"/>
      <c r="JQW1" s="87"/>
      <c r="JQX1" s="87"/>
      <c r="JQY1" s="87"/>
      <c r="JQZ1" s="87"/>
      <c r="JRA1" s="87"/>
      <c r="JRB1" s="87"/>
      <c r="JRC1" s="87"/>
      <c r="JRD1" s="87"/>
      <c r="JRE1" s="87"/>
      <c r="JRF1" s="87"/>
      <c r="JRG1" s="87"/>
      <c r="JRH1" s="87"/>
      <c r="JRI1" s="87"/>
      <c r="JRJ1" s="87"/>
      <c r="JRK1" s="87"/>
      <c r="JRL1" s="87"/>
      <c r="JRM1" s="87"/>
      <c r="JRN1" s="87"/>
      <c r="JRO1" s="87"/>
      <c r="JRP1" s="87"/>
      <c r="JRQ1" s="87"/>
      <c r="JRR1" s="87"/>
      <c r="JRS1" s="87"/>
      <c r="JRT1" s="87"/>
      <c r="JRU1" s="87"/>
      <c r="JRV1" s="87"/>
      <c r="JRW1" s="87"/>
      <c r="JRX1" s="87"/>
      <c r="JRY1" s="87"/>
      <c r="JRZ1" s="87"/>
      <c r="JSA1" s="87"/>
      <c r="JSB1" s="87"/>
      <c r="JSC1" s="87"/>
      <c r="JSD1" s="87"/>
      <c r="JSE1" s="87"/>
      <c r="JSF1" s="87"/>
      <c r="JSG1" s="87"/>
      <c r="JSH1" s="87"/>
      <c r="JSI1" s="87"/>
      <c r="JSJ1" s="87"/>
      <c r="JSK1" s="87"/>
      <c r="JSL1" s="87"/>
      <c r="JSM1" s="87"/>
      <c r="JSN1" s="87"/>
      <c r="JSO1" s="87"/>
      <c r="JSP1" s="87"/>
      <c r="JSQ1" s="87"/>
      <c r="JSR1" s="87"/>
      <c r="JSS1" s="87"/>
      <c r="JST1" s="87"/>
      <c r="JSU1" s="87"/>
      <c r="JSV1" s="87"/>
      <c r="JSW1" s="87"/>
      <c r="JSX1" s="87"/>
      <c r="JSY1" s="87"/>
      <c r="JSZ1" s="87"/>
      <c r="JTA1" s="87"/>
      <c r="JTB1" s="87"/>
      <c r="JTC1" s="87"/>
      <c r="JTD1" s="87"/>
      <c r="JTE1" s="87"/>
      <c r="JTF1" s="87"/>
      <c r="JTG1" s="87"/>
      <c r="JTH1" s="87"/>
      <c r="JTI1" s="87"/>
      <c r="JTJ1" s="87"/>
      <c r="JTK1" s="87"/>
      <c r="JTL1" s="87"/>
      <c r="JTM1" s="87"/>
      <c r="JTN1" s="87"/>
      <c r="JTO1" s="87"/>
      <c r="JTP1" s="87"/>
      <c r="JTQ1" s="87"/>
      <c r="JTR1" s="87"/>
      <c r="JTS1" s="87"/>
      <c r="JTT1" s="87"/>
      <c r="JTU1" s="87"/>
      <c r="JTV1" s="87"/>
      <c r="JTW1" s="87"/>
      <c r="JTX1" s="87"/>
      <c r="JTY1" s="87"/>
      <c r="JTZ1" s="87"/>
      <c r="JUA1" s="87"/>
      <c r="JUB1" s="87"/>
      <c r="JUC1" s="87"/>
      <c r="JUD1" s="87"/>
      <c r="JUE1" s="87"/>
      <c r="JUF1" s="87"/>
      <c r="JUG1" s="87"/>
      <c r="JUH1" s="87"/>
      <c r="JUI1" s="87"/>
      <c r="JUJ1" s="87"/>
      <c r="JUK1" s="87"/>
      <c r="JUL1" s="87"/>
      <c r="JUM1" s="87"/>
      <c r="JUN1" s="87"/>
      <c r="JUO1" s="87"/>
      <c r="JUP1" s="87"/>
      <c r="JUQ1" s="87"/>
      <c r="JUR1" s="87"/>
      <c r="JUS1" s="87"/>
      <c r="JUT1" s="87"/>
      <c r="JUU1" s="87"/>
      <c r="JUV1" s="87"/>
      <c r="JUW1" s="87"/>
      <c r="JUX1" s="87"/>
      <c r="JUY1" s="87"/>
      <c r="JUZ1" s="87"/>
      <c r="JVA1" s="87"/>
      <c r="JVB1" s="87"/>
      <c r="JVC1" s="87"/>
      <c r="JVD1" s="87"/>
      <c r="JVE1" s="87"/>
      <c r="JVF1" s="87"/>
      <c r="JVG1" s="87"/>
      <c r="JVH1" s="87"/>
      <c r="JVI1" s="87"/>
      <c r="JVJ1" s="87"/>
      <c r="JVK1" s="87"/>
      <c r="JVL1" s="87"/>
      <c r="JVM1" s="87"/>
      <c r="JVN1" s="87"/>
      <c r="JVO1" s="87"/>
      <c r="JVP1" s="87"/>
      <c r="JVQ1" s="87"/>
      <c r="JVR1" s="87"/>
      <c r="JVS1" s="87"/>
      <c r="JVT1" s="87"/>
      <c r="JVU1" s="87"/>
      <c r="JVV1" s="87"/>
      <c r="JVW1" s="87"/>
      <c r="JVX1" s="87"/>
      <c r="JVY1" s="87"/>
      <c r="JVZ1" s="87"/>
      <c r="JWA1" s="87"/>
      <c r="JWB1" s="87"/>
      <c r="JWC1" s="87"/>
      <c r="JWD1" s="87"/>
      <c r="JWE1" s="87"/>
      <c r="JWF1" s="87"/>
      <c r="JWG1" s="87"/>
      <c r="JWH1" s="87"/>
      <c r="JWI1" s="87"/>
      <c r="JWJ1" s="87"/>
      <c r="JWK1" s="87"/>
      <c r="JWL1" s="87"/>
      <c r="JWM1" s="87"/>
      <c r="JWN1" s="87"/>
      <c r="JWO1" s="87"/>
      <c r="JWP1" s="87"/>
      <c r="JWQ1" s="87"/>
      <c r="JWR1" s="87"/>
      <c r="JWS1" s="87"/>
      <c r="JWT1" s="87"/>
      <c r="JWU1" s="87"/>
      <c r="JWV1" s="87"/>
      <c r="JWW1" s="87"/>
      <c r="JWX1" s="87"/>
      <c r="JWY1" s="87"/>
      <c r="JWZ1" s="87"/>
      <c r="JXA1" s="87"/>
      <c r="JXB1" s="87"/>
      <c r="JXC1" s="87"/>
      <c r="JXD1" s="87"/>
      <c r="JXE1" s="87"/>
      <c r="JXF1" s="87"/>
      <c r="JXG1" s="87"/>
      <c r="JXH1" s="87"/>
      <c r="JXI1" s="87"/>
      <c r="JXJ1" s="87"/>
      <c r="JXK1" s="87"/>
      <c r="JXL1" s="87"/>
      <c r="JXM1" s="87"/>
      <c r="JXN1" s="87"/>
      <c r="JXO1" s="87"/>
      <c r="JXP1" s="87"/>
      <c r="JXQ1" s="87"/>
      <c r="JXR1" s="87"/>
      <c r="JXS1" s="87"/>
      <c r="JXT1" s="87"/>
      <c r="JXU1" s="87"/>
      <c r="JXV1" s="87"/>
      <c r="JXW1" s="87"/>
      <c r="JXX1" s="87"/>
      <c r="JXY1" s="87"/>
      <c r="JXZ1" s="87"/>
      <c r="JYA1" s="87"/>
      <c r="JYB1" s="87"/>
      <c r="JYC1" s="87"/>
      <c r="JYD1" s="87"/>
      <c r="JYE1" s="87"/>
      <c r="JYF1" s="87"/>
      <c r="JYG1" s="87"/>
      <c r="JYH1" s="87"/>
      <c r="JYI1" s="87"/>
      <c r="JYJ1" s="87"/>
      <c r="JYK1" s="87"/>
      <c r="JYL1" s="87"/>
      <c r="JYM1" s="87"/>
      <c r="JYN1" s="87"/>
      <c r="JYO1" s="87"/>
      <c r="JYP1" s="87"/>
      <c r="JYQ1" s="87"/>
      <c r="JYR1" s="87"/>
      <c r="JYS1" s="87"/>
      <c r="JYT1" s="87"/>
      <c r="JYU1" s="87"/>
      <c r="JYV1" s="87"/>
      <c r="JYW1" s="87"/>
      <c r="JYX1" s="87"/>
      <c r="JYY1" s="87"/>
      <c r="JYZ1" s="87"/>
      <c r="JZA1" s="87"/>
      <c r="JZB1" s="87"/>
      <c r="JZC1" s="87"/>
      <c r="JZD1" s="87"/>
      <c r="JZE1" s="87"/>
      <c r="JZF1" s="87"/>
      <c r="JZG1" s="87"/>
      <c r="JZH1" s="87"/>
      <c r="JZI1" s="87"/>
      <c r="JZJ1" s="87"/>
      <c r="JZK1" s="87"/>
      <c r="JZL1" s="87"/>
      <c r="JZM1" s="87"/>
      <c r="JZN1" s="87"/>
      <c r="JZO1" s="87"/>
      <c r="JZP1" s="87"/>
      <c r="JZQ1" s="87"/>
      <c r="JZR1" s="87"/>
      <c r="JZS1" s="87"/>
      <c r="JZT1" s="87"/>
      <c r="JZU1" s="87"/>
      <c r="JZV1" s="87"/>
      <c r="JZW1" s="87"/>
      <c r="JZX1" s="87"/>
      <c r="JZY1" s="87"/>
      <c r="JZZ1" s="87"/>
      <c r="KAA1" s="87"/>
      <c r="KAB1" s="87"/>
      <c r="KAC1" s="87"/>
      <c r="KAD1" s="87"/>
      <c r="KAE1" s="87"/>
      <c r="KAF1" s="87"/>
      <c r="KAG1" s="87"/>
      <c r="KAH1" s="87"/>
      <c r="KAI1" s="87"/>
      <c r="KAJ1" s="87"/>
      <c r="KAK1" s="87"/>
      <c r="KAL1" s="87"/>
      <c r="KAM1" s="87"/>
      <c r="KAN1" s="87"/>
      <c r="KAO1" s="87"/>
      <c r="KAP1" s="87"/>
      <c r="KAQ1" s="87"/>
      <c r="KAR1" s="87"/>
      <c r="KAS1" s="87"/>
      <c r="KAT1" s="87"/>
      <c r="KAU1" s="87"/>
      <c r="KAV1" s="87"/>
      <c r="KAW1" s="87"/>
      <c r="KAX1" s="87"/>
      <c r="KAY1" s="87"/>
      <c r="KAZ1" s="87"/>
      <c r="KBA1" s="87"/>
      <c r="KBB1" s="87"/>
      <c r="KBC1" s="87"/>
      <c r="KBD1" s="87"/>
      <c r="KBE1" s="87"/>
      <c r="KBF1" s="87"/>
      <c r="KBG1" s="87"/>
      <c r="KBH1" s="87"/>
      <c r="KBI1" s="87"/>
      <c r="KBJ1" s="87"/>
      <c r="KBK1" s="87"/>
      <c r="KBL1" s="87"/>
      <c r="KBM1" s="87"/>
      <c r="KBN1" s="87"/>
      <c r="KBO1" s="87"/>
      <c r="KBP1" s="87"/>
      <c r="KBQ1" s="87"/>
      <c r="KBR1" s="87"/>
      <c r="KBS1" s="87"/>
      <c r="KBT1" s="87"/>
      <c r="KBU1" s="87"/>
      <c r="KBV1" s="87"/>
      <c r="KBW1" s="87"/>
      <c r="KBX1" s="87"/>
      <c r="KBY1" s="87"/>
      <c r="KBZ1" s="87"/>
      <c r="KCA1" s="87"/>
      <c r="KCB1" s="87"/>
      <c r="KCC1" s="87"/>
      <c r="KCD1" s="87"/>
      <c r="KCE1" s="87"/>
      <c r="KCF1" s="87"/>
      <c r="KCG1" s="87"/>
      <c r="KCH1" s="87"/>
      <c r="KCI1" s="87"/>
      <c r="KCJ1" s="87"/>
      <c r="KCK1" s="87"/>
      <c r="KCL1" s="87"/>
      <c r="KCM1" s="87"/>
      <c r="KCN1" s="87"/>
      <c r="KCO1" s="87"/>
      <c r="KCP1" s="87"/>
      <c r="KCQ1" s="87"/>
      <c r="KCR1" s="87"/>
      <c r="KCS1" s="87"/>
      <c r="KCT1" s="87"/>
      <c r="KCU1" s="87"/>
      <c r="KCV1" s="87"/>
      <c r="KCW1" s="87"/>
      <c r="KCX1" s="87"/>
      <c r="KCY1" s="87"/>
      <c r="KCZ1" s="87"/>
      <c r="KDA1" s="87"/>
      <c r="KDB1" s="87"/>
      <c r="KDC1" s="87"/>
      <c r="KDD1" s="87"/>
      <c r="KDE1" s="87"/>
      <c r="KDF1" s="87"/>
      <c r="KDG1" s="87"/>
      <c r="KDH1" s="87"/>
      <c r="KDI1" s="87"/>
      <c r="KDJ1" s="87"/>
      <c r="KDK1" s="87"/>
      <c r="KDL1" s="87"/>
      <c r="KDM1" s="87"/>
      <c r="KDN1" s="87"/>
      <c r="KDO1" s="87"/>
      <c r="KDP1" s="87"/>
      <c r="KDQ1" s="87"/>
      <c r="KDR1" s="87"/>
      <c r="KDS1" s="87"/>
      <c r="KDT1" s="87"/>
      <c r="KDU1" s="87"/>
      <c r="KDV1" s="87"/>
      <c r="KDW1" s="87"/>
      <c r="KDX1" s="87"/>
      <c r="KDY1" s="87"/>
      <c r="KDZ1" s="87"/>
      <c r="KEA1" s="87"/>
      <c r="KEB1" s="87"/>
      <c r="KEC1" s="87"/>
      <c r="KED1" s="87"/>
      <c r="KEE1" s="87"/>
      <c r="KEF1" s="87"/>
      <c r="KEG1" s="87"/>
      <c r="KEH1" s="87"/>
      <c r="KEI1" s="87"/>
      <c r="KEJ1" s="87"/>
      <c r="KEK1" s="87"/>
      <c r="KEL1" s="87"/>
      <c r="KEM1" s="87"/>
      <c r="KEN1" s="87"/>
      <c r="KEO1" s="87"/>
      <c r="KEP1" s="87"/>
      <c r="KEQ1" s="87"/>
      <c r="KER1" s="87"/>
      <c r="KES1" s="87"/>
      <c r="KET1" s="87"/>
      <c r="KEU1" s="87"/>
      <c r="KEV1" s="87"/>
      <c r="KEW1" s="87"/>
      <c r="KEX1" s="87"/>
      <c r="KEY1" s="87"/>
      <c r="KEZ1" s="87"/>
      <c r="KFA1" s="87"/>
      <c r="KFB1" s="87"/>
      <c r="KFC1" s="87"/>
      <c r="KFD1" s="87"/>
      <c r="KFE1" s="87"/>
      <c r="KFF1" s="87"/>
      <c r="KFG1" s="87"/>
      <c r="KFH1" s="87"/>
      <c r="KFI1" s="87"/>
      <c r="KFJ1" s="87"/>
      <c r="KFK1" s="87"/>
      <c r="KFL1" s="87"/>
      <c r="KFM1" s="87"/>
      <c r="KFN1" s="87"/>
      <c r="KFO1" s="87"/>
      <c r="KFP1" s="87"/>
      <c r="KFQ1" s="87"/>
      <c r="KFR1" s="87"/>
      <c r="KFS1" s="87"/>
      <c r="KFT1" s="87"/>
      <c r="KFU1" s="87"/>
      <c r="KFV1" s="87"/>
      <c r="KFW1" s="87"/>
      <c r="KFX1" s="87"/>
      <c r="KFY1" s="87"/>
      <c r="KFZ1" s="87"/>
      <c r="KGA1" s="87"/>
      <c r="KGB1" s="87"/>
      <c r="KGC1" s="87"/>
      <c r="KGD1" s="87"/>
      <c r="KGE1" s="87"/>
      <c r="KGF1" s="87"/>
      <c r="KGG1" s="87"/>
      <c r="KGH1" s="87"/>
      <c r="KGI1" s="87"/>
      <c r="KGJ1" s="87"/>
      <c r="KGK1" s="87"/>
      <c r="KGL1" s="87"/>
      <c r="KGM1" s="87"/>
      <c r="KGN1" s="87"/>
      <c r="KGO1" s="87"/>
      <c r="KGP1" s="87"/>
      <c r="KGQ1" s="87"/>
      <c r="KGR1" s="87"/>
      <c r="KGS1" s="87"/>
      <c r="KGT1" s="87"/>
      <c r="KGU1" s="87"/>
      <c r="KGV1" s="87"/>
      <c r="KGW1" s="87"/>
      <c r="KGX1" s="87"/>
      <c r="KGY1" s="87"/>
      <c r="KGZ1" s="87"/>
      <c r="KHA1" s="87"/>
      <c r="KHB1" s="87"/>
      <c r="KHC1" s="87"/>
      <c r="KHD1" s="87"/>
      <c r="KHE1" s="87"/>
      <c r="KHF1" s="87"/>
      <c r="KHG1" s="87"/>
      <c r="KHH1" s="87"/>
      <c r="KHI1" s="87"/>
      <c r="KHJ1" s="87"/>
      <c r="KHK1" s="87"/>
      <c r="KHL1" s="87"/>
      <c r="KHM1" s="87"/>
      <c r="KHN1" s="87"/>
      <c r="KHO1" s="87"/>
      <c r="KHP1" s="87"/>
      <c r="KHQ1" s="87"/>
      <c r="KHR1" s="87"/>
      <c r="KHS1" s="87"/>
      <c r="KHT1" s="87"/>
      <c r="KHU1" s="87"/>
      <c r="KHV1" s="87"/>
      <c r="KHW1" s="87"/>
      <c r="KHX1" s="87"/>
      <c r="KHY1" s="87"/>
      <c r="KHZ1" s="87"/>
      <c r="KIA1" s="87"/>
      <c r="KIB1" s="87"/>
      <c r="KIC1" s="87"/>
      <c r="KID1" s="87"/>
      <c r="KIE1" s="87"/>
      <c r="KIF1" s="87"/>
      <c r="KIG1" s="87"/>
      <c r="KIH1" s="87"/>
      <c r="KII1" s="87"/>
      <c r="KIJ1" s="87"/>
      <c r="KIK1" s="87"/>
      <c r="KIL1" s="87"/>
      <c r="KIM1" s="87"/>
      <c r="KIN1" s="87"/>
      <c r="KIO1" s="87"/>
      <c r="KIP1" s="87"/>
      <c r="KIQ1" s="87"/>
      <c r="KIR1" s="87"/>
      <c r="KIS1" s="87"/>
      <c r="KIT1" s="87"/>
      <c r="KIU1" s="87"/>
      <c r="KIV1" s="87"/>
      <c r="KIW1" s="87"/>
      <c r="KIX1" s="87"/>
      <c r="KIY1" s="87"/>
      <c r="KIZ1" s="87"/>
      <c r="KJA1" s="87"/>
      <c r="KJB1" s="87"/>
      <c r="KJC1" s="87"/>
      <c r="KJD1" s="87"/>
      <c r="KJE1" s="87"/>
      <c r="KJF1" s="87"/>
      <c r="KJG1" s="87"/>
      <c r="KJH1" s="87"/>
      <c r="KJI1" s="87"/>
      <c r="KJJ1" s="87"/>
      <c r="KJK1" s="87"/>
      <c r="KJL1" s="87"/>
      <c r="KJM1" s="87"/>
      <c r="KJN1" s="87"/>
      <c r="KJO1" s="87"/>
      <c r="KJP1" s="87"/>
      <c r="KJQ1" s="87"/>
      <c r="KJR1" s="87"/>
      <c r="KJS1" s="87"/>
      <c r="KJT1" s="87"/>
      <c r="KJU1" s="87"/>
      <c r="KJV1" s="87"/>
      <c r="KJW1" s="87"/>
      <c r="KJX1" s="87"/>
      <c r="KJY1" s="87"/>
      <c r="KJZ1" s="87"/>
      <c r="KKA1" s="87"/>
      <c r="KKB1" s="87"/>
      <c r="KKC1" s="87"/>
      <c r="KKD1" s="87"/>
      <c r="KKE1" s="87"/>
      <c r="KKF1" s="87"/>
      <c r="KKG1" s="87"/>
      <c r="KKH1" s="87"/>
      <c r="KKI1" s="87"/>
      <c r="KKJ1" s="87"/>
      <c r="KKK1" s="87"/>
      <c r="KKL1" s="87"/>
      <c r="KKM1" s="87"/>
      <c r="KKN1" s="87"/>
      <c r="KKO1" s="87"/>
      <c r="KKP1" s="87"/>
      <c r="KKQ1" s="87"/>
      <c r="KKR1" s="87"/>
      <c r="KKS1" s="87"/>
      <c r="KKT1" s="87"/>
      <c r="KKU1" s="87"/>
      <c r="KKV1" s="87"/>
      <c r="KKW1" s="87"/>
      <c r="KKX1" s="87"/>
      <c r="KKY1" s="87"/>
      <c r="KKZ1" s="87"/>
      <c r="KLA1" s="87"/>
      <c r="KLB1" s="87"/>
      <c r="KLC1" s="87"/>
      <c r="KLD1" s="87"/>
      <c r="KLE1" s="87"/>
      <c r="KLF1" s="87"/>
      <c r="KLG1" s="87"/>
      <c r="KLH1" s="87"/>
      <c r="KLI1" s="87"/>
      <c r="KLJ1" s="87"/>
      <c r="KLK1" s="87"/>
      <c r="KLL1" s="87"/>
      <c r="KLM1" s="87"/>
      <c r="KLN1" s="87"/>
      <c r="KLO1" s="87"/>
      <c r="KLP1" s="87"/>
      <c r="KLQ1" s="87"/>
      <c r="KLR1" s="87"/>
      <c r="KLS1" s="87"/>
      <c r="KLT1" s="87"/>
      <c r="KLU1" s="87"/>
      <c r="KLV1" s="87"/>
      <c r="KLW1" s="87"/>
      <c r="KLX1" s="87"/>
      <c r="KLY1" s="87"/>
      <c r="KLZ1" s="87"/>
      <c r="KMA1" s="87"/>
      <c r="KMB1" s="87"/>
      <c r="KMC1" s="87"/>
      <c r="KMD1" s="87"/>
      <c r="KME1" s="87"/>
      <c r="KMF1" s="87"/>
      <c r="KMG1" s="87"/>
      <c r="KMH1" s="87"/>
      <c r="KMI1" s="87"/>
      <c r="KMJ1" s="87"/>
      <c r="KMK1" s="87"/>
      <c r="KML1" s="87"/>
      <c r="KMM1" s="87"/>
      <c r="KMN1" s="87"/>
      <c r="KMO1" s="87"/>
      <c r="KMP1" s="87"/>
      <c r="KMQ1" s="87"/>
      <c r="KMR1" s="87"/>
      <c r="KMS1" s="87"/>
      <c r="KMT1" s="87"/>
      <c r="KMU1" s="87"/>
      <c r="KMV1" s="87"/>
      <c r="KMW1" s="87"/>
      <c r="KMX1" s="87"/>
      <c r="KMY1" s="87"/>
      <c r="KMZ1" s="87"/>
      <c r="KNA1" s="87"/>
      <c r="KNB1" s="87"/>
      <c r="KNC1" s="87"/>
      <c r="KND1" s="87"/>
      <c r="KNE1" s="87"/>
      <c r="KNF1" s="87"/>
      <c r="KNG1" s="87"/>
      <c r="KNH1" s="87"/>
      <c r="KNI1" s="87"/>
      <c r="KNJ1" s="87"/>
      <c r="KNK1" s="87"/>
      <c r="KNL1" s="87"/>
      <c r="KNM1" s="87"/>
      <c r="KNN1" s="87"/>
      <c r="KNO1" s="87"/>
      <c r="KNP1" s="87"/>
      <c r="KNQ1" s="87"/>
      <c r="KNR1" s="87"/>
      <c r="KNS1" s="87"/>
      <c r="KNT1" s="87"/>
      <c r="KNU1" s="87"/>
      <c r="KNV1" s="87"/>
      <c r="KNW1" s="87"/>
      <c r="KNX1" s="87"/>
      <c r="KNY1" s="87"/>
      <c r="KNZ1" s="87"/>
      <c r="KOA1" s="87"/>
      <c r="KOB1" s="87"/>
      <c r="KOC1" s="87"/>
      <c r="KOD1" s="87"/>
      <c r="KOE1" s="87"/>
      <c r="KOF1" s="87"/>
      <c r="KOG1" s="87"/>
      <c r="KOH1" s="87"/>
      <c r="KOI1" s="87"/>
      <c r="KOJ1" s="87"/>
      <c r="KOK1" s="87"/>
      <c r="KOL1" s="87"/>
      <c r="KOM1" s="87"/>
      <c r="KON1" s="87"/>
      <c r="KOO1" s="87"/>
      <c r="KOP1" s="87"/>
      <c r="KOQ1" s="87"/>
      <c r="KOR1" s="87"/>
      <c r="KOS1" s="87"/>
      <c r="KOT1" s="87"/>
      <c r="KOU1" s="87"/>
      <c r="KOV1" s="87"/>
      <c r="KOW1" s="87"/>
      <c r="KOX1" s="87"/>
      <c r="KOY1" s="87"/>
      <c r="KOZ1" s="87"/>
      <c r="KPA1" s="87"/>
      <c r="KPB1" s="87"/>
      <c r="KPC1" s="87"/>
      <c r="KPD1" s="87"/>
      <c r="KPE1" s="87"/>
      <c r="KPF1" s="87"/>
      <c r="KPG1" s="87"/>
      <c r="KPH1" s="87"/>
      <c r="KPI1" s="87"/>
      <c r="KPJ1" s="87"/>
      <c r="KPK1" s="87"/>
      <c r="KPL1" s="87"/>
      <c r="KPM1" s="87"/>
      <c r="KPN1" s="87"/>
      <c r="KPO1" s="87"/>
      <c r="KPP1" s="87"/>
      <c r="KPQ1" s="87"/>
      <c r="KPR1" s="87"/>
      <c r="KPS1" s="87"/>
      <c r="KPT1" s="87"/>
      <c r="KPU1" s="87"/>
      <c r="KPV1" s="87"/>
      <c r="KPW1" s="87"/>
      <c r="KPX1" s="87"/>
      <c r="KPY1" s="87"/>
      <c r="KPZ1" s="87"/>
      <c r="KQA1" s="87"/>
      <c r="KQB1" s="87"/>
      <c r="KQC1" s="87"/>
      <c r="KQD1" s="87"/>
      <c r="KQE1" s="87"/>
      <c r="KQF1" s="87"/>
      <c r="KQG1" s="87"/>
      <c r="KQH1" s="87"/>
      <c r="KQI1" s="87"/>
      <c r="KQJ1" s="87"/>
      <c r="KQK1" s="87"/>
      <c r="KQL1" s="87"/>
      <c r="KQM1" s="87"/>
      <c r="KQN1" s="87"/>
      <c r="KQO1" s="87"/>
      <c r="KQP1" s="87"/>
      <c r="KQQ1" s="87"/>
      <c r="KQR1" s="87"/>
      <c r="KQS1" s="87"/>
      <c r="KQT1" s="87"/>
      <c r="KQU1" s="87"/>
      <c r="KQV1" s="87"/>
      <c r="KQW1" s="87"/>
      <c r="KQX1" s="87"/>
      <c r="KQY1" s="87"/>
      <c r="KQZ1" s="87"/>
      <c r="KRA1" s="87"/>
      <c r="KRB1" s="87"/>
      <c r="KRC1" s="87"/>
      <c r="KRD1" s="87"/>
      <c r="KRE1" s="87"/>
      <c r="KRF1" s="87"/>
      <c r="KRG1" s="87"/>
      <c r="KRH1" s="87"/>
      <c r="KRI1" s="87"/>
      <c r="KRJ1" s="87"/>
      <c r="KRK1" s="87"/>
      <c r="KRL1" s="87"/>
      <c r="KRM1" s="87"/>
      <c r="KRN1" s="87"/>
      <c r="KRO1" s="87"/>
      <c r="KRP1" s="87"/>
      <c r="KRQ1" s="87"/>
      <c r="KRR1" s="87"/>
      <c r="KRS1" s="87"/>
      <c r="KRT1" s="87"/>
      <c r="KRU1" s="87"/>
      <c r="KRV1" s="87"/>
      <c r="KRW1" s="87"/>
      <c r="KRX1" s="87"/>
      <c r="KRY1" s="87"/>
      <c r="KRZ1" s="87"/>
      <c r="KSA1" s="87"/>
      <c r="KSB1" s="87"/>
      <c r="KSC1" s="87"/>
      <c r="KSD1" s="87"/>
      <c r="KSE1" s="87"/>
      <c r="KSF1" s="87"/>
      <c r="KSG1" s="87"/>
      <c r="KSH1" s="87"/>
      <c r="KSI1" s="87"/>
      <c r="KSJ1" s="87"/>
      <c r="KSK1" s="87"/>
      <c r="KSL1" s="87"/>
      <c r="KSM1" s="87"/>
      <c r="KSN1" s="87"/>
      <c r="KSO1" s="87"/>
      <c r="KSP1" s="87"/>
      <c r="KSQ1" s="87"/>
      <c r="KSR1" s="87"/>
      <c r="KSS1" s="87"/>
      <c r="KST1" s="87"/>
      <c r="KSU1" s="87"/>
      <c r="KSV1" s="87"/>
      <c r="KSW1" s="87"/>
      <c r="KSX1" s="87"/>
      <c r="KSY1" s="87"/>
      <c r="KSZ1" s="87"/>
      <c r="KTA1" s="87"/>
      <c r="KTB1" s="87"/>
      <c r="KTC1" s="87"/>
      <c r="KTD1" s="87"/>
      <c r="KTE1" s="87"/>
      <c r="KTF1" s="87"/>
      <c r="KTG1" s="87"/>
      <c r="KTH1" s="87"/>
      <c r="KTI1" s="87"/>
      <c r="KTJ1" s="87"/>
      <c r="KTK1" s="87"/>
      <c r="KTL1" s="87"/>
      <c r="KTM1" s="87"/>
      <c r="KTN1" s="87"/>
      <c r="KTO1" s="87"/>
      <c r="KTP1" s="87"/>
      <c r="KTQ1" s="87"/>
      <c r="KTR1" s="87"/>
      <c r="KTS1" s="87"/>
      <c r="KTT1" s="87"/>
      <c r="KTU1" s="87"/>
      <c r="KTV1" s="87"/>
      <c r="KTW1" s="87"/>
      <c r="KTX1" s="87"/>
      <c r="KTY1" s="87"/>
      <c r="KTZ1" s="87"/>
      <c r="KUA1" s="87"/>
      <c r="KUB1" s="87"/>
      <c r="KUC1" s="87"/>
      <c r="KUD1" s="87"/>
      <c r="KUE1" s="87"/>
      <c r="KUF1" s="87"/>
      <c r="KUG1" s="87"/>
      <c r="KUH1" s="87"/>
      <c r="KUI1" s="87"/>
      <c r="KUJ1" s="87"/>
      <c r="KUK1" s="87"/>
      <c r="KUL1" s="87"/>
      <c r="KUM1" s="87"/>
      <c r="KUN1" s="87"/>
      <c r="KUO1" s="87"/>
      <c r="KUP1" s="87"/>
      <c r="KUQ1" s="87"/>
      <c r="KUR1" s="87"/>
      <c r="KUS1" s="87"/>
      <c r="KUT1" s="87"/>
      <c r="KUU1" s="87"/>
      <c r="KUV1" s="87"/>
      <c r="KUW1" s="87"/>
      <c r="KUX1" s="87"/>
      <c r="KUY1" s="87"/>
      <c r="KUZ1" s="87"/>
      <c r="KVA1" s="87"/>
      <c r="KVB1" s="87"/>
      <c r="KVC1" s="87"/>
      <c r="KVD1" s="87"/>
      <c r="KVE1" s="87"/>
      <c r="KVF1" s="87"/>
      <c r="KVG1" s="87"/>
      <c r="KVH1" s="87"/>
      <c r="KVI1" s="87"/>
      <c r="KVJ1" s="87"/>
      <c r="KVK1" s="87"/>
      <c r="KVL1" s="87"/>
      <c r="KVM1" s="87"/>
      <c r="KVN1" s="87"/>
      <c r="KVO1" s="87"/>
      <c r="KVP1" s="87"/>
      <c r="KVQ1" s="87"/>
      <c r="KVR1" s="87"/>
      <c r="KVS1" s="87"/>
      <c r="KVT1" s="87"/>
      <c r="KVU1" s="87"/>
      <c r="KVV1" s="87"/>
      <c r="KVW1" s="87"/>
      <c r="KVX1" s="87"/>
      <c r="KVY1" s="87"/>
      <c r="KVZ1" s="87"/>
      <c r="KWA1" s="87"/>
      <c r="KWB1" s="87"/>
      <c r="KWC1" s="87"/>
      <c r="KWD1" s="87"/>
      <c r="KWE1" s="87"/>
      <c r="KWF1" s="87"/>
      <c r="KWG1" s="87"/>
      <c r="KWH1" s="87"/>
      <c r="KWI1" s="87"/>
      <c r="KWJ1" s="87"/>
      <c r="KWK1" s="87"/>
      <c r="KWL1" s="87"/>
      <c r="KWM1" s="87"/>
      <c r="KWN1" s="87"/>
      <c r="KWO1" s="87"/>
      <c r="KWP1" s="87"/>
      <c r="KWQ1" s="87"/>
      <c r="KWR1" s="87"/>
      <c r="KWS1" s="87"/>
      <c r="KWT1" s="87"/>
      <c r="KWU1" s="87"/>
      <c r="KWV1" s="87"/>
      <c r="KWW1" s="87"/>
      <c r="KWX1" s="87"/>
      <c r="KWY1" s="87"/>
      <c r="KWZ1" s="87"/>
      <c r="KXA1" s="87"/>
      <c r="KXB1" s="87"/>
      <c r="KXC1" s="87"/>
      <c r="KXD1" s="87"/>
      <c r="KXE1" s="87"/>
      <c r="KXF1" s="87"/>
      <c r="KXG1" s="87"/>
      <c r="KXH1" s="87"/>
      <c r="KXI1" s="87"/>
      <c r="KXJ1" s="87"/>
      <c r="KXK1" s="87"/>
      <c r="KXL1" s="87"/>
      <c r="KXM1" s="87"/>
      <c r="KXN1" s="87"/>
      <c r="KXO1" s="87"/>
      <c r="KXP1" s="87"/>
      <c r="KXQ1" s="87"/>
      <c r="KXR1" s="87"/>
      <c r="KXS1" s="87"/>
      <c r="KXT1" s="87"/>
      <c r="KXU1" s="87"/>
      <c r="KXV1" s="87"/>
      <c r="KXW1" s="87"/>
      <c r="KXX1" s="87"/>
      <c r="KXY1" s="87"/>
      <c r="KXZ1" s="87"/>
      <c r="KYA1" s="87"/>
      <c r="KYB1" s="87"/>
      <c r="KYC1" s="87"/>
      <c r="KYD1" s="87"/>
      <c r="KYE1" s="87"/>
      <c r="KYF1" s="87"/>
      <c r="KYG1" s="87"/>
      <c r="KYH1" s="87"/>
      <c r="KYI1" s="87"/>
      <c r="KYJ1" s="87"/>
      <c r="KYK1" s="87"/>
      <c r="KYL1" s="87"/>
      <c r="KYM1" s="87"/>
      <c r="KYN1" s="87"/>
      <c r="KYO1" s="87"/>
      <c r="KYP1" s="87"/>
      <c r="KYQ1" s="87"/>
      <c r="KYR1" s="87"/>
      <c r="KYS1" s="87"/>
      <c r="KYT1" s="87"/>
      <c r="KYU1" s="87"/>
      <c r="KYV1" s="87"/>
      <c r="KYW1" s="87"/>
      <c r="KYX1" s="87"/>
      <c r="KYY1" s="87"/>
      <c r="KYZ1" s="87"/>
      <c r="KZA1" s="87"/>
      <c r="KZB1" s="87"/>
      <c r="KZC1" s="87"/>
      <c r="KZD1" s="87"/>
      <c r="KZE1" s="87"/>
      <c r="KZF1" s="87"/>
      <c r="KZG1" s="87"/>
      <c r="KZH1" s="87"/>
      <c r="KZI1" s="87"/>
      <c r="KZJ1" s="87"/>
      <c r="KZK1" s="87"/>
      <c r="KZL1" s="87"/>
      <c r="KZM1" s="87"/>
      <c r="KZN1" s="87"/>
      <c r="KZO1" s="87"/>
      <c r="KZP1" s="87"/>
      <c r="KZQ1" s="87"/>
      <c r="KZR1" s="87"/>
      <c r="KZS1" s="87"/>
      <c r="KZT1" s="87"/>
      <c r="KZU1" s="87"/>
      <c r="KZV1" s="87"/>
      <c r="KZW1" s="87"/>
      <c r="KZX1" s="87"/>
      <c r="KZY1" s="87"/>
      <c r="KZZ1" s="87"/>
      <c r="LAA1" s="87"/>
      <c r="LAB1" s="87"/>
      <c r="LAC1" s="87"/>
      <c r="LAD1" s="87"/>
      <c r="LAE1" s="87"/>
      <c r="LAF1" s="87"/>
      <c r="LAG1" s="87"/>
      <c r="LAH1" s="87"/>
      <c r="LAI1" s="87"/>
      <c r="LAJ1" s="87"/>
      <c r="LAK1" s="87"/>
      <c r="LAL1" s="87"/>
      <c r="LAM1" s="87"/>
      <c r="LAN1" s="87"/>
      <c r="LAO1" s="87"/>
      <c r="LAP1" s="87"/>
      <c r="LAQ1" s="87"/>
      <c r="LAR1" s="87"/>
      <c r="LAS1" s="87"/>
      <c r="LAT1" s="87"/>
      <c r="LAU1" s="87"/>
      <c r="LAV1" s="87"/>
      <c r="LAW1" s="87"/>
      <c r="LAX1" s="87"/>
      <c r="LAY1" s="87"/>
      <c r="LAZ1" s="87"/>
      <c r="LBA1" s="87"/>
      <c r="LBB1" s="87"/>
      <c r="LBC1" s="87"/>
      <c r="LBD1" s="87"/>
      <c r="LBE1" s="87"/>
      <c r="LBF1" s="87"/>
      <c r="LBG1" s="87"/>
      <c r="LBH1" s="87"/>
      <c r="LBI1" s="87"/>
      <c r="LBJ1" s="87"/>
      <c r="LBK1" s="87"/>
      <c r="LBL1" s="87"/>
      <c r="LBM1" s="87"/>
      <c r="LBN1" s="87"/>
      <c r="LBO1" s="87"/>
      <c r="LBP1" s="87"/>
      <c r="LBQ1" s="87"/>
      <c r="LBR1" s="87"/>
      <c r="LBS1" s="87"/>
      <c r="LBT1" s="87"/>
      <c r="LBU1" s="87"/>
      <c r="LBV1" s="87"/>
      <c r="LBW1" s="87"/>
      <c r="LBX1" s="87"/>
      <c r="LBY1" s="87"/>
      <c r="LBZ1" s="87"/>
      <c r="LCA1" s="87"/>
      <c r="LCB1" s="87"/>
      <c r="LCC1" s="87"/>
      <c r="LCD1" s="87"/>
      <c r="LCE1" s="87"/>
      <c r="LCF1" s="87"/>
      <c r="LCG1" s="87"/>
      <c r="LCH1" s="87"/>
      <c r="LCI1" s="87"/>
      <c r="LCJ1" s="87"/>
      <c r="LCK1" s="87"/>
      <c r="LCL1" s="87"/>
      <c r="LCM1" s="87"/>
      <c r="LCN1" s="87"/>
      <c r="LCO1" s="87"/>
      <c r="LCP1" s="87"/>
      <c r="LCQ1" s="87"/>
      <c r="LCR1" s="87"/>
      <c r="LCS1" s="87"/>
      <c r="LCT1" s="87"/>
      <c r="LCU1" s="87"/>
      <c r="LCV1" s="87"/>
      <c r="LCW1" s="87"/>
      <c r="LCX1" s="87"/>
      <c r="LCY1" s="87"/>
      <c r="LCZ1" s="87"/>
      <c r="LDA1" s="87"/>
      <c r="LDB1" s="87"/>
      <c r="LDC1" s="87"/>
      <c r="LDD1" s="87"/>
      <c r="LDE1" s="87"/>
      <c r="LDF1" s="87"/>
      <c r="LDG1" s="87"/>
      <c r="LDH1" s="87"/>
      <c r="LDI1" s="87"/>
      <c r="LDJ1" s="87"/>
      <c r="LDK1" s="87"/>
      <c r="LDL1" s="87"/>
      <c r="LDM1" s="87"/>
      <c r="LDN1" s="87"/>
      <c r="LDO1" s="87"/>
      <c r="LDP1" s="87"/>
      <c r="LDQ1" s="87"/>
      <c r="LDR1" s="87"/>
      <c r="LDS1" s="87"/>
      <c r="LDT1" s="87"/>
      <c r="LDU1" s="87"/>
      <c r="LDV1" s="87"/>
      <c r="LDW1" s="87"/>
      <c r="LDX1" s="87"/>
      <c r="LDY1" s="87"/>
      <c r="LDZ1" s="87"/>
      <c r="LEA1" s="87"/>
      <c r="LEB1" s="87"/>
      <c r="LEC1" s="87"/>
      <c r="LED1" s="87"/>
      <c r="LEE1" s="87"/>
      <c r="LEF1" s="87"/>
      <c r="LEG1" s="87"/>
      <c r="LEH1" s="87"/>
      <c r="LEI1" s="87"/>
      <c r="LEJ1" s="87"/>
      <c r="LEK1" s="87"/>
      <c r="LEL1" s="87"/>
      <c r="LEM1" s="87"/>
      <c r="LEN1" s="87"/>
      <c r="LEO1" s="87"/>
      <c r="LEP1" s="87"/>
      <c r="LEQ1" s="87"/>
      <c r="LER1" s="87"/>
      <c r="LES1" s="87"/>
      <c r="LET1" s="87"/>
      <c r="LEU1" s="87"/>
      <c r="LEV1" s="87"/>
      <c r="LEW1" s="87"/>
      <c r="LEX1" s="87"/>
      <c r="LEY1" s="87"/>
      <c r="LEZ1" s="87"/>
      <c r="LFA1" s="87"/>
      <c r="LFB1" s="87"/>
      <c r="LFC1" s="87"/>
      <c r="LFD1" s="87"/>
      <c r="LFE1" s="87"/>
      <c r="LFF1" s="87"/>
      <c r="LFG1" s="87"/>
      <c r="LFH1" s="87"/>
      <c r="LFI1" s="87"/>
      <c r="LFJ1" s="87"/>
      <c r="LFK1" s="87"/>
      <c r="LFL1" s="87"/>
      <c r="LFM1" s="87"/>
      <c r="LFN1" s="87"/>
      <c r="LFO1" s="87"/>
      <c r="LFP1" s="87"/>
      <c r="LFQ1" s="87"/>
      <c r="LFR1" s="87"/>
      <c r="LFS1" s="87"/>
      <c r="LFT1" s="87"/>
      <c r="LFU1" s="87"/>
      <c r="LFV1" s="87"/>
      <c r="LFW1" s="87"/>
      <c r="LFX1" s="87"/>
      <c r="LFY1" s="87"/>
      <c r="LFZ1" s="87"/>
      <c r="LGA1" s="87"/>
      <c r="LGB1" s="87"/>
      <c r="LGC1" s="87"/>
      <c r="LGD1" s="87"/>
      <c r="LGE1" s="87"/>
      <c r="LGF1" s="87"/>
      <c r="LGG1" s="87"/>
      <c r="LGH1" s="87"/>
      <c r="LGI1" s="87"/>
      <c r="LGJ1" s="87"/>
      <c r="LGK1" s="87"/>
      <c r="LGL1" s="87"/>
      <c r="LGM1" s="87"/>
      <c r="LGN1" s="87"/>
      <c r="LGO1" s="87"/>
      <c r="LGP1" s="87"/>
      <c r="LGQ1" s="87"/>
      <c r="LGR1" s="87"/>
      <c r="LGS1" s="87"/>
      <c r="LGT1" s="87"/>
      <c r="LGU1" s="87"/>
      <c r="LGV1" s="87"/>
      <c r="LGW1" s="87"/>
      <c r="LGX1" s="87"/>
      <c r="LGY1" s="87"/>
      <c r="LGZ1" s="87"/>
      <c r="LHA1" s="87"/>
      <c r="LHB1" s="87"/>
      <c r="LHC1" s="87"/>
      <c r="LHD1" s="87"/>
      <c r="LHE1" s="87"/>
      <c r="LHF1" s="87"/>
      <c r="LHG1" s="87"/>
      <c r="LHH1" s="87"/>
      <c r="LHI1" s="87"/>
      <c r="LHJ1" s="87"/>
      <c r="LHK1" s="87"/>
      <c r="LHL1" s="87"/>
      <c r="LHM1" s="87"/>
      <c r="LHN1" s="87"/>
      <c r="LHO1" s="87"/>
      <c r="LHP1" s="87"/>
      <c r="LHQ1" s="87"/>
      <c r="LHR1" s="87"/>
      <c r="LHS1" s="87"/>
      <c r="LHT1" s="87"/>
      <c r="LHU1" s="87"/>
      <c r="LHV1" s="87"/>
      <c r="LHW1" s="87"/>
      <c r="LHX1" s="87"/>
      <c r="LHY1" s="87"/>
      <c r="LHZ1" s="87"/>
      <c r="LIA1" s="87"/>
      <c r="LIB1" s="87"/>
      <c r="LIC1" s="87"/>
      <c r="LID1" s="87"/>
      <c r="LIE1" s="87"/>
      <c r="LIF1" s="87"/>
      <c r="LIG1" s="87"/>
      <c r="LIH1" s="87"/>
      <c r="LII1" s="87"/>
      <c r="LIJ1" s="87"/>
      <c r="LIK1" s="87"/>
      <c r="LIL1" s="87"/>
      <c r="LIM1" s="87"/>
      <c r="LIN1" s="87"/>
      <c r="LIO1" s="87"/>
      <c r="LIP1" s="87"/>
      <c r="LIQ1" s="87"/>
      <c r="LIR1" s="87"/>
      <c r="LIS1" s="87"/>
      <c r="LIT1" s="87"/>
      <c r="LIU1" s="87"/>
      <c r="LIV1" s="87"/>
      <c r="LIW1" s="87"/>
      <c r="LIX1" s="87"/>
      <c r="LIY1" s="87"/>
      <c r="LIZ1" s="87"/>
      <c r="LJA1" s="87"/>
      <c r="LJB1" s="87"/>
      <c r="LJC1" s="87"/>
      <c r="LJD1" s="87"/>
      <c r="LJE1" s="87"/>
      <c r="LJF1" s="87"/>
      <c r="LJG1" s="87"/>
      <c r="LJH1" s="87"/>
      <c r="LJI1" s="87"/>
      <c r="LJJ1" s="87"/>
      <c r="LJK1" s="87"/>
      <c r="LJL1" s="87"/>
      <c r="LJM1" s="87"/>
      <c r="LJN1" s="87"/>
      <c r="LJO1" s="87"/>
      <c r="LJP1" s="87"/>
      <c r="LJQ1" s="87"/>
      <c r="LJR1" s="87"/>
      <c r="LJS1" s="87"/>
      <c r="LJT1" s="87"/>
      <c r="LJU1" s="87"/>
      <c r="LJV1" s="87"/>
      <c r="LJW1" s="87"/>
      <c r="LJX1" s="87"/>
      <c r="LJY1" s="87"/>
      <c r="LJZ1" s="87"/>
      <c r="LKA1" s="87"/>
      <c r="LKB1" s="87"/>
      <c r="LKC1" s="87"/>
      <c r="LKD1" s="87"/>
      <c r="LKE1" s="87"/>
      <c r="LKF1" s="87"/>
      <c r="LKG1" s="87"/>
      <c r="LKH1" s="87"/>
      <c r="LKI1" s="87"/>
      <c r="LKJ1" s="87"/>
      <c r="LKK1" s="87"/>
      <c r="LKL1" s="87"/>
      <c r="LKM1" s="87"/>
      <c r="LKN1" s="87"/>
      <c r="LKO1" s="87"/>
      <c r="LKP1" s="87"/>
      <c r="LKQ1" s="87"/>
      <c r="LKR1" s="87"/>
      <c r="LKS1" s="87"/>
      <c r="LKT1" s="87"/>
      <c r="LKU1" s="87"/>
      <c r="LKV1" s="87"/>
      <c r="LKW1" s="87"/>
      <c r="LKX1" s="87"/>
      <c r="LKY1" s="87"/>
      <c r="LKZ1" s="87"/>
      <c r="LLA1" s="87"/>
      <c r="LLB1" s="87"/>
      <c r="LLC1" s="87"/>
      <c r="LLD1" s="87"/>
      <c r="LLE1" s="87"/>
      <c r="LLF1" s="87"/>
      <c r="LLG1" s="87"/>
      <c r="LLH1" s="87"/>
      <c r="LLI1" s="87"/>
      <c r="LLJ1" s="87"/>
      <c r="LLK1" s="87"/>
      <c r="LLL1" s="87"/>
      <c r="LLM1" s="87"/>
      <c r="LLN1" s="87"/>
      <c r="LLO1" s="87"/>
      <c r="LLP1" s="87"/>
      <c r="LLQ1" s="87"/>
      <c r="LLR1" s="87"/>
      <c r="LLS1" s="87"/>
      <c r="LLT1" s="87"/>
      <c r="LLU1" s="87"/>
      <c r="LLV1" s="87"/>
      <c r="LLW1" s="87"/>
      <c r="LLX1" s="87"/>
      <c r="LLY1" s="87"/>
      <c r="LLZ1" s="87"/>
      <c r="LMA1" s="87"/>
      <c r="LMB1" s="87"/>
      <c r="LMC1" s="87"/>
      <c r="LMD1" s="87"/>
      <c r="LME1" s="87"/>
      <c r="LMF1" s="87"/>
      <c r="LMG1" s="87"/>
      <c r="LMH1" s="87"/>
      <c r="LMI1" s="87"/>
      <c r="LMJ1" s="87"/>
      <c r="LMK1" s="87"/>
      <c r="LML1" s="87"/>
      <c r="LMM1" s="87"/>
      <c r="LMN1" s="87"/>
      <c r="LMO1" s="87"/>
      <c r="LMP1" s="87"/>
      <c r="LMQ1" s="87"/>
      <c r="LMR1" s="87"/>
      <c r="LMS1" s="87"/>
      <c r="LMT1" s="87"/>
      <c r="LMU1" s="87"/>
      <c r="LMV1" s="87"/>
      <c r="LMW1" s="87"/>
      <c r="LMX1" s="87"/>
      <c r="LMY1" s="87"/>
      <c r="LMZ1" s="87"/>
      <c r="LNA1" s="87"/>
      <c r="LNB1" s="87"/>
      <c r="LNC1" s="87"/>
      <c r="LND1" s="87"/>
      <c r="LNE1" s="87"/>
      <c r="LNF1" s="87"/>
      <c r="LNG1" s="87"/>
      <c r="LNH1" s="87"/>
      <c r="LNI1" s="87"/>
      <c r="LNJ1" s="87"/>
      <c r="LNK1" s="87"/>
      <c r="LNL1" s="87"/>
      <c r="LNM1" s="87"/>
      <c r="LNN1" s="87"/>
      <c r="LNO1" s="87"/>
      <c r="LNP1" s="87"/>
      <c r="LNQ1" s="87"/>
      <c r="LNR1" s="87"/>
      <c r="LNS1" s="87"/>
      <c r="LNT1" s="87"/>
      <c r="LNU1" s="87"/>
      <c r="LNV1" s="87"/>
      <c r="LNW1" s="87"/>
      <c r="LNX1" s="87"/>
      <c r="LNY1" s="87"/>
      <c r="LNZ1" s="87"/>
      <c r="LOA1" s="87"/>
      <c r="LOB1" s="87"/>
      <c r="LOC1" s="87"/>
      <c r="LOD1" s="87"/>
      <c r="LOE1" s="87"/>
      <c r="LOF1" s="87"/>
      <c r="LOG1" s="87"/>
      <c r="LOH1" s="87"/>
      <c r="LOI1" s="87"/>
      <c r="LOJ1" s="87"/>
      <c r="LOK1" s="87"/>
      <c r="LOL1" s="87"/>
      <c r="LOM1" s="87"/>
      <c r="LON1" s="87"/>
      <c r="LOO1" s="87"/>
      <c r="LOP1" s="87"/>
      <c r="LOQ1" s="87"/>
      <c r="LOR1" s="87"/>
      <c r="LOS1" s="87"/>
      <c r="LOT1" s="87"/>
      <c r="LOU1" s="87"/>
      <c r="LOV1" s="87"/>
      <c r="LOW1" s="87"/>
      <c r="LOX1" s="87"/>
      <c r="LOY1" s="87"/>
      <c r="LOZ1" s="87"/>
      <c r="LPA1" s="87"/>
      <c r="LPB1" s="87"/>
      <c r="LPC1" s="87"/>
      <c r="LPD1" s="87"/>
      <c r="LPE1" s="87"/>
      <c r="LPF1" s="87"/>
      <c r="LPG1" s="87"/>
      <c r="LPH1" s="87"/>
      <c r="LPI1" s="87"/>
      <c r="LPJ1" s="87"/>
      <c r="LPK1" s="87"/>
      <c r="LPL1" s="87"/>
      <c r="LPM1" s="87"/>
      <c r="LPN1" s="87"/>
      <c r="LPO1" s="87"/>
      <c r="LPP1" s="87"/>
      <c r="LPQ1" s="87"/>
      <c r="LPR1" s="87"/>
      <c r="LPS1" s="87"/>
      <c r="LPT1" s="87"/>
      <c r="LPU1" s="87"/>
      <c r="LPV1" s="87"/>
      <c r="LPW1" s="87"/>
      <c r="LPX1" s="87"/>
      <c r="LPY1" s="87"/>
      <c r="LPZ1" s="87"/>
      <c r="LQA1" s="87"/>
      <c r="LQB1" s="87"/>
      <c r="LQC1" s="87"/>
      <c r="LQD1" s="87"/>
      <c r="LQE1" s="87"/>
      <c r="LQF1" s="87"/>
      <c r="LQG1" s="87"/>
      <c r="LQH1" s="87"/>
      <c r="LQI1" s="87"/>
      <c r="LQJ1" s="87"/>
      <c r="LQK1" s="87"/>
      <c r="LQL1" s="87"/>
      <c r="LQM1" s="87"/>
      <c r="LQN1" s="87"/>
      <c r="LQO1" s="87"/>
      <c r="LQP1" s="87"/>
      <c r="LQQ1" s="87"/>
      <c r="LQR1" s="87"/>
      <c r="LQS1" s="87"/>
      <c r="LQT1" s="87"/>
      <c r="LQU1" s="87"/>
      <c r="LQV1" s="87"/>
      <c r="LQW1" s="87"/>
      <c r="LQX1" s="87"/>
      <c r="LQY1" s="87"/>
      <c r="LQZ1" s="87"/>
      <c r="LRA1" s="87"/>
      <c r="LRB1" s="87"/>
      <c r="LRC1" s="87"/>
      <c r="LRD1" s="87"/>
      <c r="LRE1" s="87"/>
      <c r="LRF1" s="87"/>
      <c r="LRG1" s="87"/>
      <c r="LRH1" s="87"/>
      <c r="LRI1" s="87"/>
      <c r="LRJ1" s="87"/>
      <c r="LRK1" s="87"/>
      <c r="LRL1" s="87"/>
      <c r="LRM1" s="87"/>
      <c r="LRN1" s="87"/>
      <c r="LRO1" s="87"/>
      <c r="LRP1" s="87"/>
      <c r="LRQ1" s="87"/>
      <c r="LRR1" s="87"/>
      <c r="LRS1" s="87"/>
      <c r="LRT1" s="87"/>
      <c r="LRU1" s="87"/>
      <c r="LRV1" s="87"/>
      <c r="LRW1" s="87"/>
      <c r="LRX1" s="87"/>
      <c r="LRY1" s="87"/>
      <c r="LRZ1" s="87"/>
      <c r="LSA1" s="87"/>
      <c r="LSB1" s="87"/>
      <c r="LSC1" s="87"/>
      <c r="LSD1" s="87"/>
      <c r="LSE1" s="87"/>
      <c r="LSF1" s="87"/>
      <c r="LSG1" s="87"/>
      <c r="LSH1" s="87"/>
      <c r="LSI1" s="87"/>
      <c r="LSJ1" s="87"/>
      <c r="LSK1" s="87"/>
      <c r="LSL1" s="87"/>
      <c r="LSM1" s="87"/>
      <c r="LSN1" s="87"/>
      <c r="LSO1" s="87"/>
      <c r="LSP1" s="87"/>
      <c r="LSQ1" s="87"/>
      <c r="LSR1" s="87"/>
      <c r="LSS1" s="87"/>
      <c r="LST1" s="87"/>
      <c r="LSU1" s="87"/>
      <c r="LSV1" s="87"/>
      <c r="LSW1" s="87"/>
      <c r="LSX1" s="87"/>
      <c r="LSY1" s="87"/>
      <c r="LSZ1" s="87"/>
      <c r="LTA1" s="87"/>
      <c r="LTB1" s="87"/>
      <c r="LTC1" s="87"/>
      <c r="LTD1" s="87"/>
      <c r="LTE1" s="87"/>
      <c r="LTF1" s="87"/>
      <c r="LTG1" s="87"/>
      <c r="LTH1" s="87"/>
      <c r="LTI1" s="87"/>
      <c r="LTJ1" s="87"/>
      <c r="LTK1" s="87"/>
      <c r="LTL1" s="87"/>
      <c r="LTM1" s="87"/>
      <c r="LTN1" s="87"/>
      <c r="LTO1" s="87"/>
      <c r="LTP1" s="87"/>
      <c r="LTQ1" s="87"/>
      <c r="LTR1" s="87"/>
      <c r="LTS1" s="87"/>
      <c r="LTT1" s="87"/>
      <c r="LTU1" s="87"/>
      <c r="LTV1" s="87"/>
      <c r="LTW1" s="87"/>
      <c r="LTX1" s="87"/>
      <c r="LTY1" s="87"/>
      <c r="LTZ1" s="87"/>
      <c r="LUA1" s="87"/>
      <c r="LUB1" s="87"/>
      <c r="LUC1" s="87"/>
      <c r="LUD1" s="87"/>
      <c r="LUE1" s="87"/>
      <c r="LUF1" s="87"/>
      <c r="LUG1" s="87"/>
      <c r="LUH1" s="87"/>
      <c r="LUI1" s="87"/>
      <c r="LUJ1" s="87"/>
      <c r="LUK1" s="87"/>
      <c r="LUL1" s="87"/>
      <c r="LUM1" s="87"/>
      <c r="LUN1" s="87"/>
      <c r="LUO1" s="87"/>
      <c r="LUP1" s="87"/>
      <c r="LUQ1" s="87"/>
      <c r="LUR1" s="87"/>
      <c r="LUS1" s="87"/>
      <c r="LUT1" s="87"/>
      <c r="LUU1" s="87"/>
      <c r="LUV1" s="87"/>
      <c r="LUW1" s="87"/>
      <c r="LUX1" s="87"/>
      <c r="LUY1" s="87"/>
      <c r="LUZ1" s="87"/>
      <c r="LVA1" s="87"/>
      <c r="LVB1" s="87"/>
      <c r="LVC1" s="87"/>
      <c r="LVD1" s="87"/>
      <c r="LVE1" s="87"/>
      <c r="LVF1" s="87"/>
      <c r="LVG1" s="87"/>
      <c r="LVH1" s="87"/>
      <c r="LVI1" s="87"/>
      <c r="LVJ1" s="87"/>
      <c r="LVK1" s="87"/>
      <c r="LVL1" s="87"/>
      <c r="LVM1" s="87"/>
      <c r="LVN1" s="87"/>
      <c r="LVO1" s="87"/>
      <c r="LVP1" s="87"/>
      <c r="LVQ1" s="87"/>
      <c r="LVR1" s="87"/>
      <c r="LVS1" s="87"/>
      <c r="LVT1" s="87"/>
      <c r="LVU1" s="87"/>
      <c r="LVV1" s="87"/>
      <c r="LVW1" s="87"/>
      <c r="LVX1" s="87"/>
      <c r="LVY1" s="87"/>
      <c r="LVZ1" s="87"/>
      <c r="LWA1" s="87"/>
      <c r="LWB1" s="87"/>
      <c r="LWC1" s="87"/>
      <c r="LWD1" s="87"/>
      <c r="LWE1" s="87"/>
      <c r="LWF1" s="87"/>
      <c r="LWG1" s="87"/>
      <c r="LWH1" s="87"/>
      <c r="LWI1" s="87"/>
      <c r="LWJ1" s="87"/>
      <c r="LWK1" s="87"/>
      <c r="LWL1" s="87"/>
      <c r="LWM1" s="87"/>
      <c r="LWN1" s="87"/>
      <c r="LWO1" s="87"/>
      <c r="LWP1" s="87"/>
      <c r="LWQ1" s="87"/>
      <c r="LWR1" s="87"/>
      <c r="LWS1" s="87"/>
      <c r="LWT1" s="87"/>
      <c r="LWU1" s="87"/>
      <c r="LWV1" s="87"/>
      <c r="LWW1" s="87"/>
      <c r="LWX1" s="87"/>
      <c r="LWY1" s="87"/>
      <c r="LWZ1" s="87"/>
      <c r="LXA1" s="87"/>
      <c r="LXB1" s="87"/>
      <c r="LXC1" s="87"/>
      <c r="LXD1" s="87"/>
      <c r="LXE1" s="87"/>
      <c r="LXF1" s="87"/>
      <c r="LXG1" s="87"/>
      <c r="LXH1" s="87"/>
      <c r="LXI1" s="87"/>
      <c r="LXJ1" s="87"/>
      <c r="LXK1" s="87"/>
      <c r="LXL1" s="87"/>
      <c r="LXM1" s="87"/>
      <c r="LXN1" s="87"/>
      <c r="LXO1" s="87"/>
      <c r="LXP1" s="87"/>
      <c r="LXQ1" s="87"/>
      <c r="LXR1" s="87"/>
      <c r="LXS1" s="87"/>
      <c r="LXT1" s="87"/>
      <c r="LXU1" s="87"/>
      <c r="LXV1" s="87"/>
      <c r="LXW1" s="87"/>
      <c r="LXX1" s="87"/>
      <c r="LXY1" s="87"/>
      <c r="LXZ1" s="87"/>
      <c r="LYA1" s="87"/>
      <c r="LYB1" s="87"/>
      <c r="LYC1" s="87"/>
      <c r="LYD1" s="87"/>
      <c r="LYE1" s="87"/>
      <c r="LYF1" s="87"/>
      <c r="LYG1" s="87"/>
      <c r="LYH1" s="87"/>
      <c r="LYI1" s="87"/>
      <c r="LYJ1" s="87"/>
      <c r="LYK1" s="87"/>
      <c r="LYL1" s="87"/>
      <c r="LYM1" s="87"/>
      <c r="LYN1" s="87"/>
      <c r="LYO1" s="87"/>
      <c r="LYP1" s="87"/>
      <c r="LYQ1" s="87"/>
      <c r="LYR1" s="87"/>
      <c r="LYS1" s="87"/>
      <c r="LYT1" s="87"/>
      <c r="LYU1" s="87"/>
      <c r="LYV1" s="87"/>
      <c r="LYW1" s="87"/>
      <c r="LYX1" s="87"/>
      <c r="LYY1" s="87"/>
      <c r="LYZ1" s="87"/>
      <c r="LZA1" s="87"/>
      <c r="LZB1" s="87"/>
      <c r="LZC1" s="87"/>
      <c r="LZD1" s="87"/>
      <c r="LZE1" s="87"/>
      <c r="LZF1" s="87"/>
      <c r="LZG1" s="87"/>
      <c r="LZH1" s="87"/>
      <c r="LZI1" s="87"/>
      <c r="LZJ1" s="87"/>
      <c r="LZK1" s="87"/>
      <c r="LZL1" s="87"/>
      <c r="LZM1" s="87"/>
      <c r="LZN1" s="87"/>
      <c r="LZO1" s="87"/>
      <c r="LZP1" s="87"/>
      <c r="LZQ1" s="87"/>
      <c r="LZR1" s="87"/>
      <c r="LZS1" s="87"/>
      <c r="LZT1" s="87"/>
      <c r="LZU1" s="87"/>
      <c r="LZV1" s="87"/>
      <c r="LZW1" s="87"/>
      <c r="LZX1" s="87"/>
      <c r="LZY1" s="87"/>
      <c r="LZZ1" s="87"/>
      <c r="MAA1" s="87"/>
      <c r="MAB1" s="87"/>
      <c r="MAC1" s="87"/>
      <c r="MAD1" s="87"/>
      <c r="MAE1" s="87"/>
      <c r="MAF1" s="87"/>
      <c r="MAG1" s="87"/>
      <c r="MAH1" s="87"/>
      <c r="MAI1" s="87"/>
      <c r="MAJ1" s="87"/>
      <c r="MAK1" s="87"/>
      <c r="MAL1" s="87"/>
      <c r="MAM1" s="87"/>
      <c r="MAN1" s="87"/>
      <c r="MAO1" s="87"/>
      <c r="MAP1" s="87"/>
      <c r="MAQ1" s="87"/>
      <c r="MAR1" s="87"/>
      <c r="MAS1" s="87"/>
      <c r="MAT1" s="87"/>
      <c r="MAU1" s="87"/>
      <c r="MAV1" s="87"/>
      <c r="MAW1" s="87"/>
      <c r="MAX1" s="87"/>
      <c r="MAY1" s="87"/>
      <c r="MAZ1" s="87"/>
      <c r="MBA1" s="87"/>
      <c r="MBB1" s="87"/>
      <c r="MBC1" s="87"/>
      <c r="MBD1" s="87"/>
      <c r="MBE1" s="87"/>
      <c r="MBF1" s="87"/>
      <c r="MBG1" s="87"/>
      <c r="MBH1" s="87"/>
      <c r="MBI1" s="87"/>
      <c r="MBJ1" s="87"/>
      <c r="MBK1" s="87"/>
      <c r="MBL1" s="87"/>
      <c r="MBM1" s="87"/>
      <c r="MBN1" s="87"/>
      <c r="MBO1" s="87"/>
      <c r="MBP1" s="87"/>
      <c r="MBQ1" s="87"/>
      <c r="MBR1" s="87"/>
      <c r="MBS1" s="87"/>
      <c r="MBT1" s="87"/>
      <c r="MBU1" s="87"/>
      <c r="MBV1" s="87"/>
      <c r="MBW1" s="87"/>
      <c r="MBX1" s="87"/>
      <c r="MBY1" s="87"/>
      <c r="MBZ1" s="87"/>
      <c r="MCA1" s="87"/>
      <c r="MCB1" s="87"/>
      <c r="MCC1" s="87"/>
      <c r="MCD1" s="87"/>
      <c r="MCE1" s="87"/>
      <c r="MCF1" s="87"/>
      <c r="MCG1" s="87"/>
      <c r="MCH1" s="87"/>
      <c r="MCI1" s="87"/>
      <c r="MCJ1" s="87"/>
      <c r="MCK1" s="87"/>
      <c r="MCL1" s="87"/>
      <c r="MCM1" s="87"/>
      <c r="MCN1" s="87"/>
      <c r="MCO1" s="87"/>
      <c r="MCP1" s="87"/>
      <c r="MCQ1" s="87"/>
      <c r="MCR1" s="87"/>
      <c r="MCS1" s="87"/>
      <c r="MCT1" s="87"/>
      <c r="MCU1" s="87"/>
      <c r="MCV1" s="87"/>
      <c r="MCW1" s="87"/>
      <c r="MCX1" s="87"/>
      <c r="MCY1" s="87"/>
      <c r="MCZ1" s="87"/>
      <c r="MDA1" s="87"/>
      <c r="MDB1" s="87"/>
      <c r="MDC1" s="87"/>
      <c r="MDD1" s="87"/>
      <c r="MDE1" s="87"/>
      <c r="MDF1" s="87"/>
      <c r="MDG1" s="87"/>
      <c r="MDH1" s="87"/>
      <c r="MDI1" s="87"/>
      <c r="MDJ1" s="87"/>
      <c r="MDK1" s="87"/>
      <c r="MDL1" s="87"/>
      <c r="MDM1" s="87"/>
      <c r="MDN1" s="87"/>
      <c r="MDO1" s="87"/>
      <c r="MDP1" s="87"/>
      <c r="MDQ1" s="87"/>
      <c r="MDR1" s="87"/>
      <c r="MDS1" s="87"/>
      <c r="MDT1" s="87"/>
      <c r="MDU1" s="87"/>
      <c r="MDV1" s="87"/>
      <c r="MDW1" s="87"/>
      <c r="MDX1" s="87"/>
      <c r="MDY1" s="87"/>
      <c r="MDZ1" s="87"/>
      <c r="MEA1" s="87"/>
      <c r="MEB1" s="87"/>
      <c r="MEC1" s="87"/>
      <c r="MED1" s="87"/>
      <c r="MEE1" s="87"/>
      <c r="MEF1" s="87"/>
      <c r="MEG1" s="87"/>
      <c r="MEH1" s="87"/>
      <c r="MEI1" s="87"/>
      <c r="MEJ1" s="87"/>
      <c r="MEK1" s="87"/>
      <c r="MEL1" s="87"/>
      <c r="MEM1" s="87"/>
      <c r="MEN1" s="87"/>
      <c r="MEO1" s="87"/>
      <c r="MEP1" s="87"/>
      <c r="MEQ1" s="87"/>
      <c r="MER1" s="87"/>
      <c r="MES1" s="87"/>
      <c r="MET1" s="87"/>
      <c r="MEU1" s="87"/>
      <c r="MEV1" s="87"/>
      <c r="MEW1" s="87"/>
      <c r="MEX1" s="87"/>
      <c r="MEY1" s="87"/>
      <c r="MEZ1" s="87"/>
      <c r="MFA1" s="87"/>
      <c r="MFB1" s="87"/>
      <c r="MFC1" s="87"/>
      <c r="MFD1" s="87"/>
      <c r="MFE1" s="87"/>
      <c r="MFF1" s="87"/>
      <c r="MFG1" s="87"/>
      <c r="MFH1" s="87"/>
      <c r="MFI1" s="87"/>
      <c r="MFJ1" s="87"/>
      <c r="MFK1" s="87"/>
      <c r="MFL1" s="87"/>
      <c r="MFM1" s="87"/>
      <c r="MFN1" s="87"/>
      <c r="MFO1" s="87"/>
      <c r="MFP1" s="87"/>
      <c r="MFQ1" s="87"/>
      <c r="MFR1" s="87"/>
      <c r="MFS1" s="87"/>
      <c r="MFT1" s="87"/>
      <c r="MFU1" s="87"/>
      <c r="MFV1" s="87"/>
      <c r="MFW1" s="87"/>
      <c r="MFX1" s="87"/>
      <c r="MFY1" s="87"/>
      <c r="MFZ1" s="87"/>
      <c r="MGA1" s="87"/>
      <c r="MGB1" s="87"/>
      <c r="MGC1" s="87"/>
      <c r="MGD1" s="87"/>
      <c r="MGE1" s="87"/>
      <c r="MGF1" s="87"/>
      <c r="MGG1" s="87"/>
      <c r="MGH1" s="87"/>
      <c r="MGI1" s="87"/>
      <c r="MGJ1" s="87"/>
      <c r="MGK1" s="87"/>
      <c r="MGL1" s="87"/>
      <c r="MGM1" s="87"/>
      <c r="MGN1" s="87"/>
      <c r="MGO1" s="87"/>
      <c r="MGP1" s="87"/>
      <c r="MGQ1" s="87"/>
      <c r="MGR1" s="87"/>
      <c r="MGS1" s="87"/>
      <c r="MGT1" s="87"/>
      <c r="MGU1" s="87"/>
      <c r="MGV1" s="87"/>
      <c r="MGW1" s="87"/>
      <c r="MGX1" s="87"/>
      <c r="MGY1" s="87"/>
      <c r="MGZ1" s="87"/>
      <c r="MHA1" s="87"/>
      <c r="MHB1" s="87"/>
      <c r="MHC1" s="87"/>
      <c r="MHD1" s="87"/>
      <c r="MHE1" s="87"/>
      <c r="MHF1" s="87"/>
      <c r="MHG1" s="87"/>
      <c r="MHH1" s="87"/>
      <c r="MHI1" s="87"/>
      <c r="MHJ1" s="87"/>
      <c r="MHK1" s="87"/>
      <c r="MHL1" s="87"/>
      <c r="MHM1" s="87"/>
      <c r="MHN1" s="87"/>
      <c r="MHO1" s="87"/>
      <c r="MHP1" s="87"/>
      <c r="MHQ1" s="87"/>
      <c r="MHR1" s="87"/>
      <c r="MHS1" s="87"/>
      <c r="MHT1" s="87"/>
      <c r="MHU1" s="87"/>
      <c r="MHV1" s="87"/>
      <c r="MHW1" s="87"/>
      <c r="MHX1" s="87"/>
      <c r="MHY1" s="87"/>
      <c r="MHZ1" s="87"/>
      <c r="MIA1" s="87"/>
      <c r="MIB1" s="87"/>
      <c r="MIC1" s="87"/>
      <c r="MID1" s="87"/>
      <c r="MIE1" s="87"/>
      <c r="MIF1" s="87"/>
      <c r="MIG1" s="87"/>
      <c r="MIH1" s="87"/>
      <c r="MII1" s="87"/>
      <c r="MIJ1" s="87"/>
      <c r="MIK1" s="87"/>
      <c r="MIL1" s="87"/>
      <c r="MIM1" s="87"/>
      <c r="MIN1" s="87"/>
      <c r="MIO1" s="87"/>
      <c r="MIP1" s="87"/>
      <c r="MIQ1" s="87"/>
      <c r="MIR1" s="87"/>
      <c r="MIS1" s="87"/>
      <c r="MIT1" s="87"/>
      <c r="MIU1" s="87"/>
      <c r="MIV1" s="87"/>
      <c r="MIW1" s="87"/>
      <c r="MIX1" s="87"/>
      <c r="MIY1" s="87"/>
      <c r="MIZ1" s="87"/>
      <c r="MJA1" s="87"/>
      <c r="MJB1" s="87"/>
      <c r="MJC1" s="87"/>
      <c r="MJD1" s="87"/>
      <c r="MJE1" s="87"/>
      <c r="MJF1" s="87"/>
      <c r="MJG1" s="87"/>
      <c r="MJH1" s="87"/>
      <c r="MJI1" s="87"/>
      <c r="MJJ1" s="87"/>
      <c r="MJK1" s="87"/>
      <c r="MJL1" s="87"/>
      <c r="MJM1" s="87"/>
      <c r="MJN1" s="87"/>
      <c r="MJO1" s="87"/>
      <c r="MJP1" s="87"/>
      <c r="MJQ1" s="87"/>
      <c r="MJR1" s="87"/>
      <c r="MJS1" s="87"/>
      <c r="MJT1" s="87"/>
      <c r="MJU1" s="87"/>
      <c r="MJV1" s="87"/>
      <c r="MJW1" s="87"/>
      <c r="MJX1" s="87"/>
      <c r="MJY1" s="87"/>
      <c r="MJZ1" s="87"/>
      <c r="MKA1" s="87"/>
      <c r="MKB1" s="87"/>
      <c r="MKC1" s="87"/>
      <c r="MKD1" s="87"/>
      <c r="MKE1" s="87"/>
      <c r="MKF1" s="87"/>
      <c r="MKG1" s="87"/>
      <c r="MKH1" s="87"/>
      <c r="MKI1" s="87"/>
      <c r="MKJ1" s="87"/>
      <c r="MKK1" s="87"/>
      <c r="MKL1" s="87"/>
      <c r="MKM1" s="87"/>
      <c r="MKN1" s="87"/>
      <c r="MKO1" s="87"/>
      <c r="MKP1" s="87"/>
      <c r="MKQ1" s="87"/>
      <c r="MKR1" s="87"/>
      <c r="MKS1" s="87"/>
      <c r="MKT1" s="87"/>
      <c r="MKU1" s="87"/>
      <c r="MKV1" s="87"/>
      <c r="MKW1" s="87"/>
      <c r="MKX1" s="87"/>
      <c r="MKY1" s="87"/>
      <c r="MKZ1" s="87"/>
      <c r="MLA1" s="87"/>
      <c r="MLB1" s="87"/>
      <c r="MLC1" s="87"/>
      <c r="MLD1" s="87"/>
      <c r="MLE1" s="87"/>
      <c r="MLF1" s="87"/>
      <c r="MLG1" s="87"/>
      <c r="MLH1" s="87"/>
      <c r="MLI1" s="87"/>
      <c r="MLJ1" s="87"/>
      <c r="MLK1" s="87"/>
      <c r="MLL1" s="87"/>
      <c r="MLM1" s="87"/>
      <c r="MLN1" s="87"/>
      <c r="MLO1" s="87"/>
      <c r="MLP1" s="87"/>
      <c r="MLQ1" s="87"/>
      <c r="MLR1" s="87"/>
      <c r="MLS1" s="87"/>
      <c r="MLT1" s="87"/>
      <c r="MLU1" s="87"/>
      <c r="MLV1" s="87"/>
      <c r="MLW1" s="87"/>
      <c r="MLX1" s="87"/>
      <c r="MLY1" s="87"/>
      <c r="MLZ1" s="87"/>
      <c r="MMA1" s="87"/>
      <c r="MMB1" s="87"/>
      <c r="MMC1" s="87"/>
      <c r="MMD1" s="87"/>
      <c r="MME1" s="87"/>
      <c r="MMF1" s="87"/>
      <c r="MMG1" s="87"/>
      <c r="MMH1" s="87"/>
      <c r="MMI1" s="87"/>
      <c r="MMJ1" s="87"/>
      <c r="MMK1" s="87"/>
      <c r="MML1" s="87"/>
      <c r="MMM1" s="87"/>
      <c r="MMN1" s="87"/>
      <c r="MMO1" s="87"/>
      <c r="MMP1" s="87"/>
      <c r="MMQ1" s="87"/>
      <c r="MMR1" s="87"/>
      <c r="MMS1" s="87"/>
      <c r="MMT1" s="87"/>
      <c r="MMU1" s="87"/>
      <c r="MMV1" s="87"/>
      <c r="MMW1" s="87"/>
      <c r="MMX1" s="87"/>
      <c r="MMY1" s="87"/>
      <c r="MMZ1" s="87"/>
      <c r="MNA1" s="87"/>
      <c r="MNB1" s="87"/>
      <c r="MNC1" s="87"/>
      <c r="MND1" s="87"/>
      <c r="MNE1" s="87"/>
      <c r="MNF1" s="87"/>
      <c r="MNG1" s="87"/>
      <c r="MNH1" s="87"/>
      <c r="MNI1" s="87"/>
      <c r="MNJ1" s="87"/>
      <c r="MNK1" s="87"/>
      <c r="MNL1" s="87"/>
      <c r="MNM1" s="87"/>
      <c r="MNN1" s="87"/>
      <c r="MNO1" s="87"/>
      <c r="MNP1" s="87"/>
      <c r="MNQ1" s="87"/>
      <c r="MNR1" s="87"/>
      <c r="MNS1" s="87"/>
      <c r="MNT1" s="87"/>
      <c r="MNU1" s="87"/>
      <c r="MNV1" s="87"/>
      <c r="MNW1" s="87"/>
      <c r="MNX1" s="87"/>
      <c r="MNY1" s="87"/>
      <c r="MNZ1" s="87"/>
      <c r="MOA1" s="87"/>
      <c r="MOB1" s="87"/>
      <c r="MOC1" s="87"/>
      <c r="MOD1" s="87"/>
      <c r="MOE1" s="87"/>
      <c r="MOF1" s="87"/>
      <c r="MOG1" s="87"/>
      <c r="MOH1" s="87"/>
      <c r="MOI1" s="87"/>
      <c r="MOJ1" s="87"/>
      <c r="MOK1" s="87"/>
      <c r="MOL1" s="87"/>
      <c r="MOM1" s="87"/>
      <c r="MON1" s="87"/>
      <c r="MOO1" s="87"/>
      <c r="MOP1" s="87"/>
      <c r="MOQ1" s="87"/>
      <c r="MOR1" s="87"/>
      <c r="MOS1" s="87"/>
      <c r="MOT1" s="87"/>
      <c r="MOU1" s="87"/>
      <c r="MOV1" s="87"/>
      <c r="MOW1" s="87"/>
      <c r="MOX1" s="87"/>
      <c r="MOY1" s="87"/>
      <c r="MOZ1" s="87"/>
      <c r="MPA1" s="87"/>
      <c r="MPB1" s="87"/>
      <c r="MPC1" s="87"/>
      <c r="MPD1" s="87"/>
      <c r="MPE1" s="87"/>
      <c r="MPF1" s="87"/>
      <c r="MPG1" s="87"/>
      <c r="MPH1" s="87"/>
      <c r="MPI1" s="87"/>
      <c r="MPJ1" s="87"/>
      <c r="MPK1" s="87"/>
      <c r="MPL1" s="87"/>
      <c r="MPM1" s="87"/>
      <c r="MPN1" s="87"/>
      <c r="MPO1" s="87"/>
      <c r="MPP1" s="87"/>
      <c r="MPQ1" s="87"/>
      <c r="MPR1" s="87"/>
      <c r="MPS1" s="87"/>
      <c r="MPT1" s="87"/>
      <c r="MPU1" s="87"/>
      <c r="MPV1" s="87"/>
      <c r="MPW1" s="87"/>
      <c r="MPX1" s="87"/>
      <c r="MPY1" s="87"/>
      <c r="MPZ1" s="87"/>
      <c r="MQA1" s="87"/>
      <c r="MQB1" s="87"/>
      <c r="MQC1" s="87"/>
      <c r="MQD1" s="87"/>
      <c r="MQE1" s="87"/>
      <c r="MQF1" s="87"/>
      <c r="MQG1" s="87"/>
      <c r="MQH1" s="87"/>
      <c r="MQI1" s="87"/>
      <c r="MQJ1" s="87"/>
      <c r="MQK1" s="87"/>
      <c r="MQL1" s="87"/>
      <c r="MQM1" s="87"/>
      <c r="MQN1" s="87"/>
      <c r="MQO1" s="87"/>
      <c r="MQP1" s="87"/>
      <c r="MQQ1" s="87"/>
      <c r="MQR1" s="87"/>
      <c r="MQS1" s="87"/>
      <c r="MQT1" s="87"/>
      <c r="MQU1" s="87"/>
      <c r="MQV1" s="87"/>
      <c r="MQW1" s="87"/>
      <c r="MQX1" s="87"/>
      <c r="MQY1" s="87"/>
      <c r="MQZ1" s="87"/>
      <c r="MRA1" s="87"/>
      <c r="MRB1" s="87"/>
      <c r="MRC1" s="87"/>
      <c r="MRD1" s="87"/>
      <c r="MRE1" s="87"/>
      <c r="MRF1" s="87"/>
      <c r="MRG1" s="87"/>
      <c r="MRH1" s="87"/>
      <c r="MRI1" s="87"/>
      <c r="MRJ1" s="87"/>
      <c r="MRK1" s="87"/>
      <c r="MRL1" s="87"/>
      <c r="MRM1" s="87"/>
      <c r="MRN1" s="87"/>
      <c r="MRO1" s="87"/>
      <c r="MRP1" s="87"/>
      <c r="MRQ1" s="87"/>
      <c r="MRR1" s="87"/>
      <c r="MRS1" s="87"/>
      <c r="MRT1" s="87"/>
      <c r="MRU1" s="87"/>
      <c r="MRV1" s="87"/>
      <c r="MRW1" s="87"/>
      <c r="MRX1" s="87"/>
      <c r="MRY1" s="87"/>
      <c r="MRZ1" s="87"/>
      <c r="MSA1" s="87"/>
      <c r="MSB1" s="87"/>
      <c r="MSC1" s="87"/>
      <c r="MSD1" s="87"/>
      <c r="MSE1" s="87"/>
      <c r="MSF1" s="87"/>
      <c r="MSG1" s="87"/>
      <c r="MSH1" s="87"/>
      <c r="MSI1" s="87"/>
      <c r="MSJ1" s="87"/>
      <c r="MSK1" s="87"/>
      <c r="MSL1" s="87"/>
      <c r="MSM1" s="87"/>
      <c r="MSN1" s="87"/>
      <c r="MSO1" s="87"/>
      <c r="MSP1" s="87"/>
      <c r="MSQ1" s="87"/>
      <c r="MSR1" s="87"/>
      <c r="MSS1" s="87"/>
      <c r="MST1" s="87"/>
      <c r="MSU1" s="87"/>
      <c r="MSV1" s="87"/>
      <c r="MSW1" s="87"/>
      <c r="MSX1" s="87"/>
      <c r="MSY1" s="87"/>
      <c r="MSZ1" s="87"/>
      <c r="MTA1" s="87"/>
      <c r="MTB1" s="87"/>
      <c r="MTC1" s="87"/>
      <c r="MTD1" s="87"/>
      <c r="MTE1" s="87"/>
      <c r="MTF1" s="87"/>
      <c r="MTG1" s="87"/>
      <c r="MTH1" s="87"/>
      <c r="MTI1" s="87"/>
      <c r="MTJ1" s="87"/>
      <c r="MTK1" s="87"/>
      <c r="MTL1" s="87"/>
      <c r="MTM1" s="87"/>
      <c r="MTN1" s="87"/>
      <c r="MTO1" s="87"/>
      <c r="MTP1" s="87"/>
      <c r="MTQ1" s="87"/>
      <c r="MTR1" s="87"/>
      <c r="MTS1" s="87"/>
      <c r="MTT1" s="87"/>
      <c r="MTU1" s="87"/>
      <c r="MTV1" s="87"/>
      <c r="MTW1" s="87"/>
      <c r="MTX1" s="87"/>
      <c r="MTY1" s="87"/>
      <c r="MTZ1" s="87"/>
      <c r="MUA1" s="87"/>
      <c r="MUB1" s="87"/>
      <c r="MUC1" s="87"/>
      <c r="MUD1" s="87"/>
      <c r="MUE1" s="87"/>
      <c r="MUF1" s="87"/>
      <c r="MUG1" s="87"/>
      <c r="MUH1" s="87"/>
      <c r="MUI1" s="87"/>
      <c r="MUJ1" s="87"/>
      <c r="MUK1" s="87"/>
      <c r="MUL1" s="87"/>
      <c r="MUM1" s="87"/>
      <c r="MUN1" s="87"/>
      <c r="MUO1" s="87"/>
      <c r="MUP1" s="87"/>
      <c r="MUQ1" s="87"/>
      <c r="MUR1" s="87"/>
      <c r="MUS1" s="87"/>
      <c r="MUT1" s="87"/>
      <c r="MUU1" s="87"/>
      <c r="MUV1" s="87"/>
      <c r="MUW1" s="87"/>
      <c r="MUX1" s="87"/>
      <c r="MUY1" s="87"/>
      <c r="MUZ1" s="87"/>
      <c r="MVA1" s="87"/>
      <c r="MVB1" s="87"/>
      <c r="MVC1" s="87"/>
      <c r="MVD1" s="87"/>
      <c r="MVE1" s="87"/>
      <c r="MVF1" s="87"/>
      <c r="MVG1" s="87"/>
      <c r="MVH1" s="87"/>
      <c r="MVI1" s="87"/>
      <c r="MVJ1" s="87"/>
      <c r="MVK1" s="87"/>
      <c r="MVL1" s="87"/>
      <c r="MVM1" s="87"/>
      <c r="MVN1" s="87"/>
      <c r="MVO1" s="87"/>
      <c r="MVP1" s="87"/>
      <c r="MVQ1" s="87"/>
      <c r="MVR1" s="87"/>
      <c r="MVS1" s="87"/>
      <c r="MVT1" s="87"/>
      <c r="MVU1" s="87"/>
      <c r="MVV1" s="87"/>
      <c r="MVW1" s="87"/>
      <c r="MVX1" s="87"/>
      <c r="MVY1" s="87"/>
      <c r="MVZ1" s="87"/>
      <c r="MWA1" s="87"/>
      <c r="MWB1" s="87"/>
      <c r="MWC1" s="87"/>
      <c r="MWD1" s="87"/>
      <c r="MWE1" s="87"/>
      <c r="MWF1" s="87"/>
      <c r="MWG1" s="87"/>
      <c r="MWH1" s="87"/>
      <c r="MWI1" s="87"/>
      <c r="MWJ1" s="87"/>
      <c r="MWK1" s="87"/>
      <c r="MWL1" s="87"/>
      <c r="MWM1" s="87"/>
      <c r="MWN1" s="87"/>
      <c r="MWO1" s="87"/>
      <c r="MWP1" s="87"/>
      <c r="MWQ1" s="87"/>
      <c r="MWR1" s="87"/>
      <c r="MWS1" s="87"/>
      <c r="MWT1" s="87"/>
      <c r="MWU1" s="87"/>
      <c r="MWV1" s="87"/>
      <c r="MWW1" s="87"/>
      <c r="MWX1" s="87"/>
      <c r="MWY1" s="87"/>
      <c r="MWZ1" s="87"/>
      <c r="MXA1" s="87"/>
      <c r="MXB1" s="87"/>
      <c r="MXC1" s="87"/>
      <c r="MXD1" s="87"/>
      <c r="MXE1" s="87"/>
      <c r="MXF1" s="87"/>
      <c r="MXG1" s="87"/>
      <c r="MXH1" s="87"/>
      <c r="MXI1" s="87"/>
      <c r="MXJ1" s="87"/>
      <c r="MXK1" s="87"/>
      <c r="MXL1" s="87"/>
      <c r="MXM1" s="87"/>
      <c r="MXN1" s="87"/>
      <c r="MXO1" s="87"/>
      <c r="MXP1" s="87"/>
      <c r="MXQ1" s="87"/>
      <c r="MXR1" s="87"/>
      <c r="MXS1" s="87"/>
      <c r="MXT1" s="87"/>
      <c r="MXU1" s="87"/>
      <c r="MXV1" s="87"/>
      <c r="MXW1" s="87"/>
      <c r="MXX1" s="87"/>
      <c r="MXY1" s="87"/>
      <c r="MXZ1" s="87"/>
      <c r="MYA1" s="87"/>
      <c r="MYB1" s="87"/>
      <c r="MYC1" s="87"/>
      <c r="MYD1" s="87"/>
      <c r="MYE1" s="87"/>
      <c r="MYF1" s="87"/>
      <c r="MYG1" s="87"/>
      <c r="MYH1" s="87"/>
      <c r="MYI1" s="87"/>
      <c r="MYJ1" s="87"/>
      <c r="MYK1" s="87"/>
      <c r="MYL1" s="87"/>
      <c r="MYM1" s="87"/>
      <c r="MYN1" s="87"/>
      <c r="MYO1" s="87"/>
      <c r="MYP1" s="87"/>
      <c r="MYQ1" s="87"/>
      <c r="MYR1" s="87"/>
      <c r="MYS1" s="87"/>
      <c r="MYT1" s="87"/>
      <c r="MYU1" s="87"/>
      <c r="MYV1" s="87"/>
      <c r="MYW1" s="87"/>
      <c r="MYX1" s="87"/>
      <c r="MYY1" s="87"/>
      <c r="MYZ1" s="87"/>
      <c r="MZA1" s="87"/>
      <c r="MZB1" s="87"/>
      <c r="MZC1" s="87"/>
      <c r="MZD1" s="87"/>
      <c r="MZE1" s="87"/>
      <c r="MZF1" s="87"/>
      <c r="MZG1" s="87"/>
      <c r="MZH1" s="87"/>
      <c r="MZI1" s="87"/>
      <c r="MZJ1" s="87"/>
      <c r="MZK1" s="87"/>
      <c r="MZL1" s="87"/>
      <c r="MZM1" s="87"/>
      <c r="MZN1" s="87"/>
      <c r="MZO1" s="87"/>
      <c r="MZP1" s="87"/>
      <c r="MZQ1" s="87"/>
      <c r="MZR1" s="87"/>
      <c r="MZS1" s="87"/>
      <c r="MZT1" s="87"/>
      <c r="MZU1" s="87"/>
      <c r="MZV1" s="87"/>
      <c r="MZW1" s="87"/>
      <c r="MZX1" s="87"/>
      <c r="MZY1" s="87"/>
      <c r="MZZ1" s="87"/>
      <c r="NAA1" s="87"/>
      <c r="NAB1" s="87"/>
      <c r="NAC1" s="87"/>
      <c r="NAD1" s="87"/>
      <c r="NAE1" s="87"/>
      <c r="NAF1" s="87"/>
      <c r="NAG1" s="87"/>
      <c r="NAH1" s="87"/>
      <c r="NAI1" s="87"/>
      <c r="NAJ1" s="87"/>
      <c r="NAK1" s="87"/>
      <c r="NAL1" s="87"/>
      <c r="NAM1" s="87"/>
      <c r="NAN1" s="87"/>
      <c r="NAO1" s="87"/>
      <c r="NAP1" s="87"/>
      <c r="NAQ1" s="87"/>
      <c r="NAR1" s="87"/>
      <c r="NAS1" s="87"/>
      <c r="NAT1" s="87"/>
      <c r="NAU1" s="87"/>
      <c r="NAV1" s="87"/>
      <c r="NAW1" s="87"/>
      <c r="NAX1" s="87"/>
      <c r="NAY1" s="87"/>
      <c r="NAZ1" s="87"/>
      <c r="NBA1" s="87"/>
      <c r="NBB1" s="87"/>
      <c r="NBC1" s="87"/>
      <c r="NBD1" s="87"/>
      <c r="NBE1" s="87"/>
      <c r="NBF1" s="87"/>
      <c r="NBG1" s="87"/>
      <c r="NBH1" s="87"/>
      <c r="NBI1" s="87"/>
      <c r="NBJ1" s="87"/>
      <c r="NBK1" s="87"/>
      <c r="NBL1" s="87"/>
      <c r="NBM1" s="87"/>
      <c r="NBN1" s="87"/>
      <c r="NBO1" s="87"/>
      <c r="NBP1" s="87"/>
      <c r="NBQ1" s="87"/>
      <c r="NBR1" s="87"/>
      <c r="NBS1" s="87"/>
      <c r="NBT1" s="87"/>
      <c r="NBU1" s="87"/>
      <c r="NBV1" s="87"/>
      <c r="NBW1" s="87"/>
      <c r="NBX1" s="87"/>
      <c r="NBY1" s="87"/>
      <c r="NBZ1" s="87"/>
      <c r="NCA1" s="87"/>
      <c r="NCB1" s="87"/>
      <c r="NCC1" s="87"/>
      <c r="NCD1" s="87"/>
      <c r="NCE1" s="87"/>
      <c r="NCF1" s="87"/>
      <c r="NCG1" s="87"/>
      <c r="NCH1" s="87"/>
      <c r="NCI1" s="87"/>
      <c r="NCJ1" s="87"/>
      <c r="NCK1" s="87"/>
      <c r="NCL1" s="87"/>
      <c r="NCM1" s="87"/>
      <c r="NCN1" s="87"/>
      <c r="NCO1" s="87"/>
      <c r="NCP1" s="87"/>
      <c r="NCQ1" s="87"/>
      <c r="NCR1" s="87"/>
      <c r="NCS1" s="87"/>
      <c r="NCT1" s="87"/>
      <c r="NCU1" s="87"/>
      <c r="NCV1" s="87"/>
      <c r="NCW1" s="87"/>
      <c r="NCX1" s="87"/>
      <c r="NCY1" s="87"/>
      <c r="NCZ1" s="87"/>
      <c r="NDA1" s="87"/>
      <c r="NDB1" s="87"/>
      <c r="NDC1" s="87"/>
      <c r="NDD1" s="87"/>
      <c r="NDE1" s="87"/>
      <c r="NDF1" s="87"/>
      <c r="NDG1" s="87"/>
      <c r="NDH1" s="87"/>
      <c r="NDI1" s="87"/>
      <c r="NDJ1" s="87"/>
      <c r="NDK1" s="87"/>
      <c r="NDL1" s="87"/>
      <c r="NDM1" s="87"/>
      <c r="NDN1" s="87"/>
      <c r="NDO1" s="87"/>
      <c r="NDP1" s="87"/>
      <c r="NDQ1" s="87"/>
      <c r="NDR1" s="87"/>
      <c r="NDS1" s="87"/>
      <c r="NDT1" s="87"/>
      <c r="NDU1" s="87"/>
      <c r="NDV1" s="87"/>
      <c r="NDW1" s="87"/>
      <c r="NDX1" s="87"/>
      <c r="NDY1" s="87"/>
      <c r="NDZ1" s="87"/>
      <c r="NEA1" s="87"/>
      <c r="NEB1" s="87"/>
      <c r="NEC1" s="87"/>
      <c r="NED1" s="87"/>
      <c r="NEE1" s="87"/>
      <c r="NEF1" s="87"/>
      <c r="NEG1" s="87"/>
      <c r="NEH1" s="87"/>
      <c r="NEI1" s="87"/>
      <c r="NEJ1" s="87"/>
      <c r="NEK1" s="87"/>
      <c r="NEL1" s="87"/>
      <c r="NEM1" s="87"/>
      <c r="NEN1" s="87"/>
      <c r="NEO1" s="87"/>
      <c r="NEP1" s="87"/>
      <c r="NEQ1" s="87"/>
      <c r="NER1" s="87"/>
      <c r="NES1" s="87"/>
      <c r="NET1" s="87"/>
      <c r="NEU1" s="87"/>
      <c r="NEV1" s="87"/>
      <c r="NEW1" s="87"/>
      <c r="NEX1" s="87"/>
      <c r="NEY1" s="87"/>
      <c r="NEZ1" s="87"/>
      <c r="NFA1" s="87"/>
      <c r="NFB1" s="87"/>
      <c r="NFC1" s="87"/>
      <c r="NFD1" s="87"/>
      <c r="NFE1" s="87"/>
      <c r="NFF1" s="87"/>
      <c r="NFG1" s="87"/>
      <c r="NFH1" s="87"/>
      <c r="NFI1" s="87"/>
      <c r="NFJ1" s="87"/>
      <c r="NFK1" s="87"/>
      <c r="NFL1" s="87"/>
      <c r="NFM1" s="87"/>
      <c r="NFN1" s="87"/>
      <c r="NFO1" s="87"/>
      <c r="NFP1" s="87"/>
      <c r="NFQ1" s="87"/>
      <c r="NFR1" s="87"/>
      <c r="NFS1" s="87"/>
      <c r="NFT1" s="87"/>
      <c r="NFU1" s="87"/>
      <c r="NFV1" s="87"/>
      <c r="NFW1" s="87"/>
      <c r="NFX1" s="87"/>
      <c r="NFY1" s="87"/>
      <c r="NFZ1" s="87"/>
      <c r="NGA1" s="87"/>
      <c r="NGB1" s="87"/>
      <c r="NGC1" s="87"/>
      <c r="NGD1" s="87"/>
      <c r="NGE1" s="87"/>
      <c r="NGF1" s="87"/>
      <c r="NGG1" s="87"/>
      <c r="NGH1" s="87"/>
      <c r="NGI1" s="87"/>
      <c r="NGJ1" s="87"/>
      <c r="NGK1" s="87"/>
      <c r="NGL1" s="87"/>
      <c r="NGM1" s="87"/>
      <c r="NGN1" s="87"/>
      <c r="NGO1" s="87"/>
      <c r="NGP1" s="87"/>
      <c r="NGQ1" s="87"/>
      <c r="NGR1" s="87"/>
      <c r="NGS1" s="87"/>
      <c r="NGT1" s="87"/>
      <c r="NGU1" s="87"/>
      <c r="NGV1" s="87"/>
      <c r="NGW1" s="87"/>
      <c r="NGX1" s="87"/>
      <c r="NGY1" s="87"/>
      <c r="NGZ1" s="87"/>
      <c r="NHA1" s="87"/>
      <c r="NHB1" s="87"/>
      <c r="NHC1" s="87"/>
      <c r="NHD1" s="87"/>
      <c r="NHE1" s="87"/>
      <c r="NHF1" s="87"/>
      <c r="NHG1" s="87"/>
      <c r="NHH1" s="87"/>
      <c r="NHI1" s="87"/>
      <c r="NHJ1" s="87"/>
      <c r="NHK1" s="87"/>
      <c r="NHL1" s="87"/>
      <c r="NHM1" s="87"/>
      <c r="NHN1" s="87"/>
      <c r="NHO1" s="87"/>
      <c r="NHP1" s="87"/>
      <c r="NHQ1" s="87"/>
      <c r="NHR1" s="87"/>
      <c r="NHS1" s="87"/>
      <c r="NHT1" s="87"/>
      <c r="NHU1" s="87"/>
      <c r="NHV1" s="87"/>
      <c r="NHW1" s="87"/>
      <c r="NHX1" s="87"/>
      <c r="NHY1" s="87"/>
      <c r="NHZ1" s="87"/>
      <c r="NIA1" s="87"/>
      <c r="NIB1" s="87"/>
      <c r="NIC1" s="87"/>
      <c r="NID1" s="87"/>
      <c r="NIE1" s="87"/>
      <c r="NIF1" s="87"/>
      <c r="NIG1" s="87"/>
      <c r="NIH1" s="87"/>
      <c r="NII1" s="87"/>
      <c r="NIJ1" s="87"/>
      <c r="NIK1" s="87"/>
      <c r="NIL1" s="87"/>
      <c r="NIM1" s="87"/>
      <c r="NIN1" s="87"/>
      <c r="NIO1" s="87"/>
      <c r="NIP1" s="87"/>
      <c r="NIQ1" s="87"/>
      <c r="NIR1" s="87"/>
      <c r="NIS1" s="87"/>
      <c r="NIT1" s="87"/>
      <c r="NIU1" s="87"/>
      <c r="NIV1" s="87"/>
      <c r="NIW1" s="87"/>
      <c r="NIX1" s="87"/>
      <c r="NIY1" s="87"/>
      <c r="NIZ1" s="87"/>
      <c r="NJA1" s="87"/>
      <c r="NJB1" s="87"/>
      <c r="NJC1" s="87"/>
      <c r="NJD1" s="87"/>
      <c r="NJE1" s="87"/>
      <c r="NJF1" s="87"/>
      <c r="NJG1" s="87"/>
      <c r="NJH1" s="87"/>
      <c r="NJI1" s="87"/>
      <c r="NJJ1" s="87"/>
      <c r="NJK1" s="87"/>
      <c r="NJL1" s="87"/>
      <c r="NJM1" s="87"/>
      <c r="NJN1" s="87"/>
      <c r="NJO1" s="87"/>
      <c r="NJP1" s="87"/>
      <c r="NJQ1" s="87"/>
      <c r="NJR1" s="87"/>
      <c r="NJS1" s="87"/>
      <c r="NJT1" s="87"/>
      <c r="NJU1" s="87"/>
      <c r="NJV1" s="87"/>
      <c r="NJW1" s="87"/>
      <c r="NJX1" s="87"/>
      <c r="NJY1" s="87"/>
      <c r="NJZ1" s="87"/>
      <c r="NKA1" s="87"/>
      <c r="NKB1" s="87"/>
      <c r="NKC1" s="87"/>
      <c r="NKD1" s="87"/>
      <c r="NKE1" s="87"/>
      <c r="NKF1" s="87"/>
      <c r="NKG1" s="87"/>
      <c r="NKH1" s="87"/>
      <c r="NKI1" s="87"/>
      <c r="NKJ1" s="87"/>
      <c r="NKK1" s="87"/>
      <c r="NKL1" s="87"/>
      <c r="NKM1" s="87"/>
      <c r="NKN1" s="87"/>
      <c r="NKO1" s="87"/>
      <c r="NKP1" s="87"/>
      <c r="NKQ1" s="87"/>
      <c r="NKR1" s="87"/>
      <c r="NKS1" s="87"/>
      <c r="NKT1" s="87"/>
      <c r="NKU1" s="87"/>
      <c r="NKV1" s="87"/>
      <c r="NKW1" s="87"/>
      <c r="NKX1" s="87"/>
      <c r="NKY1" s="87"/>
      <c r="NKZ1" s="87"/>
      <c r="NLA1" s="87"/>
      <c r="NLB1" s="87"/>
      <c r="NLC1" s="87"/>
      <c r="NLD1" s="87"/>
      <c r="NLE1" s="87"/>
      <c r="NLF1" s="87"/>
      <c r="NLG1" s="87"/>
      <c r="NLH1" s="87"/>
      <c r="NLI1" s="87"/>
      <c r="NLJ1" s="87"/>
      <c r="NLK1" s="87"/>
      <c r="NLL1" s="87"/>
      <c r="NLM1" s="87"/>
      <c r="NLN1" s="87"/>
      <c r="NLO1" s="87"/>
      <c r="NLP1" s="87"/>
      <c r="NLQ1" s="87"/>
      <c r="NLR1" s="87"/>
      <c r="NLS1" s="87"/>
      <c r="NLT1" s="87"/>
      <c r="NLU1" s="87"/>
      <c r="NLV1" s="87"/>
      <c r="NLW1" s="87"/>
      <c r="NLX1" s="87"/>
      <c r="NLY1" s="87"/>
      <c r="NLZ1" s="87"/>
      <c r="NMA1" s="87"/>
      <c r="NMB1" s="87"/>
      <c r="NMC1" s="87"/>
      <c r="NMD1" s="87"/>
      <c r="NME1" s="87"/>
      <c r="NMF1" s="87"/>
      <c r="NMG1" s="87"/>
      <c r="NMH1" s="87"/>
      <c r="NMI1" s="87"/>
      <c r="NMJ1" s="87"/>
      <c r="NMK1" s="87"/>
      <c r="NML1" s="87"/>
      <c r="NMM1" s="87"/>
      <c r="NMN1" s="87"/>
      <c r="NMO1" s="87"/>
      <c r="NMP1" s="87"/>
      <c r="NMQ1" s="87"/>
      <c r="NMR1" s="87"/>
      <c r="NMS1" s="87"/>
      <c r="NMT1" s="87"/>
      <c r="NMU1" s="87"/>
      <c r="NMV1" s="87"/>
      <c r="NMW1" s="87"/>
      <c r="NMX1" s="87"/>
      <c r="NMY1" s="87"/>
      <c r="NMZ1" s="87"/>
      <c r="NNA1" s="87"/>
      <c r="NNB1" s="87"/>
      <c r="NNC1" s="87"/>
      <c r="NND1" s="87"/>
      <c r="NNE1" s="87"/>
      <c r="NNF1" s="87"/>
      <c r="NNG1" s="87"/>
      <c r="NNH1" s="87"/>
      <c r="NNI1" s="87"/>
      <c r="NNJ1" s="87"/>
      <c r="NNK1" s="87"/>
      <c r="NNL1" s="87"/>
      <c r="NNM1" s="87"/>
      <c r="NNN1" s="87"/>
      <c r="NNO1" s="87"/>
      <c r="NNP1" s="87"/>
      <c r="NNQ1" s="87"/>
      <c r="NNR1" s="87"/>
      <c r="NNS1" s="87"/>
      <c r="NNT1" s="87"/>
      <c r="NNU1" s="87"/>
      <c r="NNV1" s="87"/>
      <c r="NNW1" s="87"/>
      <c r="NNX1" s="87"/>
      <c r="NNY1" s="87"/>
      <c r="NNZ1" s="87"/>
      <c r="NOA1" s="87"/>
      <c r="NOB1" s="87"/>
      <c r="NOC1" s="87"/>
      <c r="NOD1" s="87"/>
      <c r="NOE1" s="87"/>
      <c r="NOF1" s="87"/>
      <c r="NOG1" s="87"/>
      <c r="NOH1" s="87"/>
      <c r="NOI1" s="87"/>
      <c r="NOJ1" s="87"/>
      <c r="NOK1" s="87"/>
      <c r="NOL1" s="87"/>
      <c r="NOM1" s="87"/>
      <c r="NON1" s="87"/>
      <c r="NOO1" s="87"/>
      <c r="NOP1" s="87"/>
      <c r="NOQ1" s="87"/>
      <c r="NOR1" s="87"/>
      <c r="NOS1" s="87"/>
      <c r="NOT1" s="87"/>
      <c r="NOU1" s="87"/>
      <c r="NOV1" s="87"/>
      <c r="NOW1" s="87"/>
      <c r="NOX1" s="87"/>
      <c r="NOY1" s="87"/>
      <c r="NOZ1" s="87"/>
      <c r="NPA1" s="87"/>
      <c r="NPB1" s="87"/>
      <c r="NPC1" s="87"/>
      <c r="NPD1" s="87"/>
      <c r="NPE1" s="87"/>
      <c r="NPF1" s="87"/>
      <c r="NPG1" s="87"/>
      <c r="NPH1" s="87"/>
      <c r="NPI1" s="87"/>
      <c r="NPJ1" s="87"/>
      <c r="NPK1" s="87"/>
      <c r="NPL1" s="87"/>
      <c r="NPM1" s="87"/>
      <c r="NPN1" s="87"/>
      <c r="NPO1" s="87"/>
      <c r="NPP1" s="87"/>
      <c r="NPQ1" s="87"/>
      <c r="NPR1" s="87"/>
      <c r="NPS1" s="87"/>
      <c r="NPT1" s="87"/>
      <c r="NPU1" s="87"/>
      <c r="NPV1" s="87"/>
      <c r="NPW1" s="87"/>
      <c r="NPX1" s="87"/>
      <c r="NPY1" s="87"/>
      <c r="NPZ1" s="87"/>
      <c r="NQA1" s="87"/>
      <c r="NQB1" s="87"/>
      <c r="NQC1" s="87"/>
      <c r="NQD1" s="87"/>
      <c r="NQE1" s="87"/>
      <c r="NQF1" s="87"/>
      <c r="NQG1" s="87"/>
      <c r="NQH1" s="87"/>
      <c r="NQI1" s="87"/>
      <c r="NQJ1" s="87"/>
      <c r="NQK1" s="87"/>
      <c r="NQL1" s="87"/>
      <c r="NQM1" s="87"/>
      <c r="NQN1" s="87"/>
      <c r="NQO1" s="87"/>
      <c r="NQP1" s="87"/>
      <c r="NQQ1" s="87"/>
      <c r="NQR1" s="87"/>
      <c r="NQS1" s="87"/>
      <c r="NQT1" s="87"/>
      <c r="NQU1" s="87"/>
      <c r="NQV1" s="87"/>
      <c r="NQW1" s="87"/>
      <c r="NQX1" s="87"/>
      <c r="NQY1" s="87"/>
      <c r="NQZ1" s="87"/>
      <c r="NRA1" s="87"/>
      <c r="NRB1" s="87"/>
      <c r="NRC1" s="87"/>
      <c r="NRD1" s="87"/>
      <c r="NRE1" s="87"/>
      <c r="NRF1" s="87"/>
      <c r="NRG1" s="87"/>
      <c r="NRH1" s="87"/>
      <c r="NRI1" s="87"/>
      <c r="NRJ1" s="87"/>
      <c r="NRK1" s="87"/>
      <c r="NRL1" s="87"/>
      <c r="NRM1" s="87"/>
      <c r="NRN1" s="87"/>
      <c r="NRO1" s="87"/>
      <c r="NRP1" s="87"/>
      <c r="NRQ1" s="87"/>
      <c r="NRR1" s="87"/>
      <c r="NRS1" s="87"/>
      <c r="NRT1" s="87"/>
      <c r="NRU1" s="87"/>
      <c r="NRV1" s="87"/>
      <c r="NRW1" s="87"/>
      <c r="NRX1" s="87"/>
      <c r="NRY1" s="87"/>
      <c r="NRZ1" s="87"/>
      <c r="NSA1" s="87"/>
      <c r="NSB1" s="87"/>
      <c r="NSC1" s="87"/>
      <c r="NSD1" s="87"/>
      <c r="NSE1" s="87"/>
      <c r="NSF1" s="87"/>
      <c r="NSG1" s="87"/>
      <c r="NSH1" s="87"/>
      <c r="NSI1" s="87"/>
      <c r="NSJ1" s="87"/>
      <c r="NSK1" s="87"/>
      <c r="NSL1" s="87"/>
      <c r="NSM1" s="87"/>
      <c r="NSN1" s="87"/>
      <c r="NSO1" s="87"/>
      <c r="NSP1" s="87"/>
      <c r="NSQ1" s="87"/>
      <c r="NSR1" s="87"/>
      <c r="NSS1" s="87"/>
      <c r="NST1" s="87"/>
      <c r="NSU1" s="87"/>
      <c r="NSV1" s="87"/>
      <c r="NSW1" s="87"/>
      <c r="NSX1" s="87"/>
      <c r="NSY1" s="87"/>
      <c r="NSZ1" s="87"/>
      <c r="NTA1" s="87"/>
      <c r="NTB1" s="87"/>
      <c r="NTC1" s="87"/>
      <c r="NTD1" s="87"/>
      <c r="NTE1" s="87"/>
      <c r="NTF1" s="87"/>
      <c r="NTG1" s="87"/>
      <c r="NTH1" s="87"/>
      <c r="NTI1" s="87"/>
      <c r="NTJ1" s="87"/>
      <c r="NTK1" s="87"/>
      <c r="NTL1" s="87"/>
      <c r="NTM1" s="87"/>
      <c r="NTN1" s="87"/>
      <c r="NTO1" s="87"/>
      <c r="NTP1" s="87"/>
      <c r="NTQ1" s="87"/>
      <c r="NTR1" s="87"/>
      <c r="NTS1" s="87"/>
      <c r="NTT1" s="87"/>
      <c r="NTU1" s="87"/>
      <c r="NTV1" s="87"/>
      <c r="NTW1" s="87"/>
      <c r="NTX1" s="87"/>
      <c r="NTY1" s="87"/>
      <c r="NTZ1" s="87"/>
      <c r="NUA1" s="87"/>
      <c r="NUB1" s="87"/>
      <c r="NUC1" s="87"/>
      <c r="NUD1" s="87"/>
      <c r="NUE1" s="87"/>
      <c r="NUF1" s="87"/>
      <c r="NUG1" s="87"/>
      <c r="NUH1" s="87"/>
      <c r="NUI1" s="87"/>
      <c r="NUJ1" s="87"/>
      <c r="NUK1" s="87"/>
      <c r="NUL1" s="87"/>
      <c r="NUM1" s="87"/>
      <c r="NUN1" s="87"/>
      <c r="NUO1" s="87"/>
      <c r="NUP1" s="87"/>
      <c r="NUQ1" s="87"/>
      <c r="NUR1" s="87"/>
      <c r="NUS1" s="87"/>
      <c r="NUT1" s="87"/>
      <c r="NUU1" s="87"/>
      <c r="NUV1" s="87"/>
      <c r="NUW1" s="87"/>
      <c r="NUX1" s="87"/>
      <c r="NUY1" s="87"/>
      <c r="NUZ1" s="87"/>
      <c r="NVA1" s="87"/>
      <c r="NVB1" s="87"/>
      <c r="NVC1" s="87"/>
      <c r="NVD1" s="87"/>
      <c r="NVE1" s="87"/>
      <c r="NVF1" s="87"/>
      <c r="NVG1" s="87"/>
      <c r="NVH1" s="87"/>
      <c r="NVI1" s="87"/>
      <c r="NVJ1" s="87"/>
      <c r="NVK1" s="87"/>
      <c r="NVL1" s="87"/>
      <c r="NVM1" s="87"/>
      <c r="NVN1" s="87"/>
      <c r="NVO1" s="87"/>
      <c r="NVP1" s="87"/>
      <c r="NVQ1" s="87"/>
      <c r="NVR1" s="87"/>
      <c r="NVS1" s="87"/>
      <c r="NVT1" s="87"/>
      <c r="NVU1" s="87"/>
      <c r="NVV1" s="87"/>
      <c r="NVW1" s="87"/>
      <c r="NVX1" s="87"/>
      <c r="NVY1" s="87"/>
      <c r="NVZ1" s="87"/>
      <c r="NWA1" s="87"/>
      <c r="NWB1" s="87"/>
      <c r="NWC1" s="87"/>
      <c r="NWD1" s="87"/>
      <c r="NWE1" s="87"/>
      <c r="NWF1" s="87"/>
      <c r="NWG1" s="87"/>
      <c r="NWH1" s="87"/>
      <c r="NWI1" s="87"/>
      <c r="NWJ1" s="87"/>
      <c r="NWK1" s="87"/>
      <c r="NWL1" s="87"/>
      <c r="NWM1" s="87"/>
      <c r="NWN1" s="87"/>
      <c r="NWO1" s="87"/>
      <c r="NWP1" s="87"/>
      <c r="NWQ1" s="87"/>
      <c r="NWR1" s="87"/>
      <c r="NWS1" s="87"/>
      <c r="NWT1" s="87"/>
      <c r="NWU1" s="87"/>
      <c r="NWV1" s="87"/>
      <c r="NWW1" s="87"/>
      <c r="NWX1" s="87"/>
      <c r="NWY1" s="87"/>
      <c r="NWZ1" s="87"/>
      <c r="NXA1" s="87"/>
      <c r="NXB1" s="87"/>
      <c r="NXC1" s="87"/>
      <c r="NXD1" s="87"/>
      <c r="NXE1" s="87"/>
      <c r="NXF1" s="87"/>
      <c r="NXG1" s="87"/>
      <c r="NXH1" s="87"/>
      <c r="NXI1" s="87"/>
      <c r="NXJ1" s="87"/>
      <c r="NXK1" s="87"/>
      <c r="NXL1" s="87"/>
      <c r="NXM1" s="87"/>
      <c r="NXN1" s="87"/>
      <c r="NXO1" s="87"/>
      <c r="NXP1" s="87"/>
      <c r="NXQ1" s="87"/>
      <c r="NXR1" s="87"/>
      <c r="NXS1" s="87"/>
      <c r="NXT1" s="87"/>
      <c r="NXU1" s="87"/>
      <c r="NXV1" s="87"/>
      <c r="NXW1" s="87"/>
      <c r="NXX1" s="87"/>
      <c r="NXY1" s="87"/>
      <c r="NXZ1" s="87"/>
      <c r="NYA1" s="87"/>
      <c r="NYB1" s="87"/>
      <c r="NYC1" s="87"/>
      <c r="NYD1" s="87"/>
      <c r="NYE1" s="87"/>
      <c r="NYF1" s="87"/>
      <c r="NYG1" s="87"/>
      <c r="NYH1" s="87"/>
      <c r="NYI1" s="87"/>
      <c r="NYJ1" s="87"/>
      <c r="NYK1" s="87"/>
      <c r="NYL1" s="87"/>
      <c r="NYM1" s="87"/>
      <c r="NYN1" s="87"/>
      <c r="NYO1" s="87"/>
      <c r="NYP1" s="87"/>
      <c r="NYQ1" s="87"/>
      <c r="NYR1" s="87"/>
      <c r="NYS1" s="87"/>
      <c r="NYT1" s="87"/>
      <c r="NYU1" s="87"/>
      <c r="NYV1" s="87"/>
      <c r="NYW1" s="87"/>
      <c r="NYX1" s="87"/>
      <c r="NYY1" s="87"/>
      <c r="NYZ1" s="87"/>
      <c r="NZA1" s="87"/>
      <c r="NZB1" s="87"/>
      <c r="NZC1" s="87"/>
      <c r="NZD1" s="87"/>
      <c r="NZE1" s="87"/>
      <c r="NZF1" s="87"/>
      <c r="NZG1" s="87"/>
      <c r="NZH1" s="87"/>
      <c r="NZI1" s="87"/>
      <c r="NZJ1" s="87"/>
      <c r="NZK1" s="87"/>
      <c r="NZL1" s="87"/>
      <c r="NZM1" s="87"/>
      <c r="NZN1" s="87"/>
      <c r="NZO1" s="87"/>
      <c r="NZP1" s="87"/>
      <c r="NZQ1" s="87"/>
      <c r="NZR1" s="87"/>
      <c r="NZS1" s="87"/>
      <c r="NZT1" s="87"/>
      <c r="NZU1" s="87"/>
      <c r="NZV1" s="87"/>
      <c r="NZW1" s="87"/>
      <c r="NZX1" s="87"/>
      <c r="NZY1" s="87"/>
      <c r="NZZ1" s="87"/>
      <c r="OAA1" s="87"/>
      <c r="OAB1" s="87"/>
      <c r="OAC1" s="87"/>
      <c r="OAD1" s="87"/>
      <c r="OAE1" s="87"/>
      <c r="OAF1" s="87"/>
      <c r="OAG1" s="87"/>
      <c r="OAH1" s="87"/>
      <c r="OAI1" s="87"/>
      <c r="OAJ1" s="87"/>
      <c r="OAK1" s="87"/>
      <c r="OAL1" s="87"/>
      <c r="OAM1" s="87"/>
      <c r="OAN1" s="87"/>
      <c r="OAO1" s="87"/>
      <c r="OAP1" s="87"/>
      <c r="OAQ1" s="87"/>
      <c r="OAR1" s="87"/>
      <c r="OAS1" s="87"/>
      <c r="OAT1" s="87"/>
      <c r="OAU1" s="87"/>
      <c r="OAV1" s="87"/>
      <c r="OAW1" s="87"/>
      <c r="OAX1" s="87"/>
      <c r="OAY1" s="87"/>
      <c r="OAZ1" s="87"/>
      <c r="OBA1" s="87"/>
      <c r="OBB1" s="87"/>
      <c r="OBC1" s="87"/>
      <c r="OBD1" s="87"/>
      <c r="OBE1" s="87"/>
      <c r="OBF1" s="87"/>
      <c r="OBG1" s="87"/>
      <c r="OBH1" s="87"/>
      <c r="OBI1" s="87"/>
      <c r="OBJ1" s="87"/>
      <c r="OBK1" s="87"/>
      <c r="OBL1" s="87"/>
      <c r="OBM1" s="87"/>
      <c r="OBN1" s="87"/>
      <c r="OBO1" s="87"/>
      <c r="OBP1" s="87"/>
      <c r="OBQ1" s="87"/>
      <c r="OBR1" s="87"/>
      <c r="OBS1" s="87"/>
      <c r="OBT1" s="87"/>
      <c r="OBU1" s="87"/>
      <c r="OBV1" s="87"/>
      <c r="OBW1" s="87"/>
      <c r="OBX1" s="87"/>
      <c r="OBY1" s="87"/>
      <c r="OBZ1" s="87"/>
      <c r="OCA1" s="87"/>
      <c r="OCB1" s="87"/>
      <c r="OCC1" s="87"/>
      <c r="OCD1" s="87"/>
      <c r="OCE1" s="87"/>
      <c r="OCF1" s="87"/>
      <c r="OCG1" s="87"/>
      <c r="OCH1" s="87"/>
      <c r="OCI1" s="87"/>
      <c r="OCJ1" s="87"/>
      <c r="OCK1" s="87"/>
      <c r="OCL1" s="87"/>
      <c r="OCM1" s="87"/>
      <c r="OCN1" s="87"/>
      <c r="OCO1" s="87"/>
      <c r="OCP1" s="87"/>
      <c r="OCQ1" s="87"/>
      <c r="OCR1" s="87"/>
      <c r="OCS1" s="87"/>
      <c r="OCT1" s="87"/>
      <c r="OCU1" s="87"/>
      <c r="OCV1" s="87"/>
      <c r="OCW1" s="87"/>
      <c r="OCX1" s="87"/>
      <c r="OCY1" s="87"/>
      <c r="OCZ1" s="87"/>
      <c r="ODA1" s="87"/>
      <c r="ODB1" s="87"/>
      <c r="ODC1" s="87"/>
      <c r="ODD1" s="87"/>
      <c r="ODE1" s="87"/>
      <c r="ODF1" s="87"/>
      <c r="ODG1" s="87"/>
      <c r="ODH1" s="87"/>
      <c r="ODI1" s="87"/>
      <c r="ODJ1" s="87"/>
      <c r="ODK1" s="87"/>
      <c r="ODL1" s="87"/>
      <c r="ODM1" s="87"/>
      <c r="ODN1" s="87"/>
      <c r="ODO1" s="87"/>
      <c r="ODP1" s="87"/>
      <c r="ODQ1" s="87"/>
      <c r="ODR1" s="87"/>
      <c r="ODS1" s="87"/>
      <c r="ODT1" s="87"/>
      <c r="ODU1" s="87"/>
      <c r="ODV1" s="87"/>
      <c r="ODW1" s="87"/>
      <c r="ODX1" s="87"/>
      <c r="ODY1" s="87"/>
      <c r="ODZ1" s="87"/>
      <c r="OEA1" s="87"/>
      <c r="OEB1" s="87"/>
      <c r="OEC1" s="87"/>
      <c r="OED1" s="87"/>
      <c r="OEE1" s="87"/>
      <c r="OEF1" s="87"/>
      <c r="OEG1" s="87"/>
      <c r="OEH1" s="87"/>
      <c r="OEI1" s="87"/>
      <c r="OEJ1" s="87"/>
      <c r="OEK1" s="87"/>
      <c r="OEL1" s="87"/>
      <c r="OEM1" s="87"/>
      <c r="OEN1" s="87"/>
      <c r="OEO1" s="87"/>
      <c r="OEP1" s="87"/>
      <c r="OEQ1" s="87"/>
      <c r="OER1" s="87"/>
      <c r="OES1" s="87"/>
      <c r="OET1" s="87"/>
      <c r="OEU1" s="87"/>
      <c r="OEV1" s="87"/>
      <c r="OEW1" s="87"/>
      <c r="OEX1" s="87"/>
      <c r="OEY1" s="87"/>
      <c r="OEZ1" s="87"/>
      <c r="OFA1" s="87"/>
      <c r="OFB1" s="87"/>
      <c r="OFC1" s="87"/>
      <c r="OFD1" s="87"/>
      <c r="OFE1" s="87"/>
      <c r="OFF1" s="87"/>
      <c r="OFG1" s="87"/>
      <c r="OFH1" s="87"/>
      <c r="OFI1" s="87"/>
      <c r="OFJ1" s="87"/>
      <c r="OFK1" s="87"/>
      <c r="OFL1" s="87"/>
      <c r="OFM1" s="87"/>
      <c r="OFN1" s="87"/>
      <c r="OFO1" s="87"/>
      <c r="OFP1" s="87"/>
      <c r="OFQ1" s="87"/>
      <c r="OFR1" s="87"/>
      <c r="OFS1" s="87"/>
      <c r="OFT1" s="87"/>
      <c r="OFU1" s="87"/>
      <c r="OFV1" s="87"/>
      <c r="OFW1" s="87"/>
      <c r="OFX1" s="87"/>
      <c r="OFY1" s="87"/>
      <c r="OFZ1" s="87"/>
      <c r="OGA1" s="87"/>
      <c r="OGB1" s="87"/>
      <c r="OGC1" s="87"/>
      <c r="OGD1" s="87"/>
      <c r="OGE1" s="87"/>
      <c r="OGF1" s="87"/>
      <c r="OGG1" s="87"/>
      <c r="OGH1" s="87"/>
      <c r="OGI1" s="87"/>
      <c r="OGJ1" s="87"/>
      <c r="OGK1" s="87"/>
      <c r="OGL1" s="87"/>
      <c r="OGM1" s="87"/>
      <c r="OGN1" s="87"/>
      <c r="OGO1" s="87"/>
      <c r="OGP1" s="87"/>
      <c r="OGQ1" s="87"/>
      <c r="OGR1" s="87"/>
      <c r="OGS1" s="87"/>
      <c r="OGT1" s="87"/>
      <c r="OGU1" s="87"/>
      <c r="OGV1" s="87"/>
      <c r="OGW1" s="87"/>
      <c r="OGX1" s="87"/>
      <c r="OGY1" s="87"/>
      <c r="OGZ1" s="87"/>
      <c r="OHA1" s="87"/>
      <c r="OHB1" s="87"/>
      <c r="OHC1" s="87"/>
      <c r="OHD1" s="87"/>
      <c r="OHE1" s="87"/>
      <c r="OHF1" s="87"/>
      <c r="OHG1" s="87"/>
      <c r="OHH1" s="87"/>
      <c r="OHI1" s="87"/>
      <c r="OHJ1" s="87"/>
      <c r="OHK1" s="87"/>
      <c r="OHL1" s="87"/>
      <c r="OHM1" s="87"/>
      <c r="OHN1" s="87"/>
      <c r="OHO1" s="87"/>
      <c r="OHP1" s="87"/>
      <c r="OHQ1" s="87"/>
      <c r="OHR1" s="87"/>
      <c r="OHS1" s="87"/>
      <c r="OHT1" s="87"/>
      <c r="OHU1" s="87"/>
      <c r="OHV1" s="87"/>
      <c r="OHW1" s="87"/>
      <c r="OHX1" s="87"/>
      <c r="OHY1" s="87"/>
      <c r="OHZ1" s="87"/>
      <c r="OIA1" s="87"/>
      <c r="OIB1" s="87"/>
      <c r="OIC1" s="87"/>
      <c r="OID1" s="87"/>
      <c r="OIE1" s="87"/>
      <c r="OIF1" s="87"/>
      <c r="OIG1" s="87"/>
      <c r="OIH1" s="87"/>
      <c r="OII1" s="87"/>
      <c r="OIJ1" s="87"/>
      <c r="OIK1" s="87"/>
      <c r="OIL1" s="87"/>
      <c r="OIM1" s="87"/>
      <c r="OIN1" s="87"/>
      <c r="OIO1" s="87"/>
      <c r="OIP1" s="87"/>
      <c r="OIQ1" s="87"/>
      <c r="OIR1" s="87"/>
      <c r="OIS1" s="87"/>
      <c r="OIT1" s="87"/>
      <c r="OIU1" s="87"/>
      <c r="OIV1" s="87"/>
      <c r="OIW1" s="87"/>
      <c r="OIX1" s="87"/>
      <c r="OIY1" s="87"/>
      <c r="OIZ1" s="87"/>
      <c r="OJA1" s="87"/>
      <c r="OJB1" s="87"/>
      <c r="OJC1" s="87"/>
      <c r="OJD1" s="87"/>
      <c r="OJE1" s="87"/>
      <c r="OJF1" s="87"/>
      <c r="OJG1" s="87"/>
      <c r="OJH1" s="87"/>
      <c r="OJI1" s="87"/>
      <c r="OJJ1" s="87"/>
      <c r="OJK1" s="87"/>
      <c r="OJL1" s="87"/>
      <c r="OJM1" s="87"/>
      <c r="OJN1" s="87"/>
      <c r="OJO1" s="87"/>
      <c r="OJP1" s="87"/>
      <c r="OJQ1" s="87"/>
      <c r="OJR1" s="87"/>
      <c r="OJS1" s="87"/>
      <c r="OJT1" s="87"/>
      <c r="OJU1" s="87"/>
      <c r="OJV1" s="87"/>
      <c r="OJW1" s="87"/>
      <c r="OJX1" s="87"/>
      <c r="OJY1" s="87"/>
      <c r="OJZ1" s="87"/>
      <c r="OKA1" s="87"/>
      <c r="OKB1" s="87"/>
      <c r="OKC1" s="87"/>
      <c r="OKD1" s="87"/>
      <c r="OKE1" s="87"/>
      <c r="OKF1" s="87"/>
      <c r="OKG1" s="87"/>
      <c r="OKH1" s="87"/>
      <c r="OKI1" s="87"/>
      <c r="OKJ1" s="87"/>
      <c r="OKK1" s="87"/>
      <c r="OKL1" s="87"/>
      <c r="OKM1" s="87"/>
      <c r="OKN1" s="87"/>
      <c r="OKO1" s="87"/>
      <c r="OKP1" s="87"/>
      <c r="OKQ1" s="87"/>
      <c r="OKR1" s="87"/>
      <c r="OKS1" s="87"/>
      <c r="OKT1" s="87"/>
      <c r="OKU1" s="87"/>
      <c r="OKV1" s="87"/>
      <c r="OKW1" s="87"/>
      <c r="OKX1" s="87"/>
      <c r="OKY1" s="87"/>
      <c r="OKZ1" s="87"/>
      <c r="OLA1" s="87"/>
      <c r="OLB1" s="87"/>
      <c r="OLC1" s="87"/>
      <c r="OLD1" s="87"/>
      <c r="OLE1" s="87"/>
      <c r="OLF1" s="87"/>
      <c r="OLG1" s="87"/>
      <c r="OLH1" s="87"/>
      <c r="OLI1" s="87"/>
      <c r="OLJ1" s="87"/>
      <c r="OLK1" s="87"/>
      <c r="OLL1" s="87"/>
      <c r="OLM1" s="87"/>
      <c r="OLN1" s="87"/>
      <c r="OLO1" s="87"/>
      <c r="OLP1" s="87"/>
      <c r="OLQ1" s="87"/>
      <c r="OLR1" s="87"/>
      <c r="OLS1" s="87"/>
      <c r="OLT1" s="87"/>
      <c r="OLU1" s="87"/>
      <c r="OLV1" s="87"/>
      <c r="OLW1" s="87"/>
      <c r="OLX1" s="87"/>
      <c r="OLY1" s="87"/>
      <c r="OLZ1" s="87"/>
      <c r="OMA1" s="87"/>
      <c r="OMB1" s="87"/>
      <c r="OMC1" s="87"/>
      <c r="OMD1" s="87"/>
      <c r="OME1" s="87"/>
      <c r="OMF1" s="87"/>
      <c r="OMG1" s="87"/>
      <c r="OMH1" s="87"/>
      <c r="OMI1" s="87"/>
      <c r="OMJ1" s="87"/>
      <c r="OMK1" s="87"/>
      <c r="OML1" s="87"/>
      <c r="OMM1" s="87"/>
      <c r="OMN1" s="87"/>
      <c r="OMO1" s="87"/>
      <c r="OMP1" s="87"/>
      <c r="OMQ1" s="87"/>
      <c r="OMR1" s="87"/>
      <c r="OMS1" s="87"/>
      <c r="OMT1" s="87"/>
      <c r="OMU1" s="87"/>
      <c r="OMV1" s="87"/>
      <c r="OMW1" s="87"/>
      <c r="OMX1" s="87"/>
      <c r="OMY1" s="87"/>
      <c r="OMZ1" s="87"/>
      <c r="ONA1" s="87"/>
      <c r="ONB1" s="87"/>
      <c r="ONC1" s="87"/>
      <c r="OND1" s="87"/>
      <c r="ONE1" s="87"/>
      <c r="ONF1" s="87"/>
      <c r="ONG1" s="87"/>
      <c r="ONH1" s="87"/>
      <c r="ONI1" s="87"/>
      <c r="ONJ1" s="87"/>
      <c r="ONK1" s="87"/>
      <c r="ONL1" s="87"/>
      <c r="ONM1" s="87"/>
      <c r="ONN1" s="87"/>
      <c r="ONO1" s="87"/>
      <c r="ONP1" s="87"/>
      <c r="ONQ1" s="87"/>
      <c r="ONR1" s="87"/>
      <c r="ONS1" s="87"/>
      <c r="ONT1" s="87"/>
      <c r="ONU1" s="87"/>
      <c r="ONV1" s="87"/>
      <c r="ONW1" s="87"/>
      <c r="ONX1" s="87"/>
      <c r="ONY1" s="87"/>
      <c r="ONZ1" s="87"/>
      <c r="OOA1" s="87"/>
      <c r="OOB1" s="87"/>
      <c r="OOC1" s="87"/>
      <c r="OOD1" s="87"/>
      <c r="OOE1" s="87"/>
      <c r="OOF1" s="87"/>
      <c r="OOG1" s="87"/>
      <c r="OOH1" s="87"/>
      <c r="OOI1" s="87"/>
      <c r="OOJ1" s="87"/>
      <c r="OOK1" s="87"/>
      <c r="OOL1" s="87"/>
      <c r="OOM1" s="87"/>
      <c r="OON1" s="87"/>
      <c r="OOO1" s="87"/>
      <c r="OOP1" s="87"/>
      <c r="OOQ1" s="87"/>
      <c r="OOR1" s="87"/>
      <c r="OOS1" s="87"/>
      <c r="OOT1" s="87"/>
      <c r="OOU1" s="87"/>
      <c r="OOV1" s="87"/>
      <c r="OOW1" s="87"/>
      <c r="OOX1" s="87"/>
      <c r="OOY1" s="87"/>
      <c r="OOZ1" s="87"/>
      <c r="OPA1" s="87"/>
      <c r="OPB1" s="87"/>
      <c r="OPC1" s="87"/>
      <c r="OPD1" s="87"/>
      <c r="OPE1" s="87"/>
      <c r="OPF1" s="87"/>
      <c r="OPG1" s="87"/>
      <c r="OPH1" s="87"/>
      <c r="OPI1" s="87"/>
      <c r="OPJ1" s="87"/>
      <c r="OPK1" s="87"/>
      <c r="OPL1" s="87"/>
      <c r="OPM1" s="87"/>
      <c r="OPN1" s="87"/>
      <c r="OPO1" s="87"/>
      <c r="OPP1" s="87"/>
      <c r="OPQ1" s="87"/>
      <c r="OPR1" s="87"/>
      <c r="OPS1" s="87"/>
      <c r="OPT1" s="87"/>
      <c r="OPU1" s="87"/>
      <c r="OPV1" s="87"/>
      <c r="OPW1" s="87"/>
      <c r="OPX1" s="87"/>
      <c r="OPY1" s="87"/>
      <c r="OPZ1" s="87"/>
      <c r="OQA1" s="87"/>
      <c r="OQB1" s="87"/>
      <c r="OQC1" s="87"/>
      <c r="OQD1" s="87"/>
      <c r="OQE1" s="87"/>
      <c r="OQF1" s="87"/>
      <c r="OQG1" s="87"/>
      <c r="OQH1" s="87"/>
      <c r="OQI1" s="87"/>
      <c r="OQJ1" s="87"/>
      <c r="OQK1" s="87"/>
      <c r="OQL1" s="87"/>
      <c r="OQM1" s="87"/>
      <c r="OQN1" s="87"/>
      <c r="OQO1" s="87"/>
      <c r="OQP1" s="87"/>
      <c r="OQQ1" s="87"/>
      <c r="OQR1" s="87"/>
      <c r="OQS1" s="87"/>
      <c r="OQT1" s="87"/>
      <c r="OQU1" s="87"/>
      <c r="OQV1" s="87"/>
      <c r="OQW1" s="87"/>
      <c r="OQX1" s="87"/>
      <c r="OQY1" s="87"/>
      <c r="OQZ1" s="87"/>
      <c r="ORA1" s="87"/>
      <c r="ORB1" s="87"/>
      <c r="ORC1" s="87"/>
      <c r="ORD1" s="87"/>
      <c r="ORE1" s="87"/>
      <c r="ORF1" s="87"/>
      <c r="ORG1" s="87"/>
      <c r="ORH1" s="87"/>
      <c r="ORI1" s="87"/>
      <c r="ORJ1" s="87"/>
      <c r="ORK1" s="87"/>
      <c r="ORL1" s="87"/>
      <c r="ORM1" s="87"/>
      <c r="ORN1" s="87"/>
      <c r="ORO1" s="87"/>
      <c r="ORP1" s="87"/>
      <c r="ORQ1" s="87"/>
      <c r="ORR1" s="87"/>
      <c r="ORS1" s="87"/>
      <c r="ORT1" s="87"/>
      <c r="ORU1" s="87"/>
      <c r="ORV1" s="87"/>
      <c r="ORW1" s="87"/>
      <c r="ORX1" s="87"/>
      <c r="ORY1" s="87"/>
      <c r="ORZ1" s="87"/>
      <c r="OSA1" s="87"/>
      <c r="OSB1" s="87"/>
      <c r="OSC1" s="87"/>
      <c r="OSD1" s="87"/>
      <c r="OSE1" s="87"/>
      <c r="OSF1" s="87"/>
      <c r="OSG1" s="87"/>
      <c r="OSH1" s="87"/>
      <c r="OSI1" s="87"/>
      <c r="OSJ1" s="87"/>
      <c r="OSK1" s="87"/>
      <c r="OSL1" s="87"/>
      <c r="OSM1" s="87"/>
      <c r="OSN1" s="87"/>
      <c r="OSO1" s="87"/>
      <c r="OSP1" s="87"/>
      <c r="OSQ1" s="87"/>
      <c r="OSR1" s="87"/>
      <c r="OSS1" s="87"/>
      <c r="OST1" s="87"/>
      <c r="OSU1" s="87"/>
      <c r="OSV1" s="87"/>
      <c r="OSW1" s="87"/>
      <c r="OSX1" s="87"/>
      <c r="OSY1" s="87"/>
      <c r="OSZ1" s="87"/>
      <c r="OTA1" s="87"/>
      <c r="OTB1" s="87"/>
      <c r="OTC1" s="87"/>
      <c r="OTD1" s="87"/>
      <c r="OTE1" s="87"/>
      <c r="OTF1" s="87"/>
      <c r="OTG1" s="87"/>
      <c r="OTH1" s="87"/>
      <c r="OTI1" s="87"/>
      <c r="OTJ1" s="87"/>
      <c r="OTK1" s="87"/>
      <c r="OTL1" s="87"/>
      <c r="OTM1" s="87"/>
      <c r="OTN1" s="87"/>
      <c r="OTO1" s="87"/>
      <c r="OTP1" s="87"/>
      <c r="OTQ1" s="87"/>
      <c r="OTR1" s="87"/>
      <c r="OTS1" s="87"/>
      <c r="OTT1" s="87"/>
      <c r="OTU1" s="87"/>
      <c r="OTV1" s="87"/>
      <c r="OTW1" s="87"/>
      <c r="OTX1" s="87"/>
      <c r="OTY1" s="87"/>
      <c r="OTZ1" s="87"/>
      <c r="OUA1" s="87"/>
      <c r="OUB1" s="87"/>
      <c r="OUC1" s="87"/>
      <c r="OUD1" s="87"/>
      <c r="OUE1" s="87"/>
      <c r="OUF1" s="87"/>
      <c r="OUG1" s="87"/>
      <c r="OUH1" s="87"/>
      <c r="OUI1" s="87"/>
      <c r="OUJ1" s="87"/>
      <c r="OUK1" s="87"/>
      <c r="OUL1" s="87"/>
      <c r="OUM1" s="87"/>
      <c r="OUN1" s="87"/>
      <c r="OUO1" s="87"/>
      <c r="OUP1" s="87"/>
      <c r="OUQ1" s="87"/>
      <c r="OUR1" s="87"/>
      <c r="OUS1" s="87"/>
      <c r="OUT1" s="87"/>
      <c r="OUU1" s="87"/>
      <c r="OUV1" s="87"/>
      <c r="OUW1" s="87"/>
      <c r="OUX1" s="87"/>
      <c r="OUY1" s="87"/>
      <c r="OUZ1" s="87"/>
      <c r="OVA1" s="87"/>
      <c r="OVB1" s="87"/>
      <c r="OVC1" s="87"/>
      <c r="OVD1" s="87"/>
      <c r="OVE1" s="87"/>
      <c r="OVF1" s="87"/>
      <c r="OVG1" s="87"/>
      <c r="OVH1" s="87"/>
      <c r="OVI1" s="87"/>
      <c r="OVJ1" s="87"/>
      <c r="OVK1" s="87"/>
      <c r="OVL1" s="87"/>
      <c r="OVM1" s="87"/>
      <c r="OVN1" s="87"/>
      <c r="OVO1" s="87"/>
      <c r="OVP1" s="87"/>
      <c r="OVQ1" s="87"/>
      <c r="OVR1" s="87"/>
      <c r="OVS1" s="87"/>
      <c r="OVT1" s="87"/>
      <c r="OVU1" s="87"/>
      <c r="OVV1" s="87"/>
      <c r="OVW1" s="87"/>
      <c r="OVX1" s="87"/>
      <c r="OVY1" s="87"/>
      <c r="OVZ1" s="87"/>
      <c r="OWA1" s="87"/>
      <c r="OWB1" s="87"/>
      <c r="OWC1" s="87"/>
      <c r="OWD1" s="87"/>
      <c r="OWE1" s="87"/>
      <c r="OWF1" s="87"/>
      <c r="OWG1" s="87"/>
      <c r="OWH1" s="87"/>
      <c r="OWI1" s="87"/>
      <c r="OWJ1" s="87"/>
      <c r="OWK1" s="87"/>
      <c r="OWL1" s="87"/>
      <c r="OWM1" s="87"/>
      <c r="OWN1" s="87"/>
      <c r="OWO1" s="87"/>
      <c r="OWP1" s="87"/>
      <c r="OWQ1" s="87"/>
      <c r="OWR1" s="87"/>
      <c r="OWS1" s="87"/>
      <c r="OWT1" s="87"/>
      <c r="OWU1" s="87"/>
      <c r="OWV1" s="87"/>
      <c r="OWW1" s="87"/>
      <c r="OWX1" s="87"/>
      <c r="OWY1" s="87"/>
      <c r="OWZ1" s="87"/>
      <c r="OXA1" s="87"/>
      <c r="OXB1" s="87"/>
      <c r="OXC1" s="87"/>
      <c r="OXD1" s="87"/>
      <c r="OXE1" s="87"/>
      <c r="OXF1" s="87"/>
      <c r="OXG1" s="87"/>
      <c r="OXH1" s="87"/>
      <c r="OXI1" s="87"/>
      <c r="OXJ1" s="87"/>
      <c r="OXK1" s="87"/>
      <c r="OXL1" s="87"/>
      <c r="OXM1" s="87"/>
      <c r="OXN1" s="87"/>
      <c r="OXO1" s="87"/>
      <c r="OXP1" s="87"/>
      <c r="OXQ1" s="87"/>
      <c r="OXR1" s="87"/>
      <c r="OXS1" s="87"/>
      <c r="OXT1" s="87"/>
      <c r="OXU1" s="87"/>
      <c r="OXV1" s="87"/>
      <c r="OXW1" s="87"/>
      <c r="OXX1" s="87"/>
      <c r="OXY1" s="87"/>
      <c r="OXZ1" s="87"/>
      <c r="OYA1" s="87"/>
      <c r="OYB1" s="87"/>
      <c r="OYC1" s="87"/>
      <c r="OYD1" s="87"/>
      <c r="OYE1" s="87"/>
      <c r="OYF1" s="87"/>
      <c r="OYG1" s="87"/>
      <c r="OYH1" s="87"/>
      <c r="OYI1" s="87"/>
      <c r="OYJ1" s="87"/>
      <c r="OYK1" s="87"/>
      <c r="OYL1" s="87"/>
      <c r="OYM1" s="87"/>
      <c r="OYN1" s="87"/>
      <c r="OYO1" s="87"/>
      <c r="OYP1" s="87"/>
      <c r="OYQ1" s="87"/>
      <c r="OYR1" s="87"/>
      <c r="OYS1" s="87"/>
      <c r="OYT1" s="87"/>
      <c r="OYU1" s="87"/>
      <c r="OYV1" s="87"/>
      <c r="OYW1" s="87"/>
      <c r="OYX1" s="87"/>
      <c r="OYY1" s="87"/>
      <c r="OYZ1" s="87"/>
      <c r="OZA1" s="87"/>
      <c r="OZB1" s="87"/>
      <c r="OZC1" s="87"/>
      <c r="OZD1" s="87"/>
      <c r="OZE1" s="87"/>
      <c r="OZF1" s="87"/>
      <c r="OZG1" s="87"/>
      <c r="OZH1" s="87"/>
      <c r="OZI1" s="87"/>
      <c r="OZJ1" s="87"/>
      <c r="OZK1" s="87"/>
      <c r="OZL1" s="87"/>
      <c r="OZM1" s="87"/>
      <c r="OZN1" s="87"/>
      <c r="OZO1" s="87"/>
      <c r="OZP1" s="87"/>
      <c r="OZQ1" s="87"/>
      <c r="OZR1" s="87"/>
      <c r="OZS1" s="87"/>
      <c r="OZT1" s="87"/>
      <c r="OZU1" s="87"/>
      <c r="OZV1" s="87"/>
      <c r="OZW1" s="87"/>
      <c r="OZX1" s="87"/>
      <c r="OZY1" s="87"/>
      <c r="OZZ1" s="87"/>
      <c r="PAA1" s="87"/>
      <c r="PAB1" s="87"/>
      <c r="PAC1" s="87"/>
      <c r="PAD1" s="87"/>
      <c r="PAE1" s="87"/>
      <c r="PAF1" s="87"/>
      <c r="PAG1" s="87"/>
      <c r="PAH1" s="87"/>
      <c r="PAI1" s="87"/>
      <c r="PAJ1" s="87"/>
      <c r="PAK1" s="87"/>
      <c r="PAL1" s="87"/>
      <c r="PAM1" s="87"/>
      <c r="PAN1" s="87"/>
      <c r="PAO1" s="87"/>
      <c r="PAP1" s="87"/>
      <c r="PAQ1" s="87"/>
      <c r="PAR1" s="87"/>
      <c r="PAS1" s="87"/>
      <c r="PAT1" s="87"/>
      <c r="PAU1" s="87"/>
      <c r="PAV1" s="87"/>
      <c r="PAW1" s="87"/>
      <c r="PAX1" s="87"/>
      <c r="PAY1" s="87"/>
      <c r="PAZ1" s="87"/>
      <c r="PBA1" s="87"/>
      <c r="PBB1" s="87"/>
      <c r="PBC1" s="87"/>
      <c r="PBD1" s="87"/>
      <c r="PBE1" s="87"/>
      <c r="PBF1" s="87"/>
      <c r="PBG1" s="87"/>
      <c r="PBH1" s="87"/>
      <c r="PBI1" s="87"/>
      <c r="PBJ1" s="87"/>
      <c r="PBK1" s="87"/>
      <c r="PBL1" s="87"/>
      <c r="PBM1" s="87"/>
      <c r="PBN1" s="87"/>
      <c r="PBO1" s="87"/>
      <c r="PBP1" s="87"/>
      <c r="PBQ1" s="87"/>
      <c r="PBR1" s="87"/>
      <c r="PBS1" s="87"/>
      <c r="PBT1" s="87"/>
      <c r="PBU1" s="87"/>
      <c r="PBV1" s="87"/>
      <c r="PBW1" s="87"/>
      <c r="PBX1" s="87"/>
      <c r="PBY1" s="87"/>
      <c r="PBZ1" s="87"/>
      <c r="PCA1" s="87"/>
      <c r="PCB1" s="87"/>
      <c r="PCC1" s="87"/>
      <c r="PCD1" s="87"/>
      <c r="PCE1" s="87"/>
      <c r="PCF1" s="87"/>
      <c r="PCG1" s="87"/>
      <c r="PCH1" s="87"/>
      <c r="PCI1" s="87"/>
      <c r="PCJ1" s="87"/>
      <c r="PCK1" s="87"/>
      <c r="PCL1" s="87"/>
      <c r="PCM1" s="87"/>
      <c r="PCN1" s="87"/>
      <c r="PCO1" s="87"/>
      <c r="PCP1" s="87"/>
      <c r="PCQ1" s="87"/>
      <c r="PCR1" s="87"/>
      <c r="PCS1" s="87"/>
      <c r="PCT1" s="87"/>
      <c r="PCU1" s="87"/>
      <c r="PCV1" s="87"/>
      <c r="PCW1" s="87"/>
      <c r="PCX1" s="87"/>
      <c r="PCY1" s="87"/>
      <c r="PCZ1" s="87"/>
      <c r="PDA1" s="87"/>
      <c r="PDB1" s="87"/>
      <c r="PDC1" s="87"/>
      <c r="PDD1" s="87"/>
      <c r="PDE1" s="87"/>
      <c r="PDF1" s="87"/>
      <c r="PDG1" s="87"/>
      <c r="PDH1" s="87"/>
      <c r="PDI1" s="87"/>
      <c r="PDJ1" s="87"/>
      <c r="PDK1" s="87"/>
      <c r="PDL1" s="87"/>
      <c r="PDM1" s="87"/>
      <c r="PDN1" s="87"/>
      <c r="PDO1" s="87"/>
      <c r="PDP1" s="87"/>
      <c r="PDQ1" s="87"/>
      <c r="PDR1" s="87"/>
      <c r="PDS1" s="87"/>
      <c r="PDT1" s="87"/>
      <c r="PDU1" s="87"/>
      <c r="PDV1" s="87"/>
      <c r="PDW1" s="87"/>
      <c r="PDX1" s="87"/>
      <c r="PDY1" s="87"/>
      <c r="PDZ1" s="87"/>
      <c r="PEA1" s="87"/>
      <c r="PEB1" s="87"/>
      <c r="PEC1" s="87"/>
      <c r="PED1" s="87"/>
      <c r="PEE1" s="87"/>
      <c r="PEF1" s="87"/>
      <c r="PEG1" s="87"/>
      <c r="PEH1" s="87"/>
      <c r="PEI1" s="87"/>
      <c r="PEJ1" s="87"/>
      <c r="PEK1" s="87"/>
      <c r="PEL1" s="87"/>
      <c r="PEM1" s="87"/>
      <c r="PEN1" s="87"/>
      <c r="PEO1" s="87"/>
      <c r="PEP1" s="87"/>
      <c r="PEQ1" s="87"/>
      <c r="PER1" s="87"/>
      <c r="PES1" s="87"/>
      <c r="PET1" s="87"/>
      <c r="PEU1" s="87"/>
      <c r="PEV1" s="87"/>
      <c r="PEW1" s="87"/>
      <c r="PEX1" s="87"/>
      <c r="PEY1" s="87"/>
      <c r="PEZ1" s="87"/>
      <c r="PFA1" s="87"/>
      <c r="PFB1" s="87"/>
      <c r="PFC1" s="87"/>
      <c r="PFD1" s="87"/>
      <c r="PFE1" s="87"/>
      <c r="PFF1" s="87"/>
      <c r="PFG1" s="87"/>
      <c r="PFH1" s="87"/>
      <c r="PFI1" s="87"/>
      <c r="PFJ1" s="87"/>
      <c r="PFK1" s="87"/>
      <c r="PFL1" s="87"/>
      <c r="PFM1" s="87"/>
      <c r="PFN1" s="87"/>
      <c r="PFO1" s="87"/>
      <c r="PFP1" s="87"/>
      <c r="PFQ1" s="87"/>
      <c r="PFR1" s="87"/>
      <c r="PFS1" s="87"/>
      <c r="PFT1" s="87"/>
      <c r="PFU1" s="87"/>
      <c r="PFV1" s="87"/>
      <c r="PFW1" s="87"/>
      <c r="PFX1" s="87"/>
      <c r="PFY1" s="87"/>
      <c r="PFZ1" s="87"/>
      <c r="PGA1" s="87"/>
      <c r="PGB1" s="87"/>
      <c r="PGC1" s="87"/>
      <c r="PGD1" s="87"/>
      <c r="PGE1" s="87"/>
      <c r="PGF1" s="87"/>
      <c r="PGG1" s="87"/>
      <c r="PGH1" s="87"/>
      <c r="PGI1" s="87"/>
      <c r="PGJ1" s="87"/>
      <c r="PGK1" s="87"/>
      <c r="PGL1" s="87"/>
      <c r="PGM1" s="87"/>
      <c r="PGN1" s="87"/>
      <c r="PGO1" s="87"/>
      <c r="PGP1" s="87"/>
      <c r="PGQ1" s="87"/>
      <c r="PGR1" s="87"/>
      <c r="PGS1" s="87"/>
      <c r="PGT1" s="87"/>
      <c r="PGU1" s="87"/>
      <c r="PGV1" s="87"/>
      <c r="PGW1" s="87"/>
      <c r="PGX1" s="87"/>
      <c r="PGY1" s="87"/>
      <c r="PGZ1" s="87"/>
      <c r="PHA1" s="87"/>
      <c r="PHB1" s="87"/>
      <c r="PHC1" s="87"/>
      <c r="PHD1" s="87"/>
      <c r="PHE1" s="87"/>
      <c r="PHF1" s="87"/>
      <c r="PHG1" s="87"/>
      <c r="PHH1" s="87"/>
      <c r="PHI1" s="87"/>
      <c r="PHJ1" s="87"/>
      <c r="PHK1" s="87"/>
      <c r="PHL1" s="87"/>
      <c r="PHM1" s="87"/>
      <c r="PHN1" s="87"/>
      <c r="PHO1" s="87"/>
      <c r="PHP1" s="87"/>
      <c r="PHQ1" s="87"/>
      <c r="PHR1" s="87"/>
      <c r="PHS1" s="87"/>
      <c r="PHT1" s="87"/>
      <c r="PHU1" s="87"/>
      <c r="PHV1" s="87"/>
      <c r="PHW1" s="87"/>
      <c r="PHX1" s="87"/>
      <c r="PHY1" s="87"/>
      <c r="PHZ1" s="87"/>
      <c r="PIA1" s="87"/>
      <c r="PIB1" s="87"/>
      <c r="PIC1" s="87"/>
      <c r="PID1" s="87"/>
      <c r="PIE1" s="87"/>
      <c r="PIF1" s="87"/>
      <c r="PIG1" s="87"/>
      <c r="PIH1" s="87"/>
      <c r="PII1" s="87"/>
      <c r="PIJ1" s="87"/>
      <c r="PIK1" s="87"/>
      <c r="PIL1" s="87"/>
      <c r="PIM1" s="87"/>
      <c r="PIN1" s="87"/>
      <c r="PIO1" s="87"/>
      <c r="PIP1" s="87"/>
      <c r="PIQ1" s="87"/>
      <c r="PIR1" s="87"/>
      <c r="PIS1" s="87"/>
      <c r="PIT1" s="87"/>
      <c r="PIU1" s="87"/>
      <c r="PIV1" s="87"/>
      <c r="PIW1" s="87"/>
      <c r="PIX1" s="87"/>
      <c r="PIY1" s="87"/>
      <c r="PIZ1" s="87"/>
      <c r="PJA1" s="87"/>
      <c r="PJB1" s="87"/>
      <c r="PJC1" s="87"/>
      <c r="PJD1" s="87"/>
      <c r="PJE1" s="87"/>
      <c r="PJF1" s="87"/>
      <c r="PJG1" s="87"/>
      <c r="PJH1" s="87"/>
      <c r="PJI1" s="87"/>
      <c r="PJJ1" s="87"/>
      <c r="PJK1" s="87"/>
      <c r="PJL1" s="87"/>
      <c r="PJM1" s="87"/>
      <c r="PJN1" s="87"/>
      <c r="PJO1" s="87"/>
      <c r="PJP1" s="87"/>
      <c r="PJQ1" s="87"/>
      <c r="PJR1" s="87"/>
      <c r="PJS1" s="87"/>
      <c r="PJT1" s="87"/>
      <c r="PJU1" s="87"/>
      <c r="PJV1" s="87"/>
      <c r="PJW1" s="87"/>
      <c r="PJX1" s="87"/>
      <c r="PJY1" s="87"/>
      <c r="PJZ1" s="87"/>
      <c r="PKA1" s="87"/>
      <c r="PKB1" s="87"/>
      <c r="PKC1" s="87"/>
      <c r="PKD1" s="87"/>
      <c r="PKE1" s="87"/>
      <c r="PKF1" s="87"/>
      <c r="PKG1" s="87"/>
      <c r="PKH1" s="87"/>
      <c r="PKI1" s="87"/>
      <c r="PKJ1" s="87"/>
      <c r="PKK1" s="87"/>
      <c r="PKL1" s="87"/>
      <c r="PKM1" s="87"/>
      <c r="PKN1" s="87"/>
      <c r="PKO1" s="87"/>
      <c r="PKP1" s="87"/>
      <c r="PKQ1" s="87"/>
      <c r="PKR1" s="87"/>
      <c r="PKS1" s="87"/>
      <c r="PKT1" s="87"/>
      <c r="PKU1" s="87"/>
      <c r="PKV1" s="87"/>
      <c r="PKW1" s="87"/>
      <c r="PKX1" s="87"/>
      <c r="PKY1" s="87"/>
      <c r="PKZ1" s="87"/>
      <c r="PLA1" s="87"/>
      <c r="PLB1" s="87"/>
      <c r="PLC1" s="87"/>
      <c r="PLD1" s="87"/>
      <c r="PLE1" s="87"/>
      <c r="PLF1" s="87"/>
      <c r="PLG1" s="87"/>
      <c r="PLH1" s="87"/>
      <c r="PLI1" s="87"/>
      <c r="PLJ1" s="87"/>
      <c r="PLK1" s="87"/>
      <c r="PLL1" s="87"/>
      <c r="PLM1" s="87"/>
      <c r="PLN1" s="87"/>
      <c r="PLO1" s="87"/>
      <c r="PLP1" s="87"/>
      <c r="PLQ1" s="87"/>
      <c r="PLR1" s="87"/>
      <c r="PLS1" s="87"/>
      <c r="PLT1" s="87"/>
      <c r="PLU1" s="87"/>
      <c r="PLV1" s="87"/>
      <c r="PLW1" s="87"/>
      <c r="PLX1" s="87"/>
      <c r="PLY1" s="87"/>
      <c r="PLZ1" s="87"/>
      <c r="PMA1" s="87"/>
      <c r="PMB1" s="87"/>
      <c r="PMC1" s="87"/>
      <c r="PMD1" s="87"/>
      <c r="PME1" s="87"/>
      <c r="PMF1" s="87"/>
      <c r="PMG1" s="87"/>
      <c r="PMH1" s="87"/>
      <c r="PMI1" s="87"/>
      <c r="PMJ1" s="87"/>
      <c r="PMK1" s="87"/>
      <c r="PML1" s="87"/>
      <c r="PMM1" s="87"/>
      <c r="PMN1" s="87"/>
      <c r="PMO1" s="87"/>
      <c r="PMP1" s="87"/>
      <c r="PMQ1" s="87"/>
      <c r="PMR1" s="87"/>
      <c r="PMS1" s="87"/>
      <c r="PMT1" s="87"/>
      <c r="PMU1" s="87"/>
      <c r="PMV1" s="87"/>
      <c r="PMW1" s="87"/>
      <c r="PMX1" s="87"/>
      <c r="PMY1" s="87"/>
      <c r="PMZ1" s="87"/>
      <c r="PNA1" s="87"/>
      <c r="PNB1" s="87"/>
      <c r="PNC1" s="87"/>
      <c r="PND1" s="87"/>
      <c r="PNE1" s="87"/>
      <c r="PNF1" s="87"/>
      <c r="PNG1" s="87"/>
      <c r="PNH1" s="87"/>
      <c r="PNI1" s="87"/>
      <c r="PNJ1" s="87"/>
      <c r="PNK1" s="87"/>
      <c r="PNL1" s="87"/>
      <c r="PNM1" s="87"/>
      <c r="PNN1" s="87"/>
      <c r="PNO1" s="87"/>
      <c r="PNP1" s="87"/>
      <c r="PNQ1" s="87"/>
      <c r="PNR1" s="87"/>
      <c r="PNS1" s="87"/>
      <c r="PNT1" s="87"/>
      <c r="PNU1" s="87"/>
      <c r="PNV1" s="87"/>
      <c r="PNW1" s="87"/>
      <c r="PNX1" s="87"/>
      <c r="PNY1" s="87"/>
      <c r="PNZ1" s="87"/>
      <c r="POA1" s="87"/>
      <c r="POB1" s="87"/>
      <c r="POC1" s="87"/>
      <c r="POD1" s="87"/>
      <c r="POE1" s="87"/>
      <c r="POF1" s="87"/>
      <c r="POG1" s="87"/>
      <c r="POH1" s="87"/>
      <c r="POI1" s="87"/>
      <c r="POJ1" s="87"/>
      <c r="POK1" s="87"/>
      <c r="POL1" s="87"/>
      <c r="POM1" s="87"/>
      <c r="PON1" s="87"/>
      <c r="POO1" s="87"/>
      <c r="POP1" s="87"/>
      <c r="POQ1" s="87"/>
      <c r="POR1" s="87"/>
      <c r="POS1" s="87"/>
      <c r="POT1" s="87"/>
      <c r="POU1" s="87"/>
      <c r="POV1" s="87"/>
      <c r="POW1" s="87"/>
      <c r="POX1" s="87"/>
      <c r="POY1" s="87"/>
      <c r="POZ1" s="87"/>
      <c r="PPA1" s="87"/>
      <c r="PPB1" s="87"/>
      <c r="PPC1" s="87"/>
      <c r="PPD1" s="87"/>
      <c r="PPE1" s="87"/>
      <c r="PPF1" s="87"/>
      <c r="PPG1" s="87"/>
      <c r="PPH1" s="87"/>
      <c r="PPI1" s="87"/>
      <c r="PPJ1" s="87"/>
      <c r="PPK1" s="87"/>
      <c r="PPL1" s="87"/>
      <c r="PPM1" s="87"/>
      <c r="PPN1" s="87"/>
      <c r="PPO1" s="87"/>
      <c r="PPP1" s="87"/>
      <c r="PPQ1" s="87"/>
      <c r="PPR1" s="87"/>
      <c r="PPS1" s="87"/>
      <c r="PPT1" s="87"/>
      <c r="PPU1" s="87"/>
      <c r="PPV1" s="87"/>
      <c r="PPW1" s="87"/>
      <c r="PPX1" s="87"/>
      <c r="PPY1" s="87"/>
      <c r="PPZ1" s="87"/>
      <c r="PQA1" s="87"/>
      <c r="PQB1" s="87"/>
      <c r="PQC1" s="87"/>
      <c r="PQD1" s="87"/>
      <c r="PQE1" s="87"/>
      <c r="PQF1" s="87"/>
      <c r="PQG1" s="87"/>
      <c r="PQH1" s="87"/>
      <c r="PQI1" s="87"/>
      <c r="PQJ1" s="87"/>
      <c r="PQK1" s="87"/>
      <c r="PQL1" s="87"/>
      <c r="PQM1" s="87"/>
      <c r="PQN1" s="87"/>
      <c r="PQO1" s="87"/>
      <c r="PQP1" s="87"/>
      <c r="PQQ1" s="87"/>
      <c r="PQR1" s="87"/>
      <c r="PQS1" s="87"/>
      <c r="PQT1" s="87"/>
      <c r="PQU1" s="87"/>
      <c r="PQV1" s="87"/>
      <c r="PQW1" s="87"/>
      <c r="PQX1" s="87"/>
      <c r="PQY1" s="87"/>
      <c r="PQZ1" s="87"/>
      <c r="PRA1" s="87"/>
      <c r="PRB1" s="87"/>
      <c r="PRC1" s="87"/>
      <c r="PRD1" s="87"/>
      <c r="PRE1" s="87"/>
      <c r="PRF1" s="87"/>
      <c r="PRG1" s="87"/>
      <c r="PRH1" s="87"/>
      <c r="PRI1" s="87"/>
      <c r="PRJ1" s="87"/>
      <c r="PRK1" s="87"/>
      <c r="PRL1" s="87"/>
      <c r="PRM1" s="87"/>
      <c r="PRN1" s="87"/>
      <c r="PRO1" s="87"/>
      <c r="PRP1" s="87"/>
      <c r="PRQ1" s="87"/>
      <c r="PRR1" s="87"/>
      <c r="PRS1" s="87"/>
      <c r="PRT1" s="87"/>
      <c r="PRU1" s="87"/>
      <c r="PRV1" s="87"/>
      <c r="PRW1" s="87"/>
      <c r="PRX1" s="87"/>
      <c r="PRY1" s="87"/>
      <c r="PRZ1" s="87"/>
      <c r="PSA1" s="87"/>
      <c r="PSB1" s="87"/>
      <c r="PSC1" s="87"/>
      <c r="PSD1" s="87"/>
      <c r="PSE1" s="87"/>
      <c r="PSF1" s="87"/>
      <c r="PSG1" s="87"/>
      <c r="PSH1" s="87"/>
      <c r="PSI1" s="87"/>
      <c r="PSJ1" s="87"/>
      <c r="PSK1" s="87"/>
      <c r="PSL1" s="87"/>
      <c r="PSM1" s="87"/>
      <c r="PSN1" s="87"/>
      <c r="PSO1" s="87"/>
      <c r="PSP1" s="87"/>
      <c r="PSQ1" s="87"/>
      <c r="PSR1" s="87"/>
      <c r="PSS1" s="87"/>
      <c r="PST1" s="87"/>
      <c r="PSU1" s="87"/>
      <c r="PSV1" s="87"/>
      <c r="PSW1" s="87"/>
      <c r="PSX1" s="87"/>
      <c r="PSY1" s="87"/>
      <c r="PSZ1" s="87"/>
      <c r="PTA1" s="87"/>
      <c r="PTB1" s="87"/>
      <c r="PTC1" s="87"/>
      <c r="PTD1" s="87"/>
      <c r="PTE1" s="87"/>
      <c r="PTF1" s="87"/>
      <c r="PTG1" s="87"/>
      <c r="PTH1" s="87"/>
      <c r="PTI1" s="87"/>
      <c r="PTJ1" s="87"/>
      <c r="PTK1" s="87"/>
      <c r="PTL1" s="87"/>
      <c r="PTM1" s="87"/>
      <c r="PTN1" s="87"/>
      <c r="PTO1" s="87"/>
      <c r="PTP1" s="87"/>
      <c r="PTQ1" s="87"/>
      <c r="PTR1" s="87"/>
      <c r="PTS1" s="87"/>
      <c r="PTT1" s="87"/>
      <c r="PTU1" s="87"/>
      <c r="PTV1" s="87"/>
      <c r="PTW1" s="87"/>
      <c r="PTX1" s="87"/>
      <c r="PTY1" s="87"/>
      <c r="PTZ1" s="87"/>
      <c r="PUA1" s="87"/>
      <c r="PUB1" s="87"/>
      <c r="PUC1" s="87"/>
      <c r="PUD1" s="87"/>
      <c r="PUE1" s="87"/>
      <c r="PUF1" s="87"/>
      <c r="PUG1" s="87"/>
      <c r="PUH1" s="87"/>
      <c r="PUI1" s="87"/>
      <c r="PUJ1" s="87"/>
      <c r="PUK1" s="87"/>
      <c r="PUL1" s="87"/>
      <c r="PUM1" s="87"/>
      <c r="PUN1" s="87"/>
      <c r="PUO1" s="87"/>
      <c r="PUP1" s="87"/>
      <c r="PUQ1" s="87"/>
      <c r="PUR1" s="87"/>
      <c r="PUS1" s="87"/>
      <c r="PUT1" s="87"/>
      <c r="PUU1" s="87"/>
      <c r="PUV1" s="87"/>
      <c r="PUW1" s="87"/>
      <c r="PUX1" s="87"/>
      <c r="PUY1" s="87"/>
      <c r="PUZ1" s="87"/>
      <c r="PVA1" s="87"/>
      <c r="PVB1" s="87"/>
      <c r="PVC1" s="87"/>
      <c r="PVD1" s="87"/>
      <c r="PVE1" s="87"/>
      <c r="PVF1" s="87"/>
      <c r="PVG1" s="87"/>
      <c r="PVH1" s="87"/>
      <c r="PVI1" s="87"/>
      <c r="PVJ1" s="87"/>
      <c r="PVK1" s="87"/>
      <c r="PVL1" s="87"/>
      <c r="PVM1" s="87"/>
      <c r="PVN1" s="87"/>
      <c r="PVO1" s="87"/>
      <c r="PVP1" s="87"/>
      <c r="PVQ1" s="87"/>
      <c r="PVR1" s="87"/>
      <c r="PVS1" s="87"/>
      <c r="PVT1" s="87"/>
      <c r="PVU1" s="87"/>
      <c r="PVV1" s="87"/>
      <c r="PVW1" s="87"/>
      <c r="PVX1" s="87"/>
      <c r="PVY1" s="87"/>
      <c r="PVZ1" s="87"/>
      <c r="PWA1" s="87"/>
      <c r="PWB1" s="87"/>
      <c r="PWC1" s="87"/>
      <c r="PWD1" s="87"/>
      <c r="PWE1" s="87"/>
      <c r="PWF1" s="87"/>
      <c r="PWG1" s="87"/>
      <c r="PWH1" s="87"/>
      <c r="PWI1" s="87"/>
      <c r="PWJ1" s="87"/>
      <c r="PWK1" s="87"/>
      <c r="PWL1" s="87"/>
      <c r="PWM1" s="87"/>
      <c r="PWN1" s="87"/>
      <c r="PWO1" s="87"/>
      <c r="PWP1" s="87"/>
      <c r="PWQ1" s="87"/>
      <c r="PWR1" s="87"/>
      <c r="PWS1" s="87"/>
      <c r="PWT1" s="87"/>
      <c r="PWU1" s="87"/>
      <c r="PWV1" s="87"/>
      <c r="PWW1" s="87"/>
      <c r="PWX1" s="87"/>
      <c r="PWY1" s="87"/>
      <c r="PWZ1" s="87"/>
      <c r="PXA1" s="87"/>
      <c r="PXB1" s="87"/>
      <c r="PXC1" s="87"/>
      <c r="PXD1" s="87"/>
      <c r="PXE1" s="87"/>
      <c r="PXF1" s="87"/>
      <c r="PXG1" s="87"/>
      <c r="PXH1" s="87"/>
      <c r="PXI1" s="87"/>
      <c r="PXJ1" s="87"/>
      <c r="PXK1" s="87"/>
      <c r="PXL1" s="87"/>
      <c r="PXM1" s="87"/>
      <c r="PXN1" s="87"/>
      <c r="PXO1" s="87"/>
      <c r="PXP1" s="87"/>
      <c r="PXQ1" s="87"/>
      <c r="PXR1" s="87"/>
      <c r="PXS1" s="87"/>
      <c r="PXT1" s="87"/>
      <c r="PXU1" s="87"/>
      <c r="PXV1" s="87"/>
      <c r="PXW1" s="87"/>
      <c r="PXX1" s="87"/>
      <c r="PXY1" s="87"/>
      <c r="PXZ1" s="87"/>
      <c r="PYA1" s="87"/>
      <c r="PYB1" s="87"/>
      <c r="PYC1" s="87"/>
      <c r="PYD1" s="87"/>
      <c r="PYE1" s="87"/>
      <c r="PYF1" s="87"/>
      <c r="PYG1" s="87"/>
      <c r="PYH1" s="87"/>
      <c r="PYI1" s="87"/>
      <c r="PYJ1" s="87"/>
      <c r="PYK1" s="87"/>
      <c r="PYL1" s="87"/>
      <c r="PYM1" s="87"/>
      <c r="PYN1" s="87"/>
      <c r="PYO1" s="87"/>
      <c r="PYP1" s="87"/>
      <c r="PYQ1" s="87"/>
      <c r="PYR1" s="87"/>
      <c r="PYS1" s="87"/>
      <c r="PYT1" s="87"/>
      <c r="PYU1" s="87"/>
      <c r="PYV1" s="87"/>
      <c r="PYW1" s="87"/>
      <c r="PYX1" s="87"/>
      <c r="PYY1" s="87"/>
      <c r="PYZ1" s="87"/>
      <c r="PZA1" s="87"/>
      <c r="PZB1" s="87"/>
      <c r="PZC1" s="87"/>
      <c r="PZD1" s="87"/>
      <c r="PZE1" s="87"/>
      <c r="PZF1" s="87"/>
      <c r="PZG1" s="87"/>
      <c r="PZH1" s="87"/>
      <c r="PZI1" s="87"/>
      <c r="PZJ1" s="87"/>
      <c r="PZK1" s="87"/>
      <c r="PZL1" s="87"/>
      <c r="PZM1" s="87"/>
      <c r="PZN1" s="87"/>
      <c r="PZO1" s="87"/>
      <c r="PZP1" s="87"/>
      <c r="PZQ1" s="87"/>
      <c r="PZR1" s="87"/>
      <c r="PZS1" s="87"/>
      <c r="PZT1" s="87"/>
      <c r="PZU1" s="87"/>
      <c r="PZV1" s="87"/>
      <c r="PZW1" s="87"/>
      <c r="PZX1" s="87"/>
      <c r="PZY1" s="87"/>
      <c r="PZZ1" s="87"/>
      <c r="QAA1" s="87"/>
      <c r="QAB1" s="87"/>
      <c r="QAC1" s="87"/>
      <c r="QAD1" s="87"/>
      <c r="QAE1" s="87"/>
      <c r="QAF1" s="87"/>
      <c r="QAG1" s="87"/>
      <c r="QAH1" s="87"/>
      <c r="QAI1" s="87"/>
      <c r="QAJ1" s="87"/>
      <c r="QAK1" s="87"/>
      <c r="QAL1" s="87"/>
      <c r="QAM1" s="87"/>
      <c r="QAN1" s="87"/>
      <c r="QAO1" s="87"/>
      <c r="QAP1" s="87"/>
      <c r="QAQ1" s="87"/>
      <c r="QAR1" s="87"/>
      <c r="QAS1" s="87"/>
      <c r="QAT1" s="87"/>
      <c r="QAU1" s="87"/>
      <c r="QAV1" s="87"/>
      <c r="QAW1" s="87"/>
      <c r="QAX1" s="87"/>
      <c r="QAY1" s="87"/>
      <c r="QAZ1" s="87"/>
      <c r="QBA1" s="87"/>
      <c r="QBB1" s="87"/>
      <c r="QBC1" s="87"/>
      <c r="QBD1" s="87"/>
      <c r="QBE1" s="87"/>
      <c r="QBF1" s="87"/>
      <c r="QBG1" s="87"/>
      <c r="QBH1" s="87"/>
      <c r="QBI1" s="87"/>
      <c r="QBJ1" s="87"/>
      <c r="QBK1" s="87"/>
      <c r="QBL1" s="87"/>
      <c r="QBM1" s="87"/>
      <c r="QBN1" s="87"/>
      <c r="QBO1" s="87"/>
      <c r="QBP1" s="87"/>
      <c r="QBQ1" s="87"/>
      <c r="QBR1" s="87"/>
      <c r="QBS1" s="87"/>
      <c r="QBT1" s="87"/>
      <c r="QBU1" s="87"/>
      <c r="QBV1" s="87"/>
      <c r="QBW1" s="87"/>
      <c r="QBX1" s="87"/>
      <c r="QBY1" s="87"/>
      <c r="QBZ1" s="87"/>
      <c r="QCA1" s="87"/>
      <c r="QCB1" s="87"/>
      <c r="QCC1" s="87"/>
      <c r="QCD1" s="87"/>
      <c r="QCE1" s="87"/>
      <c r="QCF1" s="87"/>
      <c r="QCG1" s="87"/>
      <c r="QCH1" s="87"/>
      <c r="QCI1" s="87"/>
      <c r="QCJ1" s="87"/>
      <c r="QCK1" s="87"/>
      <c r="QCL1" s="87"/>
      <c r="QCM1" s="87"/>
      <c r="QCN1" s="87"/>
      <c r="QCO1" s="87"/>
      <c r="QCP1" s="87"/>
      <c r="QCQ1" s="87"/>
      <c r="QCR1" s="87"/>
      <c r="QCS1" s="87"/>
      <c r="QCT1" s="87"/>
      <c r="QCU1" s="87"/>
      <c r="QCV1" s="87"/>
      <c r="QCW1" s="87"/>
      <c r="QCX1" s="87"/>
      <c r="QCY1" s="87"/>
      <c r="QCZ1" s="87"/>
      <c r="QDA1" s="87"/>
      <c r="QDB1" s="87"/>
      <c r="QDC1" s="87"/>
      <c r="QDD1" s="87"/>
      <c r="QDE1" s="87"/>
      <c r="QDF1" s="87"/>
      <c r="QDG1" s="87"/>
      <c r="QDH1" s="87"/>
      <c r="QDI1" s="87"/>
      <c r="QDJ1" s="87"/>
      <c r="QDK1" s="87"/>
      <c r="QDL1" s="87"/>
      <c r="QDM1" s="87"/>
      <c r="QDN1" s="87"/>
      <c r="QDO1" s="87"/>
      <c r="QDP1" s="87"/>
      <c r="QDQ1" s="87"/>
      <c r="QDR1" s="87"/>
      <c r="QDS1" s="87"/>
      <c r="QDT1" s="87"/>
      <c r="QDU1" s="87"/>
      <c r="QDV1" s="87"/>
      <c r="QDW1" s="87"/>
      <c r="QDX1" s="87"/>
      <c r="QDY1" s="87"/>
      <c r="QDZ1" s="87"/>
      <c r="QEA1" s="87"/>
      <c r="QEB1" s="87"/>
      <c r="QEC1" s="87"/>
      <c r="QED1" s="87"/>
      <c r="QEE1" s="87"/>
      <c r="QEF1" s="87"/>
      <c r="QEG1" s="87"/>
      <c r="QEH1" s="87"/>
      <c r="QEI1" s="87"/>
      <c r="QEJ1" s="87"/>
      <c r="QEK1" s="87"/>
      <c r="QEL1" s="87"/>
      <c r="QEM1" s="87"/>
      <c r="QEN1" s="87"/>
      <c r="QEO1" s="87"/>
      <c r="QEP1" s="87"/>
      <c r="QEQ1" s="87"/>
      <c r="QER1" s="87"/>
      <c r="QES1" s="87"/>
      <c r="QET1" s="87"/>
      <c r="QEU1" s="87"/>
      <c r="QEV1" s="87"/>
      <c r="QEW1" s="87"/>
      <c r="QEX1" s="87"/>
      <c r="QEY1" s="87"/>
      <c r="QEZ1" s="87"/>
      <c r="QFA1" s="87"/>
      <c r="QFB1" s="87"/>
      <c r="QFC1" s="87"/>
      <c r="QFD1" s="87"/>
      <c r="QFE1" s="87"/>
      <c r="QFF1" s="87"/>
      <c r="QFG1" s="87"/>
      <c r="QFH1" s="87"/>
      <c r="QFI1" s="87"/>
      <c r="QFJ1" s="87"/>
      <c r="QFK1" s="87"/>
      <c r="QFL1" s="87"/>
      <c r="QFM1" s="87"/>
      <c r="QFN1" s="87"/>
      <c r="QFO1" s="87"/>
      <c r="QFP1" s="87"/>
      <c r="QFQ1" s="87"/>
      <c r="QFR1" s="87"/>
      <c r="QFS1" s="87"/>
      <c r="QFT1" s="87"/>
      <c r="QFU1" s="87"/>
      <c r="QFV1" s="87"/>
      <c r="QFW1" s="87"/>
      <c r="QFX1" s="87"/>
      <c r="QFY1" s="87"/>
      <c r="QFZ1" s="87"/>
      <c r="QGA1" s="87"/>
      <c r="QGB1" s="87"/>
      <c r="QGC1" s="87"/>
      <c r="QGD1" s="87"/>
      <c r="QGE1" s="87"/>
      <c r="QGF1" s="87"/>
      <c r="QGG1" s="87"/>
      <c r="QGH1" s="87"/>
      <c r="QGI1" s="87"/>
      <c r="QGJ1" s="87"/>
      <c r="QGK1" s="87"/>
      <c r="QGL1" s="87"/>
      <c r="QGM1" s="87"/>
      <c r="QGN1" s="87"/>
      <c r="QGO1" s="87"/>
      <c r="QGP1" s="87"/>
      <c r="QGQ1" s="87"/>
      <c r="QGR1" s="87"/>
      <c r="QGS1" s="87"/>
      <c r="QGT1" s="87"/>
      <c r="QGU1" s="87"/>
      <c r="QGV1" s="87"/>
      <c r="QGW1" s="87"/>
      <c r="QGX1" s="87"/>
      <c r="QGY1" s="87"/>
      <c r="QGZ1" s="87"/>
      <c r="QHA1" s="87"/>
      <c r="QHB1" s="87"/>
      <c r="QHC1" s="87"/>
      <c r="QHD1" s="87"/>
      <c r="QHE1" s="87"/>
      <c r="QHF1" s="87"/>
      <c r="QHG1" s="87"/>
      <c r="QHH1" s="87"/>
      <c r="QHI1" s="87"/>
      <c r="QHJ1" s="87"/>
      <c r="QHK1" s="87"/>
      <c r="QHL1" s="87"/>
      <c r="QHM1" s="87"/>
      <c r="QHN1" s="87"/>
      <c r="QHO1" s="87"/>
      <c r="QHP1" s="87"/>
      <c r="QHQ1" s="87"/>
      <c r="QHR1" s="87"/>
      <c r="QHS1" s="87"/>
      <c r="QHT1" s="87"/>
      <c r="QHU1" s="87"/>
      <c r="QHV1" s="87"/>
      <c r="QHW1" s="87"/>
      <c r="QHX1" s="87"/>
      <c r="QHY1" s="87"/>
      <c r="QHZ1" s="87"/>
      <c r="QIA1" s="87"/>
      <c r="QIB1" s="87"/>
      <c r="QIC1" s="87"/>
      <c r="QID1" s="87"/>
      <c r="QIE1" s="87"/>
      <c r="QIF1" s="87"/>
      <c r="QIG1" s="87"/>
      <c r="QIH1" s="87"/>
      <c r="QII1" s="87"/>
      <c r="QIJ1" s="87"/>
      <c r="QIK1" s="87"/>
      <c r="QIL1" s="87"/>
      <c r="QIM1" s="87"/>
      <c r="QIN1" s="87"/>
      <c r="QIO1" s="87"/>
      <c r="QIP1" s="87"/>
      <c r="QIQ1" s="87"/>
      <c r="QIR1" s="87"/>
      <c r="QIS1" s="87"/>
      <c r="QIT1" s="87"/>
      <c r="QIU1" s="87"/>
      <c r="QIV1" s="87"/>
      <c r="QIW1" s="87"/>
      <c r="QIX1" s="87"/>
      <c r="QIY1" s="87"/>
      <c r="QIZ1" s="87"/>
      <c r="QJA1" s="87"/>
      <c r="QJB1" s="87"/>
      <c r="QJC1" s="87"/>
      <c r="QJD1" s="87"/>
      <c r="QJE1" s="87"/>
      <c r="QJF1" s="87"/>
      <c r="QJG1" s="87"/>
      <c r="QJH1" s="87"/>
      <c r="QJI1" s="87"/>
      <c r="QJJ1" s="87"/>
      <c r="QJK1" s="87"/>
      <c r="QJL1" s="87"/>
      <c r="QJM1" s="87"/>
      <c r="QJN1" s="87"/>
      <c r="QJO1" s="87"/>
      <c r="QJP1" s="87"/>
      <c r="QJQ1" s="87"/>
      <c r="QJR1" s="87"/>
      <c r="QJS1" s="87"/>
      <c r="QJT1" s="87"/>
      <c r="QJU1" s="87"/>
      <c r="QJV1" s="87"/>
      <c r="QJW1" s="87"/>
      <c r="QJX1" s="87"/>
      <c r="QJY1" s="87"/>
      <c r="QJZ1" s="87"/>
      <c r="QKA1" s="87"/>
      <c r="QKB1" s="87"/>
      <c r="QKC1" s="87"/>
      <c r="QKD1" s="87"/>
      <c r="QKE1" s="87"/>
      <c r="QKF1" s="87"/>
      <c r="QKG1" s="87"/>
      <c r="QKH1" s="87"/>
      <c r="QKI1" s="87"/>
      <c r="QKJ1" s="87"/>
      <c r="QKK1" s="87"/>
      <c r="QKL1" s="87"/>
      <c r="QKM1" s="87"/>
      <c r="QKN1" s="87"/>
      <c r="QKO1" s="87"/>
      <c r="QKP1" s="87"/>
      <c r="QKQ1" s="87"/>
      <c r="QKR1" s="87"/>
      <c r="QKS1" s="87"/>
      <c r="QKT1" s="87"/>
      <c r="QKU1" s="87"/>
      <c r="QKV1" s="87"/>
      <c r="QKW1" s="87"/>
      <c r="QKX1" s="87"/>
      <c r="QKY1" s="87"/>
      <c r="QKZ1" s="87"/>
      <c r="QLA1" s="87"/>
      <c r="QLB1" s="87"/>
      <c r="QLC1" s="87"/>
      <c r="QLD1" s="87"/>
      <c r="QLE1" s="87"/>
      <c r="QLF1" s="87"/>
      <c r="QLG1" s="87"/>
      <c r="QLH1" s="87"/>
      <c r="QLI1" s="87"/>
      <c r="QLJ1" s="87"/>
      <c r="QLK1" s="87"/>
      <c r="QLL1" s="87"/>
      <c r="QLM1" s="87"/>
      <c r="QLN1" s="87"/>
      <c r="QLO1" s="87"/>
      <c r="QLP1" s="87"/>
      <c r="QLQ1" s="87"/>
      <c r="QLR1" s="87"/>
      <c r="QLS1" s="87"/>
      <c r="QLT1" s="87"/>
      <c r="QLU1" s="87"/>
      <c r="QLV1" s="87"/>
      <c r="QLW1" s="87"/>
      <c r="QLX1" s="87"/>
      <c r="QLY1" s="87"/>
      <c r="QLZ1" s="87"/>
      <c r="QMA1" s="87"/>
      <c r="QMB1" s="87"/>
      <c r="QMC1" s="87"/>
      <c r="QMD1" s="87"/>
      <c r="QME1" s="87"/>
      <c r="QMF1" s="87"/>
      <c r="QMG1" s="87"/>
      <c r="QMH1" s="87"/>
      <c r="QMI1" s="87"/>
      <c r="QMJ1" s="87"/>
      <c r="QMK1" s="87"/>
      <c r="QML1" s="87"/>
      <c r="QMM1" s="87"/>
      <c r="QMN1" s="87"/>
      <c r="QMO1" s="87"/>
      <c r="QMP1" s="87"/>
      <c r="QMQ1" s="87"/>
      <c r="QMR1" s="87"/>
      <c r="QMS1" s="87"/>
      <c r="QMT1" s="87"/>
      <c r="QMU1" s="87"/>
      <c r="QMV1" s="87"/>
      <c r="QMW1" s="87"/>
      <c r="QMX1" s="87"/>
      <c r="QMY1" s="87"/>
      <c r="QMZ1" s="87"/>
      <c r="QNA1" s="87"/>
      <c r="QNB1" s="87"/>
      <c r="QNC1" s="87"/>
      <c r="QND1" s="87"/>
      <c r="QNE1" s="87"/>
      <c r="QNF1" s="87"/>
      <c r="QNG1" s="87"/>
      <c r="QNH1" s="87"/>
      <c r="QNI1" s="87"/>
      <c r="QNJ1" s="87"/>
      <c r="QNK1" s="87"/>
      <c r="QNL1" s="87"/>
      <c r="QNM1" s="87"/>
      <c r="QNN1" s="87"/>
      <c r="QNO1" s="87"/>
      <c r="QNP1" s="87"/>
      <c r="QNQ1" s="87"/>
      <c r="QNR1" s="87"/>
      <c r="QNS1" s="87"/>
      <c r="QNT1" s="87"/>
      <c r="QNU1" s="87"/>
      <c r="QNV1" s="87"/>
      <c r="QNW1" s="87"/>
      <c r="QNX1" s="87"/>
      <c r="QNY1" s="87"/>
      <c r="QNZ1" s="87"/>
      <c r="QOA1" s="87"/>
      <c r="QOB1" s="87"/>
      <c r="QOC1" s="87"/>
      <c r="QOD1" s="87"/>
      <c r="QOE1" s="87"/>
      <c r="QOF1" s="87"/>
      <c r="QOG1" s="87"/>
      <c r="QOH1" s="87"/>
      <c r="QOI1" s="87"/>
      <c r="QOJ1" s="87"/>
      <c r="QOK1" s="87"/>
      <c r="QOL1" s="87"/>
      <c r="QOM1" s="87"/>
      <c r="QON1" s="87"/>
      <c r="QOO1" s="87"/>
      <c r="QOP1" s="87"/>
      <c r="QOQ1" s="87"/>
      <c r="QOR1" s="87"/>
      <c r="QOS1" s="87"/>
      <c r="QOT1" s="87"/>
      <c r="QOU1" s="87"/>
      <c r="QOV1" s="87"/>
      <c r="QOW1" s="87"/>
      <c r="QOX1" s="87"/>
      <c r="QOY1" s="87"/>
      <c r="QOZ1" s="87"/>
      <c r="QPA1" s="87"/>
      <c r="QPB1" s="87"/>
      <c r="QPC1" s="87"/>
      <c r="QPD1" s="87"/>
      <c r="QPE1" s="87"/>
      <c r="QPF1" s="87"/>
      <c r="QPG1" s="87"/>
      <c r="QPH1" s="87"/>
      <c r="QPI1" s="87"/>
      <c r="QPJ1" s="87"/>
      <c r="QPK1" s="87"/>
      <c r="QPL1" s="87"/>
      <c r="QPM1" s="87"/>
      <c r="QPN1" s="87"/>
      <c r="QPO1" s="87"/>
      <c r="QPP1" s="87"/>
      <c r="QPQ1" s="87"/>
      <c r="QPR1" s="87"/>
      <c r="QPS1" s="87"/>
      <c r="QPT1" s="87"/>
      <c r="QPU1" s="87"/>
      <c r="QPV1" s="87"/>
      <c r="QPW1" s="87"/>
      <c r="QPX1" s="87"/>
      <c r="QPY1" s="87"/>
      <c r="QPZ1" s="87"/>
      <c r="QQA1" s="87"/>
      <c r="QQB1" s="87"/>
      <c r="QQC1" s="87"/>
      <c r="QQD1" s="87"/>
      <c r="QQE1" s="87"/>
      <c r="QQF1" s="87"/>
      <c r="QQG1" s="87"/>
      <c r="QQH1" s="87"/>
      <c r="QQI1" s="87"/>
      <c r="QQJ1" s="87"/>
      <c r="QQK1" s="87"/>
      <c r="QQL1" s="87"/>
      <c r="QQM1" s="87"/>
      <c r="QQN1" s="87"/>
      <c r="QQO1" s="87"/>
      <c r="QQP1" s="87"/>
      <c r="QQQ1" s="87"/>
      <c r="QQR1" s="87"/>
      <c r="QQS1" s="87"/>
      <c r="QQT1" s="87"/>
      <c r="QQU1" s="87"/>
      <c r="QQV1" s="87"/>
      <c r="QQW1" s="87"/>
      <c r="QQX1" s="87"/>
      <c r="QQY1" s="87"/>
      <c r="QQZ1" s="87"/>
      <c r="QRA1" s="87"/>
      <c r="QRB1" s="87"/>
      <c r="QRC1" s="87"/>
      <c r="QRD1" s="87"/>
      <c r="QRE1" s="87"/>
      <c r="QRF1" s="87"/>
      <c r="QRG1" s="87"/>
      <c r="QRH1" s="87"/>
      <c r="QRI1" s="87"/>
      <c r="QRJ1" s="87"/>
      <c r="QRK1" s="87"/>
      <c r="QRL1" s="87"/>
      <c r="QRM1" s="87"/>
      <c r="QRN1" s="87"/>
      <c r="QRO1" s="87"/>
      <c r="QRP1" s="87"/>
      <c r="QRQ1" s="87"/>
      <c r="QRR1" s="87"/>
      <c r="QRS1" s="87"/>
      <c r="QRT1" s="87"/>
      <c r="QRU1" s="87"/>
      <c r="QRV1" s="87"/>
      <c r="QRW1" s="87"/>
      <c r="QRX1" s="87"/>
      <c r="QRY1" s="87"/>
      <c r="QRZ1" s="87"/>
      <c r="QSA1" s="87"/>
      <c r="QSB1" s="87"/>
      <c r="QSC1" s="87"/>
      <c r="QSD1" s="87"/>
      <c r="QSE1" s="87"/>
      <c r="QSF1" s="87"/>
      <c r="QSG1" s="87"/>
      <c r="QSH1" s="87"/>
      <c r="QSI1" s="87"/>
      <c r="QSJ1" s="87"/>
      <c r="QSK1" s="87"/>
      <c r="QSL1" s="87"/>
      <c r="QSM1" s="87"/>
      <c r="QSN1" s="87"/>
      <c r="QSO1" s="87"/>
      <c r="QSP1" s="87"/>
      <c r="QSQ1" s="87"/>
      <c r="QSR1" s="87"/>
      <c r="QSS1" s="87"/>
      <c r="QST1" s="87"/>
      <c r="QSU1" s="87"/>
      <c r="QSV1" s="87"/>
      <c r="QSW1" s="87"/>
      <c r="QSX1" s="87"/>
      <c r="QSY1" s="87"/>
      <c r="QSZ1" s="87"/>
      <c r="QTA1" s="87"/>
      <c r="QTB1" s="87"/>
      <c r="QTC1" s="87"/>
      <c r="QTD1" s="87"/>
      <c r="QTE1" s="87"/>
      <c r="QTF1" s="87"/>
      <c r="QTG1" s="87"/>
      <c r="QTH1" s="87"/>
      <c r="QTI1" s="87"/>
      <c r="QTJ1" s="87"/>
      <c r="QTK1" s="87"/>
      <c r="QTL1" s="87"/>
      <c r="QTM1" s="87"/>
      <c r="QTN1" s="87"/>
      <c r="QTO1" s="87"/>
      <c r="QTP1" s="87"/>
      <c r="QTQ1" s="87"/>
      <c r="QTR1" s="87"/>
      <c r="QTS1" s="87"/>
      <c r="QTT1" s="87"/>
      <c r="QTU1" s="87"/>
      <c r="QTV1" s="87"/>
      <c r="QTW1" s="87"/>
      <c r="QTX1" s="87"/>
      <c r="QTY1" s="87"/>
      <c r="QTZ1" s="87"/>
      <c r="QUA1" s="87"/>
      <c r="QUB1" s="87"/>
      <c r="QUC1" s="87"/>
      <c r="QUD1" s="87"/>
      <c r="QUE1" s="87"/>
      <c r="QUF1" s="87"/>
      <c r="QUG1" s="87"/>
      <c r="QUH1" s="87"/>
      <c r="QUI1" s="87"/>
      <c r="QUJ1" s="87"/>
      <c r="QUK1" s="87"/>
      <c r="QUL1" s="87"/>
      <c r="QUM1" s="87"/>
      <c r="QUN1" s="87"/>
      <c r="QUO1" s="87"/>
      <c r="QUP1" s="87"/>
      <c r="QUQ1" s="87"/>
      <c r="QUR1" s="87"/>
      <c r="QUS1" s="87"/>
      <c r="QUT1" s="87"/>
      <c r="QUU1" s="87"/>
      <c r="QUV1" s="87"/>
      <c r="QUW1" s="87"/>
      <c r="QUX1" s="87"/>
      <c r="QUY1" s="87"/>
      <c r="QUZ1" s="87"/>
      <c r="QVA1" s="87"/>
      <c r="QVB1" s="87"/>
      <c r="QVC1" s="87"/>
      <c r="QVD1" s="87"/>
      <c r="QVE1" s="87"/>
      <c r="QVF1" s="87"/>
      <c r="QVG1" s="87"/>
      <c r="QVH1" s="87"/>
      <c r="QVI1" s="87"/>
      <c r="QVJ1" s="87"/>
      <c r="QVK1" s="87"/>
      <c r="QVL1" s="87"/>
      <c r="QVM1" s="87"/>
      <c r="QVN1" s="87"/>
      <c r="QVO1" s="87"/>
      <c r="QVP1" s="87"/>
      <c r="QVQ1" s="87"/>
      <c r="QVR1" s="87"/>
      <c r="QVS1" s="87"/>
      <c r="QVT1" s="87"/>
      <c r="QVU1" s="87"/>
      <c r="QVV1" s="87"/>
      <c r="QVW1" s="87"/>
      <c r="QVX1" s="87"/>
      <c r="QVY1" s="87"/>
      <c r="QVZ1" s="87"/>
      <c r="QWA1" s="87"/>
      <c r="QWB1" s="87"/>
      <c r="QWC1" s="87"/>
      <c r="QWD1" s="87"/>
      <c r="QWE1" s="87"/>
      <c r="QWF1" s="87"/>
      <c r="QWG1" s="87"/>
      <c r="QWH1" s="87"/>
      <c r="QWI1" s="87"/>
      <c r="QWJ1" s="87"/>
      <c r="QWK1" s="87"/>
      <c r="QWL1" s="87"/>
      <c r="QWM1" s="87"/>
      <c r="QWN1" s="87"/>
      <c r="QWO1" s="87"/>
      <c r="QWP1" s="87"/>
      <c r="QWQ1" s="87"/>
      <c r="QWR1" s="87"/>
      <c r="QWS1" s="87"/>
      <c r="QWT1" s="87"/>
      <c r="QWU1" s="87"/>
      <c r="QWV1" s="87"/>
      <c r="QWW1" s="87"/>
      <c r="QWX1" s="87"/>
      <c r="QWY1" s="87"/>
      <c r="QWZ1" s="87"/>
      <c r="QXA1" s="87"/>
      <c r="QXB1" s="87"/>
      <c r="QXC1" s="87"/>
      <c r="QXD1" s="87"/>
      <c r="QXE1" s="87"/>
      <c r="QXF1" s="87"/>
      <c r="QXG1" s="87"/>
      <c r="QXH1" s="87"/>
      <c r="QXI1" s="87"/>
      <c r="QXJ1" s="87"/>
      <c r="QXK1" s="87"/>
      <c r="QXL1" s="87"/>
      <c r="QXM1" s="87"/>
      <c r="QXN1" s="87"/>
      <c r="QXO1" s="87"/>
      <c r="QXP1" s="87"/>
      <c r="QXQ1" s="87"/>
      <c r="QXR1" s="87"/>
      <c r="QXS1" s="87"/>
      <c r="QXT1" s="87"/>
      <c r="QXU1" s="87"/>
      <c r="QXV1" s="87"/>
      <c r="QXW1" s="87"/>
      <c r="QXX1" s="87"/>
      <c r="QXY1" s="87"/>
      <c r="QXZ1" s="87"/>
      <c r="QYA1" s="87"/>
      <c r="QYB1" s="87"/>
      <c r="QYC1" s="87"/>
      <c r="QYD1" s="87"/>
      <c r="QYE1" s="87"/>
      <c r="QYF1" s="87"/>
      <c r="QYG1" s="87"/>
      <c r="QYH1" s="87"/>
      <c r="QYI1" s="87"/>
      <c r="QYJ1" s="87"/>
      <c r="QYK1" s="87"/>
      <c r="QYL1" s="87"/>
      <c r="QYM1" s="87"/>
      <c r="QYN1" s="87"/>
      <c r="QYO1" s="87"/>
      <c r="QYP1" s="87"/>
      <c r="QYQ1" s="87"/>
      <c r="QYR1" s="87"/>
      <c r="QYS1" s="87"/>
      <c r="QYT1" s="87"/>
      <c r="QYU1" s="87"/>
      <c r="QYV1" s="87"/>
      <c r="QYW1" s="87"/>
      <c r="QYX1" s="87"/>
      <c r="QYY1" s="87"/>
      <c r="QYZ1" s="87"/>
      <c r="QZA1" s="87"/>
      <c r="QZB1" s="87"/>
      <c r="QZC1" s="87"/>
      <c r="QZD1" s="87"/>
      <c r="QZE1" s="87"/>
      <c r="QZF1" s="87"/>
      <c r="QZG1" s="87"/>
      <c r="QZH1" s="87"/>
      <c r="QZI1" s="87"/>
      <c r="QZJ1" s="87"/>
      <c r="QZK1" s="87"/>
      <c r="QZL1" s="87"/>
      <c r="QZM1" s="87"/>
      <c r="QZN1" s="87"/>
      <c r="QZO1" s="87"/>
      <c r="QZP1" s="87"/>
      <c r="QZQ1" s="87"/>
      <c r="QZR1" s="87"/>
      <c r="QZS1" s="87"/>
      <c r="QZT1" s="87"/>
      <c r="QZU1" s="87"/>
      <c r="QZV1" s="87"/>
      <c r="QZW1" s="87"/>
      <c r="QZX1" s="87"/>
      <c r="QZY1" s="87"/>
      <c r="QZZ1" s="87"/>
      <c r="RAA1" s="87"/>
      <c r="RAB1" s="87"/>
      <c r="RAC1" s="87"/>
      <c r="RAD1" s="87"/>
      <c r="RAE1" s="87"/>
      <c r="RAF1" s="87"/>
      <c r="RAG1" s="87"/>
      <c r="RAH1" s="87"/>
      <c r="RAI1" s="87"/>
      <c r="RAJ1" s="87"/>
      <c r="RAK1" s="87"/>
      <c r="RAL1" s="87"/>
      <c r="RAM1" s="87"/>
      <c r="RAN1" s="87"/>
      <c r="RAO1" s="87"/>
      <c r="RAP1" s="87"/>
      <c r="RAQ1" s="87"/>
      <c r="RAR1" s="87"/>
      <c r="RAS1" s="87"/>
      <c r="RAT1" s="87"/>
      <c r="RAU1" s="87"/>
      <c r="RAV1" s="87"/>
      <c r="RAW1" s="87"/>
      <c r="RAX1" s="87"/>
      <c r="RAY1" s="87"/>
      <c r="RAZ1" s="87"/>
      <c r="RBA1" s="87"/>
      <c r="RBB1" s="87"/>
      <c r="RBC1" s="87"/>
      <c r="RBD1" s="87"/>
      <c r="RBE1" s="87"/>
      <c r="RBF1" s="87"/>
      <c r="RBG1" s="87"/>
      <c r="RBH1" s="87"/>
      <c r="RBI1" s="87"/>
      <c r="RBJ1" s="87"/>
      <c r="RBK1" s="87"/>
      <c r="RBL1" s="87"/>
      <c r="RBM1" s="87"/>
      <c r="RBN1" s="87"/>
      <c r="RBO1" s="87"/>
      <c r="RBP1" s="87"/>
      <c r="RBQ1" s="87"/>
      <c r="RBR1" s="87"/>
      <c r="RBS1" s="87"/>
      <c r="RBT1" s="87"/>
      <c r="RBU1" s="87"/>
      <c r="RBV1" s="87"/>
      <c r="RBW1" s="87"/>
      <c r="RBX1" s="87"/>
      <c r="RBY1" s="87"/>
      <c r="RBZ1" s="87"/>
      <c r="RCA1" s="87"/>
      <c r="RCB1" s="87"/>
      <c r="RCC1" s="87"/>
      <c r="RCD1" s="87"/>
      <c r="RCE1" s="87"/>
      <c r="RCF1" s="87"/>
      <c r="RCG1" s="87"/>
      <c r="RCH1" s="87"/>
      <c r="RCI1" s="87"/>
      <c r="RCJ1" s="87"/>
      <c r="RCK1" s="87"/>
      <c r="RCL1" s="87"/>
      <c r="RCM1" s="87"/>
      <c r="RCN1" s="87"/>
      <c r="RCO1" s="87"/>
      <c r="RCP1" s="87"/>
      <c r="RCQ1" s="87"/>
      <c r="RCR1" s="87"/>
      <c r="RCS1" s="87"/>
      <c r="RCT1" s="87"/>
      <c r="RCU1" s="87"/>
      <c r="RCV1" s="87"/>
      <c r="RCW1" s="87"/>
      <c r="RCX1" s="87"/>
      <c r="RCY1" s="87"/>
      <c r="RCZ1" s="87"/>
      <c r="RDA1" s="87"/>
      <c r="RDB1" s="87"/>
      <c r="RDC1" s="87"/>
      <c r="RDD1" s="87"/>
      <c r="RDE1" s="87"/>
      <c r="RDF1" s="87"/>
      <c r="RDG1" s="87"/>
      <c r="RDH1" s="87"/>
      <c r="RDI1" s="87"/>
      <c r="RDJ1" s="87"/>
      <c r="RDK1" s="87"/>
      <c r="RDL1" s="87"/>
      <c r="RDM1" s="87"/>
      <c r="RDN1" s="87"/>
      <c r="RDO1" s="87"/>
      <c r="RDP1" s="87"/>
      <c r="RDQ1" s="87"/>
      <c r="RDR1" s="87"/>
      <c r="RDS1" s="87"/>
      <c r="RDT1" s="87"/>
      <c r="RDU1" s="87"/>
      <c r="RDV1" s="87"/>
      <c r="RDW1" s="87"/>
      <c r="RDX1" s="87"/>
      <c r="RDY1" s="87"/>
      <c r="RDZ1" s="87"/>
      <c r="REA1" s="87"/>
      <c r="REB1" s="87"/>
      <c r="REC1" s="87"/>
      <c r="RED1" s="87"/>
      <c r="REE1" s="87"/>
      <c r="REF1" s="87"/>
      <c r="REG1" s="87"/>
      <c r="REH1" s="87"/>
      <c r="REI1" s="87"/>
      <c r="REJ1" s="87"/>
      <c r="REK1" s="87"/>
      <c r="REL1" s="87"/>
      <c r="REM1" s="87"/>
      <c r="REN1" s="87"/>
      <c r="REO1" s="87"/>
      <c r="REP1" s="87"/>
      <c r="REQ1" s="87"/>
      <c r="RER1" s="87"/>
      <c r="RES1" s="87"/>
      <c r="RET1" s="87"/>
      <c r="REU1" s="87"/>
      <c r="REV1" s="87"/>
      <c r="REW1" s="87"/>
      <c r="REX1" s="87"/>
      <c r="REY1" s="87"/>
      <c r="REZ1" s="87"/>
      <c r="RFA1" s="87"/>
      <c r="RFB1" s="87"/>
      <c r="RFC1" s="87"/>
      <c r="RFD1" s="87"/>
      <c r="RFE1" s="87"/>
      <c r="RFF1" s="87"/>
      <c r="RFG1" s="87"/>
      <c r="RFH1" s="87"/>
      <c r="RFI1" s="87"/>
      <c r="RFJ1" s="87"/>
      <c r="RFK1" s="87"/>
      <c r="RFL1" s="87"/>
      <c r="RFM1" s="87"/>
      <c r="RFN1" s="87"/>
      <c r="RFO1" s="87"/>
      <c r="RFP1" s="87"/>
      <c r="RFQ1" s="87"/>
      <c r="RFR1" s="87"/>
      <c r="RFS1" s="87"/>
      <c r="RFT1" s="87"/>
      <c r="RFU1" s="87"/>
      <c r="RFV1" s="87"/>
      <c r="RFW1" s="87"/>
      <c r="RFX1" s="87"/>
      <c r="RFY1" s="87"/>
      <c r="RFZ1" s="87"/>
      <c r="RGA1" s="87"/>
      <c r="RGB1" s="87"/>
      <c r="RGC1" s="87"/>
      <c r="RGD1" s="87"/>
      <c r="RGE1" s="87"/>
      <c r="RGF1" s="87"/>
      <c r="RGG1" s="87"/>
      <c r="RGH1" s="87"/>
      <c r="RGI1" s="87"/>
      <c r="RGJ1" s="87"/>
      <c r="RGK1" s="87"/>
      <c r="RGL1" s="87"/>
      <c r="RGM1" s="87"/>
      <c r="RGN1" s="87"/>
      <c r="RGO1" s="87"/>
      <c r="RGP1" s="87"/>
      <c r="RGQ1" s="87"/>
      <c r="RGR1" s="87"/>
      <c r="RGS1" s="87"/>
      <c r="RGT1" s="87"/>
      <c r="RGU1" s="87"/>
      <c r="RGV1" s="87"/>
      <c r="RGW1" s="87"/>
      <c r="RGX1" s="87"/>
      <c r="RGY1" s="87"/>
      <c r="RGZ1" s="87"/>
      <c r="RHA1" s="87"/>
      <c r="RHB1" s="87"/>
      <c r="RHC1" s="87"/>
      <c r="RHD1" s="87"/>
      <c r="RHE1" s="87"/>
      <c r="RHF1" s="87"/>
      <c r="RHG1" s="87"/>
      <c r="RHH1" s="87"/>
      <c r="RHI1" s="87"/>
      <c r="RHJ1" s="87"/>
      <c r="RHK1" s="87"/>
      <c r="RHL1" s="87"/>
      <c r="RHM1" s="87"/>
      <c r="RHN1" s="87"/>
      <c r="RHO1" s="87"/>
      <c r="RHP1" s="87"/>
      <c r="RHQ1" s="87"/>
      <c r="RHR1" s="87"/>
      <c r="RHS1" s="87"/>
      <c r="RHT1" s="87"/>
      <c r="RHU1" s="87"/>
      <c r="RHV1" s="87"/>
      <c r="RHW1" s="87"/>
      <c r="RHX1" s="87"/>
      <c r="RHY1" s="87"/>
      <c r="RHZ1" s="87"/>
      <c r="RIA1" s="87"/>
      <c r="RIB1" s="87"/>
      <c r="RIC1" s="87"/>
      <c r="RID1" s="87"/>
      <c r="RIE1" s="87"/>
      <c r="RIF1" s="87"/>
      <c r="RIG1" s="87"/>
      <c r="RIH1" s="87"/>
      <c r="RII1" s="87"/>
      <c r="RIJ1" s="87"/>
      <c r="RIK1" s="87"/>
      <c r="RIL1" s="87"/>
      <c r="RIM1" s="87"/>
      <c r="RIN1" s="87"/>
      <c r="RIO1" s="87"/>
      <c r="RIP1" s="87"/>
      <c r="RIQ1" s="87"/>
      <c r="RIR1" s="87"/>
      <c r="RIS1" s="87"/>
      <c r="RIT1" s="87"/>
      <c r="RIU1" s="87"/>
      <c r="RIV1" s="87"/>
      <c r="RIW1" s="87"/>
      <c r="RIX1" s="87"/>
      <c r="RIY1" s="87"/>
      <c r="RIZ1" s="87"/>
      <c r="RJA1" s="87"/>
      <c r="RJB1" s="87"/>
      <c r="RJC1" s="87"/>
      <c r="RJD1" s="87"/>
      <c r="RJE1" s="87"/>
      <c r="RJF1" s="87"/>
      <c r="RJG1" s="87"/>
      <c r="RJH1" s="87"/>
      <c r="RJI1" s="87"/>
      <c r="RJJ1" s="87"/>
      <c r="RJK1" s="87"/>
      <c r="RJL1" s="87"/>
      <c r="RJM1" s="87"/>
      <c r="RJN1" s="87"/>
      <c r="RJO1" s="87"/>
      <c r="RJP1" s="87"/>
      <c r="RJQ1" s="87"/>
      <c r="RJR1" s="87"/>
      <c r="RJS1" s="87"/>
      <c r="RJT1" s="87"/>
      <c r="RJU1" s="87"/>
      <c r="RJV1" s="87"/>
      <c r="RJW1" s="87"/>
      <c r="RJX1" s="87"/>
      <c r="RJY1" s="87"/>
      <c r="RJZ1" s="87"/>
      <c r="RKA1" s="87"/>
      <c r="RKB1" s="87"/>
      <c r="RKC1" s="87"/>
      <c r="RKD1" s="87"/>
      <c r="RKE1" s="87"/>
      <c r="RKF1" s="87"/>
      <c r="RKG1" s="87"/>
      <c r="RKH1" s="87"/>
      <c r="RKI1" s="87"/>
      <c r="RKJ1" s="87"/>
      <c r="RKK1" s="87"/>
      <c r="RKL1" s="87"/>
      <c r="RKM1" s="87"/>
      <c r="RKN1" s="87"/>
      <c r="RKO1" s="87"/>
      <c r="RKP1" s="87"/>
      <c r="RKQ1" s="87"/>
      <c r="RKR1" s="87"/>
      <c r="RKS1" s="87"/>
      <c r="RKT1" s="87"/>
      <c r="RKU1" s="87"/>
      <c r="RKV1" s="87"/>
      <c r="RKW1" s="87"/>
      <c r="RKX1" s="87"/>
      <c r="RKY1" s="87"/>
      <c r="RKZ1" s="87"/>
      <c r="RLA1" s="87"/>
      <c r="RLB1" s="87"/>
      <c r="RLC1" s="87"/>
      <c r="RLD1" s="87"/>
      <c r="RLE1" s="87"/>
      <c r="RLF1" s="87"/>
      <c r="RLG1" s="87"/>
      <c r="RLH1" s="87"/>
      <c r="RLI1" s="87"/>
      <c r="RLJ1" s="87"/>
      <c r="RLK1" s="87"/>
      <c r="RLL1" s="87"/>
      <c r="RLM1" s="87"/>
      <c r="RLN1" s="87"/>
      <c r="RLO1" s="87"/>
      <c r="RLP1" s="87"/>
      <c r="RLQ1" s="87"/>
      <c r="RLR1" s="87"/>
      <c r="RLS1" s="87"/>
      <c r="RLT1" s="87"/>
      <c r="RLU1" s="87"/>
      <c r="RLV1" s="87"/>
      <c r="RLW1" s="87"/>
      <c r="RLX1" s="87"/>
      <c r="RLY1" s="87"/>
      <c r="RLZ1" s="87"/>
      <c r="RMA1" s="87"/>
      <c r="RMB1" s="87"/>
      <c r="RMC1" s="87"/>
      <c r="RMD1" s="87"/>
      <c r="RME1" s="87"/>
      <c r="RMF1" s="87"/>
      <c r="RMG1" s="87"/>
      <c r="RMH1" s="87"/>
      <c r="RMI1" s="87"/>
      <c r="RMJ1" s="87"/>
      <c r="RMK1" s="87"/>
      <c r="RML1" s="87"/>
      <c r="RMM1" s="87"/>
      <c r="RMN1" s="87"/>
      <c r="RMO1" s="87"/>
      <c r="RMP1" s="87"/>
      <c r="RMQ1" s="87"/>
      <c r="RMR1" s="87"/>
      <c r="RMS1" s="87"/>
      <c r="RMT1" s="87"/>
      <c r="RMU1" s="87"/>
      <c r="RMV1" s="87"/>
      <c r="RMW1" s="87"/>
      <c r="RMX1" s="87"/>
      <c r="RMY1" s="87"/>
      <c r="RMZ1" s="87"/>
      <c r="RNA1" s="87"/>
      <c r="RNB1" s="87"/>
      <c r="RNC1" s="87"/>
      <c r="RND1" s="87"/>
      <c r="RNE1" s="87"/>
      <c r="RNF1" s="87"/>
      <c r="RNG1" s="87"/>
      <c r="RNH1" s="87"/>
      <c r="RNI1" s="87"/>
      <c r="RNJ1" s="87"/>
      <c r="RNK1" s="87"/>
      <c r="RNL1" s="87"/>
      <c r="RNM1" s="87"/>
      <c r="RNN1" s="87"/>
      <c r="RNO1" s="87"/>
      <c r="RNP1" s="87"/>
      <c r="RNQ1" s="87"/>
      <c r="RNR1" s="87"/>
      <c r="RNS1" s="87"/>
      <c r="RNT1" s="87"/>
      <c r="RNU1" s="87"/>
      <c r="RNV1" s="87"/>
      <c r="RNW1" s="87"/>
      <c r="RNX1" s="87"/>
      <c r="RNY1" s="87"/>
      <c r="RNZ1" s="87"/>
      <c r="ROA1" s="87"/>
      <c r="ROB1" s="87"/>
      <c r="ROC1" s="87"/>
      <c r="ROD1" s="87"/>
      <c r="ROE1" s="87"/>
      <c r="ROF1" s="87"/>
      <c r="ROG1" s="87"/>
      <c r="ROH1" s="87"/>
      <c r="ROI1" s="87"/>
      <c r="ROJ1" s="87"/>
      <c r="ROK1" s="87"/>
      <c r="ROL1" s="87"/>
      <c r="ROM1" s="87"/>
      <c r="RON1" s="87"/>
      <c r="ROO1" s="87"/>
      <c r="ROP1" s="87"/>
      <c r="ROQ1" s="87"/>
      <c r="ROR1" s="87"/>
      <c r="ROS1" s="87"/>
      <c r="ROT1" s="87"/>
      <c r="ROU1" s="87"/>
      <c r="ROV1" s="87"/>
      <c r="ROW1" s="87"/>
      <c r="ROX1" s="87"/>
      <c r="ROY1" s="87"/>
      <c r="ROZ1" s="87"/>
      <c r="RPA1" s="87"/>
      <c r="RPB1" s="87"/>
      <c r="RPC1" s="87"/>
      <c r="RPD1" s="87"/>
      <c r="RPE1" s="87"/>
      <c r="RPF1" s="87"/>
      <c r="RPG1" s="87"/>
      <c r="RPH1" s="87"/>
      <c r="RPI1" s="87"/>
      <c r="RPJ1" s="87"/>
      <c r="RPK1" s="87"/>
      <c r="RPL1" s="87"/>
      <c r="RPM1" s="87"/>
      <c r="RPN1" s="87"/>
      <c r="RPO1" s="87"/>
      <c r="RPP1" s="87"/>
      <c r="RPQ1" s="87"/>
      <c r="RPR1" s="87"/>
      <c r="RPS1" s="87"/>
      <c r="RPT1" s="87"/>
      <c r="RPU1" s="87"/>
      <c r="RPV1" s="87"/>
      <c r="RPW1" s="87"/>
      <c r="RPX1" s="87"/>
      <c r="RPY1" s="87"/>
      <c r="RPZ1" s="87"/>
      <c r="RQA1" s="87"/>
      <c r="RQB1" s="87"/>
      <c r="RQC1" s="87"/>
      <c r="RQD1" s="87"/>
      <c r="RQE1" s="87"/>
      <c r="RQF1" s="87"/>
      <c r="RQG1" s="87"/>
      <c r="RQH1" s="87"/>
      <c r="RQI1" s="87"/>
      <c r="RQJ1" s="87"/>
      <c r="RQK1" s="87"/>
      <c r="RQL1" s="87"/>
      <c r="RQM1" s="87"/>
      <c r="RQN1" s="87"/>
      <c r="RQO1" s="87"/>
      <c r="RQP1" s="87"/>
      <c r="RQQ1" s="87"/>
      <c r="RQR1" s="87"/>
      <c r="RQS1" s="87"/>
      <c r="RQT1" s="87"/>
      <c r="RQU1" s="87"/>
      <c r="RQV1" s="87"/>
      <c r="RQW1" s="87"/>
      <c r="RQX1" s="87"/>
      <c r="RQY1" s="87"/>
      <c r="RQZ1" s="87"/>
      <c r="RRA1" s="87"/>
      <c r="RRB1" s="87"/>
      <c r="RRC1" s="87"/>
      <c r="RRD1" s="87"/>
      <c r="RRE1" s="87"/>
      <c r="RRF1" s="87"/>
      <c r="RRG1" s="87"/>
      <c r="RRH1" s="87"/>
      <c r="RRI1" s="87"/>
      <c r="RRJ1" s="87"/>
      <c r="RRK1" s="87"/>
      <c r="RRL1" s="87"/>
      <c r="RRM1" s="87"/>
      <c r="RRN1" s="87"/>
      <c r="RRO1" s="87"/>
      <c r="RRP1" s="87"/>
      <c r="RRQ1" s="87"/>
      <c r="RRR1" s="87"/>
      <c r="RRS1" s="87"/>
      <c r="RRT1" s="87"/>
      <c r="RRU1" s="87"/>
      <c r="RRV1" s="87"/>
      <c r="RRW1" s="87"/>
      <c r="RRX1" s="87"/>
      <c r="RRY1" s="87"/>
      <c r="RRZ1" s="87"/>
      <c r="RSA1" s="87"/>
      <c r="RSB1" s="87"/>
      <c r="RSC1" s="87"/>
      <c r="RSD1" s="87"/>
      <c r="RSE1" s="87"/>
      <c r="RSF1" s="87"/>
      <c r="RSG1" s="87"/>
      <c r="RSH1" s="87"/>
      <c r="RSI1" s="87"/>
      <c r="RSJ1" s="87"/>
      <c r="RSK1" s="87"/>
      <c r="RSL1" s="87"/>
      <c r="RSM1" s="87"/>
      <c r="RSN1" s="87"/>
      <c r="RSO1" s="87"/>
      <c r="RSP1" s="87"/>
      <c r="RSQ1" s="87"/>
      <c r="RSR1" s="87"/>
      <c r="RSS1" s="87"/>
      <c r="RST1" s="87"/>
      <c r="RSU1" s="87"/>
      <c r="RSV1" s="87"/>
      <c r="RSW1" s="87"/>
      <c r="RSX1" s="87"/>
      <c r="RSY1" s="87"/>
      <c r="RSZ1" s="87"/>
      <c r="RTA1" s="87"/>
      <c r="RTB1" s="87"/>
      <c r="RTC1" s="87"/>
      <c r="RTD1" s="87"/>
      <c r="RTE1" s="87"/>
      <c r="RTF1" s="87"/>
      <c r="RTG1" s="87"/>
      <c r="RTH1" s="87"/>
      <c r="RTI1" s="87"/>
      <c r="RTJ1" s="87"/>
      <c r="RTK1" s="87"/>
      <c r="RTL1" s="87"/>
      <c r="RTM1" s="87"/>
      <c r="RTN1" s="87"/>
      <c r="RTO1" s="87"/>
      <c r="RTP1" s="87"/>
      <c r="RTQ1" s="87"/>
      <c r="RTR1" s="87"/>
      <c r="RTS1" s="87"/>
      <c r="RTT1" s="87"/>
      <c r="RTU1" s="87"/>
      <c r="RTV1" s="87"/>
      <c r="RTW1" s="87"/>
      <c r="RTX1" s="87"/>
      <c r="RTY1" s="87"/>
      <c r="RTZ1" s="87"/>
      <c r="RUA1" s="87"/>
      <c r="RUB1" s="87"/>
      <c r="RUC1" s="87"/>
      <c r="RUD1" s="87"/>
      <c r="RUE1" s="87"/>
      <c r="RUF1" s="87"/>
      <c r="RUG1" s="87"/>
      <c r="RUH1" s="87"/>
      <c r="RUI1" s="87"/>
      <c r="RUJ1" s="87"/>
      <c r="RUK1" s="87"/>
      <c r="RUL1" s="87"/>
      <c r="RUM1" s="87"/>
      <c r="RUN1" s="87"/>
      <c r="RUO1" s="87"/>
      <c r="RUP1" s="87"/>
      <c r="RUQ1" s="87"/>
      <c r="RUR1" s="87"/>
      <c r="RUS1" s="87"/>
      <c r="RUT1" s="87"/>
      <c r="RUU1" s="87"/>
      <c r="RUV1" s="87"/>
      <c r="RUW1" s="87"/>
      <c r="RUX1" s="87"/>
      <c r="RUY1" s="87"/>
      <c r="RUZ1" s="87"/>
      <c r="RVA1" s="87"/>
      <c r="RVB1" s="87"/>
      <c r="RVC1" s="87"/>
      <c r="RVD1" s="87"/>
      <c r="RVE1" s="87"/>
      <c r="RVF1" s="87"/>
      <c r="RVG1" s="87"/>
      <c r="RVH1" s="87"/>
      <c r="RVI1" s="87"/>
      <c r="RVJ1" s="87"/>
      <c r="RVK1" s="87"/>
      <c r="RVL1" s="87"/>
      <c r="RVM1" s="87"/>
      <c r="RVN1" s="87"/>
      <c r="RVO1" s="87"/>
      <c r="RVP1" s="87"/>
      <c r="RVQ1" s="87"/>
      <c r="RVR1" s="87"/>
      <c r="RVS1" s="87"/>
      <c r="RVT1" s="87"/>
      <c r="RVU1" s="87"/>
      <c r="RVV1" s="87"/>
      <c r="RVW1" s="87"/>
      <c r="RVX1" s="87"/>
      <c r="RVY1" s="87"/>
      <c r="RVZ1" s="87"/>
      <c r="RWA1" s="87"/>
      <c r="RWB1" s="87"/>
      <c r="RWC1" s="87"/>
      <c r="RWD1" s="87"/>
      <c r="RWE1" s="87"/>
      <c r="RWF1" s="87"/>
      <c r="RWG1" s="87"/>
      <c r="RWH1" s="87"/>
      <c r="RWI1" s="87"/>
      <c r="RWJ1" s="87"/>
      <c r="RWK1" s="87"/>
      <c r="RWL1" s="87"/>
      <c r="RWM1" s="87"/>
      <c r="RWN1" s="87"/>
      <c r="RWO1" s="87"/>
      <c r="RWP1" s="87"/>
      <c r="RWQ1" s="87"/>
      <c r="RWR1" s="87"/>
      <c r="RWS1" s="87"/>
      <c r="RWT1" s="87"/>
      <c r="RWU1" s="87"/>
      <c r="RWV1" s="87"/>
      <c r="RWW1" s="87"/>
      <c r="RWX1" s="87"/>
      <c r="RWY1" s="87"/>
      <c r="RWZ1" s="87"/>
      <c r="RXA1" s="87"/>
      <c r="RXB1" s="87"/>
      <c r="RXC1" s="87"/>
      <c r="RXD1" s="87"/>
      <c r="RXE1" s="87"/>
      <c r="RXF1" s="87"/>
      <c r="RXG1" s="87"/>
      <c r="RXH1" s="87"/>
      <c r="RXI1" s="87"/>
      <c r="RXJ1" s="87"/>
      <c r="RXK1" s="87"/>
      <c r="RXL1" s="87"/>
      <c r="RXM1" s="87"/>
      <c r="RXN1" s="87"/>
      <c r="RXO1" s="87"/>
      <c r="RXP1" s="87"/>
      <c r="RXQ1" s="87"/>
      <c r="RXR1" s="87"/>
      <c r="RXS1" s="87"/>
      <c r="RXT1" s="87"/>
      <c r="RXU1" s="87"/>
      <c r="RXV1" s="87"/>
      <c r="RXW1" s="87"/>
      <c r="RXX1" s="87"/>
      <c r="RXY1" s="87"/>
      <c r="RXZ1" s="87"/>
      <c r="RYA1" s="87"/>
      <c r="RYB1" s="87"/>
      <c r="RYC1" s="87"/>
      <c r="RYD1" s="87"/>
      <c r="RYE1" s="87"/>
      <c r="RYF1" s="87"/>
      <c r="RYG1" s="87"/>
      <c r="RYH1" s="87"/>
      <c r="RYI1" s="87"/>
      <c r="RYJ1" s="87"/>
      <c r="RYK1" s="87"/>
      <c r="RYL1" s="87"/>
      <c r="RYM1" s="87"/>
      <c r="RYN1" s="87"/>
      <c r="RYO1" s="87"/>
      <c r="RYP1" s="87"/>
      <c r="RYQ1" s="87"/>
      <c r="RYR1" s="87"/>
      <c r="RYS1" s="87"/>
      <c r="RYT1" s="87"/>
      <c r="RYU1" s="87"/>
      <c r="RYV1" s="87"/>
      <c r="RYW1" s="87"/>
      <c r="RYX1" s="87"/>
      <c r="RYY1" s="87"/>
      <c r="RYZ1" s="87"/>
      <c r="RZA1" s="87"/>
      <c r="RZB1" s="87"/>
      <c r="RZC1" s="87"/>
      <c r="RZD1" s="87"/>
      <c r="RZE1" s="87"/>
      <c r="RZF1" s="87"/>
      <c r="RZG1" s="87"/>
      <c r="RZH1" s="87"/>
      <c r="RZI1" s="87"/>
      <c r="RZJ1" s="87"/>
      <c r="RZK1" s="87"/>
      <c r="RZL1" s="87"/>
      <c r="RZM1" s="87"/>
      <c r="RZN1" s="87"/>
      <c r="RZO1" s="87"/>
      <c r="RZP1" s="87"/>
      <c r="RZQ1" s="87"/>
      <c r="RZR1" s="87"/>
      <c r="RZS1" s="87"/>
      <c r="RZT1" s="87"/>
      <c r="RZU1" s="87"/>
      <c r="RZV1" s="87"/>
      <c r="RZW1" s="87"/>
      <c r="RZX1" s="87"/>
      <c r="RZY1" s="87"/>
      <c r="RZZ1" s="87"/>
      <c r="SAA1" s="87"/>
      <c r="SAB1" s="87"/>
      <c r="SAC1" s="87"/>
      <c r="SAD1" s="87"/>
      <c r="SAE1" s="87"/>
      <c r="SAF1" s="87"/>
      <c r="SAG1" s="87"/>
      <c r="SAH1" s="87"/>
      <c r="SAI1" s="87"/>
      <c r="SAJ1" s="87"/>
      <c r="SAK1" s="87"/>
      <c r="SAL1" s="87"/>
      <c r="SAM1" s="87"/>
      <c r="SAN1" s="87"/>
      <c r="SAO1" s="87"/>
      <c r="SAP1" s="87"/>
      <c r="SAQ1" s="87"/>
      <c r="SAR1" s="87"/>
      <c r="SAS1" s="87"/>
      <c r="SAT1" s="87"/>
      <c r="SAU1" s="87"/>
      <c r="SAV1" s="87"/>
      <c r="SAW1" s="87"/>
      <c r="SAX1" s="87"/>
      <c r="SAY1" s="87"/>
      <c r="SAZ1" s="87"/>
      <c r="SBA1" s="87"/>
      <c r="SBB1" s="87"/>
      <c r="SBC1" s="87"/>
      <c r="SBD1" s="87"/>
      <c r="SBE1" s="87"/>
      <c r="SBF1" s="87"/>
      <c r="SBG1" s="87"/>
      <c r="SBH1" s="87"/>
      <c r="SBI1" s="87"/>
      <c r="SBJ1" s="87"/>
      <c r="SBK1" s="87"/>
      <c r="SBL1" s="87"/>
      <c r="SBM1" s="87"/>
      <c r="SBN1" s="87"/>
      <c r="SBO1" s="87"/>
      <c r="SBP1" s="87"/>
      <c r="SBQ1" s="87"/>
      <c r="SBR1" s="87"/>
      <c r="SBS1" s="87"/>
      <c r="SBT1" s="87"/>
      <c r="SBU1" s="87"/>
      <c r="SBV1" s="87"/>
      <c r="SBW1" s="87"/>
      <c r="SBX1" s="87"/>
      <c r="SBY1" s="87"/>
      <c r="SBZ1" s="87"/>
      <c r="SCA1" s="87"/>
      <c r="SCB1" s="87"/>
      <c r="SCC1" s="87"/>
      <c r="SCD1" s="87"/>
      <c r="SCE1" s="87"/>
      <c r="SCF1" s="87"/>
      <c r="SCG1" s="87"/>
      <c r="SCH1" s="87"/>
      <c r="SCI1" s="87"/>
      <c r="SCJ1" s="87"/>
      <c r="SCK1" s="87"/>
      <c r="SCL1" s="87"/>
      <c r="SCM1" s="87"/>
      <c r="SCN1" s="87"/>
      <c r="SCO1" s="87"/>
      <c r="SCP1" s="87"/>
      <c r="SCQ1" s="87"/>
      <c r="SCR1" s="87"/>
      <c r="SCS1" s="87"/>
      <c r="SCT1" s="87"/>
      <c r="SCU1" s="87"/>
      <c r="SCV1" s="87"/>
      <c r="SCW1" s="87"/>
      <c r="SCX1" s="87"/>
      <c r="SCY1" s="87"/>
      <c r="SCZ1" s="87"/>
      <c r="SDA1" s="87"/>
      <c r="SDB1" s="87"/>
      <c r="SDC1" s="87"/>
      <c r="SDD1" s="87"/>
      <c r="SDE1" s="87"/>
      <c r="SDF1" s="87"/>
      <c r="SDG1" s="87"/>
      <c r="SDH1" s="87"/>
      <c r="SDI1" s="87"/>
      <c r="SDJ1" s="87"/>
      <c r="SDK1" s="87"/>
      <c r="SDL1" s="87"/>
      <c r="SDM1" s="87"/>
      <c r="SDN1" s="87"/>
      <c r="SDO1" s="87"/>
      <c r="SDP1" s="87"/>
      <c r="SDQ1" s="87"/>
      <c r="SDR1" s="87"/>
      <c r="SDS1" s="87"/>
      <c r="SDT1" s="87"/>
      <c r="SDU1" s="87"/>
      <c r="SDV1" s="87"/>
      <c r="SDW1" s="87"/>
      <c r="SDX1" s="87"/>
      <c r="SDY1" s="87"/>
      <c r="SDZ1" s="87"/>
      <c r="SEA1" s="87"/>
      <c r="SEB1" s="87"/>
      <c r="SEC1" s="87"/>
      <c r="SED1" s="87"/>
      <c r="SEE1" s="87"/>
      <c r="SEF1" s="87"/>
      <c r="SEG1" s="87"/>
      <c r="SEH1" s="87"/>
      <c r="SEI1" s="87"/>
      <c r="SEJ1" s="87"/>
      <c r="SEK1" s="87"/>
      <c r="SEL1" s="87"/>
      <c r="SEM1" s="87"/>
      <c r="SEN1" s="87"/>
      <c r="SEO1" s="87"/>
      <c r="SEP1" s="87"/>
      <c r="SEQ1" s="87"/>
      <c r="SER1" s="87"/>
      <c r="SES1" s="87"/>
      <c r="SET1" s="87"/>
      <c r="SEU1" s="87"/>
      <c r="SEV1" s="87"/>
      <c r="SEW1" s="87"/>
      <c r="SEX1" s="87"/>
      <c r="SEY1" s="87"/>
      <c r="SEZ1" s="87"/>
      <c r="SFA1" s="87"/>
      <c r="SFB1" s="87"/>
      <c r="SFC1" s="87"/>
      <c r="SFD1" s="87"/>
      <c r="SFE1" s="87"/>
      <c r="SFF1" s="87"/>
      <c r="SFG1" s="87"/>
      <c r="SFH1" s="87"/>
      <c r="SFI1" s="87"/>
      <c r="SFJ1" s="87"/>
      <c r="SFK1" s="87"/>
      <c r="SFL1" s="87"/>
      <c r="SFM1" s="87"/>
      <c r="SFN1" s="87"/>
      <c r="SFO1" s="87"/>
      <c r="SFP1" s="87"/>
      <c r="SFQ1" s="87"/>
      <c r="SFR1" s="87"/>
      <c r="SFS1" s="87"/>
      <c r="SFT1" s="87"/>
      <c r="SFU1" s="87"/>
      <c r="SFV1" s="87"/>
      <c r="SFW1" s="87"/>
      <c r="SFX1" s="87"/>
      <c r="SFY1" s="87"/>
      <c r="SFZ1" s="87"/>
      <c r="SGA1" s="87"/>
      <c r="SGB1" s="87"/>
      <c r="SGC1" s="87"/>
      <c r="SGD1" s="87"/>
      <c r="SGE1" s="87"/>
      <c r="SGF1" s="87"/>
      <c r="SGG1" s="87"/>
      <c r="SGH1" s="87"/>
      <c r="SGI1" s="87"/>
      <c r="SGJ1" s="87"/>
      <c r="SGK1" s="87"/>
      <c r="SGL1" s="87"/>
      <c r="SGM1" s="87"/>
      <c r="SGN1" s="87"/>
      <c r="SGO1" s="87"/>
      <c r="SGP1" s="87"/>
      <c r="SGQ1" s="87"/>
      <c r="SGR1" s="87"/>
      <c r="SGS1" s="87"/>
      <c r="SGT1" s="87"/>
      <c r="SGU1" s="87"/>
      <c r="SGV1" s="87"/>
      <c r="SGW1" s="87"/>
      <c r="SGX1" s="87"/>
      <c r="SGY1" s="87"/>
      <c r="SGZ1" s="87"/>
      <c r="SHA1" s="87"/>
      <c r="SHB1" s="87"/>
      <c r="SHC1" s="87"/>
      <c r="SHD1" s="87"/>
      <c r="SHE1" s="87"/>
      <c r="SHF1" s="87"/>
      <c r="SHG1" s="87"/>
      <c r="SHH1" s="87"/>
      <c r="SHI1" s="87"/>
      <c r="SHJ1" s="87"/>
      <c r="SHK1" s="87"/>
      <c r="SHL1" s="87"/>
      <c r="SHM1" s="87"/>
      <c r="SHN1" s="87"/>
      <c r="SHO1" s="87"/>
      <c r="SHP1" s="87"/>
      <c r="SHQ1" s="87"/>
      <c r="SHR1" s="87"/>
      <c r="SHS1" s="87"/>
      <c r="SHT1" s="87"/>
      <c r="SHU1" s="87"/>
      <c r="SHV1" s="87"/>
      <c r="SHW1" s="87"/>
      <c r="SHX1" s="87"/>
      <c r="SHY1" s="87"/>
      <c r="SHZ1" s="87"/>
      <c r="SIA1" s="87"/>
      <c r="SIB1" s="87"/>
      <c r="SIC1" s="87"/>
      <c r="SID1" s="87"/>
      <c r="SIE1" s="87"/>
      <c r="SIF1" s="87"/>
      <c r="SIG1" s="87"/>
      <c r="SIH1" s="87"/>
      <c r="SII1" s="87"/>
      <c r="SIJ1" s="87"/>
      <c r="SIK1" s="87"/>
      <c r="SIL1" s="87"/>
      <c r="SIM1" s="87"/>
      <c r="SIN1" s="87"/>
      <c r="SIO1" s="87"/>
      <c r="SIP1" s="87"/>
      <c r="SIQ1" s="87"/>
      <c r="SIR1" s="87"/>
      <c r="SIS1" s="87"/>
      <c r="SIT1" s="87"/>
      <c r="SIU1" s="87"/>
      <c r="SIV1" s="87"/>
      <c r="SIW1" s="87"/>
      <c r="SIX1" s="87"/>
      <c r="SIY1" s="87"/>
      <c r="SIZ1" s="87"/>
      <c r="SJA1" s="87"/>
      <c r="SJB1" s="87"/>
      <c r="SJC1" s="87"/>
      <c r="SJD1" s="87"/>
      <c r="SJE1" s="87"/>
      <c r="SJF1" s="87"/>
      <c r="SJG1" s="87"/>
      <c r="SJH1" s="87"/>
      <c r="SJI1" s="87"/>
      <c r="SJJ1" s="87"/>
      <c r="SJK1" s="87"/>
      <c r="SJL1" s="87"/>
      <c r="SJM1" s="87"/>
      <c r="SJN1" s="87"/>
      <c r="SJO1" s="87"/>
      <c r="SJP1" s="87"/>
      <c r="SJQ1" s="87"/>
      <c r="SJR1" s="87"/>
      <c r="SJS1" s="87"/>
      <c r="SJT1" s="87"/>
      <c r="SJU1" s="87"/>
      <c r="SJV1" s="87"/>
      <c r="SJW1" s="87"/>
      <c r="SJX1" s="87"/>
      <c r="SJY1" s="87"/>
      <c r="SJZ1" s="87"/>
      <c r="SKA1" s="87"/>
      <c r="SKB1" s="87"/>
      <c r="SKC1" s="87"/>
      <c r="SKD1" s="87"/>
      <c r="SKE1" s="87"/>
      <c r="SKF1" s="87"/>
      <c r="SKG1" s="87"/>
      <c r="SKH1" s="87"/>
      <c r="SKI1" s="87"/>
      <c r="SKJ1" s="87"/>
      <c r="SKK1" s="87"/>
      <c r="SKL1" s="87"/>
      <c r="SKM1" s="87"/>
      <c r="SKN1" s="87"/>
      <c r="SKO1" s="87"/>
      <c r="SKP1" s="87"/>
      <c r="SKQ1" s="87"/>
      <c r="SKR1" s="87"/>
      <c r="SKS1" s="87"/>
      <c r="SKT1" s="87"/>
      <c r="SKU1" s="87"/>
      <c r="SKV1" s="87"/>
      <c r="SKW1" s="87"/>
      <c r="SKX1" s="87"/>
      <c r="SKY1" s="87"/>
      <c r="SKZ1" s="87"/>
      <c r="SLA1" s="87"/>
      <c r="SLB1" s="87"/>
      <c r="SLC1" s="87"/>
      <c r="SLD1" s="87"/>
      <c r="SLE1" s="87"/>
      <c r="SLF1" s="87"/>
      <c r="SLG1" s="87"/>
      <c r="SLH1" s="87"/>
      <c r="SLI1" s="87"/>
      <c r="SLJ1" s="87"/>
      <c r="SLK1" s="87"/>
      <c r="SLL1" s="87"/>
      <c r="SLM1" s="87"/>
      <c r="SLN1" s="87"/>
      <c r="SLO1" s="87"/>
      <c r="SLP1" s="87"/>
      <c r="SLQ1" s="87"/>
      <c r="SLR1" s="87"/>
      <c r="SLS1" s="87"/>
      <c r="SLT1" s="87"/>
      <c r="SLU1" s="87"/>
      <c r="SLV1" s="87"/>
      <c r="SLW1" s="87"/>
      <c r="SLX1" s="87"/>
      <c r="SLY1" s="87"/>
      <c r="SLZ1" s="87"/>
      <c r="SMA1" s="87"/>
      <c r="SMB1" s="87"/>
      <c r="SMC1" s="87"/>
      <c r="SMD1" s="87"/>
      <c r="SME1" s="87"/>
      <c r="SMF1" s="87"/>
      <c r="SMG1" s="87"/>
      <c r="SMH1" s="87"/>
      <c r="SMI1" s="87"/>
      <c r="SMJ1" s="87"/>
      <c r="SMK1" s="87"/>
      <c r="SML1" s="87"/>
      <c r="SMM1" s="87"/>
      <c r="SMN1" s="87"/>
      <c r="SMO1" s="87"/>
      <c r="SMP1" s="87"/>
      <c r="SMQ1" s="87"/>
      <c r="SMR1" s="87"/>
      <c r="SMS1" s="87"/>
      <c r="SMT1" s="87"/>
      <c r="SMU1" s="87"/>
      <c r="SMV1" s="87"/>
      <c r="SMW1" s="87"/>
      <c r="SMX1" s="87"/>
      <c r="SMY1" s="87"/>
      <c r="SMZ1" s="87"/>
      <c r="SNA1" s="87"/>
      <c r="SNB1" s="87"/>
      <c r="SNC1" s="87"/>
      <c r="SND1" s="87"/>
      <c r="SNE1" s="87"/>
      <c r="SNF1" s="87"/>
      <c r="SNG1" s="87"/>
      <c r="SNH1" s="87"/>
      <c r="SNI1" s="87"/>
      <c r="SNJ1" s="87"/>
      <c r="SNK1" s="87"/>
      <c r="SNL1" s="87"/>
      <c r="SNM1" s="87"/>
      <c r="SNN1" s="87"/>
      <c r="SNO1" s="87"/>
      <c r="SNP1" s="87"/>
      <c r="SNQ1" s="87"/>
      <c r="SNR1" s="87"/>
      <c r="SNS1" s="87"/>
      <c r="SNT1" s="87"/>
      <c r="SNU1" s="87"/>
      <c r="SNV1" s="87"/>
      <c r="SNW1" s="87"/>
      <c r="SNX1" s="87"/>
      <c r="SNY1" s="87"/>
      <c r="SNZ1" s="87"/>
      <c r="SOA1" s="87"/>
      <c r="SOB1" s="87"/>
      <c r="SOC1" s="87"/>
      <c r="SOD1" s="87"/>
      <c r="SOE1" s="87"/>
      <c r="SOF1" s="87"/>
      <c r="SOG1" s="87"/>
      <c r="SOH1" s="87"/>
      <c r="SOI1" s="87"/>
      <c r="SOJ1" s="87"/>
      <c r="SOK1" s="87"/>
      <c r="SOL1" s="87"/>
      <c r="SOM1" s="87"/>
      <c r="SON1" s="87"/>
      <c r="SOO1" s="87"/>
      <c r="SOP1" s="87"/>
      <c r="SOQ1" s="87"/>
      <c r="SOR1" s="87"/>
      <c r="SOS1" s="87"/>
      <c r="SOT1" s="87"/>
      <c r="SOU1" s="87"/>
      <c r="SOV1" s="87"/>
      <c r="SOW1" s="87"/>
      <c r="SOX1" s="87"/>
      <c r="SOY1" s="87"/>
      <c r="SOZ1" s="87"/>
      <c r="SPA1" s="87"/>
      <c r="SPB1" s="87"/>
      <c r="SPC1" s="87"/>
      <c r="SPD1" s="87"/>
      <c r="SPE1" s="87"/>
      <c r="SPF1" s="87"/>
      <c r="SPG1" s="87"/>
      <c r="SPH1" s="87"/>
      <c r="SPI1" s="87"/>
      <c r="SPJ1" s="87"/>
      <c r="SPK1" s="87"/>
      <c r="SPL1" s="87"/>
      <c r="SPM1" s="87"/>
      <c r="SPN1" s="87"/>
      <c r="SPO1" s="87"/>
      <c r="SPP1" s="87"/>
      <c r="SPQ1" s="87"/>
      <c r="SPR1" s="87"/>
      <c r="SPS1" s="87"/>
      <c r="SPT1" s="87"/>
      <c r="SPU1" s="87"/>
      <c r="SPV1" s="87"/>
      <c r="SPW1" s="87"/>
      <c r="SPX1" s="87"/>
      <c r="SPY1" s="87"/>
      <c r="SPZ1" s="87"/>
      <c r="SQA1" s="87"/>
      <c r="SQB1" s="87"/>
      <c r="SQC1" s="87"/>
      <c r="SQD1" s="87"/>
      <c r="SQE1" s="87"/>
      <c r="SQF1" s="87"/>
      <c r="SQG1" s="87"/>
      <c r="SQH1" s="87"/>
      <c r="SQI1" s="87"/>
      <c r="SQJ1" s="87"/>
      <c r="SQK1" s="87"/>
      <c r="SQL1" s="87"/>
      <c r="SQM1" s="87"/>
      <c r="SQN1" s="87"/>
      <c r="SQO1" s="87"/>
      <c r="SQP1" s="87"/>
      <c r="SQQ1" s="87"/>
      <c r="SQR1" s="87"/>
      <c r="SQS1" s="87"/>
      <c r="SQT1" s="87"/>
      <c r="SQU1" s="87"/>
      <c r="SQV1" s="87"/>
      <c r="SQW1" s="87"/>
      <c r="SQX1" s="87"/>
      <c r="SQY1" s="87"/>
      <c r="SQZ1" s="87"/>
      <c r="SRA1" s="87"/>
      <c r="SRB1" s="87"/>
      <c r="SRC1" s="87"/>
      <c r="SRD1" s="87"/>
      <c r="SRE1" s="87"/>
      <c r="SRF1" s="87"/>
      <c r="SRG1" s="87"/>
      <c r="SRH1" s="87"/>
      <c r="SRI1" s="87"/>
      <c r="SRJ1" s="87"/>
      <c r="SRK1" s="87"/>
      <c r="SRL1" s="87"/>
      <c r="SRM1" s="87"/>
      <c r="SRN1" s="87"/>
      <c r="SRO1" s="87"/>
      <c r="SRP1" s="87"/>
      <c r="SRQ1" s="87"/>
      <c r="SRR1" s="87"/>
      <c r="SRS1" s="87"/>
      <c r="SRT1" s="87"/>
      <c r="SRU1" s="87"/>
      <c r="SRV1" s="87"/>
      <c r="SRW1" s="87"/>
      <c r="SRX1" s="87"/>
      <c r="SRY1" s="87"/>
      <c r="SRZ1" s="87"/>
      <c r="SSA1" s="87"/>
      <c r="SSB1" s="87"/>
      <c r="SSC1" s="87"/>
      <c r="SSD1" s="87"/>
      <c r="SSE1" s="87"/>
      <c r="SSF1" s="87"/>
      <c r="SSG1" s="87"/>
      <c r="SSH1" s="87"/>
      <c r="SSI1" s="87"/>
      <c r="SSJ1" s="87"/>
      <c r="SSK1" s="87"/>
      <c r="SSL1" s="87"/>
      <c r="SSM1" s="87"/>
      <c r="SSN1" s="87"/>
      <c r="SSO1" s="87"/>
      <c r="SSP1" s="87"/>
      <c r="SSQ1" s="87"/>
      <c r="SSR1" s="87"/>
      <c r="SSS1" s="87"/>
      <c r="SST1" s="87"/>
      <c r="SSU1" s="87"/>
      <c r="SSV1" s="87"/>
      <c r="SSW1" s="87"/>
      <c r="SSX1" s="87"/>
      <c r="SSY1" s="87"/>
      <c r="SSZ1" s="87"/>
      <c r="STA1" s="87"/>
      <c r="STB1" s="87"/>
      <c r="STC1" s="87"/>
      <c r="STD1" s="87"/>
      <c r="STE1" s="87"/>
      <c r="STF1" s="87"/>
      <c r="STG1" s="87"/>
      <c r="STH1" s="87"/>
      <c r="STI1" s="87"/>
      <c r="STJ1" s="87"/>
      <c r="STK1" s="87"/>
      <c r="STL1" s="87"/>
      <c r="STM1" s="87"/>
      <c r="STN1" s="87"/>
      <c r="STO1" s="87"/>
      <c r="STP1" s="87"/>
      <c r="STQ1" s="87"/>
      <c r="STR1" s="87"/>
      <c r="STS1" s="87"/>
      <c r="STT1" s="87"/>
      <c r="STU1" s="87"/>
      <c r="STV1" s="87"/>
      <c r="STW1" s="87"/>
      <c r="STX1" s="87"/>
      <c r="STY1" s="87"/>
      <c r="STZ1" s="87"/>
      <c r="SUA1" s="87"/>
      <c r="SUB1" s="87"/>
      <c r="SUC1" s="87"/>
      <c r="SUD1" s="87"/>
      <c r="SUE1" s="87"/>
      <c r="SUF1" s="87"/>
      <c r="SUG1" s="87"/>
      <c r="SUH1" s="87"/>
      <c r="SUI1" s="87"/>
      <c r="SUJ1" s="87"/>
      <c r="SUK1" s="87"/>
      <c r="SUL1" s="87"/>
      <c r="SUM1" s="87"/>
      <c r="SUN1" s="87"/>
      <c r="SUO1" s="87"/>
      <c r="SUP1" s="87"/>
      <c r="SUQ1" s="87"/>
      <c r="SUR1" s="87"/>
      <c r="SUS1" s="87"/>
      <c r="SUT1" s="87"/>
      <c r="SUU1" s="87"/>
      <c r="SUV1" s="87"/>
      <c r="SUW1" s="87"/>
      <c r="SUX1" s="87"/>
      <c r="SUY1" s="87"/>
      <c r="SUZ1" s="87"/>
      <c r="SVA1" s="87"/>
      <c r="SVB1" s="87"/>
      <c r="SVC1" s="87"/>
      <c r="SVD1" s="87"/>
      <c r="SVE1" s="87"/>
      <c r="SVF1" s="87"/>
      <c r="SVG1" s="87"/>
      <c r="SVH1" s="87"/>
      <c r="SVI1" s="87"/>
      <c r="SVJ1" s="87"/>
      <c r="SVK1" s="87"/>
      <c r="SVL1" s="87"/>
      <c r="SVM1" s="87"/>
      <c r="SVN1" s="87"/>
      <c r="SVO1" s="87"/>
      <c r="SVP1" s="87"/>
      <c r="SVQ1" s="87"/>
      <c r="SVR1" s="87"/>
      <c r="SVS1" s="87"/>
      <c r="SVT1" s="87"/>
      <c r="SVU1" s="87"/>
      <c r="SVV1" s="87"/>
      <c r="SVW1" s="87"/>
      <c r="SVX1" s="87"/>
      <c r="SVY1" s="87"/>
      <c r="SVZ1" s="87"/>
      <c r="SWA1" s="87"/>
      <c r="SWB1" s="87"/>
      <c r="SWC1" s="87"/>
      <c r="SWD1" s="87"/>
      <c r="SWE1" s="87"/>
      <c r="SWF1" s="87"/>
      <c r="SWG1" s="87"/>
      <c r="SWH1" s="87"/>
      <c r="SWI1" s="87"/>
      <c r="SWJ1" s="87"/>
      <c r="SWK1" s="87"/>
      <c r="SWL1" s="87"/>
      <c r="SWM1" s="87"/>
      <c r="SWN1" s="87"/>
      <c r="SWO1" s="87"/>
      <c r="SWP1" s="87"/>
      <c r="SWQ1" s="87"/>
      <c r="SWR1" s="87"/>
      <c r="SWS1" s="87"/>
      <c r="SWT1" s="87"/>
      <c r="SWU1" s="87"/>
      <c r="SWV1" s="87"/>
      <c r="SWW1" s="87"/>
      <c r="SWX1" s="87"/>
      <c r="SWY1" s="87"/>
      <c r="SWZ1" s="87"/>
      <c r="SXA1" s="87"/>
      <c r="SXB1" s="87"/>
      <c r="SXC1" s="87"/>
      <c r="SXD1" s="87"/>
      <c r="SXE1" s="87"/>
      <c r="SXF1" s="87"/>
      <c r="SXG1" s="87"/>
      <c r="SXH1" s="87"/>
      <c r="SXI1" s="87"/>
      <c r="SXJ1" s="87"/>
      <c r="SXK1" s="87"/>
      <c r="SXL1" s="87"/>
      <c r="SXM1" s="87"/>
      <c r="SXN1" s="87"/>
      <c r="SXO1" s="87"/>
      <c r="SXP1" s="87"/>
      <c r="SXQ1" s="87"/>
      <c r="SXR1" s="87"/>
      <c r="SXS1" s="87"/>
      <c r="SXT1" s="87"/>
      <c r="SXU1" s="87"/>
      <c r="SXV1" s="87"/>
      <c r="SXW1" s="87"/>
      <c r="SXX1" s="87"/>
      <c r="SXY1" s="87"/>
      <c r="SXZ1" s="87"/>
      <c r="SYA1" s="87"/>
      <c r="SYB1" s="87"/>
      <c r="SYC1" s="87"/>
      <c r="SYD1" s="87"/>
      <c r="SYE1" s="87"/>
      <c r="SYF1" s="87"/>
      <c r="SYG1" s="87"/>
      <c r="SYH1" s="87"/>
      <c r="SYI1" s="87"/>
      <c r="SYJ1" s="87"/>
      <c r="SYK1" s="87"/>
      <c r="SYL1" s="87"/>
      <c r="SYM1" s="87"/>
      <c r="SYN1" s="87"/>
      <c r="SYO1" s="87"/>
      <c r="SYP1" s="87"/>
      <c r="SYQ1" s="87"/>
      <c r="SYR1" s="87"/>
      <c r="SYS1" s="87"/>
      <c r="SYT1" s="87"/>
      <c r="SYU1" s="87"/>
      <c r="SYV1" s="87"/>
      <c r="SYW1" s="87"/>
      <c r="SYX1" s="87"/>
      <c r="SYY1" s="87"/>
      <c r="SYZ1" s="87"/>
      <c r="SZA1" s="87"/>
      <c r="SZB1" s="87"/>
      <c r="SZC1" s="87"/>
      <c r="SZD1" s="87"/>
      <c r="SZE1" s="87"/>
      <c r="SZF1" s="87"/>
      <c r="SZG1" s="87"/>
      <c r="SZH1" s="87"/>
      <c r="SZI1" s="87"/>
      <c r="SZJ1" s="87"/>
      <c r="SZK1" s="87"/>
      <c r="SZL1" s="87"/>
      <c r="SZM1" s="87"/>
      <c r="SZN1" s="87"/>
      <c r="SZO1" s="87"/>
      <c r="SZP1" s="87"/>
      <c r="SZQ1" s="87"/>
      <c r="SZR1" s="87"/>
      <c r="SZS1" s="87"/>
      <c r="SZT1" s="87"/>
      <c r="SZU1" s="87"/>
      <c r="SZV1" s="87"/>
      <c r="SZW1" s="87"/>
      <c r="SZX1" s="87"/>
      <c r="SZY1" s="87"/>
      <c r="SZZ1" s="87"/>
      <c r="TAA1" s="87"/>
      <c r="TAB1" s="87"/>
      <c r="TAC1" s="87"/>
      <c r="TAD1" s="87"/>
      <c r="TAE1" s="87"/>
      <c r="TAF1" s="87"/>
      <c r="TAG1" s="87"/>
      <c r="TAH1" s="87"/>
      <c r="TAI1" s="87"/>
      <c r="TAJ1" s="87"/>
      <c r="TAK1" s="87"/>
      <c r="TAL1" s="87"/>
      <c r="TAM1" s="87"/>
      <c r="TAN1" s="87"/>
      <c r="TAO1" s="87"/>
      <c r="TAP1" s="87"/>
      <c r="TAQ1" s="87"/>
      <c r="TAR1" s="87"/>
      <c r="TAS1" s="87"/>
      <c r="TAT1" s="87"/>
      <c r="TAU1" s="87"/>
      <c r="TAV1" s="87"/>
      <c r="TAW1" s="87"/>
      <c r="TAX1" s="87"/>
      <c r="TAY1" s="87"/>
      <c r="TAZ1" s="87"/>
      <c r="TBA1" s="87"/>
      <c r="TBB1" s="87"/>
      <c r="TBC1" s="87"/>
      <c r="TBD1" s="87"/>
      <c r="TBE1" s="87"/>
      <c r="TBF1" s="87"/>
      <c r="TBG1" s="87"/>
      <c r="TBH1" s="87"/>
      <c r="TBI1" s="87"/>
      <c r="TBJ1" s="87"/>
      <c r="TBK1" s="87"/>
      <c r="TBL1" s="87"/>
      <c r="TBM1" s="87"/>
      <c r="TBN1" s="87"/>
      <c r="TBO1" s="87"/>
      <c r="TBP1" s="87"/>
      <c r="TBQ1" s="87"/>
      <c r="TBR1" s="87"/>
      <c r="TBS1" s="87"/>
      <c r="TBT1" s="87"/>
      <c r="TBU1" s="87"/>
      <c r="TBV1" s="87"/>
      <c r="TBW1" s="87"/>
      <c r="TBX1" s="87"/>
      <c r="TBY1" s="87"/>
      <c r="TBZ1" s="87"/>
      <c r="TCA1" s="87"/>
      <c r="TCB1" s="87"/>
      <c r="TCC1" s="87"/>
      <c r="TCD1" s="87"/>
      <c r="TCE1" s="87"/>
      <c r="TCF1" s="87"/>
      <c r="TCG1" s="87"/>
      <c r="TCH1" s="87"/>
      <c r="TCI1" s="87"/>
      <c r="TCJ1" s="87"/>
      <c r="TCK1" s="87"/>
      <c r="TCL1" s="87"/>
      <c r="TCM1" s="87"/>
      <c r="TCN1" s="87"/>
      <c r="TCO1" s="87"/>
      <c r="TCP1" s="87"/>
      <c r="TCQ1" s="87"/>
      <c r="TCR1" s="87"/>
      <c r="TCS1" s="87"/>
      <c r="TCT1" s="87"/>
      <c r="TCU1" s="87"/>
      <c r="TCV1" s="87"/>
      <c r="TCW1" s="87"/>
      <c r="TCX1" s="87"/>
      <c r="TCY1" s="87"/>
      <c r="TCZ1" s="87"/>
      <c r="TDA1" s="87"/>
      <c r="TDB1" s="87"/>
      <c r="TDC1" s="87"/>
      <c r="TDD1" s="87"/>
      <c r="TDE1" s="87"/>
      <c r="TDF1" s="87"/>
      <c r="TDG1" s="87"/>
      <c r="TDH1" s="87"/>
      <c r="TDI1" s="87"/>
      <c r="TDJ1" s="87"/>
      <c r="TDK1" s="87"/>
      <c r="TDL1" s="87"/>
      <c r="TDM1" s="87"/>
      <c r="TDN1" s="87"/>
      <c r="TDO1" s="87"/>
      <c r="TDP1" s="87"/>
      <c r="TDQ1" s="87"/>
      <c r="TDR1" s="87"/>
      <c r="TDS1" s="87"/>
      <c r="TDT1" s="87"/>
      <c r="TDU1" s="87"/>
      <c r="TDV1" s="87"/>
      <c r="TDW1" s="87"/>
      <c r="TDX1" s="87"/>
      <c r="TDY1" s="87"/>
      <c r="TDZ1" s="87"/>
      <c r="TEA1" s="87"/>
      <c r="TEB1" s="87"/>
      <c r="TEC1" s="87"/>
      <c r="TED1" s="87"/>
      <c r="TEE1" s="87"/>
      <c r="TEF1" s="87"/>
      <c r="TEG1" s="87"/>
      <c r="TEH1" s="87"/>
      <c r="TEI1" s="87"/>
      <c r="TEJ1" s="87"/>
      <c r="TEK1" s="87"/>
      <c r="TEL1" s="87"/>
      <c r="TEM1" s="87"/>
      <c r="TEN1" s="87"/>
      <c r="TEO1" s="87"/>
      <c r="TEP1" s="87"/>
      <c r="TEQ1" s="87"/>
      <c r="TER1" s="87"/>
      <c r="TES1" s="87"/>
      <c r="TET1" s="87"/>
      <c r="TEU1" s="87"/>
      <c r="TEV1" s="87"/>
      <c r="TEW1" s="87"/>
      <c r="TEX1" s="87"/>
      <c r="TEY1" s="87"/>
      <c r="TEZ1" s="87"/>
      <c r="TFA1" s="87"/>
      <c r="TFB1" s="87"/>
      <c r="TFC1" s="87"/>
      <c r="TFD1" s="87"/>
      <c r="TFE1" s="87"/>
      <c r="TFF1" s="87"/>
      <c r="TFG1" s="87"/>
      <c r="TFH1" s="87"/>
      <c r="TFI1" s="87"/>
      <c r="TFJ1" s="87"/>
      <c r="TFK1" s="87"/>
      <c r="TFL1" s="87"/>
      <c r="TFM1" s="87"/>
      <c r="TFN1" s="87"/>
      <c r="TFO1" s="87"/>
      <c r="TFP1" s="87"/>
      <c r="TFQ1" s="87"/>
      <c r="TFR1" s="87"/>
      <c r="TFS1" s="87"/>
      <c r="TFT1" s="87"/>
      <c r="TFU1" s="87"/>
      <c r="TFV1" s="87"/>
      <c r="TFW1" s="87"/>
      <c r="TFX1" s="87"/>
      <c r="TFY1" s="87"/>
      <c r="TFZ1" s="87"/>
      <c r="TGA1" s="87"/>
      <c r="TGB1" s="87"/>
      <c r="TGC1" s="87"/>
      <c r="TGD1" s="87"/>
      <c r="TGE1" s="87"/>
      <c r="TGF1" s="87"/>
      <c r="TGG1" s="87"/>
      <c r="TGH1" s="87"/>
      <c r="TGI1" s="87"/>
      <c r="TGJ1" s="87"/>
      <c r="TGK1" s="87"/>
      <c r="TGL1" s="87"/>
      <c r="TGM1" s="87"/>
      <c r="TGN1" s="87"/>
      <c r="TGO1" s="87"/>
      <c r="TGP1" s="87"/>
      <c r="TGQ1" s="87"/>
      <c r="TGR1" s="87"/>
      <c r="TGS1" s="87"/>
      <c r="TGT1" s="87"/>
      <c r="TGU1" s="87"/>
      <c r="TGV1" s="87"/>
      <c r="TGW1" s="87"/>
      <c r="TGX1" s="87"/>
      <c r="TGY1" s="87"/>
      <c r="TGZ1" s="87"/>
      <c r="THA1" s="87"/>
      <c r="THB1" s="87"/>
      <c r="THC1" s="87"/>
      <c r="THD1" s="87"/>
      <c r="THE1" s="87"/>
      <c r="THF1" s="87"/>
      <c r="THG1" s="87"/>
      <c r="THH1" s="87"/>
      <c r="THI1" s="87"/>
      <c r="THJ1" s="87"/>
      <c r="THK1" s="87"/>
      <c r="THL1" s="87"/>
      <c r="THM1" s="87"/>
      <c r="THN1" s="87"/>
      <c r="THO1" s="87"/>
      <c r="THP1" s="87"/>
      <c r="THQ1" s="87"/>
      <c r="THR1" s="87"/>
      <c r="THS1" s="87"/>
      <c r="THT1" s="87"/>
      <c r="THU1" s="87"/>
      <c r="THV1" s="87"/>
      <c r="THW1" s="87"/>
      <c r="THX1" s="87"/>
      <c r="THY1" s="87"/>
      <c r="THZ1" s="87"/>
      <c r="TIA1" s="87"/>
      <c r="TIB1" s="87"/>
      <c r="TIC1" s="87"/>
      <c r="TID1" s="87"/>
      <c r="TIE1" s="87"/>
      <c r="TIF1" s="87"/>
      <c r="TIG1" s="87"/>
      <c r="TIH1" s="87"/>
      <c r="TII1" s="87"/>
      <c r="TIJ1" s="87"/>
      <c r="TIK1" s="87"/>
      <c r="TIL1" s="87"/>
      <c r="TIM1" s="87"/>
      <c r="TIN1" s="87"/>
      <c r="TIO1" s="87"/>
      <c r="TIP1" s="87"/>
      <c r="TIQ1" s="87"/>
      <c r="TIR1" s="87"/>
      <c r="TIS1" s="87"/>
      <c r="TIT1" s="87"/>
      <c r="TIU1" s="87"/>
      <c r="TIV1" s="87"/>
      <c r="TIW1" s="87"/>
      <c r="TIX1" s="87"/>
      <c r="TIY1" s="87"/>
      <c r="TIZ1" s="87"/>
      <c r="TJA1" s="87"/>
      <c r="TJB1" s="87"/>
      <c r="TJC1" s="87"/>
      <c r="TJD1" s="87"/>
      <c r="TJE1" s="87"/>
      <c r="TJF1" s="87"/>
      <c r="TJG1" s="87"/>
      <c r="TJH1" s="87"/>
      <c r="TJI1" s="87"/>
      <c r="TJJ1" s="87"/>
      <c r="TJK1" s="87"/>
      <c r="TJL1" s="87"/>
      <c r="TJM1" s="87"/>
      <c r="TJN1" s="87"/>
      <c r="TJO1" s="87"/>
      <c r="TJP1" s="87"/>
      <c r="TJQ1" s="87"/>
      <c r="TJR1" s="87"/>
      <c r="TJS1" s="87"/>
      <c r="TJT1" s="87"/>
      <c r="TJU1" s="87"/>
      <c r="TJV1" s="87"/>
      <c r="TJW1" s="87"/>
      <c r="TJX1" s="87"/>
      <c r="TJY1" s="87"/>
      <c r="TJZ1" s="87"/>
      <c r="TKA1" s="87"/>
      <c r="TKB1" s="87"/>
      <c r="TKC1" s="87"/>
      <c r="TKD1" s="87"/>
      <c r="TKE1" s="87"/>
      <c r="TKF1" s="87"/>
      <c r="TKG1" s="87"/>
      <c r="TKH1" s="87"/>
      <c r="TKI1" s="87"/>
      <c r="TKJ1" s="87"/>
      <c r="TKK1" s="87"/>
      <c r="TKL1" s="87"/>
      <c r="TKM1" s="87"/>
      <c r="TKN1" s="87"/>
      <c r="TKO1" s="87"/>
      <c r="TKP1" s="87"/>
      <c r="TKQ1" s="87"/>
      <c r="TKR1" s="87"/>
      <c r="TKS1" s="87"/>
      <c r="TKT1" s="87"/>
      <c r="TKU1" s="87"/>
      <c r="TKV1" s="87"/>
      <c r="TKW1" s="87"/>
      <c r="TKX1" s="87"/>
      <c r="TKY1" s="87"/>
      <c r="TKZ1" s="87"/>
      <c r="TLA1" s="87"/>
      <c r="TLB1" s="87"/>
      <c r="TLC1" s="87"/>
      <c r="TLD1" s="87"/>
      <c r="TLE1" s="87"/>
      <c r="TLF1" s="87"/>
      <c r="TLG1" s="87"/>
      <c r="TLH1" s="87"/>
      <c r="TLI1" s="87"/>
      <c r="TLJ1" s="87"/>
      <c r="TLK1" s="87"/>
      <c r="TLL1" s="87"/>
      <c r="TLM1" s="87"/>
      <c r="TLN1" s="87"/>
      <c r="TLO1" s="87"/>
      <c r="TLP1" s="87"/>
      <c r="TLQ1" s="87"/>
      <c r="TLR1" s="87"/>
      <c r="TLS1" s="87"/>
      <c r="TLT1" s="87"/>
      <c r="TLU1" s="87"/>
      <c r="TLV1" s="87"/>
      <c r="TLW1" s="87"/>
      <c r="TLX1" s="87"/>
      <c r="TLY1" s="87"/>
      <c r="TLZ1" s="87"/>
      <c r="TMA1" s="87"/>
      <c r="TMB1" s="87"/>
      <c r="TMC1" s="87"/>
      <c r="TMD1" s="87"/>
      <c r="TME1" s="87"/>
      <c r="TMF1" s="87"/>
      <c r="TMG1" s="87"/>
      <c r="TMH1" s="87"/>
      <c r="TMI1" s="87"/>
      <c r="TMJ1" s="87"/>
      <c r="TMK1" s="87"/>
      <c r="TML1" s="87"/>
      <c r="TMM1" s="87"/>
      <c r="TMN1" s="87"/>
      <c r="TMO1" s="87"/>
      <c r="TMP1" s="87"/>
      <c r="TMQ1" s="87"/>
      <c r="TMR1" s="87"/>
      <c r="TMS1" s="87"/>
      <c r="TMT1" s="87"/>
      <c r="TMU1" s="87"/>
      <c r="TMV1" s="87"/>
      <c r="TMW1" s="87"/>
      <c r="TMX1" s="87"/>
      <c r="TMY1" s="87"/>
      <c r="TMZ1" s="87"/>
      <c r="TNA1" s="87"/>
      <c r="TNB1" s="87"/>
      <c r="TNC1" s="87"/>
      <c r="TND1" s="87"/>
      <c r="TNE1" s="87"/>
      <c r="TNF1" s="87"/>
      <c r="TNG1" s="87"/>
      <c r="TNH1" s="87"/>
      <c r="TNI1" s="87"/>
      <c r="TNJ1" s="87"/>
      <c r="TNK1" s="87"/>
      <c r="TNL1" s="87"/>
      <c r="TNM1" s="87"/>
      <c r="TNN1" s="87"/>
      <c r="TNO1" s="87"/>
      <c r="TNP1" s="87"/>
      <c r="TNQ1" s="87"/>
      <c r="TNR1" s="87"/>
      <c r="TNS1" s="87"/>
      <c r="TNT1" s="87"/>
      <c r="TNU1" s="87"/>
      <c r="TNV1" s="87"/>
      <c r="TNW1" s="87"/>
      <c r="TNX1" s="87"/>
      <c r="TNY1" s="87"/>
      <c r="TNZ1" s="87"/>
      <c r="TOA1" s="87"/>
      <c r="TOB1" s="87"/>
      <c r="TOC1" s="87"/>
      <c r="TOD1" s="87"/>
      <c r="TOE1" s="87"/>
      <c r="TOF1" s="87"/>
      <c r="TOG1" s="87"/>
      <c r="TOH1" s="87"/>
      <c r="TOI1" s="87"/>
      <c r="TOJ1" s="87"/>
      <c r="TOK1" s="87"/>
      <c r="TOL1" s="87"/>
      <c r="TOM1" s="87"/>
      <c r="TON1" s="87"/>
      <c r="TOO1" s="87"/>
      <c r="TOP1" s="87"/>
      <c r="TOQ1" s="87"/>
      <c r="TOR1" s="87"/>
      <c r="TOS1" s="87"/>
      <c r="TOT1" s="87"/>
      <c r="TOU1" s="87"/>
      <c r="TOV1" s="87"/>
      <c r="TOW1" s="87"/>
      <c r="TOX1" s="87"/>
      <c r="TOY1" s="87"/>
      <c r="TOZ1" s="87"/>
      <c r="TPA1" s="87"/>
      <c r="TPB1" s="87"/>
      <c r="TPC1" s="87"/>
      <c r="TPD1" s="87"/>
      <c r="TPE1" s="87"/>
      <c r="TPF1" s="87"/>
      <c r="TPG1" s="87"/>
      <c r="TPH1" s="87"/>
      <c r="TPI1" s="87"/>
      <c r="TPJ1" s="87"/>
      <c r="TPK1" s="87"/>
      <c r="TPL1" s="87"/>
      <c r="TPM1" s="87"/>
      <c r="TPN1" s="87"/>
      <c r="TPO1" s="87"/>
      <c r="TPP1" s="87"/>
      <c r="TPQ1" s="87"/>
      <c r="TPR1" s="87"/>
      <c r="TPS1" s="87"/>
      <c r="TPT1" s="87"/>
      <c r="TPU1" s="87"/>
      <c r="TPV1" s="87"/>
      <c r="TPW1" s="87"/>
      <c r="TPX1" s="87"/>
      <c r="TPY1" s="87"/>
      <c r="TPZ1" s="87"/>
      <c r="TQA1" s="87"/>
      <c r="TQB1" s="87"/>
      <c r="TQC1" s="87"/>
      <c r="TQD1" s="87"/>
      <c r="TQE1" s="87"/>
      <c r="TQF1" s="87"/>
      <c r="TQG1" s="87"/>
      <c r="TQH1" s="87"/>
      <c r="TQI1" s="87"/>
      <c r="TQJ1" s="87"/>
      <c r="TQK1" s="87"/>
      <c r="TQL1" s="87"/>
      <c r="TQM1" s="87"/>
      <c r="TQN1" s="87"/>
      <c r="TQO1" s="87"/>
      <c r="TQP1" s="87"/>
      <c r="TQQ1" s="87"/>
      <c r="TQR1" s="87"/>
      <c r="TQS1" s="87"/>
      <c r="TQT1" s="87"/>
      <c r="TQU1" s="87"/>
      <c r="TQV1" s="87"/>
      <c r="TQW1" s="87"/>
      <c r="TQX1" s="87"/>
      <c r="TQY1" s="87"/>
      <c r="TQZ1" s="87"/>
      <c r="TRA1" s="87"/>
      <c r="TRB1" s="87"/>
      <c r="TRC1" s="87"/>
      <c r="TRD1" s="87"/>
      <c r="TRE1" s="87"/>
      <c r="TRF1" s="87"/>
      <c r="TRG1" s="87"/>
      <c r="TRH1" s="87"/>
      <c r="TRI1" s="87"/>
      <c r="TRJ1" s="87"/>
      <c r="TRK1" s="87"/>
      <c r="TRL1" s="87"/>
      <c r="TRM1" s="87"/>
      <c r="TRN1" s="87"/>
      <c r="TRO1" s="87"/>
      <c r="TRP1" s="87"/>
      <c r="TRQ1" s="87"/>
      <c r="TRR1" s="87"/>
      <c r="TRS1" s="87"/>
      <c r="TRT1" s="87"/>
      <c r="TRU1" s="87"/>
      <c r="TRV1" s="87"/>
      <c r="TRW1" s="87"/>
      <c r="TRX1" s="87"/>
      <c r="TRY1" s="87"/>
      <c r="TRZ1" s="87"/>
      <c r="TSA1" s="87"/>
      <c r="TSB1" s="87"/>
      <c r="TSC1" s="87"/>
      <c r="TSD1" s="87"/>
      <c r="TSE1" s="87"/>
      <c r="TSF1" s="87"/>
      <c r="TSG1" s="87"/>
      <c r="TSH1" s="87"/>
      <c r="TSI1" s="87"/>
      <c r="TSJ1" s="87"/>
      <c r="TSK1" s="87"/>
      <c r="TSL1" s="87"/>
      <c r="TSM1" s="87"/>
      <c r="TSN1" s="87"/>
      <c r="TSO1" s="87"/>
      <c r="TSP1" s="87"/>
      <c r="TSQ1" s="87"/>
      <c r="TSR1" s="87"/>
      <c r="TSS1" s="87"/>
      <c r="TST1" s="87"/>
      <c r="TSU1" s="87"/>
      <c r="TSV1" s="87"/>
      <c r="TSW1" s="87"/>
      <c r="TSX1" s="87"/>
      <c r="TSY1" s="87"/>
      <c r="TSZ1" s="87"/>
      <c r="TTA1" s="87"/>
      <c r="TTB1" s="87"/>
      <c r="TTC1" s="87"/>
      <c r="TTD1" s="87"/>
      <c r="TTE1" s="87"/>
      <c r="TTF1" s="87"/>
      <c r="TTG1" s="87"/>
      <c r="TTH1" s="87"/>
      <c r="TTI1" s="87"/>
      <c r="TTJ1" s="87"/>
      <c r="TTK1" s="87"/>
      <c r="TTL1" s="87"/>
      <c r="TTM1" s="87"/>
      <c r="TTN1" s="87"/>
      <c r="TTO1" s="87"/>
      <c r="TTP1" s="87"/>
      <c r="TTQ1" s="87"/>
      <c r="TTR1" s="87"/>
      <c r="TTS1" s="87"/>
      <c r="TTT1" s="87"/>
      <c r="TTU1" s="87"/>
      <c r="TTV1" s="87"/>
      <c r="TTW1" s="87"/>
      <c r="TTX1" s="87"/>
      <c r="TTY1" s="87"/>
      <c r="TTZ1" s="87"/>
      <c r="TUA1" s="87"/>
      <c r="TUB1" s="87"/>
      <c r="TUC1" s="87"/>
      <c r="TUD1" s="87"/>
      <c r="TUE1" s="87"/>
      <c r="TUF1" s="87"/>
      <c r="TUG1" s="87"/>
      <c r="TUH1" s="87"/>
      <c r="TUI1" s="87"/>
      <c r="TUJ1" s="87"/>
      <c r="TUK1" s="87"/>
      <c r="TUL1" s="87"/>
      <c r="TUM1" s="87"/>
      <c r="TUN1" s="87"/>
      <c r="TUO1" s="87"/>
      <c r="TUP1" s="87"/>
      <c r="TUQ1" s="87"/>
      <c r="TUR1" s="87"/>
      <c r="TUS1" s="87"/>
      <c r="TUT1" s="87"/>
      <c r="TUU1" s="87"/>
      <c r="TUV1" s="87"/>
      <c r="TUW1" s="87"/>
      <c r="TUX1" s="87"/>
      <c r="TUY1" s="87"/>
      <c r="TUZ1" s="87"/>
      <c r="TVA1" s="87"/>
      <c r="TVB1" s="87"/>
      <c r="TVC1" s="87"/>
      <c r="TVD1" s="87"/>
      <c r="TVE1" s="87"/>
      <c r="TVF1" s="87"/>
      <c r="TVG1" s="87"/>
      <c r="TVH1" s="87"/>
      <c r="TVI1" s="87"/>
      <c r="TVJ1" s="87"/>
      <c r="TVK1" s="87"/>
      <c r="TVL1" s="87"/>
      <c r="TVM1" s="87"/>
      <c r="TVN1" s="87"/>
      <c r="TVO1" s="87"/>
      <c r="TVP1" s="87"/>
      <c r="TVQ1" s="87"/>
      <c r="TVR1" s="87"/>
      <c r="TVS1" s="87"/>
      <c r="TVT1" s="87"/>
      <c r="TVU1" s="87"/>
      <c r="TVV1" s="87"/>
      <c r="TVW1" s="87"/>
      <c r="TVX1" s="87"/>
      <c r="TVY1" s="87"/>
      <c r="TVZ1" s="87"/>
      <c r="TWA1" s="87"/>
      <c r="TWB1" s="87"/>
      <c r="TWC1" s="87"/>
      <c r="TWD1" s="87"/>
      <c r="TWE1" s="87"/>
      <c r="TWF1" s="87"/>
      <c r="TWG1" s="87"/>
      <c r="TWH1" s="87"/>
      <c r="TWI1" s="87"/>
      <c r="TWJ1" s="87"/>
      <c r="TWK1" s="87"/>
      <c r="TWL1" s="87"/>
      <c r="TWM1" s="87"/>
      <c r="TWN1" s="87"/>
      <c r="TWO1" s="87"/>
      <c r="TWP1" s="87"/>
      <c r="TWQ1" s="87"/>
      <c r="TWR1" s="87"/>
      <c r="TWS1" s="87"/>
      <c r="TWT1" s="87"/>
      <c r="TWU1" s="87"/>
      <c r="TWV1" s="87"/>
      <c r="TWW1" s="87"/>
      <c r="TWX1" s="87"/>
      <c r="TWY1" s="87"/>
      <c r="TWZ1" s="87"/>
      <c r="TXA1" s="87"/>
      <c r="TXB1" s="87"/>
      <c r="TXC1" s="87"/>
      <c r="TXD1" s="87"/>
      <c r="TXE1" s="87"/>
      <c r="TXF1" s="87"/>
      <c r="TXG1" s="87"/>
      <c r="TXH1" s="87"/>
      <c r="TXI1" s="87"/>
      <c r="TXJ1" s="87"/>
      <c r="TXK1" s="87"/>
      <c r="TXL1" s="87"/>
      <c r="TXM1" s="87"/>
      <c r="TXN1" s="87"/>
      <c r="TXO1" s="87"/>
      <c r="TXP1" s="87"/>
      <c r="TXQ1" s="87"/>
      <c r="TXR1" s="87"/>
      <c r="TXS1" s="87"/>
      <c r="TXT1" s="87"/>
      <c r="TXU1" s="87"/>
      <c r="TXV1" s="87"/>
      <c r="TXW1" s="87"/>
      <c r="TXX1" s="87"/>
      <c r="TXY1" s="87"/>
      <c r="TXZ1" s="87"/>
      <c r="TYA1" s="87"/>
      <c r="TYB1" s="87"/>
      <c r="TYC1" s="87"/>
      <c r="TYD1" s="87"/>
      <c r="TYE1" s="87"/>
      <c r="TYF1" s="87"/>
      <c r="TYG1" s="87"/>
      <c r="TYH1" s="87"/>
      <c r="TYI1" s="87"/>
      <c r="TYJ1" s="87"/>
      <c r="TYK1" s="87"/>
      <c r="TYL1" s="87"/>
      <c r="TYM1" s="87"/>
      <c r="TYN1" s="87"/>
      <c r="TYO1" s="87"/>
      <c r="TYP1" s="87"/>
      <c r="TYQ1" s="87"/>
      <c r="TYR1" s="87"/>
      <c r="TYS1" s="87"/>
      <c r="TYT1" s="87"/>
      <c r="TYU1" s="87"/>
      <c r="TYV1" s="87"/>
      <c r="TYW1" s="87"/>
      <c r="TYX1" s="87"/>
      <c r="TYY1" s="87"/>
      <c r="TYZ1" s="87"/>
      <c r="TZA1" s="87"/>
      <c r="TZB1" s="87"/>
      <c r="TZC1" s="87"/>
      <c r="TZD1" s="87"/>
      <c r="TZE1" s="87"/>
      <c r="TZF1" s="87"/>
      <c r="TZG1" s="87"/>
      <c r="TZH1" s="87"/>
      <c r="TZI1" s="87"/>
      <c r="TZJ1" s="87"/>
      <c r="TZK1" s="87"/>
      <c r="TZL1" s="87"/>
      <c r="TZM1" s="87"/>
      <c r="TZN1" s="87"/>
      <c r="TZO1" s="87"/>
      <c r="TZP1" s="87"/>
      <c r="TZQ1" s="87"/>
      <c r="TZR1" s="87"/>
      <c r="TZS1" s="87"/>
      <c r="TZT1" s="87"/>
      <c r="TZU1" s="87"/>
      <c r="TZV1" s="87"/>
      <c r="TZW1" s="87"/>
      <c r="TZX1" s="87"/>
      <c r="TZY1" s="87"/>
      <c r="TZZ1" s="87"/>
      <c r="UAA1" s="87"/>
      <c r="UAB1" s="87"/>
      <c r="UAC1" s="87"/>
      <c r="UAD1" s="87"/>
      <c r="UAE1" s="87"/>
      <c r="UAF1" s="87"/>
      <c r="UAG1" s="87"/>
      <c r="UAH1" s="87"/>
      <c r="UAI1" s="87"/>
      <c r="UAJ1" s="87"/>
      <c r="UAK1" s="87"/>
      <c r="UAL1" s="87"/>
      <c r="UAM1" s="87"/>
      <c r="UAN1" s="87"/>
      <c r="UAO1" s="87"/>
      <c r="UAP1" s="87"/>
      <c r="UAQ1" s="87"/>
      <c r="UAR1" s="87"/>
      <c r="UAS1" s="87"/>
      <c r="UAT1" s="87"/>
      <c r="UAU1" s="87"/>
      <c r="UAV1" s="87"/>
      <c r="UAW1" s="87"/>
      <c r="UAX1" s="87"/>
      <c r="UAY1" s="87"/>
      <c r="UAZ1" s="87"/>
      <c r="UBA1" s="87"/>
      <c r="UBB1" s="87"/>
      <c r="UBC1" s="87"/>
      <c r="UBD1" s="87"/>
      <c r="UBE1" s="87"/>
      <c r="UBF1" s="87"/>
      <c r="UBG1" s="87"/>
      <c r="UBH1" s="87"/>
      <c r="UBI1" s="87"/>
      <c r="UBJ1" s="87"/>
      <c r="UBK1" s="87"/>
      <c r="UBL1" s="87"/>
      <c r="UBM1" s="87"/>
      <c r="UBN1" s="87"/>
      <c r="UBO1" s="87"/>
      <c r="UBP1" s="87"/>
      <c r="UBQ1" s="87"/>
      <c r="UBR1" s="87"/>
      <c r="UBS1" s="87"/>
      <c r="UBT1" s="87"/>
      <c r="UBU1" s="87"/>
      <c r="UBV1" s="87"/>
      <c r="UBW1" s="87"/>
      <c r="UBX1" s="87"/>
      <c r="UBY1" s="87"/>
      <c r="UBZ1" s="87"/>
      <c r="UCA1" s="87"/>
      <c r="UCB1" s="87"/>
      <c r="UCC1" s="87"/>
      <c r="UCD1" s="87"/>
      <c r="UCE1" s="87"/>
      <c r="UCF1" s="87"/>
      <c r="UCG1" s="87"/>
      <c r="UCH1" s="87"/>
      <c r="UCI1" s="87"/>
      <c r="UCJ1" s="87"/>
      <c r="UCK1" s="87"/>
      <c r="UCL1" s="87"/>
      <c r="UCM1" s="87"/>
      <c r="UCN1" s="87"/>
      <c r="UCO1" s="87"/>
      <c r="UCP1" s="87"/>
      <c r="UCQ1" s="87"/>
      <c r="UCR1" s="87"/>
      <c r="UCS1" s="87"/>
      <c r="UCT1" s="87"/>
      <c r="UCU1" s="87"/>
      <c r="UCV1" s="87"/>
      <c r="UCW1" s="87"/>
      <c r="UCX1" s="87"/>
      <c r="UCY1" s="87"/>
      <c r="UCZ1" s="87"/>
      <c r="UDA1" s="87"/>
      <c r="UDB1" s="87"/>
      <c r="UDC1" s="87"/>
      <c r="UDD1" s="87"/>
      <c r="UDE1" s="87"/>
      <c r="UDF1" s="87"/>
      <c r="UDG1" s="87"/>
      <c r="UDH1" s="87"/>
      <c r="UDI1" s="87"/>
      <c r="UDJ1" s="87"/>
      <c r="UDK1" s="87"/>
      <c r="UDL1" s="87"/>
      <c r="UDM1" s="87"/>
      <c r="UDN1" s="87"/>
      <c r="UDO1" s="87"/>
      <c r="UDP1" s="87"/>
      <c r="UDQ1" s="87"/>
      <c r="UDR1" s="87"/>
      <c r="UDS1" s="87"/>
      <c r="UDT1" s="87"/>
      <c r="UDU1" s="87"/>
      <c r="UDV1" s="87"/>
      <c r="UDW1" s="87"/>
      <c r="UDX1" s="87"/>
      <c r="UDY1" s="87"/>
      <c r="UDZ1" s="87"/>
      <c r="UEA1" s="87"/>
      <c r="UEB1" s="87"/>
      <c r="UEC1" s="87"/>
      <c r="UED1" s="87"/>
      <c r="UEE1" s="87"/>
      <c r="UEF1" s="87"/>
      <c r="UEG1" s="87"/>
      <c r="UEH1" s="87"/>
      <c r="UEI1" s="87"/>
      <c r="UEJ1" s="87"/>
      <c r="UEK1" s="87"/>
      <c r="UEL1" s="87"/>
      <c r="UEM1" s="87"/>
      <c r="UEN1" s="87"/>
      <c r="UEO1" s="87"/>
      <c r="UEP1" s="87"/>
      <c r="UEQ1" s="87"/>
      <c r="UER1" s="87"/>
      <c r="UES1" s="87"/>
      <c r="UET1" s="87"/>
      <c r="UEU1" s="87"/>
      <c r="UEV1" s="87"/>
      <c r="UEW1" s="87"/>
      <c r="UEX1" s="87"/>
      <c r="UEY1" s="87"/>
      <c r="UEZ1" s="87"/>
      <c r="UFA1" s="87"/>
      <c r="UFB1" s="87"/>
      <c r="UFC1" s="87"/>
      <c r="UFD1" s="87"/>
      <c r="UFE1" s="87"/>
      <c r="UFF1" s="87"/>
      <c r="UFG1" s="87"/>
      <c r="UFH1" s="87"/>
      <c r="UFI1" s="87"/>
      <c r="UFJ1" s="87"/>
      <c r="UFK1" s="87"/>
      <c r="UFL1" s="87"/>
      <c r="UFM1" s="87"/>
      <c r="UFN1" s="87"/>
      <c r="UFO1" s="87"/>
      <c r="UFP1" s="87"/>
      <c r="UFQ1" s="87"/>
      <c r="UFR1" s="87"/>
      <c r="UFS1" s="87"/>
      <c r="UFT1" s="87"/>
      <c r="UFU1" s="87"/>
      <c r="UFV1" s="87"/>
      <c r="UFW1" s="87"/>
      <c r="UFX1" s="87"/>
      <c r="UFY1" s="87"/>
      <c r="UFZ1" s="87"/>
      <c r="UGA1" s="87"/>
      <c r="UGB1" s="87"/>
      <c r="UGC1" s="87"/>
      <c r="UGD1" s="87"/>
      <c r="UGE1" s="87"/>
      <c r="UGF1" s="87"/>
      <c r="UGG1" s="87"/>
      <c r="UGH1" s="87"/>
      <c r="UGI1" s="87"/>
      <c r="UGJ1" s="87"/>
      <c r="UGK1" s="87"/>
      <c r="UGL1" s="87"/>
      <c r="UGM1" s="87"/>
      <c r="UGN1" s="87"/>
      <c r="UGO1" s="87"/>
      <c r="UGP1" s="87"/>
      <c r="UGQ1" s="87"/>
      <c r="UGR1" s="87"/>
      <c r="UGS1" s="87"/>
      <c r="UGT1" s="87"/>
      <c r="UGU1" s="87"/>
      <c r="UGV1" s="87"/>
      <c r="UGW1" s="87"/>
      <c r="UGX1" s="87"/>
      <c r="UGY1" s="87"/>
      <c r="UGZ1" s="87"/>
      <c r="UHA1" s="87"/>
      <c r="UHB1" s="87"/>
      <c r="UHC1" s="87"/>
      <c r="UHD1" s="87"/>
      <c r="UHE1" s="87"/>
      <c r="UHF1" s="87"/>
      <c r="UHG1" s="87"/>
      <c r="UHH1" s="87"/>
      <c r="UHI1" s="87"/>
      <c r="UHJ1" s="87"/>
      <c r="UHK1" s="87"/>
      <c r="UHL1" s="87"/>
      <c r="UHM1" s="87"/>
      <c r="UHN1" s="87"/>
      <c r="UHO1" s="87"/>
      <c r="UHP1" s="87"/>
      <c r="UHQ1" s="87"/>
      <c r="UHR1" s="87"/>
      <c r="UHS1" s="87"/>
      <c r="UHT1" s="87"/>
      <c r="UHU1" s="87"/>
      <c r="UHV1" s="87"/>
      <c r="UHW1" s="87"/>
      <c r="UHX1" s="87"/>
      <c r="UHY1" s="87"/>
      <c r="UHZ1" s="87"/>
      <c r="UIA1" s="87"/>
      <c r="UIB1" s="87"/>
      <c r="UIC1" s="87"/>
      <c r="UID1" s="87"/>
      <c r="UIE1" s="87"/>
      <c r="UIF1" s="87"/>
      <c r="UIG1" s="87"/>
      <c r="UIH1" s="87"/>
      <c r="UII1" s="87"/>
      <c r="UIJ1" s="87"/>
      <c r="UIK1" s="87"/>
      <c r="UIL1" s="87"/>
      <c r="UIM1" s="87"/>
      <c r="UIN1" s="87"/>
      <c r="UIO1" s="87"/>
      <c r="UIP1" s="87"/>
      <c r="UIQ1" s="87"/>
      <c r="UIR1" s="87"/>
      <c r="UIS1" s="87"/>
      <c r="UIT1" s="87"/>
      <c r="UIU1" s="87"/>
      <c r="UIV1" s="87"/>
      <c r="UIW1" s="87"/>
      <c r="UIX1" s="87"/>
      <c r="UIY1" s="87"/>
      <c r="UIZ1" s="87"/>
      <c r="UJA1" s="87"/>
      <c r="UJB1" s="87"/>
      <c r="UJC1" s="87"/>
      <c r="UJD1" s="87"/>
      <c r="UJE1" s="87"/>
      <c r="UJF1" s="87"/>
      <c r="UJG1" s="87"/>
      <c r="UJH1" s="87"/>
      <c r="UJI1" s="87"/>
      <c r="UJJ1" s="87"/>
      <c r="UJK1" s="87"/>
      <c r="UJL1" s="87"/>
      <c r="UJM1" s="87"/>
      <c r="UJN1" s="87"/>
      <c r="UJO1" s="87"/>
      <c r="UJP1" s="87"/>
      <c r="UJQ1" s="87"/>
      <c r="UJR1" s="87"/>
      <c r="UJS1" s="87"/>
      <c r="UJT1" s="87"/>
      <c r="UJU1" s="87"/>
      <c r="UJV1" s="87"/>
      <c r="UJW1" s="87"/>
      <c r="UJX1" s="87"/>
      <c r="UJY1" s="87"/>
      <c r="UJZ1" s="87"/>
      <c r="UKA1" s="87"/>
      <c r="UKB1" s="87"/>
      <c r="UKC1" s="87"/>
      <c r="UKD1" s="87"/>
      <c r="UKE1" s="87"/>
      <c r="UKF1" s="87"/>
      <c r="UKG1" s="87"/>
      <c r="UKH1" s="87"/>
      <c r="UKI1" s="87"/>
      <c r="UKJ1" s="87"/>
      <c r="UKK1" s="87"/>
      <c r="UKL1" s="87"/>
      <c r="UKM1" s="87"/>
      <c r="UKN1" s="87"/>
      <c r="UKO1" s="87"/>
      <c r="UKP1" s="87"/>
      <c r="UKQ1" s="87"/>
      <c r="UKR1" s="87"/>
      <c r="UKS1" s="87"/>
      <c r="UKT1" s="87"/>
      <c r="UKU1" s="87"/>
      <c r="UKV1" s="87"/>
      <c r="UKW1" s="87"/>
      <c r="UKX1" s="87"/>
      <c r="UKY1" s="87"/>
      <c r="UKZ1" s="87"/>
      <c r="ULA1" s="87"/>
      <c r="ULB1" s="87"/>
      <c r="ULC1" s="87"/>
      <c r="ULD1" s="87"/>
      <c r="ULE1" s="87"/>
      <c r="ULF1" s="87"/>
      <c r="ULG1" s="87"/>
      <c r="ULH1" s="87"/>
      <c r="ULI1" s="87"/>
      <c r="ULJ1" s="87"/>
      <c r="ULK1" s="87"/>
      <c r="ULL1" s="87"/>
      <c r="ULM1" s="87"/>
      <c r="ULN1" s="87"/>
      <c r="ULO1" s="87"/>
      <c r="ULP1" s="87"/>
      <c r="ULQ1" s="87"/>
      <c r="ULR1" s="87"/>
      <c r="ULS1" s="87"/>
      <c r="ULT1" s="87"/>
      <c r="ULU1" s="87"/>
      <c r="ULV1" s="87"/>
      <c r="ULW1" s="87"/>
      <c r="ULX1" s="87"/>
      <c r="ULY1" s="87"/>
      <c r="ULZ1" s="87"/>
      <c r="UMA1" s="87"/>
      <c r="UMB1" s="87"/>
      <c r="UMC1" s="87"/>
      <c r="UMD1" s="87"/>
      <c r="UME1" s="87"/>
      <c r="UMF1" s="87"/>
      <c r="UMG1" s="87"/>
      <c r="UMH1" s="87"/>
      <c r="UMI1" s="87"/>
      <c r="UMJ1" s="87"/>
      <c r="UMK1" s="87"/>
      <c r="UML1" s="87"/>
      <c r="UMM1" s="87"/>
      <c r="UMN1" s="87"/>
      <c r="UMO1" s="87"/>
      <c r="UMP1" s="87"/>
      <c r="UMQ1" s="87"/>
      <c r="UMR1" s="87"/>
      <c r="UMS1" s="87"/>
      <c r="UMT1" s="87"/>
      <c r="UMU1" s="87"/>
      <c r="UMV1" s="87"/>
      <c r="UMW1" s="87"/>
      <c r="UMX1" s="87"/>
      <c r="UMY1" s="87"/>
      <c r="UMZ1" s="87"/>
      <c r="UNA1" s="87"/>
      <c r="UNB1" s="87"/>
      <c r="UNC1" s="87"/>
      <c r="UND1" s="87"/>
      <c r="UNE1" s="87"/>
      <c r="UNF1" s="87"/>
      <c r="UNG1" s="87"/>
      <c r="UNH1" s="87"/>
      <c r="UNI1" s="87"/>
      <c r="UNJ1" s="87"/>
      <c r="UNK1" s="87"/>
      <c r="UNL1" s="87"/>
      <c r="UNM1" s="87"/>
      <c r="UNN1" s="87"/>
      <c r="UNO1" s="87"/>
      <c r="UNP1" s="87"/>
      <c r="UNQ1" s="87"/>
      <c r="UNR1" s="87"/>
      <c r="UNS1" s="87"/>
      <c r="UNT1" s="87"/>
      <c r="UNU1" s="87"/>
      <c r="UNV1" s="87"/>
      <c r="UNW1" s="87"/>
      <c r="UNX1" s="87"/>
      <c r="UNY1" s="87"/>
      <c r="UNZ1" s="87"/>
      <c r="UOA1" s="87"/>
      <c r="UOB1" s="87"/>
      <c r="UOC1" s="87"/>
      <c r="UOD1" s="87"/>
      <c r="UOE1" s="87"/>
      <c r="UOF1" s="87"/>
      <c r="UOG1" s="87"/>
      <c r="UOH1" s="87"/>
      <c r="UOI1" s="87"/>
      <c r="UOJ1" s="87"/>
      <c r="UOK1" s="87"/>
      <c r="UOL1" s="87"/>
      <c r="UOM1" s="87"/>
      <c r="UON1" s="87"/>
      <c r="UOO1" s="87"/>
      <c r="UOP1" s="87"/>
      <c r="UOQ1" s="87"/>
      <c r="UOR1" s="87"/>
      <c r="UOS1" s="87"/>
      <c r="UOT1" s="87"/>
      <c r="UOU1" s="87"/>
      <c r="UOV1" s="87"/>
      <c r="UOW1" s="87"/>
      <c r="UOX1" s="87"/>
      <c r="UOY1" s="87"/>
      <c r="UOZ1" s="87"/>
      <c r="UPA1" s="87"/>
      <c r="UPB1" s="87"/>
      <c r="UPC1" s="87"/>
      <c r="UPD1" s="87"/>
      <c r="UPE1" s="87"/>
      <c r="UPF1" s="87"/>
      <c r="UPG1" s="87"/>
      <c r="UPH1" s="87"/>
      <c r="UPI1" s="87"/>
      <c r="UPJ1" s="87"/>
      <c r="UPK1" s="87"/>
      <c r="UPL1" s="87"/>
      <c r="UPM1" s="87"/>
      <c r="UPN1" s="87"/>
      <c r="UPO1" s="87"/>
      <c r="UPP1" s="87"/>
      <c r="UPQ1" s="87"/>
      <c r="UPR1" s="87"/>
      <c r="UPS1" s="87"/>
      <c r="UPT1" s="87"/>
      <c r="UPU1" s="87"/>
      <c r="UPV1" s="87"/>
      <c r="UPW1" s="87"/>
      <c r="UPX1" s="87"/>
      <c r="UPY1" s="87"/>
      <c r="UPZ1" s="87"/>
      <c r="UQA1" s="87"/>
      <c r="UQB1" s="87"/>
      <c r="UQC1" s="87"/>
      <c r="UQD1" s="87"/>
      <c r="UQE1" s="87"/>
      <c r="UQF1" s="87"/>
      <c r="UQG1" s="87"/>
      <c r="UQH1" s="87"/>
      <c r="UQI1" s="87"/>
      <c r="UQJ1" s="87"/>
      <c r="UQK1" s="87"/>
      <c r="UQL1" s="87"/>
      <c r="UQM1" s="87"/>
      <c r="UQN1" s="87"/>
      <c r="UQO1" s="87"/>
      <c r="UQP1" s="87"/>
      <c r="UQQ1" s="87"/>
      <c r="UQR1" s="87"/>
      <c r="UQS1" s="87"/>
      <c r="UQT1" s="87"/>
      <c r="UQU1" s="87"/>
      <c r="UQV1" s="87"/>
      <c r="UQW1" s="87"/>
      <c r="UQX1" s="87"/>
      <c r="UQY1" s="87"/>
      <c r="UQZ1" s="87"/>
      <c r="URA1" s="87"/>
      <c r="URB1" s="87"/>
      <c r="URC1" s="87"/>
      <c r="URD1" s="87"/>
      <c r="URE1" s="87"/>
      <c r="URF1" s="87"/>
      <c r="URG1" s="87"/>
      <c r="URH1" s="87"/>
      <c r="URI1" s="87"/>
      <c r="URJ1" s="87"/>
      <c r="URK1" s="87"/>
      <c r="URL1" s="87"/>
      <c r="URM1" s="87"/>
      <c r="URN1" s="87"/>
      <c r="URO1" s="87"/>
      <c r="URP1" s="87"/>
      <c r="URQ1" s="87"/>
      <c r="URR1" s="87"/>
      <c r="URS1" s="87"/>
      <c r="URT1" s="87"/>
      <c r="URU1" s="87"/>
      <c r="URV1" s="87"/>
      <c r="URW1" s="87"/>
      <c r="URX1" s="87"/>
      <c r="URY1" s="87"/>
      <c r="URZ1" s="87"/>
      <c r="USA1" s="87"/>
      <c r="USB1" s="87"/>
      <c r="USC1" s="87"/>
      <c r="USD1" s="87"/>
      <c r="USE1" s="87"/>
      <c r="USF1" s="87"/>
      <c r="USG1" s="87"/>
      <c r="USH1" s="87"/>
      <c r="USI1" s="87"/>
      <c r="USJ1" s="87"/>
      <c r="USK1" s="87"/>
      <c r="USL1" s="87"/>
      <c r="USM1" s="87"/>
      <c r="USN1" s="87"/>
      <c r="USO1" s="87"/>
      <c r="USP1" s="87"/>
      <c r="USQ1" s="87"/>
      <c r="USR1" s="87"/>
      <c r="USS1" s="87"/>
      <c r="UST1" s="87"/>
      <c r="USU1" s="87"/>
      <c r="USV1" s="87"/>
      <c r="USW1" s="87"/>
      <c r="USX1" s="87"/>
      <c r="USY1" s="87"/>
      <c r="USZ1" s="87"/>
      <c r="UTA1" s="87"/>
      <c r="UTB1" s="87"/>
      <c r="UTC1" s="87"/>
      <c r="UTD1" s="87"/>
      <c r="UTE1" s="87"/>
      <c r="UTF1" s="87"/>
      <c r="UTG1" s="87"/>
      <c r="UTH1" s="87"/>
      <c r="UTI1" s="87"/>
      <c r="UTJ1" s="87"/>
      <c r="UTK1" s="87"/>
      <c r="UTL1" s="87"/>
      <c r="UTM1" s="87"/>
      <c r="UTN1" s="87"/>
      <c r="UTO1" s="87"/>
      <c r="UTP1" s="87"/>
      <c r="UTQ1" s="87"/>
      <c r="UTR1" s="87"/>
      <c r="UTS1" s="87"/>
      <c r="UTT1" s="87"/>
      <c r="UTU1" s="87"/>
      <c r="UTV1" s="87"/>
      <c r="UTW1" s="87"/>
      <c r="UTX1" s="87"/>
      <c r="UTY1" s="87"/>
      <c r="UTZ1" s="87"/>
      <c r="UUA1" s="87"/>
      <c r="UUB1" s="87"/>
      <c r="UUC1" s="87"/>
      <c r="UUD1" s="87"/>
      <c r="UUE1" s="87"/>
      <c r="UUF1" s="87"/>
      <c r="UUG1" s="87"/>
      <c r="UUH1" s="87"/>
      <c r="UUI1" s="87"/>
      <c r="UUJ1" s="87"/>
      <c r="UUK1" s="87"/>
      <c r="UUL1" s="87"/>
      <c r="UUM1" s="87"/>
      <c r="UUN1" s="87"/>
      <c r="UUO1" s="87"/>
      <c r="UUP1" s="87"/>
      <c r="UUQ1" s="87"/>
      <c r="UUR1" s="87"/>
      <c r="UUS1" s="87"/>
      <c r="UUT1" s="87"/>
      <c r="UUU1" s="87"/>
      <c r="UUV1" s="87"/>
      <c r="UUW1" s="87"/>
      <c r="UUX1" s="87"/>
      <c r="UUY1" s="87"/>
      <c r="UUZ1" s="87"/>
      <c r="UVA1" s="87"/>
      <c r="UVB1" s="87"/>
      <c r="UVC1" s="87"/>
      <c r="UVD1" s="87"/>
      <c r="UVE1" s="87"/>
      <c r="UVF1" s="87"/>
      <c r="UVG1" s="87"/>
      <c r="UVH1" s="87"/>
      <c r="UVI1" s="87"/>
      <c r="UVJ1" s="87"/>
      <c r="UVK1" s="87"/>
      <c r="UVL1" s="87"/>
      <c r="UVM1" s="87"/>
      <c r="UVN1" s="87"/>
      <c r="UVO1" s="87"/>
      <c r="UVP1" s="87"/>
      <c r="UVQ1" s="87"/>
      <c r="UVR1" s="87"/>
      <c r="UVS1" s="87"/>
      <c r="UVT1" s="87"/>
      <c r="UVU1" s="87"/>
      <c r="UVV1" s="87"/>
      <c r="UVW1" s="87"/>
      <c r="UVX1" s="87"/>
      <c r="UVY1" s="87"/>
      <c r="UVZ1" s="87"/>
      <c r="UWA1" s="87"/>
      <c r="UWB1" s="87"/>
      <c r="UWC1" s="87"/>
      <c r="UWD1" s="87"/>
      <c r="UWE1" s="87"/>
      <c r="UWF1" s="87"/>
      <c r="UWG1" s="87"/>
      <c r="UWH1" s="87"/>
      <c r="UWI1" s="87"/>
      <c r="UWJ1" s="87"/>
      <c r="UWK1" s="87"/>
      <c r="UWL1" s="87"/>
      <c r="UWM1" s="87"/>
      <c r="UWN1" s="87"/>
      <c r="UWO1" s="87"/>
      <c r="UWP1" s="87"/>
      <c r="UWQ1" s="87"/>
      <c r="UWR1" s="87"/>
      <c r="UWS1" s="87"/>
      <c r="UWT1" s="87"/>
      <c r="UWU1" s="87"/>
      <c r="UWV1" s="87"/>
      <c r="UWW1" s="87"/>
      <c r="UWX1" s="87"/>
      <c r="UWY1" s="87"/>
      <c r="UWZ1" s="87"/>
      <c r="UXA1" s="87"/>
      <c r="UXB1" s="87"/>
      <c r="UXC1" s="87"/>
      <c r="UXD1" s="87"/>
      <c r="UXE1" s="87"/>
      <c r="UXF1" s="87"/>
      <c r="UXG1" s="87"/>
      <c r="UXH1" s="87"/>
      <c r="UXI1" s="87"/>
      <c r="UXJ1" s="87"/>
      <c r="UXK1" s="87"/>
      <c r="UXL1" s="87"/>
      <c r="UXM1" s="87"/>
      <c r="UXN1" s="87"/>
      <c r="UXO1" s="87"/>
      <c r="UXP1" s="87"/>
      <c r="UXQ1" s="87"/>
      <c r="UXR1" s="87"/>
      <c r="UXS1" s="87"/>
      <c r="UXT1" s="87"/>
      <c r="UXU1" s="87"/>
      <c r="UXV1" s="87"/>
      <c r="UXW1" s="87"/>
      <c r="UXX1" s="87"/>
      <c r="UXY1" s="87"/>
      <c r="UXZ1" s="87"/>
      <c r="UYA1" s="87"/>
      <c r="UYB1" s="87"/>
      <c r="UYC1" s="87"/>
      <c r="UYD1" s="87"/>
      <c r="UYE1" s="87"/>
      <c r="UYF1" s="87"/>
      <c r="UYG1" s="87"/>
      <c r="UYH1" s="87"/>
      <c r="UYI1" s="87"/>
      <c r="UYJ1" s="87"/>
      <c r="UYK1" s="87"/>
      <c r="UYL1" s="87"/>
      <c r="UYM1" s="87"/>
      <c r="UYN1" s="87"/>
      <c r="UYO1" s="87"/>
      <c r="UYP1" s="87"/>
      <c r="UYQ1" s="87"/>
      <c r="UYR1" s="87"/>
      <c r="UYS1" s="87"/>
      <c r="UYT1" s="87"/>
      <c r="UYU1" s="87"/>
      <c r="UYV1" s="87"/>
      <c r="UYW1" s="87"/>
      <c r="UYX1" s="87"/>
      <c r="UYY1" s="87"/>
      <c r="UYZ1" s="87"/>
      <c r="UZA1" s="87"/>
      <c r="UZB1" s="87"/>
      <c r="UZC1" s="87"/>
      <c r="UZD1" s="87"/>
      <c r="UZE1" s="87"/>
      <c r="UZF1" s="87"/>
      <c r="UZG1" s="87"/>
      <c r="UZH1" s="87"/>
      <c r="UZI1" s="87"/>
      <c r="UZJ1" s="87"/>
      <c r="UZK1" s="87"/>
      <c r="UZL1" s="87"/>
      <c r="UZM1" s="87"/>
      <c r="UZN1" s="87"/>
      <c r="UZO1" s="87"/>
      <c r="UZP1" s="87"/>
      <c r="UZQ1" s="87"/>
      <c r="UZR1" s="87"/>
      <c r="UZS1" s="87"/>
      <c r="UZT1" s="87"/>
      <c r="UZU1" s="87"/>
      <c r="UZV1" s="87"/>
      <c r="UZW1" s="87"/>
      <c r="UZX1" s="87"/>
      <c r="UZY1" s="87"/>
      <c r="UZZ1" s="87"/>
      <c r="VAA1" s="87"/>
      <c r="VAB1" s="87"/>
      <c r="VAC1" s="87"/>
      <c r="VAD1" s="87"/>
      <c r="VAE1" s="87"/>
      <c r="VAF1" s="87"/>
      <c r="VAG1" s="87"/>
      <c r="VAH1" s="87"/>
      <c r="VAI1" s="87"/>
      <c r="VAJ1" s="87"/>
      <c r="VAK1" s="87"/>
      <c r="VAL1" s="87"/>
      <c r="VAM1" s="87"/>
      <c r="VAN1" s="87"/>
      <c r="VAO1" s="87"/>
      <c r="VAP1" s="87"/>
      <c r="VAQ1" s="87"/>
      <c r="VAR1" s="87"/>
      <c r="VAS1" s="87"/>
      <c r="VAT1" s="87"/>
      <c r="VAU1" s="87"/>
      <c r="VAV1" s="87"/>
      <c r="VAW1" s="87"/>
      <c r="VAX1" s="87"/>
      <c r="VAY1" s="87"/>
      <c r="VAZ1" s="87"/>
      <c r="VBA1" s="87"/>
      <c r="VBB1" s="87"/>
      <c r="VBC1" s="87"/>
      <c r="VBD1" s="87"/>
      <c r="VBE1" s="87"/>
      <c r="VBF1" s="87"/>
      <c r="VBG1" s="87"/>
      <c r="VBH1" s="87"/>
      <c r="VBI1" s="87"/>
      <c r="VBJ1" s="87"/>
      <c r="VBK1" s="87"/>
      <c r="VBL1" s="87"/>
      <c r="VBM1" s="87"/>
      <c r="VBN1" s="87"/>
      <c r="VBO1" s="87"/>
      <c r="VBP1" s="87"/>
      <c r="VBQ1" s="87"/>
      <c r="VBR1" s="87"/>
      <c r="VBS1" s="87"/>
      <c r="VBT1" s="87"/>
      <c r="VBU1" s="87"/>
      <c r="VBV1" s="87"/>
      <c r="VBW1" s="87"/>
      <c r="VBX1" s="87"/>
      <c r="VBY1" s="87"/>
      <c r="VBZ1" s="87"/>
      <c r="VCA1" s="87"/>
      <c r="VCB1" s="87"/>
      <c r="VCC1" s="87"/>
      <c r="VCD1" s="87"/>
      <c r="VCE1" s="87"/>
      <c r="VCF1" s="87"/>
      <c r="VCG1" s="87"/>
      <c r="VCH1" s="87"/>
      <c r="VCI1" s="87"/>
      <c r="VCJ1" s="87"/>
      <c r="VCK1" s="87"/>
      <c r="VCL1" s="87"/>
      <c r="VCM1" s="87"/>
      <c r="VCN1" s="87"/>
      <c r="VCO1" s="87"/>
      <c r="VCP1" s="87"/>
      <c r="VCQ1" s="87"/>
      <c r="VCR1" s="87"/>
      <c r="VCS1" s="87"/>
      <c r="VCT1" s="87"/>
      <c r="VCU1" s="87"/>
      <c r="VCV1" s="87"/>
      <c r="VCW1" s="87"/>
      <c r="VCX1" s="87"/>
      <c r="VCY1" s="87"/>
      <c r="VCZ1" s="87"/>
      <c r="VDA1" s="87"/>
      <c r="VDB1" s="87"/>
      <c r="VDC1" s="87"/>
      <c r="VDD1" s="87"/>
      <c r="VDE1" s="87"/>
      <c r="VDF1" s="87"/>
      <c r="VDG1" s="87"/>
      <c r="VDH1" s="87"/>
      <c r="VDI1" s="87"/>
      <c r="VDJ1" s="87"/>
      <c r="VDK1" s="87"/>
      <c r="VDL1" s="87"/>
      <c r="VDM1" s="87"/>
      <c r="VDN1" s="87"/>
      <c r="VDO1" s="87"/>
      <c r="VDP1" s="87"/>
      <c r="VDQ1" s="87"/>
      <c r="VDR1" s="87"/>
      <c r="VDS1" s="87"/>
      <c r="VDT1" s="87"/>
      <c r="VDU1" s="87"/>
      <c r="VDV1" s="87"/>
      <c r="VDW1" s="87"/>
      <c r="VDX1" s="87"/>
      <c r="VDY1" s="87"/>
      <c r="VDZ1" s="87"/>
      <c r="VEA1" s="87"/>
      <c r="VEB1" s="87"/>
      <c r="VEC1" s="87"/>
      <c r="VED1" s="87"/>
      <c r="VEE1" s="87"/>
      <c r="VEF1" s="87"/>
      <c r="VEG1" s="87"/>
      <c r="VEH1" s="87"/>
      <c r="VEI1" s="87"/>
      <c r="VEJ1" s="87"/>
      <c r="VEK1" s="87"/>
      <c r="VEL1" s="87"/>
      <c r="VEM1" s="87"/>
      <c r="VEN1" s="87"/>
      <c r="VEO1" s="87"/>
      <c r="VEP1" s="87"/>
      <c r="VEQ1" s="87"/>
      <c r="VER1" s="87"/>
      <c r="VES1" s="87"/>
      <c r="VET1" s="87"/>
      <c r="VEU1" s="87"/>
      <c r="VEV1" s="87"/>
      <c r="VEW1" s="87"/>
      <c r="VEX1" s="87"/>
      <c r="VEY1" s="87"/>
      <c r="VEZ1" s="87"/>
      <c r="VFA1" s="87"/>
      <c r="VFB1" s="87"/>
      <c r="VFC1" s="87"/>
      <c r="VFD1" s="87"/>
      <c r="VFE1" s="87"/>
      <c r="VFF1" s="87"/>
      <c r="VFG1" s="87"/>
      <c r="VFH1" s="87"/>
      <c r="VFI1" s="87"/>
      <c r="VFJ1" s="87"/>
      <c r="VFK1" s="87"/>
      <c r="VFL1" s="87"/>
      <c r="VFM1" s="87"/>
      <c r="VFN1" s="87"/>
      <c r="VFO1" s="87"/>
      <c r="VFP1" s="87"/>
      <c r="VFQ1" s="87"/>
      <c r="VFR1" s="87"/>
      <c r="VFS1" s="87"/>
      <c r="VFT1" s="87"/>
      <c r="VFU1" s="87"/>
      <c r="VFV1" s="87"/>
      <c r="VFW1" s="87"/>
      <c r="VFX1" s="87"/>
      <c r="VFY1" s="87"/>
      <c r="VFZ1" s="87"/>
      <c r="VGA1" s="87"/>
      <c r="VGB1" s="87"/>
      <c r="VGC1" s="87"/>
      <c r="VGD1" s="87"/>
      <c r="VGE1" s="87"/>
      <c r="VGF1" s="87"/>
      <c r="VGG1" s="87"/>
      <c r="VGH1" s="87"/>
      <c r="VGI1" s="87"/>
      <c r="VGJ1" s="87"/>
      <c r="VGK1" s="87"/>
      <c r="VGL1" s="87"/>
      <c r="VGM1" s="87"/>
      <c r="VGN1" s="87"/>
      <c r="VGO1" s="87"/>
      <c r="VGP1" s="87"/>
      <c r="VGQ1" s="87"/>
      <c r="VGR1" s="87"/>
      <c r="VGS1" s="87"/>
      <c r="VGT1" s="87"/>
      <c r="VGU1" s="87"/>
      <c r="VGV1" s="87"/>
      <c r="VGW1" s="87"/>
      <c r="VGX1" s="87"/>
      <c r="VGY1" s="87"/>
      <c r="VGZ1" s="87"/>
      <c r="VHA1" s="87"/>
      <c r="VHB1" s="87"/>
      <c r="VHC1" s="87"/>
      <c r="VHD1" s="87"/>
      <c r="VHE1" s="87"/>
      <c r="VHF1" s="87"/>
      <c r="VHG1" s="87"/>
      <c r="VHH1" s="87"/>
      <c r="VHI1" s="87"/>
      <c r="VHJ1" s="87"/>
      <c r="VHK1" s="87"/>
      <c r="VHL1" s="87"/>
      <c r="VHM1" s="87"/>
      <c r="VHN1" s="87"/>
      <c r="VHO1" s="87"/>
      <c r="VHP1" s="87"/>
      <c r="VHQ1" s="87"/>
      <c r="VHR1" s="87"/>
      <c r="VHS1" s="87"/>
      <c r="VHT1" s="87"/>
      <c r="VHU1" s="87"/>
      <c r="VHV1" s="87"/>
      <c r="VHW1" s="87"/>
      <c r="VHX1" s="87"/>
      <c r="VHY1" s="87"/>
      <c r="VHZ1" s="87"/>
      <c r="VIA1" s="87"/>
      <c r="VIB1" s="87"/>
      <c r="VIC1" s="87"/>
      <c r="VID1" s="87"/>
      <c r="VIE1" s="87"/>
      <c r="VIF1" s="87"/>
      <c r="VIG1" s="87"/>
      <c r="VIH1" s="87"/>
      <c r="VII1" s="87"/>
      <c r="VIJ1" s="87"/>
      <c r="VIK1" s="87"/>
      <c r="VIL1" s="87"/>
      <c r="VIM1" s="87"/>
      <c r="VIN1" s="87"/>
      <c r="VIO1" s="87"/>
      <c r="VIP1" s="87"/>
      <c r="VIQ1" s="87"/>
      <c r="VIR1" s="87"/>
      <c r="VIS1" s="87"/>
      <c r="VIT1" s="87"/>
      <c r="VIU1" s="87"/>
      <c r="VIV1" s="87"/>
      <c r="VIW1" s="87"/>
      <c r="VIX1" s="87"/>
      <c r="VIY1" s="87"/>
      <c r="VIZ1" s="87"/>
      <c r="VJA1" s="87"/>
      <c r="VJB1" s="87"/>
      <c r="VJC1" s="87"/>
      <c r="VJD1" s="87"/>
      <c r="VJE1" s="87"/>
      <c r="VJF1" s="87"/>
      <c r="VJG1" s="87"/>
      <c r="VJH1" s="87"/>
      <c r="VJI1" s="87"/>
      <c r="VJJ1" s="87"/>
      <c r="VJK1" s="87"/>
      <c r="VJL1" s="87"/>
      <c r="VJM1" s="87"/>
      <c r="VJN1" s="87"/>
      <c r="VJO1" s="87"/>
      <c r="VJP1" s="87"/>
      <c r="VJQ1" s="87"/>
      <c r="VJR1" s="87"/>
      <c r="VJS1" s="87"/>
      <c r="VJT1" s="87"/>
      <c r="VJU1" s="87"/>
      <c r="VJV1" s="87"/>
      <c r="VJW1" s="87"/>
      <c r="VJX1" s="87"/>
      <c r="VJY1" s="87"/>
      <c r="VJZ1" s="87"/>
      <c r="VKA1" s="87"/>
      <c r="VKB1" s="87"/>
      <c r="VKC1" s="87"/>
      <c r="VKD1" s="87"/>
      <c r="VKE1" s="87"/>
      <c r="VKF1" s="87"/>
      <c r="VKG1" s="87"/>
      <c r="VKH1" s="87"/>
      <c r="VKI1" s="87"/>
      <c r="VKJ1" s="87"/>
      <c r="VKK1" s="87"/>
      <c r="VKL1" s="87"/>
      <c r="VKM1" s="87"/>
      <c r="VKN1" s="87"/>
      <c r="VKO1" s="87"/>
      <c r="VKP1" s="87"/>
      <c r="VKQ1" s="87"/>
      <c r="VKR1" s="87"/>
      <c r="VKS1" s="87"/>
      <c r="VKT1" s="87"/>
      <c r="VKU1" s="87"/>
      <c r="VKV1" s="87"/>
      <c r="VKW1" s="87"/>
      <c r="VKX1" s="87"/>
      <c r="VKY1" s="87"/>
      <c r="VKZ1" s="87"/>
      <c r="VLA1" s="87"/>
      <c r="VLB1" s="87"/>
      <c r="VLC1" s="87"/>
      <c r="VLD1" s="87"/>
      <c r="VLE1" s="87"/>
      <c r="VLF1" s="87"/>
      <c r="VLG1" s="87"/>
      <c r="VLH1" s="87"/>
      <c r="VLI1" s="87"/>
      <c r="VLJ1" s="87"/>
      <c r="VLK1" s="87"/>
      <c r="VLL1" s="87"/>
      <c r="VLM1" s="87"/>
      <c r="VLN1" s="87"/>
      <c r="VLO1" s="87"/>
      <c r="VLP1" s="87"/>
      <c r="VLQ1" s="87"/>
      <c r="VLR1" s="87"/>
      <c r="VLS1" s="87"/>
      <c r="VLT1" s="87"/>
      <c r="VLU1" s="87"/>
      <c r="VLV1" s="87"/>
      <c r="VLW1" s="87"/>
      <c r="VLX1" s="87"/>
      <c r="VLY1" s="87"/>
      <c r="VLZ1" s="87"/>
      <c r="VMA1" s="87"/>
      <c r="VMB1" s="87"/>
      <c r="VMC1" s="87"/>
      <c r="VMD1" s="87"/>
      <c r="VME1" s="87"/>
      <c r="VMF1" s="87"/>
      <c r="VMG1" s="87"/>
      <c r="VMH1" s="87"/>
      <c r="VMI1" s="87"/>
      <c r="VMJ1" s="87"/>
      <c r="VMK1" s="87"/>
      <c r="VML1" s="87"/>
      <c r="VMM1" s="87"/>
      <c r="VMN1" s="87"/>
      <c r="VMO1" s="87"/>
      <c r="VMP1" s="87"/>
      <c r="VMQ1" s="87"/>
      <c r="VMR1" s="87"/>
      <c r="VMS1" s="87"/>
      <c r="VMT1" s="87"/>
      <c r="VMU1" s="87"/>
      <c r="VMV1" s="87"/>
      <c r="VMW1" s="87"/>
      <c r="VMX1" s="87"/>
      <c r="VMY1" s="87"/>
      <c r="VMZ1" s="87"/>
      <c r="VNA1" s="87"/>
      <c r="VNB1" s="87"/>
      <c r="VNC1" s="87"/>
      <c r="VND1" s="87"/>
      <c r="VNE1" s="87"/>
      <c r="VNF1" s="87"/>
      <c r="VNG1" s="87"/>
      <c r="VNH1" s="87"/>
      <c r="VNI1" s="87"/>
      <c r="VNJ1" s="87"/>
      <c r="VNK1" s="87"/>
      <c r="VNL1" s="87"/>
      <c r="VNM1" s="87"/>
      <c r="VNN1" s="87"/>
      <c r="VNO1" s="87"/>
      <c r="VNP1" s="87"/>
      <c r="VNQ1" s="87"/>
      <c r="VNR1" s="87"/>
      <c r="VNS1" s="87"/>
      <c r="VNT1" s="87"/>
      <c r="VNU1" s="87"/>
      <c r="VNV1" s="87"/>
      <c r="VNW1" s="87"/>
      <c r="VNX1" s="87"/>
      <c r="VNY1" s="87"/>
      <c r="VNZ1" s="87"/>
      <c r="VOA1" s="87"/>
      <c r="VOB1" s="87"/>
      <c r="VOC1" s="87"/>
      <c r="VOD1" s="87"/>
      <c r="VOE1" s="87"/>
      <c r="VOF1" s="87"/>
      <c r="VOG1" s="87"/>
      <c r="VOH1" s="87"/>
      <c r="VOI1" s="87"/>
      <c r="VOJ1" s="87"/>
      <c r="VOK1" s="87"/>
      <c r="VOL1" s="87"/>
      <c r="VOM1" s="87"/>
      <c r="VON1" s="87"/>
      <c r="VOO1" s="87"/>
      <c r="VOP1" s="87"/>
      <c r="VOQ1" s="87"/>
      <c r="VOR1" s="87"/>
      <c r="VOS1" s="87"/>
      <c r="VOT1" s="87"/>
      <c r="VOU1" s="87"/>
      <c r="VOV1" s="87"/>
      <c r="VOW1" s="87"/>
      <c r="VOX1" s="87"/>
      <c r="VOY1" s="87"/>
      <c r="VOZ1" s="87"/>
      <c r="VPA1" s="87"/>
      <c r="VPB1" s="87"/>
      <c r="VPC1" s="87"/>
      <c r="VPD1" s="87"/>
      <c r="VPE1" s="87"/>
      <c r="VPF1" s="87"/>
      <c r="VPG1" s="87"/>
      <c r="VPH1" s="87"/>
      <c r="VPI1" s="87"/>
      <c r="VPJ1" s="87"/>
      <c r="VPK1" s="87"/>
      <c r="VPL1" s="87"/>
      <c r="VPM1" s="87"/>
      <c r="VPN1" s="87"/>
      <c r="VPO1" s="87"/>
      <c r="VPP1" s="87"/>
      <c r="VPQ1" s="87"/>
      <c r="VPR1" s="87"/>
      <c r="VPS1" s="87"/>
      <c r="VPT1" s="87"/>
      <c r="VPU1" s="87"/>
      <c r="VPV1" s="87"/>
      <c r="VPW1" s="87"/>
      <c r="VPX1" s="87"/>
      <c r="VPY1" s="87"/>
      <c r="VPZ1" s="87"/>
      <c r="VQA1" s="87"/>
      <c r="VQB1" s="87"/>
      <c r="VQC1" s="87"/>
      <c r="VQD1" s="87"/>
      <c r="VQE1" s="87"/>
      <c r="VQF1" s="87"/>
      <c r="VQG1" s="87"/>
      <c r="VQH1" s="87"/>
      <c r="VQI1" s="87"/>
      <c r="VQJ1" s="87"/>
      <c r="VQK1" s="87"/>
      <c r="VQL1" s="87"/>
      <c r="VQM1" s="87"/>
      <c r="VQN1" s="87"/>
      <c r="VQO1" s="87"/>
      <c r="VQP1" s="87"/>
      <c r="VQQ1" s="87"/>
      <c r="VQR1" s="87"/>
      <c r="VQS1" s="87"/>
      <c r="VQT1" s="87"/>
      <c r="VQU1" s="87"/>
      <c r="VQV1" s="87"/>
      <c r="VQW1" s="87"/>
      <c r="VQX1" s="87"/>
      <c r="VQY1" s="87"/>
      <c r="VQZ1" s="87"/>
      <c r="VRA1" s="87"/>
      <c r="VRB1" s="87"/>
      <c r="VRC1" s="87"/>
      <c r="VRD1" s="87"/>
      <c r="VRE1" s="87"/>
      <c r="VRF1" s="87"/>
      <c r="VRG1" s="87"/>
      <c r="VRH1" s="87"/>
      <c r="VRI1" s="87"/>
      <c r="VRJ1" s="87"/>
      <c r="VRK1" s="87"/>
      <c r="VRL1" s="87"/>
      <c r="VRM1" s="87"/>
      <c r="VRN1" s="87"/>
      <c r="VRO1" s="87"/>
      <c r="VRP1" s="87"/>
      <c r="VRQ1" s="87"/>
      <c r="VRR1" s="87"/>
      <c r="VRS1" s="87"/>
      <c r="VRT1" s="87"/>
      <c r="VRU1" s="87"/>
      <c r="VRV1" s="87"/>
      <c r="VRW1" s="87"/>
      <c r="VRX1" s="87"/>
      <c r="VRY1" s="87"/>
      <c r="VRZ1" s="87"/>
      <c r="VSA1" s="87"/>
      <c r="VSB1" s="87"/>
      <c r="VSC1" s="87"/>
      <c r="VSD1" s="87"/>
      <c r="VSE1" s="87"/>
      <c r="VSF1" s="87"/>
      <c r="VSG1" s="87"/>
      <c r="VSH1" s="87"/>
      <c r="VSI1" s="87"/>
      <c r="VSJ1" s="87"/>
      <c r="VSK1" s="87"/>
      <c r="VSL1" s="87"/>
      <c r="VSM1" s="87"/>
      <c r="VSN1" s="87"/>
      <c r="VSO1" s="87"/>
      <c r="VSP1" s="87"/>
      <c r="VSQ1" s="87"/>
      <c r="VSR1" s="87"/>
      <c r="VSS1" s="87"/>
      <c r="VST1" s="87"/>
      <c r="VSU1" s="87"/>
      <c r="VSV1" s="87"/>
      <c r="VSW1" s="87"/>
      <c r="VSX1" s="87"/>
      <c r="VSY1" s="87"/>
      <c r="VSZ1" s="87"/>
      <c r="VTA1" s="87"/>
      <c r="VTB1" s="87"/>
      <c r="VTC1" s="87"/>
      <c r="VTD1" s="87"/>
      <c r="VTE1" s="87"/>
      <c r="VTF1" s="87"/>
      <c r="VTG1" s="87"/>
      <c r="VTH1" s="87"/>
      <c r="VTI1" s="87"/>
      <c r="VTJ1" s="87"/>
      <c r="VTK1" s="87"/>
      <c r="VTL1" s="87"/>
      <c r="VTM1" s="87"/>
      <c r="VTN1" s="87"/>
      <c r="VTO1" s="87"/>
      <c r="VTP1" s="87"/>
      <c r="VTQ1" s="87"/>
      <c r="VTR1" s="87"/>
      <c r="VTS1" s="87"/>
      <c r="VTT1" s="87"/>
      <c r="VTU1" s="87"/>
      <c r="VTV1" s="87"/>
      <c r="VTW1" s="87"/>
      <c r="VTX1" s="87"/>
      <c r="VTY1" s="87"/>
      <c r="VTZ1" s="87"/>
      <c r="VUA1" s="87"/>
      <c r="VUB1" s="87"/>
      <c r="VUC1" s="87"/>
      <c r="VUD1" s="87"/>
      <c r="VUE1" s="87"/>
      <c r="VUF1" s="87"/>
      <c r="VUG1" s="87"/>
      <c r="VUH1" s="87"/>
      <c r="VUI1" s="87"/>
      <c r="VUJ1" s="87"/>
      <c r="VUK1" s="87"/>
      <c r="VUL1" s="87"/>
      <c r="VUM1" s="87"/>
      <c r="VUN1" s="87"/>
      <c r="VUO1" s="87"/>
      <c r="VUP1" s="87"/>
      <c r="VUQ1" s="87"/>
      <c r="VUR1" s="87"/>
      <c r="VUS1" s="87"/>
      <c r="VUT1" s="87"/>
      <c r="VUU1" s="87"/>
      <c r="VUV1" s="87"/>
      <c r="VUW1" s="87"/>
      <c r="VUX1" s="87"/>
      <c r="VUY1" s="87"/>
      <c r="VUZ1" s="87"/>
      <c r="VVA1" s="87"/>
      <c r="VVB1" s="87"/>
      <c r="VVC1" s="87"/>
      <c r="VVD1" s="87"/>
      <c r="VVE1" s="87"/>
      <c r="VVF1" s="87"/>
      <c r="VVG1" s="87"/>
      <c r="VVH1" s="87"/>
      <c r="VVI1" s="87"/>
      <c r="VVJ1" s="87"/>
      <c r="VVK1" s="87"/>
      <c r="VVL1" s="87"/>
      <c r="VVM1" s="87"/>
      <c r="VVN1" s="87"/>
      <c r="VVO1" s="87"/>
      <c r="VVP1" s="87"/>
      <c r="VVQ1" s="87"/>
      <c r="VVR1" s="87"/>
      <c r="VVS1" s="87"/>
      <c r="VVT1" s="87"/>
      <c r="VVU1" s="87"/>
      <c r="VVV1" s="87"/>
      <c r="VVW1" s="87"/>
      <c r="VVX1" s="87"/>
      <c r="VVY1" s="87"/>
      <c r="VVZ1" s="87"/>
      <c r="VWA1" s="87"/>
      <c r="VWB1" s="87"/>
      <c r="VWC1" s="87"/>
      <c r="VWD1" s="87"/>
      <c r="VWE1" s="87"/>
      <c r="VWF1" s="87"/>
      <c r="VWG1" s="87"/>
      <c r="VWH1" s="87"/>
      <c r="VWI1" s="87"/>
      <c r="VWJ1" s="87"/>
      <c r="VWK1" s="87"/>
      <c r="VWL1" s="87"/>
      <c r="VWM1" s="87"/>
      <c r="VWN1" s="87"/>
      <c r="VWO1" s="87"/>
      <c r="VWP1" s="87"/>
      <c r="VWQ1" s="87"/>
      <c r="VWR1" s="87"/>
      <c r="VWS1" s="87"/>
      <c r="VWT1" s="87"/>
      <c r="VWU1" s="87"/>
      <c r="VWV1" s="87"/>
      <c r="VWW1" s="87"/>
      <c r="VWX1" s="87"/>
      <c r="VWY1" s="87"/>
      <c r="VWZ1" s="87"/>
      <c r="VXA1" s="87"/>
      <c r="VXB1" s="87"/>
      <c r="VXC1" s="87"/>
      <c r="VXD1" s="87"/>
      <c r="VXE1" s="87"/>
      <c r="VXF1" s="87"/>
      <c r="VXG1" s="87"/>
      <c r="VXH1" s="87"/>
      <c r="VXI1" s="87"/>
      <c r="VXJ1" s="87"/>
      <c r="VXK1" s="87"/>
      <c r="VXL1" s="87"/>
      <c r="VXM1" s="87"/>
      <c r="VXN1" s="87"/>
      <c r="VXO1" s="87"/>
      <c r="VXP1" s="87"/>
      <c r="VXQ1" s="87"/>
      <c r="VXR1" s="87"/>
      <c r="VXS1" s="87"/>
      <c r="VXT1" s="87"/>
      <c r="VXU1" s="87"/>
      <c r="VXV1" s="87"/>
      <c r="VXW1" s="87"/>
      <c r="VXX1" s="87"/>
      <c r="VXY1" s="87"/>
      <c r="VXZ1" s="87"/>
      <c r="VYA1" s="87"/>
      <c r="VYB1" s="87"/>
      <c r="VYC1" s="87"/>
      <c r="VYD1" s="87"/>
      <c r="VYE1" s="87"/>
      <c r="VYF1" s="87"/>
      <c r="VYG1" s="87"/>
      <c r="VYH1" s="87"/>
      <c r="VYI1" s="87"/>
      <c r="VYJ1" s="87"/>
      <c r="VYK1" s="87"/>
      <c r="VYL1" s="87"/>
      <c r="VYM1" s="87"/>
      <c r="VYN1" s="87"/>
      <c r="VYO1" s="87"/>
      <c r="VYP1" s="87"/>
      <c r="VYQ1" s="87"/>
      <c r="VYR1" s="87"/>
      <c r="VYS1" s="87"/>
      <c r="VYT1" s="87"/>
      <c r="VYU1" s="87"/>
      <c r="VYV1" s="87"/>
      <c r="VYW1" s="87"/>
      <c r="VYX1" s="87"/>
      <c r="VYY1" s="87"/>
      <c r="VYZ1" s="87"/>
      <c r="VZA1" s="87"/>
      <c r="VZB1" s="87"/>
      <c r="VZC1" s="87"/>
      <c r="VZD1" s="87"/>
      <c r="VZE1" s="87"/>
      <c r="VZF1" s="87"/>
      <c r="VZG1" s="87"/>
      <c r="VZH1" s="87"/>
      <c r="VZI1" s="87"/>
      <c r="VZJ1" s="87"/>
      <c r="VZK1" s="87"/>
      <c r="VZL1" s="87"/>
      <c r="VZM1" s="87"/>
      <c r="VZN1" s="87"/>
      <c r="VZO1" s="87"/>
      <c r="VZP1" s="87"/>
      <c r="VZQ1" s="87"/>
      <c r="VZR1" s="87"/>
      <c r="VZS1" s="87"/>
      <c r="VZT1" s="87"/>
      <c r="VZU1" s="87"/>
      <c r="VZV1" s="87"/>
      <c r="VZW1" s="87"/>
      <c r="VZX1" s="87"/>
      <c r="VZY1" s="87"/>
      <c r="VZZ1" s="87"/>
      <c r="WAA1" s="87"/>
      <c r="WAB1" s="87"/>
      <c r="WAC1" s="87"/>
      <c r="WAD1" s="87"/>
      <c r="WAE1" s="87"/>
      <c r="WAF1" s="87"/>
      <c r="WAG1" s="87"/>
      <c r="WAH1" s="87"/>
      <c r="WAI1" s="87"/>
      <c r="WAJ1" s="87"/>
      <c r="WAK1" s="87"/>
      <c r="WAL1" s="87"/>
      <c r="WAM1" s="87"/>
      <c r="WAN1" s="87"/>
      <c r="WAO1" s="87"/>
      <c r="WAP1" s="87"/>
      <c r="WAQ1" s="87"/>
      <c r="WAR1" s="87"/>
      <c r="WAS1" s="87"/>
      <c r="WAT1" s="87"/>
      <c r="WAU1" s="87"/>
      <c r="WAV1" s="87"/>
      <c r="WAW1" s="87"/>
      <c r="WAX1" s="87"/>
      <c r="WAY1" s="87"/>
      <c r="WAZ1" s="87"/>
      <c r="WBA1" s="87"/>
      <c r="WBB1" s="87"/>
      <c r="WBC1" s="87"/>
      <c r="WBD1" s="87"/>
      <c r="WBE1" s="87"/>
      <c r="WBF1" s="87"/>
      <c r="WBG1" s="87"/>
      <c r="WBH1" s="87"/>
      <c r="WBI1" s="87"/>
      <c r="WBJ1" s="87"/>
      <c r="WBK1" s="87"/>
      <c r="WBL1" s="87"/>
      <c r="WBM1" s="87"/>
      <c r="WBN1" s="87"/>
      <c r="WBO1" s="87"/>
      <c r="WBP1" s="87"/>
      <c r="WBQ1" s="87"/>
      <c r="WBR1" s="87"/>
      <c r="WBS1" s="87"/>
      <c r="WBT1" s="87"/>
      <c r="WBU1" s="87"/>
      <c r="WBV1" s="87"/>
      <c r="WBW1" s="87"/>
      <c r="WBX1" s="87"/>
      <c r="WBY1" s="87"/>
      <c r="WBZ1" s="87"/>
      <c r="WCA1" s="87"/>
      <c r="WCB1" s="87"/>
      <c r="WCC1" s="87"/>
      <c r="WCD1" s="87"/>
      <c r="WCE1" s="87"/>
      <c r="WCF1" s="87"/>
      <c r="WCG1" s="87"/>
      <c r="WCH1" s="87"/>
      <c r="WCI1" s="87"/>
      <c r="WCJ1" s="87"/>
      <c r="WCK1" s="87"/>
      <c r="WCL1" s="87"/>
      <c r="WCM1" s="87"/>
      <c r="WCN1" s="87"/>
      <c r="WCO1" s="87"/>
      <c r="WCP1" s="87"/>
      <c r="WCQ1" s="87"/>
      <c r="WCR1" s="87"/>
      <c r="WCS1" s="87"/>
      <c r="WCT1" s="87"/>
      <c r="WCU1" s="87"/>
      <c r="WCV1" s="87"/>
      <c r="WCW1" s="87"/>
      <c r="WCX1" s="87"/>
      <c r="WCY1" s="87"/>
      <c r="WCZ1" s="87"/>
      <c r="WDA1" s="87"/>
      <c r="WDB1" s="87"/>
      <c r="WDC1" s="87"/>
      <c r="WDD1" s="87"/>
      <c r="WDE1" s="87"/>
      <c r="WDF1" s="87"/>
      <c r="WDG1" s="87"/>
      <c r="WDH1" s="87"/>
      <c r="WDI1" s="87"/>
      <c r="WDJ1" s="87"/>
      <c r="WDK1" s="87"/>
      <c r="WDL1" s="87"/>
      <c r="WDM1" s="87"/>
      <c r="WDN1" s="87"/>
      <c r="WDO1" s="87"/>
      <c r="WDP1" s="87"/>
      <c r="WDQ1" s="87"/>
      <c r="WDR1" s="87"/>
      <c r="WDS1" s="87"/>
      <c r="WDT1" s="87"/>
      <c r="WDU1" s="87"/>
      <c r="WDV1" s="87"/>
      <c r="WDW1" s="87"/>
      <c r="WDX1" s="87"/>
      <c r="WDY1" s="87"/>
      <c r="WDZ1" s="87"/>
      <c r="WEA1" s="87"/>
      <c r="WEB1" s="87"/>
      <c r="WEC1" s="87"/>
      <c r="WED1" s="87"/>
      <c r="WEE1" s="87"/>
      <c r="WEF1" s="87"/>
      <c r="WEG1" s="87"/>
      <c r="WEH1" s="87"/>
      <c r="WEI1" s="87"/>
      <c r="WEJ1" s="87"/>
      <c r="WEK1" s="87"/>
      <c r="WEL1" s="87"/>
      <c r="WEM1" s="87"/>
      <c r="WEN1" s="87"/>
      <c r="WEO1" s="87"/>
      <c r="WEP1" s="87"/>
      <c r="WEQ1" s="87"/>
      <c r="WER1" s="87"/>
      <c r="WES1" s="87"/>
      <c r="WET1" s="87"/>
      <c r="WEU1" s="87"/>
      <c r="WEV1" s="87"/>
      <c r="WEW1" s="87"/>
      <c r="WEX1" s="87"/>
      <c r="WEY1" s="87"/>
      <c r="WEZ1" s="87"/>
      <c r="WFA1" s="87"/>
      <c r="WFB1" s="87"/>
      <c r="WFC1" s="87"/>
      <c r="WFD1" s="87"/>
      <c r="WFE1" s="87"/>
      <c r="WFF1" s="87"/>
      <c r="WFG1" s="87"/>
      <c r="WFH1" s="87"/>
      <c r="WFI1" s="87"/>
      <c r="WFJ1" s="87"/>
      <c r="WFK1" s="87"/>
      <c r="WFL1" s="87"/>
      <c r="WFM1" s="87"/>
      <c r="WFN1" s="87"/>
      <c r="WFO1" s="87"/>
      <c r="WFP1" s="87"/>
      <c r="WFQ1" s="87"/>
      <c r="WFR1" s="87"/>
      <c r="WFS1" s="87"/>
      <c r="WFT1" s="87"/>
      <c r="WFU1" s="87"/>
      <c r="WFV1" s="87"/>
      <c r="WFW1" s="87"/>
      <c r="WFX1" s="87"/>
      <c r="WFY1" s="87"/>
      <c r="WFZ1" s="87"/>
      <c r="WGA1" s="87"/>
      <c r="WGB1" s="87"/>
      <c r="WGC1" s="87"/>
      <c r="WGD1" s="87"/>
      <c r="WGE1" s="87"/>
      <c r="WGF1" s="87"/>
      <c r="WGG1" s="87"/>
      <c r="WGH1" s="87"/>
      <c r="WGI1" s="87"/>
      <c r="WGJ1" s="87"/>
      <c r="WGK1" s="87"/>
      <c r="WGL1" s="87"/>
      <c r="WGM1" s="87"/>
      <c r="WGN1" s="87"/>
      <c r="WGO1" s="87"/>
      <c r="WGP1" s="87"/>
      <c r="WGQ1" s="87"/>
      <c r="WGR1" s="87"/>
      <c r="WGS1" s="87"/>
      <c r="WGT1" s="87"/>
      <c r="WGU1" s="87"/>
      <c r="WGV1" s="87"/>
      <c r="WGW1" s="87"/>
      <c r="WGX1" s="87"/>
      <c r="WGY1" s="87"/>
      <c r="WGZ1" s="87"/>
      <c r="WHA1" s="87"/>
      <c r="WHB1" s="87"/>
      <c r="WHC1" s="87"/>
      <c r="WHD1" s="87"/>
      <c r="WHE1" s="87"/>
      <c r="WHF1" s="87"/>
      <c r="WHG1" s="87"/>
      <c r="WHH1" s="87"/>
      <c r="WHI1" s="87"/>
      <c r="WHJ1" s="87"/>
      <c r="WHK1" s="87"/>
      <c r="WHL1" s="87"/>
      <c r="WHM1" s="87"/>
      <c r="WHN1" s="87"/>
      <c r="WHO1" s="87"/>
      <c r="WHP1" s="87"/>
      <c r="WHQ1" s="87"/>
      <c r="WHR1" s="87"/>
      <c r="WHS1" s="87"/>
      <c r="WHT1" s="87"/>
      <c r="WHU1" s="87"/>
      <c r="WHV1" s="87"/>
      <c r="WHW1" s="87"/>
      <c r="WHX1" s="87"/>
      <c r="WHY1" s="87"/>
      <c r="WHZ1" s="87"/>
      <c r="WIA1" s="87"/>
      <c r="WIB1" s="87"/>
      <c r="WIC1" s="87"/>
      <c r="WID1" s="87"/>
      <c r="WIE1" s="87"/>
      <c r="WIF1" s="87"/>
      <c r="WIG1" s="87"/>
      <c r="WIH1" s="87"/>
      <c r="WII1" s="87"/>
      <c r="WIJ1" s="87"/>
      <c r="WIK1" s="87"/>
      <c r="WIL1" s="87"/>
      <c r="WIM1" s="87"/>
      <c r="WIN1" s="87"/>
      <c r="WIO1" s="87"/>
      <c r="WIP1" s="87"/>
      <c r="WIQ1" s="87"/>
      <c r="WIR1" s="87"/>
      <c r="WIS1" s="87"/>
      <c r="WIT1" s="87"/>
      <c r="WIU1" s="87"/>
      <c r="WIV1" s="87"/>
      <c r="WIW1" s="87"/>
      <c r="WIX1" s="87"/>
      <c r="WIY1" s="87"/>
      <c r="WIZ1" s="87"/>
      <c r="WJA1" s="87"/>
      <c r="WJB1" s="87"/>
      <c r="WJC1" s="87"/>
      <c r="WJD1" s="87"/>
      <c r="WJE1" s="87"/>
      <c r="WJF1" s="87"/>
      <c r="WJG1" s="87"/>
      <c r="WJH1" s="87"/>
      <c r="WJI1" s="87"/>
      <c r="WJJ1" s="87"/>
      <c r="WJK1" s="87"/>
      <c r="WJL1" s="87"/>
      <c r="WJM1" s="87"/>
      <c r="WJN1" s="87"/>
      <c r="WJO1" s="87"/>
      <c r="WJP1" s="87"/>
      <c r="WJQ1" s="87"/>
      <c r="WJR1" s="87"/>
      <c r="WJS1" s="87"/>
      <c r="WJT1" s="87"/>
      <c r="WJU1" s="87"/>
      <c r="WJV1" s="87"/>
      <c r="WJW1" s="87"/>
      <c r="WJX1" s="87"/>
      <c r="WJY1" s="87"/>
      <c r="WJZ1" s="87"/>
      <c r="WKA1" s="87"/>
      <c r="WKB1" s="87"/>
      <c r="WKC1" s="87"/>
      <c r="WKD1" s="87"/>
      <c r="WKE1" s="87"/>
      <c r="WKF1" s="87"/>
      <c r="WKG1" s="87"/>
      <c r="WKH1" s="87"/>
      <c r="WKI1" s="87"/>
      <c r="WKJ1" s="87"/>
      <c r="WKK1" s="87"/>
      <c r="WKL1" s="87"/>
      <c r="WKM1" s="87"/>
      <c r="WKN1" s="87"/>
      <c r="WKO1" s="87"/>
      <c r="WKP1" s="87"/>
      <c r="WKQ1" s="87"/>
      <c r="WKR1" s="87"/>
      <c r="WKS1" s="87"/>
      <c r="WKT1" s="87"/>
      <c r="WKU1" s="87"/>
      <c r="WKV1" s="87"/>
      <c r="WKW1" s="87"/>
      <c r="WKX1" s="87"/>
      <c r="WKY1" s="87"/>
      <c r="WKZ1" s="87"/>
      <c r="WLA1" s="87"/>
      <c r="WLB1" s="87"/>
      <c r="WLC1" s="87"/>
      <c r="WLD1" s="87"/>
      <c r="WLE1" s="87"/>
      <c r="WLF1" s="87"/>
      <c r="WLG1" s="87"/>
      <c r="WLH1" s="87"/>
      <c r="WLI1" s="87"/>
      <c r="WLJ1" s="87"/>
      <c r="WLK1" s="87"/>
      <c r="WLL1" s="87"/>
      <c r="WLM1" s="87"/>
      <c r="WLN1" s="87"/>
      <c r="WLO1" s="87"/>
      <c r="WLP1" s="87"/>
      <c r="WLQ1" s="87"/>
      <c r="WLR1" s="87"/>
      <c r="WLS1" s="87"/>
      <c r="WLT1" s="87"/>
      <c r="WLU1" s="87"/>
      <c r="WLV1" s="87"/>
      <c r="WLW1" s="87"/>
      <c r="WLX1" s="87"/>
      <c r="WLY1" s="87"/>
      <c r="WLZ1" s="87"/>
      <c r="WMA1" s="87"/>
      <c r="WMB1" s="87"/>
      <c r="WMC1" s="87"/>
      <c r="WMD1" s="87"/>
      <c r="WME1" s="87"/>
      <c r="WMF1" s="87"/>
      <c r="WMG1" s="87"/>
      <c r="WMH1" s="87"/>
      <c r="WMI1" s="87"/>
      <c r="WMJ1" s="87"/>
      <c r="WMK1" s="87"/>
      <c r="WML1" s="87"/>
      <c r="WMM1" s="87"/>
      <c r="WMN1" s="87"/>
      <c r="WMO1" s="87"/>
      <c r="WMP1" s="87"/>
      <c r="WMQ1" s="87"/>
      <c r="WMR1" s="87"/>
      <c r="WMS1" s="87"/>
      <c r="WMT1" s="87"/>
      <c r="WMU1" s="87"/>
      <c r="WMV1" s="87"/>
      <c r="WMW1" s="87"/>
      <c r="WMX1" s="87"/>
      <c r="WMY1" s="87"/>
      <c r="WMZ1" s="87"/>
      <c r="WNA1" s="87"/>
      <c r="WNB1" s="87"/>
      <c r="WNC1" s="87"/>
      <c r="WND1" s="87"/>
      <c r="WNE1" s="87"/>
      <c r="WNF1" s="87"/>
      <c r="WNG1" s="87"/>
      <c r="WNH1" s="87"/>
      <c r="WNI1" s="87"/>
      <c r="WNJ1" s="87"/>
      <c r="WNK1" s="87"/>
      <c r="WNL1" s="87"/>
      <c r="WNM1" s="87"/>
      <c r="WNN1" s="87"/>
      <c r="WNO1" s="87"/>
      <c r="WNP1" s="87"/>
      <c r="WNQ1" s="87"/>
      <c r="WNR1" s="87"/>
      <c r="WNS1" s="87"/>
      <c r="WNT1" s="87"/>
      <c r="WNU1" s="87"/>
      <c r="WNV1" s="87"/>
      <c r="WNW1" s="87"/>
      <c r="WNX1" s="87"/>
      <c r="WNY1" s="87"/>
      <c r="WNZ1" s="87"/>
      <c r="WOA1" s="87"/>
      <c r="WOB1" s="87"/>
      <c r="WOC1" s="87"/>
      <c r="WOD1" s="87"/>
      <c r="WOE1" s="87"/>
      <c r="WOF1" s="87"/>
      <c r="WOG1" s="87"/>
      <c r="WOH1" s="87"/>
      <c r="WOI1" s="87"/>
      <c r="WOJ1" s="87"/>
      <c r="WOK1" s="87"/>
      <c r="WOL1" s="87"/>
      <c r="WOM1" s="87"/>
      <c r="WON1" s="87"/>
      <c r="WOO1" s="87"/>
      <c r="WOP1" s="87"/>
      <c r="WOQ1" s="87"/>
      <c r="WOR1" s="87"/>
      <c r="WOS1" s="87"/>
      <c r="WOT1" s="87"/>
      <c r="WOU1" s="87"/>
      <c r="WOV1" s="87"/>
      <c r="WOW1" s="87"/>
      <c r="WOX1" s="87"/>
      <c r="WOY1" s="87"/>
      <c r="WOZ1" s="87"/>
      <c r="WPA1" s="87"/>
      <c r="WPB1" s="87"/>
      <c r="WPC1" s="87"/>
      <c r="WPD1" s="87"/>
      <c r="WPE1" s="87"/>
      <c r="WPF1" s="87"/>
      <c r="WPG1" s="87"/>
      <c r="WPH1" s="87"/>
      <c r="WPI1" s="87"/>
      <c r="WPJ1" s="87"/>
      <c r="WPK1" s="87"/>
      <c r="WPL1" s="87"/>
      <c r="WPM1" s="87"/>
      <c r="WPN1" s="87"/>
      <c r="WPO1" s="87"/>
      <c r="WPP1" s="87"/>
      <c r="WPQ1" s="87"/>
      <c r="WPR1" s="87"/>
      <c r="WPS1" s="87"/>
      <c r="WPT1" s="87"/>
      <c r="WPU1" s="87"/>
      <c r="WPV1" s="87"/>
      <c r="WPW1" s="87"/>
      <c r="WPX1" s="87"/>
      <c r="WPY1" s="87"/>
      <c r="WPZ1" s="87"/>
      <c r="WQA1" s="87"/>
      <c r="WQB1" s="87"/>
      <c r="WQC1" s="87"/>
      <c r="WQD1" s="87"/>
      <c r="WQE1" s="87"/>
      <c r="WQF1" s="87"/>
      <c r="WQG1" s="87"/>
      <c r="WQH1" s="87"/>
      <c r="WQI1" s="87"/>
      <c r="WQJ1" s="87"/>
      <c r="WQK1" s="87"/>
      <c r="WQL1" s="87"/>
      <c r="WQM1" s="87"/>
      <c r="WQN1" s="87"/>
      <c r="WQO1" s="87"/>
      <c r="WQP1" s="87"/>
      <c r="WQQ1" s="87"/>
      <c r="WQR1" s="87"/>
      <c r="WQS1" s="87"/>
      <c r="WQT1" s="87"/>
      <c r="WQU1" s="87"/>
      <c r="WQV1" s="87"/>
      <c r="WQW1" s="87"/>
      <c r="WQX1" s="87"/>
      <c r="WQY1" s="87"/>
      <c r="WQZ1" s="87"/>
      <c r="WRA1" s="87"/>
      <c r="WRB1" s="87"/>
      <c r="WRC1" s="87"/>
      <c r="WRD1" s="87"/>
      <c r="WRE1" s="87"/>
      <c r="WRF1" s="87"/>
      <c r="WRG1" s="87"/>
      <c r="WRH1" s="87"/>
      <c r="WRI1" s="87"/>
      <c r="WRJ1" s="87"/>
      <c r="WRK1" s="87"/>
      <c r="WRL1" s="87"/>
      <c r="WRM1" s="87"/>
      <c r="WRN1" s="87"/>
      <c r="WRO1" s="87"/>
      <c r="WRP1" s="87"/>
      <c r="WRQ1" s="87"/>
      <c r="WRR1" s="87"/>
      <c r="WRS1" s="87"/>
      <c r="WRT1" s="87"/>
      <c r="WRU1" s="87"/>
      <c r="WRV1" s="87"/>
      <c r="WRW1" s="87"/>
      <c r="WRX1" s="87"/>
      <c r="WRY1" s="87"/>
      <c r="WRZ1" s="87"/>
      <c r="WSA1" s="87"/>
      <c r="WSB1" s="87"/>
      <c r="WSC1" s="87"/>
      <c r="WSD1" s="87"/>
      <c r="WSE1" s="87"/>
      <c r="WSF1" s="87"/>
      <c r="WSG1" s="87"/>
      <c r="WSH1" s="87"/>
      <c r="WSI1" s="87"/>
      <c r="WSJ1" s="87"/>
      <c r="WSK1" s="87"/>
      <c r="WSL1" s="87"/>
      <c r="WSM1" s="87"/>
      <c r="WSN1" s="87"/>
      <c r="WSO1" s="87"/>
      <c r="WSP1" s="87"/>
      <c r="WSQ1" s="87"/>
      <c r="WSR1" s="87"/>
      <c r="WSS1" s="87"/>
      <c r="WST1" s="87"/>
      <c r="WSU1" s="87"/>
      <c r="WSV1" s="87"/>
      <c r="WSW1" s="87"/>
      <c r="WSX1" s="87"/>
      <c r="WSY1" s="87"/>
      <c r="WSZ1" s="87"/>
      <c r="WTA1" s="87"/>
      <c r="WTB1" s="87"/>
      <c r="WTC1" s="87"/>
      <c r="WTD1" s="87"/>
      <c r="WTE1" s="87"/>
      <c r="WTF1" s="87"/>
      <c r="WTG1" s="87"/>
      <c r="WTH1" s="87"/>
      <c r="WTI1" s="87"/>
      <c r="WTJ1" s="87"/>
      <c r="WTK1" s="87"/>
      <c r="WTL1" s="87"/>
      <c r="WTM1" s="87"/>
      <c r="WTN1" s="87"/>
      <c r="WTO1" s="87"/>
      <c r="WTP1" s="87"/>
      <c r="WTQ1" s="87"/>
      <c r="WTR1" s="87"/>
      <c r="WTS1" s="87"/>
      <c r="WTT1" s="87"/>
      <c r="WTU1" s="87"/>
      <c r="WTV1" s="87"/>
      <c r="WTW1" s="87"/>
      <c r="WTX1" s="87"/>
      <c r="WTY1" s="87"/>
      <c r="WTZ1" s="87"/>
      <c r="WUA1" s="87"/>
      <c r="WUB1" s="87"/>
      <c r="WUC1" s="87"/>
      <c r="WUD1" s="87"/>
      <c r="WUE1" s="87"/>
      <c r="WUF1" s="87"/>
      <c r="WUG1" s="87"/>
      <c r="WUH1" s="87"/>
      <c r="WUI1" s="87"/>
      <c r="WUJ1" s="87"/>
      <c r="WUK1" s="87"/>
      <c r="WUL1" s="87"/>
      <c r="WUM1" s="87"/>
      <c r="WUN1" s="87"/>
      <c r="WUO1" s="87"/>
      <c r="WUP1" s="87"/>
      <c r="WUQ1" s="87"/>
      <c r="WUR1" s="87"/>
      <c r="WUS1" s="87"/>
      <c r="WUT1" s="87"/>
      <c r="WUU1" s="87"/>
      <c r="WUV1" s="87"/>
      <c r="WUW1" s="87"/>
      <c r="WUX1" s="87"/>
      <c r="WUY1" s="87"/>
      <c r="WUZ1" s="87"/>
      <c r="WVA1" s="87"/>
      <c r="WVB1" s="87"/>
      <c r="WVC1" s="87"/>
      <c r="WVD1" s="87"/>
      <c r="WVE1" s="87"/>
      <c r="WVF1" s="87"/>
      <c r="WVG1" s="87"/>
      <c r="WVH1" s="87"/>
      <c r="WVI1" s="87"/>
      <c r="WVJ1" s="87"/>
      <c r="WVK1" s="87"/>
      <c r="WVL1" s="87"/>
      <c r="WVM1" s="87"/>
      <c r="WVN1" s="87"/>
      <c r="WVO1" s="87"/>
      <c r="WVP1" s="87"/>
      <c r="WVQ1" s="87"/>
      <c r="WVR1" s="87"/>
      <c r="WVS1" s="87"/>
      <c r="WVT1" s="87"/>
      <c r="WVU1" s="87"/>
      <c r="WVV1" s="87"/>
      <c r="WVW1" s="87"/>
      <c r="WVX1" s="87"/>
      <c r="WVY1" s="87"/>
      <c r="WVZ1" s="87"/>
      <c r="WWA1" s="87"/>
      <c r="WWB1" s="87"/>
      <c r="WWC1" s="87"/>
      <c r="WWD1" s="87"/>
      <c r="WWE1" s="87"/>
      <c r="WWF1" s="87"/>
      <c r="WWG1" s="87"/>
      <c r="WWH1" s="87"/>
      <c r="WWI1" s="87"/>
      <c r="WWJ1" s="87"/>
      <c r="WWK1" s="87"/>
      <c r="WWL1" s="87"/>
      <c r="WWM1" s="87"/>
      <c r="WWN1" s="87"/>
      <c r="WWO1" s="87"/>
      <c r="WWP1" s="87"/>
      <c r="WWQ1" s="87"/>
      <c r="WWR1" s="87"/>
      <c r="WWS1" s="87"/>
      <c r="WWT1" s="87"/>
      <c r="WWU1" s="87"/>
      <c r="WWV1" s="87"/>
      <c r="WWW1" s="87"/>
      <c r="WWX1" s="87"/>
      <c r="WWY1" s="87"/>
      <c r="WWZ1" s="87"/>
      <c r="WXA1" s="87"/>
      <c r="WXB1" s="87"/>
      <c r="WXC1" s="87"/>
      <c r="WXD1" s="87"/>
      <c r="WXE1" s="87"/>
      <c r="WXF1" s="87"/>
      <c r="WXG1" s="87"/>
      <c r="WXH1" s="87"/>
      <c r="WXI1" s="87"/>
      <c r="WXJ1" s="87"/>
      <c r="WXK1" s="87"/>
      <c r="WXL1" s="87"/>
      <c r="WXM1" s="87"/>
      <c r="WXN1" s="87"/>
      <c r="WXO1" s="87"/>
      <c r="WXP1" s="87"/>
      <c r="WXQ1" s="87"/>
      <c r="WXR1" s="87"/>
      <c r="WXS1" s="87"/>
      <c r="WXT1" s="87"/>
      <c r="WXU1" s="87"/>
      <c r="WXV1" s="87"/>
      <c r="WXW1" s="87"/>
      <c r="WXX1" s="87"/>
      <c r="WXY1" s="87"/>
      <c r="WXZ1" s="87"/>
      <c r="WYA1" s="87"/>
      <c r="WYB1" s="87"/>
      <c r="WYC1" s="87"/>
      <c r="WYD1" s="87"/>
      <c r="WYE1" s="87"/>
      <c r="WYF1" s="87"/>
      <c r="WYG1" s="87"/>
      <c r="WYH1" s="87"/>
      <c r="WYI1" s="87"/>
      <c r="WYJ1" s="87"/>
      <c r="WYK1" s="87"/>
      <c r="WYL1" s="87"/>
      <c r="WYM1" s="87"/>
      <c r="WYN1" s="87"/>
      <c r="WYO1" s="87"/>
      <c r="WYP1" s="87"/>
      <c r="WYQ1" s="87"/>
      <c r="WYR1" s="87"/>
      <c r="WYS1" s="87"/>
      <c r="WYT1" s="87"/>
      <c r="WYU1" s="87"/>
      <c r="WYV1" s="87"/>
      <c r="WYW1" s="87"/>
      <c r="WYX1" s="87"/>
      <c r="WYY1" s="87"/>
      <c r="WYZ1" s="87"/>
      <c r="WZA1" s="87"/>
      <c r="WZB1" s="87"/>
      <c r="WZC1" s="87"/>
      <c r="WZD1" s="87"/>
      <c r="WZE1" s="87"/>
      <c r="WZF1" s="87"/>
      <c r="WZG1" s="87"/>
      <c r="WZH1" s="87"/>
      <c r="WZI1" s="87"/>
      <c r="WZJ1" s="87"/>
      <c r="WZK1" s="87"/>
      <c r="WZL1" s="87"/>
      <c r="WZM1" s="87"/>
      <c r="WZN1" s="87"/>
      <c r="WZO1" s="87"/>
      <c r="WZP1" s="87"/>
      <c r="WZQ1" s="87"/>
      <c r="WZR1" s="87"/>
      <c r="WZS1" s="87"/>
      <c r="WZT1" s="87"/>
      <c r="WZU1" s="87"/>
      <c r="WZV1" s="87"/>
      <c r="WZW1" s="87"/>
      <c r="WZX1" s="87"/>
      <c r="WZY1" s="87"/>
      <c r="WZZ1" s="87"/>
      <c r="XAA1" s="87"/>
      <c r="XAB1" s="87"/>
      <c r="XAC1" s="87"/>
      <c r="XAD1" s="87"/>
      <c r="XAE1" s="87"/>
      <c r="XAF1" s="87"/>
      <c r="XAG1" s="87"/>
      <c r="XAH1" s="87"/>
      <c r="XAI1" s="87"/>
      <c r="XAJ1" s="87"/>
      <c r="XAK1" s="87"/>
      <c r="XAL1" s="87"/>
      <c r="XAM1" s="87"/>
      <c r="XAN1" s="87"/>
      <c r="XAO1" s="87"/>
      <c r="XAP1" s="87"/>
      <c r="XAQ1" s="87"/>
      <c r="XAR1" s="87"/>
      <c r="XAS1" s="87"/>
      <c r="XAT1" s="87"/>
      <c r="XAU1" s="87"/>
      <c r="XAV1" s="87"/>
      <c r="XAW1" s="87"/>
      <c r="XAX1" s="87"/>
      <c r="XAY1" s="87"/>
      <c r="XAZ1" s="87"/>
      <c r="XBA1" s="87"/>
      <c r="XBB1" s="87"/>
      <c r="XBC1" s="87"/>
      <c r="XBD1" s="87"/>
      <c r="XBE1" s="87"/>
      <c r="XBF1" s="87"/>
      <c r="XBG1" s="87"/>
      <c r="XBH1" s="87"/>
      <c r="XBI1" s="87"/>
      <c r="XBJ1" s="87"/>
      <c r="XBK1" s="87"/>
      <c r="XBL1" s="87"/>
      <c r="XBM1" s="87"/>
      <c r="XBN1" s="87"/>
      <c r="XBO1" s="87"/>
      <c r="XBP1" s="87"/>
      <c r="XBQ1" s="87"/>
      <c r="XBR1" s="87"/>
      <c r="XBS1" s="87"/>
      <c r="XBT1" s="87"/>
      <c r="XBU1" s="87"/>
      <c r="XBV1" s="87"/>
      <c r="XBW1" s="87"/>
      <c r="XBX1" s="87"/>
      <c r="XBY1" s="87"/>
      <c r="XBZ1" s="87"/>
      <c r="XCA1" s="87"/>
      <c r="XCB1" s="87"/>
      <c r="XCC1" s="87"/>
      <c r="XCD1" s="87"/>
      <c r="XCE1" s="87"/>
      <c r="XCF1" s="87"/>
      <c r="XCG1" s="87"/>
      <c r="XCH1" s="87"/>
      <c r="XCI1" s="87"/>
      <c r="XCJ1" s="87"/>
      <c r="XCK1" s="87"/>
      <c r="XCL1" s="87"/>
      <c r="XCM1" s="87"/>
      <c r="XCN1" s="87"/>
      <c r="XCO1" s="87"/>
      <c r="XCP1" s="87"/>
      <c r="XCQ1" s="87"/>
      <c r="XCR1" s="87"/>
      <c r="XCS1" s="87"/>
      <c r="XCT1" s="87"/>
      <c r="XCU1" s="87"/>
      <c r="XCV1" s="87"/>
      <c r="XCW1" s="87"/>
      <c r="XCX1" s="87"/>
      <c r="XCY1" s="87"/>
      <c r="XCZ1" s="87"/>
      <c r="XDA1" s="87"/>
      <c r="XDB1" s="87"/>
      <c r="XDC1" s="87"/>
      <c r="XDD1" s="87"/>
      <c r="XDE1" s="87"/>
      <c r="XDF1" s="87"/>
      <c r="XDG1" s="87"/>
      <c r="XDH1" s="87"/>
      <c r="XDI1" s="87"/>
      <c r="XDJ1" s="87"/>
      <c r="XDK1" s="87"/>
      <c r="XDL1" s="87"/>
      <c r="XDM1" s="87"/>
      <c r="XDN1" s="87"/>
      <c r="XDO1" s="87"/>
      <c r="XDP1" s="87"/>
      <c r="XDQ1" s="87"/>
      <c r="XDR1" s="87"/>
      <c r="XDS1" s="87"/>
      <c r="XDT1" s="87"/>
      <c r="XDU1" s="87"/>
      <c r="XDV1" s="87"/>
      <c r="XDW1" s="87"/>
      <c r="XDX1" s="87"/>
      <c r="XDY1" s="87"/>
      <c r="XDZ1" s="87"/>
      <c r="XEA1" s="87"/>
      <c r="XEB1" s="87"/>
      <c r="XEC1" s="87"/>
      <c r="XED1" s="87"/>
      <c r="XEE1" s="87"/>
      <c r="XEF1" s="87"/>
      <c r="XEG1" s="87"/>
      <c r="XEH1" s="87"/>
      <c r="XEI1" s="87"/>
      <c r="XEJ1" s="87"/>
      <c r="XEK1" s="87"/>
    </row>
    <row r="2" spans="1:16365" x14ac:dyDescent="0.25">
      <c r="A2" t="str">
        <f t="shared" ref="A2:A65" si="0">I2&amp;"-"&amp;J2</f>
        <v>2023-1</v>
      </c>
      <c r="B2" s="1">
        <f t="shared" ref="B2:B65" si="1">N2</f>
        <v>44948</v>
      </c>
      <c r="C2" t="str">
        <f t="shared" ref="C2:C65" si="2">M2&amp;"/"&amp;O2</f>
        <v>12022027/ZT DI Dr. Arno Kolbitsch, Gütleweg 1, 6822 Satteins</v>
      </c>
      <c r="D2" t="str">
        <f t="shared" ref="D2:E33" si="3">K2</f>
        <v>Einnahmen</v>
      </c>
      <c r="E2" t="str">
        <f t="shared" si="3"/>
        <v>Waren-/Leistungserlöse</v>
      </c>
      <c r="F2" s="117">
        <f t="shared" ref="F2:F65" si="4">Z2</f>
        <v>635.16</v>
      </c>
      <c r="G2" t="str">
        <f t="shared" ref="G2:G65" si="5">U2&amp;"%"</f>
        <v>20%</v>
      </c>
      <c r="I2" s="53">
        <v>2023</v>
      </c>
      <c r="J2" s="53">
        <v>1</v>
      </c>
      <c r="K2" s="71" t="s">
        <v>708</v>
      </c>
      <c r="L2" t="s">
        <v>709</v>
      </c>
      <c r="M2" s="6">
        <v>12022027</v>
      </c>
      <c r="N2" s="1">
        <v>44948</v>
      </c>
      <c r="O2" t="s">
        <v>1038</v>
      </c>
      <c r="Q2" s="76"/>
      <c r="R2" t="b">
        <v>0</v>
      </c>
      <c r="S2" s="48">
        <v>529.29999999999995</v>
      </c>
      <c r="T2" s="72">
        <v>1</v>
      </c>
      <c r="U2">
        <v>20</v>
      </c>
      <c r="V2" s="31">
        <v>105.86</v>
      </c>
      <c r="W2" s="31">
        <v>105.86</v>
      </c>
      <c r="X2" s="33">
        <v>529.29999999999995</v>
      </c>
      <c r="Y2" s="29">
        <v>635.16</v>
      </c>
      <c r="Z2" s="29">
        <v>635.16</v>
      </c>
      <c r="AA2" s="35">
        <v>45000</v>
      </c>
      <c r="AB2" s="27"/>
      <c r="AC2" s="27"/>
      <c r="AD2" s="58">
        <v>529.29999999999995</v>
      </c>
      <c r="AE2" s="31">
        <v>0</v>
      </c>
      <c r="AF2" t="b">
        <v>0</v>
      </c>
      <c r="AG2" s="78">
        <v>529.29999999999995</v>
      </c>
    </row>
    <row r="3" spans="1:16365" x14ac:dyDescent="0.25">
      <c r="A3" t="str">
        <f t="shared" si="0"/>
        <v>2023-2</v>
      </c>
      <c r="B3" s="1">
        <f t="shared" si="1"/>
        <v>44928</v>
      </c>
      <c r="C3" t="str">
        <f t="shared" si="2"/>
        <v>/Google Ireland Ltd, Gordon House, Barrow Street, Dublin 4, Ireland; VAT number: IE 6388047V</v>
      </c>
      <c r="D3" t="str">
        <f t="shared" si="3"/>
        <v>Ausgaben</v>
      </c>
      <c r="E3" t="str">
        <f t="shared" si="3"/>
        <v>sonstige Betriebsausgaben</v>
      </c>
      <c r="F3" s="117">
        <f t="shared" si="4"/>
        <v>9.36</v>
      </c>
      <c r="G3" t="str">
        <f t="shared" si="5"/>
        <v>0%</v>
      </c>
      <c r="I3" s="53">
        <v>2023</v>
      </c>
      <c r="J3" s="53">
        <v>2</v>
      </c>
      <c r="K3" s="71" t="s">
        <v>105</v>
      </c>
      <c r="L3" t="s">
        <v>705</v>
      </c>
      <c r="M3" s="9"/>
      <c r="N3" s="1">
        <v>44928</v>
      </c>
      <c r="O3" t="s">
        <v>1404</v>
      </c>
      <c r="Q3" s="76"/>
      <c r="R3" t="b">
        <v>0</v>
      </c>
      <c r="S3" s="109">
        <v>9.36</v>
      </c>
      <c r="T3" s="72">
        <v>1</v>
      </c>
      <c r="U3">
        <v>0</v>
      </c>
      <c r="V3" s="31">
        <v>0</v>
      </c>
      <c r="W3" s="31">
        <v>0</v>
      </c>
      <c r="X3" s="33">
        <v>9.36</v>
      </c>
      <c r="Y3" s="29">
        <v>9.36</v>
      </c>
      <c r="Z3" s="29">
        <v>9.36</v>
      </c>
      <c r="AA3" s="35">
        <v>45000</v>
      </c>
      <c r="AB3" s="27"/>
      <c r="AC3" s="27">
        <v>20</v>
      </c>
      <c r="AD3" s="58">
        <v>9.36</v>
      </c>
      <c r="AE3" s="31">
        <v>1.8719999999999999</v>
      </c>
      <c r="AF3" t="b">
        <v>0</v>
      </c>
      <c r="AG3" s="78">
        <v>-9.36</v>
      </c>
    </row>
    <row r="4" spans="1:16365" x14ac:dyDescent="0.25">
      <c r="A4" t="str">
        <f t="shared" si="0"/>
        <v>2023-3</v>
      </c>
      <c r="B4" s="1">
        <f t="shared" si="1"/>
        <v>44928</v>
      </c>
      <c r="C4" t="str">
        <f t="shared" si="2"/>
        <v>/car2go Österreich GmbH, Hintere Zollamtstraße 9, 1030 Wien</v>
      </c>
      <c r="D4" t="str">
        <f t="shared" si="3"/>
        <v>Ausgaben</v>
      </c>
      <c r="E4" t="str">
        <f t="shared" si="3"/>
        <v>Reise- und Fahrtspesen inkl. Kilometergeld und Diäten</v>
      </c>
      <c r="F4" s="117">
        <f t="shared" si="4"/>
        <v>53.543999999999997</v>
      </c>
      <c r="G4" t="str">
        <f t="shared" si="5"/>
        <v>20%</v>
      </c>
      <c r="I4" s="53">
        <v>2023</v>
      </c>
      <c r="J4" s="53">
        <v>3</v>
      </c>
      <c r="K4" s="71" t="s">
        <v>105</v>
      </c>
      <c r="L4" t="s">
        <v>689</v>
      </c>
      <c r="M4" s="131"/>
      <c r="N4" s="1">
        <v>44928</v>
      </c>
      <c r="O4" t="s">
        <v>974</v>
      </c>
      <c r="Q4" s="76"/>
      <c r="R4" t="b">
        <v>0</v>
      </c>
      <c r="S4" s="48">
        <v>44.62</v>
      </c>
      <c r="T4" s="72">
        <v>1</v>
      </c>
      <c r="U4">
        <v>20</v>
      </c>
      <c r="V4" s="31">
        <v>8.9239999999999995</v>
      </c>
      <c r="W4" s="31">
        <v>8.9239999999999995</v>
      </c>
      <c r="X4" s="33">
        <v>44.62</v>
      </c>
      <c r="Y4" s="29">
        <v>53.543999999999997</v>
      </c>
      <c r="Z4" s="29">
        <v>53.543999999999997</v>
      </c>
      <c r="AA4" s="35">
        <v>45000</v>
      </c>
      <c r="AB4" s="27"/>
      <c r="AC4" s="27"/>
      <c r="AD4" s="58">
        <v>44.62</v>
      </c>
      <c r="AE4" s="31">
        <v>0</v>
      </c>
      <c r="AF4" t="b">
        <v>0</v>
      </c>
      <c r="AG4" s="78">
        <v>-44.62</v>
      </c>
    </row>
    <row r="5" spans="1:16365" x14ac:dyDescent="0.25">
      <c r="A5" t="str">
        <f t="shared" si="0"/>
        <v>2023-4</v>
      </c>
      <c r="B5" s="1">
        <f t="shared" si="1"/>
        <v>44928</v>
      </c>
      <c r="C5" t="str">
        <f t="shared" si="2"/>
        <v>/Bontus Immobilienverwaltung GmbH, 1010 Wien, Franz Josefs Kai 65</v>
      </c>
      <c r="D5" t="str">
        <f t="shared" si="3"/>
        <v>Ausgaben</v>
      </c>
      <c r="E5" t="str">
        <f t="shared" si="3"/>
        <v>Miet- und Pachtaufwand, Leasing</v>
      </c>
      <c r="F5" s="117">
        <f t="shared" si="4"/>
        <v>619.02</v>
      </c>
      <c r="G5" t="str">
        <f t="shared" si="5"/>
        <v>20%</v>
      </c>
      <c r="I5" s="53">
        <v>2023</v>
      </c>
      <c r="J5" s="53">
        <v>4</v>
      </c>
      <c r="K5" s="71" t="s">
        <v>105</v>
      </c>
      <c r="L5" t="s">
        <v>691</v>
      </c>
      <c r="M5" s="9"/>
      <c r="N5" s="1">
        <v>44928</v>
      </c>
      <c r="O5" t="s">
        <v>1113</v>
      </c>
      <c r="Q5" s="76"/>
      <c r="R5" t="b">
        <v>0</v>
      </c>
      <c r="S5" s="109">
        <v>515.85</v>
      </c>
      <c r="T5" s="72">
        <v>1</v>
      </c>
      <c r="U5">
        <v>20</v>
      </c>
      <c r="V5" s="31">
        <v>103.17</v>
      </c>
      <c r="W5" s="31">
        <v>103.17</v>
      </c>
      <c r="X5" s="33">
        <v>515.85</v>
      </c>
      <c r="Y5" s="29">
        <v>619.02</v>
      </c>
      <c r="Z5" s="29">
        <v>619.02</v>
      </c>
      <c r="AA5" s="35">
        <v>45000</v>
      </c>
      <c r="AB5" s="27"/>
      <c r="AC5" s="27"/>
      <c r="AD5" s="58">
        <v>515.85</v>
      </c>
      <c r="AE5" s="31">
        <v>0</v>
      </c>
      <c r="AF5" t="b">
        <v>0</v>
      </c>
      <c r="AG5" s="78">
        <v>-515.85</v>
      </c>
    </row>
    <row r="6" spans="1:16365" x14ac:dyDescent="0.25">
      <c r="A6" t="str">
        <f t="shared" si="0"/>
        <v>2023-5</v>
      </c>
      <c r="B6" s="1">
        <f t="shared" si="1"/>
        <v>44930</v>
      </c>
      <c r="C6" t="str">
        <f t="shared" si="2"/>
        <v>/Hutchison Drei Austria GmbH, Brünner Straße 52, 1210 Wien, Österreich</v>
      </c>
      <c r="D6" t="str">
        <f t="shared" si="3"/>
        <v>Ausgaben</v>
      </c>
      <c r="E6" t="str">
        <f t="shared" si="3"/>
        <v>Telefon/Internet</v>
      </c>
      <c r="F6" s="117">
        <f t="shared" si="4"/>
        <v>18</v>
      </c>
      <c r="G6" t="str">
        <f t="shared" si="5"/>
        <v>20%</v>
      </c>
      <c r="I6" s="53">
        <v>2023</v>
      </c>
      <c r="J6" s="53">
        <v>5</v>
      </c>
      <c r="K6" s="71" t="s">
        <v>105</v>
      </c>
      <c r="L6" t="s">
        <v>703</v>
      </c>
      <c r="M6" s="9"/>
      <c r="N6" s="1">
        <v>44930</v>
      </c>
      <c r="O6" t="s">
        <v>34</v>
      </c>
      <c r="Q6" s="76"/>
      <c r="R6" t="b">
        <v>0</v>
      </c>
      <c r="S6" s="48">
        <v>15</v>
      </c>
      <c r="T6" s="72">
        <v>1</v>
      </c>
      <c r="U6">
        <v>20</v>
      </c>
      <c r="V6" s="31">
        <v>3</v>
      </c>
      <c r="W6" s="31">
        <v>3</v>
      </c>
      <c r="X6" s="33">
        <v>15</v>
      </c>
      <c r="Y6" s="29">
        <v>18</v>
      </c>
      <c r="Z6" s="29">
        <v>18</v>
      </c>
      <c r="AA6" s="35">
        <v>45000</v>
      </c>
      <c r="AB6" s="27"/>
      <c r="AC6" s="27"/>
      <c r="AD6" s="58">
        <v>15</v>
      </c>
      <c r="AE6" s="31">
        <v>0</v>
      </c>
      <c r="AF6" t="b">
        <v>0</v>
      </c>
      <c r="AG6" s="78">
        <v>-15</v>
      </c>
    </row>
    <row r="7" spans="1:16365" x14ac:dyDescent="0.25">
      <c r="A7" t="str">
        <f t="shared" si="0"/>
        <v>2023-6</v>
      </c>
      <c r="B7" s="1">
        <f t="shared" si="1"/>
        <v>44931</v>
      </c>
      <c r="C7" t="str">
        <f t="shared" si="2"/>
        <v>/go green energy GmbH &amp; Co KG</v>
      </c>
      <c r="D7" t="str">
        <f t="shared" si="3"/>
        <v>Ausgaben</v>
      </c>
      <c r="E7" t="str">
        <f t="shared" si="3"/>
        <v>sonstige Betriebsausgaben</v>
      </c>
      <c r="F7" s="117">
        <f t="shared" si="4"/>
        <v>6</v>
      </c>
      <c r="G7" t="str">
        <f t="shared" si="5"/>
        <v>20%</v>
      </c>
      <c r="I7" s="53">
        <v>2023</v>
      </c>
      <c r="J7" s="53">
        <v>6</v>
      </c>
      <c r="K7" s="71" t="s">
        <v>105</v>
      </c>
      <c r="L7" t="s">
        <v>705</v>
      </c>
      <c r="N7" s="1">
        <v>44931</v>
      </c>
      <c r="O7" t="s">
        <v>1670</v>
      </c>
      <c r="Q7" s="76"/>
      <c r="R7" t="b">
        <v>0</v>
      </c>
      <c r="S7" s="48">
        <v>5</v>
      </c>
      <c r="T7" s="72">
        <v>1</v>
      </c>
      <c r="U7">
        <v>20</v>
      </c>
      <c r="V7" s="31">
        <v>1</v>
      </c>
      <c r="W7" s="31">
        <v>1</v>
      </c>
      <c r="X7" s="33">
        <v>5</v>
      </c>
      <c r="Y7" s="29">
        <v>6</v>
      </c>
      <c r="Z7" s="29">
        <v>6</v>
      </c>
      <c r="AA7" s="35">
        <v>45000</v>
      </c>
      <c r="AB7" s="27"/>
      <c r="AC7" s="27"/>
      <c r="AD7" s="58">
        <v>5</v>
      </c>
      <c r="AE7" s="31">
        <v>0</v>
      </c>
      <c r="AF7" t="b">
        <v>0</v>
      </c>
      <c r="AG7" s="78">
        <v>-5</v>
      </c>
    </row>
    <row r="8" spans="1:16365" x14ac:dyDescent="0.25">
      <c r="A8" t="str">
        <f t="shared" si="0"/>
        <v>2023-7</v>
      </c>
      <c r="B8" s="1">
        <f t="shared" si="1"/>
        <v>44935</v>
      </c>
      <c r="C8" t="str">
        <f t="shared" si="2"/>
        <v>BELEG FEHLT/Techem Messtechnik GmbH; Abnehmernummer 501686-0003-11-</v>
      </c>
      <c r="D8" t="str">
        <f t="shared" si="3"/>
        <v>Ausgaben</v>
      </c>
      <c r="E8" t="str">
        <f t="shared" si="3"/>
        <v>Miet- und Pachtaufwand, Leasing</v>
      </c>
      <c r="F8" s="117">
        <f t="shared" si="4"/>
        <v>147.12</v>
      </c>
      <c r="G8" t="str">
        <f t="shared" si="5"/>
        <v>20%</v>
      </c>
      <c r="I8" s="53">
        <v>2023</v>
      </c>
      <c r="J8" s="53">
        <v>7</v>
      </c>
      <c r="K8" s="71" t="s">
        <v>105</v>
      </c>
      <c r="L8" t="s">
        <v>691</v>
      </c>
      <c r="M8" s="61" t="s">
        <v>1064</v>
      </c>
      <c r="N8" s="1">
        <v>44935</v>
      </c>
      <c r="O8" t="s">
        <v>1558</v>
      </c>
      <c r="Q8" s="76"/>
      <c r="R8" t="b">
        <v>0</v>
      </c>
      <c r="S8" s="109">
        <v>122.6</v>
      </c>
      <c r="T8" s="72">
        <v>1</v>
      </c>
      <c r="U8">
        <v>20</v>
      </c>
      <c r="V8" s="31">
        <v>24.52</v>
      </c>
      <c r="W8" s="31">
        <v>24.52</v>
      </c>
      <c r="X8" s="33">
        <v>122.6</v>
      </c>
      <c r="Y8" s="29">
        <v>147.12</v>
      </c>
      <c r="Z8" s="29">
        <v>147.12</v>
      </c>
      <c r="AA8" s="35">
        <v>45000</v>
      </c>
      <c r="AB8" s="27"/>
      <c r="AC8" s="27"/>
      <c r="AD8" s="58">
        <v>122.6</v>
      </c>
      <c r="AE8" s="31">
        <v>0</v>
      </c>
      <c r="AF8" t="b">
        <v>0</v>
      </c>
      <c r="AG8" s="78">
        <v>-122.6</v>
      </c>
    </row>
    <row r="9" spans="1:16365" x14ac:dyDescent="0.25">
      <c r="A9" t="str">
        <f t="shared" si="0"/>
        <v>2023-8</v>
      </c>
      <c r="B9" s="1">
        <f t="shared" si="1"/>
        <v>44935</v>
      </c>
      <c r="C9" t="str">
        <f t="shared" si="2"/>
        <v>/go green energy GmbH &amp; Co KG</v>
      </c>
      <c r="D9" t="str">
        <f t="shared" si="3"/>
        <v>Ausgaben</v>
      </c>
      <c r="E9" t="str">
        <f t="shared" si="3"/>
        <v>sonstige Betriebsausgaben</v>
      </c>
      <c r="F9" s="117">
        <f t="shared" si="4"/>
        <v>0.96000000000000008</v>
      </c>
      <c r="G9" t="str">
        <f t="shared" si="5"/>
        <v>20%</v>
      </c>
      <c r="I9" s="53">
        <v>2023</v>
      </c>
      <c r="J9" s="53">
        <v>8</v>
      </c>
      <c r="K9" s="71" t="s">
        <v>105</v>
      </c>
      <c r="L9" t="s">
        <v>705</v>
      </c>
      <c r="N9" s="1">
        <v>44935</v>
      </c>
      <c r="O9" t="s">
        <v>1670</v>
      </c>
      <c r="Q9" s="76"/>
      <c r="R9" t="b">
        <v>0</v>
      </c>
      <c r="S9" s="48">
        <v>0.8</v>
      </c>
      <c r="T9" s="72">
        <v>1</v>
      </c>
      <c r="U9">
        <v>20</v>
      </c>
      <c r="V9" s="31">
        <v>0.16</v>
      </c>
      <c r="W9" s="31">
        <v>0.16</v>
      </c>
      <c r="X9" s="33">
        <v>0.8</v>
      </c>
      <c r="Y9" s="29">
        <v>0.96000000000000008</v>
      </c>
      <c r="Z9" s="29">
        <v>0.96000000000000008</v>
      </c>
      <c r="AA9" s="35">
        <v>45000</v>
      </c>
      <c r="AB9" s="27"/>
      <c r="AC9" s="27"/>
      <c r="AD9" s="58">
        <v>0.8</v>
      </c>
      <c r="AE9" s="31">
        <v>0</v>
      </c>
      <c r="AF9" t="b">
        <v>0</v>
      </c>
      <c r="AG9" s="78">
        <v>-0.8</v>
      </c>
    </row>
    <row r="10" spans="1:16365" x14ac:dyDescent="0.25">
      <c r="A10" t="str">
        <f t="shared" si="0"/>
        <v>2023-9</v>
      </c>
      <c r="B10" s="1">
        <f t="shared" si="1"/>
        <v>44937</v>
      </c>
      <c r="C10" t="str">
        <f t="shared" si="2"/>
        <v>12022028/foxcraft - DI Mag. Alexander Wagner, Leschetitzkygasse 30/5, 1180 Wien</v>
      </c>
      <c r="D10" t="str">
        <f t="shared" si="3"/>
        <v>Ausgaben</v>
      </c>
      <c r="E10" t="str">
        <f t="shared" si="3"/>
        <v>sonstige Betriebsausgaben</v>
      </c>
      <c r="F10" s="117">
        <f t="shared" si="4"/>
        <v>69.864000000000004</v>
      </c>
      <c r="G10" t="str">
        <f t="shared" si="5"/>
        <v>20%</v>
      </c>
      <c r="I10" s="53">
        <v>2023</v>
      </c>
      <c r="J10" s="53">
        <v>9</v>
      </c>
      <c r="K10" s="71" t="s">
        <v>105</v>
      </c>
      <c r="L10" t="s">
        <v>705</v>
      </c>
      <c r="M10" s="9" t="s">
        <v>1721</v>
      </c>
      <c r="N10" s="1">
        <v>44937</v>
      </c>
      <c r="O10" t="s">
        <v>1197</v>
      </c>
      <c r="Q10" s="76"/>
      <c r="R10" t="b">
        <v>0</v>
      </c>
      <c r="S10" s="48">
        <v>58.22</v>
      </c>
      <c r="T10" s="72">
        <v>1</v>
      </c>
      <c r="U10">
        <v>20</v>
      </c>
      <c r="V10" s="31">
        <v>11.644</v>
      </c>
      <c r="W10" s="31">
        <v>11.644</v>
      </c>
      <c r="X10" s="33">
        <v>58.22</v>
      </c>
      <c r="Y10" s="29">
        <v>69.864000000000004</v>
      </c>
      <c r="Z10" s="29">
        <v>69.864000000000004</v>
      </c>
      <c r="AA10" s="35">
        <v>45000</v>
      </c>
      <c r="AB10" s="27"/>
      <c r="AC10" s="27"/>
      <c r="AD10" s="58">
        <v>58.22</v>
      </c>
      <c r="AE10" s="31">
        <v>0</v>
      </c>
      <c r="AF10" t="b">
        <v>0</v>
      </c>
      <c r="AG10" s="78">
        <v>-58.22</v>
      </c>
    </row>
    <row r="11" spans="1:16365" x14ac:dyDescent="0.25">
      <c r="A11" t="str">
        <f t="shared" si="0"/>
        <v>2023-10</v>
      </c>
      <c r="B11" s="1">
        <f t="shared" si="1"/>
        <v>44938</v>
      </c>
      <c r="C11" t="str">
        <f t="shared" si="2"/>
        <v>/Hetzner Online GmbH</v>
      </c>
      <c r="D11" t="str">
        <f t="shared" si="3"/>
        <v>Ausgaben</v>
      </c>
      <c r="E11" t="str">
        <f t="shared" si="3"/>
        <v>sonstige Betriebsausgaben</v>
      </c>
      <c r="F11" s="117">
        <f t="shared" si="4"/>
        <v>51.340299999999999</v>
      </c>
      <c r="G11" t="str">
        <f t="shared" si="5"/>
        <v>0%</v>
      </c>
      <c r="I11" s="53">
        <v>2023</v>
      </c>
      <c r="J11" s="53">
        <v>10</v>
      </c>
      <c r="K11" s="71" t="s">
        <v>105</v>
      </c>
      <c r="L11" t="s">
        <v>705</v>
      </c>
      <c r="M11" s="9"/>
      <c r="N11" s="1">
        <v>44938</v>
      </c>
      <c r="O11" t="s">
        <v>927</v>
      </c>
      <c r="Q11" s="76"/>
      <c r="R11" t="b">
        <v>0</v>
      </c>
      <c r="S11" s="48">
        <v>51.340299999999999</v>
      </c>
      <c r="T11" s="72">
        <v>1</v>
      </c>
      <c r="U11">
        <v>0</v>
      </c>
      <c r="V11" s="31">
        <v>0</v>
      </c>
      <c r="W11" s="31">
        <v>0</v>
      </c>
      <c r="X11" s="33">
        <v>51.340299999999999</v>
      </c>
      <c r="Y11" s="29">
        <v>51.340299999999999</v>
      </c>
      <c r="Z11" s="29">
        <v>51.340299999999999</v>
      </c>
      <c r="AA11" s="35">
        <v>45000</v>
      </c>
      <c r="AB11" s="27"/>
      <c r="AC11" s="27">
        <v>20</v>
      </c>
      <c r="AD11" s="58">
        <v>51.340299999999999</v>
      </c>
      <c r="AE11" s="31">
        <v>10.26806</v>
      </c>
      <c r="AF11" t="b">
        <v>0</v>
      </c>
      <c r="AG11" s="78">
        <v>-51.340299999999999</v>
      </c>
    </row>
    <row r="12" spans="1:16365" x14ac:dyDescent="0.25">
      <c r="A12" t="str">
        <f t="shared" si="0"/>
        <v>2023-11</v>
      </c>
      <c r="B12" s="1">
        <f t="shared" si="1"/>
        <v>44939</v>
      </c>
      <c r="C12" t="str">
        <f t="shared" si="2"/>
        <v>168047262/Hays Österreich GmbH, Bahnhof City Wien West , Europaplatz 3/5, 1150 Wien</v>
      </c>
      <c r="D12" t="str">
        <f t="shared" si="3"/>
        <v>Einnahmen</v>
      </c>
      <c r="E12" t="str">
        <f t="shared" si="3"/>
        <v>Waren-/Leistungserlöse</v>
      </c>
      <c r="F12" s="117">
        <f t="shared" si="4"/>
        <v>18849.599999999999</v>
      </c>
      <c r="G12" t="str">
        <f t="shared" si="5"/>
        <v>20%</v>
      </c>
      <c r="I12" s="53">
        <v>2023</v>
      </c>
      <c r="J12" s="53">
        <v>11</v>
      </c>
      <c r="K12" s="71" t="s">
        <v>708</v>
      </c>
      <c r="L12" t="s">
        <v>709</v>
      </c>
      <c r="M12">
        <v>168047262</v>
      </c>
      <c r="N12" s="1">
        <v>44939</v>
      </c>
      <c r="O12" t="s">
        <v>1652</v>
      </c>
      <c r="Q12" s="76"/>
      <c r="R12" t="b">
        <v>0</v>
      </c>
      <c r="S12" s="48">
        <v>15708</v>
      </c>
      <c r="T12" s="72">
        <v>1</v>
      </c>
      <c r="U12">
        <v>20</v>
      </c>
      <c r="V12" s="31">
        <v>3141.6</v>
      </c>
      <c r="W12" s="31">
        <v>3141.6</v>
      </c>
      <c r="X12" s="33">
        <v>15708</v>
      </c>
      <c r="Y12" s="29">
        <v>18849.599999999999</v>
      </c>
      <c r="Z12" s="29">
        <v>18849.599999999999</v>
      </c>
      <c r="AA12" s="35">
        <v>45000</v>
      </c>
      <c r="AB12" s="27"/>
      <c r="AC12" s="27"/>
      <c r="AD12" s="58">
        <v>15708</v>
      </c>
      <c r="AE12" s="31">
        <v>0</v>
      </c>
      <c r="AF12" t="b">
        <v>0</v>
      </c>
      <c r="AG12" s="78">
        <v>15708</v>
      </c>
    </row>
    <row r="13" spans="1:16365" x14ac:dyDescent="0.25">
      <c r="A13" t="str">
        <f t="shared" si="0"/>
        <v>2023-12</v>
      </c>
      <c r="B13" s="1">
        <f t="shared" si="1"/>
        <v>44942</v>
      </c>
      <c r="C13" t="str">
        <f t="shared" si="2"/>
        <v>siehe 2022-140/Honorar Eva Jaros-Kolbitsch</v>
      </c>
      <c r="D13" t="str">
        <f t="shared" si="3"/>
        <v>Ausgaben</v>
      </c>
      <c r="E13" t="str">
        <f t="shared" si="3"/>
        <v>Personalaufwand</v>
      </c>
      <c r="F13" s="117">
        <f t="shared" si="4"/>
        <v>365</v>
      </c>
      <c r="G13" t="str">
        <f t="shared" si="5"/>
        <v>0%</v>
      </c>
      <c r="I13" s="53">
        <v>2023</v>
      </c>
      <c r="J13" s="53">
        <v>12</v>
      </c>
      <c r="K13" s="71" t="s">
        <v>105</v>
      </c>
      <c r="L13" t="s">
        <v>685</v>
      </c>
      <c r="M13" s="9" t="s">
        <v>1699</v>
      </c>
      <c r="N13" s="1">
        <v>44942</v>
      </c>
      <c r="O13" t="s">
        <v>1689</v>
      </c>
      <c r="Q13" s="76"/>
      <c r="R13" t="b">
        <v>0</v>
      </c>
      <c r="S13" s="48">
        <v>365</v>
      </c>
      <c r="T13" s="72">
        <v>1</v>
      </c>
      <c r="U13">
        <v>0</v>
      </c>
      <c r="V13" s="31">
        <v>0</v>
      </c>
      <c r="W13" s="31">
        <v>0</v>
      </c>
      <c r="X13" s="33">
        <v>365</v>
      </c>
      <c r="Y13" s="29">
        <v>365</v>
      </c>
      <c r="Z13" s="29">
        <v>365</v>
      </c>
      <c r="AA13" s="35">
        <v>45000</v>
      </c>
      <c r="AB13" s="27"/>
      <c r="AC13" s="27"/>
      <c r="AD13" s="58">
        <v>365</v>
      </c>
      <c r="AE13" s="31">
        <v>0</v>
      </c>
      <c r="AF13" t="b">
        <v>0</v>
      </c>
      <c r="AG13" s="78">
        <v>-365</v>
      </c>
    </row>
    <row r="14" spans="1:16365" x14ac:dyDescent="0.25">
      <c r="A14" t="str">
        <f t="shared" si="0"/>
        <v>2023-13</v>
      </c>
      <c r="B14" s="1">
        <f t="shared" si="1"/>
        <v>44943</v>
      </c>
      <c r="C14" t="str">
        <f t="shared" si="2"/>
        <v>12022030/Musikschule Bad Vöslau, Hauptstraße 14, 2540 Bad Vöslau</v>
      </c>
      <c r="D14" t="str">
        <f t="shared" si="3"/>
        <v>Einnahmen</v>
      </c>
      <c r="E14" t="str">
        <f t="shared" si="3"/>
        <v>Waren-/Leistungserlöse</v>
      </c>
      <c r="F14" s="117">
        <f t="shared" si="4"/>
        <v>213.6</v>
      </c>
      <c r="G14" t="str">
        <f t="shared" si="5"/>
        <v>20%</v>
      </c>
      <c r="I14" s="53">
        <v>2023</v>
      </c>
      <c r="J14" s="53">
        <v>13</v>
      </c>
      <c r="K14" s="71" t="s">
        <v>708</v>
      </c>
      <c r="L14" t="s">
        <v>709</v>
      </c>
      <c r="M14" s="9" t="s">
        <v>1722</v>
      </c>
      <c r="N14" s="1">
        <v>44943</v>
      </c>
      <c r="O14" t="s">
        <v>1384</v>
      </c>
      <c r="Q14" s="76"/>
      <c r="R14" t="b">
        <v>0</v>
      </c>
      <c r="S14" s="48">
        <v>178</v>
      </c>
      <c r="T14" s="72">
        <v>1</v>
      </c>
      <c r="U14">
        <v>20</v>
      </c>
      <c r="V14" s="31">
        <v>35.6</v>
      </c>
      <c r="W14" s="31">
        <v>35.6</v>
      </c>
      <c r="X14" s="33">
        <v>178</v>
      </c>
      <c r="Y14" s="29">
        <v>213.6</v>
      </c>
      <c r="Z14" s="29">
        <v>213.6</v>
      </c>
      <c r="AA14" s="35">
        <v>45000</v>
      </c>
      <c r="AB14" s="27"/>
      <c r="AC14" s="27"/>
      <c r="AD14" s="58">
        <v>178</v>
      </c>
      <c r="AE14" s="31">
        <v>0</v>
      </c>
      <c r="AF14" t="b">
        <v>0</v>
      </c>
      <c r="AG14" s="78">
        <v>178</v>
      </c>
    </row>
    <row r="15" spans="1:16365" x14ac:dyDescent="0.25">
      <c r="A15" t="str">
        <f t="shared" si="0"/>
        <v>2023-14</v>
      </c>
      <c r="B15" s="1">
        <f t="shared" si="1"/>
        <v>44945</v>
      </c>
      <c r="C15" t="str">
        <f t="shared" si="2"/>
        <v>/Microsoft Ireland Operations Ltd. One Microsoft Place, South County, Business Park, Leopardstown, Dublin 18, D18 P521, Ireland</v>
      </c>
      <c r="D15" t="str">
        <f t="shared" si="3"/>
        <v>Ausgaben</v>
      </c>
      <c r="E15" t="str">
        <f t="shared" si="3"/>
        <v>sonstige Betriebsausgaben</v>
      </c>
      <c r="F15" s="117">
        <f t="shared" si="4"/>
        <v>10.5</v>
      </c>
      <c r="G15" t="str">
        <f t="shared" si="5"/>
        <v>0%</v>
      </c>
      <c r="I15" s="53">
        <v>2023</v>
      </c>
      <c r="J15" s="53">
        <v>14</v>
      </c>
      <c r="K15" s="71" t="s">
        <v>105</v>
      </c>
      <c r="L15" t="s">
        <v>705</v>
      </c>
      <c r="N15" s="1">
        <v>44945</v>
      </c>
      <c r="O15" t="s">
        <v>1032</v>
      </c>
      <c r="Q15" s="76"/>
      <c r="R15" t="b">
        <v>0</v>
      </c>
      <c r="S15" s="109">
        <v>10.5</v>
      </c>
      <c r="T15" s="72">
        <v>1</v>
      </c>
      <c r="U15">
        <v>0</v>
      </c>
      <c r="V15" s="31">
        <v>0</v>
      </c>
      <c r="W15" s="31">
        <v>0</v>
      </c>
      <c r="X15" s="33">
        <v>10.5</v>
      </c>
      <c r="Y15" s="29">
        <v>10.5</v>
      </c>
      <c r="Z15" s="29">
        <v>10.5</v>
      </c>
      <c r="AA15" s="35">
        <v>45000</v>
      </c>
      <c r="AB15" s="27"/>
      <c r="AC15" s="27">
        <v>20</v>
      </c>
      <c r="AD15" s="58">
        <v>10.5</v>
      </c>
      <c r="AE15" s="31">
        <v>2.1</v>
      </c>
      <c r="AF15" t="b">
        <v>0</v>
      </c>
      <c r="AG15" s="78">
        <v>-10.5</v>
      </c>
    </row>
    <row r="16" spans="1:16365" x14ac:dyDescent="0.25">
      <c r="A16" t="str">
        <f t="shared" si="0"/>
        <v>2023-15</v>
      </c>
      <c r="B16" s="1">
        <f t="shared" si="1"/>
        <v>44946</v>
      </c>
      <c r="C16" t="str">
        <f t="shared" si="2"/>
        <v>901153451222/Magenta: T-Mobile Austria GmbH, A-1120 Wien, PF 47</v>
      </c>
      <c r="D16" t="str">
        <f t="shared" si="3"/>
        <v>Ausgaben</v>
      </c>
      <c r="E16" t="str">
        <f t="shared" si="3"/>
        <v>Telefon/Internet</v>
      </c>
      <c r="F16" s="117">
        <f t="shared" si="4"/>
        <v>38.304000000000002</v>
      </c>
      <c r="G16" t="str">
        <f t="shared" si="5"/>
        <v>20%</v>
      </c>
      <c r="I16" s="53">
        <v>2023</v>
      </c>
      <c r="J16" s="53">
        <v>15</v>
      </c>
      <c r="K16" s="71" t="s">
        <v>105</v>
      </c>
      <c r="L16" t="s">
        <v>703</v>
      </c>
      <c r="M16" s="131" t="s">
        <v>1715</v>
      </c>
      <c r="N16" s="1">
        <v>44946</v>
      </c>
      <c r="O16" t="s">
        <v>1148</v>
      </c>
      <c r="Q16" s="76"/>
      <c r="R16" t="b">
        <v>0</v>
      </c>
      <c r="S16" s="48">
        <v>31.92</v>
      </c>
      <c r="T16" s="72">
        <v>1</v>
      </c>
      <c r="U16">
        <v>20</v>
      </c>
      <c r="V16" s="31">
        <v>6.3840000000000012</v>
      </c>
      <c r="W16" s="31">
        <v>6.3840000000000012</v>
      </c>
      <c r="X16" s="33">
        <v>31.92</v>
      </c>
      <c r="Y16" s="29">
        <v>38.304000000000002</v>
      </c>
      <c r="Z16" s="29">
        <v>38.304000000000002</v>
      </c>
      <c r="AA16" s="35">
        <v>45000</v>
      </c>
      <c r="AB16" s="27"/>
      <c r="AC16" s="27"/>
      <c r="AD16" s="58">
        <v>31.92</v>
      </c>
      <c r="AE16" s="31">
        <v>0</v>
      </c>
      <c r="AF16" t="b">
        <v>0</v>
      </c>
      <c r="AG16" s="78">
        <v>-31.92</v>
      </c>
    </row>
    <row r="17" spans="1:33" x14ac:dyDescent="0.25">
      <c r="A17" t="str">
        <f t="shared" si="0"/>
        <v>2023-16</v>
      </c>
      <c r="B17" s="1">
        <f t="shared" si="1"/>
        <v>44950</v>
      </c>
      <c r="C17" t="str">
        <f t="shared" si="2"/>
        <v>28182354875/13113/0/Aon Austria GmbH</v>
      </c>
      <c r="D17" t="str">
        <f t="shared" si="3"/>
        <v>Ausgaben</v>
      </c>
      <c r="E17" t="str">
        <f t="shared" si="3"/>
        <v>sonstige Betriebsausgaben</v>
      </c>
      <c r="F17" s="117">
        <f t="shared" si="4"/>
        <v>265.08</v>
      </c>
      <c r="G17" t="str">
        <f t="shared" si="5"/>
        <v>0%</v>
      </c>
      <c r="I17" s="53">
        <v>2023</v>
      </c>
      <c r="J17" s="53">
        <v>16</v>
      </c>
      <c r="K17" s="71" t="s">
        <v>105</v>
      </c>
      <c r="L17" t="s">
        <v>705</v>
      </c>
      <c r="M17" s="9" t="s">
        <v>1723</v>
      </c>
      <c r="N17" s="1">
        <v>44950</v>
      </c>
      <c r="O17" t="s">
        <v>934</v>
      </c>
      <c r="Q17" s="76"/>
      <c r="R17" t="b">
        <v>0</v>
      </c>
      <c r="S17" s="48">
        <v>265.08</v>
      </c>
      <c r="T17" s="72">
        <v>1</v>
      </c>
      <c r="U17">
        <v>0</v>
      </c>
      <c r="V17" s="31">
        <v>0</v>
      </c>
      <c r="W17" s="31">
        <v>0</v>
      </c>
      <c r="X17" s="33">
        <v>265.08</v>
      </c>
      <c r="Y17" s="29">
        <v>265.08</v>
      </c>
      <c r="Z17" s="29">
        <v>265.08</v>
      </c>
      <c r="AA17" s="35">
        <v>45000</v>
      </c>
      <c r="AB17" s="27"/>
      <c r="AC17" s="27"/>
      <c r="AD17" s="58">
        <v>265.08</v>
      </c>
      <c r="AE17" s="31">
        <v>0</v>
      </c>
      <c r="AF17" t="b">
        <v>0</v>
      </c>
      <c r="AG17" s="78">
        <v>-265.08</v>
      </c>
    </row>
    <row r="18" spans="1:33" x14ac:dyDescent="0.25">
      <c r="A18" t="str">
        <f t="shared" si="0"/>
        <v>2023-17</v>
      </c>
      <c r="B18" s="1">
        <f t="shared" si="1"/>
        <v>44952</v>
      </c>
      <c r="C18" t="str">
        <f t="shared" si="2"/>
        <v>RE1229110/easyname GmbH, Fernkorngasse 10/3/501, A-1100 Wien</v>
      </c>
      <c r="D18" t="str">
        <f t="shared" si="3"/>
        <v>Ausgaben</v>
      </c>
      <c r="E18" t="str">
        <f t="shared" si="3"/>
        <v>sonstige Betriebsausgaben</v>
      </c>
      <c r="F18" s="117">
        <f t="shared" si="4"/>
        <v>24.9</v>
      </c>
      <c r="G18" t="str">
        <f t="shared" si="5"/>
        <v>20%</v>
      </c>
      <c r="I18" s="53">
        <v>2023</v>
      </c>
      <c r="J18" s="53">
        <v>17</v>
      </c>
      <c r="K18" s="71" t="s">
        <v>105</v>
      </c>
      <c r="L18" t="s">
        <v>705</v>
      </c>
      <c r="M18" s="9" t="s">
        <v>1724</v>
      </c>
      <c r="N18" s="1">
        <v>44952</v>
      </c>
      <c r="O18" t="s">
        <v>941</v>
      </c>
      <c r="Q18" s="76"/>
      <c r="R18" t="b">
        <v>0</v>
      </c>
      <c r="S18" s="48">
        <v>20.75</v>
      </c>
      <c r="T18" s="72">
        <v>1</v>
      </c>
      <c r="U18">
        <v>20</v>
      </c>
      <c r="V18" s="31">
        <v>4.1500000000000004</v>
      </c>
      <c r="W18" s="31">
        <v>4.1500000000000004</v>
      </c>
      <c r="X18" s="33">
        <v>20.75</v>
      </c>
      <c r="Y18" s="29">
        <v>24.9</v>
      </c>
      <c r="Z18" s="29">
        <v>24.9</v>
      </c>
      <c r="AA18" s="35">
        <v>45000</v>
      </c>
      <c r="AB18" s="27"/>
      <c r="AC18" s="27"/>
      <c r="AD18" s="58">
        <v>20.75</v>
      </c>
      <c r="AE18" s="31">
        <v>0</v>
      </c>
      <c r="AF18" t="b">
        <v>0</v>
      </c>
      <c r="AG18" s="78">
        <v>-20.75</v>
      </c>
    </row>
    <row r="19" spans="1:33" x14ac:dyDescent="0.25">
      <c r="A19" t="str">
        <f t="shared" si="0"/>
        <v>2023-18</v>
      </c>
      <c r="B19" s="1">
        <f t="shared" si="1"/>
        <v>44956</v>
      </c>
      <c r="C19" t="str">
        <f t="shared" si="2"/>
        <v>AT31WDF4AEUI/Amazon EU S. à r.l., 38 avenue John F. Kennedy, L-1855 Luxembourg: HJEU: DVI-HDMI, Logitech Maus</v>
      </c>
      <c r="D19" t="str">
        <f t="shared" si="3"/>
        <v>Ausgaben</v>
      </c>
      <c r="E19" t="str">
        <f t="shared" si="3"/>
        <v>Büromaterial</v>
      </c>
      <c r="F19" s="117">
        <f t="shared" si="4"/>
        <v>66.527999999999992</v>
      </c>
      <c r="G19" t="str">
        <f t="shared" si="5"/>
        <v>20%</v>
      </c>
      <c r="I19" s="53">
        <v>2023</v>
      </c>
      <c r="J19" s="53">
        <v>18</v>
      </c>
      <c r="K19" s="71" t="s">
        <v>105</v>
      </c>
      <c r="L19" t="s">
        <v>339</v>
      </c>
      <c r="M19" s="9" t="s">
        <v>1725</v>
      </c>
      <c r="N19" s="1">
        <v>44956</v>
      </c>
      <c r="O19" t="s">
        <v>981</v>
      </c>
      <c r="Q19" s="76"/>
      <c r="R19" t="b">
        <v>0</v>
      </c>
      <c r="S19" s="109">
        <v>55.44</v>
      </c>
      <c r="T19" s="72">
        <v>1</v>
      </c>
      <c r="U19">
        <v>20</v>
      </c>
      <c r="V19" s="31">
        <v>11.087999999999999</v>
      </c>
      <c r="W19" s="31">
        <v>11.087999999999999</v>
      </c>
      <c r="X19" s="33">
        <v>55.44</v>
      </c>
      <c r="Y19" s="29">
        <v>66.527999999999992</v>
      </c>
      <c r="Z19" s="29">
        <v>66.527999999999992</v>
      </c>
      <c r="AA19" s="35">
        <v>45000</v>
      </c>
      <c r="AB19" s="27"/>
      <c r="AC19" s="27"/>
      <c r="AD19" s="58">
        <v>55.44</v>
      </c>
      <c r="AE19" s="31">
        <v>0</v>
      </c>
      <c r="AF19" t="b">
        <v>0</v>
      </c>
      <c r="AG19" s="78">
        <v>-55.44</v>
      </c>
    </row>
    <row r="20" spans="1:33" x14ac:dyDescent="0.25">
      <c r="A20" t="str">
        <f t="shared" si="0"/>
        <v>2023-19</v>
      </c>
      <c r="B20" s="1">
        <f t="shared" si="1"/>
        <v>44958</v>
      </c>
      <c r="C20" t="str">
        <f t="shared" si="2"/>
        <v>/Bontus Immobilienverwaltung GmbH, 1010 Wien, Franz Josefs Kai 65</v>
      </c>
      <c r="D20" t="str">
        <f t="shared" si="3"/>
        <v>Ausgaben</v>
      </c>
      <c r="E20" t="str">
        <f t="shared" si="3"/>
        <v>Miet- und Pachtaufwand, Leasing</v>
      </c>
      <c r="F20" s="117">
        <f t="shared" si="4"/>
        <v>619.02</v>
      </c>
      <c r="G20" t="str">
        <f t="shared" si="5"/>
        <v>20%</v>
      </c>
      <c r="I20" s="53">
        <v>2023</v>
      </c>
      <c r="J20" s="53">
        <v>19</v>
      </c>
      <c r="K20" s="71" t="s">
        <v>105</v>
      </c>
      <c r="L20" t="s">
        <v>691</v>
      </c>
      <c r="M20" s="9"/>
      <c r="N20" s="1">
        <v>44958</v>
      </c>
      <c r="O20" t="s">
        <v>1113</v>
      </c>
      <c r="Q20" s="76"/>
      <c r="R20" t="b">
        <v>0</v>
      </c>
      <c r="S20" s="109">
        <v>515.85</v>
      </c>
      <c r="T20" s="72">
        <v>1</v>
      </c>
      <c r="U20">
        <v>20</v>
      </c>
      <c r="V20" s="31">
        <v>103.17</v>
      </c>
      <c r="W20" s="31">
        <v>103.17</v>
      </c>
      <c r="X20" s="33">
        <v>515.85</v>
      </c>
      <c r="Y20" s="29">
        <v>619.02</v>
      </c>
      <c r="Z20" s="29">
        <v>619.02</v>
      </c>
      <c r="AA20" s="35">
        <v>45031</v>
      </c>
      <c r="AB20" s="27"/>
      <c r="AC20" s="27"/>
      <c r="AD20" s="58">
        <v>515.85</v>
      </c>
      <c r="AE20" s="31">
        <v>0</v>
      </c>
      <c r="AF20" t="b">
        <v>0</v>
      </c>
      <c r="AG20" s="78">
        <v>-515.85</v>
      </c>
    </row>
    <row r="21" spans="1:33" x14ac:dyDescent="0.25">
      <c r="A21" t="str">
        <f t="shared" si="0"/>
        <v>2023-20</v>
      </c>
      <c r="B21" s="1">
        <f t="shared" si="1"/>
        <v>44958</v>
      </c>
      <c r="C21" t="str">
        <f t="shared" si="2"/>
        <v>/car2go Österreich GmbH, Hintere Zollamtstraße 9, 1030 Wien</v>
      </c>
      <c r="D21" t="str">
        <f t="shared" si="3"/>
        <v>Ausgaben</v>
      </c>
      <c r="E21" t="str">
        <f t="shared" si="3"/>
        <v>Reise- und Fahrtspesen inkl. Kilometergeld und Diäten</v>
      </c>
      <c r="F21" s="117">
        <f t="shared" si="4"/>
        <v>26.16</v>
      </c>
      <c r="G21" t="str">
        <f t="shared" si="5"/>
        <v>20%</v>
      </c>
      <c r="I21" s="53">
        <v>2023</v>
      </c>
      <c r="J21" s="53">
        <v>20</v>
      </c>
      <c r="K21" s="71" t="s">
        <v>105</v>
      </c>
      <c r="L21" t="s">
        <v>689</v>
      </c>
      <c r="M21" s="131"/>
      <c r="N21" s="1">
        <v>44958</v>
      </c>
      <c r="O21" t="s">
        <v>974</v>
      </c>
      <c r="Q21" s="76"/>
      <c r="R21" t="b">
        <v>0</v>
      </c>
      <c r="S21" s="48">
        <v>21.8</v>
      </c>
      <c r="T21" s="72">
        <v>1</v>
      </c>
      <c r="U21">
        <v>20</v>
      </c>
      <c r="V21" s="31">
        <v>4.3600000000000003</v>
      </c>
      <c r="W21" s="31">
        <v>4.3600000000000003</v>
      </c>
      <c r="X21" s="33">
        <v>21.8</v>
      </c>
      <c r="Y21" s="29">
        <v>26.16</v>
      </c>
      <c r="Z21" s="29">
        <v>26.16</v>
      </c>
      <c r="AA21" s="35">
        <v>45031</v>
      </c>
      <c r="AB21" s="27"/>
      <c r="AC21" s="27"/>
      <c r="AD21" s="58">
        <v>21.8</v>
      </c>
      <c r="AE21" s="31">
        <v>0</v>
      </c>
      <c r="AF21" t="b">
        <v>0</v>
      </c>
      <c r="AG21" s="78">
        <v>-21.8</v>
      </c>
    </row>
    <row r="22" spans="1:33" x14ac:dyDescent="0.25">
      <c r="A22" t="str">
        <f t="shared" si="0"/>
        <v>2023-21</v>
      </c>
      <c r="B22" s="1">
        <f t="shared" si="1"/>
        <v>44960</v>
      </c>
      <c r="C22" t="str">
        <f t="shared" si="2"/>
        <v>/Google Ireland Ltd, Gordon House, Barrow Street, Dublin 4, Ireland; VAT number: IE 6388047V</v>
      </c>
      <c r="D22" t="str">
        <f t="shared" si="3"/>
        <v>Ausgaben</v>
      </c>
      <c r="E22" t="str">
        <f t="shared" si="3"/>
        <v>sonstige Betriebsausgaben</v>
      </c>
      <c r="F22" s="117">
        <f t="shared" si="4"/>
        <v>9.36</v>
      </c>
      <c r="G22" t="str">
        <f t="shared" si="5"/>
        <v>0%</v>
      </c>
      <c r="I22" s="53">
        <v>2023</v>
      </c>
      <c r="J22" s="53">
        <v>21</v>
      </c>
      <c r="K22" s="71" t="s">
        <v>105</v>
      </c>
      <c r="L22" t="s">
        <v>705</v>
      </c>
      <c r="M22" s="9"/>
      <c r="N22" s="1">
        <v>44960</v>
      </c>
      <c r="O22" t="s">
        <v>1404</v>
      </c>
      <c r="Q22" s="76"/>
      <c r="R22" t="b">
        <v>0</v>
      </c>
      <c r="S22" s="109">
        <v>9.36</v>
      </c>
      <c r="T22" s="72">
        <v>1</v>
      </c>
      <c r="U22">
        <v>0</v>
      </c>
      <c r="V22" s="31">
        <v>0</v>
      </c>
      <c r="W22" s="31">
        <v>0</v>
      </c>
      <c r="X22" s="33">
        <v>9.36</v>
      </c>
      <c r="Y22" s="29">
        <v>9.36</v>
      </c>
      <c r="Z22" s="29">
        <v>9.36</v>
      </c>
      <c r="AA22" s="35">
        <v>45031</v>
      </c>
      <c r="AB22" s="27"/>
      <c r="AC22" s="27">
        <v>20</v>
      </c>
      <c r="AD22" s="58">
        <v>9.36</v>
      </c>
      <c r="AE22" s="31">
        <v>1.8719999999999999</v>
      </c>
      <c r="AF22" t="b">
        <v>0</v>
      </c>
      <c r="AG22" s="78">
        <v>-9.36</v>
      </c>
    </row>
    <row r="23" spans="1:33" x14ac:dyDescent="0.25">
      <c r="A23" t="str">
        <f t="shared" si="0"/>
        <v>2023-22</v>
      </c>
      <c r="B23" s="1">
        <f t="shared" si="1"/>
        <v>44959</v>
      </c>
      <c r="C23" t="str">
        <f t="shared" si="2"/>
        <v>/Hutchison Drei Austria GmbH, Brünner Straße 52, 1210 Wien, Österreich</v>
      </c>
      <c r="D23" t="str">
        <f t="shared" si="3"/>
        <v>Ausgaben</v>
      </c>
      <c r="E23" t="str">
        <f t="shared" si="3"/>
        <v>Telefon/Internet</v>
      </c>
      <c r="F23" s="117">
        <f t="shared" si="4"/>
        <v>18</v>
      </c>
      <c r="G23" t="str">
        <f t="shared" si="5"/>
        <v>20%</v>
      </c>
      <c r="I23" s="53">
        <v>2023</v>
      </c>
      <c r="J23" s="53">
        <v>22</v>
      </c>
      <c r="K23" s="71" t="s">
        <v>105</v>
      </c>
      <c r="L23" t="s">
        <v>703</v>
      </c>
      <c r="M23" s="9"/>
      <c r="N23" s="1">
        <v>44959</v>
      </c>
      <c r="O23" t="s">
        <v>34</v>
      </c>
      <c r="Q23" s="76"/>
      <c r="R23" t="b">
        <v>0</v>
      </c>
      <c r="S23" s="48">
        <v>15</v>
      </c>
      <c r="T23" s="72">
        <v>1</v>
      </c>
      <c r="U23">
        <v>20</v>
      </c>
      <c r="V23" s="31">
        <v>3</v>
      </c>
      <c r="W23" s="31">
        <v>3</v>
      </c>
      <c r="X23" s="33">
        <v>15</v>
      </c>
      <c r="Y23" s="29">
        <v>18</v>
      </c>
      <c r="Z23" s="29">
        <v>18</v>
      </c>
      <c r="AA23" s="35">
        <v>45031</v>
      </c>
      <c r="AB23" s="27"/>
      <c r="AC23" s="27"/>
      <c r="AD23" s="58">
        <v>15</v>
      </c>
      <c r="AE23" s="31">
        <v>0</v>
      </c>
      <c r="AF23" t="b">
        <v>0</v>
      </c>
      <c r="AG23" s="78">
        <v>-15</v>
      </c>
    </row>
    <row r="24" spans="1:33" x14ac:dyDescent="0.25">
      <c r="A24" t="str">
        <f t="shared" si="0"/>
        <v>2023-23</v>
      </c>
      <c r="B24" s="1">
        <f t="shared" si="1"/>
        <v>44960</v>
      </c>
      <c r="C24" t="str">
        <f t="shared" si="2"/>
        <v>/go green energy GmbH &amp; Co KG</v>
      </c>
      <c r="D24" t="str">
        <f t="shared" si="3"/>
        <v>Ausgaben</v>
      </c>
      <c r="E24" t="str">
        <f t="shared" si="3"/>
        <v>sonstige Betriebsausgaben</v>
      </c>
      <c r="F24" s="117">
        <f t="shared" si="4"/>
        <v>6</v>
      </c>
      <c r="G24" t="str">
        <f t="shared" si="5"/>
        <v>20%</v>
      </c>
      <c r="I24" s="53">
        <v>2023</v>
      </c>
      <c r="J24" s="53">
        <v>23</v>
      </c>
      <c r="K24" s="71" t="s">
        <v>105</v>
      </c>
      <c r="L24" t="s">
        <v>705</v>
      </c>
      <c r="N24" s="1">
        <v>44960</v>
      </c>
      <c r="O24" t="s">
        <v>1670</v>
      </c>
      <c r="Q24" s="76"/>
      <c r="R24" t="b">
        <v>0</v>
      </c>
      <c r="S24" s="48">
        <v>5</v>
      </c>
      <c r="T24" s="72">
        <v>1</v>
      </c>
      <c r="U24">
        <v>20</v>
      </c>
      <c r="V24" s="31">
        <v>1</v>
      </c>
      <c r="W24" s="31">
        <v>1</v>
      </c>
      <c r="X24" s="33">
        <v>5</v>
      </c>
      <c r="Y24" s="29">
        <v>6</v>
      </c>
      <c r="Z24" s="29">
        <v>6</v>
      </c>
      <c r="AA24" s="35">
        <v>45031</v>
      </c>
      <c r="AB24" s="27"/>
      <c r="AC24" s="27"/>
      <c r="AD24" s="58">
        <v>5</v>
      </c>
      <c r="AE24" s="31">
        <v>0</v>
      </c>
      <c r="AF24" t="b">
        <v>0</v>
      </c>
      <c r="AG24" s="78">
        <v>-5</v>
      </c>
    </row>
    <row r="25" spans="1:33" x14ac:dyDescent="0.25">
      <c r="A25" t="str">
        <f t="shared" si="0"/>
        <v>2023-24</v>
      </c>
      <c r="B25" s="1">
        <f t="shared" si="1"/>
        <v>44961</v>
      </c>
      <c r="C25" t="str">
        <f t="shared" si="2"/>
        <v>/Büroprofi Koch Papier GmbH, 1080 Wien, Josefstädter Str  87</v>
      </c>
      <c r="D25" t="str">
        <f t="shared" si="3"/>
        <v>Ausgaben</v>
      </c>
      <c r="E25" t="str">
        <f t="shared" si="3"/>
        <v>Büromaterial</v>
      </c>
      <c r="F25" s="117">
        <f t="shared" si="4"/>
        <v>13.84</v>
      </c>
      <c r="G25" t="str">
        <f t="shared" si="5"/>
        <v>20%</v>
      </c>
      <c r="I25" s="53">
        <v>2023</v>
      </c>
      <c r="J25" s="53">
        <v>24</v>
      </c>
      <c r="K25" s="71" t="s">
        <v>105</v>
      </c>
      <c r="L25" t="s">
        <v>339</v>
      </c>
      <c r="M25" s="9"/>
      <c r="N25" s="1">
        <v>44961</v>
      </c>
      <c r="O25" t="s">
        <v>975</v>
      </c>
      <c r="Q25" s="76"/>
      <c r="R25" t="b">
        <v>0</v>
      </c>
      <c r="S25" s="48">
        <v>11.533333333333333</v>
      </c>
      <c r="T25" s="72">
        <v>1</v>
      </c>
      <c r="U25">
        <v>20</v>
      </c>
      <c r="V25" s="31">
        <v>2.3066666666666666</v>
      </c>
      <c r="W25" s="31">
        <v>2.3066666666666666</v>
      </c>
      <c r="X25" s="33">
        <v>11.533333333333333</v>
      </c>
      <c r="Y25" s="29">
        <v>13.84</v>
      </c>
      <c r="Z25" s="29">
        <v>13.84</v>
      </c>
      <c r="AA25" s="35">
        <v>45031</v>
      </c>
      <c r="AB25" s="27"/>
      <c r="AC25" s="27"/>
      <c r="AD25" s="58">
        <v>11.533333333333333</v>
      </c>
      <c r="AE25" s="31">
        <v>0</v>
      </c>
      <c r="AF25" t="b">
        <v>0</v>
      </c>
      <c r="AG25" s="78">
        <v>-11.533333333333333</v>
      </c>
    </row>
    <row r="26" spans="1:33" x14ac:dyDescent="0.25">
      <c r="A26" t="str">
        <f t="shared" si="0"/>
        <v>2023-25</v>
      </c>
      <c r="B26" s="1">
        <f t="shared" si="1"/>
        <v>44927</v>
      </c>
      <c r="C26" t="str">
        <f t="shared" si="2"/>
        <v>071149/STORNIERT "Libro" PL Handelsgesellschaft mbH, 1080 Wien, Josefstädter Straße 105, ATU 56240311 (war 14.12.2022)</v>
      </c>
      <c r="D26" t="str">
        <f t="shared" si="3"/>
        <v>Ausgaben</v>
      </c>
      <c r="E26" t="str">
        <f t="shared" si="3"/>
        <v>Büromaterial</v>
      </c>
      <c r="F26" s="117">
        <f t="shared" si="4"/>
        <v>8.68</v>
      </c>
      <c r="G26" t="str">
        <f t="shared" si="5"/>
        <v>20%</v>
      </c>
      <c r="I26" s="53">
        <v>2023</v>
      </c>
      <c r="J26" s="53">
        <v>25</v>
      </c>
      <c r="K26" s="71" t="s">
        <v>105</v>
      </c>
      <c r="L26" t="s">
        <v>339</v>
      </c>
      <c r="M26" s="9" t="s">
        <v>1726</v>
      </c>
      <c r="N26" s="1">
        <v>44927</v>
      </c>
      <c r="O26" t="s">
        <v>1748</v>
      </c>
      <c r="Q26" s="76"/>
      <c r="R26" t="b">
        <v>0</v>
      </c>
      <c r="S26" s="48">
        <v>7.2333333333333334</v>
      </c>
      <c r="T26" s="72">
        <v>1</v>
      </c>
      <c r="U26">
        <v>20</v>
      </c>
      <c r="V26" s="31">
        <v>1.4466666666666665</v>
      </c>
      <c r="W26" s="31">
        <v>1.4466666666666665</v>
      </c>
      <c r="X26" s="33">
        <v>7.2333333333333334</v>
      </c>
      <c r="Y26" s="29">
        <v>8.68</v>
      </c>
      <c r="Z26" s="29">
        <v>8.68</v>
      </c>
      <c r="AA26" s="35">
        <v>45000</v>
      </c>
      <c r="AB26" s="27"/>
      <c r="AC26" s="27"/>
      <c r="AD26" s="58">
        <v>7.2333333333333334</v>
      </c>
      <c r="AE26" s="31">
        <v>0</v>
      </c>
      <c r="AF26" t="b">
        <v>0</v>
      </c>
      <c r="AG26" s="78">
        <v>-7.2333333333333334</v>
      </c>
    </row>
    <row r="27" spans="1:33" x14ac:dyDescent="0.25">
      <c r="A27" t="str">
        <f t="shared" si="0"/>
        <v>2023-26</v>
      </c>
      <c r="B27" s="1">
        <f t="shared" si="1"/>
        <v>44963</v>
      </c>
      <c r="C27" t="str">
        <f t="shared" si="2"/>
        <v>AT2Q8NVIAEUI/Amazon EU S. à r.l., 38 avenue John F. Kennedy, L-1855 Luxembourg: HJEU: DVI-HDMI, Logitech Maus</v>
      </c>
      <c r="D27" t="str">
        <f t="shared" si="3"/>
        <v>Ausgaben</v>
      </c>
      <c r="E27" t="str">
        <f t="shared" si="3"/>
        <v>Büromaterial</v>
      </c>
      <c r="F27" s="117">
        <f t="shared" si="4"/>
        <v>-20.16</v>
      </c>
      <c r="G27" t="str">
        <f t="shared" si="5"/>
        <v>20%</v>
      </c>
      <c r="I27" s="155">
        <v>2023</v>
      </c>
      <c r="J27" s="155">
        <v>26</v>
      </c>
      <c r="K27" s="71" t="s">
        <v>105</v>
      </c>
      <c r="L27" t="s">
        <v>339</v>
      </c>
      <c r="M27" s="9" t="s">
        <v>1714</v>
      </c>
      <c r="N27" s="1">
        <v>44963</v>
      </c>
      <c r="O27" t="s">
        <v>981</v>
      </c>
      <c r="Q27" s="76"/>
      <c r="R27" t="b">
        <v>0</v>
      </c>
      <c r="S27" s="109">
        <v>-16.8</v>
      </c>
      <c r="T27" s="72">
        <v>1</v>
      </c>
      <c r="U27">
        <v>20</v>
      </c>
      <c r="V27" s="31">
        <v>-3.36</v>
      </c>
      <c r="W27" s="31">
        <v>-3.36</v>
      </c>
      <c r="X27" s="33">
        <v>-16.8</v>
      </c>
      <c r="Y27" s="29">
        <v>-20.16</v>
      </c>
      <c r="Z27" s="29">
        <v>-20.16</v>
      </c>
      <c r="AA27" s="35">
        <v>45031</v>
      </c>
      <c r="AB27" s="27"/>
      <c r="AC27" s="27"/>
      <c r="AD27" s="58">
        <v>-16.8</v>
      </c>
      <c r="AE27" s="31">
        <v>0</v>
      </c>
      <c r="AF27" t="b">
        <v>0</v>
      </c>
      <c r="AG27" s="78">
        <v>16.8</v>
      </c>
    </row>
    <row r="28" spans="1:33" x14ac:dyDescent="0.25">
      <c r="A28" t="str">
        <f t="shared" si="0"/>
        <v>2023-27</v>
      </c>
      <c r="B28" s="1">
        <f t="shared" si="1"/>
        <v>44963</v>
      </c>
      <c r="C28" t="str">
        <f t="shared" si="2"/>
        <v>66008669/Österreichische Gesundheitskasse, Beiträge Eva Jaros-Kolbitsch 2023/1-12</v>
      </c>
      <c r="D28" t="str">
        <f t="shared" si="3"/>
        <v>Ausgaben</v>
      </c>
      <c r="E28" t="str">
        <f t="shared" si="3"/>
        <v>Personalaufwand</v>
      </c>
      <c r="F28" s="117">
        <f t="shared" si="4"/>
        <v>119.52</v>
      </c>
      <c r="G28" t="str">
        <f t="shared" si="5"/>
        <v>0%</v>
      </c>
      <c r="I28" s="155">
        <v>2023</v>
      </c>
      <c r="J28" s="155">
        <v>27</v>
      </c>
      <c r="K28" s="71" t="s">
        <v>105</v>
      </c>
      <c r="L28" t="s">
        <v>685</v>
      </c>
      <c r="M28" s="9" t="s">
        <v>1735</v>
      </c>
      <c r="N28" s="1">
        <v>44963</v>
      </c>
      <c r="O28" t="s">
        <v>1734</v>
      </c>
      <c r="Q28" s="76"/>
      <c r="S28" s="109">
        <v>119.52</v>
      </c>
      <c r="T28" s="72">
        <v>1</v>
      </c>
      <c r="U28">
        <v>0</v>
      </c>
      <c r="V28" s="31">
        <v>0</v>
      </c>
      <c r="W28" s="31">
        <v>0</v>
      </c>
      <c r="X28" s="33">
        <v>119.52</v>
      </c>
      <c r="Y28" s="29">
        <v>119.52</v>
      </c>
      <c r="Z28" s="29">
        <v>119.52</v>
      </c>
      <c r="AA28" s="35">
        <v>45031</v>
      </c>
      <c r="AB28" s="27"/>
      <c r="AC28" s="27"/>
      <c r="AD28" s="58">
        <v>119.52</v>
      </c>
      <c r="AE28" s="31">
        <v>0</v>
      </c>
      <c r="AF28" t="b">
        <v>0</v>
      </c>
      <c r="AG28" s="78">
        <v>-119.52</v>
      </c>
    </row>
    <row r="29" spans="1:33" x14ac:dyDescent="0.25">
      <c r="A29" t="str">
        <f t="shared" si="0"/>
        <v>2023-28</v>
      </c>
      <c r="B29" s="1">
        <f t="shared" si="1"/>
        <v>44963</v>
      </c>
      <c r="C29" t="str">
        <f t="shared" si="2"/>
        <v>BELEG FEHLT/Techem Messtechnik GmbH; Abnehmernummer 501686-0003-11-</v>
      </c>
      <c r="D29" t="str">
        <f t="shared" si="3"/>
        <v>Ausgaben</v>
      </c>
      <c r="E29" t="str">
        <f t="shared" si="3"/>
        <v>Miet- und Pachtaufwand, Leasing</v>
      </c>
      <c r="F29" s="117">
        <f t="shared" si="4"/>
        <v>147.12</v>
      </c>
      <c r="G29" t="str">
        <f t="shared" si="5"/>
        <v>20%</v>
      </c>
      <c r="I29" s="155">
        <v>2023</v>
      </c>
      <c r="J29" s="155">
        <v>28</v>
      </c>
      <c r="K29" s="71" t="s">
        <v>105</v>
      </c>
      <c r="L29" t="s">
        <v>691</v>
      </c>
      <c r="M29" s="61" t="s">
        <v>1064</v>
      </c>
      <c r="N29" s="1">
        <v>44963</v>
      </c>
      <c r="O29" t="s">
        <v>1558</v>
      </c>
      <c r="Q29" s="76"/>
      <c r="R29" t="b">
        <v>0</v>
      </c>
      <c r="S29" s="109">
        <v>122.6</v>
      </c>
      <c r="T29" s="72">
        <v>1</v>
      </c>
      <c r="U29">
        <v>20</v>
      </c>
      <c r="V29" s="31">
        <v>24.52</v>
      </c>
      <c r="W29" s="31">
        <v>24.52</v>
      </c>
      <c r="X29" s="33">
        <v>122.6</v>
      </c>
      <c r="Y29" s="29">
        <v>147.12</v>
      </c>
      <c r="Z29" s="29">
        <v>147.12</v>
      </c>
      <c r="AA29" s="35">
        <v>45031</v>
      </c>
      <c r="AB29" s="27"/>
      <c r="AC29" s="27"/>
      <c r="AD29" s="58">
        <v>122.6</v>
      </c>
      <c r="AE29" s="31">
        <v>0</v>
      </c>
      <c r="AF29" t="b">
        <v>0</v>
      </c>
      <c r="AG29" s="78">
        <v>-122.6</v>
      </c>
    </row>
    <row r="30" spans="1:33" x14ac:dyDescent="0.25">
      <c r="A30" t="str">
        <f t="shared" si="0"/>
        <v>2023-29</v>
      </c>
      <c r="B30" s="1">
        <f t="shared" si="1"/>
        <v>44965</v>
      </c>
      <c r="C30" t="str">
        <f t="shared" si="2"/>
        <v>12022029/Paperholic all bout paper e.U.</v>
      </c>
      <c r="D30" t="str">
        <f t="shared" si="3"/>
        <v>Einnahmen</v>
      </c>
      <c r="E30" t="str">
        <f t="shared" si="3"/>
        <v>Waren-/Leistungserlöse</v>
      </c>
      <c r="F30" s="117">
        <f t="shared" si="4"/>
        <v>648</v>
      </c>
      <c r="G30" t="str">
        <f t="shared" si="5"/>
        <v>20%</v>
      </c>
      <c r="I30" s="155">
        <v>2023</v>
      </c>
      <c r="J30" s="155">
        <v>29</v>
      </c>
      <c r="K30" s="71" t="s">
        <v>708</v>
      </c>
      <c r="L30" t="s">
        <v>709</v>
      </c>
      <c r="M30">
        <v>12022029</v>
      </c>
      <c r="N30" s="1">
        <v>44965</v>
      </c>
      <c r="O30" t="s">
        <v>1388</v>
      </c>
      <c r="Q30" s="76"/>
      <c r="R30" t="b">
        <v>0</v>
      </c>
      <c r="S30" s="48">
        <v>540</v>
      </c>
      <c r="T30" s="72">
        <v>1</v>
      </c>
      <c r="U30">
        <v>20</v>
      </c>
      <c r="V30" s="31">
        <v>108</v>
      </c>
      <c r="W30" s="31">
        <v>108</v>
      </c>
      <c r="X30" s="33">
        <v>540</v>
      </c>
      <c r="Y30" s="29">
        <v>648</v>
      </c>
      <c r="Z30" s="29">
        <v>648</v>
      </c>
      <c r="AA30" s="35">
        <v>45031</v>
      </c>
      <c r="AB30" s="27"/>
      <c r="AC30" s="27"/>
      <c r="AD30" s="58">
        <v>540</v>
      </c>
      <c r="AE30" s="31">
        <v>0</v>
      </c>
      <c r="AF30" t="b">
        <v>0</v>
      </c>
      <c r="AG30" s="78">
        <v>540</v>
      </c>
    </row>
    <row r="31" spans="1:33" x14ac:dyDescent="0.25">
      <c r="A31" t="str">
        <f t="shared" si="0"/>
        <v>2023-30</v>
      </c>
      <c r="B31" s="1">
        <f t="shared" si="1"/>
        <v>44965</v>
      </c>
      <c r="C31" t="str">
        <f t="shared" si="2"/>
        <v>12022026/Hays Österreich GmbH, Bahnhof City Wien West , Europaplatz 3/5, 1150 Wien</v>
      </c>
      <c r="D31" t="str">
        <f t="shared" si="3"/>
        <v>Einnahmen</v>
      </c>
      <c r="E31" t="str">
        <f t="shared" si="3"/>
        <v>Waren-/Leistungserlöse</v>
      </c>
      <c r="F31" s="117">
        <f t="shared" si="4"/>
        <v>15044.4</v>
      </c>
      <c r="G31" t="str">
        <f t="shared" si="5"/>
        <v>20%</v>
      </c>
      <c r="I31" s="155">
        <v>2023</v>
      </c>
      <c r="J31" s="155">
        <v>30</v>
      </c>
      <c r="K31" s="71" t="s">
        <v>708</v>
      </c>
      <c r="L31" t="s">
        <v>709</v>
      </c>
      <c r="M31">
        <v>12022026</v>
      </c>
      <c r="N31" s="1">
        <v>44965</v>
      </c>
      <c r="O31" t="s">
        <v>1652</v>
      </c>
      <c r="Q31" s="76"/>
      <c r="R31" t="b">
        <v>0</v>
      </c>
      <c r="S31" s="48">
        <v>12537</v>
      </c>
      <c r="T31" s="72">
        <v>1</v>
      </c>
      <c r="U31">
        <v>20</v>
      </c>
      <c r="V31" s="31">
        <v>2507.4</v>
      </c>
      <c r="W31" s="31">
        <v>2507.4</v>
      </c>
      <c r="X31" s="33">
        <v>12537</v>
      </c>
      <c r="Y31" s="29">
        <v>15044.4</v>
      </c>
      <c r="Z31" s="29">
        <v>15044.4</v>
      </c>
      <c r="AA31" s="35">
        <v>45031</v>
      </c>
      <c r="AB31" s="27"/>
      <c r="AC31" s="27"/>
      <c r="AD31" s="58">
        <v>12537</v>
      </c>
      <c r="AE31" s="31">
        <v>0</v>
      </c>
      <c r="AF31" t="b">
        <v>0</v>
      </c>
      <c r="AG31" s="78">
        <v>12537</v>
      </c>
    </row>
    <row r="32" spans="1:33" x14ac:dyDescent="0.25">
      <c r="A32" t="str">
        <f t="shared" si="0"/>
        <v>2023-31</v>
      </c>
      <c r="B32" s="1">
        <f t="shared" si="1"/>
        <v>44970</v>
      </c>
      <c r="C32" t="str">
        <f t="shared" si="2"/>
        <v>/Hetzner Online GmbH</v>
      </c>
      <c r="D32" t="str">
        <f t="shared" si="3"/>
        <v>Ausgaben</v>
      </c>
      <c r="E32" t="str">
        <f t="shared" si="3"/>
        <v>sonstige Betriebsausgaben</v>
      </c>
      <c r="F32" s="117">
        <f t="shared" si="4"/>
        <v>52.214100000000002</v>
      </c>
      <c r="G32" t="str">
        <f t="shared" si="5"/>
        <v>0%</v>
      </c>
      <c r="I32" s="155">
        <v>2023</v>
      </c>
      <c r="J32" s="155">
        <v>31</v>
      </c>
      <c r="K32" s="71" t="s">
        <v>105</v>
      </c>
      <c r="L32" t="s">
        <v>705</v>
      </c>
      <c r="M32" s="9"/>
      <c r="N32" s="1">
        <v>44970</v>
      </c>
      <c r="O32" t="s">
        <v>927</v>
      </c>
      <c r="Q32" s="76"/>
      <c r="R32" t="b">
        <v>0</v>
      </c>
      <c r="S32" s="48">
        <v>52.214100000000002</v>
      </c>
      <c r="T32" s="72">
        <v>1</v>
      </c>
      <c r="U32">
        <v>0</v>
      </c>
      <c r="V32" s="31">
        <v>0</v>
      </c>
      <c r="W32" s="31">
        <v>0</v>
      </c>
      <c r="X32" s="33">
        <v>52.214100000000002</v>
      </c>
      <c r="Y32" s="29">
        <v>52.214100000000002</v>
      </c>
      <c r="Z32" s="29">
        <v>52.214100000000002</v>
      </c>
      <c r="AA32" s="35">
        <v>45031</v>
      </c>
      <c r="AB32" s="27"/>
      <c r="AC32" s="27">
        <v>20</v>
      </c>
      <c r="AD32" s="58">
        <v>52.214100000000002</v>
      </c>
      <c r="AE32" s="31">
        <v>10.442820000000001</v>
      </c>
      <c r="AF32" t="b">
        <v>0</v>
      </c>
      <c r="AG32" s="78">
        <v>-52.214100000000002</v>
      </c>
    </row>
    <row r="33" spans="1:33" x14ac:dyDescent="0.25">
      <c r="A33" t="str">
        <f t="shared" si="0"/>
        <v>2023-32</v>
      </c>
      <c r="B33" s="1">
        <f t="shared" si="1"/>
        <v>44967</v>
      </c>
      <c r="C33" t="str">
        <f t="shared" si="2"/>
        <v>BELEG FEHLT/Wiener Netze GmbH, Erdbergstraße 236, 1110 Wien, Postfach 422; Jahresabrechnung vom 17.12.20: GUTSCHRIFT</v>
      </c>
      <c r="D33" t="str">
        <f t="shared" si="3"/>
        <v>Ausgaben</v>
      </c>
      <c r="E33" t="str">
        <f t="shared" si="3"/>
        <v>sonstige Betriebsausgaben</v>
      </c>
      <c r="F33" s="117">
        <f t="shared" si="4"/>
        <v>14.4</v>
      </c>
      <c r="G33" t="str">
        <f t="shared" si="5"/>
        <v>20%</v>
      </c>
      <c r="I33" s="155">
        <v>2023</v>
      </c>
      <c r="J33" s="155">
        <v>32</v>
      </c>
      <c r="K33" s="71" t="s">
        <v>105</v>
      </c>
      <c r="L33" t="s">
        <v>705</v>
      </c>
      <c r="M33" s="61" t="s">
        <v>1064</v>
      </c>
      <c r="N33" s="1">
        <v>44967</v>
      </c>
      <c r="O33" t="s">
        <v>1466</v>
      </c>
      <c r="Q33" s="76"/>
      <c r="R33" t="b">
        <v>0</v>
      </c>
      <c r="S33" s="48">
        <v>12</v>
      </c>
      <c r="T33" s="72">
        <v>1</v>
      </c>
      <c r="U33">
        <v>20</v>
      </c>
      <c r="V33" s="31">
        <v>2.4</v>
      </c>
      <c r="W33" s="31">
        <v>2.4</v>
      </c>
      <c r="X33" s="33">
        <v>12</v>
      </c>
      <c r="Y33" s="29">
        <v>14.4</v>
      </c>
      <c r="Z33" s="29">
        <v>14.4</v>
      </c>
      <c r="AA33" s="35">
        <v>45031</v>
      </c>
      <c r="AB33" s="27"/>
      <c r="AC33" s="27"/>
      <c r="AD33" s="58">
        <v>12</v>
      </c>
      <c r="AE33" s="31">
        <v>0</v>
      </c>
      <c r="AF33" t="b">
        <v>0</v>
      </c>
      <c r="AG33" s="78">
        <v>-12</v>
      </c>
    </row>
    <row r="34" spans="1:33" x14ac:dyDescent="0.25">
      <c r="A34" t="str">
        <f t="shared" si="0"/>
        <v>2023-33</v>
      </c>
      <c r="B34" s="1">
        <f t="shared" si="1"/>
        <v>44971</v>
      </c>
      <c r="C34" t="str">
        <f t="shared" si="2"/>
        <v>AT32ZOGEAEUI/Amazon EU S. à r.l., 38 avenue John F. Kennedy, L-1855 Luxembourg: HJEU: DVI-HDMI, Logitech Maus</v>
      </c>
      <c r="D34" t="str">
        <f t="shared" ref="D34:E65" si="6">K34</f>
        <v>Ausgaben</v>
      </c>
      <c r="E34" t="str">
        <f t="shared" si="6"/>
        <v>Büromaterial</v>
      </c>
      <c r="F34" s="117">
        <f t="shared" si="4"/>
        <v>9.66</v>
      </c>
      <c r="G34" t="str">
        <f t="shared" si="5"/>
        <v>20%</v>
      </c>
      <c r="I34" s="155">
        <v>2023</v>
      </c>
      <c r="J34" s="155">
        <v>33</v>
      </c>
      <c r="K34" s="71" t="s">
        <v>105</v>
      </c>
      <c r="L34" t="s">
        <v>339</v>
      </c>
      <c r="M34" s="9" t="s">
        <v>1736</v>
      </c>
      <c r="N34" s="1">
        <v>44971</v>
      </c>
      <c r="O34" t="s">
        <v>981</v>
      </c>
      <c r="Q34" s="76"/>
      <c r="R34" t="b">
        <v>0</v>
      </c>
      <c r="S34" s="109">
        <v>8.0500000000000007</v>
      </c>
      <c r="T34" s="72">
        <v>1</v>
      </c>
      <c r="U34">
        <v>20</v>
      </c>
      <c r="V34" s="31">
        <v>1.61</v>
      </c>
      <c r="W34" s="31">
        <v>1.61</v>
      </c>
      <c r="X34" s="33">
        <v>8.0500000000000007</v>
      </c>
      <c r="Y34" s="29">
        <v>9.66</v>
      </c>
      <c r="Z34" s="29">
        <v>9.66</v>
      </c>
      <c r="AA34" s="35">
        <v>45031</v>
      </c>
      <c r="AB34" s="27"/>
      <c r="AC34" s="27"/>
      <c r="AD34" s="58">
        <v>8.0500000000000007</v>
      </c>
      <c r="AE34" s="31">
        <v>0</v>
      </c>
      <c r="AF34" t="b">
        <v>0</v>
      </c>
      <c r="AG34" s="78">
        <v>-8.0500000000000007</v>
      </c>
    </row>
    <row r="35" spans="1:33" x14ac:dyDescent="0.25">
      <c r="A35" t="str">
        <f t="shared" si="0"/>
        <v>2023-34</v>
      </c>
      <c r="B35" s="1">
        <f t="shared" si="1"/>
        <v>44972</v>
      </c>
      <c r="C35" t="str">
        <f t="shared" si="2"/>
        <v>siehe 2022-140/Honorar Eva Jaros-Kolbitsch</v>
      </c>
      <c r="D35" t="str">
        <f t="shared" si="6"/>
        <v>Ausgaben</v>
      </c>
      <c r="E35" t="str">
        <f t="shared" si="6"/>
        <v>Personalaufwand</v>
      </c>
      <c r="F35" s="117">
        <f t="shared" si="4"/>
        <v>365</v>
      </c>
      <c r="G35" t="str">
        <f t="shared" si="5"/>
        <v>0%</v>
      </c>
      <c r="I35" s="155">
        <v>2023</v>
      </c>
      <c r="J35" s="155">
        <v>34</v>
      </c>
      <c r="K35" s="71" t="s">
        <v>105</v>
      </c>
      <c r="L35" t="s">
        <v>685</v>
      </c>
      <c r="M35" s="9" t="s">
        <v>1699</v>
      </c>
      <c r="N35" s="1">
        <v>44972</v>
      </c>
      <c r="O35" t="s">
        <v>1689</v>
      </c>
      <c r="Q35" s="76"/>
      <c r="R35" t="b">
        <v>0</v>
      </c>
      <c r="S35" s="48">
        <v>365</v>
      </c>
      <c r="T35" s="72">
        <v>1</v>
      </c>
      <c r="U35">
        <v>0</v>
      </c>
      <c r="V35" s="31">
        <v>0</v>
      </c>
      <c r="W35" s="31">
        <v>0</v>
      </c>
      <c r="X35" s="33">
        <v>365</v>
      </c>
      <c r="Y35" s="29">
        <v>365</v>
      </c>
      <c r="Z35" s="29">
        <v>365</v>
      </c>
      <c r="AA35" s="35">
        <v>45031</v>
      </c>
      <c r="AB35" s="27"/>
      <c r="AC35" s="27"/>
      <c r="AD35" s="58">
        <v>365</v>
      </c>
      <c r="AE35" s="31">
        <v>0</v>
      </c>
      <c r="AF35" t="b">
        <v>0</v>
      </c>
      <c r="AG35" s="78">
        <v>-365</v>
      </c>
    </row>
    <row r="36" spans="1:33" x14ac:dyDescent="0.25">
      <c r="A36" t="str">
        <f t="shared" si="0"/>
        <v>2023-35</v>
      </c>
      <c r="B36" s="1">
        <f t="shared" si="1"/>
        <v>44973</v>
      </c>
      <c r="C36" t="str">
        <f t="shared" si="2"/>
        <v>/car2go Österreich GmbH, Hintere Zollamtstraße 9, 1030 Wien</v>
      </c>
      <c r="D36" t="str">
        <f t="shared" si="6"/>
        <v>Ausgaben</v>
      </c>
      <c r="E36" t="str">
        <f t="shared" si="6"/>
        <v>Reise- und Fahrtspesen inkl. Kilometergeld und Diäten</v>
      </c>
      <c r="F36" s="117">
        <f t="shared" si="4"/>
        <v>20.004000000000001</v>
      </c>
      <c r="G36" t="str">
        <f t="shared" si="5"/>
        <v>20%</v>
      </c>
      <c r="I36" s="155">
        <v>2023</v>
      </c>
      <c r="J36" s="155">
        <v>35</v>
      </c>
      <c r="K36" s="71" t="s">
        <v>105</v>
      </c>
      <c r="L36" t="s">
        <v>689</v>
      </c>
      <c r="M36" s="131"/>
      <c r="N36" s="1">
        <v>44973</v>
      </c>
      <c r="O36" t="s">
        <v>974</v>
      </c>
      <c r="Q36" s="76"/>
      <c r="R36" t="b">
        <v>0</v>
      </c>
      <c r="S36" s="48">
        <v>16.670000000000002</v>
      </c>
      <c r="T36" s="72">
        <v>1</v>
      </c>
      <c r="U36">
        <v>20</v>
      </c>
      <c r="V36" s="31">
        <v>3.3340000000000005</v>
      </c>
      <c r="W36" s="31">
        <v>3.3340000000000005</v>
      </c>
      <c r="X36" s="33">
        <v>16.670000000000002</v>
      </c>
      <c r="Y36" s="29">
        <v>20.004000000000001</v>
      </c>
      <c r="Z36" s="29">
        <v>20.004000000000001</v>
      </c>
      <c r="AA36" s="35">
        <v>45031</v>
      </c>
      <c r="AB36" s="27"/>
      <c r="AC36" s="27"/>
      <c r="AD36" s="58">
        <v>16.670000000000002</v>
      </c>
      <c r="AE36" s="31">
        <v>0</v>
      </c>
      <c r="AF36" t="b">
        <v>0</v>
      </c>
      <c r="AG36" s="78">
        <v>-16.670000000000002</v>
      </c>
    </row>
    <row r="37" spans="1:33" x14ac:dyDescent="0.25">
      <c r="A37" t="str">
        <f t="shared" si="0"/>
        <v>2023-36</v>
      </c>
      <c r="B37" s="1">
        <f t="shared" si="1"/>
        <v>44977</v>
      </c>
      <c r="C37" t="str">
        <f t="shared" si="2"/>
        <v>/Microsoft Ireland Operations Ltd. One Microsoft Place, South County, Business Park, Leopardstown, Dublin 18, D18 P521, Ireland</v>
      </c>
      <c r="D37" t="str">
        <f t="shared" si="6"/>
        <v>Ausgaben</v>
      </c>
      <c r="E37" t="str">
        <f t="shared" si="6"/>
        <v>sonstige Betriebsausgaben</v>
      </c>
      <c r="F37" s="117">
        <f t="shared" si="4"/>
        <v>10.5</v>
      </c>
      <c r="G37" t="str">
        <f t="shared" si="5"/>
        <v>0%</v>
      </c>
      <c r="I37" s="155">
        <v>2023</v>
      </c>
      <c r="J37" s="155">
        <v>36</v>
      </c>
      <c r="K37" s="71" t="s">
        <v>105</v>
      </c>
      <c r="L37" t="s">
        <v>705</v>
      </c>
      <c r="M37" s="1"/>
      <c r="N37" s="1">
        <v>44977</v>
      </c>
      <c r="O37" t="s">
        <v>1032</v>
      </c>
      <c r="Q37" s="76"/>
      <c r="R37" t="b">
        <v>0</v>
      </c>
      <c r="S37" s="109">
        <v>10.5</v>
      </c>
      <c r="T37" s="72">
        <v>1</v>
      </c>
      <c r="U37">
        <v>0</v>
      </c>
      <c r="V37" s="31">
        <v>0</v>
      </c>
      <c r="W37" s="31">
        <v>0</v>
      </c>
      <c r="X37" s="33">
        <v>10.5</v>
      </c>
      <c r="Y37" s="29">
        <v>10.5</v>
      </c>
      <c r="Z37" s="29">
        <v>10.5</v>
      </c>
      <c r="AA37" s="35">
        <v>45031</v>
      </c>
      <c r="AB37" s="27"/>
      <c r="AC37" s="27">
        <v>20</v>
      </c>
      <c r="AD37" s="58">
        <v>10.5</v>
      </c>
      <c r="AE37" s="31">
        <v>2.1</v>
      </c>
      <c r="AF37" t="b">
        <v>0</v>
      </c>
      <c r="AG37" s="78">
        <v>-10.5</v>
      </c>
    </row>
    <row r="38" spans="1:33" x14ac:dyDescent="0.25">
      <c r="A38" t="str">
        <f t="shared" si="0"/>
        <v>2023-37</v>
      </c>
      <c r="B38" s="1">
        <f t="shared" si="1"/>
        <v>44978</v>
      </c>
      <c r="C38" t="str">
        <f t="shared" si="2"/>
        <v>diverse/Amazon EU S. à r.l., 38 avenue John F. Kennedy, L-1855 Luxembourg: HJEU: DVI-HDMI, Logitech Maus</v>
      </c>
      <c r="D38" t="str">
        <f t="shared" si="6"/>
        <v>Ausgaben</v>
      </c>
      <c r="E38" t="str">
        <f t="shared" si="6"/>
        <v>Büromaterial</v>
      </c>
      <c r="F38" s="117">
        <f t="shared" si="4"/>
        <v>92.927999999999997</v>
      </c>
      <c r="G38" t="str">
        <f t="shared" si="5"/>
        <v>20%</v>
      </c>
      <c r="I38" s="155">
        <v>2023</v>
      </c>
      <c r="J38" s="155">
        <v>37</v>
      </c>
      <c r="K38" s="71" t="s">
        <v>105</v>
      </c>
      <c r="L38" t="s">
        <v>339</v>
      </c>
      <c r="M38" s="9" t="s">
        <v>101</v>
      </c>
      <c r="N38" s="1">
        <v>44978</v>
      </c>
      <c r="O38" t="s">
        <v>981</v>
      </c>
      <c r="Q38" s="76"/>
      <c r="R38" t="b">
        <v>0</v>
      </c>
      <c r="S38" s="109">
        <v>77.44</v>
      </c>
      <c r="T38" s="72">
        <v>1</v>
      </c>
      <c r="U38">
        <v>20</v>
      </c>
      <c r="V38" s="31">
        <v>15.488</v>
      </c>
      <c r="W38" s="31">
        <v>15.488</v>
      </c>
      <c r="X38" s="33">
        <v>77.44</v>
      </c>
      <c r="Y38" s="29">
        <v>92.927999999999997</v>
      </c>
      <c r="Z38" s="29">
        <v>92.927999999999997</v>
      </c>
      <c r="AA38" s="35">
        <v>45031</v>
      </c>
      <c r="AB38" s="27"/>
      <c r="AC38" s="27"/>
      <c r="AD38" s="58">
        <v>77.44</v>
      </c>
      <c r="AE38" s="31">
        <v>0</v>
      </c>
      <c r="AF38" t="b">
        <v>0</v>
      </c>
      <c r="AG38" s="78">
        <v>-77.44</v>
      </c>
    </row>
    <row r="39" spans="1:33" x14ac:dyDescent="0.25">
      <c r="A39" t="str">
        <f t="shared" si="0"/>
        <v>2023-38</v>
      </c>
      <c r="B39" s="1">
        <f t="shared" si="1"/>
        <v>44978</v>
      </c>
      <c r="C39" t="str">
        <f t="shared" si="2"/>
        <v>/Amazon EU S. à r.l., 38 avenue John F. Kennedy, L-1855 Luxembourg: HJEU: DVI-HDMI, Logitech Maus</v>
      </c>
      <c r="D39" t="str">
        <f t="shared" si="6"/>
        <v>Ausgaben</v>
      </c>
      <c r="E39" t="str">
        <f t="shared" si="6"/>
        <v>Büromaterial</v>
      </c>
      <c r="F39" s="117">
        <f t="shared" si="4"/>
        <v>8.0519999999999996</v>
      </c>
      <c r="G39" t="str">
        <f t="shared" si="5"/>
        <v>20%</v>
      </c>
      <c r="I39" s="155">
        <v>2023</v>
      </c>
      <c r="J39" s="155">
        <v>38</v>
      </c>
      <c r="K39" s="71" t="s">
        <v>105</v>
      </c>
      <c r="L39" t="s">
        <v>339</v>
      </c>
      <c r="M39" s="9"/>
      <c r="N39" s="1">
        <v>44978</v>
      </c>
      <c r="O39" t="s">
        <v>981</v>
      </c>
      <c r="Q39" s="76"/>
      <c r="R39" t="b">
        <v>0</v>
      </c>
      <c r="S39" s="109">
        <v>6.71</v>
      </c>
      <c r="T39" s="72">
        <v>1</v>
      </c>
      <c r="U39">
        <v>20</v>
      </c>
      <c r="V39" s="31">
        <v>1.3419999999999999</v>
      </c>
      <c r="W39" s="31">
        <v>1.3419999999999999</v>
      </c>
      <c r="X39" s="33">
        <v>6.71</v>
      </c>
      <c r="Y39" s="29">
        <v>8.0519999999999996</v>
      </c>
      <c r="Z39" s="29">
        <v>8.0519999999999996</v>
      </c>
      <c r="AA39" s="35">
        <v>45031</v>
      </c>
      <c r="AB39" s="27"/>
      <c r="AC39" s="27"/>
      <c r="AD39" s="58">
        <v>6.71</v>
      </c>
      <c r="AE39" s="31">
        <v>0</v>
      </c>
      <c r="AF39" t="b">
        <v>0</v>
      </c>
      <c r="AG39" s="78">
        <v>-6.71</v>
      </c>
    </row>
    <row r="40" spans="1:33" x14ac:dyDescent="0.25">
      <c r="A40" t="str">
        <f t="shared" si="0"/>
        <v>2023-39</v>
      </c>
      <c r="B40" s="1">
        <f t="shared" si="1"/>
        <v>44978</v>
      </c>
      <c r="C40" t="str">
        <f t="shared" si="2"/>
        <v>901117400223/Magenta: T-Mobile Austria GmbH, A-1120 Wien, PF 47</v>
      </c>
      <c r="D40" t="str">
        <f t="shared" si="6"/>
        <v>Ausgaben</v>
      </c>
      <c r="E40" t="str">
        <f t="shared" si="6"/>
        <v>Telefon/Internet</v>
      </c>
      <c r="F40" s="117">
        <f t="shared" si="4"/>
        <v>38.304000000000002</v>
      </c>
      <c r="G40" t="str">
        <f t="shared" si="5"/>
        <v>20%</v>
      </c>
      <c r="I40" s="155">
        <v>2023</v>
      </c>
      <c r="J40" s="155">
        <v>39</v>
      </c>
      <c r="K40" s="71" t="s">
        <v>105</v>
      </c>
      <c r="L40" t="s">
        <v>703</v>
      </c>
      <c r="M40" s="131" t="s">
        <v>1737</v>
      </c>
      <c r="N40" s="1">
        <v>44978</v>
      </c>
      <c r="O40" t="s">
        <v>1148</v>
      </c>
      <c r="Q40" s="76"/>
      <c r="R40" t="b">
        <v>0</v>
      </c>
      <c r="S40" s="48">
        <v>31.92</v>
      </c>
      <c r="T40" s="72">
        <v>1</v>
      </c>
      <c r="U40">
        <v>20</v>
      </c>
      <c r="V40" s="31">
        <v>6.3840000000000012</v>
      </c>
      <c r="W40" s="31">
        <v>6.3840000000000012</v>
      </c>
      <c r="X40" s="33">
        <v>31.92</v>
      </c>
      <c r="Y40" s="29">
        <v>38.304000000000002</v>
      </c>
      <c r="Z40" s="29">
        <v>38.304000000000002</v>
      </c>
      <c r="AA40" s="35">
        <v>45031</v>
      </c>
      <c r="AB40" s="27"/>
      <c r="AC40" s="27"/>
      <c r="AD40" s="58">
        <v>31.92</v>
      </c>
      <c r="AE40" s="31">
        <v>0</v>
      </c>
      <c r="AF40" t="b">
        <v>0</v>
      </c>
      <c r="AG40" s="78">
        <v>-31.92</v>
      </c>
    </row>
    <row r="41" spans="1:33" x14ac:dyDescent="0.25">
      <c r="A41" t="str">
        <f t="shared" si="0"/>
        <v>2023-40</v>
      </c>
      <c r="B41" s="1">
        <f t="shared" si="1"/>
        <v>44986</v>
      </c>
      <c r="C41" t="str">
        <f t="shared" si="2"/>
        <v>/Bontus Immobilienverwaltung GmbH, 1010 Wien, Franz Josefs Kai 65</v>
      </c>
      <c r="D41" t="str">
        <f t="shared" si="6"/>
        <v>Ausgaben</v>
      </c>
      <c r="E41" t="str">
        <f t="shared" si="6"/>
        <v>Miet- und Pachtaufwand, Leasing</v>
      </c>
      <c r="F41" s="117">
        <f t="shared" si="4"/>
        <v>619.02</v>
      </c>
      <c r="G41" t="str">
        <f t="shared" si="5"/>
        <v>20%</v>
      </c>
      <c r="I41" s="155">
        <v>2023</v>
      </c>
      <c r="J41" s="155">
        <v>40</v>
      </c>
      <c r="K41" s="71" t="s">
        <v>105</v>
      </c>
      <c r="L41" t="s">
        <v>691</v>
      </c>
      <c r="M41" s="9"/>
      <c r="N41" s="1">
        <v>44986</v>
      </c>
      <c r="O41" t="s">
        <v>1113</v>
      </c>
      <c r="Q41" s="76"/>
      <c r="R41" t="b">
        <v>0</v>
      </c>
      <c r="S41" s="109">
        <v>515.85</v>
      </c>
      <c r="T41" s="72">
        <v>1</v>
      </c>
      <c r="U41">
        <v>20</v>
      </c>
      <c r="V41" s="31">
        <v>103.17</v>
      </c>
      <c r="W41" s="31">
        <v>103.17</v>
      </c>
      <c r="X41" s="33">
        <v>515.85</v>
      </c>
      <c r="Y41" s="29">
        <v>619.02</v>
      </c>
      <c r="Z41" s="29">
        <v>619.02</v>
      </c>
      <c r="AA41" s="35">
        <v>45061</v>
      </c>
      <c r="AB41" s="27"/>
      <c r="AC41" s="27"/>
      <c r="AD41" s="58">
        <v>515.85</v>
      </c>
      <c r="AE41" s="31">
        <v>0</v>
      </c>
      <c r="AF41" t="b">
        <v>0</v>
      </c>
      <c r="AG41" s="78">
        <v>-515.85</v>
      </c>
    </row>
    <row r="42" spans="1:33" x14ac:dyDescent="0.25">
      <c r="A42" t="str">
        <f t="shared" si="0"/>
        <v>2023-41</v>
      </c>
      <c r="B42" s="1">
        <f t="shared" si="1"/>
        <v>44987</v>
      </c>
      <c r="C42" t="str">
        <f t="shared" si="2"/>
        <v>/car2go Österreich GmbH, Hintere Zollamtstraße 9, 1030 Wien</v>
      </c>
      <c r="D42" t="str">
        <f t="shared" si="6"/>
        <v>Ausgaben</v>
      </c>
      <c r="E42" t="str">
        <f t="shared" si="6"/>
        <v>Reise- und Fahrtspesen inkl. Kilometergeld und Diäten</v>
      </c>
      <c r="F42" s="117">
        <f t="shared" si="4"/>
        <v>20.004000000000001</v>
      </c>
      <c r="G42" t="str">
        <f t="shared" si="5"/>
        <v>20%</v>
      </c>
      <c r="I42" s="155">
        <v>2023</v>
      </c>
      <c r="J42" s="155">
        <v>41</v>
      </c>
      <c r="K42" s="71" t="s">
        <v>105</v>
      </c>
      <c r="L42" t="s">
        <v>689</v>
      </c>
      <c r="M42" s="131"/>
      <c r="N42" s="1">
        <v>44987</v>
      </c>
      <c r="O42" t="s">
        <v>974</v>
      </c>
      <c r="Q42" s="76"/>
      <c r="R42" t="b">
        <v>0</v>
      </c>
      <c r="S42" s="48">
        <v>16.670000000000002</v>
      </c>
      <c r="T42" s="72">
        <v>1</v>
      </c>
      <c r="U42">
        <v>20</v>
      </c>
      <c r="V42" s="31">
        <v>3.3340000000000005</v>
      </c>
      <c r="W42" s="31">
        <v>3.3340000000000005</v>
      </c>
      <c r="X42" s="33">
        <v>16.670000000000002</v>
      </c>
      <c r="Y42" s="29">
        <v>20.004000000000001</v>
      </c>
      <c r="Z42" s="29">
        <v>20.004000000000001</v>
      </c>
      <c r="AA42" s="35">
        <v>45061</v>
      </c>
      <c r="AB42" s="27"/>
      <c r="AC42" s="27"/>
      <c r="AD42" s="58">
        <v>16.670000000000002</v>
      </c>
      <c r="AE42" s="31">
        <v>0</v>
      </c>
      <c r="AF42" t="b">
        <v>0</v>
      </c>
      <c r="AG42" s="78">
        <v>-16.670000000000002</v>
      </c>
    </row>
    <row r="43" spans="1:33" x14ac:dyDescent="0.25">
      <c r="A43" t="str">
        <f t="shared" si="0"/>
        <v>2023-42</v>
      </c>
      <c r="B43" s="1">
        <f t="shared" si="1"/>
        <v>44988</v>
      </c>
      <c r="C43" t="str">
        <f t="shared" si="2"/>
        <v>/Google Ireland Ltd, Gordon House, Barrow Street, Dublin 4, Ireland; VAT number: IE 6388047V</v>
      </c>
      <c r="D43" t="str">
        <f t="shared" si="6"/>
        <v>Ausgaben</v>
      </c>
      <c r="E43" t="str">
        <f t="shared" si="6"/>
        <v>sonstige Betriebsausgaben</v>
      </c>
      <c r="F43" s="117">
        <f t="shared" si="4"/>
        <v>9.36</v>
      </c>
      <c r="G43" t="str">
        <f t="shared" si="5"/>
        <v>0%</v>
      </c>
      <c r="I43" s="155">
        <v>2023</v>
      </c>
      <c r="J43" s="155">
        <v>42</v>
      </c>
      <c r="K43" s="71" t="s">
        <v>105</v>
      </c>
      <c r="L43" t="s">
        <v>705</v>
      </c>
      <c r="M43" s="9"/>
      <c r="N43" s="1">
        <v>44988</v>
      </c>
      <c r="O43" t="s">
        <v>1404</v>
      </c>
      <c r="Q43" s="76"/>
      <c r="R43" t="b">
        <v>0</v>
      </c>
      <c r="S43" s="109">
        <v>9.36</v>
      </c>
      <c r="T43" s="72">
        <v>1</v>
      </c>
      <c r="U43">
        <v>0</v>
      </c>
      <c r="V43" s="31">
        <v>0</v>
      </c>
      <c r="W43" s="31">
        <v>0</v>
      </c>
      <c r="X43" s="33">
        <v>9.36</v>
      </c>
      <c r="Y43" s="29">
        <v>9.36</v>
      </c>
      <c r="Z43" s="29">
        <v>9.36</v>
      </c>
      <c r="AA43" s="35">
        <v>45061</v>
      </c>
      <c r="AB43" s="27"/>
      <c r="AC43" s="27">
        <v>20</v>
      </c>
      <c r="AD43" s="58">
        <v>9.36</v>
      </c>
      <c r="AE43" s="31">
        <v>1.8719999999999999</v>
      </c>
      <c r="AF43" t="b">
        <v>0</v>
      </c>
      <c r="AG43" s="78">
        <v>-9.36</v>
      </c>
    </row>
    <row r="44" spans="1:33" x14ac:dyDescent="0.25">
      <c r="A44" t="str">
        <f t="shared" si="0"/>
        <v>2023-43</v>
      </c>
      <c r="B44" s="1">
        <f t="shared" si="1"/>
        <v>44991</v>
      </c>
      <c r="C44" t="str">
        <f t="shared" si="2"/>
        <v>BELEG FEHLT/Techem Messtechnik GmbH; Abnehmernummer 501686-0003-11-</v>
      </c>
      <c r="D44" t="str">
        <f t="shared" si="6"/>
        <v>Ausgaben</v>
      </c>
      <c r="E44" t="str">
        <f t="shared" si="6"/>
        <v>Miet- und Pachtaufwand, Leasing</v>
      </c>
      <c r="F44" s="117">
        <f t="shared" si="4"/>
        <v>147.12</v>
      </c>
      <c r="G44" t="str">
        <f t="shared" si="5"/>
        <v>20%</v>
      </c>
      <c r="I44" s="155">
        <v>2023</v>
      </c>
      <c r="J44" s="155">
        <v>43</v>
      </c>
      <c r="K44" s="71" t="s">
        <v>105</v>
      </c>
      <c r="L44" t="s">
        <v>691</v>
      </c>
      <c r="M44" s="61" t="s">
        <v>1064</v>
      </c>
      <c r="N44" s="1">
        <v>44991</v>
      </c>
      <c r="O44" t="s">
        <v>1558</v>
      </c>
      <c r="Q44" s="76"/>
      <c r="R44" t="b">
        <v>0</v>
      </c>
      <c r="S44" s="109">
        <v>122.6</v>
      </c>
      <c r="T44" s="72">
        <v>1</v>
      </c>
      <c r="U44">
        <v>20</v>
      </c>
      <c r="V44" s="31">
        <v>24.52</v>
      </c>
      <c r="W44" s="31">
        <v>24.52</v>
      </c>
      <c r="X44" s="33">
        <v>122.6</v>
      </c>
      <c r="Y44" s="29">
        <v>147.12</v>
      </c>
      <c r="Z44" s="29">
        <v>147.12</v>
      </c>
      <c r="AA44" s="35">
        <v>45061</v>
      </c>
      <c r="AB44" s="27"/>
      <c r="AC44" s="27"/>
      <c r="AD44" s="58">
        <v>122.6</v>
      </c>
      <c r="AE44" s="31">
        <v>0</v>
      </c>
      <c r="AF44" t="b">
        <v>0</v>
      </c>
      <c r="AG44" s="78">
        <v>-122.6</v>
      </c>
    </row>
    <row r="45" spans="1:33" x14ac:dyDescent="0.25">
      <c r="A45" t="str">
        <f t="shared" si="0"/>
        <v>2023-44</v>
      </c>
      <c r="B45" s="1">
        <f t="shared" si="1"/>
        <v>44988</v>
      </c>
      <c r="C45" t="str">
        <f t="shared" si="2"/>
        <v>/go green energy GmbH &amp; Co KG</v>
      </c>
      <c r="D45" t="str">
        <f t="shared" si="6"/>
        <v>Ausgaben</v>
      </c>
      <c r="E45" t="str">
        <f t="shared" si="6"/>
        <v>sonstige Betriebsausgaben</v>
      </c>
      <c r="F45" s="117">
        <f t="shared" si="4"/>
        <v>6</v>
      </c>
      <c r="G45" t="str">
        <f t="shared" si="5"/>
        <v>20%</v>
      </c>
      <c r="I45" s="155">
        <v>2023</v>
      </c>
      <c r="J45" s="155">
        <v>44</v>
      </c>
      <c r="K45" s="71" t="s">
        <v>105</v>
      </c>
      <c r="L45" t="s">
        <v>705</v>
      </c>
      <c r="N45" s="1">
        <v>44988</v>
      </c>
      <c r="O45" t="s">
        <v>1670</v>
      </c>
      <c r="Q45" s="76"/>
      <c r="R45" t="b">
        <v>0</v>
      </c>
      <c r="S45" s="48">
        <v>5</v>
      </c>
      <c r="T45" s="72">
        <v>1</v>
      </c>
      <c r="U45">
        <v>20</v>
      </c>
      <c r="V45" s="31">
        <v>1</v>
      </c>
      <c r="W45" s="31">
        <v>1</v>
      </c>
      <c r="X45" s="33">
        <v>5</v>
      </c>
      <c r="Y45" s="29">
        <v>6</v>
      </c>
      <c r="Z45" s="29">
        <v>6</v>
      </c>
      <c r="AA45" s="35">
        <v>45061</v>
      </c>
      <c r="AB45" s="27"/>
      <c r="AC45" s="27"/>
      <c r="AD45" s="58">
        <v>5</v>
      </c>
      <c r="AE45" s="31">
        <v>0</v>
      </c>
      <c r="AF45" t="b">
        <v>0</v>
      </c>
      <c r="AG45" s="78">
        <v>-5</v>
      </c>
    </row>
    <row r="46" spans="1:33" x14ac:dyDescent="0.25">
      <c r="A46" t="str">
        <f t="shared" si="0"/>
        <v>2023-45</v>
      </c>
      <c r="B46" s="1">
        <f t="shared" si="1"/>
        <v>44992</v>
      </c>
      <c r="C46" t="str">
        <f t="shared" si="2"/>
        <v>/Hutchison Drei Austria GmbH, Brünner Straße 52, 1210 Wien, Österreich</v>
      </c>
      <c r="D46" t="str">
        <f t="shared" si="6"/>
        <v>Ausgaben</v>
      </c>
      <c r="E46" t="str">
        <f t="shared" si="6"/>
        <v>Telefon/Internet</v>
      </c>
      <c r="F46" s="117">
        <f t="shared" si="4"/>
        <v>18</v>
      </c>
      <c r="G46" t="str">
        <f t="shared" si="5"/>
        <v>20%</v>
      </c>
      <c r="I46" s="155">
        <v>2023</v>
      </c>
      <c r="J46" s="155">
        <v>45</v>
      </c>
      <c r="K46" s="71" t="s">
        <v>105</v>
      </c>
      <c r="L46" t="s">
        <v>703</v>
      </c>
      <c r="M46" s="9"/>
      <c r="N46" s="1">
        <v>44992</v>
      </c>
      <c r="O46" t="s">
        <v>34</v>
      </c>
      <c r="Q46" s="76"/>
      <c r="R46" t="b">
        <v>0</v>
      </c>
      <c r="S46" s="48">
        <v>15</v>
      </c>
      <c r="T46" s="72">
        <v>1</v>
      </c>
      <c r="U46">
        <v>20</v>
      </c>
      <c r="V46" s="31">
        <v>3</v>
      </c>
      <c r="W46" s="31">
        <v>3</v>
      </c>
      <c r="X46" s="33">
        <v>15</v>
      </c>
      <c r="Y46" s="29">
        <v>18</v>
      </c>
      <c r="Z46" s="29">
        <v>18</v>
      </c>
      <c r="AA46" s="35">
        <v>45061</v>
      </c>
      <c r="AB46" s="27"/>
      <c r="AC46" s="27"/>
      <c r="AD46" s="58">
        <v>15</v>
      </c>
      <c r="AE46" s="31">
        <v>0</v>
      </c>
      <c r="AF46" t="b">
        <v>0</v>
      </c>
      <c r="AG46" s="78">
        <v>-15</v>
      </c>
    </row>
    <row r="47" spans="1:33" x14ac:dyDescent="0.25">
      <c r="A47" t="str">
        <f t="shared" si="0"/>
        <v>2023-46</v>
      </c>
      <c r="B47" s="1">
        <f t="shared" si="1"/>
        <v>44998</v>
      </c>
      <c r="C47" t="str">
        <f t="shared" si="2"/>
        <v>/Hetzner Online GmbH</v>
      </c>
      <c r="D47" t="str">
        <f t="shared" si="6"/>
        <v>Ausgaben</v>
      </c>
      <c r="E47" t="str">
        <f t="shared" si="6"/>
        <v>sonstige Betriebsausgaben</v>
      </c>
      <c r="F47" s="117">
        <f t="shared" si="4"/>
        <v>52.214100000000002</v>
      </c>
      <c r="G47" t="str">
        <f t="shared" si="5"/>
        <v>0%</v>
      </c>
      <c r="I47" s="155">
        <v>2023</v>
      </c>
      <c r="J47" s="155">
        <v>46</v>
      </c>
      <c r="K47" s="71" t="s">
        <v>105</v>
      </c>
      <c r="L47" t="s">
        <v>705</v>
      </c>
      <c r="M47" s="9"/>
      <c r="N47" s="1">
        <v>44998</v>
      </c>
      <c r="O47" t="s">
        <v>927</v>
      </c>
      <c r="Q47" s="76"/>
      <c r="R47" t="b">
        <v>0</v>
      </c>
      <c r="S47" s="48">
        <v>52.214100000000002</v>
      </c>
      <c r="T47" s="72">
        <v>1</v>
      </c>
      <c r="U47">
        <v>0</v>
      </c>
      <c r="V47" s="31">
        <v>0</v>
      </c>
      <c r="W47" s="31">
        <v>0</v>
      </c>
      <c r="X47" s="33">
        <v>52.214100000000002</v>
      </c>
      <c r="Y47" s="29">
        <v>52.214100000000002</v>
      </c>
      <c r="Z47" s="29">
        <v>52.214100000000002</v>
      </c>
      <c r="AA47" s="35">
        <v>45061</v>
      </c>
      <c r="AB47" s="27"/>
      <c r="AC47" s="27">
        <v>20</v>
      </c>
      <c r="AD47" s="58">
        <v>52.214100000000002</v>
      </c>
      <c r="AE47" s="31">
        <v>10.442820000000001</v>
      </c>
      <c r="AF47" t="b">
        <v>0</v>
      </c>
      <c r="AG47" s="78">
        <v>-52.214100000000002</v>
      </c>
    </row>
    <row r="48" spans="1:33" x14ac:dyDescent="0.25">
      <c r="A48" t="str">
        <f t="shared" si="0"/>
        <v>2023-47</v>
      </c>
      <c r="B48" s="1">
        <f t="shared" si="1"/>
        <v>44995</v>
      </c>
      <c r="C48" t="str">
        <f t="shared" si="2"/>
        <v>BELEG FEHLT/Wiener Netze GmbH, Erdbergstraße 236, 1110 Wien, Postfach 422; Jahresabrechnung vom 17.12.20: GUTSCHRIFT</v>
      </c>
      <c r="D48" t="str">
        <f t="shared" si="6"/>
        <v>Ausgaben</v>
      </c>
      <c r="E48" t="str">
        <f t="shared" si="6"/>
        <v>sonstige Betriebsausgaben</v>
      </c>
      <c r="F48" s="117">
        <f t="shared" si="4"/>
        <v>14.4</v>
      </c>
      <c r="G48" t="str">
        <f t="shared" si="5"/>
        <v>20%</v>
      </c>
      <c r="I48" s="155">
        <v>2023</v>
      </c>
      <c r="J48" s="155">
        <v>47</v>
      </c>
      <c r="K48" s="71" t="s">
        <v>105</v>
      </c>
      <c r="L48" t="s">
        <v>705</v>
      </c>
      <c r="M48" s="61" t="s">
        <v>1064</v>
      </c>
      <c r="N48" s="1">
        <v>44995</v>
      </c>
      <c r="O48" t="s">
        <v>1466</v>
      </c>
      <c r="Q48" s="76"/>
      <c r="R48" t="b">
        <v>0</v>
      </c>
      <c r="S48" s="48">
        <v>12</v>
      </c>
      <c r="T48" s="72">
        <v>1</v>
      </c>
      <c r="U48">
        <v>20</v>
      </c>
      <c r="V48" s="31">
        <v>2.4</v>
      </c>
      <c r="W48" s="31">
        <v>2.4</v>
      </c>
      <c r="X48" s="33">
        <v>12</v>
      </c>
      <c r="Y48" s="29">
        <v>14.4</v>
      </c>
      <c r="Z48" s="29">
        <v>14.4</v>
      </c>
      <c r="AA48" s="35">
        <v>45061</v>
      </c>
      <c r="AB48" s="27"/>
      <c r="AC48" s="27"/>
      <c r="AD48" s="58">
        <v>12</v>
      </c>
      <c r="AE48" s="31">
        <v>0</v>
      </c>
      <c r="AF48" t="b">
        <v>0</v>
      </c>
      <c r="AG48" s="78">
        <v>-12</v>
      </c>
    </row>
    <row r="49" spans="1:33" x14ac:dyDescent="0.25">
      <c r="A49" t="str">
        <f t="shared" si="0"/>
        <v>2023-48</v>
      </c>
      <c r="B49" s="1">
        <f t="shared" si="1"/>
        <v>45005</v>
      </c>
      <c r="C49" t="str">
        <f t="shared" si="2"/>
        <v>siehe 2022-140/Honorar Eva Jaros-Kolbitsch</v>
      </c>
      <c r="D49" t="str">
        <f t="shared" si="6"/>
        <v>Ausgaben</v>
      </c>
      <c r="E49" t="str">
        <f t="shared" si="6"/>
        <v>Personalaufwand</v>
      </c>
      <c r="F49" s="117">
        <f t="shared" si="4"/>
        <v>365</v>
      </c>
      <c r="G49" t="str">
        <f t="shared" si="5"/>
        <v>0%</v>
      </c>
      <c r="I49" s="155">
        <v>2023</v>
      </c>
      <c r="J49" s="155">
        <v>48</v>
      </c>
      <c r="K49" s="71" t="s">
        <v>105</v>
      </c>
      <c r="L49" t="s">
        <v>685</v>
      </c>
      <c r="M49" s="9" t="s">
        <v>1699</v>
      </c>
      <c r="N49" s="1">
        <v>45005</v>
      </c>
      <c r="O49" t="s">
        <v>1689</v>
      </c>
      <c r="Q49" s="76"/>
      <c r="R49" t="b">
        <v>0</v>
      </c>
      <c r="S49" s="48">
        <v>365</v>
      </c>
      <c r="T49" s="72">
        <v>1</v>
      </c>
      <c r="U49">
        <v>0</v>
      </c>
      <c r="V49" s="31">
        <v>0</v>
      </c>
      <c r="W49" s="31">
        <v>0</v>
      </c>
      <c r="X49" s="33">
        <v>365</v>
      </c>
      <c r="Y49" s="29">
        <v>365</v>
      </c>
      <c r="Z49" s="29">
        <v>365</v>
      </c>
      <c r="AA49" s="35">
        <v>45061</v>
      </c>
      <c r="AB49" s="27"/>
      <c r="AC49" s="27"/>
      <c r="AD49" s="58">
        <v>365</v>
      </c>
      <c r="AE49" s="31">
        <v>0</v>
      </c>
      <c r="AF49" t="b">
        <v>0</v>
      </c>
      <c r="AG49" s="78">
        <v>-365</v>
      </c>
    </row>
    <row r="50" spans="1:33" x14ac:dyDescent="0.25">
      <c r="A50" t="str">
        <f t="shared" si="0"/>
        <v>2023-49</v>
      </c>
      <c r="B50" s="1">
        <f t="shared" si="1"/>
        <v>45002</v>
      </c>
      <c r="C50" t="str">
        <f t="shared" si="2"/>
        <v>12023002/Hays Österreich GmbH, Bahnhof City Wien West , Europaplatz 3/5, 1150 Wien</v>
      </c>
      <c r="D50" t="str">
        <f t="shared" si="6"/>
        <v>Einnahmen</v>
      </c>
      <c r="E50" t="str">
        <f t="shared" si="6"/>
        <v>Waren-/Leistungserlöse</v>
      </c>
      <c r="F50" s="117">
        <f t="shared" si="4"/>
        <v>124.104</v>
      </c>
      <c r="G50" t="str">
        <f t="shared" si="5"/>
        <v>20%</v>
      </c>
      <c r="I50" s="155">
        <v>2023</v>
      </c>
      <c r="J50" s="155">
        <v>49</v>
      </c>
      <c r="K50" s="71" t="s">
        <v>708</v>
      </c>
      <c r="L50" t="s">
        <v>709</v>
      </c>
      <c r="M50">
        <v>12023002</v>
      </c>
      <c r="N50" s="1">
        <v>45002</v>
      </c>
      <c r="O50" t="s">
        <v>1652</v>
      </c>
      <c r="Q50" s="76"/>
      <c r="R50" t="b">
        <v>0</v>
      </c>
      <c r="S50" s="48">
        <v>103.42</v>
      </c>
      <c r="T50" s="72">
        <v>1</v>
      </c>
      <c r="U50">
        <v>20</v>
      </c>
      <c r="V50" s="31">
        <v>20.684000000000001</v>
      </c>
      <c r="W50" s="31">
        <v>20.684000000000001</v>
      </c>
      <c r="X50" s="33">
        <v>103.42</v>
      </c>
      <c r="Y50" s="29">
        <v>124.104</v>
      </c>
      <c r="Z50" s="29">
        <v>124.104</v>
      </c>
      <c r="AA50" s="35">
        <v>45061</v>
      </c>
      <c r="AB50" s="27"/>
      <c r="AC50" s="27"/>
      <c r="AD50" s="58">
        <v>103.42</v>
      </c>
      <c r="AE50" s="31">
        <v>0</v>
      </c>
      <c r="AF50" t="b">
        <v>0</v>
      </c>
      <c r="AG50" s="78">
        <v>103.42</v>
      </c>
    </row>
    <row r="51" spans="1:33" x14ac:dyDescent="0.25">
      <c r="A51" t="str">
        <f t="shared" si="0"/>
        <v>2023-50</v>
      </c>
      <c r="B51" s="1">
        <f t="shared" si="1"/>
        <v>45002</v>
      </c>
      <c r="C51" t="str">
        <f t="shared" si="2"/>
        <v>12023001/Hays Österreich GmbH, Bahnhof City Wien West , Europaplatz 3/5, 1150 Wien</v>
      </c>
      <c r="D51" t="str">
        <f t="shared" si="6"/>
        <v>Einnahmen</v>
      </c>
      <c r="E51" t="str">
        <f t="shared" si="6"/>
        <v>Waren-/Leistungserlöse</v>
      </c>
      <c r="F51" s="117">
        <f t="shared" si="4"/>
        <v>15691.055999999999</v>
      </c>
      <c r="G51" t="str">
        <f t="shared" si="5"/>
        <v>20%</v>
      </c>
      <c r="I51" s="155">
        <v>2023</v>
      </c>
      <c r="J51" s="155">
        <v>50</v>
      </c>
      <c r="K51" s="71" t="s">
        <v>708</v>
      </c>
      <c r="L51" t="s">
        <v>709</v>
      </c>
      <c r="M51">
        <v>12023001</v>
      </c>
      <c r="N51" s="1">
        <v>45002</v>
      </c>
      <c r="O51" t="s">
        <v>1652</v>
      </c>
      <c r="Q51" s="76"/>
      <c r="R51" t="b">
        <v>0</v>
      </c>
      <c r="S51" s="48">
        <v>13075.88</v>
      </c>
      <c r="T51" s="72">
        <v>1</v>
      </c>
      <c r="U51">
        <v>20</v>
      </c>
      <c r="V51" s="31">
        <v>2615.1759999999999</v>
      </c>
      <c r="W51" s="31">
        <v>2615.1759999999999</v>
      </c>
      <c r="X51" s="33">
        <v>13075.88</v>
      </c>
      <c r="Y51" s="29">
        <v>15691.055999999999</v>
      </c>
      <c r="Z51" s="29">
        <v>15691.055999999999</v>
      </c>
      <c r="AA51" s="35">
        <v>45061</v>
      </c>
      <c r="AB51" s="27"/>
      <c r="AC51" s="27"/>
      <c r="AD51" s="58">
        <v>13075.88</v>
      </c>
      <c r="AE51" s="31">
        <v>0</v>
      </c>
      <c r="AF51" t="b">
        <v>0</v>
      </c>
      <c r="AG51" s="78">
        <v>13075.88</v>
      </c>
    </row>
    <row r="52" spans="1:33" x14ac:dyDescent="0.25">
      <c r="A52" t="str">
        <f t="shared" si="0"/>
        <v>2023-51</v>
      </c>
      <c r="B52" s="1">
        <f t="shared" si="1"/>
        <v>45005</v>
      </c>
      <c r="C52" t="str">
        <f t="shared" si="2"/>
        <v>/Amazon EU S. à r.l., 38 avenue John F. Kennedy, L-1855 Luxembourg: HJEU: DVI-HDMI, Logitech Maus</v>
      </c>
      <c r="D52" t="str">
        <f t="shared" si="6"/>
        <v>Ausgaben</v>
      </c>
      <c r="E52" t="str">
        <f t="shared" si="6"/>
        <v>Büromaterial</v>
      </c>
      <c r="F52" s="117">
        <f t="shared" si="4"/>
        <v>-37.536000000000001</v>
      </c>
      <c r="G52" t="str">
        <f t="shared" si="5"/>
        <v>20%</v>
      </c>
      <c r="I52" s="155">
        <v>2023</v>
      </c>
      <c r="J52" s="155">
        <v>51</v>
      </c>
      <c r="K52" s="71" t="s">
        <v>105</v>
      </c>
      <c r="L52" t="s">
        <v>339</v>
      </c>
      <c r="M52" s="9"/>
      <c r="N52" s="1">
        <v>45005</v>
      </c>
      <c r="O52" t="s">
        <v>981</v>
      </c>
      <c r="Q52" s="76"/>
      <c r="R52" t="b">
        <v>0</v>
      </c>
      <c r="S52" s="109">
        <v>-31.28</v>
      </c>
      <c r="T52" s="72">
        <v>1</v>
      </c>
      <c r="U52">
        <v>20</v>
      </c>
      <c r="V52" s="31">
        <v>-6.2560000000000002</v>
      </c>
      <c r="W52" s="31">
        <v>-6.2560000000000002</v>
      </c>
      <c r="X52" s="33">
        <v>-31.28</v>
      </c>
      <c r="Y52" s="29">
        <v>-37.536000000000001</v>
      </c>
      <c r="Z52" s="29">
        <v>-37.536000000000001</v>
      </c>
      <c r="AA52" s="35">
        <v>45061</v>
      </c>
      <c r="AB52" s="27"/>
      <c r="AC52" s="27"/>
      <c r="AD52" s="58">
        <v>-31.28</v>
      </c>
      <c r="AE52" s="31">
        <v>0</v>
      </c>
      <c r="AF52" t="b">
        <v>0</v>
      </c>
      <c r="AG52" s="78">
        <v>31.28</v>
      </c>
    </row>
    <row r="53" spans="1:33" x14ac:dyDescent="0.25">
      <c r="A53" t="str">
        <f t="shared" si="0"/>
        <v>2023-52</v>
      </c>
      <c r="B53" s="1">
        <f t="shared" si="1"/>
        <v>45005</v>
      </c>
      <c r="C53" t="str">
        <f t="shared" si="2"/>
        <v>/Amazon EU S. à r.l., 38 avenue John F. Kennedy, L-1855 Luxembourg: HJEU: DVI-HDMI, Logitech Maus</v>
      </c>
      <c r="D53" t="str">
        <f t="shared" si="6"/>
        <v>Ausgaben</v>
      </c>
      <c r="E53" t="str">
        <f t="shared" si="6"/>
        <v>Büromaterial</v>
      </c>
      <c r="F53" s="117">
        <f t="shared" si="4"/>
        <v>-8.0519999999999996</v>
      </c>
      <c r="G53" t="str">
        <f t="shared" si="5"/>
        <v>20%</v>
      </c>
      <c r="I53" s="155">
        <v>2023</v>
      </c>
      <c r="J53" s="155">
        <v>52</v>
      </c>
      <c r="K53" s="71" t="s">
        <v>105</v>
      </c>
      <c r="L53" t="s">
        <v>339</v>
      </c>
      <c r="M53" s="9"/>
      <c r="N53" s="1">
        <v>45005</v>
      </c>
      <c r="O53" t="s">
        <v>981</v>
      </c>
      <c r="Q53" s="76"/>
      <c r="R53" t="b">
        <v>0</v>
      </c>
      <c r="S53" s="109">
        <v>-6.71</v>
      </c>
      <c r="T53" s="72">
        <v>1</v>
      </c>
      <c r="U53">
        <v>20</v>
      </c>
      <c r="V53" s="31">
        <v>-1.3419999999999999</v>
      </c>
      <c r="W53" s="31">
        <v>-1.3419999999999999</v>
      </c>
      <c r="X53" s="33">
        <v>-6.71</v>
      </c>
      <c r="Y53" s="29">
        <v>-8.0519999999999996</v>
      </c>
      <c r="Z53" s="29">
        <v>-8.0519999999999996</v>
      </c>
      <c r="AA53" s="35">
        <v>45061</v>
      </c>
      <c r="AB53" s="27"/>
      <c r="AC53" s="27"/>
      <c r="AD53" s="58">
        <v>-6.71</v>
      </c>
      <c r="AE53" s="31">
        <v>0</v>
      </c>
      <c r="AF53" t="b">
        <v>0</v>
      </c>
      <c r="AG53" s="78">
        <v>6.71</v>
      </c>
    </row>
    <row r="54" spans="1:33" x14ac:dyDescent="0.25">
      <c r="A54" t="str">
        <f t="shared" si="0"/>
        <v>2023-53</v>
      </c>
      <c r="B54" s="1">
        <f t="shared" si="1"/>
        <v>45005</v>
      </c>
      <c r="C54" t="str">
        <f t="shared" si="2"/>
        <v>/Amazon EU S. à r.l., 38 avenue John F. Kennedy, L-1855 Luxembourg: HJEU: DVI-HDMI, Logitech Maus</v>
      </c>
      <c r="D54" t="str">
        <f t="shared" si="6"/>
        <v>Ausgaben</v>
      </c>
      <c r="E54" t="str">
        <f t="shared" si="6"/>
        <v>Büromaterial</v>
      </c>
      <c r="F54" s="117">
        <f t="shared" si="4"/>
        <v>-48.852000000000004</v>
      </c>
      <c r="G54" t="str">
        <f t="shared" si="5"/>
        <v>20%</v>
      </c>
      <c r="I54" s="155">
        <v>2023</v>
      </c>
      <c r="J54" s="155">
        <v>53</v>
      </c>
      <c r="K54" s="71" t="s">
        <v>105</v>
      </c>
      <c r="L54" t="s">
        <v>339</v>
      </c>
      <c r="M54" s="9"/>
      <c r="N54" s="1">
        <v>45005</v>
      </c>
      <c r="O54" t="s">
        <v>981</v>
      </c>
      <c r="Q54" s="76"/>
      <c r="R54" t="b">
        <v>0</v>
      </c>
      <c r="S54" s="109">
        <v>-40.71</v>
      </c>
      <c r="T54" s="72">
        <v>1</v>
      </c>
      <c r="U54">
        <v>20</v>
      </c>
      <c r="V54" s="31">
        <v>-8.1420000000000012</v>
      </c>
      <c r="W54" s="31">
        <v>-8.1420000000000012</v>
      </c>
      <c r="X54" s="33">
        <v>-40.71</v>
      </c>
      <c r="Y54" s="29">
        <v>-48.852000000000004</v>
      </c>
      <c r="Z54" s="29">
        <v>-48.852000000000004</v>
      </c>
      <c r="AA54" s="35">
        <v>45061</v>
      </c>
      <c r="AB54" s="27"/>
      <c r="AC54" s="27"/>
      <c r="AD54" s="58">
        <v>-40.71</v>
      </c>
      <c r="AE54" s="31">
        <v>0</v>
      </c>
      <c r="AF54" t="b">
        <v>0</v>
      </c>
      <c r="AG54" s="78">
        <v>40.71</v>
      </c>
    </row>
    <row r="55" spans="1:33" x14ac:dyDescent="0.25">
      <c r="A55" t="str">
        <f t="shared" si="0"/>
        <v>2023-54</v>
      </c>
      <c r="B55" s="1">
        <f t="shared" si="1"/>
        <v>45005</v>
      </c>
      <c r="C55" t="str">
        <f t="shared" si="2"/>
        <v>20230000036626/Wiener Linien GmbH &amp; Co KG</v>
      </c>
      <c r="D55" t="str">
        <f t="shared" si="6"/>
        <v>Ausgaben</v>
      </c>
      <c r="E55" t="str">
        <f t="shared" si="6"/>
        <v>Reise- und Fahrtspesen inkl. Kilometergeld und Diäten</v>
      </c>
      <c r="F55" s="117">
        <f t="shared" si="4"/>
        <v>365.00200000000001</v>
      </c>
      <c r="G55" t="str">
        <f t="shared" si="5"/>
        <v>10%</v>
      </c>
      <c r="I55" s="156">
        <v>2023</v>
      </c>
      <c r="J55" s="156">
        <v>54</v>
      </c>
      <c r="K55" s="71" t="s">
        <v>105</v>
      </c>
      <c r="L55" t="s">
        <v>689</v>
      </c>
      <c r="M55" s="9" t="s">
        <v>1802</v>
      </c>
      <c r="N55" s="1">
        <v>45005</v>
      </c>
      <c r="O55" t="s">
        <v>962</v>
      </c>
      <c r="Q55" s="76"/>
      <c r="R55" t="b">
        <v>0</v>
      </c>
      <c r="S55" s="48">
        <v>331.82</v>
      </c>
      <c r="T55" s="72">
        <v>1</v>
      </c>
      <c r="U55">
        <v>10</v>
      </c>
      <c r="V55" s="31">
        <v>33.181999999999995</v>
      </c>
      <c r="W55" s="31">
        <v>33.181999999999995</v>
      </c>
      <c r="X55" s="33">
        <v>331.82</v>
      </c>
      <c r="Y55" s="29">
        <v>365.00200000000001</v>
      </c>
      <c r="Z55" s="29">
        <v>365.00200000000001</v>
      </c>
      <c r="AA55" s="35">
        <v>45061</v>
      </c>
      <c r="AB55" s="27"/>
      <c r="AC55" s="27"/>
      <c r="AD55" s="58">
        <v>331.82</v>
      </c>
      <c r="AE55" s="31">
        <v>0</v>
      </c>
      <c r="AF55" t="b">
        <v>0</v>
      </c>
      <c r="AG55" s="78">
        <v>-331.82</v>
      </c>
    </row>
    <row r="56" spans="1:33" x14ac:dyDescent="0.25">
      <c r="A56" t="str">
        <f t="shared" si="0"/>
        <v>2023-55</v>
      </c>
      <c r="B56" s="1">
        <f t="shared" si="1"/>
        <v>45005</v>
      </c>
      <c r="C56" t="str">
        <f t="shared" si="2"/>
        <v>/Microsoft Ireland Operations Ltd. One Microsoft Place, South County, Business Park, Leopardstown, Dublin 18, D18 P521, Ireland</v>
      </c>
      <c r="D56" t="str">
        <f t="shared" si="6"/>
        <v>Ausgaben</v>
      </c>
      <c r="E56" t="str">
        <f t="shared" si="6"/>
        <v>sonstige Betriebsausgaben</v>
      </c>
      <c r="F56" s="117">
        <f t="shared" si="4"/>
        <v>10.5</v>
      </c>
      <c r="G56" t="str">
        <f t="shared" si="5"/>
        <v>0%</v>
      </c>
      <c r="I56" s="53">
        <v>2023</v>
      </c>
      <c r="J56" s="53">
        <v>55</v>
      </c>
      <c r="K56" s="71" t="s">
        <v>105</v>
      </c>
      <c r="L56" t="s">
        <v>705</v>
      </c>
      <c r="M56" s="1"/>
      <c r="N56" s="1">
        <v>45005</v>
      </c>
      <c r="O56" t="s">
        <v>1032</v>
      </c>
      <c r="Q56" s="76"/>
      <c r="R56" t="b">
        <v>0</v>
      </c>
      <c r="S56" s="109">
        <v>10.5</v>
      </c>
      <c r="T56" s="72">
        <v>1</v>
      </c>
      <c r="U56">
        <v>0</v>
      </c>
      <c r="V56" s="31">
        <v>0</v>
      </c>
      <c r="W56" s="31">
        <v>0</v>
      </c>
      <c r="X56" s="33">
        <v>10.5</v>
      </c>
      <c r="Y56" s="29">
        <v>10.5</v>
      </c>
      <c r="Z56" s="29">
        <v>10.5</v>
      </c>
      <c r="AA56" s="35">
        <v>45061</v>
      </c>
      <c r="AB56" s="27"/>
      <c r="AC56" s="27">
        <v>20</v>
      </c>
      <c r="AD56" s="58">
        <v>10.5</v>
      </c>
      <c r="AE56" s="31">
        <v>2.1</v>
      </c>
      <c r="AF56" t="b">
        <v>0</v>
      </c>
      <c r="AG56" s="78">
        <v>-10.5</v>
      </c>
    </row>
    <row r="57" spans="1:33" x14ac:dyDescent="0.25">
      <c r="A57" t="str">
        <f t="shared" si="0"/>
        <v>2023-56</v>
      </c>
      <c r="B57" s="1">
        <f t="shared" si="1"/>
        <v>45006</v>
      </c>
      <c r="C57" t="str">
        <f t="shared" si="2"/>
        <v>901117400223/Magenta: T-Mobile Austria GmbH, A-1120 Wien, PF 47</v>
      </c>
      <c r="D57" t="str">
        <f t="shared" si="6"/>
        <v>Ausgaben</v>
      </c>
      <c r="E57" t="str">
        <f t="shared" si="6"/>
        <v>Telefon/Internet</v>
      </c>
      <c r="F57" s="117">
        <f t="shared" si="4"/>
        <v>38.304000000000002</v>
      </c>
      <c r="G57" t="str">
        <f t="shared" si="5"/>
        <v>20%</v>
      </c>
      <c r="I57" s="53">
        <v>2023</v>
      </c>
      <c r="J57" s="53">
        <v>56</v>
      </c>
      <c r="K57" s="71" t="s">
        <v>105</v>
      </c>
      <c r="L57" t="s">
        <v>703</v>
      </c>
      <c r="M57" s="131" t="s">
        <v>1737</v>
      </c>
      <c r="N57" s="1">
        <v>45006</v>
      </c>
      <c r="O57" t="s">
        <v>1148</v>
      </c>
      <c r="Q57" s="76"/>
      <c r="R57" t="b">
        <v>0</v>
      </c>
      <c r="S57" s="48">
        <v>31.92</v>
      </c>
      <c r="T57" s="72">
        <v>1</v>
      </c>
      <c r="U57">
        <v>20</v>
      </c>
      <c r="V57" s="31">
        <v>6.3840000000000012</v>
      </c>
      <c r="W57" s="31">
        <v>6.3840000000000012</v>
      </c>
      <c r="X57" s="33">
        <v>31.92</v>
      </c>
      <c r="Y57" s="29">
        <v>38.304000000000002</v>
      </c>
      <c r="Z57" s="29">
        <v>38.304000000000002</v>
      </c>
      <c r="AA57" s="35">
        <v>45061</v>
      </c>
      <c r="AB57" s="27"/>
      <c r="AC57" s="27"/>
      <c r="AD57" s="58">
        <v>31.92</v>
      </c>
      <c r="AE57" s="31">
        <v>0</v>
      </c>
      <c r="AF57" t="b">
        <v>0</v>
      </c>
      <c r="AG57" s="78">
        <v>-31.92</v>
      </c>
    </row>
    <row r="58" spans="1:33" x14ac:dyDescent="0.25">
      <c r="A58" t="str">
        <f t="shared" si="0"/>
        <v>2023-57</v>
      </c>
      <c r="B58" s="1">
        <f t="shared" si="1"/>
        <v>45009</v>
      </c>
      <c r="C58" t="str">
        <f t="shared" si="2"/>
        <v>/easyname GmbH, Fernkorngasse 10/3/501, A-1100 Wien</v>
      </c>
      <c r="D58" t="str">
        <f t="shared" si="6"/>
        <v>Ausgaben</v>
      </c>
      <c r="E58" t="str">
        <f t="shared" si="6"/>
        <v>sonstige Betriebsausgaben</v>
      </c>
      <c r="F58" s="117">
        <f t="shared" si="4"/>
        <v>18.899999999999999</v>
      </c>
      <c r="G58" t="str">
        <f t="shared" si="5"/>
        <v>20%</v>
      </c>
      <c r="I58" s="53">
        <v>2023</v>
      </c>
      <c r="J58" s="53">
        <v>57</v>
      </c>
      <c r="K58" s="71" t="s">
        <v>105</v>
      </c>
      <c r="L58" t="s">
        <v>705</v>
      </c>
      <c r="M58" s="9"/>
      <c r="N58" s="1">
        <v>45009</v>
      </c>
      <c r="O58" t="s">
        <v>941</v>
      </c>
      <c r="Q58" s="76"/>
      <c r="R58" t="b">
        <v>0</v>
      </c>
      <c r="S58" s="48">
        <v>15.75</v>
      </c>
      <c r="T58" s="72">
        <v>1</v>
      </c>
      <c r="U58">
        <v>20</v>
      </c>
      <c r="V58" s="31">
        <v>3.15</v>
      </c>
      <c r="W58" s="31">
        <v>3.15</v>
      </c>
      <c r="X58" s="33">
        <v>15.75</v>
      </c>
      <c r="Y58" s="29">
        <v>18.899999999999999</v>
      </c>
      <c r="Z58" s="29">
        <v>18.899999999999999</v>
      </c>
      <c r="AA58" s="35">
        <v>45061</v>
      </c>
      <c r="AB58" s="27"/>
      <c r="AC58" s="27"/>
      <c r="AD58" s="58">
        <v>15.75</v>
      </c>
      <c r="AE58" s="31">
        <v>0</v>
      </c>
      <c r="AF58" t="b">
        <v>0</v>
      </c>
      <c r="AG58" s="78">
        <v>-15.75</v>
      </c>
    </row>
    <row r="59" spans="1:33" x14ac:dyDescent="0.25">
      <c r="A59" t="str">
        <f t="shared" si="0"/>
        <v>2023-58</v>
      </c>
      <c r="B59" s="1">
        <f t="shared" si="1"/>
        <v>45008</v>
      </c>
      <c r="C59" t="str">
        <f t="shared" si="2"/>
        <v>/Wirtschaftskammer Wien Grundumlagen, Straße der Wiener Wirtschaft 1, 1020 Wien: GU UBIT</v>
      </c>
      <c r="D59" t="str">
        <f t="shared" si="6"/>
        <v>Ausgaben</v>
      </c>
      <c r="E59" t="str">
        <f t="shared" si="6"/>
        <v>sonstige Betriebsausgaben</v>
      </c>
      <c r="F59" s="117">
        <f t="shared" si="4"/>
        <v>65</v>
      </c>
      <c r="G59" t="str">
        <f t="shared" si="5"/>
        <v>0%</v>
      </c>
      <c r="I59" s="53">
        <v>2023</v>
      </c>
      <c r="J59" s="53">
        <v>58</v>
      </c>
      <c r="K59" s="71" t="s">
        <v>105</v>
      </c>
      <c r="L59" t="s">
        <v>705</v>
      </c>
      <c r="M59" s="9"/>
      <c r="N59" s="1">
        <v>45008</v>
      </c>
      <c r="O59" t="s">
        <v>1021</v>
      </c>
      <c r="Q59" s="76"/>
      <c r="R59" t="b">
        <v>0</v>
      </c>
      <c r="S59" s="48">
        <v>65</v>
      </c>
      <c r="T59" s="72">
        <v>1</v>
      </c>
      <c r="U59">
        <v>0</v>
      </c>
      <c r="V59" s="31">
        <v>0</v>
      </c>
      <c r="W59" s="31">
        <v>0</v>
      </c>
      <c r="X59" s="33">
        <v>65</v>
      </c>
      <c r="Y59" s="29">
        <v>65</v>
      </c>
      <c r="Z59" s="29">
        <v>65</v>
      </c>
      <c r="AA59" s="35">
        <v>45061</v>
      </c>
      <c r="AB59" s="27"/>
      <c r="AC59" s="27"/>
      <c r="AD59" s="58">
        <v>65</v>
      </c>
      <c r="AE59" s="31">
        <v>0</v>
      </c>
      <c r="AF59" t="b">
        <v>0</v>
      </c>
      <c r="AG59" s="78">
        <v>-65</v>
      </c>
    </row>
    <row r="60" spans="1:33" x14ac:dyDescent="0.25">
      <c r="A60" t="str">
        <f t="shared" si="0"/>
        <v>2023-59</v>
      </c>
      <c r="B60" s="1">
        <f t="shared" si="1"/>
        <v>45019</v>
      </c>
      <c r="C60" t="str">
        <f t="shared" si="2"/>
        <v>/Google Ireland Ltd, Gordon House, Barrow Street, Dublin 4, Ireland; VAT number: IE 6388047V</v>
      </c>
      <c r="D60" t="str">
        <f t="shared" si="6"/>
        <v>Ausgaben</v>
      </c>
      <c r="E60" t="str">
        <f t="shared" si="6"/>
        <v>sonstige Betriebsausgaben</v>
      </c>
      <c r="F60" s="117">
        <f t="shared" si="4"/>
        <v>9.36</v>
      </c>
      <c r="G60" t="str">
        <f t="shared" si="5"/>
        <v>0%</v>
      </c>
      <c r="I60" s="53">
        <v>2023</v>
      </c>
      <c r="J60" s="53">
        <v>59</v>
      </c>
      <c r="K60" s="71" t="s">
        <v>105</v>
      </c>
      <c r="L60" t="s">
        <v>705</v>
      </c>
      <c r="N60" s="1">
        <v>45019</v>
      </c>
      <c r="O60" t="s">
        <v>1404</v>
      </c>
      <c r="Q60" s="76"/>
      <c r="R60" t="b">
        <v>0</v>
      </c>
      <c r="S60" s="109">
        <v>9.36</v>
      </c>
      <c r="T60" s="72">
        <v>1</v>
      </c>
      <c r="U60">
        <v>0</v>
      </c>
      <c r="V60" s="31">
        <v>0</v>
      </c>
      <c r="W60" s="31">
        <v>0</v>
      </c>
      <c r="X60" s="33">
        <v>9.36</v>
      </c>
      <c r="Y60" s="29">
        <v>9.36</v>
      </c>
      <c r="Z60" s="29">
        <v>9.36</v>
      </c>
      <c r="AA60" s="35">
        <v>45092</v>
      </c>
      <c r="AB60" s="27"/>
      <c r="AC60" s="27">
        <v>20</v>
      </c>
      <c r="AD60" s="58">
        <v>9.36</v>
      </c>
      <c r="AE60" s="31">
        <v>1.8719999999999999</v>
      </c>
      <c r="AF60" t="b">
        <v>0</v>
      </c>
      <c r="AG60" s="78">
        <v>-9.36</v>
      </c>
    </row>
    <row r="61" spans="1:33" x14ac:dyDescent="0.25">
      <c r="A61" t="str">
        <f t="shared" si="0"/>
        <v>2023-60</v>
      </c>
      <c r="B61" s="1">
        <f t="shared" si="1"/>
        <v>45019</v>
      </c>
      <c r="C61" t="str">
        <f t="shared" si="2"/>
        <v>12023006/foxcraft - DI Mag. Alexander Wagner, Leschetitzkygasse 30/5, 1180 Wien</v>
      </c>
      <c r="D61" t="str">
        <f t="shared" si="6"/>
        <v>Einnahmen</v>
      </c>
      <c r="E61" t="str">
        <f t="shared" si="6"/>
        <v>Waren-/Leistungserlöse</v>
      </c>
      <c r="F61" s="117">
        <f t="shared" si="4"/>
        <v>106.8</v>
      </c>
      <c r="G61" t="str">
        <f t="shared" si="5"/>
        <v>20%</v>
      </c>
      <c r="I61" s="53">
        <v>2023</v>
      </c>
      <c r="J61" s="53">
        <v>60</v>
      </c>
      <c r="K61" s="71" t="s">
        <v>708</v>
      </c>
      <c r="L61" t="s">
        <v>709</v>
      </c>
      <c r="M61" s="9" t="s">
        <v>1741</v>
      </c>
      <c r="N61" s="1">
        <v>45019</v>
      </c>
      <c r="O61" t="s">
        <v>1197</v>
      </c>
      <c r="Q61" s="76"/>
      <c r="R61" t="b">
        <v>0</v>
      </c>
      <c r="S61" s="48">
        <v>89</v>
      </c>
      <c r="T61" s="72">
        <v>1</v>
      </c>
      <c r="U61">
        <v>20</v>
      </c>
      <c r="V61" s="31">
        <v>17.8</v>
      </c>
      <c r="W61" s="31">
        <v>17.8</v>
      </c>
      <c r="X61" s="33">
        <v>89</v>
      </c>
      <c r="Y61" s="29">
        <v>106.8</v>
      </c>
      <c r="Z61" s="29">
        <v>106.8</v>
      </c>
      <c r="AA61" s="35">
        <v>45092</v>
      </c>
      <c r="AB61" s="27"/>
      <c r="AC61" s="27"/>
      <c r="AD61" s="58">
        <v>89</v>
      </c>
      <c r="AE61" s="31">
        <v>0</v>
      </c>
      <c r="AF61" t="b">
        <v>0</v>
      </c>
      <c r="AG61" s="78">
        <v>89</v>
      </c>
    </row>
    <row r="62" spans="1:33" x14ac:dyDescent="0.25">
      <c r="A62" t="str">
        <f t="shared" si="0"/>
        <v>2023-61</v>
      </c>
      <c r="B62" s="1">
        <f t="shared" si="1"/>
        <v>45019</v>
      </c>
      <c r="C62" t="str">
        <f t="shared" si="2"/>
        <v>12023003/ZT DI Dr. Arno Kolbitsch, Gütleweg 1, 6822 Satteins</v>
      </c>
      <c r="D62" t="str">
        <f t="shared" si="6"/>
        <v>Einnahmen</v>
      </c>
      <c r="E62" t="str">
        <f t="shared" si="6"/>
        <v>Waren-/Leistungserlöse</v>
      </c>
      <c r="F62" s="117">
        <f t="shared" si="4"/>
        <v>2760</v>
      </c>
      <c r="G62" t="str">
        <f t="shared" si="5"/>
        <v>20%</v>
      </c>
      <c r="I62" s="53">
        <v>2023</v>
      </c>
      <c r="J62" s="53">
        <v>61</v>
      </c>
      <c r="K62" s="71" t="s">
        <v>708</v>
      </c>
      <c r="L62" t="s">
        <v>709</v>
      </c>
      <c r="M62" s="6">
        <v>12023003</v>
      </c>
      <c r="N62" s="1">
        <v>45019</v>
      </c>
      <c r="O62" t="s">
        <v>1038</v>
      </c>
      <c r="Q62" s="76"/>
      <c r="R62" t="b">
        <v>0</v>
      </c>
      <c r="S62" s="48">
        <v>2300</v>
      </c>
      <c r="T62" s="72">
        <v>1</v>
      </c>
      <c r="U62">
        <v>20</v>
      </c>
      <c r="V62" s="31">
        <v>460</v>
      </c>
      <c r="W62" s="31">
        <v>460</v>
      </c>
      <c r="X62" s="33">
        <v>2300</v>
      </c>
      <c r="Y62" s="29">
        <v>2760</v>
      </c>
      <c r="Z62" s="29">
        <v>2760</v>
      </c>
      <c r="AA62" s="35">
        <v>45153</v>
      </c>
      <c r="AB62" s="27"/>
      <c r="AC62" s="27"/>
      <c r="AD62" s="58">
        <v>2300</v>
      </c>
      <c r="AE62" s="31">
        <v>0</v>
      </c>
      <c r="AF62" t="b">
        <v>0</v>
      </c>
      <c r="AG62" s="78">
        <v>2300</v>
      </c>
    </row>
    <row r="63" spans="1:33" x14ac:dyDescent="0.25">
      <c r="A63" t="str">
        <f t="shared" si="0"/>
        <v>2023-62</v>
      </c>
      <c r="B63" s="1">
        <f t="shared" si="1"/>
        <v>45019</v>
      </c>
      <c r="C63" t="str">
        <f t="shared" si="2"/>
        <v>12023007/Kolbitsch Engineering &amp; Consulting KNr 45</v>
      </c>
      <c r="D63" t="str">
        <f t="shared" si="6"/>
        <v>Einnahmen</v>
      </c>
      <c r="E63" t="str">
        <f t="shared" si="6"/>
        <v>Waren-/Leistungserlöse</v>
      </c>
      <c r="F63" s="117">
        <f t="shared" si="4"/>
        <v>582</v>
      </c>
      <c r="G63" t="str">
        <f t="shared" si="5"/>
        <v>20%</v>
      </c>
      <c r="I63" s="53">
        <v>2023</v>
      </c>
      <c r="J63" s="53">
        <v>62</v>
      </c>
      <c r="K63" s="71" t="s">
        <v>708</v>
      </c>
      <c r="L63" t="s">
        <v>709</v>
      </c>
      <c r="M63" s="9" t="s">
        <v>1742</v>
      </c>
      <c r="N63" s="1">
        <v>45019</v>
      </c>
      <c r="O63" t="s">
        <v>1513</v>
      </c>
      <c r="Q63" s="76"/>
      <c r="R63" t="b">
        <v>0</v>
      </c>
      <c r="S63" s="48">
        <v>485</v>
      </c>
      <c r="T63" s="72">
        <v>1</v>
      </c>
      <c r="U63">
        <v>20</v>
      </c>
      <c r="V63" s="31">
        <v>97</v>
      </c>
      <c r="W63" s="31">
        <v>97</v>
      </c>
      <c r="X63" s="33">
        <v>485</v>
      </c>
      <c r="Y63" s="29">
        <v>582</v>
      </c>
      <c r="Z63" s="29">
        <v>582</v>
      </c>
      <c r="AA63" s="35">
        <v>45153</v>
      </c>
      <c r="AB63" s="27"/>
      <c r="AC63" s="27"/>
      <c r="AD63" s="58">
        <v>485</v>
      </c>
      <c r="AE63" s="31">
        <v>0</v>
      </c>
      <c r="AF63" t="b">
        <v>0</v>
      </c>
      <c r="AG63" s="78">
        <v>485</v>
      </c>
    </row>
    <row r="64" spans="1:33" x14ac:dyDescent="0.25">
      <c r="A64" t="str">
        <f t="shared" si="0"/>
        <v>2023-63</v>
      </c>
      <c r="B64" s="1">
        <f t="shared" si="1"/>
        <v>45019</v>
      </c>
      <c r="C64" t="str">
        <f t="shared" si="2"/>
        <v>/Bontus Immobilienverwaltung GmbH, 1010 Wien, Franz Josefs Kai 65</v>
      </c>
      <c r="D64" t="str">
        <f t="shared" si="6"/>
        <v>Ausgaben</v>
      </c>
      <c r="E64" t="str">
        <f t="shared" si="6"/>
        <v>Miet- und Pachtaufwand, Leasing</v>
      </c>
      <c r="F64" s="117">
        <f t="shared" si="4"/>
        <v>619.02</v>
      </c>
      <c r="G64" t="str">
        <f t="shared" si="5"/>
        <v>20%</v>
      </c>
      <c r="I64" s="53">
        <v>2023</v>
      </c>
      <c r="J64" s="53">
        <v>63</v>
      </c>
      <c r="K64" s="71" t="s">
        <v>105</v>
      </c>
      <c r="L64" t="s">
        <v>691</v>
      </c>
      <c r="M64" s="9"/>
      <c r="N64" s="1">
        <v>45019</v>
      </c>
      <c r="O64" t="s">
        <v>1113</v>
      </c>
      <c r="Q64" s="76"/>
      <c r="R64" t="b">
        <v>0</v>
      </c>
      <c r="S64" s="109">
        <v>515.85</v>
      </c>
      <c r="T64" s="72">
        <v>1</v>
      </c>
      <c r="U64">
        <v>20</v>
      </c>
      <c r="V64" s="31">
        <v>103.17</v>
      </c>
      <c r="W64" s="31">
        <v>103.17</v>
      </c>
      <c r="X64" s="33">
        <v>515.85</v>
      </c>
      <c r="Y64" s="29">
        <v>619.02</v>
      </c>
      <c r="Z64" s="29">
        <v>619.02</v>
      </c>
      <c r="AA64" s="35">
        <v>45092</v>
      </c>
      <c r="AB64" s="27"/>
      <c r="AC64" s="27"/>
      <c r="AD64" s="58">
        <v>515.85</v>
      </c>
      <c r="AE64" s="31">
        <v>0</v>
      </c>
      <c r="AF64" t="b">
        <v>0</v>
      </c>
      <c r="AG64" s="78">
        <v>-515.85</v>
      </c>
    </row>
    <row r="65" spans="1:33" x14ac:dyDescent="0.25">
      <c r="A65" t="str">
        <f t="shared" si="0"/>
        <v>2023-64</v>
      </c>
      <c r="B65" s="1">
        <f t="shared" si="1"/>
        <v>45019</v>
      </c>
      <c r="C65" t="str">
        <f t="shared" si="2"/>
        <v>/car2go Österreich GmbH, Hintere Zollamtstraße 9, 1030 Wien</v>
      </c>
      <c r="D65" t="str">
        <f t="shared" si="6"/>
        <v>Ausgaben</v>
      </c>
      <c r="E65" t="str">
        <f t="shared" si="6"/>
        <v>Reise- und Fahrtspesen inkl. Kilometergeld und Diäten</v>
      </c>
      <c r="F65" s="117">
        <f t="shared" si="4"/>
        <v>76.643999999999991</v>
      </c>
      <c r="G65" t="str">
        <f t="shared" si="5"/>
        <v>20%</v>
      </c>
      <c r="I65" s="53">
        <v>2023</v>
      </c>
      <c r="J65" s="53">
        <v>64</v>
      </c>
      <c r="K65" s="71" t="s">
        <v>105</v>
      </c>
      <c r="L65" t="s">
        <v>689</v>
      </c>
      <c r="M65" s="131"/>
      <c r="N65" s="1">
        <v>45019</v>
      </c>
      <c r="O65" t="s">
        <v>974</v>
      </c>
      <c r="Q65" s="76"/>
      <c r="R65" t="b">
        <v>0</v>
      </c>
      <c r="S65" s="48">
        <v>63.87</v>
      </c>
      <c r="T65" s="72">
        <v>1</v>
      </c>
      <c r="U65">
        <v>20</v>
      </c>
      <c r="V65" s="31">
        <v>12.773999999999999</v>
      </c>
      <c r="W65" s="31">
        <v>12.773999999999999</v>
      </c>
      <c r="X65" s="33">
        <v>63.87</v>
      </c>
      <c r="Y65" s="29">
        <v>76.643999999999991</v>
      </c>
      <c r="Z65" s="29">
        <v>76.643999999999991</v>
      </c>
      <c r="AA65" s="35">
        <v>45092</v>
      </c>
      <c r="AB65" s="27"/>
      <c r="AC65" s="27"/>
      <c r="AD65" s="58">
        <v>63.87</v>
      </c>
      <c r="AE65" s="31">
        <v>0</v>
      </c>
      <c r="AF65" t="b">
        <v>0</v>
      </c>
      <c r="AG65" s="78">
        <v>-63.87</v>
      </c>
    </row>
    <row r="66" spans="1:33" x14ac:dyDescent="0.25">
      <c r="A66" t="str">
        <f t="shared" ref="A66:A129" si="7">I66&amp;"-"&amp;J66</f>
        <v>2023-65</v>
      </c>
      <c r="B66" s="1">
        <f t="shared" ref="B66:B129" si="8">N66</f>
        <v>45019</v>
      </c>
      <c r="C66" t="str">
        <f t="shared" ref="C66:C129" si="9">M66&amp;"/"&amp;O66</f>
        <v>/Vistaprint B.V., Hudsonweg 8, 5928 LW Venlo, Niederlande</v>
      </c>
      <c r="D66" t="str">
        <f t="shared" ref="D66:E97" si="10">K66</f>
        <v>Ausgaben</v>
      </c>
      <c r="E66" t="str">
        <f t="shared" si="10"/>
        <v>sonstige Betriebsausgaben</v>
      </c>
      <c r="F66" s="117">
        <f t="shared" ref="F66:F129" si="11">Z66</f>
        <v>60.984000000000002</v>
      </c>
      <c r="G66" t="str">
        <f t="shared" ref="G66:G129" si="12">U66&amp;"%"</f>
        <v>20%</v>
      </c>
      <c r="I66" s="53">
        <v>2023</v>
      </c>
      <c r="J66" s="53">
        <v>65</v>
      </c>
      <c r="K66" s="71" t="s">
        <v>105</v>
      </c>
      <c r="L66" t="s">
        <v>705</v>
      </c>
      <c r="M66" s="9"/>
      <c r="N66" s="1">
        <v>45019</v>
      </c>
      <c r="O66" t="s">
        <v>37</v>
      </c>
      <c r="Q66" s="76" t="s">
        <v>958</v>
      </c>
      <c r="R66" t="b">
        <v>0</v>
      </c>
      <c r="S66" s="48">
        <v>50.82</v>
      </c>
      <c r="T66" s="72">
        <v>1</v>
      </c>
      <c r="U66">
        <v>20</v>
      </c>
      <c r="V66" s="31">
        <v>10.164</v>
      </c>
      <c r="W66" s="31">
        <v>10.164</v>
      </c>
      <c r="X66" s="33">
        <v>50.82</v>
      </c>
      <c r="Y66" s="29">
        <v>60.984000000000002</v>
      </c>
      <c r="Z66" s="29">
        <v>60.984000000000002</v>
      </c>
      <c r="AA66" s="35">
        <v>45092</v>
      </c>
      <c r="AB66" s="27"/>
      <c r="AC66" s="27"/>
      <c r="AD66" s="58">
        <v>50.82</v>
      </c>
      <c r="AE66" s="31">
        <v>0</v>
      </c>
      <c r="AF66" t="b">
        <v>0</v>
      </c>
      <c r="AG66" s="78">
        <v>-50.82</v>
      </c>
    </row>
    <row r="67" spans="1:33" x14ac:dyDescent="0.25">
      <c r="A67" t="str">
        <f t="shared" si="7"/>
        <v>2023-66</v>
      </c>
      <c r="B67" s="1">
        <f t="shared" si="8"/>
        <v>45020</v>
      </c>
      <c r="C67" t="str">
        <f t="shared" si="9"/>
        <v>/go green energy GmbH &amp; Co KG</v>
      </c>
      <c r="D67" t="str">
        <f t="shared" si="10"/>
        <v>Ausgaben</v>
      </c>
      <c r="E67" t="str">
        <f t="shared" si="10"/>
        <v>sonstige Betriebsausgaben</v>
      </c>
      <c r="F67" s="117">
        <f t="shared" si="11"/>
        <v>6</v>
      </c>
      <c r="G67" t="str">
        <f t="shared" si="12"/>
        <v>20%</v>
      </c>
      <c r="I67" s="53">
        <v>2023</v>
      </c>
      <c r="J67" s="53">
        <v>66</v>
      </c>
      <c r="K67" s="71" t="s">
        <v>105</v>
      </c>
      <c r="L67" t="s">
        <v>705</v>
      </c>
      <c r="N67" s="1">
        <v>45020</v>
      </c>
      <c r="O67" t="s">
        <v>1670</v>
      </c>
      <c r="Q67" s="76"/>
      <c r="R67" t="b">
        <v>0</v>
      </c>
      <c r="S67" s="48">
        <v>5</v>
      </c>
      <c r="T67" s="72">
        <v>1</v>
      </c>
      <c r="U67">
        <v>20</v>
      </c>
      <c r="V67" s="31">
        <v>1</v>
      </c>
      <c r="W67" s="31">
        <v>1</v>
      </c>
      <c r="X67" s="33">
        <v>5</v>
      </c>
      <c r="Y67" s="29">
        <v>6</v>
      </c>
      <c r="Z67" s="29">
        <v>6</v>
      </c>
      <c r="AA67" s="35">
        <v>45092</v>
      </c>
      <c r="AB67" s="27"/>
      <c r="AC67" s="27"/>
      <c r="AD67" s="58">
        <v>5</v>
      </c>
      <c r="AE67" s="31">
        <v>0</v>
      </c>
      <c r="AF67" t="b">
        <v>0</v>
      </c>
      <c r="AG67" s="78">
        <v>-5</v>
      </c>
    </row>
    <row r="68" spans="1:33" x14ac:dyDescent="0.25">
      <c r="A68" t="str">
        <f t="shared" si="7"/>
        <v>2023-67</v>
      </c>
      <c r="B68" s="1">
        <f t="shared" si="8"/>
        <v>45021</v>
      </c>
      <c r="C68" t="str">
        <f t="shared" si="9"/>
        <v>12018015/H. Jaros e.U., Kohlmarkt 16/2/2/15a, 1010 Wien</v>
      </c>
      <c r="D68" t="str">
        <f t="shared" si="10"/>
        <v>Einnahmen</v>
      </c>
      <c r="E68" t="str">
        <f t="shared" si="10"/>
        <v>Waren-/Leistungserlöse</v>
      </c>
      <c r="F68" s="117">
        <f t="shared" si="11"/>
        <v>1276.8</v>
      </c>
      <c r="G68" t="str">
        <f t="shared" si="12"/>
        <v>20%</v>
      </c>
      <c r="I68" s="53">
        <v>2023</v>
      </c>
      <c r="J68" s="53">
        <v>67</v>
      </c>
      <c r="K68" s="71" t="s">
        <v>708</v>
      </c>
      <c r="L68" t="s">
        <v>709</v>
      </c>
      <c r="M68" s="9">
        <v>12018015</v>
      </c>
      <c r="N68" s="1">
        <v>45021</v>
      </c>
      <c r="O68" t="s">
        <v>923</v>
      </c>
      <c r="Q68" s="76"/>
      <c r="R68" t="b">
        <v>0</v>
      </c>
      <c r="S68" s="48">
        <v>1064</v>
      </c>
      <c r="T68" s="72">
        <v>1</v>
      </c>
      <c r="U68">
        <v>20</v>
      </c>
      <c r="V68" s="31">
        <v>212.8</v>
      </c>
      <c r="W68" s="31">
        <v>212.8</v>
      </c>
      <c r="X68" s="33">
        <v>1064</v>
      </c>
      <c r="Y68" s="29">
        <v>1276.8</v>
      </c>
      <c r="Z68" s="29">
        <v>1276.8</v>
      </c>
      <c r="AA68" s="35">
        <v>45153</v>
      </c>
      <c r="AB68" s="27"/>
      <c r="AC68" s="27"/>
      <c r="AD68" s="58">
        <v>1064</v>
      </c>
      <c r="AE68" s="31">
        <v>0</v>
      </c>
      <c r="AF68" t="b">
        <v>0</v>
      </c>
      <c r="AG68" s="78">
        <v>1064</v>
      </c>
    </row>
    <row r="69" spans="1:33" x14ac:dyDescent="0.25">
      <c r="A69" t="str">
        <f t="shared" si="7"/>
        <v>2023-68</v>
      </c>
      <c r="B69" s="1">
        <f t="shared" si="8"/>
        <v>45021</v>
      </c>
      <c r="C69" t="str">
        <f t="shared" si="9"/>
        <v>/Hutchison Drei Austria GmbH, Brünner Straße 52, 1210 Wien, Österreich</v>
      </c>
      <c r="D69" t="str">
        <f t="shared" si="10"/>
        <v>Ausgaben</v>
      </c>
      <c r="E69" t="str">
        <f t="shared" si="10"/>
        <v>Telefon/Internet</v>
      </c>
      <c r="F69" s="117">
        <f t="shared" si="11"/>
        <v>18</v>
      </c>
      <c r="G69" t="str">
        <f t="shared" si="12"/>
        <v>20%</v>
      </c>
      <c r="I69" s="53">
        <v>2023</v>
      </c>
      <c r="J69" s="53">
        <v>68</v>
      </c>
      <c r="K69" s="71" t="s">
        <v>105</v>
      </c>
      <c r="L69" t="s">
        <v>703</v>
      </c>
      <c r="M69" s="9"/>
      <c r="N69" s="1">
        <v>45021</v>
      </c>
      <c r="O69" t="s">
        <v>34</v>
      </c>
      <c r="Q69" s="76"/>
      <c r="R69" t="b">
        <v>0</v>
      </c>
      <c r="S69" s="48">
        <v>15</v>
      </c>
      <c r="T69" s="72">
        <v>1</v>
      </c>
      <c r="U69">
        <v>20</v>
      </c>
      <c r="V69" s="31">
        <v>3</v>
      </c>
      <c r="W69" s="31">
        <v>3</v>
      </c>
      <c r="X69" s="33">
        <v>15</v>
      </c>
      <c r="Y69" s="29">
        <v>18</v>
      </c>
      <c r="Z69" s="29">
        <v>18</v>
      </c>
      <c r="AA69" s="35">
        <v>45092</v>
      </c>
      <c r="AB69" s="27"/>
      <c r="AC69" s="27"/>
      <c r="AD69" s="58">
        <v>15</v>
      </c>
      <c r="AE69" s="31">
        <v>0</v>
      </c>
      <c r="AF69" t="b">
        <v>0</v>
      </c>
      <c r="AG69" s="78">
        <v>-15</v>
      </c>
    </row>
    <row r="70" spans="1:33" x14ac:dyDescent="0.25">
      <c r="A70" t="str">
        <f t="shared" si="7"/>
        <v>2023-69</v>
      </c>
      <c r="B70" s="1">
        <f t="shared" si="8"/>
        <v>45022</v>
      </c>
      <c r="C70" t="str">
        <f t="shared" si="9"/>
        <v>BELEG FEHLT/Techem Messtechnik GmbH; Abnehmernummer 501686-0003-11-</v>
      </c>
      <c r="D70" t="str">
        <f t="shared" si="10"/>
        <v>Ausgaben</v>
      </c>
      <c r="E70" t="str">
        <f t="shared" si="10"/>
        <v>Miet- und Pachtaufwand, Leasing</v>
      </c>
      <c r="F70" s="117">
        <f t="shared" si="11"/>
        <v>147.12</v>
      </c>
      <c r="G70" t="str">
        <f t="shared" si="12"/>
        <v>20%</v>
      </c>
      <c r="I70" s="53">
        <v>2023</v>
      </c>
      <c r="J70" s="53">
        <v>69</v>
      </c>
      <c r="K70" s="71" t="s">
        <v>105</v>
      </c>
      <c r="L70" t="s">
        <v>691</v>
      </c>
      <c r="M70" s="61" t="s">
        <v>1064</v>
      </c>
      <c r="N70" s="1">
        <v>45022</v>
      </c>
      <c r="O70" t="s">
        <v>1558</v>
      </c>
      <c r="Q70" s="76"/>
      <c r="R70" t="b">
        <v>0</v>
      </c>
      <c r="S70" s="109">
        <v>122.6</v>
      </c>
      <c r="T70" s="72">
        <v>1</v>
      </c>
      <c r="U70">
        <v>20</v>
      </c>
      <c r="V70" s="31">
        <v>24.52</v>
      </c>
      <c r="W70" s="31">
        <v>24.52</v>
      </c>
      <c r="X70" s="33">
        <v>122.6</v>
      </c>
      <c r="Y70" s="29">
        <v>147.12</v>
      </c>
      <c r="Z70" s="29">
        <v>147.12</v>
      </c>
      <c r="AA70" s="35">
        <v>45092</v>
      </c>
      <c r="AB70" s="27"/>
      <c r="AC70" s="27"/>
      <c r="AD70" s="58">
        <v>122.6</v>
      </c>
      <c r="AE70" s="31">
        <v>0</v>
      </c>
      <c r="AF70" t="b">
        <v>0</v>
      </c>
      <c r="AG70" s="78">
        <v>-122.6</v>
      </c>
    </row>
    <row r="71" spans="1:33" x14ac:dyDescent="0.25">
      <c r="A71" t="str">
        <f t="shared" si="7"/>
        <v>2023-70</v>
      </c>
      <c r="B71" s="1">
        <f t="shared" si="8"/>
        <v>45027</v>
      </c>
      <c r="C71" t="str">
        <f t="shared" si="9"/>
        <v>BELEG FEHLT/Wiener Netze GmbH, Erdbergstraße 236, 1110 Wien, Postfach 422; Jahresabrechnung vom 17.12.20: GUTSCHRIFT</v>
      </c>
      <c r="D71" t="str">
        <f t="shared" si="10"/>
        <v>Ausgaben</v>
      </c>
      <c r="E71" t="str">
        <f t="shared" si="10"/>
        <v>sonstige Betriebsausgaben</v>
      </c>
      <c r="F71" s="117">
        <f t="shared" si="11"/>
        <v>14.4</v>
      </c>
      <c r="G71" t="str">
        <f t="shared" si="12"/>
        <v>20%</v>
      </c>
      <c r="I71" s="53">
        <v>2023</v>
      </c>
      <c r="J71" s="53">
        <v>70</v>
      </c>
      <c r="K71" s="71" t="s">
        <v>105</v>
      </c>
      <c r="L71" t="s">
        <v>705</v>
      </c>
      <c r="M71" s="61" t="s">
        <v>1064</v>
      </c>
      <c r="N71" s="1">
        <v>45027</v>
      </c>
      <c r="O71" t="s">
        <v>1466</v>
      </c>
      <c r="Q71" s="76"/>
      <c r="R71" t="b">
        <v>0</v>
      </c>
      <c r="S71" s="48">
        <v>12</v>
      </c>
      <c r="T71" s="72">
        <v>1</v>
      </c>
      <c r="U71">
        <v>20</v>
      </c>
      <c r="V71" s="31">
        <v>2.4</v>
      </c>
      <c r="W71" s="31">
        <v>2.4</v>
      </c>
      <c r="X71" s="33">
        <v>12</v>
      </c>
      <c r="Y71" s="29">
        <v>14.4</v>
      </c>
      <c r="Z71" s="29">
        <v>14.4</v>
      </c>
      <c r="AA71" s="35">
        <v>45092</v>
      </c>
      <c r="AB71" s="27"/>
      <c r="AC71" s="27"/>
      <c r="AD71" s="58">
        <v>12</v>
      </c>
      <c r="AE71" s="31">
        <v>0</v>
      </c>
      <c r="AF71" t="b">
        <v>0</v>
      </c>
      <c r="AG71" s="78">
        <v>-12</v>
      </c>
    </row>
    <row r="72" spans="1:33" x14ac:dyDescent="0.25">
      <c r="A72" t="str">
        <f t="shared" si="7"/>
        <v>2023-71</v>
      </c>
      <c r="B72" s="1">
        <f t="shared" si="8"/>
        <v>45029</v>
      </c>
      <c r="C72" t="str">
        <f t="shared" si="9"/>
        <v>12023008/Hays Österreich GmbH, Bahnhof City Wien West , Europaplatz 3/5, 1150 Wien</v>
      </c>
      <c r="D72" t="str">
        <f t="shared" si="10"/>
        <v>Einnahmen</v>
      </c>
      <c r="E72" t="str">
        <f t="shared" si="10"/>
        <v>Waren-/Leistungserlöse</v>
      </c>
      <c r="F72" s="117">
        <f t="shared" si="11"/>
        <v>19965.599999999999</v>
      </c>
      <c r="G72" t="str">
        <f t="shared" si="12"/>
        <v>20%</v>
      </c>
      <c r="I72" s="53">
        <v>2023</v>
      </c>
      <c r="J72" s="53">
        <v>71</v>
      </c>
      <c r="K72" s="71" t="s">
        <v>708</v>
      </c>
      <c r="L72" t="s">
        <v>709</v>
      </c>
      <c r="M72">
        <v>12023008</v>
      </c>
      <c r="N72" s="1">
        <v>45029</v>
      </c>
      <c r="O72" t="s">
        <v>1652</v>
      </c>
      <c r="Q72" s="76"/>
      <c r="R72" t="b">
        <v>0</v>
      </c>
      <c r="S72" s="48">
        <v>16638</v>
      </c>
      <c r="T72" s="72">
        <v>1</v>
      </c>
      <c r="U72">
        <v>20</v>
      </c>
      <c r="V72" s="31">
        <v>3327.6</v>
      </c>
      <c r="W72" s="31">
        <v>3327.6</v>
      </c>
      <c r="X72" s="33">
        <v>16638</v>
      </c>
      <c r="Y72" s="29">
        <v>19965.599999999999</v>
      </c>
      <c r="Z72" s="29">
        <v>19965.599999999999</v>
      </c>
      <c r="AA72" s="35">
        <v>45092</v>
      </c>
      <c r="AB72" s="27"/>
      <c r="AC72" s="27"/>
      <c r="AD72" s="58">
        <v>16638</v>
      </c>
      <c r="AE72" s="31">
        <v>0</v>
      </c>
      <c r="AF72" t="b">
        <v>0</v>
      </c>
      <c r="AG72" s="78">
        <v>16638</v>
      </c>
    </row>
    <row r="73" spans="1:33" x14ac:dyDescent="0.25">
      <c r="A73" t="str">
        <f t="shared" si="7"/>
        <v>2023-72</v>
      </c>
      <c r="B73" s="1">
        <f t="shared" si="8"/>
        <v>45035</v>
      </c>
      <c r="C73" t="str">
        <f t="shared" si="9"/>
        <v>/TeamViewer Germany GmbH, Jahnstr. 30, 73037 Göppingen, Deutschland</v>
      </c>
      <c r="D73" t="str">
        <f t="shared" si="10"/>
        <v>Ausgaben</v>
      </c>
      <c r="E73" t="str">
        <f t="shared" si="10"/>
        <v>sonstige Betriebsausgaben</v>
      </c>
      <c r="F73" s="117">
        <f t="shared" si="11"/>
        <v>394.8</v>
      </c>
      <c r="G73" t="str">
        <f t="shared" si="12"/>
        <v>0%</v>
      </c>
      <c r="I73" s="53">
        <v>2023</v>
      </c>
      <c r="J73" s="53">
        <v>72</v>
      </c>
      <c r="K73" s="71" t="s">
        <v>105</v>
      </c>
      <c r="L73" t="s">
        <v>705</v>
      </c>
      <c r="M73" s="9"/>
      <c r="N73" s="1">
        <v>45035</v>
      </c>
      <c r="O73" t="s">
        <v>1315</v>
      </c>
      <c r="Q73" s="76" t="s">
        <v>958</v>
      </c>
      <c r="R73" t="b">
        <v>0</v>
      </c>
      <c r="S73" s="48">
        <v>394.8</v>
      </c>
      <c r="T73" s="72">
        <v>1</v>
      </c>
      <c r="U73">
        <v>0</v>
      </c>
      <c r="V73" s="31">
        <v>0</v>
      </c>
      <c r="W73" s="31">
        <v>0</v>
      </c>
      <c r="X73" s="33">
        <v>394.8</v>
      </c>
      <c r="Y73" s="29">
        <v>394.8</v>
      </c>
      <c r="Z73" s="29">
        <v>394.8</v>
      </c>
      <c r="AA73" s="35">
        <v>45153</v>
      </c>
      <c r="AB73" s="27"/>
      <c r="AC73" s="27">
        <v>20</v>
      </c>
      <c r="AD73" s="58">
        <v>394.8</v>
      </c>
      <c r="AE73" s="31">
        <v>78.960000000000008</v>
      </c>
      <c r="AF73" t="b">
        <v>0</v>
      </c>
      <c r="AG73" s="78">
        <v>-394.8</v>
      </c>
    </row>
    <row r="74" spans="1:33" x14ac:dyDescent="0.25">
      <c r="A74" t="str">
        <f t="shared" si="7"/>
        <v>2023-73</v>
      </c>
      <c r="B74" s="1">
        <f t="shared" si="8"/>
        <v>45030</v>
      </c>
      <c r="C74" t="str">
        <f t="shared" si="9"/>
        <v>/Hetzner Online GmbH</v>
      </c>
      <c r="D74" t="str">
        <f t="shared" si="10"/>
        <v>Ausgaben</v>
      </c>
      <c r="E74" t="str">
        <f t="shared" si="10"/>
        <v>sonstige Betriebsausgaben</v>
      </c>
      <c r="F74" s="117">
        <f t="shared" si="11"/>
        <v>52.214100000000002</v>
      </c>
      <c r="G74" t="str">
        <f t="shared" si="12"/>
        <v>0%</v>
      </c>
      <c r="I74" s="53">
        <v>2023</v>
      </c>
      <c r="J74" s="53">
        <v>73</v>
      </c>
      <c r="K74" s="71" t="s">
        <v>105</v>
      </c>
      <c r="L74" t="s">
        <v>705</v>
      </c>
      <c r="M74" s="9"/>
      <c r="N74" s="1">
        <v>45030</v>
      </c>
      <c r="O74" t="s">
        <v>927</v>
      </c>
      <c r="Q74" s="76"/>
      <c r="R74" t="b">
        <v>0</v>
      </c>
      <c r="S74" s="48">
        <v>52.214100000000002</v>
      </c>
      <c r="T74" s="72">
        <v>1</v>
      </c>
      <c r="U74">
        <v>0</v>
      </c>
      <c r="V74" s="31">
        <v>0</v>
      </c>
      <c r="W74" s="31">
        <v>0</v>
      </c>
      <c r="X74" s="33">
        <v>52.214100000000002</v>
      </c>
      <c r="Y74" s="29">
        <v>52.214100000000002</v>
      </c>
      <c r="Z74" s="29">
        <v>52.214100000000002</v>
      </c>
      <c r="AA74" s="35">
        <v>45092</v>
      </c>
      <c r="AB74" s="27"/>
      <c r="AC74" s="27">
        <v>20</v>
      </c>
      <c r="AD74" s="58">
        <v>52.214100000000002</v>
      </c>
      <c r="AE74" s="31">
        <v>10.442820000000001</v>
      </c>
      <c r="AF74" t="b">
        <v>0</v>
      </c>
      <c r="AG74" s="78">
        <v>-52.214100000000002</v>
      </c>
    </row>
    <row r="75" spans="1:33" x14ac:dyDescent="0.25">
      <c r="A75" t="str">
        <f t="shared" si="7"/>
        <v>2023-74</v>
      </c>
      <c r="B75" s="1">
        <f t="shared" si="8"/>
        <v>45033</v>
      </c>
      <c r="C75" t="str">
        <f t="shared" si="9"/>
        <v>siehe 2022-140/Honorar Eva Jaros-Kolbitsch</v>
      </c>
      <c r="D75" t="str">
        <f t="shared" si="10"/>
        <v>Ausgaben</v>
      </c>
      <c r="E75" t="str">
        <f t="shared" si="10"/>
        <v>Personalaufwand</v>
      </c>
      <c r="F75" s="117">
        <f t="shared" si="11"/>
        <v>365</v>
      </c>
      <c r="G75" t="str">
        <f t="shared" si="12"/>
        <v>0%</v>
      </c>
      <c r="I75" s="53">
        <v>2023</v>
      </c>
      <c r="J75" s="53">
        <v>74</v>
      </c>
      <c r="K75" s="71" t="s">
        <v>105</v>
      </c>
      <c r="L75" t="s">
        <v>685</v>
      </c>
      <c r="M75" s="9" t="s">
        <v>1699</v>
      </c>
      <c r="N75" s="1">
        <v>45033</v>
      </c>
      <c r="O75" t="s">
        <v>1689</v>
      </c>
      <c r="Q75" s="76"/>
      <c r="R75" t="b">
        <v>0</v>
      </c>
      <c r="S75" s="48">
        <v>365</v>
      </c>
      <c r="T75" s="72">
        <v>1</v>
      </c>
      <c r="U75">
        <v>0</v>
      </c>
      <c r="V75" s="31">
        <v>0</v>
      </c>
      <c r="W75" s="31">
        <v>0</v>
      </c>
      <c r="X75" s="33">
        <v>365</v>
      </c>
      <c r="Y75" s="29">
        <v>365</v>
      </c>
      <c r="Z75" s="29">
        <v>365</v>
      </c>
      <c r="AA75" s="35">
        <v>45092</v>
      </c>
      <c r="AB75" s="27"/>
      <c r="AC75" s="27"/>
      <c r="AD75" s="58">
        <v>365</v>
      </c>
      <c r="AE75" s="31">
        <v>0</v>
      </c>
      <c r="AF75" t="b">
        <v>0</v>
      </c>
      <c r="AG75" s="78">
        <v>-365</v>
      </c>
    </row>
    <row r="76" spans="1:33" x14ac:dyDescent="0.25">
      <c r="A76" t="str">
        <f t="shared" si="7"/>
        <v>2023-75</v>
      </c>
      <c r="B76" s="1">
        <f t="shared" si="8"/>
        <v>45036</v>
      </c>
      <c r="C76" t="str">
        <f t="shared" si="9"/>
        <v>/Microsoft Ireland Operations Ltd. One Microsoft Place, South County, Business Park, Leopardstown, Dublin 18, D18 P521, Ireland</v>
      </c>
      <c r="D76" t="str">
        <f t="shared" si="10"/>
        <v>Ausgaben</v>
      </c>
      <c r="E76" t="str">
        <f t="shared" si="10"/>
        <v>sonstige Betriebsausgaben</v>
      </c>
      <c r="F76" s="117">
        <f t="shared" si="11"/>
        <v>10.5</v>
      </c>
      <c r="G76" t="str">
        <f t="shared" si="12"/>
        <v>0%</v>
      </c>
      <c r="I76" s="53">
        <v>2023</v>
      </c>
      <c r="J76" s="53">
        <v>75</v>
      </c>
      <c r="K76" s="71" t="s">
        <v>105</v>
      </c>
      <c r="L76" t="s">
        <v>705</v>
      </c>
      <c r="M76" s="1"/>
      <c r="N76" s="1">
        <v>45036</v>
      </c>
      <c r="O76" t="s">
        <v>1032</v>
      </c>
      <c r="Q76" s="76"/>
      <c r="R76" t="b">
        <v>0</v>
      </c>
      <c r="S76" s="109">
        <v>10.5</v>
      </c>
      <c r="T76" s="72">
        <v>1</v>
      </c>
      <c r="U76">
        <v>0</v>
      </c>
      <c r="V76" s="31">
        <v>0</v>
      </c>
      <c r="W76" s="31">
        <v>0</v>
      </c>
      <c r="X76" s="33">
        <v>10.5</v>
      </c>
      <c r="Y76" s="29">
        <v>10.5</v>
      </c>
      <c r="Z76" s="29">
        <v>10.5</v>
      </c>
      <c r="AA76" s="35">
        <v>45092</v>
      </c>
      <c r="AB76" s="27"/>
      <c r="AC76" s="27">
        <v>20</v>
      </c>
      <c r="AD76" s="58">
        <v>10.5</v>
      </c>
      <c r="AE76" s="31">
        <v>2.1</v>
      </c>
      <c r="AF76" t="b">
        <v>0</v>
      </c>
      <c r="AG76" s="78">
        <v>-10.5</v>
      </c>
    </row>
    <row r="77" spans="1:33" x14ac:dyDescent="0.25">
      <c r="A77" t="str">
        <f t="shared" si="7"/>
        <v>2023-76</v>
      </c>
      <c r="B77" s="1">
        <f t="shared" si="8"/>
        <v>45037</v>
      </c>
      <c r="C77" t="str">
        <f t="shared" si="9"/>
        <v>/Magenta: T-Mobile Austria GmbH, A-1120 Wien, PF 47</v>
      </c>
      <c r="D77" t="str">
        <f t="shared" si="10"/>
        <v>Ausgaben</v>
      </c>
      <c r="E77" t="str">
        <f t="shared" si="10"/>
        <v>Telefon/Internet</v>
      </c>
      <c r="F77" s="117">
        <f t="shared" si="11"/>
        <v>38.304000000000002</v>
      </c>
      <c r="G77" t="str">
        <f t="shared" si="12"/>
        <v>20%</v>
      </c>
      <c r="I77" s="53">
        <v>2023</v>
      </c>
      <c r="J77" s="53">
        <v>76</v>
      </c>
      <c r="K77" s="71" t="s">
        <v>105</v>
      </c>
      <c r="L77" t="s">
        <v>703</v>
      </c>
      <c r="M77" s="131"/>
      <c r="N77" s="1">
        <v>45037</v>
      </c>
      <c r="O77" t="s">
        <v>1148</v>
      </c>
      <c r="Q77" s="76"/>
      <c r="R77" t="b">
        <v>0</v>
      </c>
      <c r="S77" s="48">
        <v>31.92</v>
      </c>
      <c r="T77" s="72">
        <v>1</v>
      </c>
      <c r="U77">
        <v>20</v>
      </c>
      <c r="V77" s="31">
        <v>6.3840000000000012</v>
      </c>
      <c r="W77" s="31">
        <v>6.3840000000000012</v>
      </c>
      <c r="X77" s="33">
        <v>31.92</v>
      </c>
      <c r="Y77" s="29">
        <v>38.304000000000002</v>
      </c>
      <c r="Z77" s="29">
        <v>38.304000000000002</v>
      </c>
      <c r="AA77" s="35">
        <v>45092</v>
      </c>
      <c r="AB77" s="27"/>
      <c r="AC77" s="27"/>
      <c r="AD77" s="58">
        <v>31.92</v>
      </c>
      <c r="AE77" s="31">
        <v>0</v>
      </c>
      <c r="AF77" t="b">
        <v>0</v>
      </c>
      <c r="AG77" s="78">
        <v>-31.92</v>
      </c>
    </row>
    <row r="78" spans="1:33" x14ac:dyDescent="0.25">
      <c r="A78" t="str">
        <f t="shared" si="7"/>
        <v>2023-77</v>
      </c>
      <c r="B78" s="1">
        <f t="shared" si="8"/>
        <v>45040</v>
      </c>
      <c r="C78" t="str">
        <f t="shared" si="9"/>
        <v>12023004/Paperholic all bout paper e.U.</v>
      </c>
      <c r="D78" t="str">
        <f t="shared" si="10"/>
        <v>Einnahmen</v>
      </c>
      <c r="E78" t="str">
        <f t="shared" si="10"/>
        <v>Waren-/Leistungserlöse</v>
      </c>
      <c r="F78" s="117">
        <f t="shared" si="11"/>
        <v>230.4</v>
      </c>
      <c r="G78" t="str">
        <f t="shared" si="12"/>
        <v>20%</v>
      </c>
      <c r="I78" s="53">
        <v>2023</v>
      </c>
      <c r="J78" s="53">
        <v>77</v>
      </c>
      <c r="K78" s="71" t="s">
        <v>708</v>
      </c>
      <c r="L78" t="s">
        <v>709</v>
      </c>
      <c r="M78">
        <v>12023004</v>
      </c>
      <c r="N78" s="1">
        <v>45040</v>
      </c>
      <c r="O78" t="s">
        <v>1388</v>
      </c>
      <c r="Q78" s="76"/>
      <c r="R78" t="b">
        <v>0</v>
      </c>
      <c r="S78" s="48">
        <v>192</v>
      </c>
      <c r="T78" s="72">
        <v>1</v>
      </c>
      <c r="U78">
        <v>20</v>
      </c>
      <c r="V78" s="31">
        <v>38.4</v>
      </c>
      <c r="W78" s="31">
        <v>38.4</v>
      </c>
      <c r="X78" s="33">
        <v>192</v>
      </c>
      <c r="Y78" s="29">
        <v>230.4</v>
      </c>
      <c r="Z78" s="29">
        <v>230.4</v>
      </c>
      <c r="AA78" s="35">
        <v>45092</v>
      </c>
      <c r="AB78" s="27"/>
      <c r="AC78" s="27"/>
      <c r="AD78" s="58">
        <v>192</v>
      </c>
      <c r="AE78" s="31">
        <v>0</v>
      </c>
      <c r="AF78" t="b">
        <v>0</v>
      </c>
      <c r="AG78" s="78">
        <v>192</v>
      </c>
    </row>
    <row r="79" spans="1:33" x14ac:dyDescent="0.25">
      <c r="A79" t="str">
        <f t="shared" si="7"/>
        <v>2023-78</v>
      </c>
      <c r="B79" s="1">
        <f t="shared" si="8"/>
        <v>45048</v>
      </c>
      <c r="C79" t="str">
        <f t="shared" si="9"/>
        <v>/car2go Österreich GmbH, Hintere Zollamtstraße 9, 1030 Wien</v>
      </c>
      <c r="D79" t="str">
        <f t="shared" si="10"/>
        <v>Ausgaben</v>
      </c>
      <c r="E79" t="str">
        <f t="shared" si="10"/>
        <v>Reise- und Fahrtspesen inkl. Kilometergeld und Diäten</v>
      </c>
      <c r="F79" s="117">
        <f t="shared" si="11"/>
        <v>35.543999999999997</v>
      </c>
      <c r="G79" t="str">
        <f t="shared" si="12"/>
        <v>20%</v>
      </c>
      <c r="I79" s="53">
        <v>2023</v>
      </c>
      <c r="J79" s="53">
        <v>78</v>
      </c>
      <c r="K79" s="71" t="s">
        <v>105</v>
      </c>
      <c r="L79" t="s">
        <v>689</v>
      </c>
      <c r="M79" s="131"/>
      <c r="N79" s="1">
        <v>45048</v>
      </c>
      <c r="O79" t="s">
        <v>974</v>
      </c>
      <c r="Q79" s="76"/>
      <c r="R79" t="b">
        <v>0</v>
      </c>
      <c r="S79" s="48">
        <v>29.62</v>
      </c>
      <c r="T79" s="72">
        <v>1</v>
      </c>
      <c r="U79">
        <v>20</v>
      </c>
      <c r="V79" s="31">
        <v>5.9239999999999995</v>
      </c>
      <c r="W79" s="31">
        <v>5.9239999999999995</v>
      </c>
      <c r="X79" s="33">
        <v>29.62</v>
      </c>
      <c r="Y79" s="29">
        <v>35.543999999999997</v>
      </c>
      <c r="Z79" s="29">
        <v>35.543999999999997</v>
      </c>
      <c r="AA79" s="35">
        <v>45122</v>
      </c>
      <c r="AB79" s="27"/>
      <c r="AC79" s="27"/>
      <c r="AD79" s="58">
        <v>29.62</v>
      </c>
      <c r="AE79" s="31">
        <v>0</v>
      </c>
      <c r="AF79" t="b">
        <v>0</v>
      </c>
      <c r="AG79" s="78">
        <v>-29.62</v>
      </c>
    </row>
    <row r="80" spans="1:33" x14ac:dyDescent="0.25">
      <c r="A80" t="str">
        <f t="shared" si="7"/>
        <v>2023-79</v>
      </c>
      <c r="B80" s="1">
        <f t="shared" si="8"/>
        <v>45048</v>
      </c>
      <c r="C80" t="str">
        <f t="shared" si="9"/>
        <v>/Bontus Immobilienverwaltung GmbH, 1010 Wien, Franz Josefs Kai 65</v>
      </c>
      <c r="D80" t="str">
        <f t="shared" si="10"/>
        <v>Ausgaben</v>
      </c>
      <c r="E80" t="str">
        <f t="shared" si="10"/>
        <v>Miet- und Pachtaufwand, Leasing</v>
      </c>
      <c r="F80" s="117">
        <f t="shared" si="11"/>
        <v>629.72000000000014</v>
      </c>
      <c r="G80" t="str">
        <f t="shared" si="12"/>
        <v>20%</v>
      </c>
      <c r="I80" s="53">
        <v>2023</v>
      </c>
      <c r="J80" s="53">
        <v>79</v>
      </c>
      <c r="K80" s="71" t="s">
        <v>105</v>
      </c>
      <c r="L80" t="s">
        <v>691</v>
      </c>
      <c r="M80" s="9"/>
      <c r="N80" s="1">
        <v>45048</v>
      </c>
      <c r="O80" t="s">
        <v>1113</v>
      </c>
      <c r="Q80" s="76"/>
      <c r="R80" t="b">
        <v>0</v>
      </c>
      <c r="S80" s="109">
        <v>524.76666666666677</v>
      </c>
      <c r="T80" s="72">
        <v>1</v>
      </c>
      <c r="U80">
        <v>20</v>
      </c>
      <c r="V80" s="31">
        <v>104.95333333333336</v>
      </c>
      <c r="W80" s="31">
        <v>104.95333333333336</v>
      </c>
      <c r="X80" s="33">
        <v>524.76666666666677</v>
      </c>
      <c r="Y80" s="29">
        <v>629.72000000000014</v>
      </c>
      <c r="Z80" s="29">
        <v>629.72000000000014</v>
      </c>
      <c r="AA80" s="35">
        <v>45122</v>
      </c>
      <c r="AB80" s="27"/>
      <c r="AC80" s="27"/>
      <c r="AD80" s="58">
        <v>524.76666666666677</v>
      </c>
      <c r="AE80" s="31">
        <v>0</v>
      </c>
      <c r="AF80" t="b">
        <v>0</v>
      </c>
      <c r="AG80" s="78">
        <v>-524.76666666666677</v>
      </c>
    </row>
    <row r="81" spans="1:33" x14ac:dyDescent="0.25">
      <c r="A81" t="str">
        <f t="shared" si="7"/>
        <v>2023-80</v>
      </c>
      <c r="B81" s="1">
        <f t="shared" si="8"/>
        <v>45048</v>
      </c>
      <c r="C81" t="str">
        <f t="shared" si="9"/>
        <v>/Amazon EU S. à r.l., 38 avenue John F. Kennedy, L-1855 Luxembourg: HJEU: DVI-HDMI, Logitech Maus</v>
      </c>
      <c r="D81" t="str">
        <f t="shared" si="10"/>
        <v>Ausgaben</v>
      </c>
      <c r="E81" t="str">
        <f t="shared" si="10"/>
        <v>Büromaterial</v>
      </c>
      <c r="F81" s="117">
        <f t="shared" si="11"/>
        <v>20.16</v>
      </c>
      <c r="G81" t="str">
        <f t="shared" si="12"/>
        <v>20%</v>
      </c>
      <c r="I81" s="53">
        <v>2023</v>
      </c>
      <c r="J81" s="53">
        <v>80</v>
      </c>
      <c r="K81" s="71" t="s">
        <v>105</v>
      </c>
      <c r="L81" t="s">
        <v>339</v>
      </c>
      <c r="M81" s="9"/>
      <c r="N81" s="1">
        <v>45048</v>
      </c>
      <c r="O81" t="s">
        <v>981</v>
      </c>
      <c r="Q81" s="76"/>
      <c r="R81" t="b">
        <v>0</v>
      </c>
      <c r="S81" s="109">
        <v>16.8</v>
      </c>
      <c r="T81" s="72">
        <v>1</v>
      </c>
      <c r="U81">
        <v>20</v>
      </c>
      <c r="V81" s="31">
        <v>3.36</v>
      </c>
      <c r="W81" s="31">
        <v>3.36</v>
      </c>
      <c r="X81" s="33">
        <v>16.8</v>
      </c>
      <c r="Y81" s="29">
        <v>20.16</v>
      </c>
      <c r="Z81" s="29">
        <v>20.16</v>
      </c>
      <c r="AA81" s="35">
        <v>45122</v>
      </c>
      <c r="AB81" s="27"/>
      <c r="AC81" s="27"/>
      <c r="AD81" s="58">
        <v>16.8</v>
      </c>
      <c r="AE81" s="31">
        <v>0</v>
      </c>
      <c r="AF81" t="b">
        <v>0</v>
      </c>
      <c r="AG81" s="78">
        <v>-16.8</v>
      </c>
    </row>
    <row r="82" spans="1:33" x14ac:dyDescent="0.25">
      <c r="A82" t="str">
        <f t="shared" si="7"/>
        <v>2023-81</v>
      </c>
      <c r="B82" s="1">
        <f t="shared" si="8"/>
        <v>45049</v>
      </c>
      <c r="C82" t="str">
        <f t="shared" si="9"/>
        <v>/Google Ireland Ltd, Gordon House, Barrow Street, Dublin 4, Ireland; VAT number: IE 6388047V</v>
      </c>
      <c r="D82" t="str">
        <f t="shared" si="10"/>
        <v>Ausgaben</v>
      </c>
      <c r="E82" t="str">
        <f t="shared" si="10"/>
        <v>sonstige Betriebsausgaben</v>
      </c>
      <c r="F82" s="117">
        <f t="shared" si="11"/>
        <v>9.43</v>
      </c>
      <c r="G82" t="str">
        <f t="shared" si="12"/>
        <v>0%</v>
      </c>
      <c r="I82" s="53">
        <v>2023</v>
      </c>
      <c r="J82" s="53">
        <v>81</v>
      </c>
      <c r="K82" s="71" t="s">
        <v>105</v>
      </c>
      <c r="L82" t="s">
        <v>705</v>
      </c>
      <c r="N82" s="1">
        <v>45049</v>
      </c>
      <c r="O82" t="s">
        <v>1404</v>
      </c>
      <c r="Q82" s="76"/>
      <c r="R82" t="b">
        <v>0</v>
      </c>
      <c r="S82" s="109">
        <v>9.43</v>
      </c>
      <c r="T82" s="72">
        <v>1</v>
      </c>
      <c r="U82">
        <v>0</v>
      </c>
      <c r="V82" s="31">
        <v>0</v>
      </c>
      <c r="W82" s="31">
        <v>0</v>
      </c>
      <c r="X82" s="33">
        <v>9.43</v>
      </c>
      <c r="Y82" s="29">
        <v>9.43</v>
      </c>
      <c r="Z82" s="29">
        <v>9.43</v>
      </c>
      <c r="AA82" s="35">
        <v>45122</v>
      </c>
      <c r="AB82" s="27"/>
      <c r="AC82" s="27">
        <v>20</v>
      </c>
      <c r="AD82" s="58">
        <v>9.43</v>
      </c>
      <c r="AE82" s="31">
        <v>1.8860000000000001</v>
      </c>
      <c r="AF82" t="b">
        <v>0</v>
      </c>
      <c r="AG82" s="78">
        <v>-9.43</v>
      </c>
    </row>
    <row r="83" spans="1:33" x14ac:dyDescent="0.25">
      <c r="A83" t="str">
        <f t="shared" si="7"/>
        <v>2023-82</v>
      </c>
      <c r="B83" s="1">
        <f t="shared" si="8"/>
        <v>45050</v>
      </c>
      <c r="C83" t="str">
        <f t="shared" si="9"/>
        <v>/go green energy GmbH &amp; Co KG</v>
      </c>
      <c r="D83" t="str">
        <f t="shared" si="10"/>
        <v>Ausgaben</v>
      </c>
      <c r="E83" t="str">
        <f t="shared" si="10"/>
        <v>sonstige Betriebsausgaben</v>
      </c>
      <c r="F83" s="117">
        <f t="shared" si="11"/>
        <v>6</v>
      </c>
      <c r="G83" t="str">
        <f t="shared" si="12"/>
        <v>20%</v>
      </c>
      <c r="I83" s="53">
        <v>2023</v>
      </c>
      <c r="J83" s="53">
        <v>82</v>
      </c>
      <c r="K83" s="71" t="s">
        <v>105</v>
      </c>
      <c r="L83" t="s">
        <v>705</v>
      </c>
      <c r="N83" s="1">
        <v>45050</v>
      </c>
      <c r="O83" t="s">
        <v>1670</v>
      </c>
      <c r="Q83" s="76"/>
      <c r="R83" t="b">
        <v>0</v>
      </c>
      <c r="S83" s="48">
        <v>5</v>
      </c>
      <c r="T83" s="72">
        <v>1</v>
      </c>
      <c r="U83">
        <v>20</v>
      </c>
      <c r="V83" s="31">
        <v>1</v>
      </c>
      <c r="W83" s="31">
        <v>1</v>
      </c>
      <c r="X83" s="33">
        <v>5</v>
      </c>
      <c r="Y83" s="29">
        <v>6</v>
      </c>
      <c r="Z83" s="29">
        <v>6</v>
      </c>
      <c r="AA83" s="35">
        <v>45122</v>
      </c>
      <c r="AB83" s="27"/>
      <c r="AC83" s="27"/>
      <c r="AD83" s="58">
        <v>5</v>
      </c>
      <c r="AE83" s="31">
        <v>0</v>
      </c>
      <c r="AF83" t="b">
        <v>0</v>
      </c>
      <c r="AG83" s="78">
        <v>-5</v>
      </c>
    </row>
    <row r="84" spans="1:33" x14ac:dyDescent="0.25">
      <c r="A84" t="str">
        <f t="shared" si="7"/>
        <v>2023-83</v>
      </c>
      <c r="B84" s="1">
        <f t="shared" si="8"/>
        <v>45050</v>
      </c>
      <c r="C84" t="str">
        <f t="shared" si="9"/>
        <v>/Hutchison Drei Austria GmbH, Brünner Straße 52, 1210 Wien, Österreich</v>
      </c>
      <c r="D84" t="str">
        <f t="shared" si="10"/>
        <v>Ausgaben</v>
      </c>
      <c r="E84" t="str">
        <f t="shared" si="10"/>
        <v>Telefon/Internet</v>
      </c>
      <c r="F84" s="117">
        <f t="shared" si="11"/>
        <v>18</v>
      </c>
      <c r="G84" t="str">
        <f t="shared" si="12"/>
        <v>20%</v>
      </c>
      <c r="I84" s="53">
        <v>2023</v>
      </c>
      <c r="J84" s="53">
        <v>83</v>
      </c>
      <c r="K84" s="71" t="s">
        <v>105</v>
      </c>
      <c r="L84" t="s">
        <v>703</v>
      </c>
      <c r="M84" s="9"/>
      <c r="N84" s="1">
        <v>45050</v>
      </c>
      <c r="O84" t="s">
        <v>34</v>
      </c>
      <c r="Q84" s="76"/>
      <c r="R84" t="b">
        <v>0</v>
      </c>
      <c r="S84" s="48">
        <v>15</v>
      </c>
      <c r="T84" s="72">
        <v>1</v>
      </c>
      <c r="U84">
        <v>20</v>
      </c>
      <c r="V84" s="31">
        <v>3</v>
      </c>
      <c r="W84" s="31">
        <v>3</v>
      </c>
      <c r="X84" s="33">
        <v>15</v>
      </c>
      <c r="Y84" s="29">
        <v>18</v>
      </c>
      <c r="Z84" s="29">
        <v>18</v>
      </c>
      <c r="AA84" s="35">
        <v>45122</v>
      </c>
      <c r="AB84" s="27"/>
      <c r="AC84" s="27"/>
      <c r="AD84" s="58">
        <v>15</v>
      </c>
      <c r="AE84" s="31">
        <v>0</v>
      </c>
      <c r="AF84" t="b">
        <v>0</v>
      </c>
      <c r="AG84" s="78">
        <v>-15</v>
      </c>
    </row>
    <row r="85" spans="1:33" x14ac:dyDescent="0.25">
      <c r="A85" t="str">
        <f t="shared" si="7"/>
        <v>2023-84</v>
      </c>
      <c r="B85" s="1">
        <f t="shared" si="8"/>
        <v>45054</v>
      </c>
      <c r="C85" t="str">
        <f t="shared" si="9"/>
        <v>/Confiserie Altmann &amp; Kühne, Graben 30, 1010 Wien</v>
      </c>
      <c r="D85" t="str">
        <f t="shared" si="10"/>
        <v>Ausgaben</v>
      </c>
      <c r="E85" t="str">
        <f t="shared" si="10"/>
        <v>sonstige Betriebsausgaben</v>
      </c>
      <c r="F85" s="117">
        <f t="shared" si="11"/>
        <v>130.03199999999998</v>
      </c>
      <c r="G85" t="str">
        <f t="shared" si="12"/>
        <v>20%</v>
      </c>
      <c r="I85" s="53">
        <v>2023</v>
      </c>
      <c r="J85" s="53">
        <v>84</v>
      </c>
      <c r="K85" s="71" t="s">
        <v>105</v>
      </c>
      <c r="L85" t="s">
        <v>705</v>
      </c>
      <c r="M85" s="9"/>
      <c r="N85" s="1">
        <v>45054</v>
      </c>
      <c r="O85" t="s">
        <v>1743</v>
      </c>
      <c r="Q85" s="76"/>
      <c r="R85" t="b">
        <v>0</v>
      </c>
      <c r="S85" s="48">
        <v>108.36</v>
      </c>
      <c r="T85" s="72">
        <v>1</v>
      </c>
      <c r="U85">
        <v>20</v>
      </c>
      <c r="V85" s="31">
        <v>21.671999999999997</v>
      </c>
      <c r="W85" s="31">
        <v>21.671999999999997</v>
      </c>
      <c r="X85" s="33">
        <v>108.36</v>
      </c>
      <c r="Y85" s="29">
        <v>130.03199999999998</v>
      </c>
      <c r="Z85" s="29">
        <v>130.03199999999998</v>
      </c>
      <c r="AA85" s="35">
        <v>45122</v>
      </c>
      <c r="AB85" s="27"/>
      <c r="AC85" s="27"/>
      <c r="AD85" s="58">
        <v>108.36</v>
      </c>
      <c r="AE85" s="31">
        <v>0</v>
      </c>
      <c r="AF85" t="b">
        <v>0</v>
      </c>
      <c r="AG85" s="78">
        <v>-108.36</v>
      </c>
    </row>
    <row r="86" spans="1:33" x14ac:dyDescent="0.25">
      <c r="A86" t="str">
        <f t="shared" si="7"/>
        <v>2023-85</v>
      </c>
      <c r="B86" s="1">
        <f t="shared" si="8"/>
        <v>45056</v>
      </c>
      <c r="C86" t="str">
        <f t="shared" si="9"/>
        <v>BELEG FEHLT/Wiener Netze GmbH, Erdbergstraße 236, 1110 Wien, Postfach 422; Jahresabrechnung vom 17.12.20: GUTSCHRIFT</v>
      </c>
      <c r="D86" t="str">
        <f t="shared" si="10"/>
        <v>Ausgaben</v>
      </c>
      <c r="E86" t="str">
        <f t="shared" si="10"/>
        <v>sonstige Betriebsausgaben</v>
      </c>
      <c r="F86" s="117">
        <f t="shared" si="11"/>
        <v>14.4</v>
      </c>
      <c r="G86" t="str">
        <f t="shared" si="12"/>
        <v>20%</v>
      </c>
      <c r="I86" s="53">
        <v>2023</v>
      </c>
      <c r="J86" s="53">
        <v>85</v>
      </c>
      <c r="K86" s="71" t="s">
        <v>105</v>
      </c>
      <c r="L86" t="s">
        <v>705</v>
      </c>
      <c r="M86" s="61" t="s">
        <v>1064</v>
      </c>
      <c r="N86" s="1">
        <v>45056</v>
      </c>
      <c r="O86" t="s">
        <v>1466</v>
      </c>
      <c r="Q86" s="76"/>
      <c r="R86" t="b">
        <v>0</v>
      </c>
      <c r="S86" s="48">
        <v>12</v>
      </c>
      <c r="T86" s="72">
        <v>1</v>
      </c>
      <c r="U86">
        <v>20</v>
      </c>
      <c r="V86" s="31">
        <v>2.4</v>
      </c>
      <c r="W86" s="31">
        <v>2.4</v>
      </c>
      <c r="X86" s="33">
        <v>12</v>
      </c>
      <c r="Y86" s="29">
        <v>14.4</v>
      </c>
      <c r="Z86" s="29">
        <v>14.4</v>
      </c>
      <c r="AA86" s="35">
        <v>45122</v>
      </c>
      <c r="AB86" s="27"/>
      <c r="AC86" s="27"/>
      <c r="AD86" s="58">
        <v>12</v>
      </c>
      <c r="AE86" s="31">
        <v>0</v>
      </c>
      <c r="AF86" t="b">
        <v>0</v>
      </c>
      <c r="AG86" s="78">
        <v>-12</v>
      </c>
    </row>
    <row r="87" spans="1:33" x14ac:dyDescent="0.25">
      <c r="A87" t="str">
        <f t="shared" si="7"/>
        <v>2023-86</v>
      </c>
      <c r="B87" s="1">
        <f t="shared" si="8"/>
        <v>45057</v>
      </c>
      <c r="C87" t="str">
        <f t="shared" si="9"/>
        <v>/Hetzner Online GmbH</v>
      </c>
      <c r="D87" t="str">
        <f t="shared" si="10"/>
        <v>Ausgaben</v>
      </c>
      <c r="E87" t="str">
        <f t="shared" si="10"/>
        <v>sonstige Betriebsausgaben</v>
      </c>
      <c r="F87" s="117">
        <f t="shared" si="11"/>
        <v>52.214100000000002</v>
      </c>
      <c r="G87" t="str">
        <f t="shared" si="12"/>
        <v>0%</v>
      </c>
      <c r="I87" s="53">
        <v>2023</v>
      </c>
      <c r="J87" s="53">
        <v>86</v>
      </c>
      <c r="K87" s="71" t="s">
        <v>105</v>
      </c>
      <c r="L87" t="s">
        <v>705</v>
      </c>
      <c r="M87" s="9"/>
      <c r="N87" s="1">
        <v>45057</v>
      </c>
      <c r="O87" t="s">
        <v>927</v>
      </c>
      <c r="Q87" s="76"/>
      <c r="R87" t="b">
        <v>0</v>
      </c>
      <c r="S87" s="48">
        <v>52.214100000000002</v>
      </c>
      <c r="T87" s="72">
        <v>1</v>
      </c>
      <c r="U87">
        <v>0</v>
      </c>
      <c r="V87" s="31">
        <v>0</v>
      </c>
      <c r="W87" s="31">
        <v>0</v>
      </c>
      <c r="X87" s="33">
        <v>52.214100000000002</v>
      </c>
      <c r="Y87" s="29">
        <v>52.214100000000002</v>
      </c>
      <c r="Z87" s="29">
        <v>52.214100000000002</v>
      </c>
      <c r="AA87" s="35">
        <v>45122</v>
      </c>
      <c r="AB87" s="27"/>
      <c r="AC87" s="27">
        <v>20</v>
      </c>
      <c r="AD87" s="58">
        <v>52.214100000000002</v>
      </c>
      <c r="AE87" s="31">
        <v>10.442820000000001</v>
      </c>
      <c r="AF87" t="b">
        <v>0</v>
      </c>
      <c r="AG87" s="78">
        <v>-52.214100000000002</v>
      </c>
    </row>
    <row r="88" spans="1:33" x14ac:dyDescent="0.25">
      <c r="A88" t="str">
        <f t="shared" si="7"/>
        <v>2023-87</v>
      </c>
      <c r="B88" s="1">
        <f t="shared" si="8"/>
        <v>45061</v>
      </c>
      <c r="C88" t="str">
        <f t="shared" si="9"/>
        <v>siehe 2022-140/Honorar Eva Jaros-Kolbitsch</v>
      </c>
      <c r="D88" t="str">
        <f t="shared" si="10"/>
        <v>Ausgaben</v>
      </c>
      <c r="E88" t="str">
        <f t="shared" si="10"/>
        <v>Personalaufwand</v>
      </c>
      <c r="F88" s="117">
        <f t="shared" si="11"/>
        <v>365</v>
      </c>
      <c r="G88" t="str">
        <f t="shared" si="12"/>
        <v>0%</v>
      </c>
      <c r="I88" s="53">
        <v>2023</v>
      </c>
      <c r="J88" s="53">
        <v>87</v>
      </c>
      <c r="K88" s="71" t="s">
        <v>105</v>
      </c>
      <c r="L88" t="s">
        <v>685</v>
      </c>
      <c r="M88" s="9" t="s">
        <v>1699</v>
      </c>
      <c r="N88" s="1">
        <v>45061</v>
      </c>
      <c r="O88" t="s">
        <v>1689</v>
      </c>
      <c r="Q88" s="76"/>
      <c r="R88" t="b">
        <v>0</v>
      </c>
      <c r="S88" s="48">
        <v>365</v>
      </c>
      <c r="T88" s="72">
        <v>1</v>
      </c>
      <c r="U88">
        <v>0</v>
      </c>
      <c r="V88" s="31">
        <v>0</v>
      </c>
      <c r="W88" s="31">
        <v>0</v>
      </c>
      <c r="X88" s="33">
        <v>365</v>
      </c>
      <c r="Y88" s="29">
        <v>365</v>
      </c>
      <c r="Z88" s="29">
        <v>365</v>
      </c>
      <c r="AA88" s="35">
        <v>45122</v>
      </c>
      <c r="AB88" s="27"/>
      <c r="AC88" s="27"/>
      <c r="AD88" s="58">
        <v>365</v>
      </c>
      <c r="AE88" s="31">
        <v>0</v>
      </c>
      <c r="AF88" t="b">
        <v>0</v>
      </c>
      <c r="AG88" s="78">
        <v>-365</v>
      </c>
    </row>
    <row r="89" spans="1:33" x14ac:dyDescent="0.25">
      <c r="A89" t="str">
        <f t="shared" si="7"/>
        <v>2023-88</v>
      </c>
      <c r="B89" s="1">
        <f t="shared" si="8"/>
        <v>45062</v>
      </c>
      <c r="C89" t="str">
        <f t="shared" si="9"/>
        <v>BELEG FEHLT/Techem Messtechnik GmbH; Abnehmernummer 501686-0003-11-</v>
      </c>
      <c r="D89" t="str">
        <f t="shared" si="10"/>
        <v>Ausgaben</v>
      </c>
      <c r="E89" t="str">
        <f t="shared" si="10"/>
        <v>Miet- und Pachtaufwand, Leasing</v>
      </c>
      <c r="F89" s="117">
        <f t="shared" si="11"/>
        <v>147.12</v>
      </c>
      <c r="G89" t="str">
        <f t="shared" si="12"/>
        <v>20%</v>
      </c>
      <c r="I89" s="53">
        <v>2023</v>
      </c>
      <c r="J89" s="53">
        <v>88</v>
      </c>
      <c r="K89" s="71" t="s">
        <v>105</v>
      </c>
      <c r="L89" t="s">
        <v>691</v>
      </c>
      <c r="M89" s="61" t="s">
        <v>1064</v>
      </c>
      <c r="N89" s="1">
        <v>45062</v>
      </c>
      <c r="O89" t="s">
        <v>1558</v>
      </c>
      <c r="Q89" s="76"/>
      <c r="R89" t="b">
        <v>0</v>
      </c>
      <c r="S89" s="109">
        <v>122.6</v>
      </c>
      <c r="T89" s="72">
        <v>1</v>
      </c>
      <c r="U89">
        <v>20</v>
      </c>
      <c r="V89" s="31">
        <v>24.52</v>
      </c>
      <c r="W89" s="31">
        <v>24.52</v>
      </c>
      <c r="X89" s="33">
        <v>122.6</v>
      </c>
      <c r="Y89" s="29">
        <v>147.12</v>
      </c>
      <c r="Z89" s="29">
        <v>147.12</v>
      </c>
      <c r="AA89" s="35">
        <v>45122</v>
      </c>
      <c r="AB89" s="27"/>
      <c r="AC89" s="27"/>
      <c r="AD89" s="58">
        <v>122.6</v>
      </c>
      <c r="AE89" s="31">
        <v>0</v>
      </c>
      <c r="AF89" t="b">
        <v>0</v>
      </c>
      <c r="AG89" s="78">
        <v>-122.6</v>
      </c>
    </row>
    <row r="90" spans="1:33" x14ac:dyDescent="0.25">
      <c r="A90" t="str">
        <f t="shared" si="7"/>
        <v>2023-89</v>
      </c>
      <c r="B90" s="1">
        <f t="shared" si="8"/>
        <v>45062</v>
      </c>
      <c r="C90" t="str">
        <f t="shared" si="9"/>
        <v>12023009/Hays Österreich GmbH, Bahnhof City Wien West , Europaplatz 3/5, 1150 Wien</v>
      </c>
      <c r="D90" t="str">
        <f t="shared" si="10"/>
        <v>Einnahmen</v>
      </c>
      <c r="E90" t="str">
        <f t="shared" si="10"/>
        <v>Waren-/Leistungserlöse</v>
      </c>
      <c r="F90" s="117">
        <f t="shared" si="11"/>
        <v>21027.599999999999</v>
      </c>
      <c r="G90" t="str">
        <f t="shared" si="12"/>
        <v>20%</v>
      </c>
      <c r="I90" s="53">
        <v>2023</v>
      </c>
      <c r="J90" s="53">
        <v>89</v>
      </c>
      <c r="K90" s="71" t="s">
        <v>708</v>
      </c>
      <c r="L90" t="s">
        <v>709</v>
      </c>
      <c r="M90">
        <v>12023009</v>
      </c>
      <c r="N90" s="1">
        <v>45062</v>
      </c>
      <c r="O90" t="s">
        <v>1652</v>
      </c>
      <c r="Q90" s="76"/>
      <c r="R90" t="b">
        <v>0</v>
      </c>
      <c r="S90" s="48">
        <v>17523</v>
      </c>
      <c r="T90" s="72">
        <v>1</v>
      </c>
      <c r="U90">
        <v>20</v>
      </c>
      <c r="V90" s="31">
        <v>3504.6</v>
      </c>
      <c r="W90" s="31">
        <v>3504.6</v>
      </c>
      <c r="X90" s="33">
        <v>17523</v>
      </c>
      <c r="Y90" s="29">
        <v>21027.599999999999</v>
      </c>
      <c r="Z90" s="29">
        <v>21027.599999999999</v>
      </c>
      <c r="AA90" s="35">
        <v>45122</v>
      </c>
      <c r="AB90" s="27"/>
      <c r="AC90" s="27"/>
      <c r="AD90" s="58">
        <v>17523</v>
      </c>
      <c r="AE90" s="31">
        <v>0</v>
      </c>
      <c r="AF90" t="b">
        <v>0</v>
      </c>
      <c r="AG90" s="78">
        <v>17523</v>
      </c>
    </row>
    <row r="91" spans="1:33" x14ac:dyDescent="0.25">
      <c r="A91" t="str">
        <f t="shared" si="7"/>
        <v>2023-90</v>
      </c>
      <c r="B91" s="1">
        <f t="shared" si="8"/>
        <v>45065</v>
      </c>
      <c r="C91" t="str">
        <f t="shared" si="9"/>
        <v>/Magenta: T-Mobile Austria GmbH, A-1120 Wien, PF 47</v>
      </c>
      <c r="D91" t="str">
        <f t="shared" si="10"/>
        <v>Ausgaben</v>
      </c>
      <c r="E91" t="str">
        <f t="shared" si="10"/>
        <v>Telefon/Internet</v>
      </c>
      <c r="F91" s="117">
        <f t="shared" si="11"/>
        <v>38.304000000000002</v>
      </c>
      <c r="G91" t="str">
        <f t="shared" si="12"/>
        <v>20%</v>
      </c>
      <c r="I91" s="53">
        <v>2023</v>
      </c>
      <c r="J91" s="53">
        <v>90</v>
      </c>
      <c r="K91" s="71" t="s">
        <v>105</v>
      </c>
      <c r="L91" t="s">
        <v>703</v>
      </c>
      <c r="M91" s="131"/>
      <c r="N91" s="1">
        <v>45065</v>
      </c>
      <c r="O91" t="s">
        <v>1148</v>
      </c>
      <c r="Q91" s="76"/>
      <c r="R91" t="b">
        <v>0</v>
      </c>
      <c r="S91" s="48">
        <v>31.92</v>
      </c>
      <c r="T91" s="72">
        <v>1</v>
      </c>
      <c r="U91">
        <v>20</v>
      </c>
      <c r="V91" s="31">
        <v>6.3840000000000012</v>
      </c>
      <c r="W91" s="31">
        <v>6.3840000000000012</v>
      </c>
      <c r="X91" s="33">
        <v>31.92</v>
      </c>
      <c r="Y91" s="29">
        <v>38.304000000000002</v>
      </c>
      <c r="Z91" s="29">
        <v>38.304000000000002</v>
      </c>
      <c r="AA91" s="35">
        <v>45122</v>
      </c>
      <c r="AB91" s="27"/>
      <c r="AC91" s="27"/>
      <c r="AD91" s="58">
        <v>31.92</v>
      </c>
      <c r="AE91" s="31">
        <v>0</v>
      </c>
      <c r="AF91" t="b">
        <v>0</v>
      </c>
      <c r="AG91" s="78">
        <v>-31.92</v>
      </c>
    </row>
    <row r="92" spans="1:33" x14ac:dyDescent="0.25">
      <c r="A92" t="str">
        <f t="shared" si="7"/>
        <v>2023-91</v>
      </c>
      <c r="B92" s="1">
        <f t="shared" si="8"/>
        <v>45068</v>
      </c>
      <c r="C92" t="str">
        <f t="shared" si="9"/>
        <v>/Microsoft Ireland Operations Ltd. One Microsoft Place, South County, Business Park, Leopardstown, Dublin 18, D18 P521, Ireland</v>
      </c>
      <c r="D92" t="str">
        <f t="shared" si="10"/>
        <v>Ausgaben</v>
      </c>
      <c r="E92" t="str">
        <f t="shared" si="10"/>
        <v>sonstige Betriebsausgaben</v>
      </c>
      <c r="F92" s="117">
        <f t="shared" si="11"/>
        <v>10.5</v>
      </c>
      <c r="G92" t="str">
        <f t="shared" si="12"/>
        <v>0%</v>
      </c>
      <c r="I92" s="53">
        <v>2023</v>
      </c>
      <c r="J92" s="53">
        <v>91</v>
      </c>
      <c r="K92" s="71" t="s">
        <v>105</v>
      </c>
      <c r="L92" t="s">
        <v>705</v>
      </c>
      <c r="M92" s="1"/>
      <c r="N92" s="1">
        <v>45068</v>
      </c>
      <c r="O92" t="s">
        <v>1032</v>
      </c>
      <c r="Q92" s="76"/>
      <c r="R92" t="b">
        <v>0</v>
      </c>
      <c r="S92" s="109">
        <v>10.5</v>
      </c>
      <c r="T92" s="72">
        <v>1</v>
      </c>
      <c r="U92">
        <v>0</v>
      </c>
      <c r="V92" s="31">
        <v>0</v>
      </c>
      <c r="W92" s="31">
        <v>0</v>
      </c>
      <c r="X92" s="33">
        <v>10.5</v>
      </c>
      <c r="Y92" s="29">
        <v>10.5</v>
      </c>
      <c r="Z92" s="29">
        <v>10.5</v>
      </c>
      <c r="AA92" s="35">
        <v>45122</v>
      </c>
      <c r="AB92" s="27"/>
      <c r="AC92" s="27">
        <v>20</v>
      </c>
      <c r="AD92" s="58">
        <v>10.5</v>
      </c>
      <c r="AE92" s="31">
        <v>2.1</v>
      </c>
      <c r="AF92" t="b">
        <v>0</v>
      </c>
      <c r="AG92" s="78">
        <v>-10.5</v>
      </c>
    </row>
    <row r="93" spans="1:33" x14ac:dyDescent="0.25">
      <c r="A93" t="str">
        <f t="shared" si="7"/>
        <v>2023-92</v>
      </c>
      <c r="B93" s="1">
        <f t="shared" si="8"/>
        <v>45079</v>
      </c>
      <c r="C93" t="str">
        <f t="shared" si="9"/>
        <v>/car2go Österreich GmbH, Hintere Zollamtstraße 9, 1030 Wien</v>
      </c>
      <c r="D93" t="str">
        <f t="shared" si="10"/>
        <v>Ausgaben</v>
      </c>
      <c r="E93" t="str">
        <f t="shared" si="10"/>
        <v>Reise- und Fahrtspesen inkl. Kilometergeld und Diäten</v>
      </c>
      <c r="F93" s="117">
        <f t="shared" si="11"/>
        <v>14.496</v>
      </c>
      <c r="G93" t="str">
        <f t="shared" si="12"/>
        <v>20%</v>
      </c>
      <c r="I93" s="53">
        <v>2023</v>
      </c>
      <c r="J93" s="53">
        <v>92</v>
      </c>
      <c r="K93" s="71" t="s">
        <v>105</v>
      </c>
      <c r="L93" t="s">
        <v>689</v>
      </c>
      <c r="M93" s="131"/>
      <c r="N93" s="1">
        <v>45079</v>
      </c>
      <c r="O93" t="s">
        <v>974</v>
      </c>
      <c r="Q93" s="76"/>
      <c r="R93" t="b">
        <v>0</v>
      </c>
      <c r="S93" s="48">
        <v>12.08</v>
      </c>
      <c r="T93" s="72">
        <v>1</v>
      </c>
      <c r="U93">
        <v>20</v>
      </c>
      <c r="V93" s="31">
        <v>2.4159999999999999</v>
      </c>
      <c r="W93" s="31">
        <v>2.4159999999999999</v>
      </c>
      <c r="X93" s="33">
        <v>12.08</v>
      </c>
      <c r="Y93" s="29">
        <v>14.496</v>
      </c>
      <c r="Z93" s="29">
        <v>14.496</v>
      </c>
      <c r="AA93" s="35">
        <v>45153</v>
      </c>
      <c r="AB93" s="27"/>
      <c r="AC93" s="27"/>
      <c r="AD93" s="58">
        <v>12.08</v>
      </c>
      <c r="AE93" s="31">
        <v>0</v>
      </c>
      <c r="AF93" t="b">
        <v>0</v>
      </c>
      <c r="AG93" s="78">
        <v>-12.08</v>
      </c>
    </row>
    <row r="94" spans="1:33" x14ac:dyDescent="0.25">
      <c r="A94" t="str">
        <f t="shared" si="7"/>
        <v>2023-93</v>
      </c>
      <c r="B94" s="1">
        <f t="shared" si="8"/>
        <v>45078</v>
      </c>
      <c r="C94" t="str">
        <f t="shared" si="9"/>
        <v>/Bontus Immobilienverwaltung GmbH, 1010 Wien, Franz Josefs Kai 65</v>
      </c>
      <c r="D94" t="str">
        <f t="shared" si="10"/>
        <v>Ausgaben</v>
      </c>
      <c r="E94" t="str">
        <f t="shared" si="10"/>
        <v>Miet- und Pachtaufwand, Leasing</v>
      </c>
      <c r="F94" s="117">
        <f t="shared" si="11"/>
        <v>629.72000000000014</v>
      </c>
      <c r="G94" t="str">
        <f t="shared" si="12"/>
        <v>20%</v>
      </c>
      <c r="I94" s="53">
        <v>2023</v>
      </c>
      <c r="J94" s="53">
        <v>93</v>
      </c>
      <c r="K94" s="71" t="s">
        <v>105</v>
      </c>
      <c r="L94" t="s">
        <v>691</v>
      </c>
      <c r="M94" s="9"/>
      <c r="N94" s="1">
        <v>45078</v>
      </c>
      <c r="O94" t="s">
        <v>1113</v>
      </c>
      <c r="Q94" s="76"/>
      <c r="R94" t="b">
        <v>0</v>
      </c>
      <c r="S94" s="109">
        <v>524.76666666666677</v>
      </c>
      <c r="T94" s="72">
        <v>1</v>
      </c>
      <c r="U94">
        <v>20</v>
      </c>
      <c r="V94" s="31">
        <v>104.95333333333336</v>
      </c>
      <c r="W94" s="31">
        <v>104.95333333333336</v>
      </c>
      <c r="X94" s="33">
        <v>524.76666666666677</v>
      </c>
      <c r="Y94" s="29">
        <v>629.72000000000014</v>
      </c>
      <c r="Z94" s="29">
        <v>629.72000000000014</v>
      </c>
      <c r="AA94" s="35">
        <v>45153</v>
      </c>
      <c r="AB94" s="27"/>
      <c r="AC94" s="27"/>
      <c r="AD94" s="58">
        <v>524.76666666666677</v>
      </c>
      <c r="AE94" s="31">
        <v>0</v>
      </c>
      <c r="AF94" t="b">
        <v>0</v>
      </c>
      <c r="AG94" s="78">
        <v>-524.76666666666677</v>
      </c>
    </row>
    <row r="95" spans="1:33" x14ac:dyDescent="0.25">
      <c r="A95" t="str">
        <f t="shared" si="7"/>
        <v>2023-94</v>
      </c>
      <c r="B95" s="1">
        <f t="shared" si="8"/>
        <v>45082</v>
      </c>
      <c r="C95" t="str">
        <f t="shared" si="9"/>
        <v>/Google Ireland Ltd, Gordon House, Barrow Street, Dublin 4, Ireland; VAT number: IE 6388047V</v>
      </c>
      <c r="D95" t="str">
        <f t="shared" si="10"/>
        <v>Ausgaben</v>
      </c>
      <c r="E95" t="str">
        <f t="shared" si="10"/>
        <v>sonstige Betriebsausgaben</v>
      </c>
      <c r="F95" s="117">
        <f t="shared" si="11"/>
        <v>10.4</v>
      </c>
      <c r="G95" t="str">
        <f t="shared" si="12"/>
        <v>0%</v>
      </c>
      <c r="I95" s="53">
        <v>2023</v>
      </c>
      <c r="J95" s="53">
        <v>94</v>
      </c>
      <c r="K95" s="71" t="s">
        <v>105</v>
      </c>
      <c r="L95" t="s">
        <v>705</v>
      </c>
      <c r="N95" s="1">
        <v>45082</v>
      </c>
      <c r="O95" t="s">
        <v>1404</v>
      </c>
      <c r="Q95" s="76"/>
      <c r="R95" t="b">
        <v>0</v>
      </c>
      <c r="S95" s="109">
        <v>10.4</v>
      </c>
      <c r="T95" s="72">
        <v>1</v>
      </c>
      <c r="U95">
        <v>0</v>
      </c>
      <c r="V95" s="31">
        <v>0</v>
      </c>
      <c r="W95" s="31">
        <v>0</v>
      </c>
      <c r="X95" s="33">
        <v>10.4</v>
      </c>
      <c r="Y95" s="29">
        <v>10.4</v>
      </c>
      <c r="Z95" s="29">
        <v>10.4</v>
      </c>
      <c r="AA95" s="35">
        <v>45153</v>
      </c>
      <c r="AB95" s="27"/>
      <c r="AC95" s="27">
        <v>20</v>
      </c>
      <c r="AD95" s="58">
        <v>10.4</v>
      </c>
      <c r="AE95" s="31">
        <v>2.08</v>
      </c>
      <c r="AF95" t="b">
        <v>0</v>
      </c>
      <c r="AG95" s="78">
        <v>-10.4</v>
      </c>
    </row>
    <row r="96" spans="1:33" x14ac:dyDescent="0.25">
      <c r="A96" t="str">
        <f t="shared" si="7"/>
        <v>2023-95</v>
      </c>
      <c r="B96" s="1">
        <f t="shared" si="8"/>
        <v>45082</v>
      </c>
      <c r="C96" t="str">
        <f t="shared" si="9"/>
        <v>/Hutchison Drei Austria GmbH, Brünner Straße 52, 1210 Wien, Österreich</v>
      </c>
      <c r="D96" t="str">
        <f t="shared" si="10"/>
        <v>Ausgaben</v>
      </c>
      <c r="E96" t="str">
        <f t="shared" si="10"/>
        <v>Telefon/Internet</v>
      </c>
      <c r="F96" s="117">
        <f t="shared" si="11"/>
        <v>38.052</v>
      </c>
      <c r="G96" t="str">
        <f t="shared" si="12"/>
        <v>20%</v>
      </c>
      <c r="I96" s="53">
        <v>2023</v>
      </c>
      <c r="J96" s="53">
        <v>95</v>
      </c>
      <c r="K96" s="71" t="s">
        <v>105</v>
      </c>
      <c r="L96" t="s">
        <v>703</v>
      </c>
      <c r="M96" s="9"/>
      <c r="N96" s="1">
        <v>45082</v>
      </c>
      <c r="O96" t="s">
        <v>34</v>
      </c>
      <c r="Q96" s="76"/>
      <c r="R96" t="b">
        <v>0</v>
      </c>
      <c r="S96" s="48">
        <v>31.71</v>
      </c>
      <c r="T96" s="72">
        <v>1</v>
      </c>
      <c r="U96">
        <v>20</v>
      </c>
      <c r="V96" s="31">
        <v>6.3420000000000005</v>
      </c>
      <c r="W96" s="31">
        <v>6.3420000000000005</v>
      </c>
      <c r="X96" s="33">
        <v>31.71</v>
      </c>
      <c r="Y96" s="29">
        <v>38.052</v>
      </c>
      <c r="Z96" s="29">
        <v>38.052</v>
      </c>
      <c r="AA96" s="35">
        <v>45153</v>
      </c>
      <c r="AB96" s="27"/>
      <c r="AC96" s="27"/>
      <c r="AD96" s="58">
        <v>31.71</v>
      </c>
      <c r="AE96" s="31">
        <v>0</v>
      </c>
      <c r="AF96" t="b">
        <v>0</v>
      </c>
      <c r="AG96" s="78">
        <v>-31.71</v>
      </c>
    </row>
    <row r="97" spans="1:33" x14ac:dyDescent="0.25">
      <c r="A97" t="str">
        <f t="shared" si="7"/>
        <v>2023-96</v>
      </c>
      <c r="B97" s="1">
        <f t="shared" si="8"/>
        <v>45082</v>
      </c>
      <c r="C97" t="str">
        <f t="shared" si="9"/>
        <v>/go green energy GmbH &amp; Co KG</v>
      </c>
      <c r="D97" t="str">
        <f t="shared" si="10"/>
        <v>Ausgaben</v>
      </c>
      <c r="E97" t="str">
        <f t="shared" si="10"/>
        <v>sonstige Betriebsausgaben</v>
      </c>
      <c r="F97" s="117">
        <f t="shared" si="11"/>
        <v>6</v>
      </c>
      <c r="G97" t="str">
        <f t="shared" si="12"/>
        <v>20%</v>
      </c>
      <c r="I97" s="53">
        <v>2023</v>
      </c>
      <c r="J97" s="53">
        <v>96</v>
      </c>
      <c r="K97" s="71" t="s">
        <v>105</v>
      </c>
      <c r="L97" t="s">
        <v>705</v>
      </c>
      <c r="N97" s="1">
        <v>45082</v>
      </c>
      <c r="O97" t="s">
        <v>1670</v>
      </c>
      <c r="Q97" s="76"/>
      <c r="R97" t="b">
        <v>0</v>
      </c>
      <c r="S97" s="48">
        <v>5</v>
      </c>
      <c r="T97" s="72">
        <v>1</v>
      </c>
      <c r="U97">
        <v>20</v>
      </c>
      <c r="V97" s="31">
        <v>1</v>
      </c>
      <c r="W97" s="31">
        <v>1</v>
      </c>
      <c r="X97" s="33">
        <v>5</v>
      </c>
      <c r="Y97" s="29">
        <v>6</v>
      </c>
      <c r="Z97" s="29">
        <v>6</v>
      </c>
      <c r="AA97" s="35">
        <v>45153</v>
      </c>
      <c r="AB97" s="27"/>
      <c r="AC97" s="27"/>
      <c r="AD97" s="58">
        <v>5</v>
      </c>
      <c r="AE97" s="31">
        <v>0</v>
      </c>
      <c r="AF97" t="b">
        <v>0</v>
      </c>
      <c r="AG97" s="78">
        <v>-5</v>
      </c>
    </row>
    <row r="98" spans="1:33" x14ac:dyDescent="0.25">
      <c r="A98" t="str">
        <f t="shared" si="7"/>
        <v>2023-97</v>
      </c>
      <c r="B98" s="1">
        <f t="shared" si="8"/>
        <v>45083</v>
      </c>
      <c r="C98" t="str">
        <f t="shared" si="9"/>
        <v>/Amazon EU S. à r.l., 38 avenue John F. Kennedy, L-1855 Luxembourg</v>
      </c>
      <c r="D98" t="str">
        <f t="shared" ref="D98:E129" si="13">K98</f>
        <v>Ausgaben</v>
      </c>
      <c r="E98" t="str">
        <f t="shared" si="13"/>
        <v>Büromaterial</v>
      </c>
      <c r="F98" s="117">
        <f t="shared" si="11"/>
        <v>46.572000000000003</v>
      </c>
      <c r="G98" t="str">
        <f t="shared" si="12"/>
        <v>20%</v>
      </c>
      <c r="I98" s="53">
        <v>2023</v>
      </c>
      <c r="J98" s="53">
        <v>97</v>
      </c>
      <c r="K98" s="71" t="s">
        <v>105</v>
      </c>
      <c r="L98" t="s">
        <v>339</v>
      </c>
      <c r="M98" s="9"/>
      <c r="N98" s="1">
        <v>45083</v>
      </c>
      <c r="O98" t="s">
        <v>979</v>
      </c>
      <c r="Q98" s="76" t="s">
        <v>958</v>
      </c>
      <c r="R98" t="b">
        <v>0</v>
      </c>
      <c r="S98" s="109">
        <v>38.81</v>
      </c>
      <c r="T98" s="72">
        <v>1</v>
      </c>
      <c r="U98">
        <v>20</v>
      </c>
      <c r="V98" s="31">
        <v>7.7620000000000005</v>
      </c>
      <c r="W98" s="31">
        <v>7.7620000000000005</v>
      </c>
      <c r="X98" s="33">
        <v>38.81</v>
      </c>
      <c r="Y98" s="29">
        <v>46.572000000000003</v>
      </c>
      <c r="Z98" s="29">
        <v>46.572000000000003</v>
      </c>
      <c r="AA98" s="35">
        <v>45153</v>
      </c>
      <c r="AB98" s="27"/>
      <c r="AC98" s="27"/>
      <c r="AD98" s="58">
        <v>38.81</v>
      </c>
      <c r="AE98" s="31">
        <v>0</v>
      </c>
      <c r="AF98" t="b">
        <v>0</v>
      </c>
      <c r="AG98" s="78">
        <v>-38.81</v>
      </c>
    </row>
    <row r="99" spans="1:33" x14ac:dyDescent="0.25">
      <c r="A99" t="str">
        <f t="shared" si="7"/>
        <v>2023-98</v>
      </c>
      <c r="B99" s="1">
        <f t="shared" si="8"/>
        <v>45082</v>
      </c>
      <c r="C99" t="str">
        <f t="shared" si="9"/>
        <v>BELEG FEHLT/Techem Messtechnik GmbH; Abnehmernummer 501686-0003-11-</v>
      </c>
      <c r="D99" t="str">
        <f t="shared" si="13"/>
        <v>Ausgaben</v>
      </c>
      <c r="E99" t="str">
        <f t="shared" si="13"/>
        <v>Miet- und Pachtaufwand, Leasing</v>
      </c>
      <c r="F99" s="117">
        <f t="shared" si="11"/>
        <v>147.12</v>
      </c>
      <c r="G99" t="str">
        <f t="shared" si="12"/>
        <v>20%</v>
      </c>
      <c r="I99" s="53">
        <v>2023</v>
      </c>
      <c r="J99" s="53">
        <v>98</v>
      </c>
      <c r="K99" s="71" t="s">
        <v>105</v>
      </c>
      <c r="L99" t="s">
        <v>691</v>
      </c>
      <c r="M99" s="61" t="s">
        <v>1064</v>
      </c>
      <c r="N99" s="1">
        <v>45082</v>
      </c>
      <c r="O99" t="s">
        <v>1558</v>
      </c>
      <c r="Q99" s="76"/>
      <c r="R99" t="b">
        <v>0</v>
      </c>
      <c r="S99" s="109">
        <v>122.6</v>
      </c>
      <c r="T99" s="72">
        <v>1</v>
      </c>
      <c r="U99">
        <v>20</v>
      </c>
      <c r="V99" s="31">
        <v>24.52</v>
      </c>
      <c r="W99" s="31">
        <v>24.52</v>
      </c>
      <c r="X99" s="33">
        <v>122.6</v>
      </c>
      <c r="Y99" s="29">
        <v>147.12</v>
      </c>
      <c r="Z99" s="29">
        <v>147.12</v>
      </c>
      <c r="AA99" s="35">
        <v>45153</v>
      </c>
      <c r="AB99" s="27"/>
      <c r="AC99" s="27"/>
      <c r="AD99" s="58">
        <v>122.6</v>
      </c>
      <c r="AE99" s="31">
        <v>0</v>
      </c>
      <c r="AF99" t="b">
        <v>0</v>
      </c>
      <c r="AG99" s="78">
        <v>-122.6</v>
      </c>
    </row>
    <row r="100" spans="1:33" x14ac:dyDescent="0.25">
      <c r="A100" t="str">
        <f t="shared" si="7"/>
        <v>2023-99</v>
      </c>
      <c r="B100" s="1">
        <f t="shared" si="8"/>
        <v>45084</v>
      </c>
      <c r="C100" t="str">
        <f t="shared" si="9"/>
        <v>/Amazon EU S. à r.l., 38 avenue John F. Kennedy, L-1855 Luxembourg</v>
      </c>
      <c r="D100" t="str">
        <f t="shared" si="13"/>
        <v>Ausgaben</v>
      </c>
      <c r="E100" t="str">
        <f t="shared" si="13"/>
        <v>Büromaterial</v>
      </c>
      <c r="F100" s="117">
        <f t="shared" si="11"/>
        <v>58.775999999999996</v>
      </c>
      <c r="G100" t="str">
        <f t="shared" si="12"/>
        <v>20%</v>
      </c>
      <c r="I100" s="53">
        <v>2023</v>
      </c>
      <c r="J100" s="53">
        <v>99</v>
      </c>
      <c r="K100" s="71" t="s">
        <v>105</v>
      </c>
      <c r="L100" t="s">
        <v>339</v>
      </c>
      <c r="M100" s="9"/>
      <c r="N100" s="1">
        <v>45084</v>
      </c>
      <c r="O100" t="s">
        <v>979</v>
      </c>
      <c r="Q100" s="76" t="s">
        <v>958</v>
      </c>
      <c r="R100" t="b">
        <v>0</v>
      </c>
      <c r="S100" s="109">
        <v>48.98</v>
      </c>
      <c r="T100" s="72">
        <v>1</v>
      </c>
      <c r="U100">
        <v>20</v>
      </c>
      <c r="V100" s="31">
        <v>9.7959999999999994</v>
      </c>
      <c r="W100" s="31">
        <v>9.7959999999999994</v>
      </c>
      <c r="X100" s="33">
        <v>48.98</v>
      </c>
      <c r="Y100" s="29">
        <v>58.775999999999996</v>
      </c>
      <c r="Z100" s="29">
        <v>58.775999999999996</v>
      </c>
      <c r="AA100" s="35">
        <v>45153</v>
      </c>
      <c r="AB100" s="27"/>
      <c r="AC100" s="27"/>
      <c r="AD100" s="58">
        <v>48.98</v>
      </c>
      <c r="AE100" s="31">
        <v>0</v>
      </c>
      <c r="AF100" t="b">
        <v>0</v>
      </c>
      <c r="AG100" s="78">
        <v>-48.98</v>
      </c>
    </row>
    <row r="101" spans="1:33" x14ac:dyDescent="0.25">
      <c r="A101" t="str">
        <f t="shared" si="7"/>
        <v>2023-100</v>
      </c>
      <c r="B101" s="1">
        <f t="shared" si="8"/>
        <v>45089</v>
      </c>
      <c r="C101" t="str">
        <f t="shared" si="9"/>
        <v>BELEG FEHLT/Woocommerce.com, 17 Shelley Road, Salt River, Cape Town 7625, South Africa</v>
      </c>
      <c r="D101" t="str">
        <f t="shared" si="13"/>
        <v>Ausgaben</v>
      </c>
      <c r="E101" t="str">
        <f t="shared" si="13"/>
        <v>sonstige Betriebsausgaben</v>
      </c>
      <c r="F101" s="117">
        <f t="shared" si="11"/>
        <v>27.41</v>
      </c>
      <c r="G101" t="str">
        <f t="shared" si="12"/>
        <v>0%</v>
      </c>
      <c r="I101" s="53">
        <v>2023</v>
      </c>
      <c r="J101" s="53">
        <v>100</v>
      </c>
      <c r="K101" s="71" t="s">
        <v>105</v>
      </c>
      <c r="L101" t="s">
        <v>705</v>
      </c>
      <c r="M101" s="61" t="s">
        <v>1064</v>
      </c>
      <c r="N101" s="1">
        <v>45089</v>
      </c>
      <c r="O101" t="s">
        <v>1368</v>
      </c>
      <c r="Q101" s="76" t="s">
        <v>958</v>
      </c>
      <c r="R101" t="b">
        <v>0</v>
      </c>
      <c r="S101" s="48">
        <v>27.41</v>
      </c>
      <c r="T101" s="72">
        <v>1</v>
      </c>
      <c r="U101">
        <v>0</v>
      </c>
      <c r="V101" s="31">
        <v>0</v>
      </c>
      <c r="W101" s="31">
        <v>0</v>
      </c>
      <c r="X101" s="33">
        <v>27.41</v>
      </c>
      <c r="Y101" s="29">
        <v>27.41</v>
      </c>
      <c r="Z101" s="29">
        <v>27.41</v>
      </c>
      <c r="AA101" s="35">
        <v>45153</v>
      </c>
      <c r="AB101" s="27"/>
      <c r="AC101" s="27">
        <v>20</v>
      </c>
      <c r="AD101" s="58">
        <v>27.41</v>
      </c>
      <c r="AE101" s="31">
        <v>5.4820000000000002</v>
      </c>
      <c r="AF101" t="b">
        <v>0</v>
      </c>
      <c r="AG101" s="78">
        <v>-27.41</v>
      </c>
    </row>
    <row r="102" spans="1:33" x14ac:dyDescent="0.25">
      <c r="A102" t="str">
        <f t="shared" si="7"/>
        <v>2023-101</v>
      </c>
      <c r="B102" s="1">
        <f t="shared" si="8"/>
        <v>45089</v>
      </c>
      <c r="C102" t="str">
        <f t="shared" si="9"/>
        <v>BELEG FEHLT/Wiener Netze GmbH, Erdbergstraße 236, 1110 Wien, Postfach 422; Jahresabrechnung vom 17.12.20: GUTSCHRIFT</v>
      </c>
      <c r="D102" t="str">
        <f t="shared" si="13"/>
        <v>Ausgaben</v>
      </c>
      <c r="E102" t="str">
        <f t="shared" si="13"/>
        <v>sonstige Betriebsausgaben</v>
      </c>
      <c r="F102" s="117">
        <f t="shared" si="11"/>
        <v>14.4</v>
      </c>
      <c r="G102" t="str">
        <f t="shared" si="12"/>
        <v>20%</v>
      </c>
      <c r="I102" s="53">
        <v>2023</v>
      </c>
      <c r="J102" s="53">
        <v>101</v>
      </c>
      <c r="K102" s="71" t="s">
        <v>105</v>
      </c>
      <c r="L102" t="s">
        <v>705</v>
      </c>
      <c r="M102" s="61" t="s">
        <v>1064</v>
      </c>
      <c r="N102" s="1">
        <v>45089</v>
      </c>
      <c r="O102" t="s">
        <v>1466</v>
      </c>
      <c r="Q102" s="76"/>
      <c r="R102" t="b">
        <v>0</v>
      </c>
      <c r="S102" s="48">
        <v>12</v>
      </c>
      <c r="T102" s="72">
        <v>1</v>
      </c>
      <c r="U102">
        <v>20</v>
      </c>
      <c r="V102" s="31">
        <v>2.4</v>
      </c>
      <c r="W102" s="31">
        <v>2.4</v>
      </c>
      <c r="X102" s="33">
        <v>12</v>
      </c>
      <c r="Y102" s="29">
        <v>14.4</v>
      </c>
      <c r="Z102" s="29">
        <v>14.4</v>
      </c>
      <c r="AA102" s="35">
        <v>45153</v>
      </c>
      <c r="AB102" s="27"/>
      <c r="AC102" s="27"/>
      <c r="AD102" s="58">
        <v>12</v>
      </c>
      <c r="AE102" s="31">
        <v>0</v>
      </c>
      <c r="AF102" t="b">
        <v>0</v>
      </c>
      <c r="AG102" s="78">
        <v>-12</v>
      </c>
    </row>
    <row r="103" spans="1:33" x14ac:dyDescent="0.25">
      <c r="A103" t="str">
        <f t="shared" si="7"/>
        <v>2023-102</v>
      </c>
      <c r="B103" s="1">
        <f t="shared" si="8"/>
        <v>45091</v>
      </c>
      <c r="C103" t="str">
        <f t="shared" si="9"/>
        <v>/Hetzner Online GmbH</v>
      </c>
      <c r="D103" t="str">
        <f t="shared" si="13"/>
        <v>Ausgaben</v>
      </c>
      <c r="E103" t="str">
        <f t="shared" si="13"/>
        <v>sonstige Betriebsausgaben</v>
      </c>
      <c r="F103" s="117">
        <f t="shared" si="11"/>
        <v>52.214100000000002</v>
      </c>
      <c r="G103" t="str">
        <f t="shared" si="12"/>
        <v>0%</v>
      </c>
      <c r="I103" s="53">
        <v>2023</v>
      </c>
      <c r="J103" s="53">
        <v>102</v>
      </c>
      <c r="K103" s="71" t="s">
        <v>105</v>
      </c>
      <c r="L103" t="s">
        <v>705</v>
      </c>
      <c r="M103" s="9"/>
      <c r="N103" s="1">
        <v>45091</v>
      </c>
      <c r="O103" t="s">
        <v>927</v>
      </c>
      <c r="Q103" s="76"/>
      <c r="R103" t="b">
        <v>0</v>
      </c>
      <c r="S103" s="48">
        <v>52.214100000000002</v>
      </c>
      <c r="T103" s="72">
        <v>1</v>
      </c>
      <c r="U103">
        <v>0</v>
      </c>
      <c r="V103" s="31">
        <v>0</v>
      </c>
      <c r="W103" s="31">
        <v>0</v>
      </c>
      <c r="X103" s="33">
        <v>52.214100000000002</v>
      </c>
      <c r="Y103" s="29">
        <v>52.214100000000002</v>
      </c>
      <c r="Z103" s="29">
        <v>52.214100000000002</v>
      </c>
      <c r="AA103" s="35">
        <v>45153</v>
      </c>
      <c r="AB103" s="27"/>
      <c r="AC103" s="27">
        <v>20</v>
      </c>
      <c r="AD103" s="58">
        <v>52.214100000000002</v>
      </c>
      <c r="AE103" s="31">
        <v>10.442820000000001</v>
      </c>
      <c r="AF103" t="b">
        <v>0</v>
      </c>
      <c r="AG103" s="78">
        <v>-52.214100000000002</v>
      </c>
    </row>
    <row r="104" spans="1:33" x14ac:dyDescent="0.25">
      <c r="A104" t="str">
        <f t="shared" si="7"/>
        <v>2023-103</v>
      </c>
      <c r="B104" s="1">
        <f t="shared" si="8"/>
        <v>45092</v>
      </c>
      <c r="C104" t="str">
        <f t="shared" si="9"/>
        <v>/Google Ireland Ltd, Gordon House, Barrow Street, Dublin 4, Ireland; VAT number: IE 6388047V</v>
      </c>
      <c r="D104" t="str">
        <f t="shared" si="13"/>
        <v>Ausgaben</v>
      </c>
      <c r="E104" t="str">
        <f t="shared" si="13"/>
        <v>sonstige Betriebsausgaben</v>
      </c>
      <c r="F104" s="117">
        <f t="shared" si="11"/>
        <v>19.989999999999998</v>
      </c>
      <c r="G104" t="str">
        <f t="shared" si="12"/>
        <v>20%</v>
      </c>
      <c r="I104" s="53">
        <v>2023</v>
      </c>
      <c r="J104" s="53">
        <v>103</v>
      </c>
      <c r="K104" s="71" t="s">
        <v>105</v>
      </c>
      <c r="L104" t="s">
        <v>705</v>
      </c>
      <c r="N104" s="1">
        <v>45092</v>
      </c>
      <c r="O104" t="s">
        <v>1404</v>
      </c>
      <c r="Q104" s="76"/>
      <c r="R104" t="b">
        <v>0</v>
      </c>
      <c r="S104" s="157">
        <v>16.658333333333331</v>
      </c>
      <c r="T104" s="72">
        <v>1</v>
      </c>
      <c r="U104">
        <v>20</v>
      </c>
      <c r="V104" s="31">
        <v>3.3316666666666661</v>
      </c>
      <c r="W104" s="31">
        <v>3.3316666666666661</v>
      </c>
      <c r="X104" s="33">
        <v>16.658333333333331</v>
      </c>
      <c r="Y104" s="29">
        <v>19.989999999999998</v>
      </c>
      <c r="Z104" s="29">
        <v>19.989999999999998</v>
      </c>
      <c r="AA104" s="35">
        <v>45153</v>
      </c>
      <c r="AB104" s="27"/>
      <c r="AC104" s="27"/>
      <c r="AD104" s="58">
        <v>16.658333333333331</v>
      </c>
      <c r="AE104" s="31">
        <v>0</v>
      </c>
      <c r="AF104" t="b">
        <v>0</v>
      </c>
      <c r="AG104" s="78">
        <v>-16.658333333333331</v>
      </c>
    </row>
    <row r="105" spans="1:33" x14ac:dyDescent="0.25">
      <c r="A105" t="str">
        <f t="shared" si="7"/>
        <v>2023-104</v>
      </c>
      <c r="B105" s="1">
        <f t="shared" si="8"/>
        <v>45096</v>
      </c>
      <c r="C105" t="str">
        <f t="shared" si="9"/>
        <v>/Microsoft Ireland Operations Ltd. One Microsoft Place, South County, Business Park, Leopardstown, Dublin 18, D18 P521, Ireland</v>
      </c>
      <c r="D105" t="str">
        <f t="shared" si="13"/>
        <v>Ausgaben</v>
      </c>
      <c r="E105" t="str">
        <f t="shared" si="13"/>
        <v>sonstige Betriebsausgaben</v>
      </c>
      <c r="F105" s="117">
        <f t="shared" si="11"/>
        <v>10.5</v>
      </c>
      <c r="G105" t="str">
        <f t="shared" si="12"/>
        <v>0%</v>
      </c>
      <c r="I105" s="53">
        <v>2023</v>
      </c>
      <c r="J105" s="53">
        <v>104</v>
      </c>
      <c r="K105" s="71" t="s">
        <v>105</v>
      </c>
      <c r="L105" t="s">
        <v>705</v>
      </c>
      <c r="M105" s="1"/>
      <c r="N105" s="1">
        <v>45096</v>
      </c>
      <c r="O105" t="s">
        <v>1032</v>
      </c>
      <c r="Q105" s="76"/>
      <c r="R105" t="b">
        <v>0</v>
      </c>
      <c r="S105" s="109">
        <v>10.5</v>
      </c>
      <c r="T105" s="72">
        <v>1</v>
      </c>
      <c r="U105">
        <v>0</v>
      </c>
      <c r="V105" s="31">
        <v>0</v>
      </c>
      <c r="W105" s="31">
        <v>0</v>
      </c>
      <c r="X105" s="33">
        <v>10.5</v>
      </c>
      <c r="Y105" s="29">
        <v>10.5</v>
      </c>
      <c r="Z105" s="29">
        <v>10.5</v>
      </c>
      <c r="AA105" s="35">
        <v>45153</v>
      </c>
      <c r="AB105" s="27"/>
      <c r="AC105" s="27">
        <v>20</v>
      </c>
      <c r="AD105" s="58">
        <v>10.5</v>
      </c>
      <c r="AE105" s="31">
        <v>2.1</v>
      </c>
      <c r="AF105" t="b">
        <v>0</v>
      </c>
      <c r="AG105" s="78">
        <v>-10.5</v>
      </c>
    </row>
    <row r="106" spans="1:33" x14ac:dyDescent="0.25">
      <c r="A106" t="str">
        <f t="shared" si="7"/>
        <v>2023-105</v>
      </c>
      <c r="B106" s="1">
        <f t="shared" si="8"/>
        <v>45092</v>
      </c>
      <c r="C106" t="str">
        <f t="shared" si="9"/>
        <v>siehe 2022-140/Honorar Eva Jaros-Kolbitsch</v>
      </c>
      <c r="D106" t="str">
        <f t="shared" si="13"/>
        <v>Ausgaben</v>
      </c>
      <c r="E106" t="str">
        <f t="shared" si="13"/>
        <v>Personalaufwand</v>
      </c>
      <c r="F106" s="117">
        <f t="shared" si="11"/>
        <v>365</v>
      </c>
      <c r="G106" t="str">
        <f t="shared" si="12"/>
        <v>0%</v>
      </c>
      <c r="I106" s="53">
        <v>2023</v>
      </c>
      <c r="J106" s="53">
        <v>105</v>
      </c>
      <c r="K106" s="71" t="s">
        <v>105</v>
      </c>
      <c r="L106" t="s">
        <v>685</v>
      </c>
      <c r="M106" s="9" t="s">
        <v>1699</v>
      </c>
      <c r="N106" s="1">
        <v>45092</v>
      </c>
      <c r="O106" t="s">
        <v>1689</v>
      </c>
      <c r="Q106" s="76"/>
      <c r="R106" t="b">
        <v>0</v>
      </c>
      <c r="S106" s="48">
        <v>365</v>
      </c>
      <c r="T106" s="72">
        <v>1</v>
      </c>
      <c r="U106">
        <v>0</v>
      </c>
      <c r="V106" s="31">
        <v>0</v>
      </c>
      <c r="W106" s="31">
        <v>0</v>
      </c>
      <c r="X106" s="33">
        <v>365</v>
      </c>
      <c r="Y106" s="29">
        <v>365</v>
      </c>
      <c r="Z106" s="29">
        <v>365</v>
      </c>
      <c r="AA106" s="35">
        <v>45153</v>
      </c>
      <c r="AB106" s="27"/>
      <c r="AC106" s="27"/>
      <c r="AD106" s="58">
        <v>365</v>
      </c>
      <c r="AE106" s="31">
        <v>0</v>
      </c>
      <c r="AF106" t="b">
        <v>0</v>
      </c>
      <c r="AG106" s="78">
        <v>-365</v>
      </c>
    </row>
    <row r="107" spans="1:33" x14ac:dyDescent="0.25">
      <c r="A107" t="str">
        <f t="shared" si="7"/>
        <v>2023-106</v>
      </c>
      <c r="B107" s="1">
        <f t="shared" si="8"/>
        <v>45092</v>
      </c>
      <c r="C107" t="str">
        <f t="shared" si="9"/>
        <v>12023010/Hays Österreich GmbH, Bahnhof City Wien West , Europaplatz 3/5, 1150 Wien</v>
      </c>
      <c r="D107" t="str">
        <f t="shared" si="13"/>
        <v>Einnahmen</v>
      </c>
      <c r="E107" t="str">
        <f t="shared" si="13"/>
        <v>Waren-/Leistungserlöse</v>
      </c>
      <c r="F107" s="117">
        <f t="shared" si="11"/>
        <v>20470.056</v>
      </c>
      <c r="G107" t="str">
        <f t="shared" si="12"/>
        <v>20%</v>
      </c>
      <c r="I107" s="53">
        <v>2023</v>
      </c>
      <c r="J107" s="53">
        <v>106</v>
      </c>
      <c r="K107" s="71" t="s">
        <v>708</v>
      </c>
      <c r="L107" t="s">
        <v>709</v>
      </c>
      <c r="M107">
        <v>12023010</v>
      </c>
      <c r="N107" s="1">
        <v>45092</v>
      </c>
      <c r="O107" t="s">
        <v>1652</v>
      </c>
      <c r="Q107" s="76"/>
      <c r="R107" t="b">
        <v>0</v>
      </c>
      <c r="S107" s="48">
        <v>17058.38</v>
      </c>
      <c r="T107" s="72">
        <v>1</v>
      </c>
      <c r="U107">
        <v>20</v>
      </c>
      <c r="V107" s="31">
        <v>3411.6760000000004</v>
      </c>
      <c r="W107" s="31">
        <v>3411.6760000000004</v>
      </c>
      <c r="X107" s="33">
        <v>17058.38</v>
      </c>
      <c r="Y107" s="29">
        <v>20470.056</v>
      </c>
      <c r="Z107" s="29">
        <v>20470.056</v>
      </c>
      <c r="AA107" s="35">
        <v>45153</v>
      </c>
      <c r="AB107" s="27"/>
      <c r="AC107" s="27"/>
      <c r="AD107" s="58">
        <v>17058.38</v>
      </c>
      <c r="AE107" s="31">
        <v>0</v>
      </c>
      <c r="AF107" t="b">
        <v>0</v>
      </c>
      <c r="AG107" s="78">
        <v>17058.38</v>
      </c>
    </row>
    <row r="108" spans="1:33" x14ac:dyDescent="0.25">
      <c r="A108" t="str">
        <f t="shared" si="7"/>
        <v>2023-107</v>
      </c>
      <c r="B108" s="1">
        <f t="shared" si="8"/>
        <v>45098</v>
      </c>
      <c r="C108" t="str">
        <f t="shared" si="9"/>
        <v>/Magenta: T-Mobile Austria GmbH, A-1120 Wien, PF 47</v>
      </c>
      <c r="D108" t="str">
        <f t="shared" si="13"/>
        <v>Ausgaben</v>
      </c>
      <c r="E108" t="str">
        <f t="shared" si="13"/>
        <v>Telefon/Internet</v>
      </c>
      <c r="F108" s="117">
        <f t="shared" si="11"/>
        <v>38.304000000000002</v>
      </c>
      <c r="G108" t="str">
        <f t="shared" si="12"/>
        <v>20%</v>
      </c>
      <c r="I108" s="53">
        <v>2023</v>
      </c>
      <c r="J108" s="53">
        <v>107</v>
      </c>
      <c r="K108" s="71" t="s">
        <v>105</v>
      </c>
      <c r="L108" t="s">
        <v>703</v>
      </c>
      <c r="M108" s="131"/>
      <c r="N108" s="1">
        <v>45098</v>
      </c>
      <c r="O108" t="s">
        <v>1148</v>
      </c>
      <c r="Q108" s="76"/>
      <c r="R108" t="b">
        <v>0</v>
      </c>
      <c r="S108" s="48">
        <v>31.92</v>
      </c>
      <c r="T108" s="72">
        <v>1</v>
      </c>
      <c r="U108">
        <v>20</v>
      </c>
      <c r="V108" s="31">
        <v>6.3840000000000012</v>
      </c>
      <c r="W108" s="31">
        <v>6.3840000000000012</v>
      </c>
      <c r="X108" s="33">
        <v>31.92</v>
      </c>
      <c r="Y108" s="29">
        <v>38.304000000000002</v>
      </c>
      <c r="Z108" s="29">
        <v>38.304000000000002</v>
      </c>
      <c r="AA108" s="35">
        <v>45153</v>
      </c>
      <c r="AB108" s="27"/>
      <c r="AC108" s="27"/>
      <c r="AD108" s="58">
        <v>31.92</v>
      </c>
      <c r="AE108" s="31">
        <v>0</v>
      </c>
      <c r="AF108" t="b">
        <v>0</v>
      </c>
      <c r="AG108" s="78">
        <v>-31.92</v>
      </c>
    </row>
    <row r="109" spans="1:33" x14ac:dyDescent="0.25">
      <c r="A109" t="str">
        <f t="shared" si="7"/>
        <v>2023-108</v>
      </c>
      <c r="B109" s="1">
        <f t="shared" si="8"/>
        <v>45099</v>
      </c>
      <c r="C109" t="str">
        <f t="shared" si="9"/>
        <v>/Amazon EU S. à r.l., 38 avenue John F. Kennedy, L-1855 Luxembourg</v>
      </c>
      <c r="D109" t="str">
        <f t="shared" si="13"/>
        <v>Ausgaben</v>
      </c>
      <c r="E109" t="str">
        <f t="shared" si="13"/>
        <v>Büromaterial</v>
      </c>
      <c r="F109" s="117">
        <f t="shared" si="11"/>
        <v>52.391999999999996</v>
      </c>
      <c r="G109" t="str">
        <f t="shared" si="12"/>
        <v>20%</v>
      </c>
      <c r="I109" s="53">
        <v>2023</v>
      </c>
      <c r="J109" s="53">
        <v>108</v>
      </c>
      <c r="K109" s="71" t="s">
        <v>105</v>
      </c>
      <c r="L109" t="s">
        <v>339</v>
      </c>
      <c r="M109" s="9"/>
      <c r="N109" s="1">
        <v>45099</v>
      </c>
      <c r="O109" t="s">
        <v>979</v>
      </c>
      <c r="Q109" s="76" t="s">
        <v>958</v>
      </c>
      <c r="R109" t="b">
        <v>0</v>
      </c>
      <c r="S109" s="158">
        <v>43.66</v>
      </c>
      <c r="T109" s="159">
        <v>1</v>
      </c>
      <c r="U109">
        <v>20</v>
      </c>
      <c r="V109" s="31">
        <v>8.7319999999999993</v>
      </c>
      <c r="W109" s="31">
        <v>8.7319999999999993</v>
      </c>
      <c r="X109" s="33">
        <v>43.66</v>
      </c>
      <c r="Y109" s="29">
        <v>52.391999999999996</v>
      </c>
      <c r="Z109" s="29">
        <v>52.391999999999996</v>
      </c>
      <c r="AA109" s="35">
        <v>45153</v>
      </c>
      <c r="AB109" s="27"/>
      <c r="AC109" s="27"/>
      <c r="AD109" s="160">
        <v>43.66</v>
      </c>
      <c r="AE109" s="31">
        <v>0</v>
      </c>
      <c r="AF109" t="b">
        <v>0</v>
      </c>
      <c r="AG109" s="161">
        <v>-43.66</v>
      </c>
    </row>
    <row r="110" spans="1:33" x14ac:dyDescent="0.25">
      <c r="A110" t="str">
        <f t="shared" si="7"/>
        <v>2023-109</v>
      </c>
      <c r="B110" s="1">
        <f t="shared" si="8"/>
        <v>45105</v>
      </c>
      <c r="C110" t="str">
        <f t="shared" si="9"/>
        <v>/Amazon EU S. à r.l., 38 avenue John F. Kennedy, L-1855 Luxembourg</v>
      </c>
      <c r="D110" t="str">
        <f t="shared" si="13"/>
        <v>Ausgaben</v>
      </c>
      <c r="E110" t="str">
        <f t="shared" si="13"/>
        <v>Büromaterial</v>
      </c>
      <c r="F110" s="117">
        <f t="shared" si="11"/>
        <v>49.103999999999999</v>
      </c>
      <c r="G110" t="str">
        <f t="shared" si="12"/>
        <v>20%</v>
      </c>
      <c r="I110" s="164">
        <v>2023</v>
      </c>
      <c r="J110" s="164">
        <v>109</v>
      </c>
      <c r="K110" s="165" t="s">
        <v>105</v>
      </c>
      <c r="L110" s="166" t="s">
        <v>339</v>
      </c>
      <c r="M110" s="167"/>
      <c r="N110" s="168">
        <v>45105</v>
      </c>
      <c r="O110" s="166" t="s">
        <v>979</v>
      </c>
      <c r="P110" s="166"/>
      <c r="Q110" s="169" t="s">
        <v>958</v>
      </c>
      <c r="R110" s="166" t="b">
        <v>0</v>
      </c>
      <c r="S110" s="170">
        <v>40.92</v>
      </c>
      <c r="T110" s="171">
        <v>1</v>
      </c>
      <c r="U110" s="166">
        <v>20</v>
      </c>
      <c r="V110" s="172">
        <v>8.1840000000000011</v>
      </c>
      <c r="W110" s="172">
        <v>8.1840000000000011</v>
      </c>
      <c r="X110" s="173">
        <v>40.92</v>
      </c>
      <c r="Y110" s="174">
        <v>49.103999999999999</v>
      </c>
      <c r="Z110" s="174">
        <v>49.103999999999999</v>
      </c>
      <c r="AA110" s="175">
        <v>45153</v>
      </c>
      <c r="AB110" s="176"/>
      <c r="AC110" s="176"/>
      <c r="AD110" s="177">
        <v>40.92</v>
      </c>
      <c r="AE110" s="172">
        <v>0</v>
      </c>
      <c r="AF110" s="166" t="b">
        <v>0</v>
      </c>
      <c r="AG110" s="178">
        <v>-40.92</v>
      </c>
    </row>
    <row r="111" spans="1:33" x14ac:dyDescent="0.25">
      <c r="A111" t="str">
        <f t="shared" si="7"/>
        <v>2023-110</v>
      </c>
      <c r="B111" s="1">
        <f t="shared" si="8"/>
        <v>45110</v>
      </c>
      <c r="C111" t="str">
        <f t="shared" si="9"/>
        <v>/car2go Österreich GmbH, Hintere Zollamtstraße 9, 1030 Wien</v>
      </c>
      <c r="D111" t="str">
        <f t="shared" si="13"/>
        <v>Ausgaben</v>
      </c>
      <c r="E111" t="str">
        <f t="shared" si="13"/>
        <v>Reise- und Fahrtspesen inkl. Kilometergeld und Diäten</v>
      </c>
      <c r="F111" s="117">
        <f t="shared" si="11"/>
        <v>7.410000000000001</v>
      </c>
      <c r="G111" t="str">
        <f t="shared" si="12"/>
        <v>20%</v>
      </c>
      <c r="I111" s="53">
        <v>2023</v>
      </c>
      <c r="J111" s="53">
        <v>110</v>
      </c>
      <c r="K111" s="71" t="s">
        <v>105</v>
      </c>
      <c r="L111" t="s">
        <v>689</v>
      </c>
      <c r="M111" s="131"/>
      <c r="N111" s="1">
        <v>45110</v>
      </c>
      <c r="O111" t="s">
        <v>974</v>
      </c>
      <c r="Q111" s="76"/>
      <c r="R111" t="b">
        <v>0</v>
      </c>
      <c r="S111" s="162">
        <v>6.1750000000000007</v>
      </c>
      <c r="T111" s="159">
        <v>1</v>
      </c>
      <c r="U111">
        <v>20</v>
      </c>
      <c r="V111" s="31">
        <v>1.2350000000000001</v>
      </c>
      <c r="W111" s="31">
        <v>1.2350000000000001</v>
      </c>
      <c r="X111" s="33">
        <v>6.1750000000000007</v>
      </c>
      <c r="Y111" s="29">
        <v>7.410000000000001</v>
      </c>
      <c r="Z111" s="29">
        <v>7.410000000000001</v>
      </c>
      <c r="AA111" s="35">
        <v>45184</v>
      </c>
      <c r="AB111" s="27"/>
      <c r="AC111" s="27"/>
      <c r="AD111" s="160">
        <v>6.1750000000000007</v>
      </c>
      <c r="AE111" s="31">
        <v>0</v>
      </c>
      <c r="AF111" t="b">
        <v>0</v>
      </c>
      <c r="AG111" s="161">
        <v>-6.1750000000000007</v>
      </c>
    </row>
    <row r="112" spans="1:33" x14ac:dyDescent="0.25">
      <c r="A112" t="str">
        <f t="shared" si="7"/>
        <v>2023-111</v>
      </c>
      <c r="B112" s="1">
        <f t="shared" si="8"/>
        <v>45110</v>
      </c>
      <c r="C112" t="str">
        <f t="shared" si="9"/>
        <v>/Google Ireland Ltd, Gordon House, Barrow Street, Dublin 4, Ireland; VAT number: IE 6388047V</v>
      </c>
      <c r="D112" t="str">
        <f t="shared" si="13"/>
        <v>Ausgaben</v>
      </c>
      <c r="E112" t="str">
        <f t="shared" si="13"/>
        <v>sonstige Betriebsausgaben</v>
      </c>
      <c r="F112" s="117">
        <f t="shared" si="11"/>
        <v>10.4</v>
      </c>
      <c r="G112" t="str">
        <f t="shared" si="12"/>
        <v>0%</v>
      </c>
      <c r="I112" s="53">
        <v>2023</v>
      </c>
      <c r="J112" s="53">
        <v>111</v>
      </c>
      <c r="K112" s="71" t="s">
        <v>105</v>
      </c>
      <c r="L112" t="s">
        <v>705</v>
      </c>
      <c r="N112" s="1">
        <v>45110</v>
      </c>
      <c r="O112" t="s">
        <v>1404</v>
      </c>
      <c r="Q112" s="76"/>
      <c r="R112" t="b">
        <v>0</v>
      </c>
      <c r="S112" s="158">
        <v>10.4</v>
      </c>
      <c r="T112" s="159">
        <v>1</v>
      </c>
      <c r="U112">
        <v>0</v>
      </c>
      <c r="V112" s="31">
        <v>0</v>
      </c>
      <c r="W112" s="31">
        <v>0</v>
      </c>
      <c r="X112" s="33">
        <v>10.4</v>
      </c>
      <c r="Y112" s="29">
        <v>10.4</v>
      </c>
      <c r="Z112" s="29">
        <v>10.4</v>
      </c>
      <c r="AA112" s="35">
        <v>45184</v>
      </c>
      <c r="AB112" s="27"/>
      <c r="AC112" s="27">
        <v>20</v>
      </c>
      <c r="AD112" s="160">
        <v>10.4</v>
      </c>
      <c r="AE112" s="31">
        <v>2.08</v>
      </c>
      <c r="AF112" t="b">
        <v>0</v>
      </c>
      <c r="AG112" s="161">
        <v>-10.4</v>
      </c>
    </row>
    <row r="113" spans="1:33" x14ac:dyDescent="0.25">
      <c r="A113" t="str">
        <f t="shared" si="7"/>
        <v>2023-112</v>
      </c>
      <c r="B113" s="1">
        <f t="shared" si="8"/>
        <v>45110</v>
      </c>
      <c r="C113" t="str">
        <f t="shared" si="9"/>
        <v>12023003/ZT DI Dr. Arno Kolbitsch, Gütleweg 1, 6822 Satteins</v>
      </c>
      <c r="D113" t="str">
        <f t="shared" si="13"/>
        <v>Einnahmen</v>
      </c>
      <c r="E113" t="str">
        <f t="shared" si="13"/>
        <v>Waren-/Leistungserlöse</v>
      </c>
      <c r="F113" s="117">
        <f t="shared" si="11"/>
        <v>1623.12</v>
      </c>
      <c r="G113" t="str">
        <f t="shared" si="12"/>
        <v>20%</v>
      </c>
      <c r="I113" s="53">
        <v>2023</v>
      </c>
      <c r="J113" s="53">
        <v>112</v>
      </c>
      <c r="K113" s="71" t="s">
        <v>708</v>
      </c>
      <c r="L113" t="s">
        <v>709</v>
      </c>
      <c r="M113" s="6">
        <v>12023003</v>
      </c>
      <c r="N113" s="1">
        <v>45110</v>
      </c>
      <c r="O113" t="s">
        <v>1038</v>
      </c>
      <c r="Q113" s="76"/>
      <c r="R113" t="b">
        <v>0</v>
      </c>
      <c r="S113" s="162">
        <v>1352.6</v>
      </c>
      <c r="T113" s="159">
        <v>1</v>
      </c>
      <c r="U113">
        <v>20</v>
      </c>
      <c r="V113" s="31">
        <v>270.52</v>
      </c>
      <c r="W113" s="31">
        <v>270.52</v>
      </c>
      <c r="X113" s="33">
        <v>1352.6</v>
      </c>
      <c r="Y113" s="29">
        <v>1623.12</v>
      </c>
      <c r="Z113" s="29">
        <v>1623.12</v>
      </c>
      <c r="AA113" s="35">
        <v>45245</v>
      </c>
      <c r="AB113" s="27"/>
      <c r="AC113" s="27"/>
      <c r="AD113" s="160">
        <v>1352.6</v>
      </c>
      <c r="AE113" s="31">
        <v>0</v>
      </c>
      <c r="AF113" t="b">
        <v>0</v>
      </c>
      <c r="AG113" s="161">
        <v>1352.6</v>
      </c>
    </row>
    <row r="114" spans="1:33" x14ac:dyDescent="0.25">
      <c r="A114" t="str">
        <f t="shared" si="7"/>
        <v>2023-113</v>
      </c>
      <c r="B114" s="1">
        <f t="shared" si="8"/>
        <v>45110</v>
      </c>
      <c r="C114" t="str">
        <f t="shared" si="9"/>
        <v>/Bontus Immobilienverwaltung GmbH, 1010 Wien, Franz Josefs Kai 65</v>
      </c>
      <c r="D114" t="str">
        <f t="shared" si="13"/>
        <v>Ausgaben</v>
      </c>
      <c r="E114" t="str">
        <f t="shared" si="13"/>
        <v>Miet- und Pachtaufwand, Leasing</v>
      </c>
      <c r="F114" s="117">
        <f t="shared" si="11"/>
        <v>629.72000000000014</v>
      </c>
      <c r="G114" t="str">
        <f t="shared" si="12"/>
        <v>20%</v>
      </c>
      <c r="I114" s="53">
        <v>2023</v>
      </c>
      <c r="J114" s="53">
        <v>113</v>
      </c>
      <c r="K114" s="71" t="s">
        <v>105</v>
      </c>
      <c r="L114" t="s">
        <v>691</v>
      </c>
      <c r="M114" s="9"/>
      <c r="N114" s="1">
        <v>45110</v>
      </c>
      <c r="O114" t="s">
        <v>1113</v>
      </c>
      <c r="Q114" s="76"/>
      <c r="R114" t="b">
        <v>0</v>
      </c>
      <c r="S114" s="158">
        <v>524.76666666666677</v>
      </c>
      <c r="T114" s="159">
        <v>1</v>
      </c>
      <c r="U114">
        <v>20</v>
      </c>
      <c r="V114" s="31">
        <v>104.95333333333336</v>
      </c>
      <c r="W114" s="31">
        <v>104.95333333333336</v>
      </c>
      <c r="X114" s="33">
        <v>524.76666666666677</v>
      </c>
      <c r="Y114" s="29">
        <v>629.72000000000014</v>
      </c>
      <c r="Z114" s="29">
        <v>629.72000000000014</v>
      </c>
      <c r="AA114" s="35">
        <v>45184</v>
      </c>
      <c r="AB114" s="27"/>
      <c r="AC114" s="27"/>
      <c r="AD114" s="160">
        <v>524.76666666666677</v>
      </c>
      <c r="AE114" s="31">
        <v>0</v>
      </c>
      <c r="AF114" t="b">
        <v>0</v>
      </c>
      <c r="AG114" s="161">
        <v>-524.76666666666677</v>
      </c>
    </row>
    <row r="115" spans="1:33" x14ac:dyDescent="0.25">
      <c r="A115" t="str">
        <f t="shared" si="7"/>
        <v>2023-114</v>
      </c>
      <c r="B115" s="1">
        <f t="shared" si="8"/>
        <v>45111</v>
      </c>
      <c r="C115" t="str">
        <f t="shared" si="9"/>
        <v>/Hutchison Drei Austria GmbH, Brünner Straße 52, 1210 Wien, Österreich</v>
      </c>
      <c r="D115" t="str">
        <f t="shared" si="13"/>
        <v>Ausgaben</v>
      </c>
      <c r="E115" t="str">
        <f t="shared" si="13"/>
        <v>Telefon/Internet</v>
      </c>
      <c r="F115" s="117">
        <f t="shared" si="11"/>
        <v>12.9</v>
      </c>
      <c r="G115" t="str">
        <f t="shared" si="12"/>
        <v>20%</v>
      </c>
      <c r="I115" s="53">
        <v>2023</v>
      </c>
      <c r="J115" s="53">
        <v>114</v>
      </c>
      <c r="K115" s="71" t="s">
        <v>105</v>
      </c>
      <c r="L115" t="s">
        <v>703</v>
      </c>
      <c r="M115" s="9"/>
      <c r="N115" s="1">
        <v>45111</v>
      </c>
      <c r="O115" t="s">
        <v>34</v>
      </c>
      <c r="Q115" s="76"/>
      <c r="R115" t="b">
        <v>0</v>
      </c>
      <c r="S115" s="162">
        <v>10.75</v>
      </c>
      <c r="T115" s="159">
        <v>1</v>
      </c>
      <c r="U115">
        <v>20</v>
      </c>
      <c r="V115" s="31">
        <v>2.15</v>
      </c>
      <c r="W115" s="31">
        <v>2.15</v>
      </c>
      <c r="X115" s="33">
        <v>10.75</v>
      </c>
      <c r="Y115" s="29">
        <v>12.9</v>
      </c>
      <c r="Z115" s="29">
        <v>12.9</v>
      </c>
      <c r="AA115" s="35">
        <v>45184</v>
      </c>
      <c r="AB115" s="27"/>
      <c r="AC115" s="27"/>
      <c r="AD115" s="160">
        <v>10.75</v>
      </c>
      <c r="AE115" s="31">
        <v>0</v>
      </c>
      <c r="AF115" t="b">
        <v>0</v>
      </c>
      <c r="AG115" s="161">
        <v>-10.75</v>
      </c>
    </row>
    <row r="116" spans="1:33" x14ac:dyDescent="0.25">
      <c r="A116" t="str">
        <f t="shared" si="7"/>
        <v>2023-115</v>
      </c>
      <c r="B116" s="1">
        <f t="shared" si="8"/>
        <v>45112</v>
      </c>
      <c r="C116" t="str">
        <f t="shared" si="9"/>
        <v>/go green energy GmbH &amp; Co KG</v>
      </c>
      <c r="D116" t="str">
        <f t="shared" si="13"/>
        <v>Ausgaben</v>
      </c>
      <c r="E116" t="str">
        <f t="shared" si="13"/>
        <v>sonstige Betriebsausgaben</v>
      </c>
      <c r="F116" s="117">
        <f t="shared" si="11"/>
        <v>6</v>
      </c>
      <c r="G116" t="str">
        <f t="shared" si="12"/>
        <v>20%</v>
      </c>
      <c r="I116" s="53">
        <v>2023</v>
      </c>
      <c r="J116" s="53">
        <v>115</v>
      </c>
      <c r="K116" s="71" t="s">
        <v>105</v>
      </c>
      <c r="L116" t="s">
        <v>705</v>
      </c>
      <c r="N116" s="1">
        <v>45112</v>
      </c>
      <c r="O116" t="s">
        <v>1670</v>
      </c>
      <c r="Q116" s="76"/>
      <c r="R116" t="b">
        <v>0</v>
      </c>
      <c r="S116" s="162">
        <v>5</v>
      </c>
      <c r="T116" s="159">
        <v>1</v>
      </c>
      <c r="U116">
        <v>20</v>
      </c>
      <c r="V116" s="31">
        <v>1</v>
      </c>
      <c r="W116" s="31">
        <v>1</v>
      </c>
      <c r="X116" s="33">
        <v>5</v>
      </c>
      <c r="Y116" s="29">
        <v>6</v>
      </c>
      <c r="Z116" s="29">
        <v>6</v>
      </c>
      <c r="AA116" s="35">
        <v>45184</v>
      </c>
      <c r="AB116" s="27"/>
      <c r="AC116" s="27"/>
      <c r="AD116" s="160">
        <v>5</v>
      </c>
      <c r="AE116" s="31">
        <v>0</v>
      </c>
      <c r="AF116" t="b">
        <v>0</v>
      </c>
      <c r="AG116" s="161">
        <v>-5</v>
      </c>
    </row>
    <row r="117" spans="1:33" x14ac:dyDescent="0.25">
      <c r="A117" t="str">
        <f t="shared" si="7"/>
        <v>2023-116</v>
      </c>
      <c r="B117" s="1">
        <f t="shared" si="8"/>
        <v>45113</v>
      </c>
      <c r="C117" t="str">
        <f t="shared" si="9"/>
        <v>12023013/Kolbitsch Engineering &amp; Consulting KNr 45</v>
      </c>
      <c r="D117" t="str">
        <f t="shared" si="13"/>
        <v>Einnahmen</v>
      </c>
      <c r="E117" t="str">
        <f t="shared" si="13"/>
        <v>Waren-/Leistungserlöse</v>
      </c>
      <c r="F117" s="117">
        <f t="shared" si="11"/>
        <v>465.60000000000008</v>
      </c>
      <c r="G117" t="str">
        <f t="shared" si="12"/>
        <v>20%</v>
      </c>
      <c r="I117" s="53">
        <v>2023</v>
      </c>
      <c r="J117" s="53">
        <v>116</v>
      </c>
      <c r="K117" s="71" t="s">
        <v>708</v>
      </c>
      <c r="L117" t="s">
        <v>709</v>
      </c>
      <c r="M117" s="163" t="s">
        <v>1744</v>
      </c>
      <c r="N117" s="1">
        <v>45113</v>
      </c>
      <c r="O117" t="s">
        <v>1513</v>
      </c>
      <c r="Q117" s="76"/>
      <c r="R117" t="b">
        <v>0</v>
      </c>
      <c r="S117" s="162">
        <v>388.00000000000006</v>
      </c>
      <c r="T117" s="159">
        <v>1</v>
      </c>
      <c r="U117">
        <v>20</v>
      </c>
      <c r="V117" s="31">
        <v>77.600000000000009</v>
      </c>
      <c r="W117" s="31">
        <v>77.600000000000009</v>
      </c>
      <c r="X117" s="33">
        <v>388.00000000000006</v>
      </c>
      <c r="Y117" s="29">
        <v>465.60000000000008</v>
      </c>
      <c r="Z117" s="29">
        <v>465.60000000000008</v>
      </c>
      <c r="AA117" s="35">
        <v>45245</v>
      </c>
      <c r="AB117" s="27"/>
      <c r="AC117" s="27"/>
      <c r="AD117" s="160">
        <v>388.00000000000006</v>
      </c>
      <c r="AE117" s="31">
        <v>0</v>
      </c>
      <c r="AF117" t="b">
        <v>0</v>
      </c>
      <c r="AG117" s="161">
        <v>388.00000000000006</v>
      </c>
    </row>
    <row r="118" spans="1:33" x14ac:dyDescent="0.25">
      <c r="A118" t="str">
        <f t="shared" si="7"/>
        <v>2023-117</v>
      </c>
      <c r="B118" s="1">
        <f t="shared" si="8"/>
        <v>45114</v>
      </c>
      <c r="C118" t="str">
        <f t="shared" si="9"/>
        <v>BELEG FEHLT/Techem Messtechnik GmbH; Abnehmernummer 501686-0003-11-</v>
      </c>
      <c r="D118" t="str">
        <f t="shared" si="13"/>
        <v>Ausgaben</v>
      </c>
      <c r="E118" t="str">
        <f t="shared" si="13"/>
        <v>Miet- und Pachtaufwand, Leasing</v>
      </c>
      <c r="F118" s="117">
        <f t="shared" si="11"/>
        <v>147.12</v>
      </c>
      <c r="G118" t="str">
        <f t="shared" si="12"/>
        <v>20%</v>
      </c>
      <c r="I118" s="53">
        <v>2023</v>
      </c>
      <c r="J118" s="53">
        <v>117</v>
      </c>
      <c r="K118" s="71" t="s">
        <v>105</v>
      </c>
      <c r="L118" t="s">
        <v>691</v>
      </c>
      <c r="M118" s="61" t="s">
        <v>1064</v>
      </c>
      <c r="N118" s="1">
        <v>45114</v>
      </c>
      <c r="O118" t="s">
        <v>1558</v>
      </c>
      <c r="Q118" s="76"/>
      <c r="R118" t="b">
        <v>0</v>
      </c>
      <c r="S118" s="158">
        <v>122.6</v>
      </c>
      <c r="T118" s="159">
        <v>1</v>
      </c>
      <c r="U118">
        <v>20</v>
      </c>
      <c r="V118" s="31">
        <v>24.52</v>
      </c>
      <c r="W118" s="31">
        <v>24.52</v>
      </c>
      <c r="X118" s="33">
        <v>122.6</v>
      </c>
      <c r="Y118" s="29">
        <v>147.12</v>
      </c>
      <c r="Z118" s="29">
        <v>147.12</v>
      </c>
      <c r="AA118" s="35">
        <v>45184</v>
      </c>
      <c r="AB118" s="27"/>
      <c r="AC118" s="27"/>
      <c r="AD118" s="160">
        <v>122.6</v>
      </c>
      <c r="AE118" s="31">
        <v>0</v>
      </c>
      <c r="AF118" t="b">
        <v>0</v>
      </c>
      <c r="AG118" s="161">
        <v>-122.6</v>
      </c>
    </row>
    <row r="119" spans="1:33" x14ac:dyDescent="0.25">
      <c r="A119" t="str">
        <f t="shared" si="7"/>
        <v>2023-118</v>
      </c>
      <c r="B119" s="1">
        <f t="shared" si="8"/>
        <v>45117</v>
      </c>
      <c r="C119" t="str">
        <f t="shared" si="9"/>
        <v>BELEG FEHLT/Wiener Netze GmbH, Erdbergstraße 236, 1110 Wien, Postfach 422; Jahresabrechnung vom 17.12.20: GUTSCHRIFT</v>
      </c>
      <c r="D119" t="str">
        <f t="shared" si="13"/>
        <v>Ausgaben</v>
      </c>
      <c r="E119" t="str">
        <f t="shared" si="13"/>
        <v>sonstige Betriebsausgaben</v>
      </c>
      <c r="F119" s="117">
        <f t="shared" si="11"/>
        <v>14.4</v>
      </c>
      <c r="G119" t="str">
        <f t="shared" si="12"/>
        <v>20%</v>
      </c>
      <c r="I119" s="53">
        <v>2023</v>
      </c>
      <c r="J119" s="53">
        <v>118</v>
      </c>
      <c r="K119" s="71" t="s">
        <v>105</v>
      </c>
      <c r="L119" t="s">
        <v>705</v>
      </c>
      <c r="M119" s="61" t="s">
        <v>1064</v>
      </c>
      <c r="N119" s="1">
        <v>45117</v>
      </c>
      <c r="O119" t="s">
        <v>1466</v>
      </c>
      <c r="Q119" s="76"/>
      <c r="R119" t="b">
        <v>0</v>
      </c>
      <c r="S119" s="162">
        <v>12</v>
      </c>
      <c r="T119" s="159">
        <v>1</v>
      </c>
      <c r="U119">
        <v>20</v>
      </c>
      <c r="V119" s="31">
        <v>2.4</v>
      </c>
      <c r="W119" s="31">
        <v>2.4</v>
      </c>
      <c r="X119" s="33">
        <v>12</v>
      </c>
      <c r="Y119" s="29">
        <v>14.4</v>
      </c>
      <c r="Z119" s="29">
        <v>14.4</v>
      </c>
      <c r="AA119" s="35">
        <v>45184</v>
      </c>
      <c r="AB119" s="27"/>
      <c r="AC119" s="27"/>
      <c r="AD119" s="160">
        <v>12</v>
      </c>
      <c r="AE119" s="31">
        <v>0</v>
      </c>
      <c r="AF119" t="b">
        <v>0</v>
      </c>
      <c r="AG119" s="161">
        <v>-12</v>
      </c>
    </row>
    <row r="120" spans="1:33" x14ac:dyDescent="0.25">
      <c r="A120" t="str">
        <f t="shared" si="7"/>
        <v>2023-119</v>
      </c>
      <c r="B120" s="1">
        <f t="shared" si="8"/>
        <v>45120</v>
      </c>
      <c r="C120" t="str">
        <f t="shared" si="9"/>
        <v>12023012/Paperholic all bout paper e.U.</v>
      </c>
      <c r="D120" t="str">
        <f t="shared" si="13"/>
        <v>Einnahmen</v>
      </c>
      <c r="E120" t="str">
        <f t="shared" si="13"/>
        <v>Waren-/Leistungserlöse</v>
      </c>
      <c r="F120" s="117">
        <f t="shared" si="11"/>
        <v>32.89</v>
      </c>
      <c r="G120" t="str">
        <f t="shared" si="12"/>
        <v>20%</v>
      </c>
      <c r="I120" s="53">
        <v>2023</v>
      </c>
      <c r="J120" s="53">
        <v>119</v>
      </c>
      <c r="K120" s="71" t="s">
        <v>708</v>
      </c>
      <c r="L120" t="s">
        <v>709</v>
      </c>
      <c r="M120">
        <v>12023012</v>
      </c>
      <c r="N120" s="1">
        <v>45120</v>
      </c>
      <c r="O120" t="s">
        <v>1388</v>
      </c>
      <c r="Q120" s="76"/>
      <c r="R120" t="b">
        <v>0</v>
      </c>
      <c r="S120" s="162">
        <v>27.408333333333335</v>
      </c>
      <c r="T120" s="159">
        <v>1</v>
      </c>
      <c r="U120">
        <v>20</v>
      </c>
      <c r="V120" s="31">
        <v>5.4816666666666674</v>
      </c>
      <c r="W120" s="31">
        <v>5.4816666666666674</v>
      </c>
      <c r="X120" s="33">
        <v>27.408333333333335</v>
      </c>
      <c r="Y120" s="29">
        <v>32.89</v>
      </c>
      <c r="Z120" s="29">
        <v>32.89</v>
      </c>
      <c r="AA120" s="35">
        <v>45184</v>
      </c>
      <c r="AB120" s="27"/>
      <c r="AC120" s="27"/>
      <c r="AD120" s="160">
        <v>27.408333333333335</v>
      </c>
      <c r="AE120" s="31">
        <v>0</v>
      </c>
      <c r="AF120" t="b">
        <v>0</v>
      </c>
      <c r="AG120" s="161">
        <v>27.408333333333335</v>
      </c>
    </row>
    <row r="121" spans="1:33" x14ac:dyDescent="0.25">
      <c r="A121" t="str">
        <f t="shared" si="7"/>
        <v>2023-120</v>
      </c>
      <c r="B121" s="1">
        <f t="shared" si="8"/>
        <v>45120</v>
      </c>
      <c r="C121" t="str">
        <f t="shared" si="9"/>
        <v>/Hetzner Online GmbH</v>
      </c>
      <c r="D121" t="str">
        <f t="shared" si="13"/>
        <v>Ausgaben</v>
      </c>
      <c r="E121" t="str">
        <f t="shared" si="13"/>
        <v>sonstige Betriebsausgaben</v>
      </c>
      <c r="F121" s="117">
        <f t="shared" si="11"/>
        <v>52.214100000000002</v>
      </c>
      <c r="G121" t="str">
        <f t="shared" si="12"/>
        <v>0%</v>
      </c>
      <c r="I121" s="53">
        <v>2023</v>
      </c>
      <c r="J121" s="53">
        <v>120</v>
      </c>
      <c r="K121" s="71" t="s">
        <v>105</v>
      </c>
      <c r="L121" t="s">
        <v>705</v>
      </c>
      <c r="M121" s="9"/>
      <c r="N121" s="1">
        <v>45120</v>
      </c>
      <c r="O121" t="s">
        <v>927</v>
      </c>
      <c r="Q121" s="76"/>
      <c r="R121" t="b">
        <v>0</v>
      </c>
      <c r="S121" s="162">
        <v>52.214100000000002</v>
      </c>
      <c r="T121" s="159">
        <v>1</v>
      </c>
      <c r="U121">
        <v>0</v>
      </c>
      <c r="V121" s="31">
        <v>0</v>
      </c>
      <c r="W121" s="31">
        <v>0</v>
      </c>
      <c r="X121" s="33">
        <v>52.214100000000002</v>
      </c>
      <c r="Y121" s="29">
        <v>52.214100000000002</v>
      </c>
      <c r="Z121" s="29">
        <v>52.214100000000002</v>
      </c>
      <c r="AA121" s="35">
        <v>45184</v>
      </c>
      <c r="AB121" s="27"/>
      <c r="AC121" s="27">
        <v>20</v>
      </c>
      <c r="AD121" s="160">
        <v>52.214100000000002</v>
      </c>
      <c r="AE121" s="31">
        <v>10.442820000000001</v>
      </c>
      <c r="AF121" t="b">
        <v>0</v>
      </c>
      <c r="AG121" s="161">
        <v>-52.214100000000002</v>
      </c>
    </row>
    <row r="122" spans="1:33" x14ac:dyDescent="0.25">
      <c r="A122" t="str">
        <f t="shared" si="7"/>
        <v>2023-121</v>
      </c>
      <c r="B122" s="1">
        <f t="shared" si="8"/>
        <v>45121</v>
      </c>
      <c r="C122" t="str">
        <f t="shared" si="9"/>
        <v>12023014+12023015/Hays Österreich GmbH, Bahnhof City Wien West , Europaplatz 3/5, 1150 Wien</v>
      </c>
      <c r="D122" t="str">
        <f t="shared" si="13"/>
        <v>Einnahmen</v>
      </c>
      <c r="E122" t="str">
        <f t="shared" si="13"/>
        <v>Waren-/Leistungserlöse</v>
      </c>
      <c r="F122" s="117">
        <f t="shared" si="11"/>
        <v>18142.38</v>
      </c>
      <c r="G122" t="str">
        <f t="shared" si="12"/>
        <v>20%</v>
      </c>
      <c r="I122" s="53">
        <v>2023</v>
      </c>
      <c r="J122" s="53">
        <v>121</v>
      </c>
      <c r="K122" s="71" t="s">
        <v>708</v>
      </c>
      <c r="L122" t="s">
        <v>709</v>
      </c>
      <c r="M122" s="39" t="s">
        <v>1745</v>
      </c>
      <c r="N122" s="1">
        <v>45121</v>
      </c>
      <c r="O122" t="s">
        <v>1652</v>
      </c>
      <c r="Q122" s="76"/>
      <c r="R122" t="b">
        <v>0</v>
      </c>
      <c r="S122" s="162">
        <v>15118.65</v>
      </c>
      <c r="T122" s="159">
        <v>1</v>
      </c>
      <c r="U122">
        <v>20</v>
      </c>
      <c r="V122" s="31">
        <v>3023.73</v>
      </c>
      <c r="W122" s="31">
        <v>3023.73</v>
      </c>
      <c r="X122" s="33">
        <v>15118.65</v>
      </c>
      <c r="Y122" s="29">
        <v>18142.38</v>
      </c>
      <c r="Z122" s="29">
        <v>18142.38</v>
      </c>
      <c r="AA122" s="35">
        <v>45184</v>
      </c>
      <c r="AB122" s="27"/>
      <c r="AC122" s="27"/>
      <c r="AD122" s="160">
        <v>15118.65</v>
      </c>
      <c r="AE122" s="31">
        <v>0</v>
      </c>
      <c r="AF122" t="b">
        <v>0</v>
      </c>
      <c r="AG122" s="161">
        <v>15118.65</v>
      </c>
    </row>
    <row r="123" spans="1:33" x14ac:dyDescent="0.25">
      <c r="A123" t="str">
        <f t="shared" si="7"/>
        <v>2023-122</v>
      </c>
      <c r="B123" s="1">
        <f t="shared" si="8"/>
        <v>45124</v>
      </c>
      <c r="C123" t="str">
        <f t="shared" si="9"/>
        <v>siehe 2022-140/Honorar Eva Jaros-Kolbitsch</v>
      </c>
      <c r="D123" t="str">
        <f t="shared" si="13"/>
        <v>Ausgaben</v>
      </c>
      <c r="E123" t="str">
        <f t="shared" si="13"/>
        <v>Personalaufwand</v>
      </c>
      <c r="F123" s="117">
        <f t="shared" si="11"/>
        <v>365</v>
      </c>
      <c r="G123" t="str">
        <f t="shared" si="12"/>
        <v>0%</v>
      </c>
      <c r="I123" s="53">
        <v>2023</v>
      </c>
      <c r="J123" s="53">
        <v>122</v>
      </c>
      <c r="K123" s="71" t="s">
        <v>105</v>
      </c>
      <c r="L123" t="s">
        <v>685</v>
      </c>
      <c r="M123" s="9" t="s">
        <v>1699</v>
      </c>
      <c r="N123" s="1">
        <v>45124</v>
      </c>
      <c r="O123" t="s">
        <v>1689</v>
      </c>
      <c r="Q123" s="76"/>
      <c r="R123" t="b">
        <v>0</v>
      </c>
      <c r="S123" s="162">
        <v>365</v>
      </c>
      <c r="T123" s="159">
        <v>1</v>
      </c>
      <c r="U123">
        <v>0</v>
      </c>
      <c r="V123" s="31">
        <v>0</v>
      </c>
      <c r="W123" s="31">
        <v>0</v>
      </c>
      <c r="X123" s="33">
        <v>365</v>
      </c>
      <c r="Y123" s="29">
        <v>365</v>
      </c>
      <c r="Z123" s="29">
        <v>365</v>
      </c>
      <c r="AA123" s="35">
        <v>45184</v>
      </c>
      <c r="AB123" s="27"/>
      <c r="AC123" s="27"/>
      <c r="AD123" s="160">
        <v>365</v>
      </c>
      <c r="AE123" s="31">
        <v>0</v>
      </c>
      <c r="AF123" t="b">
        <v>0</v>
      </c>
      <c r="AG123" s="161">
        <v>-365</v>
      </c>
    </row>
    <row r="124" spans="1:33" x14ac:dyDescent="0.25">
      <c r="A124" t="str">
        <f t="shared" si="7"/>
        <v>2023-123</v>
      </c>
      <c r="B124" s="1">
        <f t="shared" si="8"/>
        <v>45127</v>
      </c>
      <c r="C124" t="str">
        <f t="shared" si="9"/>
        <v>/Microsoft Ireland Operations Ltd. One Microsoft Place, South County, Business Park, Leopardstown, Dublin 18, D18 P521, Ireland</v>
      </c>
      <c r="D124" t="str">
        <f t="shared" si="13"/>
        <v>Ausgaben</v>
      </c>
      <c r="E124" t="str">
        <f t="shared" si="13"/>
        <v>sonstige Betriebsausgaben</v>
      </c>
      <c r="F124" s="117">
        <f t="shared" si="11"/>
        <v>10.5</v>
      </c>
      <c r="G124" t="str">
        <f t="shared" si="12"/>
        <v>0%</v>
      </c>
      <c r="I124" s="53">
        <v>2023</v>
      </c>
      <c r="J124" s="53">
        <v>123</v>
      </c>
      <c r="K124" s="71" t="s">
        <v>105</v>
      </c>
      <c r="L124" t="s">
        <v>705</v>
      </c>
      <c r="M124" s="1"/>
      <c r="N124" s="1">
        <v>45127</v>
      </c>
      <c r="O124" t="s">
        <v>1032</v>
      </c>
      <c r="Q124" s="76"/>
      <c r="R124" t="b">
        <v>0</v>
      </c>
      <c r="S124" s="158">
        <v>10.5</v>
      </c>
      <c r="T124" s="159">
        <v>1</v>
      </c>
      <c r="U124">
        <v>0</v>
      </c>
      <c r="V124" s="31">
        <v>0</v>
      </c>
      <c r="W124" s="31">
        <v>0</v>
      </c>
      <c r="X124" s="33">
        <v>10.5</v>
      </c>
      <c r="Y124" s="29">
        <v>10.5</v>
      </c>
      <c r="Z124" s="29">
        <v>10.5</v>
      </c>
      <c r="AA124" s="35">
        <v>45184</v>
      </c>
      <c r="AB124" s="27"/>
      <c r="AC124" s="27">
        <v>20</v>
      </c>
      <c r="AD124" s="160">
        <v>10.5</v>
      </c>
      <c r="AE124" s="31">
        <v>2.1</v>
      </c>
      <c r="AF124" t="b">
        <v>0</v>
      </c>
      <c r="AG124" s="161">
        <v>-10.5</v>
      </c>
    </row>
    <row r="125" spans="1:33" x14ac:dyDescent="0.25">
      <c r="A125" t="str">
        <f t="shared" si="7"/>
        <v>2023-124</v>
      </c>
      <c r="B125" s="1">
        <f t="shared" si="8"/>
        <v>45128</v>
      </c>
      <c r="C125" t="str">
        <f t="shared" si="9"/>
        <v>/Magenta: T-Mobile Austria GmbH, A-1120 Wien, PF 47</v>
      </c>
      <c r="D125" t="str">
        <f t="shared" si="13"/>
        <v>Ausgaben</v>
      </c>
      <c r="E125" t="str">
        <f t="shared" si="13"/>
        <v>Telefon/Internet</v>
      </c>
      <c r="F125" s="117">
        <f t="shared" si="11"/>
        <v>38.304000000000002</v>
      </c>
      <c r="G125" t="str">
        <f t="shared" si="12"/>
        <v>20%</v>
      </c>
      <c r="I125" s="53">
        <v>2023</v>
      </c>
      <c r="J125" s="53">
        <v>124</v>
      </c>
      <c r="K125" s="71" t="s">
        <v>105</v>
      </c>
      <c r="L125" t="s">
        <v>703</v>
      </c>
      <c r="M125" s="131"/>
      <c r="N125" s="1">
        <v>45128</v>
      </c>
      <c r="O125" t="s">
        <v>1148</v>
      </c>
      <c r="Q125" s="76"/>
      <c r="R125" t="b">
        <v>0</v>
      </c>
      <c r="S125" s="162">
        <v>31.92</v>
      </c>
      <c r="T125" s="159">
        <v>1</v>
      </c>
      <c r="U125">
        <v>20</v>
      </c>
      <c r="V125" s="31">
        <v>6.3840000000000012</v>
      </c>
      <c r="W125" s="31">
        <v>6.3840000000000012</v>
      </c>
      <c r="X125" s="33">
        <v>31.92</v>
      </c>
      <c r="Y125" s="29">
        <v>38.304000000000002</v>
      </c>
      <c r="Z125" s="29">
        <v>38.304000000000002</v>
      </c>
      <c r="AA125" s="35">
        <v>45184</v>
      </c>
      <c r="AB125" s="27"/>
      <c r="AC125" s="27"/>
      <c r="AD125" s="160">
        <v>31.92</v>
      </c>
      <c r="AE125" s="31">
        <v>0</v>
      </c>
      <c r="AF125" t="b">
        <v>0</v>
      </c>
      <c r="AG125" s="161">
        <v>-31.92</v>
      </c>
    </row>
    <row r="126" spans="1:33" x14ac:dyDescent="0.25">
      <c r="A126" t="str">
        <f t="shared" si="7"/>
        <v>2023-125</v>
      </c>
      <c r="B126" s="1">
        <f t="shared" si="8"/>
        <v>45132</v>
      </c>
      <c r="C126" t="str">
        <f t="shared" si="9"/>
        <v>933382/Lemon Technologies GmbH, Unterweißenbach 181, 8330 Feldbach: Dell Precision 3580 Laptop</v>
      </c>
      <c r="D126" t="str">
        <f t="shared" si="13"/>
        <v>Ausgaben</v>
      </c>
      <c r="E126" t="str">
        <f t="shared" si="13"/>
        <v>sonstige Betriebsausgaben</v>
      </c>
      <c r="F126" s="117">
        <f t="shared" si="11"/>
        <v>2218.2599999999998</v>
      </c>
      <c r="G126" t="str">
        <f t="shared" si="12"/>
        <v>20%</v>
      </c>
      <c r="I126" s="53">
        <v>2023</v>
      </c>
      <c r="J126" s="53">
        <v>125</v>
      </c>
      <c r="K126" s="71" t="s">
        <v>105</v>
      </c>
      <c r="L126" t="s">
        <v>705</v>
      </c>
      <c r="M126" s="9" t="s">
        <v>1803</v>
      </c>
      <c r="N126" s="1">
        <v>45132</v>
      </c>
      <c r="O126" t="s">
        <v>1746</v>
      </c>
      <c r="P126">
        <v>3</v>
      </c>
      <c r="Q126" s="76"/>
      <c r="R126" t="b">
        <v>1</v>
      </c>
      <c r="S126" s="162">
        <v>1848.55</v>
      </c>
      <c r="T126" s="159">
        <v>1</v>
      </c>
      <c r="U126">
        <v>20</v>
      </c>
      <c r="V126" s="31">
        <v>369.71</v>
      </c>
      <c r="W126" s="31">
        <v>369.71</v>
      </c>
      <c r="X126" s="33">
        <v>1848.55</v>
      </c>
      <c r="Y126" s="29">
        <v>2218.2599999999998</v>
      </c>
      <c r="Z126" s="29">
        <v>2218.2599999999998</v>
      </c>
      <c r="AA126" s="35">
        <v>45245</v>
      </c>
      <c r="AB126" s="27"/>
      <c r="AC126" s="27"/>
      <c r="AD126" s="160">
        <v>616.18333333333328</v>
      </c>
      <c r="AE126" s="31">
        <v>0</v>
      </c>
      <c r="AF126" t="b">
        <v>0</v>
      </c>
      <c r="AG126" s="161">
        <v>-1848.55</v>
      </c>
    </row>
    <row r="127" spans="1:33" x14ac:dyDescent="0.25">
      <c r="A127" t="str">
        <f t="shared" si="7"/>
        <v>2023-126</v>
      </c>
      <c r="B127" s="1">
        <f t="shared" si="8"/>
        <v>45139</v>
      </c>
      <c r="C127" t="str">
        <f t="shared" si="9"/>
        <v>/Bontus Immobilienverwaltung GmbH, 1010 Wien, Franz Josefs Kai 65</v>
      </c>
      <c r="D127" t="str">
        <f t="shared" si="13"/>
        <v>Ausgaben</v>
      </c>
      <c r="E127" t="str">
        <f t="shared" si="13"/>
        <v>Miet- und Pachtaufwand, Leasing</v>
      </c>
      <c r="F127" s="117">
        <f t="shared" si="11"/>
        <v>639.73</v>
      </c>
      <c r="G127" t="str">
        <f t="shared" si="12"/>
        <v>20%</v>
      </c>
      <c r="I127" s="53">
        <v>2023</v>
      </c>
      <c r="J127" s="53">
        <v>126</v>
      </c>
      <c r="K127" s="71" t="s">
        <v>105</v>
      </c>
      <c r="L127" t="s">
        <v>691</v>
      </c>
      <c r="M127" s="9"/>
      <c r="N127" s="1">
        <v>45139</v>
      </c>
      <c r="O127" t="s">
        <v>1113</v>
      </c>
      <c r="Q127" s="76"/>
      <c r="R127" t="b">
        <v>0</v>
      </c>
      <c r="S127" s="158">
        <v>533.10833333333335</v>
      </c>
      <c r="T127" s="159">
        <v>1</v>
      </c>
      <c r="U127">
        <v>20</v>
      </c>
      <c r="V127" s="31">
        <v>106.62166666666668</v>
      </c>
      <c r="W127" s="31">
        <v>106.62166666666668</v>
      </c>
      <c r="X127" s="33">
        <v>533.10833333333335</v>
      </c>
      <c r="Y127" s="29">
        <v>639.73</v>
      </c>
      <c r="Z127" s="29">
        <v>639.73</v>
      </c>
      <c r="AA127" s="35">
        <v>45214</v>
      </c>
      <c r="AB127" s="27"/>
      <c r="AC127" s="27"/>
      <c r="AD127" s="160">
        <v>533.10833333333335</v>
      </c>
      <c r="AE127" s="31">
        <v>0</v>
      </c>
      <c r="AF127" t="b">
        <v>0</v>
      </c>
      <c r="AG127" s="161">
        <v>-533.10833333333335</v>
      </c>
    </row>
    <row r="128" spans="1:33" x14ac:dyDescent="0.25">
      <c r="A128" t="str">
        <f t="shared" si="7"/>
        <v>2023-127</v>
      </c>
      <c r="B128" s="1">
        <f t="shared" si="8"/>
        <v>45141</v>
      </c>
      <c r="C128" t="str">
        <f t="shared" si="9"/>
        <v>/Google Ireland Ltd, Gordon House, Barrow Street, Dublin 4, Ireland; VAT number: IE 6388047V</v>
      </c>
      <c r="D128" t="str">
        <f t="shared" si="13"/>
        <v>Ausgaben</v>
      </c>
      <c r="E128" t="str">
        <f t="shared" si="13"/>
        <v>sonstige Betriebsausgaben</v>
      </c>
      <c r="F128" s="117">
        <f t="shared" si="11"/>
        <v>10.4</v>
      </c>
      <c r="G128" t="str">
        <f t="shared" si="12"/>
        <v>0%</v>
      </c>
      <c r="I128" s="53">
        <v>2023</v>
      </c>
      <c r="J128" s="53">
        <v>127</v>
      </c>
      <c r="K128" s="71" t="s">
        <v>105</v>
      </c>
      <c r="L128" t="s">
        <v>705</v>
      </c>
      <c r="N128" s="1">
        <v>45141</v>
      </c>
      <c r="O128" t="s">
        <v>1404</v>
      </c>
      <c r="Q128" s="76"/>
      <c r="R128" t="b">
        <v>0</v>
      </c>
      <c r="S128" s="158">
        <v>10.4</v>
      </c>
      <c r="T128" s="159">
        <v>1</v>
      </c>
      <c r="U128">
        <v>0</v>
      </c>
      <c r="V128" s="31">
        <v>0</v>
      </c>
      <c r="W128" s="31">
        <v>0</v>
      </c>
      <c r="X128" s="33">
        <v>10.4</v>
      </c>
      <c r="Y128" s="29">
        <v>10.4</v>
      </c>
      <c r="Z128" s="29">
        <v>10.4</v>
      </c>
      <c r="AA128" s="35">
        <v>45214</v>
      </c>
      <c r="AB128" s="27"/>
      <c r="AC128" s="27">
        <v>20</v>
      </c>
      <c r="AD128" s="160">
        <v>10.4</v>
      </c>
      <c r="AE128" s="31">
        <v>2.08</v>
      </c>
      <c r="AF128" t="b">
        <v>0</v>
      </c>
      <c r="AG128" s="161">
        <v>-10.4</v>
      </c>
    </row>
    <row r="129" spans="1:33" x14ac:dyDescent="0.25">
      <c r="A129" t="str">
        <f t="shared" si="7"/>
        <v>2023-128</v>
      </c>
      <c r="B129" s="1">
        <f t="shared" si="8"/>
        <v>45141</v>
      </c>
      <c r="C129" t="str">
        <f t="shared" si="9"/>
        <v>/go green energy GmbH &amp; Co KG</v>
      </c>
      <c r="D129" t="str">
        <f t="shared" si="13"/>
        <v>Ausgaben</v>
      </c>
      <c r="E129" t="str">
        <f t="shared" si="13"/>
        <v>sonstige Betriebsausgaben</v>
      </c>
      <c r="F129" s="117">
        <f t="shared" si="11"/>
        <v>6</v>
      </c>
      <c r="G129" t="str">
        <f t="shared" si="12"/>
        <v>20%</v>
      </c>
      <c r="I129" s="53">
        <v>2023</v>
      </c>
      <c r="J129" s="53">
        <v>128</v>
      </c>
      <c r="K129" s="71" t="s">
        <v>105</v>
      </c>
      <c r="L129" t="s">
        <v>705</v>
      </c>
      <c r="N129" s="1">
        <v>45141</v>
      </c>
      <c r="O129" t="s">
        <v>1670</v>
      </c>
      <c r="Q129" s="76"/>
      <c r="R129" t="b">
        <v>0</v>
      </c>
      <c r="S129" s="162">
        <v>5</v>
      </c>
      <c r="T129" s="159">
        <v>1</v>
      </c>
      <c r="U129">
        <v>20</v>
      </c>
      <c r="V129" s="31">
        <v>1</v>
      </c>
      <c r="W129" s="31">
        <v>1</v>
      </c>
      <c r="X129" s="33">
        <v>5</v>
      </c>
      <c r="Y129" s="29">
        <v>6</v>
      </c>
      <c r="Z129" s="29">
        <v>6</v>
      </c>
      <c r="AA129" s="35">
        <v>45214</v>
      </c>
      <c r="AB129" s="27"/>
      <c r="AC129" s="27"/>
      <c r="AD129" s="160">
        <v>5</v>
      </c>
      <c r="AE129" s="31">
        <v>0</v>
      </c>
      <c r="AF129" t="b">
        <v>0</v>
      </c>
      <c r="AG129" s="161">
        <v>-5</v>
      </c>
    </row>
    <row r="130" spans="1:33" x14ac:dyDescent="0.25">
      <c r="A130" t="str">
        <f t="shared" ref="A130:A193" si="14">I130&amp;"-"&amp;J130</f>
        <v>2023-129</v>
      </c>
      <c r="B130" s="1">
        <f t="shared" ref="B130:B193" si="15">N130</f>
        <v>45141</v>
      </c>
      <c r="C130" t="str">
        <f t="shared" ref="C130:C193" si="16">M130&amp;"/"&amp;O130</f>
        <v>/Hutchison Drei Austria GmbH, Brünner Straße 52, 1210 Wien, Österreich</v>
      </c>
      <c r="D130" t="str">
        <f t="shared" ref="D130:E161" si="17">K130</f>
        <v>Ausgaben</v>
      </c>
      <c r="E130" t="str">
        <f t="shared" si="17"/>
        <v>Telefon/Internet</v>
      </c>
      <c r="F130" s="117">
        <f t="shared" ref="F130:F193" si="18">Z130</f>
        <v>12.9</v>
      </c>
      <c r="G130" t="str">
        <f t="shared" ref="G130:G193" si="19">U130&amp;"%"</f>
        <v>20%</v>
      </c>
      <c r="I130" s="53">
        <v>2023</v>
      </c>
      <c r="J130" s="53">
        <v>129</v>
      </c>
      <c r="K130" s="71" t="s">
        <v>105</v>
      </c>
      <c r="L130" t="s">
        <v>703</v>
      </c>
      <c r="M130" s="9"/>
      <c r="N130" s="1">
        <v>45141</v>
      </c>
      <c r="O130" t="s">
        <v>34</v>
      </c>
      <c r="Q130" s="76"/>
      <c r="R130" t="b">
        <v>0</v>
      </c>
      <c r="S130" s="162">
        <v>10.75</v>
      </c>
      <c r="T130" s="159">
        <v>1</v>
      </c>
      <c r="U130">
        <v>20</v>
      </c>
      <c r="V130" s="31">
        <v>2.15</v>
      </c>
      <c r="W130" s="31">
        <v>2.15</v>
      </c>
      <c r="X130" s="33">
        <v>10.75</v>
      </c>
      <c r="Y130" s="29">
        <v>12.9</v>
      </c>
      <c r="Z130" s="29">
        <v>12.9</v>
      </c>
      <c r="AA130" s="35">
        <v>45214</v>
      </c>
      <c r="AB130" s="27"/>
      <c r="AC130" s="27"/>
      <c r="AD130" s="160">
        <v>10.75</v>
      </c>
      <c r="AE130" s="31">
        <v>0</v>
      </c>
      <c r="AF130" t="b">
        <v>0</v>
      </c>
      <c r="AG130" s="161">
        <v>-10.75</v>
      </c>
    </row>
    <row r="131" spans="1:33" x14ac:dyDescent="0.25">
      <c r="A131" t="str">
        <f t="shared" si="14"/>
        <v>2023-130</v>
      </c>
      <c r="B131" s="1">
        <f t="shared" si="15"/>
        <v>45145</v>
      </c>
      <c r="C131" t="str">
        <f t="shared" si="16"/>
        <v>BELEG FEHLT/Techem Messtechnik GmbH; Abnehmernummer 501686-0003-11-</v>
      </c>
      <c r="D131" t="str">
        <f t="shared" si="17"/>
        <v>Ausgaben</v>
      </c>
      <c r="E131" t="str">
        <f t="shared" si="17"/>
        <v>Miet- und Pachtaufwand, Leasing</v>
      </c>
      <c r="F131" s="117">
        <f t="shared" si="18"/>
        <v>130.19999999999999</v>
      </c>
      <c r="G131" t="str">
        <f t="shared" si="19"/>
        <v>20%</v>
      </c>
      <c r="I131" s="53">
        <v>2023</v>
      </c>
      <c r="J131" s="53">
        <v>130</v>
      </c>
      <c r="K131" s="71" t="s">
        <v>105</v>
      </c>
      <c r="L131" t="s">
        <v>691</v>
      </c>
      <c r="M131" s="61" t="s">
        <v>1064</v>
      </c>
      <c r="N131" s="1">
        <v>45145</v>
      </c>
      <c r="O131" t="s">
        <v>1558</v>
      </c>
      <c r="Q131" s="76"/>
      <c r="R131" t="b">
        <v>0</v>
      </c>
      <c r="S131" s="158">
        <v>108.5</v>
      </c>
      <c r="T131" s="159">
        <v>1</v>
      </c>
      <c r="U131">
        <v>20</v>
      </c>
      <c r="V131" s="31">
        <v>21.7</v>
      </c>
      <c r="W131" s="31">
        <v>21.7</v>
      </c>
      <c r="X131" s="33">
        <v>108.5</v>
      </c>
      <c r="Y131" s="29">
        <v>130.19999999999999</v>
      </c>
      <c r="Z131" s="29">
        <v>130.19999999999999</v>
      </c>
      <c r="AA131" s="35">
        <v>45214</v>
      </c>
      <c r="AB131" s="27"/>
      <c r="AC131" s="27"/>
      <c r="AD131" s="160">
        <v>108.5</v>
      </c>
      <c r="AE131" s="31">
        <v>0</v>
      </c>
      <c r="AF131" t="b">
        <v>0</v>
      </c>
      <c r="AG131" s="161">
        <v>-108.5</v>
      </c>
    </row>
    <row r="132" spans="1:33" x14ac:dyDescent="0.25">
      <c r="A132" t="str">
        <f t="shared" si="14"/>
        <v>2023-131</v>
      </c>
      <c r="B132" s="1">
        <f t="shared" si="15"/>
        <v>45148</v>
      </c>
      <c r="C132" t="str">
        <f t="shared" si="16"/>
        <v>BELEG FEHLT/Wiener Netze GmbH, Erdbergstraße 236, 1110 Wien, Postfach 422; Jahresabrechnung vom 17.12.20: GUTSCHRIFT</v>
      </c>
      <c r="D132" t="str">
        <f t="shared" si="17"/>
        <v>Ausgaben</v>
      </c>
      <c r="E132" t="str">
        <f t="shared" si="17"/>
        <v>sonstige Betriebsausgaben</v>
      </c>
      <c r="F132" s="117">
        <f t="shared" si="18"/>
        <v>14.4</v>
      </c>
      <c r="G132" t="str">
        <f t="shared" si="19"/>
        <v>20%</v>
      </c>
      <c r="I132" s="53">
        <v>2023</v>
      </c>
      <c r="J132" s="53">
        <v>131</v>
      </c>
      <c r="K132" s="71" t="s">
        <v>105</v>
      </c>
      <c r="L132" t="s">
        <v>705</v>
      </c>
      <c r="M132" s="61" t="s">
        <v>1064</v>
      </c>
      <c r="N132" s="1">
        <v>45148</v>
      </c>
      <c r="O132" t="s">
        <v>1466</v>
      </c>
      <c r="Q132" s="76"/>
      <c r="R132" t="b">
        <v>0</v>
      </c>
      <c r="S132" s="162">
        <v>12</v>
      </c>
      <c r="T132" s="159">
        <v>1</v>
      </c>
      <c r="U132">
        <v>20</v>
      </c>
      <c r="V132" s="31">
        <v>2.4</v>
      </c>
      <c r="W132" s="31">
        <v>2.4</v>
      </c>
      <c r="X132" s="33">
        <v>12</v>
      </c>
      <c r="Y132" s="29">
        <v>14.4</v>
      </c>
      <c r="Z132" s="29">
        <v>14.4</v>
      </c>
      <c r="AA132" s="35">
        <v>45214</v>
      </c>
      <c r="AB132" s="27"/>
      <c r="AC132" s="27"/>
      <c r="AD132" s="160">
        <v>12</v>
      </c>
      <c r="AE132" s="31">
        <v>0</v>
      </c>
      <c r="AF132" t="b">
        <v>0</v>
      </c>
      <c r="AG132" s="161">
        <v>-12</v>
      </c>
    </row>
    <row r="133" spans="1:33" x14ac:dyDescent="0.25">
      <c r="A133" t="str">
        <f t="shared" si="14"/>
        <v>2023-132</v>
      </c>
      <c r="B133" s="1">
        <f t="shared" si="15"/>
        <v>45149</v>
      </c>
      <c r="C133" t="str">
        <f t="shared" si="16"/>
        <v>/Hetzner Online GmbH</v>
      </c>
      <c r="D133" t="str">
        <f t="shared" si="17"/>
        <v>Ausgaben</v>
      </c>
      <c r="E133" t="str">
        <f t="shared" si="17"/>
        <v>sonstige Betriebsausgaben</v>
      </c>
      <c r="F133" s="117">
        <f t="shared" si="18"/>
        <v>52.214100000000002</v>
      </c>
      <c r="G133" t="str">
        <f t="shared" si="19"/>
        <v>0%</v>
      </c>
      <c r="I133" s="53">
        <v>2023</v>
      </c>
      <c r="J133" s="53">
        <v>132</v>
      </c>
      <c r="K133" s="71" t="s">
        <v>105</v>
      </c>
      <c r="L133" t="s">
        <v>705</v>
      </c>
      <c r="M133" s="9"/>
      <c r="N133" s="1">
        <v>45149</v>
      </c>
      <c r="O133" t="s">
        <v>927</v>
      </c>
      <c r="Q133" s="76"/>
      <c r="R133" t="b">
        <v>0</v>
      </c>
      <c r="S133" s="162">
        <v>52.214100000000002</v>
      </c>
      <c r="T133" s="159">
        <v>1</v>
      </c>
      <c r="U133">
        <v>0</v>
      </c>
      <c r="V133" s="31">
        <v>0</v>
      </c>
      <c r="W133" s="31">
        <v>0</v>
      </c>
      <c r="X133" s="33">
        <v>52.214100000000002</v>
      </c>
      <c r="Y133" s="29">
        <v>52.214100000000002</v>
      </c>
      <c r="Z133" s="29">
        <v>52.214100000000002</v>
      </c>
      <c r="AA133" s="35">
        <v>45214</v>
      </c>
      <c r="AB133" s="27"/>
      <c r="AC133" s="27">
        <v>20</v>
      </c>
      <c r="AD133" s="160">
        <v>52.214100000000002</v>
      </c>
      <c r="AE133" s="31">
        <v>10.442820000000001</v>
      </c>
      <c r="AF133" t="b">
        <v>0</v>
      </c>
      <c r="AG133" s="161">
        <v>-52.214100000000002</v>
      </c>
    </row>
    <row r="134" spans="1:33" x14ac:dyDescent="0.25">
      <c r="A134" t="str">
        <f t="shared" si="14"/>
        <v>2023-133</v>
      </c>
      <c r="B134" s="1">
        <f t="shared" si="15"/>
        <v>45154</v>
      </c>
      <c r="C134" t="str">
        <f t="shared" si="16"/>
        <v>12023014+12023015/Hays Österreich GmbH, Bahnhof City Wien West , Europaplatz 3/5, 1150 Wien</v>
      </c>
      <c r="D134" t="str">
        <f t="shared" si="17"/>
        <v>Einnahmen</v>
      </c>
      <c r="E134" t="str">
        <f t="shared" si="17"/>
        <v>Waren-/Leistungserlöse</v>
      </c>
      <c r="F134" s="117">
        <f t="shared" si="18"/>
        <v>7911.9</v>
      </c>
      <c r="G134" t="str">
        <f t="shared" si="19"/>
        <v>20%</v>
      </c>
      <c r="I134" s="53">
        <v>2023</v>
      </c>
      <c r="J134" s="53">
        <v>133</v>
      </c>
      <c r="K134" s="71" t="s">
        <v>708</v>
      </c>
      <c r="L134" t="s">
        <v>709</v>
      </c>
      <c r="M134" s="39" t="s">
        <v>1745</v>
      </c>
      <c r="N134" s="1">
        <v>45154</v>
      </c>
      <c r="O134" t="s">
        <v>1652</v>
      </c>
      <c r="Q134" s="76"/>
      <c r="R134" t="b">
        <v>0</v>
      </c>
      <c r="S134" s="162">
        <v>6593.25</v>
      </c>
      <c r="T134" s="159">
        <v>1</v>
      </c>
      <c r="U134">
        <v>20</v>
      </c>
      <c r="V134" s="31">
        <v>1318.65</v>
      </c>
      <c r="W134" s="31">
        <v>1318.65</v>
      </c>
      <c r="X134" s="33">
        <v>6593.25</v>
      </c>
      <c r="Y134" s="29">
        <v>7911.9</v>
      </c>
      <c r="Z134" s="29">
        <v>7911.9</v>
      </c>
      <c r="AA134" s="35">
        <v>45214</v>
      </c>
      <c r="AB134" s="27"/>
      <c r="AC134" s="27"/>
      <c r="AD134" s="160">
        <v>6593.25</v>
      </c>
      <c r="AE134" s="31">
        <v>0</v>
      </c>
      <c r="AF134" t="b">
        <v>0</v>
      </c>
      <c r="AG134" s="161">
        <v>6593.25</v>
      </c>
    </row>
    <row r="135" spans="1:33" x14ac:dyDescent="0.25">
      <c r="A135" t="str">
        <f t="shared" si="14"/>
        <v>2023-134</v>
      </c>
      <c r="B135" s="1">
        <f t="shared" si="15"/>
        <v>45154</v>
      </c>
      <c r="C135" t="str">
        <f t="shared" si="16"/>
        <v>siehe 2022-140/Honorar Eva Jaros-Kolbitsch</v>
      </c>
      <c r="D135" t="str">
        <f t="shared" si="17"/>
        <v>Ausgaben</v>
      </c>
      <c r="E135" t="str">
        <f t="shared" si="17"/>
        <v>Personalaufwand</v>
      </c>
      <c r="F135" s="117">
        <f t="shared" si="18"/>
        <v>365</v>
      </c>
      <c r="G135" t="str">
        <f t="shared" si="19"/>
        <v>0%</v>
      </c>
      <c r="I135" s="53">
        <v>2023</v>
      </c>
      <c r="J135" s="53">
        <v>134</v>
      </c>
      <c r="K135" s="71" t="s">
        <v>105</v>
      </c>
      <c r="L135" t="s">
        <v>685</v>
      </c>
      <c r="M135" s="9" t="s">
        <v>1699</v>
      </c>
      <c r="N135" s="1">
        <v>45154</v>
      </c>
      <c r="O135" t="s">
        <v>1689</v>
      </c>
      <c r="Q135" s="76"/>
      <c r="R135" t="b">
        <v>0</v>
      </c>
      <c r="S135" s="162">
        <v>365</v>
      </c>
      <c r="T135" s="159">
        <v>1</v>
      </c>
      <c r="U135">
        <v>0</v>
      </c>
      <c r="V135" s="31">
        <v>0</v>
      </c>
      <c r="W135" s="31">
        <v>0</v>
      </c>
      <c r="X135" s="33">
        <v>365</v>
      </c>
      <c r="Y135" s="29">
        <v>365</v>
      </c>
      <c r="Z135" s="29">
        <v>365</v>
      </c>
      <c r="AA135" s="35">
        <v>45214</v>
      </c>
      <c r="AB135" s="27"/>
      <c r="AC135" s="27"/>
      <c r="AD135" s="160">
        <v>365</v>
      </c>
      <c r="AE135" s="31">
        <v>0</v>
      </c>
      <c r="AF135" t="b">
        <v>0</v>
      </c>
      <c r="AG135" s="161">
        <v>-365</v>
      </c>
    </row>
    <row r="136" spans="1:33" x14ac:dyDescent="0.25">
      <c r="A136" t="str">
        <f t="shared" si="14"/>
        <v>2023-135</v>
      </c>
      <c r="B136" s="1">
        <f t="shared" si="15"/>
        <v>45156</v>
      </c>
      <c r="C136" t="str">
        <f t="shared" si="16"/>
        <v>/Magenta: T-Mobile Austria GmbH, A-1120 Wien, PF 47</v>
      </c>
      <c r="D136" t="str">
        <f t="shared" si="17"/>
        <v>Ausgaben</v>
      </c>
      <c r="E136" t="str">
        <f t="shared" si="17"/>
        <v>Telefon/Internet</v>
      </c>
      <c r="F136" s="117">
        <f t="shared" si="18"/>
        <v>38.304000000000002</v>
      </c>
      <c r="G136" t="str">
        <f t="shared" si="19"/>
        <v>20%</v>
      </c>
      <c r="I136" s="53">
        <v>2023</v>
      </c>
      <c r="J136" s="53">
        <v>135</v>
      </c>
      <c r="K136" s="71" t="s">
        <v>105</v>
      </c>
      <c r="L136" t="s">
        <v>703</v>
      </c>
      <c r="M136" s="131"/>
      <c r="N136" s="1">
        <v>45156</v>
      </c>
      <c r="O136" t="s">
        <v>1148</v>
      </c>
      <c r="Q136" s="76"/>
      <c r="R136" t="b">
        <v>0</v>
      </c>
      <c r="S136" s="162">
        <v>31.92</v>
      </c>
      <c r="T136" s="159">
        <v>1</v>
      </c>
      <c r="U136">
        <v>20</v>
      </c>
      <c r="V136" s="31">
        <v>6.3840000000000012</v>
      </c>
      <c r="W136" s="31">
        <v>6.3840000000000012</v>
      </c>
      <c r="X136" s="33">
        <v>31.92</v>
      </c>
      <c r="Y136" s="29">
        <v>38.304000000000002</v>
      </c>
      <c r="Z136" s="29">
        <v>38.304000000000002</v>
      </c>
      <c r="AA136" s="35">
        <v>45214</v>
      </c>
      <c r="AB136" s="27"/>
      <c r="AC136" s="27"/>
      <c r="AD136" s="160">
        <v>31.92</v>
      </c>
      <c r="AE136" s="31">
        <v>0</v>
      </c>
      <c r="AF136" t="b">
        <v>0</v>
      </c>
      <c r="AG136" s="161">
        <v>-31.92</v>
      </c>
    </row>
    <row r="137" spans="1:33" x14ac:dyDescent="0.25">
      <c r="A137" t="str">
        <f t="shared" si="14"/>
        <v>2023-136</v>
      </c>
      <c r="B137" s="1">
        <f t="shared" si="15"/>
        <v>45159</v>
      </c>
      <c r="C137" t="str">
        <f t="shared" si="16"/>
        <v>/Microsoft Ireland Operations Ltd. One Microsoft Place, South County, Business Park, Leopardstown, Dublin 18, D18 P521, Ireland</v>
      </c>
      <c r="D137" t="str">
        <f t="shared" si="17"/>
        <v>Ausgaben</v>
      </c>
      <c r="E137" t="str">
        <f t="shared" si="17"/>
        <v>sonstige Betriebsausgaben</v>
      </c>
      <c r="F137" s="117">
        <f t="shared" si="18"/>
        <v>10.5</v>
      </c>
      <c r="G137" t="str">
        <f t="shared" si="19"/>
        <v>0%</v>
      </c>
      <c r="I137" s="53">
        <v>2023</v>
      </c>
      <c r="J137" s="53">
        <v>136</v>
      </c>
      <c r="K137" s="71" t="s">
        <v>105</v>
      </c>
      <c r="L137" t="s">
        <v>705</v>
      </c>
      <c r="M137" s="1"/>
      <c r="N137" s="1">
        <v>45159</v>
      </c>
      <c r="O137" t="s">
        <v>1032</v>
      </c>
      <c r="Q137" s="76"/>
      <c r="R137" t="b">
        <v>0</v>
      </c>
      <c r="S137" s="158">
        <v>10.5</v>
      </c>
      <c r="T137" s="159">
        <v>1</v>
      </c>
      <c r="U137">
        <v>0</v>
      </c>
      <c r="V137" s="31">
        <v>0</v>
      </c>
      <c r="W137" s="31">
        <v>0</v>
      </c>
      <c r="X137" s="33">
        <v>10.5</v>
      </c>
      <c r="Y137" s="29">
        <v>10.5</v>
      </c>
      <c r="Z137" s="29">
        <v>10.5</v>
      </c>
      <c r="AA137" s="35">
        <v>45214</v>
      </c>
      <c r="AB137" s="27"/>
      <c r="AC137" s="27">
        <v>20</v>
      </c>
      <c r="AD137" s="160">
        <v>10.5</v>
      </c>
      <c r="AE137" s="31">
        <v>2.1</v>
      </c>
      <c r="AF137" t="b">
        <v>0</v>
      </c>
      <c r="AG137" s="161">
        <v>-10.5</v>
      </c>
    </row>
    <row r="138" spans="1:33" x14ac:dyDescent="0.25">
      <c r="A138" t="str">
        <f t="shared" si="14"/>
        <v>2023-137</v>
      </c>
      <c r="B138" s="1">
        <f t="shared" si="15"/>
        <v>45155</v>
      </c>
      <c r="C138" t="str">
        <f t="shared" si="16"/>
        <v>/ÖBB-Personenverkehr AG, FN248742y</v>
      </c>
      <c r="D138" t="str">
        <f t="shared" si="17"/>
        <v>Ausgaben</v>
      </c>
      <c r="E138" t="str">
        <f t="shared" si="17"/>
        <v>Reise- und Fahrtspesen inkl. Kilometergeld und Diäten</v>
      </c>
      <c r="F138" s="117">
        <f t="shared" si="18"/>
        <v>85.299999999999983</v>
      </c>
      <c r="G138" t="str">
        <f t="shared" si="19"/>
        <v>10%</v>
      </c>
      <c r="I138" s="53">
        <v>2023</v>
      </c>
      <c r="J138" s="53">
        <v>137</v>
      </c>
      <c r="K138" s="71" t="s">
        <v>105</v>
      </c>
      <c r="L138" t="s">
        <v>689</v>
      </c>
      <c r="M138" s="9"/>
      <c r="N138" s="1">
        <v>45155</v>
      </c>
      <c r="O138" t="s">
        <v>1029</v>
      </c>
      <c r="Q138" s="76"/>
      <c r="R138" t="b">
        <v>0</v>
      </c>
      <c r="S138" s="162">
        <v>77.545454545454533</v>
      </c>
      <c r="T138" s="159">
        <v>1</v>
      </c>
      <c r="U138">
        <v>10</v>
      </c>
      <c r="V138" s="31">
        <v>7.7545454545454531</v>
      </c>
      <c r="W138" s="31">
        <v>7.7545454545454531</v>
      </c>
      <c r="X138" s="33">
        <v>77.545454545454533</v>
      </c>
      <c r="Y138" s="29">
        <v>85.299999999999983</v>
      </c>
      <c r="Z138" s="29">
        <v>85.299999999999983</v>
      </c>
      <c r="AA138" s="35">
        <v>45245</v>
      </c>
      <c r="AB138" s="27"/>
      <c r="AC138" s="27"/>
      <c r="AD138" s="160">
        <v>77.545454545454533</v>
      </c>
      <c r="AE138" s="31">
        <v>0</v>
      </c>
      <c r="AF138" t="b">
        <v>0</v>
      </c>
      <c r="AG138" s="161">
        <v>-77.545454545454533</v>
      </c>
    </row>
    <row r="139" spans="1:33" x14ac:dyDescent="0.25">
      <c r="A139" t="str">
        <f t="shared" si="14"/>
        <v>2023-138</v>
      </c>
      <c r="B139" s="1">
        <f t="shared" si="15"/>
        <v>45162</v>
      </c>
      <c r="C139" t="str">
        <f t="shared" si="16"/>
        <v>BELEG FEHLT/Techem Messtechnik GmbH; Abnehmernummer 501686-0003-11-</v>
      </c>
      <c r="D139" t="str">
        <f t="shared" si="17"/>
        <v>Ausgaben</v>
      </c>
      <c r="E139" t="str">
        <f t="shared" si="17"/>
        <v>Miet- und Pachtaufwand, Leasing</v>
      </c>
      <c r="F139" s="117">
        <f t="shared" si="18"/>
        <v>-905.73599999999999</v>
      </c>
      <c r="G139" t="str">
        <f t="shared" si="19"/>
        <v>20%</v>
      </c>
      <c r="I139" s="53">
        <v>2023</v>
      </c>
      <c r="J139" s="53">
        <v>138</v>
      </c>
      <c r="K139" s="71" t="s">
        <v>105</v>
      </c>
      <c r="L139" t="s">
        <v>691</v>
      </c>
      <c r="M139" s="61" t="s">
        <v>1064</v>
      </c>
      <c r="N139" s="1">
        <v>45162</v>
      </c>
      <c r="O139" t="s">
        <v>1558</v>
      </c>
      <c r="Q139" s="76"/>
      <c r="R139" t="b">
        <v>0</v>
      </c>
      <c r="S139" s="158">
        <v>-754.78</v>
      </c>
      <c r="T139" s="159">
        <v>1</v>
      </c>
      <c r="U139">
        <v>20</v>
      </c>
      <c r="V139" s="31">
        <v>-150.95599999999999</v>
      </c>
      <c r="W139" s="31">
        <v>-150.95599999999999</v>
      </c>
      <c r="X139" s="33">
        <v>-754.78</v>
      </c>
      <c r="Y139" s="29">
        <v>-905.73599999999999</v>
      </c>
      <c r="Z139" s="29">
        <v>-905.73599999999999</v>
      </c>
      <c r="AA139" s="35">
        <v>45214</v>
      </c>
      <c r="AB139" s="27"/>
      <c r="AC139" s="27"/>
      <c r="AD139" s="160">
        <v>-754.78</v>
      </c>
      <c r="AE139" s="31">
        <v>0</v>
      </c>
      <c r="AF139" t="b">
        <v>0</v>
      </c>
      <c r="AG139" s="161">
        <v>754.78</v>
      </c>
    </row>
    <row r="140" spans="1:33" x14ac:dyDescent="0.25">
      <c r="A140" t="str">
        <f t="shared" si="14"/>
        <v>2023-139</v>
      </c>
      <c r="B140" s="1">
        <f t="shared" si="15"/>
        <v>44927</v>
      </c>
      <c r="C140" t="str">
        <f t="shared" si="16"/>
        <v>071149/STORNO  "Libro" PL Handelsgesellschaft mbH, 1080 Wien, Josefstädter Straße 105, ATU 56240311</v>
      </c>
      <c r="D140" t="str">
        <f t="shared" si="17"/>
        <v>Ausgaben</v>
      </c>
      <c r="E140" t="str">
        <f t="shared" si="17"/>
        <v>Büromaterial</v>
      </c>
      <c r="F140" s="117">
        <f t="shared" si="18"/>
        <v>-8.68</v>
      </c>
      <c r="G140" t="str">
        <f t="shared" si="19"/>
        <v>20%</v>
      </c>
      <c r="I140" s="53">
        <v>2023</v>
      </c>
      <c r="J140" s="53">
        <v>139</v>
      </c>
      <c r="K140" s="71" t="s">
        <v>105</v>
      </c>
      <c r="L140" t="s">
        <v>339</v>
      </c>
      <c r="M140" s="9" t="s">
        <v>1726</v>
      </c>
      <c r="N140" s="1">
        <v>44927</v>
      </c>
      <c r="O140" s="154" t="s">
        <v>1747</v>
      </c>
      <c r="Q140" s="76"/>
      <c r="R140" t="b">
        <v>0</v>
      </c>
      <c r="S140" s="48">
        <v>-7.2333333333333334</v>
      </c>
      <c r="T140" s="72">
        <v>1</v>
      </c>
      <c r="U140">
        <v>20</v>
      </c>
      <c r="V140" s="31">
        <v>-1.4466666666666665</v>
      </c>
      <c r="W140" s="31">
        <v>-1.4466666666666665</v>
      </c>
      <c r="X140" s="33">
        <v>-7.2333333333333334</v>
      </c>
      <c r="Y140" s="29">
        <v>-8.68</v>
      </c>
      <c r="Z140" s="29">
        <v>-8.68</v>
      </c>
      <c r="AA140" s="35">
        <v>45000</v>
      </c>
      <c r="AB140" s="27"/>
      <c r="AC140" s="27"/>
      <c r="AD140" s="58">
        <v>-7.2333333333333334</v>
      </c>
      <c r="AE140" s="31">
        <v>0</v>
      </c>
      <c r="AF140" t="b">
        <v>0</v>
      </c>
      <c r="AG140" s="78">
        <v>7.2333333333333334</v>
      </c>
    </row>
    <row r="141" spans="1:33" x14ac:dyDescent="0.25">
      <c r="A141" t="str">
        <f t="shared" si="14"/>
        <v>2023-140</v>
      </c>
      <c r="B141" s="1">
        <f t="shared" si="15"/>
        <v>45168</v>
      </c>
      <c r="C141" t="str">
        <f t="shared" si="16"/>
        <v>11561270283/Sozialversicherung der gewerblichen Wirtshaft</v>
      </c>
      <c r="D141" t="str">
        <f t="shared" si="17"/>
        <v>Ausgaben</v>
      </c>
      <c r="E141" t="str">
        <f t="shared" si="17"/>
        <v>Pflichversicherungsbeiträge</v>
      </c>
      <c r="F141" s="117">
        <f t="shared" si="18"/>
        <v>5395.81</v>
      </c>
      <c r="G141" t="str">
        <f t="shared" si="19"/>
        <v>0%</v>
      </c>
      <c r="I141" s="53">
        <v>2023</v>
      </c>
      <c r="J141" s="53">
        <v>140</v>
      </c>
      <c r="K141" s="71" t="s">
        <v>105</v>
      </c>
      <c r="L141" t="s">
        <v>695</v>
      </c>
      <c r="M141" s="9">
        <v>11561270283</v>
      </c>
      <c r="N141" s="1">
        <v>45168</v>
      </c>
      <c r="O141" t="s">
        <v>952</v>
      </c>
      <c r="Q141" s="76"/>
      <c r="R141" t="b">
        <v>0</v>
      </c>
      <c r="S141" s="48">
        <v>5395.81</v>
      </c>
      <c r="T141" s="72">
        <v>1</v>
      </c>
      <c r="U141">
        <v>0</v>
      </c>
      <c r="V141" s="31">
        <v>0</v>
      </c>
      <c r="W141" s="31">
        <v>0</v>
      </c>
      <c r="X141" s="33">
        <v>5395.81</v>
      </c>
      <c r="Y141" s="29">
        <v>5395.81</v>
      </c>
      <c r="Z141" s="29">
        <v>5395.81</v>
      </c>
      <c r="AA141" s="35">
        <v>45245</v>
      </c>
      <c r="AB141" s="27"/>
      <c r="AC141" s="27"/>
      <c r="AD141" s="58">
        <v>5395.81</v>
      </c>
      <c r="AE141" s="31">
        <v>0</v>
      </c>
      <c r="AF141" t="b">
        <v>0</v>
      </c>
      <c r="AG141" s="78">
        <v>-5395.81</v>
      </c>
    </row>
    <row r="142" spans="1:33" x14ac:dyDescent="0.25">
      <c r="A142" t="str">
        <f t="shared" si="14"/>
        <v>2023-141</v>
      </c>
      <c r="B142" s="1">
        <f t="shared" si="15"/>
        <v>45170</v>
      </c>
      <c r="C142" t="str">
        <f t="shared" si="16"/>
        <v>/Bontus Immobilienverwaltung GmbH, 1010 Wien, Franz Josefs Kai 65</v>
      </c>
      <c r="D142" t="str">
        <f t="shared" si="17"/>
        <v>Ausgaben</v>
      </c>
      <c r="E142" t="str">
        <f t="shared" si="17"/>
        <v>Miet- und Pachtaufwand, Leasing</v>
      </c>
      <c r="F142" s="117">
        <f t="shared" si="18"/>
        <v>639.73</v>
      </c>
      <c r="G142" t="str">
        <f t="shared" si="19"/>
        <v>20%</v>
      </c>
      <c r="I142" s="53">
        <v>2023</v>
      </c>
      <c r="J142" s="53">
        <v>141</v>
      </c>
      <c r="K142" s="71" t="s">
        <v>105</v>
      </c>
      <c r="L142" t="s">
        <v>691</v>
      </c>
      <c r="M142" s="9"/>
      <c r="N142" s="1">
        <v>45170</v>
      </c>
      <c r="O142" t="s">
        <v>1113</v>
      </c>
      <c r="Q142" s="76"/>
      <c r="R142" t="b">
        <v>0</v>
      </c>
      <c r="S142" s="109">
        <v>533.10833333333335</v>
      </c>
      <c r="T142" s="72">
        <v>1</v>
      </c>
      <c r="U142">
        <v>20</v>
      </c>
      <c r="V142" s="31">
        <v>106.62166666666668</v>
      </c>
      <c r="W142" s="31">
        <v>106.62166666666668</v>
      </c>
      <c r="X142" s="33">
        <v>533.10833333333335</v>
      </c>
      <c r="Y142" s="29">
        <v>639.73</v>
      </c>
      <c r="Z142" s="29">
        <v>639.73</v>
      </c>
      <c r="AA142" s="35">
        <v>45245</v>
      </c>
      <c r="AB142" s="27"/>
      <c r="AC142" s="27"/>
      <c r="AD142" s="58">
        <v>533.10833333333335</v>
      </c>
      <c r="AE142" s="31">
        <v>0</v>
      </c>
      <c r="AF142" t="b">
        <v>0</v>
      </c>
      <c r="AG142" s="78">
        <v>-533.10833333333335</v>
      </c>
    </row>
    <row r="143" spans="1:33" x14ac:dyDescent="0.25">
      <c r="A143" t="str">
        <f t="shared" si="14"/>
        <v>2023-142</v>
      </c>
      <c r="B143" s="1">
        <f t="shared" si="15"/>
        <v>45173</v>
      </c>
      <c r="C143" t="str">
        <f t="shared" si="16"/>
        <v>/Hutchison Drei Austria GmbH, Brünner Straße 52, 1210 Wien, Österreich</v>
      </c>
      <c r="D143" t="str">
        <f t="shared" si="17"/>
        <v>Ausgaben</v>
      </c>
      <c r="E143" t="str">
        <f t="shared" si="17"/>
        <v>Telefon/Internet</v>
      </c>
      <c r="F143" s="117">
        <f t="shared" si="18"/>
        <v>12.9</v>
      </c>
      <c r="G143" t="str">
        <f t="shared" si="19"/>
        <v>20%</v>
      </c>
      <c r="I143" s="53">
        <v>2023</v>
      </c>
      <c r="J143" s="53">
        <v>142</v>
      </c>
      <c r="K143" s="71" t="s">
        <v>105</v>
      </c>
      <c r="L143" t="s">
        <v>703</v>
      </c>
      <c r="N143" s="1">
        <v>45173</v>
      </c>
      <c r="O143" t="s">
        <v>34</v>
      </c>
      <c r="Q143" s="76"/>
      <c r="R143" t="b">
        <v>0</v>
      </c>
      <c r="S143" s="48">
        <v>10.75</v>
      </c>
      <c r="T143" s="159">
        <v>1</v>
      </c>
      <c r="U143">
        <v>20</v>
      </c>
      <c r="V143" s="31">
        <v>2.15</v>
      </c>
      <c r="W143" s="31">
        <v>2.15</v>
      </c>
      <c r="X143" s="33">
        <v>10.75</v>
      </c>
      <c r="Y143" s="29">
        <v>12.9</v>
      </c>
      <c r="Z143" s="29">
        <v>12.9</v>
      </c>
      <c r="AA143" s="35">
        <v>45245</v>
      </c>
      <c r="AB143" s="27"/>
      <c r="AC143" s="27"/>
      <c r="AD143" s="160">
        <v>10.75</v>
      </c>
      <c r="AE143" s="31">
        <v>0</v>
      </c>
      <c r="AF143" t="b">
        <v>0</v>
      </c>
      <c r="AG143" s="161">
        <v>-10.75</v>
      </c>
    </row>
    <row r="144" spans="1:33" x14ac:dyDescent="0.25">
      <c r="A144" t="str">
        <f t="shared" si="14"/>
        <v>2023-143</v>
      </c>
      <c r="B144" s="1">
        <f t="shared" si="15"/>
        <v>45173</v>
      </c>
      <c r="C144" t="str">
        <f t="shared" si="16"/>
        <v>/Google Ireland Ltd, Gordon House, Barrow Street, Dublin 4, Ireland; VAT number: IE 6388047V</v>
      </c>
      <c r="D144" t="str">
        <f t="shared" si="17"/>
        <v>Ausgaben</v>
      </c>
      <c r="E144" t="str">
        <f t="shared" si="17"/>
        <v>sonstige Betriebsausgaben</v>
      </c>
      <c r="F144" s="117">
        <f t="shared" si="18"/>
        <v>10.4</v>
      </c>
      <c r="G144" t="str">
        <f t="shared" si="19"/>
        <v>0%</v>
      </c>
      <c r="I144" s="53">
        <v>2023</v>
      </c>
      <c r="J144" s="53">
        <v>143</v>
      </c>
      <c r="K144" s="71" t="s">
        <v>105</v>
      </c>
      <c r="L144" t="s">
        <v>705</v>
      </c>
      <c r="N144" s="1">
        <v>45173</v>
      </c>
      <c r="O144" t="s">
        <v>1404</v>
      </c>
      <c r="Q144" s="76"/>
      <c r="R144" t="b">
        <v>0</v>
      </c>
      <c r="S144" s="158">
        <v>10.4</v>
      </c>
      <c r="T144" s="159">
        <v>1</v>
      </c>
      <c r="U144">
        <v>0</v>
      </c>
      <c r="V144" s="31">
        <v>0</v>
      </c>
      <c r="W144" s="31">
        <v>0</v>
      </c>
      <c r="X144" s="33">
        <v>10.4</v>
      </c>
      <c r="Y144" s="29">
        <v>10.4</v>
      </c>
      <c r="Z144" s="29">
        <v>10.4</v>
      </c>
      <c r="AA144" s="35">
        <v>45245</v>
      </c>
      <c r="AB144" s="27"/>
      <c r="AC144" s="27">
        <v>20</v>
      </c>
      <c r="AD144" s="160">
        <v>10.4</v>
      </c>
      <c r="AE144" s="31">
        <v>2.08</v>
      </c>
      <c r="AF144" t="b">
        <v>0</v>
      </c>
      <c r="AG144" s="161">
        <v>-10.4</v>
      </c>
    </row>
    <row r="145" spans="1:33" x14ac:dyDescent="0.25">
      <c r="A145" t="str">
        <f t="shared" si="14"/>
        <v>2023-144</v>
      </c>
      <c r="B145" s="1">
        <f t="shared" si="15"/>
        <v>45174</v>
      </c>
      <c r="C145" t="str">
        <f t="shared" si="16"/>
        <v>BELEG FEHLT/go green energy GmbH &amp; Co KG</v>
      </c>
      <c r="D145" t="str">
        <f t="shared" si="17"/>
        <v>Ausgaben</v>
      </c>
      <c r="E145" t="str">
        <f t="shared" si="17"/>
        <v>sonstige Betriebsausgaben</v>
      </c>
      <c r="F145" s="117">
        <f t="shared" si="18"/>
        <v>6</v>
      </c>
      <c r="G145" t="str">
        <f t="shared" si="19"/>
        <v>20%</v>
      </c>
      <c r="I145" s="53">
        <v>2023</v>
      </c>
      <c r="J145" s="53">
        <v>144</v>
      </c>
      <c r="K145" s="71" t="s">
        <v>105</v>
      </c>
      <c r="L145" t="s">
        <v>705</v>
      </c>
      <c r="M145" s="61" t="s">
        <v>1064</v>
      </c>
      <c r="N145" s="1">
        <v>45174</v>
      </c>
      <c r="O145" t="s">
        <v>1670</v>
      </c>
      <c r="Q145" s="76"/>
      <c r="R145" t="b">
        <v>0</v>
      </c>
      <c r="S145" s="162">
        <v>5</v>
      </c>
      <c r="T145" s="159">
        <v>1</v>
      </c>
      <c r="U145">
        <v>20</v>
      </c>
      <c r="V145" s="31">
        <v>1</v>
      </c>
      <c r="W145" s="31">
        <v>1</v>
      </c>
      <c r="X145" s="33">
        <v>5</v>
      </c>
      <c r="Y145" s="29">
        <v>6</v>
      </c>
      <c r="Z145" s="29">
        <v>6</v>
      </c>
      <c r="AA145" s="35">
        <v>45245</v>
      </c>
      <c r="AB145" s="27"/>
      <c r="AC145" s="27"/>
      <c r="AD145" s="160">
        <v>5</v>
      </c>
      <c r="AE145" s="31">
        <v>0</v>
      </c>
      <c r="AF145" t="b">
        <v>0</v>
      </c>
      <c r="AG145" s="161">
        <v>-5</v>
      </c>
    </row>
    <row r="146" spans="1:33" x14ac:dyDescent="0.25">
      <c r="A146" t="str">
        <f t="shared" si="14"/>
        <v>2023-145</v>
      </c>
      <c r="B146" s="1">
        <f t="shared" si="15"/>
        <v>45175</v>
      </c>
      <c r="C146" t="str">
        <f t="shared" si="16"/>
        <v>BELEG FEHLT/Techem Messtechnik GmbH; Abnehmernummer 501686-0003-11-</v>
      </c>
      <c r="D146" t="str">
        <f t="shared" si="17"/>
        <v>Ausgaben</v>
      </c>
      <c r="E146" t="str">
        <f t="shared" si="17"/>
        <v>Miet- und Pachtaufwand, Leasing</v>
      </c>
      <c r="F146" s="117">
        <f t="shared" si="18"/>
        <v>130.19999999999999</v>
      </c>
      <c r="G146" t="str">
        <f t="shared" si="19"/>
        <v>20%</v>
      </c>
      <c r="I146" s="53">
        <v>2023</v>
      </c>
      <c r="J146" s="53">
        <v>145</v>
      </c>
      <c r="K146" s="71" t="s">
        <v>105</v>
      </c>
      <c r="L146" t="s">
        <v>691</v>
      </c>
      <c r="M146" s="61" t="s">
        <v>1064</v>
      </c>
      <c r="N146" s="1">
        <v>45175</v>
      </c>
      <c r="O146" t="s">
        <v>1558</v>
      </c>
      <c r="Q146" s="76"/>
      <c r="R146" t="b">
        <v>0</v>
      </c>
      <c r="S146" s="158">
        <v>108.5</v>
      </c>
      <c r="T146" s="159">
        <v>1</v>
      </c>
      <c r="U146">
        <v>20</v>
      </c>
      <c r="V146" s="31">
        <v>21.7</v>
      </c>
      <c r="W146" s="31">
        <v>21.7</v>
      </c>
      <c r="X146" s="33">
        <v>108.5</v>
      </c>
      <c r="Y146" s="29">
        <v>130.19999999999999</v>
      </c>
      <c r="Z146" s="29">
        <v>130.19999999999999</v>
      </c>
      <c r="AA146" s="35">
        <v>45245</v>
      </c>
      <c r="AB146" s="27"/>
      <c r="AC146" s="27"/>
      <c r="AD146" s="160">
        <v>108.5</v>
      </c>
      <c r="AE146" s="31">
        <v>0</v>
      </c>
      <c r="AF146" t="b">
        <v>0</v>
      </c>
      <c r="AG146" s="161">
        <v>-108.5</v>
      </c>
    </row>
    <row r="147" spans="1:33" x14ac:dyDescent="0.25">
      <c r="A147" t="str">
        <f t="shared" si="14"/>
        <v>2023-146</v>
      </c>
      <c r="B147" s="1">
        <f t="shared" si="15"/>
        <v>45180</v>
      </c>
      <c r="C147" t="str">
        <f t="shared" si="16"/>
        <v>BELEG FEHLT/Wiener Netze GmbH, Erdbergstraße 236, 1110 Wien, Postfach 422; Jahresabrechnung vom 17.12.20: GUTSCHRIFT</v>
      </c>
      <c r="D147" t="str">
        <f t="shared" si="17"/>
        <v>Ausgaben</v>
      </c>
      <c r="E147" t="str">
        <f t="shared" si="17"/>
        <v>sonstige Betriebsausgaben</v>
      </c>
      <c r="F147" s="117">
        <f t="shared" si="18"/>
        <v>14.4</v>
      </c>
      <c r="G147" t="str">
        <f t="shared" si="19"/>
        <v>20%</v>
      </c>
      <c r="I147" s="53">
        <v>2023</v>
      </c>
      <c r="J147" s="53">
        <v>146</v>
      </c>
      <c r="K147" s="71" t="s">
        <v>105</v>
      </c>
      <c r="L147" t="s">
        <v>705</v>
      </c>
      <c r="M147" s="61" t="s">
        <v>1064</v>
      </c>
      <c r="N147" s="1">
        <v>45180</v>
      </c>
      <c r="O147" t="s">
        <v>1466</v>
      </c>
      <c r="Q147" s="76"/>
      <c r="R147" t="b">
        <v>0</v>
      </c>
      <c r="S147" s="162">
        <v>12</v>
      </c>
      <c r="T147" s="159">
        <v>1</v>
      </c>
      <c r="U147">
        <v>20</v>
      </c>
      <c r="V147" s="31">
        <v>2.4</v>
      </c>
      <c r="W147" s="31">
        <v>2.4</v>
      </c>
      <c r="X147" s="33">
        <v>12</v>
      </c>
      <c r="Y147" s="29">
        <v>14.4</v>
      </c>
      <c r="Z147" s="29">
        <v>14.4</v>
      </c>
      <c r="AA147" s="35">
        <v>45245</v>
      </c>
      <c r="AB147" s="27"/>
      <c r="AC147" s="27"/>
      <c r="AD147" s="160">
        <v>12</v>
      </c>
      <c r="AE147" s="31">
        <v>0</v>
      </c>
      <c r="AF147" t="b">
        <v>0</v>
      </c>
      <c r="AG147" s="161">
        <v>-12</v>
      </c>
    </row>
    <row r="148" spans="1:33" x14ac:dyDescent="0.25">
      <c r="A148" t="str">
        <f t="shared" si="14"/>
        <v>2023-147</v>
      </c>
      <c r="B148" s="1">
        <f t="shared" si="15"/>
        <v>45181</v>
      </c>
      <c r="C148" t="str">
        <f t="shared" si="16"/>
        <v>12023017/Hays Österreich GmbH, Bahnhof City Wien West , Europaplatz 3/5, 1150 Wien</v>
      </c>
      <c r="D148" t="str">
        <f t="shared" si="17"/>
        <v>Einnahmen</v>
      </c>
      <c r="E148" t="str">
        <f t="shared" si="17"/>
        <v>Waren-/Leistungserlöse</v>
      </c>
      <c r="F148" s="117">
        <f t="shared" si="18"/>
        <v>18186.755999999998</v>
      </c>
      <c r="G148" t="str">
        <f t="shared" si="19"/>
        <v>20%</v>
      </c>
      <c r="I148" s="53">
        <v>2023</v>
      </c>
      <c r="J148" s="53">
        <v>147</v>
      </c>
      <c r="K148" s="71" t="s">
        <v>708</v>
      </c>
      <c r="L148" t="s">
        <v>709</v>
      </c>
      <c r="M148" s="39">
        <v>12023017</v>
      </c>
      <c r="N148" s="1">
        <v>45181</v>
      </c>
      <c r="O148" t="s">
        <v>1652</v>
      </c>
      <c r="Q148" s="76"/>
      <c r="R148" t="b">
        <v>0</v>
      </c>
      <c r="S148" s="162">
        <v>15155.63</v>
      </c>
      <c r="T148" s="159">
        <v>1</v>
      </c>
      <c r="U148">
        <v>20</v>
      </c>
      <c r="V148" s="31">
        <v>3031.1259999999997</v>
      </c>
      <c r="W148" s="31">
        <v>3031.1259999999997</v>
      </c>
      <c r="X148" s="33">
        <v>15155.63</v>
      </c>
      <c r="Y148" s="29">
        <v>18186.755999999998</v>
      </c>
      <c r="Z148" s="29">
        <v>18186.755999999998</v>
      </c>
      <c r="AA148" s="35">
        <v>45245</v>
      </c>
      <c r="AB148" s="27"/>
      <c r="AC148" s="27"/>
      <c r="AD148" s="160">
        <v>15155.63</v>
      </c>
      <c r="AE148" s="31">
        <v>0</v>
      </c>
      <c r="AF148" t="b">
        <v>0</v>
      </c>
      <c r="AG148" s="161">
        <v>15155.63</v>
      </c>
    </row>
    <row r="149" spans="1:33" x14ac:dyDescent="0.25">
      <c r="A149" t="str">
        <f t="shared" si="14"/>
        <v>2023-148</v>
      </c>
      <c r="B149" s="1">
        <f t="shared" si="15"/>
        <v>45182</v>
      </c>
      <c r="C149" t="str">
        <f t="shared" si="16"/>
        <v>/Hetzner Online GmbH</v>
      </c>
      <c r="D149" t="str">
        <f t="shared" si="17"/>
        <v>Ausgaben</v>
      </c>
      <c r="E149" t="str">
        <f t="shared" si="17"/>
        <v>sonstige Betriebsausgaben</v>
      </c>
      <c r="F149" s="117">
        <f t="shared" si="18"/>
        <v>52.214100000000002</v>
      </c>
      <c r="G149" t="str">
        <f t="shared" si="19"/>
        <v>0%</v>
      </c>
      <c r="I149" s="53">
        <v>2023</v>
      </c>
      <c r="J149" s="53">
        <v>148</v>
      </c>
      <c r="K149" s="71" t="s">
        <v>105</v>
      </c>
      <c r="L149" t="s">
        <v>705</v>
      </c>
      <c r="M149" s="9"/>
      <c r="N149" s="1">
        <v>45182</v>
      </c>
      <c r="O149" t="s">
        <v>927</v>
      </c>
      <c r="Q149" s="76"/>
      <c r="R149" t="b">
        <v>0</v>
      </c>
      <c r="S149" s="162">
        <v>52.214100000000002</v>
      </c>
      <c r="T149" s="159">
        <v>1</v>
      </c>
      <c r="U149">
        <v>0</v>
      </c>
      <c r="V149" s="31">
        <v>0</v>
      </c>
      <c r="W149" s="31">
        <v>0</v>
      </c>
      <c r="X149" s="33">
        <v>52.214100000000002</v>
      </c>
      <c r="Y149" s="29">
        <v>52.214100000000002</v>
      </c>
      <c r="Z149" s="29">
        <v>52.214100000000002</v>
      </c>
      <c r="AA149" s="35">
        <v>45245</v>
      </c>
      <c r="AB149" s="27"/>
      <c r="AC149" s="27">
        <v>20</v>
      </c>
      <c r="AD149" s="160">
        <v>52.214100000000002</v>
      </c>
      <c r="AE149" s="31">
        <v>10.442820000000001</v>
      </c>
      <c r="AF149" t="b">
        <v>0</v>
      </c>
      <c r="AG149" s="161">
        <v>-52.214100000000002</v>
      </c>
    </row>
    <row r="150" spans="1:33" x14ac:dyDescent="0.25">
      <c r="A150" t="str">
        <f t="shared" si="14"/>
        <v>2023-149</v>
      </c>
      <c r="B150" s="1">
        <f t="shared" si="15"/>
        <v>45184</v>
      </c>
      <c r="C150" t="str">
        <f t="shared" si="16"/>
        <v>siehe 2022-140/Honorar Eva Jaros-Kolbitsch</v>
      </c>
      <c r="D150" t="str">
        <f t="shared" si="17"/>
        <v>Ausgaben</v>
      </c>
      <c r="E150" t="str">
        <f t="shared" si="17"/>
        <v>Personalaufwand</v>
      </c>
      <c r="F150" s="117">
        <f t="shared" si="18"/>
        <v>365</v>
      </c>
      <c r="G150" t="str">
        <f t="shared" si="19"/>
        <v>0%</v>
      </c>
      <c r="I150" s="53">
        <v>2023</v>
      </c>
      <c r="J150" s="53">
        <v>149</v>
      </c>
      <c r="K150" s="71" t="s">
        <v>105</v>
      </c>
      <c r="L150" t="s">
        <v>685</v>
      </c>
      <c r="M150" s="9" t="s">
        <v>1699</v>
      </c>
      <c r="N150" s="1">
        <v>45184</v>
      </c>
      <c r="O150" t="s">
        <v>1689</v>
      </c>
      <c r="Q150" s="76"/>
      <c r="R150" t="b">
        <v>0</v>
      </c>
      <c r="S150" s="162">
        <v>365</v>
      </c>
      <c r="T150" s="159">
        <v>1</v>
      </c>
      <c r="U150">
        <v>0</v>
      </c>
      <c r="V150" s="31">
        <v>0</v>
      </c>
      <c r="W150" s="31">
        <v>0</v>
      </c>
      <c r="X150" s="33">
        <v>365</v>
      </c>
      <c r="Y150" s="29">
        <v>365</v>
      </c>
      <c r="Z150" s="29">
        <v>365</v>
      </c>
      <c r="AA150" s="35">
        <v>45245</v>
      </c>
      <c r="AB150" s="27"/>
      <c r="AC150" s="27"/>
      <c r="AD150" s="160">
        <v>365</v>
      </c>
      <c r="AE150" s="31">
        <v>0</v>
      </c>
      <c r="AF150" t="b">
        <v>0</v>
      </c>
      <c r="AG150" s="161">
        <v>-365</v>
      </c>
    </row>
    <row r="151" spans="1:33" x14ac:dyDescent="0.25">
      <c r="A151" t="str">
        <f t="shared" si="14"/>
        <v>2023-150</v>
      </c>
      <c r="B151" s="1">
        <f t="shared" si="15"/>
        <v>45189</v>
      </c>
      <c r="C151" t="str">
        <f t="shared" si="16"/>
        <v>/Microsoft Ireland Operations Ltd. One Microsoft Place, South County, Business Park, Leopardstown, Dublin 18, D18 P521, Ireland</v>
      </c>
      <c r="D151" t="str">
        <f t="shared" si="17"/>
        <v>Ausgaben</v>
      </c>
      <c r="E151" t="str">
        <f t="shared" si="17"/>
        <v>sonstige Betriebsausgaben</v>
      </c>
      <c r="F151" s="117">
        <f t="shared" si="18"/>
        <v>10.5</v>
      </c>
      <c r="G151" t="str">
        <f t="shared" si="19"/>
        <v>0%</v>
      </c>
      <c r="I151" s="53">
        <v>2023</v>
      </c>
      <c r="J151" s="53">
        <v>150</v>
      </c>
      <c r="K151" s="71" t="s">
        <v>105</v>
      </c>
      <c r="L151" t="s">
        <v>705</v>
      </c>
      <c r="M151" s="1"/>
      <c r="N151" s="1">
        <v>45189</v>
      </c>
      <c r="O151" t="s">
        <v>1032</v>
      </c>
      <c r="Q151" s="76"/>
      <c r="R151" t="b">
        <v>0</v>
      </c>
      <c r="S151" s="158">
        <v>10.5</v>
      </c>
      <c r="T151" s="159">
        <v>1</v>
      </c>
      <c r="U151">
        <v>0</v>
      </c>
      <c r="V151" s="31">
        <v>0</v>
      </c>
      <c r="W151" s="31">
        <v>0</v>
      </c>
      <c r="X151" s="33">
        <v>10.5</v>
      </c>
      <c r="Y151" s="29">
        <v>10.5</v>
      </c>
      <c r="Z151" s="29">
        <v>10.5</v>
      </c>
      <c r="AA151" s="35">
        <v>45245</v>
      </c>
      <c r="AB151" s="27"/>
      <c r="AC151" s="27">
        <v>20</v>
      </c>
      <c r="AD151" s="160">
        <v>10.5</v>
      </c>
      <c r="AE151" s="31">
        <v>2.1</v>
      </c>
      <c r="AF151" t="b">
        <v>0</v>
      </c>
      <c r="AG151" s="161">
        <v>-10.5</v>
      </c>
    </row>
    <row r="152" spans="1:33" x14ac:dyDescent="0.25">
      <c r="A152" t="str">
        <f t="shared" si="14"/>
        <v>2023-151</v>
      </c>
      <c r="B152" s="1">
        <f t="shared" si="15"/>
        <v>45188</v>
      </c>
      <c r="C152" t="str">
        <f t="shared" si="16"/>
        <v>/Magenta: T-Mobile Austria GmbH, A-1120 Wien, PF 47</v>
      </c>
      <c r="D152" t="str">
        <f t="shared" si="17"/>
        <v>Ausgaben</v>
      </c>
      <c r="E152" t="str">
        <f t="shared" si="17"/>
        <v>Telefon/Internet</v>
      </c>
      <c r="F152" s="117">
        <f t="shared" si="18"/>
        <v>38.304000000000002</v>
      </c>
      <c r="G152" t="str">
        <f t="shared" si="19"/>
        <v>20%</v>
      </c>
      <c r="I152" s="53">
        <v>2023</v>
      </c>
      <c r="J152" s="53">
        <v>151</v>
      </c>
      <c r="K152" s="71" t="s">
        <v>105</v>
      </c>
      <c r="L152" t="s">
        <v>703</v>
      </c>
      <c r="M152" s="131"/>
      <c r="N152" s="1">
        <v>45188</v>
      </c>
      <c r="O152" t="s">
        <v>1148</v>
      </c>
      <c r="Q152" s="76"/>
      <c r="R152" t="b">
        <v>0</v>
      </c>
      <c r="S152" s="162">
        <v>31.92</v>
      </c>
      <c r="T152" s="159">
        <v>1</v>
      </c>
      <c r="U152">
        <v>20</v>
      </c>
      <c r="V152" s="31">
        <v>6.3840000000000012</v>
      </c>
      <c r="W152" s="31">
        <v>6.3840000000000012</v>
      </c>
      <c r="X152" s="33">
        <v>31.92</v>
      </c>
      <c r="Y152" s="29">
        <v>38.304000000000002</v>
      </c>
      <c r="Z152" s="29">
        <v>38.304000000000002</v>
      </c>
      <c r="AA152" s="35">
        <v>45245</v>
      </c>
      <c r="AB152" s="27"/>
      <c r="AC152" s="27"/>
      <c r="AD152" s="160">
        <v>31.92</v>
      </c>
      <c r="AE152" s="31">
        <v>0</v>
      </c>
      <c r="AF152" t="b">
        <v>0</v>
      </c>
      <c r="AG152" s="161">
        <v>-31.92</v>
      </c>
    </row>
    <row r="153" spans="1:33" x14ac:dyDescent="0.25">
      <c r="A153" t="str">
        <f t="shared" si="14"/>
        <v>2023-152</v>
      </c>
      <c r="B153" s="1">
        <f t="shared" si="15"/>
        <v>45201</v>
      </c>
      <c r="C153" t="str">
        <f t="shared" si="16"/>
        <v>/Google Ireland Ltd, Gordon House, Barrow Street, Dublin 4, Ireland; VAT number: IE 6388047V</v>
      </c>
      <c r="D153" t="str">
        <f t="shared" si="17"/>
        <v>Ausgaben</v>
      </c>
      <c r="E153" t="str">
        <f t="shared" si="17"/>
        <v>sonstige Betriebsausgaben</v>
      </c>
      <c r="F153" s="117">
        <f t="shared" si="18"/>
        <v>10.4</v>
      </c>
      <c r="G153" t="str">
        <f t="shared" si="19"/>
        <v>0%</v>
      </c>
      <c r="I153" s="53">
        <v>2023</v>
      </c>
      <c r="J153" s="53">
        <v>152</v>
      </c>
      <c r="K153" s="71" t="s">
        <v>105</v>
      </c>
      <c r="L153" t="s">
        <v>705</v>
      </c>
      <c r="N153" s="1">
        <v>45201</v>
      </c>
      <c r="O153" t="s">
        <v>1404</v>
      </c>
      <c r="Q153" s="76"/>
      <c r="R153" t="b">
        <v>0</v>
      </c>
      <c r="S153" s="158">
        <v>10.4</v>
      </c>
      <c r="T153" s="159">
        <v>1</v>
      </c>
      <c r="U153">
        <v>0</v>
      </c>
      <c r="V153" s="31">
        <v>0</v>
      </c>
      <c r="W153" s="31">
        <v>0</v>
      </c>
      <c r="X153" s="33">
        <v>10.4</v>
      </c>
      <c r="Y153" s="29">
        <v>10.4</v>
      </c>
      <c r="Z153" s="29">
        <v>10.4</v>
      </c>
      <c r="AA153" s="35">
        <v>45275</v>
      </c>
      <c r="AB153" s="27"/>
      <c r="AC153" s="27">
        <v>20</v>
      </c>
      <c r="AD153" s="160">
        <v>10.4</v>
      </c>
      <c r="AE153" s="31">
        <v>2.08</v>
      </c>
      <c r="AF153" t="b">
        <v>0</v>
      </c>
      <c r="AG153" s="161">
        <v>-10.4</v>
      </c>
    </row>
    <row r="154" spans="1:33" x14ac:dyDescent="0.25">
      <c r="A154" t="str">
        <f t="shared" si="14"/>
        <v>2023-153</v>
      </c>
      <c r="B154" s="1">
        <f t="shared" si="15"/>
        <v>45201</v>
      </c>
      <c r="C154" t="str">
        <f t="shared" si="16"/>
        <v>/car2go Österreich GmbH, Hintere Zollamtstraße 9, 1030 Wien</v>
      </c>
      <c r="D154" t="str">
        <f t="shared" si="17"/>
        <v>Ausgaben</v>
      </c>
      <c r="E154" t="str">
        <f t="shared" si="17"/>
        <v>Reise- und Fahrtspesen inkl. Kilometergeld und Diäten</v>
      </c>
      <c r="F154" s="117">
        <f t="shared" si="18"/>
        <v>14.7</v>
      </c>
      <c r="G154" t="str">
        <f t="shared" si="19"/>
        <v>20%</v>
      </c>
      <c r="I154" s="53">
        <v>2023</v>
      </c>
      <c r="J154" s="53">
        <v>153</v>
      </c>
      <c r="K154" s="71" t="s">
        <v>105</v>
      </c>
      <c r="L154" t="s">
        <v>689</v>
      </c>
      <c r="M154" s="131"/>
      <c r="N154" s="1">
        <v>45201</v>
      </c>
      <c r="O154" t="s">
        <v>974</v>
      </c>
      <c r="Q154" s="76"/>
      <c r="R154" t="b">
        <v>0</v>
      </c>
      <c r="S154" s="162">
        <v>12.25</v>
      </c>
      <c r="T154" s="159">
        <v>1</v>
      </c>
      <c r="U154">
        <v>20</v>
      </c>
      <c r="V154" s="31">
        <v>2.4500000000000002</v>
      </c>
      <c r="W154" s="31">
        <v>2.4500000000000002</v>
      </c>
      <c r="X154" s="33">
        <v>12.25</v>
      </c>
      <c r="Y154" s="29">
        <v>14.7</v>
      </c>
      <c r="Z154" s="29">
        <v>14.7</v>
      </c>
      <c r="AA154" s="35">
        <v>45275</v>
      </c>
      <c r="AB154" s="27"/>
      <c r="AC154" s="27"/>
      <c r="AD154" s="160">
        <v>12.25</v>
      </c>
      <c r="AE154" s="31">
        <v>0</v>
      </c>
      <c r="AF154" t="b">
        <v>0</v>
      </c>
      <c r="AG154" s="161">
        <v>-12.25</v>
      </c>
    </row>
    <row r="155" spans="1:33" x14ac:dyDescent="0.25">
      <c r="A155" t="str">
        <f t="shared" si="14"/>
        <v>2023-154</v>
      </c>
      <c r="B155" s="1">
        <f t="shared" si="15"/>
        <v>45201</v>
      </c>
      <c r="C155" t="str">
        <f t="shared" si="16"/>
        <v>/Bontus Immobilienverwaltung GmbH, 1010 Wien, Franz Josefs Kai 65</v>
      </c>
      <c r="D155" t="str">
        <f t="shared" si="17"/>
        <v>Ausgaben</v>
      </c>
      <c r="E155" t="str">
        <f t="shared" si="17"/>
        <v>Miet- und Pachtaufwand, Leasing</v>
      </c>
      <c r="F155" s="117">
        <f t="shared" si="18"/>
        <v>213.48000000000002</v>
      </c>
      <c r="G155" t="str">
        <f t="shared" si="19"/>
        <v>20%</v>
      </c>
      <c r="I155" s="53">
        <v>2023</v>
      </c>
      <c r="J155" s="53">
        <v>154</v>
      </c>
      <c r="K155" s="71" t="s">
        <v>105</v>
      </c>
      <c r="L155" t="s">
        <v>691</v>
      </c>
      <c r="M155" s="9"/>
      <c r="N155" s="1">
        <v>45201</v>
      </c>
      <c r="O155" t="s">
        <v>1113</v>
      </c>
      <c r="Q155" s="76"/>
      <c r="R155" t="b">
        <v>0</v>
      </c>
      <c r="S155" s="109">
        <v>177.9</v>
      </c>
      <c r="T155" s="72">
        <v>1</v>
      </c>
      <c r="U155">
        <v>20</v>
      </c>
      <c r="V155" s="31">
        <v>35.58</v>
      </c>
      <c r="W155" s="31">
        <v>35.58</v>
      </c>
      <c r="X155" s="33">
        <v>177.9</v>
      </c>
      <c r="Y155" s="29">
        <v>213.48000000000002</v>
      </c>
      <c r="Z155" s="29">
        <v>213.48000000000002</v>
      </c>
      <c r="AA155" s="35">
        <v>45275</v>
      </c>
      <c r="AB155" s="27"/>
      <c r="AC155" s="27"/>
      <c r="AD155" s="58">
        <v>177.9</v>
      </c>
      <c r="AE155" s="31">
        <v>0</v>
      </c>
      <c r="AF155" t="b">
        <v>0</v>
      </c>
      <c r="AG155" s="78">
        <v>-177.9</v>
      </c>
    </row>
    <row r="156" spans="1:33" x14ac:dyDescent="0.25">
      <c r="A156" t="str">
        <f t="shared" si="14"/>
        <v>2023-155</v>
      </c>
      <c r="B156" s="1">
        <f t="shared" si="15"/>
        <v>45204</v>
      </c>
      <c r="C156" t="str">
        <f t="shared" si="16"/>
        <v>/Techem Messtechnik GmbH; Abnehmernummer 501686-0003-11-</v>
      </c>
      <c r="D156" t="str">
        <f t="shared" si="17"/>
        <v>Ausgaben</v>
      </c>
      <c r="E156" t="str">
        <f t="shared" si="17"/>
        <v>Miet- und Pachtaufwand, Leasing</v>
      </c>
      <c r="F156" s="117">
        <f t="shared" si="18"/>
        <v>130.19999999999999</v>
      </c>
      <c r="G156" t="str">
        <f t="shared" si="19"/>
        <v>20%</v>
      </c>
      <c r="I156" s="53">
        <v>2023</v>
      </c>
      <c r="J156" s="53">
        <v>155</v>
      </c>
      <c r="K156" s="71" t="s">
        <v>105</v>
      </c>
      <c r="L156" t="s">
        <v>691</v>
      </c>
      <c r="N156" s="1">
        <v>45204</v>
      </c>
      <c r="O156" t="s">
        <v>1558</v>
      </c>
      <c r="Q156" s="76"/>
      <c r="R156" t="b">
        <v>0</v>
      </c>
      <c r="S156" s="109">
        <v>108.5</v>
      </c>
      <c r="T156" s="159">
        <v>1</v>
      </c>
      <c r="U156">
        <v>20</v>
      </c>
      <c r="V156" s="31">
        <v>21.7</v>
      </c>
      <c r="W156" s="31">
        <v>21.7</v>
      </c>
      <c r="X156" s="33">
        <v>108.5</v>
      </c>
      <c r="Y156" s="29">
        <v>130.19999999999999</v>
      </c>
      <c r="Z156" s="29">
        <v>130.19999999999999</v>
      </c>
      <c r="AA156" s="35">
        <v>45275</v>
      </c>
      <c r="AB156" s="27"/>
      <c r="AC156" s="27"/>
      <c r="AD156" s="160">
        <v>108.5</v>
      </c>
      <c r="AE156" s="31">
        <v>0</v>
      </c>
      <c r="AF156" t="b">
        <v>0</v>
      </c>
      <c r="AG156" s="161">
        <v>-108.5</v>
      </c>
    </row>
    <row r="157" spans="1:33" x14ac:dyDescent="0.25">
      <c r="A157" t="str">
        <f t="shared" si="14"/>
        <v>2023-156</v>
      </c>
      <c r="B157" s="1">
        <f t="shared" si="15"/>
        <v>45202</v>
      </c>
      <c r="C157" t="str">
        <f t="shared" si="16"/>
        <v>/Hutchison Drei Austria GmbH, Brünner Straße 52, 1210 Wien, Österreich</v>
      </c>
      <c r="D157" t="str">
        <f t="shared" si="17"/>
        <v>Ausgaben</v>
      </c>
      <c r="E157" t="str">
        <f t="shared" si="17"/>
        <v>Telefon/Internet</v>
      </c>
      <c r="F157" s="117">
        <f t="shared" si="18"/>
        <v>12.9</v>
      </c>
      <c r="G157" t="str">
        <f t="shared" si="19"/>
        <v>20%</v>
      </c>
      <c r="I157" s="53">
        <v>2023</v>
      </c>
      <c r="J157" s="53">
        <v>156</v>
      </c>
      <c r="K157" s="71" t="s">
        <v>105</v>
      </c>
      <c r="L157" t="s">
        <v>703</v>
      </c>
      <c r="N157" s="1">
        <v>45202</v>
      </c>
      <c r="O157" t="s">
        <v>34</v>
      </c>
      <c r="Q157" s="76"/>
      <c r="R157" t="b">
        <v>0</v>
      </c>
      <c r="S157" s="48">
        <v>10.75</v>
      </c>
      <c r="T157" s="159">
        <v>1</v>
      </c>
      <c r="U157">
        <v>20</v>
      </c>
      <c r="V157" s="31">
        <v>2.15</v>
      </c>
      <c r="W157" s="31">
        <v>2.15</v>
      </c>
      <c r="X157" s="33">
        <v>10.75</v>
      </c>
      <c r="Y157" s="29">
        <v>12.9</v>
      </c>
      <c r="Z157" s="29">
        <v>12.9</v>
      </c>
      <c r="AA157" s="35">
        <v>45275</v>
      </c>
      <c r="AB157" s="27"/>
      <c r="AC157" s="27"/>
      <c r="AD157" s="160">
        <v>10.75</v>
      </c>
      <c r="AE157" s="31">
        <v>0</v>
      </c>
      <c r="AF157" t="b">
        <v>0</v>
      </c>
      <c r="AG157" s="161">
        <v>-10.75</v>
      </c>
    </row>
    <row r="158" spans="1:33" x14ac:dyDescent="0.25">
      <c r="A158" t="str">
        <f t="shared" si="14"/>
        <v>2023-157</v>
      </c>
      <c r="B158" s="1">
        <f t="shared" si="15"/>
        <v>45204</v>
      </c>
      <c r="C158" t="str">
        <f t="shared" si="16"/>
        <v>BELEG FEHLT/go green energy GmbH &amp; Co KG</v>
      </c>
      <c r="D158" t="str">
        <f t="shared" si="17"/>
        <v>Ausgaben</v>
      </c>
      <c r="E158" t="str">
        <f t="shared" si="17"/>
        <v>sonstige Betriebsausgaben</v>
      </c>
      <c r="F158" s="117">
        <f t="shared" si="18"/>
        <v>6</v>
      </c>
      <c r="G158" t="str">
        <f t="shared" si="19"/>
        <v>20%</v>
      </c>
      <c r="I158" s="53">
        <v>2023</v>
      </c>
      <c r="J158" s="53">
        <v>157</v>
      </c>
      <c r="K158" s="71" t="s">
        <v>105</v>
      </c>
      <c r="L158" t="s">
        <v>705</v>
      </c>
      <c r="M158" s="61" t="s">
        <v>1064</v>
      </c>
      <c r="N158" s="1">
        <v>45204</v>
      </c>
      <c r="O158" t="s">
        <v>1670</v>
      </c>
      <c r="Q158" s="76"/>
      <c r="R158" t="b">
        <v>0</v>
      </c>
      <c r="S158" s="162">
        <v>5</v>
      </c>
      <c r="T158" s="159">
        <v>1</v>
      </c>
      <c r="U158">
        <v>20</v>
      </c>
      <c r="V158" s="31">
        <v>1</v>
      </c>
      <c r="W158" s="31">
        <v>1</v>
      </c>
      <c r="X158" s="33">
        <v>5</v>
      </c>
      <c r="Y158" s="29">
        <v>6</v>
      </c>
      <c r="Z158" s="29">
        <v>6</v>
      </c>
      <c r="AA158" s="35">
        <v>45275</v>
      </c>
      <c r="AB158" s="27"/>
      <c r="AC158" s="27"/>
      <c r="AD158" s="160">
        <v>5</v>
      </c>
      <c r="AE158" s="31">
        <v>0</v>
      </c>
      <c r="AF158" t="b">
        <v>0</v>
      </c>
      <c r="AG158" s="161">
        <v>-5</v>
      </c>
    </row>
    <row r="159" spans="1:33" x14ac:dyDescent="0.25">
      <c r="A159" t="str">
        <f t="shared" si="14"/>
        <v>2023-158</v>
      </c>
      <c r="B159" s="1">
        <f t="shared" si="15"/>
        <v>45209</v>
      </c>
      <c r="C159" t="str">
        <f t="shared" si="16"/>
        <v>BELEG FEHLT/Wiener Netze GmbH, Erdbergstraße 236, 1110 Wien, Postfach 422; Jahresabrechnung vom 17.12.20: GUTSCHRIFT</v>
      </c>
      <c r="D159" t="str">
        <f t="shared" si="17"/>
        <v>Ausgaben</v>
      </c>
      <c r="E159" t="str">
        <f t="shared" si="17"/>
        <v>sonstige Betriebsausgaben</v>
      </c>
      <c r="F159" s="117">
        <f t="shared" si="18"/>
        <v>14.4</v>
      </c>
      <c r="G159" t="str">
        <f t="shared" si="19"/>
        <v>20%</v>
      </c>
      <c r="I159" s="53">
        <v>2023</v>
      </c>
      <c r="J159" s="53">
        <v>158</v>
      </c>
      <c r="K159" s="71" t="s">
        <v>105</v>
      </c>
      <c r="L159" t="s">
        <v>705</v>
      </c>
      <c r="M159" s="61" t="s">
        <v>1064</v>
      </c>
      <c r="N159" s="1">
        <v>45209</v>
      </c>
      <c r="O159" t="s">
        <v>1466</v>
      </c>
      <c r="Q159" s="76"/>
      <c r="R159" t="b">
        <v>0</v>
      </c>
      <c r="S159" s="162">
        <v>12</v>
      </c>
      <c r="T159" s="159">
        <v>1</v>
      </c>
      <c r="U159">
        <v>20</v>
      </c>
      <c r="V159" s="31">
        <v>2.4</v>
      </c>
      <c r="W159" s="31">
        <v>2.4</v>
      </c>
      <c r="X159" s="33">
        <v>12</v>
      </c>
      <c r="Y159" s="29">
        <v>14.4</v>
      </c>
      <c r="Z159" s="29">
        <v>14.4</v>
      </c>
      <c r="AA159" s="35">
        <v>45275</v>
      </c>
      <c r="AB159" s="27"/>
      <c r="AC159" s="27"/>
      <c r="AD159" s="160">
        <v>12</v>
      </c>
      <c r="AE159" s="31">
        <v>0</v>
      </c>
      <c r="AF159" t="b">
        <v>0</v>
      </c>
      <c r="AG159" s="161">
        <v>-12</v>
      </c>
    </row>
    <row r="160" spans="1:33" x14ac:dyDescent="0.25">
      <c r="A160" t="str">
        <f t="shared" si="14"/>
        <v>2023-159</v>
      </c>
      <c r="B160" s="1">
        <f t="shared" si="15"/>
        <v>45211</v>
      </c>
      <c r="C160" t="str">
        <f t="shared" si="16"/>
        <v>/Hetzner Online GmbH</v>
      </c>
      <c r="D160" t="str">
        <f t="shared" si="17"/>
        <v>Ausgaben</v>
      </c>
      <c r="E160" t="str">
        <f t="shared" si="17"/>
        <v>sonstige Betriebsausgaben</v>
      </c>
      <c r="F160" s="117">
        <f t="shared" si="18"/>
        <v>52.214100000000002</v>
      </c>
      <c r="G160" t="str">
        <f t="shared" si="19"/>
        <v>0%</v>
      </c>
      <c r="I160" s="53">
        <v>2023</v>
      </c>
      <c r="J160" s="53">
        <v>159</v>
      </c>
      <c r="K160" s="71" t="s">
        <v>105</v>
      </c>
      <c r="L160" t="s">
        <v>705</v>
      </c>
      <c r="M160" s="9"/>
      <c r="N160" s="1">
        <v>45211</v>
      </c>
      <c r="O160" t="s">
        <v>927</v>
      </c>
      <c r="Q160" s="76"/>
      <c r="R160" t="b">
        <v>0</v>
      </c>
      <c r="S160" s="162">
        <v>52.214100000000002</v>
      </c>
      <c r="T160" s="159">
        <v>1</v>
      </c>
      <c r="U160">
        <v>0</v>
      </c>
      <c r="V160" s="31">
        <v>0</v>
      </c>
      <c r="W160" s="31">
        <v>0</v>
      </c>
      <c r="X160" s="33">
        <v>52.214100000000002</v>
      </c>
      <c r="Y160" s="29">
        <v>52.214100000000002</v>
      </c>
      <c r="Z160" s="29">
        <v>52.214100000000002</v>
      </c>
      <c r="AA160" s="35">
        <v>45275</v>
      </c>
      <c r="AB160" s="27"/>
      <c r="AC160" s="27">
        <v>20</v>
      </c>
      <c r="AD160" s="160">
        <v>52.214100000000002</v>
      </c>
      <c r="AE160" s="31">
        <v>10.442820000000001</v>
      </c>
      <c r="AF160" t="b">
        <v>0</v>
      </c>
      <c r="AG160" s="161">
        <v>-52.214100000000002</v>
      </c>
    </row>
    <row r="161" spans="1:33" x14ac:dyDescent="0.25">
      <c r="A161" t="str">
        <f t="shared" si="14"/>
        <v>2023-160</v>
      </c>
      <c r="B161" s="1">
        <f t="shared" si="15"/>
        <v>45215</v>
      </c>
      <c r="C161" t="str">
        <f t="shared" si="16"/>
        <v>siehe 2022-140/Honorar Eva Jaros-Kolbitsch</v>
      </c>
      <c r="D161" t="str">
        <f t="shared" si="17"/>
        <v>Ausgaben</v>
      </c>
      <c r="E161" t="str">
        <f t="shared" si="17"/>
        <v>Personalaufwand</v>
      </c>
      <c r="F161" s="117">
        <f t="shared" si="18"/>
        <v>365</v>
      </c>
      <c r="G161" t="str">
        <f t="shared" si="19"/>
        <v>0%</v>
      </c>
      <c r="I161" s="53">
        <v>2023</v>
      </c>
      <c r="J161" s="53">
        <v>160</v>
      </c>
      <c r="K161" s="71" t="s">
        <v>105</v>
      </c>
      <c r="L161" t="s">
        <v>685</v>
      </c>
      <c r="M161" s="9" t="s">
        <v>1699</v>
      </c>
      <c r="N161" s="1">
        <v>45215</v>
      </c>
      <c r="O161" t="s">
        <v>1689</v>
      </c>
      <c r="Q161" s="76"/>
      <c r="R161" t="b">
        <v>0</v>
      </c>
      <c r="S161" s="162">
        <v>365</v>
      </c>
      <c r="T161" s="159">
        <v>1</v>
      </c>
      <c r="U161">
        <v>0</v>
      </c>
      <c r="V161" s="31">
        <v>0</v>
      </c>
      <c r="W161" s="31">
        <v>0</v>
      </c>
      <c r="X161" s="33">
        <v>365</v>
      </c>
      <c r="Y161" s="29">
        <v>365</v>
      </c>
      <c r="Z161" s="29">
        <v>365</v>
      </c>
      <c r="AA161" s="35">
        <v>45275</v>
      </c>
      <c r="AB161" s="27"/>
      <c r="AC161" s="27"/>
      <c r="AD161" s="160">
        <v>365</v>
      </c>
      <c r="AE161" s="31">
        <v>0</v>
      </c>
      <c r="AF161" t="b">
        <v>0</v>
      </c>
      <c r="AG161" s="161">
        <v>-365</v>
      </c>
    </row>
    <row r="162" spans="1:33" x14ac:dyDescent="0.25">
      <c r="A162" t="str">
        <f t="shared" si="14"/>
        <v>2023-161</v>
      </c>
      <c r="B162" s="1">
        <f t="shared" si="15"/>
        <v>45219</v>
      </c>
      <c r="C162" t="str">
        <f t="shared" si="16"/>
        <v>/Microsoft Ireland Operations Ltd. One Microsoft Place, South County, Business Park, Leopardstown, Dublin 18, D18 P521, Ireland</v>
      </c>
      <c r="D162" t="str">
        <f t="shared" ref="D162:E194" si="20">K162</f>
        <v>Ausgaben</v>
      </c>
      <c r="E162" t="str">
        <f t="shared" si="20"/>
        <v>sonstige Betriebsausgaben</v>
      </c>
      <c r="F162" s="117">
        <f t="shared" si="18"/>
        <v>10.5</v>
      </c>
      <c r="G162" t="str">
        <f t="shared" si="19"/>
        <v>0%</v>
      </c>
      <c r="I162" s="53">
        <v>2023</v>
      </c>
      <c r="J162" s="53">
        <v>161</v>
      </c>
      <c r="K162" s="71" t="s">
        <v>105</v>
      </c>
      <c r="L162" t="s">
        <v>705</v>
      </c>
      <c r="M162" s="1"/>
      <c r="N162" s="1">
        <v>45219</v>
      </c>
      <c r="O162" t="s">
        <v>1032</v>
      </c>
      <c r="Q162" s="76"/>
      <c r="R162" t="b">
        <v>0</v>
      </c>
      <c r="S162" s="158">
        <v>10.5</v>
      </c>
      <c r="T162" s="159">
        <v>1</v>
      </c>
      <c r="U162">
        <v>0</v>
      </c>
      <c r="V162" s="31">
        <v>0</v>
      </c>
      <c r="W162" s="31">
        <v>0</v>
      </c>
      <c r="X162" s="33">
        <v>10.5</v>
      </c>
      <c r="Y162" s="29">
        <v>10.5</v>
      </c>
      <c r="Z162" s="29">
        <v>10.5</v>
      </c>
      <c r="AA162" s="35">
        <v>45275</v>
      </c>
      <c r="AB162" s="27"/>
      <c r="AC162" s="27">
        <v>20</v>
      </c>
      <c r="AD162" s="160">
        <v>10.5</v>
      </c>
      <c r="AE162" s="31">
        <v>2.1</v>
      </c>
      <c r="AF162" t="b">
        <v>0</v>
      </c>
      <c r="AG162" s="161">
        <v>-10.5</v>
      </c>
    </row>
    <row r="163" spans="1:33" x14ac:dyDescent="0.25">
      <c r="A163" t="str">
        <f t="shared" si="14"/>
        <v>2023-162</v>
      </c>
      <c r="B163" s="1">
        <f t="shared" si="15"/>
        <v>45219</v>
      </c>
      <c r="C163" t="str">
        <f t="shared" si="16"/>
        <v>/Magenta: T-Mobile Austria GmbH, A-1120 Wien, PF 47</v>
      </c>
      <c r="D163" t="str">
        <f t="shared" si="20"/>
        <v>Ausgaben</v>
      </c>
      <c r="E163" t="str">
        <f t="shared" si="20"/>
        <v>Telefon/Internet</v>
      </c>
      <c r="F163" s="117">
        <f t="shared" si="18"/>
        <v>38.304000000000002</v>
      </c>
      <c r="G163" t="str">
        <f t="shared" si="19"/>
        <v>20%</v>
      </c>
      <c r="I163" s="53">
        <v>2023</v>
      </c>
      <c r="J163" s="53">
        <v>162</v>
      </c>
      <c r="K163" s="71" t="s">
        <v>105</v>
      </c>
      <c r="L163" t="s">
        <v>703</v>
      </c>
      <c r="M163" s="131"/>
      <c r="N163" s="1">
        <v>45219</v>
      </c>
      <c r="O163" t="s">
        <v>1148</v>
      </c>
      <c r="Q163" s="76"/>
      <c r="R163" t="b">
        <v>0</v>
      </c>
      <c r="S163" s="162">
        <v>31.92</v>
      </c>
      <c r="T163" s="159">
        <v>1</v>
      </c>
      <c r="U163">
        <v>20</v>
      </c>
      <c r="V163" s="31">
        <v>6.3840000000000012</v>
      </c>
      <c r="W163" s="31">
        <v>6.3840000000000012</v>
      </c>
      <c r="X163" s="33">
        <v>31.92</v>
      </c>
      <c r="Y163" s="29">
        <v>38.304000000000002</v>
      </c>
      <c r="Z163" s="29">
        <v>38.304000000000002</v>
      </c>
      <c r="AA163" s="35">
        <v>45275</v>
      </c>
      <c r="AB163" s="27"/>
      <c r="AC163" s="27"/>
      <c r="AD163" s="160">
        <v>31.92</v>
      </c>
      <c r="AE163" s="31">
        <v>0</v>
      </c>
      <c r="AF163" t="b">
        <v>0</v>
      </c>
      <c r="AG163" s="161">
        <v>-31.92</v>
      </c>
    </row>
    <row r="164" spans="1:33" x14ac:dyDescent="0.25">
      <c r="A164" t="str">
        <f t="shared" si="14"/>
        <v>2023-163</v>
      </c>
      <c r="B164" s="1">
        <f t="shared" si="15"/>
        <v>45219</v>
      </c>
      <c r="C164" t="str">
        <f t="shared" si="16"/>
        <v>12023018/Hays Österreich GmbH, Bahnhof City Wien West , Europaplatz 3/5, 1150 Wien</v>
      </c>
      <c r="D164" t="str">
        <f t="shared" si="20"/>
        <v>Einnahmen</v>
      </c>
      <c r="E164" t="str">
        <f t="shared" si="20"/>
        <v>Waren-/Leistungserlöse</v>
      </c>
      <c r="F164" s="117">
        <f t="shared" si="18"/>
        <v>14363.555999999999</v>
      </c>
      <c r="G164" t="str">
        <f t="shared" si="19"/>
        <v>20%</v>
      </c>
      <c r="I164" s="53">
        <v>2023</v>
      </c>
      <c r="J164" s="53">
        <v>163</v>
      </c>
      <c r="K164" s="71" t="s">
        <v>708</v>
      </c>
      <c r="L164" t="s">
        <v>709</v>
      </c>
      <c r="M164" s="39">
        <v>12023018</v>
      </c>
      <c r="N164" s="1">
        <v>45219</v>
      </c>
      <c r="O164" t="s">
        <v>1652</v>
      </c>
      <c r="Q164" s="76"/>
      <c r="R164" t="b">
        <v>0</v>
      </c>
      <c r="S164" s="162">
        <v>11969.63</v>
      </c>
      <c r="T164" s="159">
        <v>1</v>
      </c>
      <c r="U164">
        <v>20</v>
      </c>
      <c r="V164" s="31">
        <v>2393.9259999999999</v>
      </c>
      <c r="W164" s="31">
        <v>2393.9259999999999</v>
      </c>
      <c r="X164" s="33">
        <v>11969.63</v>
      </c>
      <c r="Y164" s="29">
        <v>14363.555999999999</v>
      </c>
      <c r="Z164" s="29">
        <v>14363.555999999999</v>
      </c>
      <c r="AA164" s="35">
        <v>45275</v>
      </c>
      <c r="AB164" s="27"/>
      <c r="AC164" s="27"/>
      <c r="AD164" s="160">
        <v>11969.63</v>
      </c>
      <c r="AE164" s="31">
        <v>0</v>
      </c>
      <c r="AF164" t="b">
        <v>0</v>
      </c>
      <c r="AG164" s="161">
        <v>11969.63</v>
      </c>
    </row>
    <row r="165" spans="1:33" x14ac:dyDescent="0.25">
      <c r="A165" t="str">
        <f t="shared" si="14"/>
        <v>2023-164</v>
      </c>
      <c r="B165" s="1">
        <f t="shared" si="15"/>
        <v>45226</v>
      </c>
      <c r="C165" t="str">
        <f t="shared" si="16"/>
        <v>/Adobe Systems Software Ireland Ltd., 4-6 Riverwalk, Citywest Business Park, Dublin 24, Ireland, VAT ID IE6364992H</v>
      </c>
      <c r="D165" t="str">
        <f t="shared" si="20"/>
        <v>Ausgaben</v>
      </c>
      <c r="E165" t="str">
        <f t="shared" si="20"/>
        <v>Lizenzgebühren</v>
      </c>
      <c r="F165" s="117">
        <f t="shared" si="18"/>
        <v>20.28</v>
      </c>
      <c r="G165" t="str">
        <f t="shared" si="19"/>
        <v>0%</v>
      </c>
      <c r="I165" s="53">
        <v>2023</v>
      </c>
      <c r="J165" s="53">
        <v>164</v>
      </c>
      <c r="K165" s="71" t="s">
        <v>105</v>
      </c>
      <c r="L165" t="s">
        <v>692</v>
      </c>
      <c r="M165" s="9"/>
      <c r="N165" s="1">
        <v>45226</v>
      </c>
      <c r="O165" t="s">
        <v>1595</v>
      </c>
      <c r="Q165" s="76"/>
      <c r="R165" t="b">
        <v>0</v>
      </c>
      <c r="S165" s="48">
        <v>20.28</v>
      </c>
      <c r="T165" s="72">
        <v>1</v>
      </c>
      <c r="U165">
        <v>0</v>
      </c>
      <c r="V165" s="31">
        <v>0</v>
      </c>
      <c r="W165" s="31">
        <v>0</v>
      </c>
      <c r="X165" s="33">
        <v>20.28</v>
      </c>
      <c r="Y165" s="29">
        <v>20.28</v>
      </c>
      <c r="Z165" s="29">
        <v>20.28</v>
      </c>
      <c r="AA165" s="35">
        <v>45337</v>
      </c>
      <c r="AB165" s="27"/>
      <c r="AC165" s="27">
        <v>20</v>
      </c>
      <c r="AD165" s="58">
        <v>20.28</v>
      </c>
      <c r="AE165" s="31">
        <v>4.056</v>
      </c>
      <c r="AF165" t="b">
        <v>0</v>
      </c>
      <c r="AG165" s="78">
        <v>-20.28</v>
      </c>
    </row>
    <row r="166" spans="1:33" x14ac:dyDescent="0.25">
      <c r="A166" t="str">
        <f t="shared" si="14"/>
        <v>2023-165</v>
      </c>
      <c r="B166" s="1">
        <f t="shared" si="15"/>
        <v>45230</v>
      </c>
      <c r="C166" t="str">
        <f t="shared" si="16"/>
        <v>/HoT Telekom und Service GmbH, Postfach 28, 1121 Wien</v>
      </c>
      <c r="D166" t="str">
        <f t="shared" si="20"/>
        <v>Ausgaben</v>
      </c>
      <c r="E166" t="str">
        <f t="shared" si="20"/>
        <v>Telefon/Internet</v>
      </c>
      <c r="F166" s="117">
        <f t="shared" si="18"/>
        <v>16.579999999999998</v>
      </c>
      <c r="G166" t="str">
        <f t="shared" si="19"/>
        <v>0%</v>
      </c>
      <c r="I166" s="53">
        <v>2023</v>
      </c>
      <c r="J166" s="53">
        <v>165</v>
      </c>
      <c r="K166" s="71" t="s">
        <v>105</v>
      </c>
      <c r="L166" t="s">
        <v>703</v>
      </c>
      <c r="M166" s="9"/>
      <c r="N166" s="1">
        <v>45230</v>
      </c>
      <c r="O166" t="s">
        <v>1775</v>
      </c>
      <c r="Q166" s="76"/>
      <c r="R166" t="b">
        <v>0</v>
      </c>
      <c r="S166" s="48">
        <v>16.579999999999998</v>
      </c>
      <c r="T166" s="72">
        <v>1</v>
      </c>
      <c r="U166">
        <v>0</v>
      </c>
      <c r="V166" s="31">
        <v>0</v>
      </c>
      <c r="W166" s="31">
        <v>0</v>
      </c>
      <c r="X166" s="33">
        <v>16.579999999999998</v>
      </c>
      <c r="Y166" s="29">
        <v>16.579999999999998</v>
      </c>
      <c r="Z166" s="29">
        <v>16.579999999999998</v>
      </c>
      <c r="AA166" s="35">
        <v>45337</v>
      </c>
      <c r="AB166" s="27"/>
      <c r="AC166" s="27">
        <v>20</v>
      </c>
      <c r="AD166" s="58">
        <v>16.579999999999998</v>
      </c>
      <c r="AE166" s="31">
        <v>3.3159999999999998</v>
      </c>
      <c r="AF166" t="b">
        <v>0</v>
      </c>
      <c r="AG166" s="78">
        <v>-16.579999999999998</v>
      </c>
    </row>
    <row r="167" spans="1:33" x14ac:dyDescent="0.25">
      <c r="A167" t="str">
        <f t="shared" si="14"/>
        <v>2023-166</v>
      </c>
      <c r="B167" s="1">
        <f t="shared" si="15"/>
        <v>45232</v>
      </c>
      <c r="C167" t="str">
        <f t="shared" si="16"/>
        <v>/car2go Österreich GmbH, Hintere Zollamtstraße 9, 1030 Wien</v>
      </c>
      <c r="D167" t="str">
        <f t="shared" si="20"/>
        <v>Ausgaben</v>
      </c>
      <c r="E167" t="str">
        <f t="shared" si="20"/>
        <v>Reise- und Fahrtspesen inkl. Kilometergeld und Diäten</v>
      </c>
      <c r="F167" s="117">
        <f t="shared" si="18"/>
        <v>22.26</v>
      </c>
      <c r="G167" t="str">
        <f t="shared" si="19"/>
        <v>20%</v>
      </c>
      <c r="I167" s="53">
        <v>2023</v>
      </c>
      <c r="J167" s="53">
        <v>166</v>
      </c>
      <c r="K167" s="71" t="s">
        <v>105</v>
      </c>
      <c r="L167" t="s">
        <v>689</v>
      </c>
      <c r="M167" s="131"/>
      <c r="N167" s="1">
        <v>45232</v>
      </c>
      <c r="O167" t="s">
        <v>974</v>
      </c>
      <c r="Q167" s="76"/>
      <c r="R167" t="b">
        <v>0</v>
      </c>
      <c r="S167" s="162">
        <v>18.55</v>
      </c>
      <c r="T167" s="159">
        <v>1</v>
      </c>
      <c r="U167">
        <v>20</v>
      </c>
      <c r="V167" s="31">
        <v>3.71</v>
      </c>
      <c r="W167" s="31">
        <v>3.71</v>
      </c>
      <c r="X167" s="33">
        <v>18.55</v>
      </c>
      <c r="Y167" s="29">
        <v>22.26</v>
      </c>
      <c r="Z167" s="29">
        <v>22.26</v>
      </c>
      <c r="AA167" s="35">
        <v>45306</v>
      </c>
      <c r="AB167" s="27"/>
      <c r="AC167" s="27"/>
      <c r="AD167" s="160">
        <v>18.55</v>
      </c>
      <c r="AE167" s="31">
        <v>0</v>
      </c>
      <c r="AF167" t="b">
        <v>0</v>
      </c>
      <c r="AG167" s="161">
        <v>-18.55</v>
      </c>
    </row>
    <row r="168" spans="1:33" x14ac:dyDescent="0.25">
      <c r="A168" t="str">
        <f t="shared" si="14"/>
        <v>2023-167</v>
      </c>
      <c r="B168" s="1">
        <f t="shared" si="15"/>
        <v>45232</v>
      </c>
      <c r="C168" t="str">
        <f t="shared" si="16"/>
        <v>/Bontus Immobilienverwaltung GmbH, 1010 Wien, Franz Josefs Kai 65</v>
      </c>
      <c r="D168" t="str">
        <f t="shared" si="20"/>
        <v>Ausgaben</v>
      </c>
      <c r="E168" t="str">
        <f t="shared" si="20"/>
        <v>Miet- und Pachtaufwand, Leasing</v>
      </c>
      <c r="F168" s="117">
        <f t="shared" si="18"/>
        <v>639.73</v>
      </c>
      <c r="G168" t="str">
        <f t="shared" si="19"/>
        <v>20%</v>
      </c>
      <c r="I168" s="53">
        <v>2023</v>
      </c>
      <c r="J168" s="53">
        <v>167</v>
      </c>
      <c r="K168" s="71" t="s">
        <v>105</v>
      </c>
      <c r="L168" t="s">
        <v>691</v>
      </c>
      <c r="M168" s="9"/>
      <c r="N168" s="1">
        <v>45232</v>
      </c>
      <c r="O168" t="s">
        <v>1113</v>
      </c>
      <c r="Q168" s="76"/>
      <c r="R168" t="b">
        <v>0</v>
      </c>
      <c r="S168" s="109">
        <v>533.10833333333335</v>
      </c>
      <c r="T168" s="72">
        <v>1</v>
      </c>
      <c r="U168">
        <v>20</v>
      </c>
      <c r="V168" s="31">
        <v>106.62166666666668</v>
      </c>
      <c r="W168" s="31">
        <v>106.62166666666668</v>
      </c>
      <c r="X168" s="33">
        <v>533.10833333333335</v>
      </c>
      <c r="Y168" s="29">
        <v>639.73</v>
      </c>
      <c r="Z168" s="29">
        <v>639.73</v>
      </c>
      <c r="AA168" s="35">
        <v>45306</v>
      </c>
      <c r="AB168" s="27"/>
      <c r="AC168" s="27"/>
      <c r="AD168" s="58">
        <v>533.10833333333335</v>
      </c>
      <c r="AE168" s="31">
        <v>0</v>
      </c>
      <c r="AF168" t="b">
        <v>0</v>
      </c>
      <c r="AG168" s="78">
        <v>-533.10833333333335</v>
      </c>
    </row>
    <row r="169" spans="1:33" x14ac:dyDescent="0.25">
      <c r="A169" t="str">
        <f t="shared" si="14"/>
        <v>2023-168</v>
      </c>
      <c r="B169" s="1">
        <f t="shared" si="15"/>
        <v>45232</v>
      </c>
      <c r="C169" t="str">
        <f t="shared" si="16"/>
        <v>/Google Ireland Ltd, Gordon House, Barrow Street, Dublin 4, Ireland; VAT number: IE 6388047V</v>
      </c>
      <c r="D169" t="str">
        <f t="shared" si="20"/>
        <v>Ausgaben</v>
      </c>
      <c r="E169" t="str">
        <f t="shared" si="20"/>
        <v>sonstige Betriebsausgaben</v>
      </c>
      <c r="F169" s="117">
        <f t="shared" si="18"/>
        <v>10.4</v>
      </c>
      <c r="G169" t="str">
        <f t="shared" si="19"/>
        <v>0%</v>
      </c>
      <c r="I169" s="53">
        <v>2023</v>
      </c>
      <c r="J169" s="53">
        <v>168</v>
      </c>
      <c r="K169" s="71" t="s">
        <v>105</v>
      </c>
      <c r="L169" t="s">
        <v>705</v>
      </c>
      <c r="N169" s="1">
        <v>45232</v>
      </c>
      <c r="O169" t="s">
        <v>1404</v>
      </c>
      <c r="Q169" s="76"/>
      <c r="R169" t="b">
        <v>0</v>
      </c>
      <c r="S169" s="158">
        <v>10.4</v>
      </c>
      <c r="T169" s="159">
        <v>1</v>
      </c>
      <c r="U169">
        <v>0</v>
      </c>
      <c r="V169" s="31">
        <v>0</v>
      </c>
      <c r="W169" s="31">
        <v>0</v>
      </c>
      <c r="X169" s="33">
        <v>10.4</v>
      </c>
      <c r="Y169" s="29">
        <v>10.4</v>
      </c>
      <c r="Z169" s="29">
        <v>10.4</v>
      </c>
      <c r="AA169" s="35">
        <v>45306</v>
      </c>
      <c r="AB169" s="27"/>
      <c r="AC169" s="27">
        <v>20</v>
      </c>
      <c r="AD169" s="160">
        <v>10.4</v>
      </c>
      <c r="AE169" s="31">
        <v>2.08</v>
      </c>
      <c r="AF169" t="b">
        <v>0</v>
      </c>
      <c r="AG169" s="161">
        <v>-10.4</v>
      </c>
    </row>
    <row r="170" spans="1:33" x14ac:dyDescent="0.25">
      <c r="A170" t="str">
        <f t="shared" si="14"/>
        <v>2023-169</v>
      </c>
      <c r="B170" s="1">
        <f t="shared" si="15"/>
        <v>45236</v>
      </c>
      <c r="C170" t="str">
        <f t="shared" si="16"/>
        <v>/Hutchison Drei Austria GmbH, Brünner Straße 52, 1210 Wien, Österreich</v>
      </c>
      <c r="D170" t="str">
        <f t="shared" si="20"/>
        <v>Ausgaben</v>
      </c>
      <c r="E170" t="str">
        <f t="shared" si="20"/>
        <v>Telefon/Internet</v>
      </c>
      <c r="F170" s="117">
        <f t="shared" si="18"/>
        <v>12.9</v>
      </c>
      <c r="G170" t="str">
        <f t="shared" si="19"/>
        <v>20%</v>
      </c>
      <c r="I170" s="53">
        <v>2023</v>
      </c>
      <c r="J170" s="53">
        <v>169</v>
      </c>
      <c r="K170" s="71" t="s">
        <v>105</v>
      </c>
      <c r="L170" t="s">
        <v>703</v>
      </c>
      <c r="N170" s="1">
        <v>45236</v>
      </c>
      <c r="O170" t="s">
        <v>34</v>
      </c>
      <c r="Q170" s="76"/>
      <c r="R170" t="b">
        <v>0</v>
      </c>
      <c r="S170" s="48">
        <v>10.75</v>
      </c>
      <c r="T170" s="159">
        <v>1</v>
      </c>
      <c r="U170">
        <v>20</v>
      </c>
      <c r="V170" s="31">
        <v>2.15</v>
      </c>
      <c r="W170" s="31">
        <v>2.15</v>
      </c>
      <c r="X170" s="33">
        <v>10.75</v>
      </c>
      <c r="Y170" s="29">
        <v>12.9</v>
      </c>
      <c r="Z170" s="29">
        <v>12.9</v>
      </c>
      <c r="AA170" s="35">
        <v>45306</v>
      </c>
      <c r="AB170" s="27"/>
      <c r="AC170" s="27"/>
      <c r="AD170" s="160">
        <v>10.75</v>
      </c>
      <c r="AE170" s="31">
        <v>0</v>
      </c>
      <c r="AF170" t="b">
        <v>0</v>
      </c>
      <c r="AG170" s="161">
        <v>-10.75</v>
      </c>
    </row>
    <row r="171" spans="1:33" x14ac:dyDescent="0.25">
      <c r="A171" t="str">
        <f t="shared" si="14"/>
        <v>2023-170</v>
      </c>
      <c r="B171" s="1">
        <f t="shared" si="15"/>
        <v>45236</v>
      </c>
      <c r="C171" t="str">
        <f t="shared" si="16"/>
        <v>/Techem Messtechnik GmbH; Abnehmernummer 501686-0003-11-</v>
      </c>
      <c r="D171" t="str">
        <f t="shared" si="20"/>
        <v>Ausgaben</v>
      </c>
      <c r="E171" t="str">
        <f t="shared" si="20"/>
        <v>Miet- und Pachtaufwand, Leasing</v>
      </c>
      <c r="F171" s="117">
        <f t="shared" si="18"/>
        <v>130.19999999999999</v>
      </c>
      <c r="G171" t="str">
        <f t="shared" si="19"/>
        <v>20%</v>
      </c>
      <c r="I171" s="53">
        <v>2023</v>
      </c>
      <c r="J171" s="53">
        <v>170</v>
      </c>
      <c r="K171" s="71" t="s">
        <v>105</v>
      </c>
      <c r="L171" t="s">
        <v>691</v>
      </c>
      <c r="N171" s="1">
        <v>45236</v>
      </c>
      <c r="O171" t="s">
        <v>1558</v>
      </c>
      <c r="Q171" s="76"/>
      <c r="R171" t="b">
        <v>0</v>
      </c>
      <c r="S171" s="109">
        <v>108.5</v>
      </c>
      <c r="T171" s="159">
        <v>1</v>
      </c>
      <c r="U171">
        <v>20</v>
      </c>
      <c r="V171" s="31">
        <v>21.7</v>
      </c>
      <c r="W171" s="31">
        <v>21.7</v>
      </c>
      <c r="X171" s="33">
        <v>108.5</v>
      </c>
      <c r="Y171" s="29">
        <v>130.19999999999999</v>
      </c>
      <c r="Z171" s="29">
        <v>130.19999999999999</v>
      </c>
      <c r="AA171" s="35">
        <v>45306</v>
      </c>
      <c r="AB171" s="27"/>
      <c r="AC171" s="27"/>
      <c r="AD171" s="160">
        <v>108.5</v>
      </c>
      <c r="AE171" s="31">
        <v>0</v>
      </c>
      <c r="AF171" t="b">
        <v>0</v>
      </c>
      <c r="AG171" s="161">
        <v>-108.5</v>
      </c>
    </row>
    <row r="172" spans="1:33" x14ac:dyDescent="0.25">
      <c r="A172" t="str">
        <f t="shared" si="14"/>
        <v>2023-171</v>
      </c>
      <c r="B172" s="1">
        <f t="shared" si="15"/>
        <v>45236</v>
      </c>
      <c r="C172" t="str">
        <f t="shared" si="16"/>
        <v>BELEG FEHLT/go green energy GmbH &amp; Co KG</v>
      </c>
      <c r="D172" t="str">
        <f t="shared" si="20"/>
        <v>Ausgaben</v>
      </c>
      <c r="E172" t="str">
        <f t="shared" si="20"/>
        <v>sonstige Betriebsausgaben</v>
      </c>
      <c r="F172" s="117">
        <f t="shared" si="18"/>
        <v>6</v>
      </c>
      <c r="G172" t="str">
        <f t="shared" si="19"/>
        <v>20%</v>
      </c>
      <c r="I172" s="53">
        <v>2023</v>
      </c>
      <c r="J172" s="53">
        <v>171</v>
      </c>
      <c r="K172" s="71" t="s">
        <v>105</v>
      </c>
      <c r="L172" t="s">
        <v>705</v>
      </c>
      <c r="M172" s="61" t="s">
        <v>1064</v>
      </c>
      <c r="N172" s="1">
        <v>45236</v>
      </c>
      <c r="O172" t="s">
        <v>1670</v>
      </c>
      <c r="Q172" s="76"/>
      <c r="R172" t="b">
        <v>0</v>
      </c>
      <c r="S172" s="162">
        <v>5</v>
      </c>
      <c r="T172" s="159">
        <v>1</v>
      </c>
      <c r="U172">
        <v>20</v>
      </c>
      <c r="V172" s="31">
        <v>1</v>
      </c>
      <c r="W172" s="31">
        <v>1</v>
      </c>
      <c r="X172" s="33">
        <v>5</v>
      </c>
      <c r="Y172" s="29">
        <v>6</v>
      </c>
      <c r="Z172" s="29">
        <v>6</v>
      </c>
      <c r="AA172" s="35">
        <v>45306</v>
      </c>
      <c r="AB172" s="27"/>
      <c r="AC172" s="27"/>
      <c r="AD172" s="160">
        <v>5</v>
      </c>
      <c r="AE172" s="31">
        <v>0</v>
      </c>
      <c r="AF172" t="b">
        <v>0</v>
      </c>
      <c r="AG172" s="161">
        <v>-5</v>
      </c>
    </row>
    <row r="173" spans="1:33" x14ac:dyDescent="0.25">
      <c r="A173" t="str">
        <f t="shared" si="14"/>
        <v>2023-172</v>
      </c>
      <c r="B173" s="1">
        <f t="shared" si="15"/>
        <v>45237</v>
      </c>
      <c r="C173" t="str">
        <f t="shared" si="16"/>
        <v>/Amazon EU S. à r.l., 38 avenue John F. Kennedy, L-1855 Luxembourg</v>
      </c>
      <c r="D173" t="str">
        <f t="shared" si="20"/>
        <v>Ausgaben</v>
      </c>
      <c r="E173" t="str">
        <f t="shared" si="20"/>
        <v>Büromaterial</v>
      </c>
      <c r="F173" s="117">
        <f t="shared" si="18"/>
        <v>20.3</v>
      </c>
      <c r="G173" t="str">
        <f t="shared" si="19"/>
        <v>20%</v>
      </c>
      <c r="I173" s="53">
        <v>2023</v>
      </c>
      <c r="J173" s="53">
        <v>172</v>
      </c>
      <c r="K173" s="71" t="s">
        <v>105</v>
      </c>
      <c r="L173" t="s">
        <v>339</v>
      </c>
      <c r="M173" s="9"/>
      <c r="N173" s="1">
        <v>45237</v>
      </c>
      <c r="O173" t="s">
        <v>979</v>
      </c>
      <c r="Q173" s="76"/>
      <c r="R173" t="b">
        <v>0</v>
      </c>
      <c r="S173" s="158">
        <v>16.916666666666668</v>
      </c>
      <c r="T173" s="159">
        <v>1</v>
      </c>
      <c r="U173">
        <v>20</v>
      </c>
      <c r="V173" s="31">
        <v>3.3833333333333337</v>
      </c>
      <c r="W173" s="31">
        <v>3.3833333333333337</v>
      </c>
      <c r="X173" s="33">
        <v>16.916666666666668</v>
      </c>
      <c r="Y173" s="29">
        <v>20.3</v>
      </c>
      <c r="Z173" s="29">
        <v>20.3</v>
      </c>
      <c r="AA173" s="35">
        <v>45306</v>
      </c>
      <c r="AB173" s="27"/>
      <c r="AC173" s="27"/>
      <c r="AD173" s="160">
        <v>16.916666666666668</v>
      </c>
      <c r="AE173" s="31">
        <v>0</v>
      </c>
      <c r="AF173" t="b">
        <v>0</v>
      </c>
      <c r="AG173" s="161">
        <v>-16.916666666666668</v>
      </c>
    </row>
    <row r="174" spans="1:33" x14ac:dyDescent="0.25">
      <c r="A174" t="str">
        <f t="shared" si="14"/>
        <v>2023-173</v>
      </c>
      <c r="B174" s="1">
        <f t="shared" si="15"/>
        <v>45238</v>
      </c>
      <c r="C174" t="str">
        <f t="shared" si="16"/>
        <v>/Amazon EU S. à r.l., 38 avenue John F. Kennedy, L-1855 Luxembourg</v>
      </c>
      <c r="D174" t="str">
        <f t="shared" si="20"/>
        <v>Ausgaben</v>
      </c>
      <c r="E174" t="str">
        <f t="shared" si="20"/>
        <v>Büromaterial</v>
      </c>
      <c r="F174" s="117">
        <f t="shared" si="18"/>
        <v>60.408000000000001</v>
      </c>
      <c r="G174" t="str">
        <f t="shared" si="19"/>
        <v>20%</v>
      </c>
      <c r="I174" s="53">
        <v>2023</v>
      </c>
      <c r="J174" s="53">
        <v>173</v>
      </c>
      <c r="K174" s="71" t="s">
        <v>105</v>
      </c>
      <c r="L174" t="s">
        <v>339</v>
      </c>
      <c r="M174" s="9"/>
      <c r="N174" s="1">
        <v>45238</v>
      </c>
      <c r="O174" t="s">
        <v>979</v>
      </c>
      <c r="Q174" s="76"/>
      <c r="R174" t="b">
        <v>0</v>
      </c>
      <c r="S174" s="158">
        <v>50.34</v>
      </c>
      <c r="T174" s="159">
        <v>1</v>
      </c>
      <c r="U174">
        <v>20</v>
      </c>
      <c r="V174" s="31">
        <v>10.068000000000001</v>
      </c>
      <c r="W174" s="31">
        <v>10.068000000000001</v>
      </c>
      <c r="X174" s="33">
        <v>50.34</v>
      </c>
      <c r="Y174" s="29">
        <v>60.408000000000001</v>
      </c>
      <c r="Z174" s="29">
        <v>60.408000000000001</v>
      </c>
      <c r="AA174" s="35">
        <v>45306</v>
      </c>
      <c r="AB174" s="27"/>
      <c r="AC174" s="27"/>
      <c r="AD174" s="160">
        <v>50.34</v>
      </c>
      <c r="AE174" s="31">
        <v>0</v>
      </c>
      <c r="AF174" t="b">
        <v>0</v>
      </c>
      <c r="AG174" s="161">
        <v>-50.34</v>
      </c>
    </row>
    <row r="175" spans="1:33" x14ac:dyDescent="0.25">
      <c r="A175" t="str">
        <f t="shared" si="14"/>
        <v>2023-174</v>
      </c>
      <c r="B175" s="1">
        <f t="shared" si="15"/>
        <v>45240</v>
      </c>
      <c r="C175" t="str">
        <f t="shared" si="16"/>
        <v>/Amazon EU S. à r.l., 38 avenue John F. Kennedy, L-1855 Luxembourg</v>
      </c>
      <c r="D175" t="str">
        <f t="shared" si="20"/>
        <v>Ausgaben</v>
      </c>
      <c r="E175" t="str">
        <f t="shared" si="20"/>
        <v>Büromaterial</v>
      </c>
      <c r="F175" s="117">
        <f t="shared" si="18"/>
        <v>19.295999999999999</v>
      </c>
      <c r="G175" t="str">
        <f t="shared" si="19"/>
        <v>20%</v>
      </c>
      <c r="I175" s="53">
        <v>2023</v>
      </c>
      <c r="J175" s="53">
        <v>174</v>
      </c>
      <c r="K175" s="71" t="s">
        <v>105</v>
      </c>
      <c r="L175" t="s">
        <v>339</v>
      </c>
      <c r="M175" s="9"/>
      <c r="N175" s="1">
        <v>45240</v>
      </c>
      <c r="O175" t="s">
        <v>979</v>
      </c>
      <c r="Q175" s="76"/>
      <c r="R175" t="b">
        <v>0</v>
      </c>
      <c r="S175" s="158">
        <v>16.079999999999998</v>
      </c>
      <c r="T175" s="159">
        <v>1</v>
      </c>
      <c r="U175">
        <v>20</v>
      </c>
      <c r="V175" s="31">
        <v>3.2159999999999997</v>
      </c>
      <c r="W175" s="31">
        <v>3.2159999999999997</v>
      </c>
      <c r="X175" s="33">
        <v>16.079999999999998</v>
      </c>
      <c r="Y175" s="29">
        <v>19.295999999999999</v>
      </c>
      <c r="Z175" s="29">
        <v>19.295999999999999</v>
      </c>
      <c r="AA175" s="35">
        <v>45306</v>
      </c>
      <c r="AB175" s="27"/>
      <c r="AC175" s="27"/>
      <c r="AD175" s="160">
        <v>16.079999999999998</v>
      </c>
      <c r="AE175" s="31">
        <v>0</v>
      </c>
      <c r="AF175" t="b">
        <v>0</v>
      </c>
      <c r="AG175" s="161">
        <v>-16.079999999999998</v>
      </c>
    </row>
    <row r="176" spans="1:33" x14ac:dyDescent="0.25">
      <c r="A176" t="str">
        <f t="shared" si="14"/>
        <v>2023-175</v>
      </c>
      <c r="B176" s="1">
        <f t="shared" si="15"/>
        <v>45243</v>
      </c>
      <c r="C176" t="str">
        <f t="shared" si="16"/>
        <v>/Hetzner Online GmbH</v>
      </c>
      <c r="D176" t="str">
        <f t="shared" si="20"/>
        <v>Ausgaben</v>
      </c>
      <c r="E176" t="str">
        <f t="shared" si="20"/>
        <v>sonstige Betriebsausgaben</v>
      </c>
      <c r="F176" s="117">
        <f t="shared" si="18"/>
        <v>52.214100000000002</v>
      </c>
      <c r="G176" t="str">
        <f t="shared" si="19"/>
        <v>0%</v>
      </c>
      <c r="I176" s="53">
        <v>2023</v>
      </c>
      <c r="J176" s="53">
        <v>175</v>
      </c>
      <c r="K176" s="71" t="s">
        <v>105</v>
      </c>
      <c r="L176" t="s">
        <v>705</v>
      </c>
      <c r="M176" s="9"/>
      <c r="N176" s="1">
        <v>45243</v>
      </c>
      <c r="O176" t="s">
        <v>927</v>
      </c>
      <c r="Q176" s="76"/>
      <c r="R176" t="b">
        <v>0</v>
      </c>
      <c r="S176" s="162">
        <v>52.214100000000002</v>
      </c>
      <c r="T176" s="159">
        <v>1</v>
      </c>
      <c r="U176">
        <v>0</v>
      </c>
      <c r="V176" s="31">
        <v>0</v>
      </c>
      <c r="W176" s="31">
        <v>0</v>
      </c>
      <c r="X176" s="33">
        <v>52.214100000000002</v>
      </c>
      <c r="Y176" s="29">
        <v>52.214100000000002</v>
      </c>
      <c r="Z176" s="29">
        <v>52.214100000000002</v>
      </c>
      <c r="AA176" s="35">
        <v>45306</v>
      </c>
      <c r="AB176" s="27"/>
      <c r="AC176" s="27">
        <v>20</v>
      </c>
      <c r="AD176" s="160">
        <v>52.214100000000002</v>
      </c>
      <c r="AE176" s="31">
        <v>10.442820000000001</v>
      </c>
      <c r="AF176" t="b">
        <v>0</v>
      </c>
      <c r="AG176" s="161">
        <v>-52.214100000000002</v>
      </c>
    </row>
    <row r="177" spans="1:33" x14ac:dyDescent="0.25">
      <c r="A177" t="str">
        <f t="shared" si="14"/>
        <v>2023-176</v>
      </c>
      <c r="B177" s="1">
        <f t="shared" si="15"/>
        <v>45245</v>
      </c>
      <c r="C177" t="str">
        <f t="shared" si="16"/>
        <v>/Hays Österreich GmbH, Bahnhof City Wien West , Europaplatz 3/5, 1150 Wien</v>
      </c>
      <c r="D177" t="str">
        <f t="shared" si="20"/>
        <v>Einnahmen</v>
      </c>
      <c r="E177" t="str">
        <f t="shared" si="20"/>
        <v>Waren-/Leistungserlöse</v>
      </c>
      <c r="F177" s="117">
        <f t="shared" si="18"/>
        <v>19806.3</v>
      </c>
      <c r="G177" t="str">
        <f t="shared" si="19"/>
        <v>20%</v>
      </c>
      <c r="I177" s="53">
        <v>2023</v>
      </c>
      <c r="J177" s="53">
        <v>176</v>
      </c>
      <c r="K177" s="71" t="s">
        <v>708</v>
      </c>
      <c r="L177" t="s">
        <v>709</v>
      </c>
      <c r="M177" s="39"/>
      <c r="N177" s="1">
        <v>45245</v>
      </c>
      <c r="O177" t="s">
        <v>1652</v>
      </c>
      <c r="Q177" s="76"/>
      <c r="R177" t="b">
        <v>0</v>
      </c>
      <c r="S177" s="162">
        <v>16505.25</v>
      </c>
      <c r="T177" s="159">
        <v>1</v>
      </c>
      <c r="U177">
        <v>20</v>
      </c>
      <c r="V177" s="31">
        <v>3301.05</v>
      </c>
      <c r="W177" s="31">
        <v>3301.05</v>
      </c>
      <c r="X177" s="33">
        <v>16505.25</v>
      </c>
      <c r="Y177" s="29">
        <v>19806.3</v>
      </c>
      <c r="Z177" s="29">
        <v>19806.3</v>
      </c>
      <c r="AA177" s="35">
        <v>45306</v>
      </c>
      <c r="AB177" s="27"/>
      <c r="AC177" s="27"/>
      <c r="AD177" s="160">
        <v>16505.25</v>
      </c>
      <c r="AE177" s="31">
        <v>0</v>
      </c>
      <c r="AF177" t="b">
        <v>0</v>
      </c>
      <c r="AG177" s="161">
        <v>16505.25</v>
      </c>
    </row>
    <row r="178" spans="1:33" x14ac:dyDescent="0.25">
      <c r="A178" t="str">
        <f t="shared" si="14"/>
        <v>2023-177</v>
      </c>
      <c r="B178" s="1">
        <f t="shared" si="15"/>
        <v>45245</v>
      </c>
      <c r="C178" t="str">
        <f t="shared" si="16"/>
        <v>siehe 2022-140/Honorar Eva Jaros-Kolbitsch</v>
      </c>
      <c r="D178" t="str">
        <f t="shared" si="20"/>
        <v>Ausgaben</v>
      </c>
      <c r="E178" t="str">
        <f t="shared" si="20"/>
        <v>Personalaufwand</v>
      </c>
      <c r="F178" s="117">
        <f t="shared" si="18"/>
        <v>365</v>
      </c>
      <c r="G178" t="str">
        <f t="shared" si="19"/>
        <v>0%</v>
      </c>
      <c r="I178" s="53">
        <v>2023</v>
      </c>
      <c r="J178" s="53">
        <v>177</v>
      </c>
      <c r="K178" s="71" t="s">
        <v>105</v>
      </c>
      <c r="L178" t="s">
        <v>685</v>
      </c>
      <c r="M178" s="9" t="s">
        <v>1699</v>
      </c>
      <c r="N178" s="1">
        <v>45245</v>
      </c>
      <c r="O178" t="s">
        <v>1689</v>
      </c>
      <c r="Q178" s="76"/>
      <c r="R178" t="b">
        <v>0</v>
      </c>
      <c r="S178" s="162">
        <v>365</v>
      </c>
      <c r="T178" s="159">
        <v>1</v>
      </c>
      <c r="U178">
        <v>0</v>
      </c>
      <c r="V178" s="31">
        <v>0</v>
      </c>
      <c r="W178" s="31">
        <v>0</v>
      </c>
      <c r="X178" s="33">
        <v>365</v>
      </c>
      <c r="Y178" s="29">
        <v>365</v>
      </c>
      <c r="Z178" s="29">
        <v>365</v>
      </c>
      <c r="AA178" s="35">
        <v>45306</v>
      </c>
      <c r="AB178" s="27"/>
      <c r="AC178" s="27"/>
      <c r="AD178" s="160">
        <v>365</v>
      </c>
      <c r="AE178" s="31">
        <v>0</v>
      </c>
      <c r="AF178" t="b">
        <v>0</v>
      </c>
      <c r="AG178" s="161">
        <v>-365</v>
      </c>
    </row>
    <row r="179" spans="1:33" x14ac:dyDescent="0.25">
      <c r="A179" t="str">
        <f t="shared" si="14"/>
        <v>2023-178</v>
      </c>
      <c r="B179" s="1">
        <f t="shared" si="15"/>
        <v>45250</v>
      </c>
      <c r="C179" t="str">
        <f t="shared" si="16"/>
        <v>/Microsoft Ireland Operations Ltd. One Microsoft Place, South County, Business Park, Leopardstown, Dublin 18, D18 P521, Ireland</v>
      </c>
      <c r="D179" t="str">
        <f t="shared" si="20"/>
        <v>Ausgaben</v>
      </c>
      <c r="E179" t="str">
        <f t="shared" si="20"/>
        <v>sonstige Betriebsausgaben</v>
      </c>
      <c r="F179" s="117">
        <f t="shared" si="18"/>
        <v>10.5</v>
      </c>
      <c r="G179" t="str">
        <f t="shared" si="19"/>
        <v>0%</v>
      </c>
      <c r="I179" s="53">
        <v>2023</v>
      </c>
      <c r="J179" s="53">
        <v>178</v>
      </c>
      <c r="K179" s="71" t="s">
        <v>105</v>
      </c>
      <c r="L179" t="s">
        <v>705</v>
      </c>
      <c r="M179" s="1"/>
      <c r="N179" s="1">
        <v>45250</v>
      </c>
      <c r="O179" t="s">
        <v>1032</v>
      </c>
      <c r="Q179" s="76"/>
      <c r="R179" t="b">
        <v>0</v>
      </c>
      <c r="S179" s="158">
        <v>10.5</v>
      </c>
      <c r="T179" s="159">
        <v>1</v>
      </c>
      <c r="U179">
        <v>0</v>
      </c>
      <c r="V179" s="31">
        <v>0</v>
      </c>
      <c r="W179" s="31">
        <v>0</v>
      </c>
      <c r="X179" s="33">
        <v>10.5</v>
      </c>
      <c r="Y179" s="29">
        <v>10.5</v>
      </c>
      <c r="Z179" s="29">
        <v>10.5</v>
      </c>
      <c r="AA179" s="35">
        <v>45306</v>
      </c>
      <c r="AB179" s="27"/>
      <c r="AC179" s="27">
        <v>20</v>
      </c>
      <c r="AD179" s="160">
        <v>10.5</v>
      </c>
      <c r="AE179" s="31">
        <v>2.1</v>
      </c>
      <c r="AF179" t="b">
        <v>0</v>
      </c>
      <c r="AG179" s="161">
        <v>-10.5</v>
      </c>
    </row>
    <row r="180" spans="1:33" x14ac:dyDescent="0.25">
      <c r="A180" t="str">
        <f t="shared" si="14"/>
        <v>2023-179</v>
      </c>
      <c r="B180" s="1">
        <f t="shared" si="15"/>
        <v>45252</v>
      </c>
      <c r="C180" t="str">
        <f t="shared" si="16"/>
        <v>/Amazon EU S. à r.l., 38 avenue John F. Kennedy, L-1855 Luxembourg</v>
      </c>
      <c r="D180" t="str">
        <f t="shared" si="20"/>
        <v>Ausgaben</v>
      </c>
      <c r="E180" t="str">
        <f t="shared" si="20"/>
        <v>Büromaterial</v>
      </c>
      <c r="F180" s="117">
        <f t="shared" si="18"/>
        <v>22.176000000000002</v>
      </c>
      <c r="G180" t="str">
        <f t="shared" si="19"/>
        <v>20%</v>
      </c>
      <c r="I180" s="53">
        <v>2023</v>
      </c>
      <c r="J180" s="53">
        <v>179</v>
      </c>
      <c r="K180" s="71" t="s">
        <v>105</v>
      </c>
      <c r="L180" t="s">
        <v>339</v>
      </c>
      <c r="M180" s="9"/>
      <c r="N180" s="1">
        <v>45252</v>
      </c>
      <c r="O180" t="s">
        <v>979</v>
      </c>
      <c r="Q180" s="76"/>
      <c r="R180" t="b">
        <v>0</v>
      </c>
      <c r="S180" s="158">
        <v>18.48</v>
      </c>
      <c r="T180" s="159">
        <v>1</v>
      </c>
      <c r="U180">
        <v>20</v>
      </c>
      <c r="V180" s="31">
        <v>3.6960000000000002</v>
      </c>
      <c r="W180" s="31">
        <v>3.6960000000000002</v>
      </c>
      <c r="X180" s="33">
        <v>18.48</v>
      </c>
      <c r="Y180" s="29">
        <v>22.176000000000002</v>
      </c>
      <c r="Z180" s="29">
        <v>22.176000000000002</v>
      </c>
      <c r="AA180" s="35">
        <v>45306</v>
      </c>
      <c r="AB180" s="27"/>
      <c r="AC180" s="27"/>
      <c r="AD180" s="160">
        <v>18.48</v>
      </c>
      <c r="AE180" s="31">
        <v>0</v>
      </c>
      <c r="AF180" t="b">
        <v>0</v>
      </c>
      <c r="AG180" s="161">
        <v>-18.48</v>
      </c>
    </row>
    <row r="181" spans="1:33" x14ac:dyDescent="0.25">
      <c r="A181" t="str">
        <f t="shared" si="14"/>
        <v>2023-180</v>
      </c>
      <c r="B181" s="1">
        <f t="shared" si="15"/>
        <v>45252</v>
      </c>
      <c r="C181" t="str">
        <f t="shared" si="16"/>
        <v>/Amazon EU S. à r.l., 38 avenue John F. Kennedy, L-1855 Luxembourg</v>
      </c>
      <c r="D181" t="str">
        <f t="shared" si="20"/>
        <v>Ausgaben</v>
      </c>
      <c r="E181" t="str">
        <f t="shared" si="20"/>
        <v>Büromaterial</v>
      </c>
      <c r="F181" s="117">
        <f t="shared" si="18"/>
        <v>53.664000000000001</v>
      </c>
      <c r="G181" t="str">
        <f t="shared" si="19"/>
        <v>20%</v>
      </c>
      <c r="I181" s="53">
        <v>2023</v>
      </c>
      <c r="J181" s="53">
        <v>180</v>
      </c>
      <c r="K181" s="71" t="s">
        <v>105</v>
      </c>
      <c r="L181" t="s">
        <v>339</v>
      </c>
      <c r="M181" s="9"/>
      <c r="N181" s="1">
        <v>45252</v>
      </c>
      <c r="O181" t="s">
        <v>979</v>
      </c>
      <c r="Q181" s="76"/>
      <c r="R181" t="b">
        <v>0</v>
      </c>
      <c r="S181" s="158">
        <v>44.72</v>
      </c>
      <c r="T181" s="159">
        <v>1</v>
      </c>
      <c r="U181">
        <v>20</v>
      </c>
      <c r="V181" s="31">
        <v>8.9439999999999991</v>
      </c>
      <c r="W181" s="31">
        <v>8.9439999999999991</v>
      </c>
      <c r="X181" s="33">
        <v>44.72</v>
      </c>
      <c r="Y181" s="29">
        <v>53.664000000000001</v>
      </c>
      <c r="Z181" s="29">
        <v>53.664000000000001</v>
      </c>
      <c r="AA181" s="35">
        <v>45306</v>
      </c>
      <c r="AB181" s="27"/>
      <c r="AC181" s="27"/>
      <c r="AD181" s="160">
        <v>44.72</v>
      </c>
      <c r="AE181" s="31">
        <v>0</v>
      </c>
      <c r="AF181" t="b">
        <v>0</v>
      </c>
      <c r="AG181" s="161">
        <v>-44.72</v>
      </c>
    </row>
    <row r="182" spans="1:33" x14ac:dyDescent="0.25">
      <c r="A182" t="str">
        <f t="shared" si="14"/>
        <v>2023-181</v>
      </c>
      <c r="B182" s="1">
        <f t="shared" si="15"/>
        <v>45253</v>
      </c>
      <c r="C182" t="str">
        <f t="shared" si="16"/>
        <v>2019/118/3W Steuerkanzlei, Roter Hof 1a, 1080 Wien</v>
      </c>
      <c r="D182" t="str">
        <f t="shared" si="20"/>
        <v>Ausgaben</v>
      </c>
      <c r="E182" t="str">
        <f t="shared" si="20"/>
        <v>sonstige Betriebsausgaben</v>
      </c>
      <c r="F182" s="117">
        <f t="shared" si="18"/>
        <v>1278</v>
      </c>
      <c r="G182" t="str">
        <f t="shared" si="19"/>
        <v>20%</v>
      </c>
      <c r="I182" s="53">
        <v>2023</v>
      </c>
      <c r="J182" s="53">
        <v>181</v>
      </c>
      <c r="K182" s="71" t="s">
        <v>105</v>
      </c>
      <c r="L182" t="s">
        <v>705</v>
      </c>
      <c r="M182" s="9" t="s">
        <v>1026</v>
      </c>
      <c r="N182" s="1">
        <v>45253</v>
      </c>
      <c r="O182" t="s">
        <v>1027</v>
      </c>
      <c r="Q182" s="76"/>
      <c r="R182" t="b">
        <v>0</v>
      </c>
      <c r="S182" s="48">
        <v>1065</v>
      </c>
      <c r="T182" s="72">
        <v>1</v>
      </c>
      <c r="U182">
        <v>20</v>
      </c>
      <c r="V182" s="31">
        <v>213</v>
      </c>
      <c r="W182" s="31">
        <v>213</v>
      </c>
      <c r="X182" s="33">
        <v>1065</v>
      </c>
      <c r="Y182" s="29">
        <v>1278</v>
      </c>
      <c r="Z182" s="29">
        <v>1278</v>
      </c>
      <c r="AA182" s="35">
        <v>45337</v>
      </c>
      <c r="AB182" s="27"/>
      <c r="AC182" s="27"/>
      <c r="AD182" s="58">
        <v>1065</v>
      </c>
      <c r="AE182" s="31">
        <v>0</v>
      </c>
      <c r="AF182" t="b">
        <v>0</v>
      </c>
      <c r="AG182" s="78">
        <v>-1065</v>
      </c>
    </row>
    <row r="183" spans="1:33" x14ac:dyDescent="0.25">
      <c r="A183" t="str">
        <f t="shared" si="14"/>
        <v>2023-182</v>
      </c>
      <c r="B183" s="1">
        <f t="shared" si="15"/>
        <v>45260</v>
      </c>
      <c r="C183" t="str">
        <f t="shared" si="16"/>
        <v>/HoT Telekom und Service GmbH, Postfach 28, 1121 Wien</v>
      </c>
      <c r="D183" t="str">
        <f t="shared" si="20"/>
        <v>Ausgaben</v>
      </c>
      <c r="E183" t="str">
        <f t="shared" si="20"/>
        <v>Telefon/Internet</v>
      </c>
      <c r="F183" s="117">
        <f t="shared" si="18"/>
        <v>19.899999999999999</v>
      </c>
      <c r="G183" t="str">
        <f t="shared" si="19"/>
        <v>20%</v>
      </c>
      <c r="I183" s="53">
        <v>2023</v>
      </c>
      <c r="J183" s="53">
        <v>182</v>
      </c>
      <c r="K183" s="71" t="s">
        <v>105</v>
      </c>
      <c r="L183" t="s">
        <v>703</v>
      </c>
      <c r="M183" s="9"/>
      <c r="N183" s="1">
        <v>45260</v>
      </c>
      <c r="O183" t="s">
        <v>1775</v>
      </c>
      <c r="Q183" s="76"/>
      <c r="R183" t="b">
        <v>0</v>
      </c>
      <c r="S183" s="48">
        <v>16.583333333333332</v>
      </c>
      <c r="T183" s="72">
        <v>1</v>
      </c>
      <c r="U183">
        <v>20</v>
      </c>
      <c r="V183" s="31">
        <v>3.3166666666666664</v>
      </c>
      <c r="W183" s="31">
        <v>3.3166666666666664</v>
      </c>
      <c r="X183" s="33">
        <v>16.583333333333332</v>
      </c>
      <c r="Y183" s="29">
        <v>19.899999999999999</v>
      </c>
      <c r="Z183" s="29">
        <v>19.899999999999999</v>
      </c>
      <c r="AA183" s="35">
        <v>45337</v>
      </c>
      <c r="AB183" s="27"/>
      <c r="AC183" s="27"/>
      <c r="AD183" s="58">
        <v>16.583333333333332</v>
      </c>
      <c r="AE183" s="31">
        <v>0</v>
      </c>
      <c r="AF183" t="b">
        <v>0</v>
      </c>
      <c r="AG183" s="78">
        <v>-16.583333333333332</v>
      </c>
    </row>
    <row r="184" spans="1:33" x14ac:dyDescent="0.25">
      <c r="A184" t="str">
        <f t="shared" si="14"/>
        <v>2023-183</v>
      </c>
      <c r="B184" s="1">
        <f t="shared" si="15"/>
        <v>45260</v>
      </c>
      <c r="C184" t="str">
        <f t="shared" si="16"/>
        <v>/HoT Telekom und Service GmbH, Postfach 28, 1121 Wien</v>
      </c>
      <c r="D184" t="str">
        <f t="shared" si="20"/>
        <v>Ausgaben</v>
      </c>
      <c r="E184" t="s">
        <v>695</v>
      </c>
      <c r="F184" s="117">
        <f t="shared" si="18"/>
        <v>20</v>
      </c>
      <c r="G184" t="str">
        <f t="shared" si="19"/>
        <v>20%</v>
      </c>
      <c r="I184" s="53">
        <v>2023</v>
      </c>
      <c r="J184" s="53">
        <v>183</v>
      </c>
      <c r="K184" s="71" t="s">
        <v>105</v>
      </c>
      <c r="L184" t="s">
        <v>703</v>
      </c>
      <c r="M184" s="9"/>
      <c r="N184" s="1">
        <v>45260</v>
      </c>
      <c r="O184" t="s">
        <v>1775</v>
      </c>
      <c r="Q184" s="76"/>
      <c r="R184" t="b">
        <v>0</v>
      </c>
      <c r="S184" s="48">
        <v>16.666666666666668</v>
      </c>
      <c r="T184" s="72">
        <v>1</v>
      </c>
      <c r="U184">
        <v>20</v>
      </c>
      <c r="V184" s="31">
        <v>3.3333333333333339</v>
      </c>
      <c r="W184" s="31">
        <v>3.3333333333333339</v>
      </c>
      <c r="X184" s="33">
        <v>16.666666666666668</v>
      </c>
      <c r="Y184" s="29">
        <v>20</v>
      </c>
      <c r="Z184" s="29">
        <v>20</v>
      </c>
      <c r="AA184" s="35">
        <v>45337</v>
      </c>
      <c r="AB184" s="27"/>
      <c r="AC184" s="27"/>
      <c r="AD184" s="58">
        <v>16.666666666666668</v>
      </c>
      <c r="AE184" s="31">
        <v>0</v>
      </c>
      <c r="AF184" t="b">
        <v>0</v>
      </c>
      <c r="AG184" s="78">
        <v>-16.666666666666668</v>
      </c>
    </row>
    <row r="185" spans="1:33" x14ac:dyDescent="0.25">
      <c r="A185" t="str">
        <f t="shared" si="14"/>
        <v>2023-184</v>
      </c>
      <c r="B185" s="1">
        <f t="shared" si="15"/>
        <v>45260</v>
      </c>
      <c r="C185" t="str">
        <f t="shared" si="16"/>
        <v>/Sozialversicherungsanstalt der Selbständigen</v>
      </c>
      <c r="D185" t="str">
        <f t="shared" si="20"/>
        <v>Ausgaben</v>
      </c>
      <c r="E185" t="str">
        <f t="shared" si="20"/>
        <v>Miet- und Pachtaufwand, Leasing</v>
      </c>
      <c r="F185" s="117">
        <f t="shared" si="18"/>
        <v>6800.6</v>
      </c>
      <c r="G185" t="str">
        <f t="shared" si="19"/>
        <v>0%</v>
      </c>
      <c r="I185" s="53">
        <v>2023</v>
      </c>
      <c r="J185" s="53">
        <v>184</v>
      </c>
      <c r="K185" s="71" t="s">
        <v>105</v>
      </c>
      <c r="L185" t="s">
        <v>691</v>
      </c>
      <c r="M185" s="9"/>
      <c r="N185" s="1">
        <v>45260</v>
      </c>
      <c r="O185" t="s">
        <v>1776</v>
      </c>
      <c r="Q185" s="76"/>
      <c r="R185" t="b">
        <v>0</v>
      </c>
      <c r="S185" s="109">
        <v>6800.6</v>
      </c>
      <c r="T185" s="72">
        <v>1</v>
      </c>
      <c r="U185">
        <v>0</v>
      </c>
      <c r="V185" s="31">
        <v>0</v>
      </c>
      <c r="W185" s="31">
        <v>0</v>
      </c>
      <c r="X185" s="33">
        <v>6800.6</v>
      </c>
      <c r="Y185" s="29">
        <v>6800.6</v>
      </c>
      <c r="Z185" s="29">
        <v>6800.6</v>
      </c>
      <c r="AA185" s="35">
        <v>45306</v>
      </c>
      <c r="AB185" s="27"/>
      <c r="AC185" s="27"/>
      <c r="AD185" s="58">
        <v>6800.6</v>
      </c>
      <c r="AE185" s="31">
        <v>0</v>
      </c>
      <c r="AF185" t="b">
        <v>0</v>
      </c>
      <c r="AG185" s="78">
        <v>-6800.6</v>
      </c>
    </row>
    <row r="186" spans="1:33" x14ac:dyDescent="0.25">
      <c r="A186" t="str">
        <f t="shared" si="14"/>
        <v>2023-185</v>
      </c>
      <c r="B186" s="1">
        <f t="shared" si="15"/>
        <v>45261</v>
      </c>
      <c r="C186" t="str">
        <f t="shared" si="16"/>
        <v>/Bontus Immobilienverwaltung GmbH, 1010 Wien, Franz Josefs Kai 65</v>
      </c>
      <c r="D186" t="str">
        <f t="shared" si="20"/>
        <v>Ausgaben</v>
      </c>
      <c r="E186" t="str">
        <f t="shared" si="20"/>
        <v>Miet- und Pachtaufwand, Leasing</v>
      </c>
      <c r="F186" s="117">
        <f t="shared" si="18"/>
        <v>639.73</v>
      </c>
      <c r="G186" t="str">
        <f t="shared" si="19"/>
        <v>20%</v>
      </c>
      <c r="I186" s="53">
        <v>2023</v>
      </c>
      <c r="J186" s="53">
        <v>185</v>
      </c>
      <c r="K186" s="71" t="s">
        <v>105</v>
      </c>
      <c r="L186" t="s">
        <v>691</v>
      </c>
      <c r="M186" s="9"/>
      <c r="N186" s="1">
        <v>45261</v>
      </c>
      <c r="O186" t="s">
        <v>1113</v>
      </c>
      <c r="Q186" s="76"/>
      <c r="R186" t="b">
        <v>0</v>
      </c>
      <c r="S186" s="109">
        <v>533.10833333333335</v>
      </c>
      <c r="T186" s="72">
        <v>1</v>
      </c>
      <c r="U186">
        <v>20</v>
      </c>
      <c r="V186" s="31">
        <v>106.62166666666668</v>
      </c>
      <c r="W186" s="31">
        <v>106.62166666666668</v>
      </c>
      <c r="X186" s="33">
        <v>533.10833333333335</v>
      </c>
      <c r="Y186" s="29">
        <v>639.73</v>
      </c>
      <c r="Z186" s="29">
        <v>639.73</v>
      </c>
      <c r="AA186" s="35">
        <v>45337</v>
      </c>
      <c r="AB186" s="27"/>
      <c r="AC186" s="27"/>
      <c r="AD186" s="58">
        <v>533.10833333333335</v>
      </c>
      <c r="AE186" s="31">
        <v>0</v>
      </c>
      <c r="AF186" t="b">
        <v>0</v>
      </c>
      <c r="AG186" s="78">
        <v>-533.10833333333335</v>
      </c>
    </row>
    <row r="187" spans="1:33" x14ac:dyDescent="0.25">
      <c r="A187" t="str">
        <f t="shared" si="14"/>
        <v>2023-186</v>
      </c>
      <c r="B187" s="1">
        <f t="shared" si="15"/>
        <v>45264</v>
      </c>
      <c r="C187" t="str">
        <f t="shared" si="16"/>
        <v>/Google Ireland Ltd, Gordon House, Barrow Street, Dublin 4, Ireland; VAT number: IE 6388047V</v>
      </c>
      <c r="D187" t="str">
        <f t="shared" si="20"/>
        <v>Ausgaben</v>
      </c>
      <c r="E187" t="str">
        <f t="shared" si="20"/>
        <v>sonstige Betriebsausgaben</v>
      </c>
      <c r="F187" s="117">
        <f t="shared" si="18"/>
        <v>10.4</v>
      </c>
      <c r="G187" t="str">
        <f t="shared" si="19"/>
        <v>0%</v>
      </c>
      <c r="I187" s="53">
        <v>2023</v>
      </c>
      <c r="J187" s="53">
        <v>186</v>
      </c>
      <c r="K187" s="71" t="s">
        <v>105</v>
      </c>
      <c r="L187" t="s">
        <v>705</v>
      </c>
      <c r="N187" s="1">
        <v>45264</v>
      </c>
      <c r="O187" t="s">
        <v>1404</v>
      </c>
      <c r="Q187" s="76"/>
      <c r="R187" t="b">
        <v>0</v>
      </c>
      <c r="S187" s="158">
        <v>10.4</v>
      </c>
      <c r="T187" s="159">
        <v>1</v>
      </c>
      <c r="U187">
        <v>0</v>
      </c>
      <c r="V187" s="31">
        <v>0</v>
      </c>
      <c r="W187" s="31">
        <v>0</v>
      </c>
      <c r="X187" s="33">
        <v>10.4</v>
      </c>
      <c r="Y187" s="29">
        <v>10.4</v>
      </c>
      <c r="Z187" s="29">
        <v>10.4</v>
      </c>
      <c r="AA187" s="35">
        <v>45337</v>
      </c>
      <c r="AB187" s="27"/>
      <c r="AC187" s="27">
        <v>20</v>
      </c>
      <c r="AD187" s="160">
        <v>10.4</v>
      </c>
      <c r="AE187" s="31">
        <v>2.08</v>
      </c>
      <c r="AF187" t="b">
        <v>0</v>
      </c>
      <c r="AG187" s="161">
        <v>-10.4</v>
      </c>
    </row>
    <row r="188" spans="1:33" x14ac:dyDescent="0.25">
      <c r="A188" t="str">
        <f t="shared" si="14"/>
        <v>2023-187</v>
      </c>
      <c r="B188" s="1">
        <f t="shared" si="15"/>
        <v>45264</v>
      </c>
      <c r="C188" t="str">
        <f t="shared" si="16"/>
        <v>BELEG FEHLT/go green energy GmbH &amp; Co KG</v>
      </c>
      <c r="D188" t="str">
        <f t="shared" si="20"/>
        <v>Ausgaben</v>
      </c>
      <c r="E188" t="str">
        <f t="shared" si="20"/>
        <v>sonstige Betriebsausgaben</v>
      </c>
      <c r="F188" s="117">
        <f t="shared" si="18"/>
        <v>6</v>
      </c>
      <c r="G188" t="str">
        <f t="shared" si="19"/>
        <v>20%</v>
      </c>
      <c r="I188" s="53">
        <v>2023</v>
      </c>
      <c r="J188" s="53">
        <v>187</v>
      </c>
      <c r="K188" s="71" t="s">
        <v>105</v>
      </c>
      <c r="L188" t="s">
        <v>705</v>
      </c>
      <c r="M188" s="61" t="s">
        <v>1064</v>
      </c>
      <c r="N188" s="1">
        <v>45264</v>
      </c>
      <c r="O188" t="s">
        <v>1670</v>
      </c>
      <c r="Q188" s="76"/>
      <c r="R188" t="b">
        <v>0</v>
      </c>
      <c r="S188" s="158">
        <v>5</v>
      </c>
      <c r="T188" s="159">
        <v>1</v>
      </c>
      <c r="U188">
        <v>20</v>
      </c>
      <c r="V188" s="31">
        <v>1</v>
      </c>
      <c r="W188" s="31">
        <v>1</v>
      </c>
      <c r="X188" s="33">
        <v>5</v>
      </c>
      <c r="Y188" s="29">
        <v>6</v>
      </c>
      <c r="Z188" s="29">
        <v>6</v>
      </c>
      <c r="AA188" s="35">
        <v>45337</v>
      </c>
      <c r="AB188" s="27"/>
      <c r="AC188" s="27"/>
      <c r="AD188" s="160">
        <v>5</v>
      </c>
      <c r="AE188" s="31">
        <v>0</v>
      </c>
      <c r="AF188" t="b">
        <v>0</v>
      </c>
      <c r="AG188" s="161">
        <v>-5</v>
      </c>
    </row>
    <row r="189" spans="1:33" x14ac:dyDescent="0.25">
      <c r="A189" t="str">
        <f t="shared" si="14"/>
        <v>2023-188</v>
      </c>
      <c r="B189" s="1">
        <f t="shared" si="15"/>
        <v>45265</v>
      </c>
      <c r="C189" t="str">
        <f t="shared" si="16"/>
        <v>/Amazon EU S. à r.l., 38 avenue John F. Kennedy, L-1855 Luxembourg</v>
      </c>
      <c r="D189" t="str">
        <f t="shared" si="20"/>
        <v>Ausgaben</v>
      </c>
      <c r="E189" t="str">
        <f t="shared" si="20"/>
        <v>Büromaterial</v>
      </c>
      <c r="F189" s="117">
        <f t="shared" si="18"/>
        <v>213.23999999999998</v>
      </c>
      <c r="G189" t="str">
        <f t="shared" si="19"/>
        <v>20%</v>
      </c>
      <c r="I189" s="53">
        <v>2023</v>
      </c>
      <c r="J189" s="53">
        <v>188</v>
      </c>
      <c r="K189" s="71" t="s">
        <v>105</v>
      </c>
      <c r="L189" t="s">
        <v>339</v>
      </c>
      <c r="M189" s="9"/>
      <c r="N189" s="1">
        <v>45265</v>
      </c>
      <c r="O189" t="s">
        <v>979</v>
      </c>
      <c r="Q189" s="76"/>
      <c r="R189" t="b">
        <v>0</v>
      </c>
      <c r="S189" s="158">
        <v>177.7</v>
      </c>
      <c r="T189" s="159">
        <v>1</v>
      </c>
      <c r="U189">
        <v>20</v>
      </c>
      <c r="V189" s="31">
        <v>35.54</v>
      </c>
      <c r="W189" s="31">
        <v>35.54</v>
      </c>
      <c r="X189" s="33">
        <v>177.7</v>
      </c>
      <c r="Y189" s="29">
        <v>213.23999999999998</v>
      </c>
      <c r="Z189" s="29">
        <v>213.23999999999998</v>
      </c>
      <c r="AA189" s="35">
        <v>45337</v>
      </c>
      <c r="AB189" s="27"/>
      <c r="AC189" s="27"/>
      <c r="AD189" s="160">
        <v>177.7</v>
      </c>
      <c r="AE189" s="31">
        <v>0</v>
      </c>
      <c r="AF189" t="b">
        <v>0</v>
      </c>
      <c r="AG189" s="161">
        <v>-177.7</v>
      </c>
    </row>
    <row r="190" spans="1:33" x14ac:dyDescent="0.25">
      <c r="A190" t="str">
        <f t="shared" si="14"/>
        <v>2023-189</v>
      </c>
      <c r="B190" s="1">
        <f t="shared" si="15"/>
        <v>45265</v>
      </c>
      <c r="C190" t="str">
        <f t="shared" si="16"/>
        <v>/Lemon Technologies GmbH, Unterweißenbach 181, 8330 Feldbach: Dell Precision 3580 Laptop</v>
      </c>
      <c r="D190" t="str">
        <f t="shared" si="20"/>
        <v>Ausgaben</v>
      </c>
      <c r="E190" t="str">
        <f t="shared" si="20"/>
        <v>sonstige Betriebsausgaben</v>
      </c>
      <c r="F190" s="117">
        <f t="shared" si="18"/>
        <v>320.44800000000004</v>
      </c>
      <c r="G190" t="str">
        <f t="shared" si="19"/>
        <v>20%</v>
      </c>
      <c r="I190" s="53">
        <v>2023</v>
      </c>
      <c r="J190" s="53">
        <v>189</v>
      </c>
      <c r="K190" s="71" t="s">
        <v>105</v>
      </c>
      <c r="L190" t="s">
        <v>705</v>
      </c>
      <c r="M190" s="9"/>
      <c r="N190" s="1">
        <v>45265</v>
      </c>
      <c r="O190" t="s">
        <v>1746</v>
      </c>
      <c r="P190">
        <v>3</v>
      </c>
      <c r="Q190" s="76"/>
      <c r="R190" t="b">
        <v>0</v>
      </c>
      <c r="S190" s="162">
        <v>267.04000000000002</v>
      </c>
      <c r="T190" s="159">
        <v>1</v>
      </c>
      <c r="U190">
        <v>20</v>
      </c>
      <c r="V190" s="31">
        <v>53.408000000000001</v>
      </c>
      <c r="W190" s="31">
        <v>53.408000000000001</v>
      </c>
      <c r="X190" s="33">
        <v>267.04000000000002</v>
      </c>
      <c r="Y190" s="29">
        <v>320.44800000000004</v>
      </c>
      <c r="Z190" s="29">
        <v>320.44800000000004</v>
      </c>
      <c r="AA190" s="35">
        <v>45337</v>
      </c>
      <c r="AB190" s="27"/>
      <c r="AC190" s="27"/>
      <c r="AD190" s="160">
        <v>267.04000000000002</v>
      </c>
      <c r="AE190" s="31">
        <v>0</v>
      </c>
      <c r="AF190" t="b">
        <v>0</v>
      </c>
      <c r="AG190" s="161">
        <v>-267.04000000000002</v>
      </c>
    </row>
    <row r="191" spans="1:33" x14ac:dyDescent="0.25">
      <c r="A191" t="str">
        <f t="shared" si="14"/>
        <v>2023-190</v>
      </c>
      <c r="B191" s="1">
        <f t="shared" si="15"/>
        <v>45265</v>
      </c>
      <c r="C191" t="str">
        <f t="shared" si="16"/>
        <v>/Techem Messtechnik GmbH; Abnehmernummer 501686-0003-11-</v>
      </c>
      <c r="D191" t="str">
        <f t="shared" si="20"/>
        <v>Ausgaben</v>
      </c>
      <c r="E191" t="str">
        <f t="shared" si="20"/>
        <v>Miet- und Pachtaufwand, Leasing</v>
      </c>
      <c r="F191" s="117">
        <f t="shared" si="18"/>
        <v>130.19999999999999</v>
      </c>
      <c r="G191" t="str">
        <f t="shared" si="19"/>
        <v>20%</v>
      </c>
      <c r="I191" s="53">
        <v>2023</v>
      </c>
      <c r="J191" s="53">
        <v>190</v>
      </c>
      <c r="K191" s="71" t="s">
        <v>105</v>
      </c>
      <c r="L191" t="s">
        <v>691</v>
      </c>
      <c r="N191" s="1">
        <v>45265</v>
      </c>
      <c r="O191" t="s">
        <v>1558</v>
      </c>
      <c r="Q191" s="76"/>
      <c r="R191" t="b">
        <v>0</v>
      </c>
      <c r="S191" s="109">
        <v>108.5</v>
      </c>
      <c r="T191" s="159">
        <v>1</v>
      </c>
      <c r="U191">
        <v>20</v>
      </c>
      <c r="V191" s="31">
        <v>21.7</v>
      </c>
      <c r="W191" s="31">
        <v>21.7</v>
      </c>
      <c r="X191" s="33">
        <v>108.5</v>
      </c>
      <c r="Y191" s="29">
        <v>130.19999999999999</v>
      </c>
      <c r="Z191" s="29">
        <v>130.19999999999999</v>
      </c>
      <c r="AA191" s="35">
        <v>45337</v>
      </c>
      <c r="AB191" s="27"/>
      <c r="AC191" s="27"/>
      <c r="AD191" s="160">
        <v>108.5</v>
      </c>
      <c r="AE191" s="31">
        <v>0</v>
      </c>
      <c r="AF191" t="b">
        <v>0</v>
      </c>
      <c r="AG191" s="161">
        <v>-108.5</v>
      </c>
    </row>
    <row r="192" spans="1:33" x14ac:dyDescent="0.25">
      <c r="A192" t="str">
        <f t="shared" si="14"/>
        <v>2023-191</v>
      </c>
      <c r="B192" s="1">
        <f t="shared" si="15"/>
        <v>45265</v>
      </c>
      <c r="C192" t="str">
        <f t="shared" si="16"/>
        <v>/Hutchison Drei Austria GmbH, Brünner Straße 52, 1210 Wien, Österreich</v>
      </c>
      <c r="D192" t="str">
        <f t="shared" si="20"/>
        <v>Ausgaben</v>
      </c>
      <c r="E192" t="str">
        <f t="shared" si="20"/>
        <v>Telefon/Internet</v>
      </c>
      <c r="F192" s="117">
        <f t="shared" si="18"/>
        <v>27.9</v>
      </c>
      <c r="G192" t="str">
        <f t="shared" si="19"/>
        <v>20%</v>
      </c>
      <c r="I192" s="53">
        <v>2023</v>
      </c>
      <c r="J192" s="53">
        <v>191</v>
      </c>
      <c r="K192" s="71" t="s">
        <v>105</v>
      </c>
      <c r="L192" t="s">
        <v>703</v>
      </c>
      <c r="N192" s="1">
        <v>45265</v>
      </c>
      <c r="O192" t="s">
        <v>34</v>
      </c>
      <c r="Q192" s="76"/>
      <c r="R192" t="b">
        <v>0</v>
      </c>
      <c r="S192" s="48">
        <v>23.25</v>
      </c>
      <c r="T192" s="159">
        <v>1</v>
      </c>
      <c r="U192">
        <v>20</v>
      </c>
      <c r="V192" s="31">
        <v>4.6500000000000004</v>
      </c>
      <c r="W192" s="31">
        <v>4.6500000000000004</v>
      </c>
      <c r="X192" s="33">
        <v>23.25</v>
      </c>
      <c r="Y192" s="29">
        <v>27.9</v>
      </c>
      <c r="Z192" s="29">
        <v>27.9</v>
      </c>
      <c r="AA192" s="35">
        <v>45337</v>
      </c>
      <c r="AB192" s="27"/>
      <c r="AC192" s="27"/>
      <c r="AD192" s="160">
        <v>23.25</v>
      </c>
      <c r="AE192" s="31">
        <v>0</v>
      </c>
      <c r="AF192" t="b">
        <v>0</v>
      </c>
      <c r="AG192" s="161">
        <v>-23.25</v>
      </c>
    </row>
    <row r="193" spans="1:33" x14ac:dyDescent="0.25">
      <c r="A193" t="str">
        <f t="shared" si="14"/>
        <v>2023-192</v>
      </c>
      <c r="B193" s="1">
        <f t="shared" si="15"/>
        <v>45273</v>
      </c>
      <c r="C193" t="str">
        <f t="shared" si="16"/>
        <v>/Amazon EU S. à r.l., 38 avenue John F. Kennedy, L-1855 Luxembourg</v>
      </c>
      <c r="D193" t="str">
        <f t="shared" si="20"/>
        <v>Ausgaben</v>
      </c>
      <c r="E193" t="str">
        <f t="shared" si="20"/>
        <v>Büromaterial</v>
      </c>
      <c r="F193" s="117">
        <f t="shared" si="18"/>
        <v>25.187999999999999</v>
      </c>
      <c r="G193" t="str">
        <f t="shared" si="19"/>
        <v>20%</v>
      </c>
      <c r="I193" s="53">
        <v>2023</v>
      </c>
      <c r="J193" s="53">
        <v>192</v>
      </c>
      <c r="K193" s="71" t="s">
        <v>105</v>
      </c>
      <c r="L193" t="s">
        <v>339</v>
      </c>
      <c r="M193" s="9"/>
      <c r="N193" s="1">
        <v>45273</v>
      </c>
      <c r="O193" t="s">
        <v>979</v>
      </c>
      <c r="Q193" s="76"/>
      <c r="R193" t="b">
        <v>0</v>
      </c>
      <c r="S193" s="158">
        <v>20.99</v>
      </c>
      <c r="T193" s="159">
        <v>1</v>
      </c>
      <c r="U193">
        <v>20</v>
      </c>
      <c r="V193" s="31">
        <v>4.1979999999999995</v>
      </c>
      <c r="W193" s="31">
        <v>4.1979999999999995</v>
      </c>
      <c r="X193" s="33">
        <v>20.99</v>
      </c>
      <c r="Y193" s="29">
        <v>25.187999999999999</v>
      </c>
      <c r="Z193" s="29">
        <v>25.187999999999999</v>
      </c>
      <c r="AA193" s="35">
        <v>45337</v>
      </c>
      <c r="AB193" s="27"/>
      <c r="AC193" s="27"/>
      <c r="AD193" s="160">
        <v>20.99</v>
      </c>
      <c r="AE193" s="31">
        <v>0</v>
      </c>
      <c r="AF193" t="b">
        <v>0</v>
      </c>
      <c r="AG193" s="161">
        <v>-20.99</v>
      </c>
    </row>
    <row r="194" spans="1:33" x14ac:dyDescent="0.25">
      <c r="A194" t="str">
        <f t="shared" ref="A194:A200" si="21">I194&amp;"-"&amp;J194</f>
        <v>2023-193</v>
      </c>
      <c r="B194" s="1">
        <f t="shared" ref="B194:B200" si="22">N194</f>
        <v>45273</v>
      </c>
      <c r="C194" t="str">
        <f t="shared" ref="C194:C200" si="23">M194&amp;"/"&amp;O194</f>
        <v>/Hetzner Online GmbH</v>
      </c>
      <c r="D194" t="str">
        <f t="shared" si="20"/>
        <v>Ausgaben</v>
      </c>
      <c r="E194" t="str">
        <f t="shared" si="20"/>
        <v>sonstige Betriebsausgaben</v>
      </c>
      <c r="F194" s="117">
        <f t="shared" ref="F194:F200" si="24">Z194</f>
        <v>52.214100000000002</v>
      </c>
      <c r="G194" t="str">
        <f t="shared" ref="G194:G200" si="25">U194&amp;"%"</f>
        <v>0%</v>
      </c>
      <c r="I194" s="53">
        <v>2023</v>
      </c>
      <c r="J194" s="53">
        <v>193</v>
      </c>
      <c r="K194" s="71" t="s">
        <v>105</v>
      </c>
      <c r="L194" t="s">
        <v>705</v>
      </c>
      <c r="M194" s="9"/>
      <c r="N194" s="1">
        <v>45273</v>
      </c>
      <c r="O194" t="s">
        <v>927</v>
      </c>
      <c r="Q194" s="76"/>
      <c r="R194" t="b">
        <v>0</v>
      </c>
      <c r="S194" s="162">
        <v>52.214100000000002</v>
      </c>
      <c r="T194" s="159">
        <v>1</v>
      </c>
      <c r="U194">
        <v>0</v>
      </c>
      <c r="V194" s="31">
        <v>0</v>
      </c>
      <c r="W194" s="31">
        <v>0</v>
      </c>
      <c r="X194" s="33">
        <v>52.214100000000002</v>
      </c>
      <c r="Y194" s="29">
        <v>52.214100000000002</v>
      </c>
      <c r="Z194" s="29">
        <v>52.214100000000002</v>
      </c>
      <c r="AA194" s="35">
        <v>45337</v>
      </c>
      <c r="AB194" s="27"/>
      <c r="AC194" s="27">
        <v>20</v>
      </c>
      <c r="AD194" s="160">
        <v>52.214100000000002</v>
      </c>
      <c r="AE194" s="31">
        <v>10.442820000000001</v>
      </c>
      <c r="AF194" t="b">
        <v>0</v>
      </c>
      <c r="AG194" s="161">
        <v>-52.214100000000002</v>
      </c>
    </row>
    <row r="195" spans="1:33" x14ac:dyDescent="0.25">
      <c r="A195" t="str">
        <f t="shared" si="21"/>
        <v>2023-194</v>
      </c>
      <c r="B195" s="1">
        <f t="shared" si="22"/>
        <v>45275</v>
      </c>
      <c r="C195" t="str">
        <f t="shared" si="23"/>
        <v>siehe 2022-140/Honorar Eva Jaros-Kolbitsch</v>
      </c>
      <c r="D195" t="str">
        <f t="shared" ref="D195:E200" si="26">K195</f>
        <v>Ausgaben</v>
      </c>
      <c r="E195" t="str">
        <f t="shared" si="26"/>
        <v>Personalaufwand</v>
      </c>
      <c r="F195" s="117">
        <f t="shared" si="24"/>
        <v>365</v>
      </c>
      <c r="G195" t="str">
        <f t="shared" si="25"/>
        <v>0%</v>
      </c>
      <c r="I195" s="53">
        <v>2023</v>
      </c>
      <c r="J195" s="53">
        <v>194</v>
      </c>
      <c r="K195" s="71" t="s">
        <v>105</v>
      </c>
      <c r="L195" t="s">
        <v>685</v>
      </c>
      <c r="M195" s="9" t="s">
        <v>1699</v>
      </c>
      <c r="N195" s="1">
        <v>45275</v>
      </c>
      <c r="O195" t="s">
        <v>1689</v>
      </c>
      <c r="Q195" s="76"/>
      <c r="R195" t="b">
        <v>0</v>
      </c>
      <c r="S195" s="162">
        <v>365</v>
      </c>
      <c r="T195" s="159">
        <v>1</v>
      </c>
      <c r="U195">
        <v>0</v>
      </c>
      <c r="V195" s="31">
        <v>0</v>
      </c>
      <c r="W195" s="31">
        <v>0</v>
      </c>
      <c r="X195" s="33">
        <v>365</v>
      </c>
      <c r="Y195" s="29">
        <v>365</v>
      </c>
      <c r="Z195" s="29">
        <v>365</v>
      </c>
      <c r="AA195" s="35">
        <v>45337</v>
      </c>
      <c r="AB195" s="27"/>
      <c r="AC195" s="27"/>
      <c r="AD195" s="160">
        <v>365</v>
      </c>
      <c r="AE195" s="31">
        <v>0</v>
      </c>
      <c r="AF195" t="b">
        <v>0</v>
      </c>
      <c r="AG195" s="161">
        <v>-365</v>
      </c>
    </row>
    <row r="196" spans="1:33" x14ac:dyDescent="0.25">
      <c r="A196" t="str">
        <f t="shared" si="21"/>
        <v>2023-195</v>
      </c>
      <c r="B196" s="1">
        <f t="shared" si="22"/>
        <v>45280</v>
      </c>
      <c r="C196" t="str">
        <f t="shared" si="23"/>
        <v>/Microsoft Ireland Operations Ltd. One Microsoft Place, South County, Business Park, Leopardstown, Dublin 18, D18 P521, Ireland</v>
      </c>
      <c r="D196" t="str">
        <f t="shared" si="26"/>
        <v>Ausgaben</v>
      </c>
      <c r="E196" t="str">
        <f t="shared" si="26"/>
        <v>sonstige Betriebsausgaben</v>
      </c>
      <c r="F196" s="117">
        <f t="shared" si="24"/>
        <v>11.7</v>
      </c>
      <c r="G196" t="str">
        <f t="shared" si="25"/>
        <v>0%</v>
      </c>
      <c r="I196" s="53">
        <v>2023</v>
      </c>
      <c r="J196" s="53">
        <v>195</v>
      </c>
      <c r="K196" s="71" t="s">
        <v>105</v>
      </c>
      <c r="L196" t="s">
        <v>705</v>
      </c>
      <c r="M196" s="1"/>
      <c r="N196" s="1">
        <v>45280</v>
      </c>
      <c r="O196" t="s">
        <v>1032</v>
      </c>
      <c r="Q196" s="76"/>
      <c r="R196" t="b">
        <v>0</v>
      </c>
      <c r="S196" s="158">
        <v>11.7</v>
      </c>
      <c r="T196" s="159">
        <v>1</v>
      </c>
      <c r="U196">
        <v>0</v>
      </c>
      <c r="V196" s="31">
        <v>0</v>
      </c>
      <c r="W196" s="31">
        <v>0</v>
      </c>
      <c r="X196" s="33">
        <v>11.7</v>
      </c>
      <c r="Y196" s="29">
        <v>11.7</v>
      </c>
      <c r="Z196" s="29">
        <v>11.7</v>
      </c>
      <c r="AA196" s="35">
        <v>45337</v>
      </c>
      <c r="AB196" s="27"/>
      <c r="AC196" s="27">
        <v>20</v>
      </c>
      <c r="AD196" s="160">
        <v>11.7</v>
      </c>
      <c r="AE196" s="31">
        <v>2.34</v>
      </c>
      <c r="AF196" t="b">
        <v>0</v>
      </c>
      <c r="AG196" s="161">
        <v>-11.7</v>
      </c>
    </row>
    <row r="197" spans="1:33" x14ac:dyDescent="0.25">
      <c r="A197" t="str">
        <f t="shared" si="21"/>
        <v>2023-196</v>
      </c>
      <c r="B197" s="1">
        <f t="shared" si="22"/>
        <v>45278</v>
      </c>
      <c r="C197" t="str">
        <f t="shared" si="23"/>
        <v>/Amazon EU S. à r.l., 38 avenue John F. Kennedy, L-1855 Luxembourg</v>
      </c>
      <c r="D197" t="str">
        <f t="shared" si="26"/>
        <v>Ausgaben</v>
      </c>
      <c r="E197" t="str">
        <f t="shared" si="26"/>
        <v>Büromaterial</v>
      </c>
      <c r="F197" s="117">
        <f t="shared" si="24"/>
        <v>17.135999999999999</v>
      </c>
      <c r="G197" t="str">
        <f t="shared" si="25"/>
        <v>20%</v>
      </c>
      <c r="I197" s="53">
        <v>2023</v>
      </c>
      <c r="J197" s="53">
        <v>196</v>
      </c>
      <c r="K197" s="71" t="s">
        <v>105</v>
      </c>
      <c r="L197" t="s">
        <v>339</v>
      </c>
      <c r="N197" s="1">
        <v>45278</v>
      </c>
      <c r="O197" t="s">
        <v>979</v>
      </c>
      <c r="Q197" s="76"/>
      <c r="R197" t="b">
        <v>0</v>
      </c>
      <c r="S197" s="158">
        <v>14.28</v>
      </c>
      <c r="T197" s="159">
        <v>1</v>
      </c>
      <c r="U197">
        <v>20</v>
      </c>
      <c r="V197" s="31">
        <v>2.8559999999999999</v>
      </c>
      <c r="W197" s="31">
        <v>2.8559999999999999</v>
      </c>
      <c r="X197" s="33">
        <v>14.28</v>
      </c>
      <c r="Y197" s="29">
        <v>17.135999999999999</v>
      </c>
      <c r="Z197" s="29">
        <v>17.135999999999999</v>
      </c>
      <c r="AA197" s="35">
        <v>45337</v>
      </c>
      <c r="AB197" s="27"/>
      <c r="AC197" s="27"/>
      <c r="AD197" s="160">
        <v>14.28</v>
      </c>
      <c r="AE197" s="31">
        <v>0</v>
      </c>
      <c r="AF197" t="b">
        <v>0</v>
      </c>
      <c r="AG197" s="161">
        <v>-14.28</v>
      </c>
    </row>
    <row r="198" spans="1:33" x14ac:dyDescent="0.25">
      <c r="A198" t="str">
        <f t="shared" si="21"/>
        <v>2023-197</v>
      </c>
      <c r="B198" s="1">
        <f t="shared" si="22"/>
        <v>45280</v>
      </c>
      <c r="C198" t="str">
        <f t="shared" si="23"/>
        <v>/Hays Österreich GmbH, Bahnhof City Wien West , Europaplatz 3/5, 1150 Wien</v>
      </c>
      <c r="D198" t="str">
        <f t="shared" si="26"/>
        <v>Einnahmen</v>
      </c>
      <c r="E198" t="str">
        <f t="shared" si="26"/>
        <v>Waren-/Leistungserlöse</v>
      </c>
      <c r="F198" s="117">
        <f t="shared" si="24"/>
        <v>13460.856</v>
      </c>
      <c r="G198" t="str">
        <f t="shared" si="25"/>
        <v>20%</v>
      </c>
      <c r="I198" s="53">
        <v>2023</v>
      </c>
      <c r="J198" s="53">
        <v>197</v>
      </c>
      <c r="K198" s="71" t="s">
        <v>708</v>
      </c>
      <c r="L198" t="s">
        <v>709</v>
      </c>
      <c r="N198" s="1">
        <v>45280</v>
      </c>
      <c r="O198" t="s">
        <v>1652</v>
      </c>
      <c r="Q198" s="76"/>
      <c r="R198" t="b">
        <v>0</v>
      </c>
      <c r="S198" s="158">
        <v>11217.38</v>
      </c>
      <c r="T198" s="159">
        <v>1</v>
      </c>
      <c r="U198">
        <v>20</v>
      </c>
      <c r="V198" s="31">
        <v>2243.4759999999997</v>
      </c>
      <c r="W198" s="31">
        <v>2243.4759999999997</v>
      </c>
      <c r="X198" s="33">
        <v>11217.38</v>
      </c>
      <c r="Y198" s="29">
        <v>13460.856</v>
      </c>
      <c r="Z198" s="29">
        <v>13460.856</v>
      </c>
      <c r="AA198" s="35">
        <v>45337</v>
      </c>
      <c r="AB198" s="27"/>
      <c r="AC198" s="27"/>
      <c r="AD198" s="160">
        <v>11217.38</v>
      </c>
      <c r="AE198" s="31">
        <v>0</v>
      </c>
      <c r="AF198" t="b">
        <v>0</v>
      </c>
      <c r="AG198" s="161">
        <v>11217.38</v>
      </c>
    </row>
    <row r="199" spans="1:33" x14ac:dyDescent="0.25">
      <c r="A199" t="str">
        <f t="shared" si="21"/>
        <v>2023-198</v>
      </c>
      <c r="B199" s="1">
        <f t="shared" si="22"/>
        <v>45280</v>
      </c>
      <c r="C199" t="str">
        <f t="shared" si="23"/>
        <v>/Hetzner Online GmbH</v>
      </c>
      <c r="D199" t="str">
        <f t="shared" si="26"/>
        <v>Ausgaben</v>
      </c>
      <c r="E199" t="str">
        <f t="shared" si="26"/>
        <v>sonstige Betriebsausgaben</v>
      </c>
      <c r="F199" s="117">
        <f t="shared" si="24"/>
        <v>11</v>
      </c>
      <c r="G199" t="str">
        <f t="shared" si="25"/>
        <v>0%</v>
      </c>
      <c r="I199" s="53">
        <v>2023</v>
      </c>
      <c r="J199" s="53">
        <v>198</v>
      </c>
      <c r="K199" s="71" t="s">
        <v>105</v>
      </c>
      <c r="L199" t="s">
        <v>705</v>
      </c>
      <c r="M199" s="9"/>
      <c r="N199" s="1">
        <v>45280</v>
      </c>
      <c r="O199" t="s">
        <v>927</v>
      </c>
      <c r="Q199" s="76"/>
      <c r="R199" t="b">
        <v>0</v>
      </c>
      <c r="S199" s="162">
        <v>11</v>
      </c>
      <c r="T199" s="159">
        <v>1</v>
      </c>
      <c r="U199">
        <v>0</v>
      </c>
      <c r="V199" s="31">
        <v>0</v>
      </c>
      <c r="W199" s="31">
        <v>0</v>
      </c>
      <c r="X199" s="33">
        <v>11</v>
      </c>
      <c r="Y199" s="29">
        <v>11</v>
      </c>
      <c r="Z199" s="29">
        <v>11</v>
      </c>
      <c r="AA199" s="35">
        <v>45337</v>
      </c>
      <c r="AB199" s="27"/>
      <c r="AC199" s="27">
        <v>20</v>
      </c>
      <c r="AD199" s="160">
        <v>11</v>
      </c>
      <c r="AE199" s="31">
        <v>2.2000000000000002</v>
      </c>
      <c r="AF199" t="b">
        <v>0</v>
      </c>
      <c r="AG199" s="161">
        <v>-11</v>
      </c>
    </row>
    <row r="200" spans="1:33" x14ac:dyDescent="0.25">
      <c r="A200" t="str">
        <f t="shared" si="21"/>
        <v>2023-199</v>
      </c>
      <c r="B200" s="1">
        <f t="shared" si="22"/>
        <v>45287</v>
      </c>
      <c r="C200" t="str">
        <f t="shared" si="23"/>
        <v>/Amazon EU S. à r.l., 38 avenue John F. Kennedy, L-1855 Luxembourg</v>
      </c>
      <c r="D200" t="str">
        <f t="shared" si="26"/>
        <v>Ausgaben</v>
      </c>
      <c r="E200" t="str">
        <f t="shared" si="26"/>
        <v>Büromaterial</v>
      </c>
      <c r="F200" s="117">
        <f t="shared" si="24"/>
        <v>16.931999999999999</v>
      </c>
      <c r="G200" t="str">
        <f t="shared" si="25"/>
        <v>20%</v>
      </c>
      <c r="I200" s="53">
        <v>2023</v>
      </c>
      <c r="J200" s="53">
        <v>199</v>
      </c>
      <c r="K200" s="71" t="s">
        <v>105</v>
      </c>
      <c r="L200" t="s">
        <v>339</v>
      </c>
      <c r="N200" s="1">
        <v>45287</v>
      </c>
      <c r="O200" t="s">
        <v>979</v>
      </c>
      <c r="Q200" s="76"/>
      <c r="R200" t="b">
        <v>0</v>
      </c>
      <c r="S200" s="158">
        <v>14.11</v>
      </c>
      <c r="T200" s="159">
        <v>1</v>
      </c>
      <c r="U200">
        <v>20</v>
      </c>
      <c r="V200" s="31">
        <v>2.8220000000000001</v>
      </c>
      <c r="W200" s="31">
        <v>2.8220000000000001</v>
      </c>
      <c r="X200" s="33">
        <v>14.11</v>
      </c>
      <c r="Y200" s="29">
        <v>16.931999999999999</v>
      </c>
      <c r="Z200" s="29">
        <v>16.931999999999999</v>
      </c>
      <c r="AA200" s="35">
        <v>45337</v>
      </c>
      <c r="AB200" s="27"/>
      <c r="AC200" s="27"/>
      <c r="AD200" s="160">
        <v>14.11</v>
      </c>
      <c r="AE200" s="31">
        <v>0</v>
      </c>
      <c r="AF200" t="b">
        <v>0</v>
      </c>
      <c r="AG200" s="161">
        <v>-14.11</v>
      </c>
    </row>
    <row r="201" spans="1:33" x14ac:dyDescent="0.25">
      <c r="F201" s="117"/>
      <c r="I201" s="53">
        <v>2022</v>
      </c>
      <c r="J201" s="53">
        <v>200</v>
      </c>
      <c r="K201" s="71" t="s">
        <v>105</v>
      </c>
      <c r="L201" t="s">
        <v>705</v>
      </c>
      <c r="M201" s="9"/>
      <c r="N201" s="1">
        <v>44918</v>
      </c>
      <c r="O201" t="s">
        <v>927</v>
      </c>
      <c r="Q201" s="76"/>
      <c r="R201" t="b">
        <v>0</v>
      </c>
      <c r="S201" s="48">
        <v>10</v>
      </c>
      <c r="T201" s="72">
        <v>1</v>
      </c>
      <c r="U201">
        <v>0</v>
      </c>
      <c r="V201" s="31">
        <v>0</v>
      </c>
      <c r="W201" s="31">
        <v>0</v>
      </c>
      <c r="X201" s="33">
        <v>10</v>
      </c>
      <c r="Y201" s="29">
        <v>10</v>
      </c>
      <c r="Z201" s="29">
        <v>10</v>
      </c>
      <c r="AA201" s="35">
        <v>44972</v>
      </c>
      <c r="AB201" s="27"/>
      <c r="AC201" s="27">
        <v>20</v>
      </c>
      <c r="AD201" s="58">
        <v>10</v>
      </c>
      <c r="AE201" s="31">
        <v>2</v>
      </c>
      <c r="AF201" t="b">
        <v>0</v>
      </c>
      <c r="AG201" s="78">
        <v>-10</v>
      </c>
    </row>
    <row r="202" spans="1:33" x14ac:dyDescent="0.25">
      <c r="F202" s="117"/>
      <c r="I202" s="53">
        <v>2022</v>
      </c>
      <c r="J202" s="53">
        <v>201</v>
      </c>
      <c r="K202" s="71" t="s">
        <v>105</v>
      </c>
      <c r="L202" t="s">
        <v>705</v>
      </c>
      <c r="M202" s="61" t="s">
        <v>1064</v>
      </c>
      <c r="N202" s="1">
        <v>44922</v>
      </c>
      <c r="O202" t="s">
        <v>1466</v>
      </c>
      <c r="Q202" s="76"/>
      <c r="R202" t="b">
        <v>0</v>
      </c>
      <c r="S202" s="48">
        <v>6.15</v>
      </c>
      <c r="T202" s="72">
        <v>1</v>
      </c>
      <c r="U202">
        <v>20</v>
      </c>
      <c r="V202" s="31">
        <v>1.23</v>
      </c>
      <c r="W202" s="31">
        <v>1.23</v>
      </c>
      <c r="X202" s="33">
        <v>6.15</v>
      </c>
      <c r="Y202" s="29">
        <v>7.3800000000000008</v>
      </c>
      <c r="Z202" s="29">
        <v>7.3800000000000008</v>
      </c>
      <c r="AA202" s="35">
        <v>44972</v>
      </c>
      <c r="AB202" s="27"/>
      <c r="AC202" s="27"/>
      <c r="AD202" s="58">
        <v>6.15</v>
      </c>
      <c r="AE202" s="31">
        <v>0</v>
      </c>
      <c r="AF202" t="b">
        <v>0</v>
      </c>
      <c r="AG202" s="78">
        <v>-6.15</v>
      </c>
    </row>
    <row r="203" spans="1:33" x14ac:dyDescent="0.25">
      <c r="F203" s="117"/>
      <c r="I203" s="53">
        <v>2022</v>
      </c>
      <c r="J203" s="53">
        <v>202</v>
      </c>
      <c r="K203" s="71" t="s">
        <v>105</v>
      </c>
      <c r="L203" t="s">
        <v>695</v>
      </c>
      <c r="M203" s="9" t="s">
        <v>1711</v>
      </c>
      <c r="N203" s="1">
        <v>44924</v>
      </c>
      <c r="O203" t="s">
        <v>952</v>
      </c>
      <c r="Q203" s="76"/>
      <c r="R203" t="b">
        <v>0</v>
      </c>
      <c r="S203" s="48">
        <v>15000</v>
      </c>
      <c r="T203" s="72">
        <v>1</v>
      </c>
      <c r="U203">
        <v>0</v>
      </c>
      <c r="V203" s="31">
        <v>0</v>
      </c>
      <c r="W203" s="31">
        <v>0</v>
      </c>
      <c r="X203" s="33">
        <v>15000</v>
      </c>
      <c r="Y203" s="29">
        <v>15000</v>
      </c>
      <c r="Z203" s="29">
        <v>15000</v>
      </c>
      <c r="AA203" s="35">
        <v>44972</v>
      </c>
      <c r="AB203" s="27"/>
      <c r="AC203" s="27"/>
      <c r="AD203" s="58">
        <v>15000</v>
      </c>
      <c r="AE203" s="31">
        <v>0</v>
      </c>
      <c r="AF203" t="b">
        <v>0</v>
      </c>
      <c r="AG203" s="78">
        <v>-15000</v>
      </c>
    </row>
    <row r="204" spans="1:33" x14ac:dyDescent="0.25">
      <c r="F204" s="117"/>
      <c r="I204" s="53">
        <v>2022</v>
      </c>
      <c r="J204" s="53">
        <v>203</v>
      </c>
      <c r="K204" s="71" t="s">
        <v>105</v>
      </c>
      <c r="L204" t="s">
        <v>692</v>
      </c>
      <c r="M204" s="6"/>
      <c r="N204" s="1">
        <v>44926</v>
      </c>
      <c r="O204" s="154" t="s">
        <v>1716</v>
      </c>
      <c r="Q204" s="76"/>
      <c r="S204" s="48">
        <v>-20.28</v>
      </c>
      <c r="T204" s="72">
        <v>1</v>
      </c>
      <c r="U204">
        <v>0</v>
      </c>
      <c r="V204" s="31">
        <v>0</v>
      </c>
      <c r="W204" s="31">
        <v>0</v>
      </c>
      <c r="X204" s="33">
        <v>-20.28</v>
      </c>
      <c r="Y204" s="29">
        <v>-20.28</v>
      </c>
      <c r="Z204" s="29">
        <v>-20.28</v>
      </c>
      <c r="AA204" s="35">
        <v>44972</v>
      </c>
      <c r="AB204" s="27"/>
      <c r="AC204" s="27"/>
      <c r="AD204" s="58">
        <v>-20.28</v>
      </c>
      <c r="AE204" s="31">
        <v>0</v>
      </c>
      <c r="AF204" t="b">
        <v>0</v>
      </c>
      <c r="AG204" s="78">
        <v>20.28</v>
      </c>
    </row>
    <row r="205" spans="1:33" x14ac:dyDescent="0.25">
      <c r="F205" s="117"/>
      <c r="I205" s="53">
        <v>2022</v>
      </c>
      <c r="J205" s="53">
        <v>204</v>
      </c>
      <c r="K205" s="71" t="s">
        <v>105</v>
      </c>
      <c r="L205" t="s">
        <v>689</v>
      </c>
      <c r="M205" s="9"/>
      <c r="N205" s="1">
        <v>44926</v>
      </c>
      <c r="O205" s="154" t="s">
        <v>1717</v>
      </c>
      <c r="Q205" s="76"/>
      <c r="S205" s="48">
        <v>-18.98</v>
      </c>
      <c r="T205" s="72">
        <v>1</v>
      </c>
      <c r="U205">
        <v>20</v>
      </c>
      <c r="V205" s="31">
        <v>-3.7960000000000003</v>
      </c>
      <c r="W205" s="31">
        <v>-3.7960000000000003</v>
      </c>
      <c r="X205" s="33">
        <v>-18.98</v>
      </c>
      <c r="Y205" s="29">
        <v>-22.776</v>
      </c>
      <c r="Z205" s="29">
        <v>-22.776</v>
      </c>
      <c r="AA205" s="35">
        <v>44972</v>
      </c>
      <c r="AB205" s="27"/>
      <c r="AC205" s="27"/>
      <c r="AD205" s="58">
        <v>-18.98</v>
      </c>
      <c r="AE205" s="31">
        <v>0</v>
      </c>
      <c r="AF205" t="b">
        <v>0</v>
      </c>
      <c r="AG205" s="78">
        <v>18.98</v>
      </c>
    </row>
    <row r="206" spans="1:33" x14ac:dyDescent="0.25">
      <c r="F206" s="117"/>
      <c r="I206" s="53">
        <v>2022</v>
      </c>
      <c r="J206" s="53">
        <v>205</v>
      </c>
      <c r="K206" s="71" t="s">
        <v>105</v>
      </c>
      <c r="L206" t="s">
        <v>705</v>
      </c>
      <c r="M206" s="9"/>
      <c r="N206" s="1">
        <v>44926</v>
      </c>
      <c r="O206" s="154" t="s">
        <v>1718</v>
      </c>
      <c r="Q206" s="76"/>
      <c r="S206" s="109">
        <v>-9.36</v>
      </c>
      <c r="T206" s="72">
        <v>1</v>
      </c>
      <c r="U206">
        <v>0</v>
      </c>
      <c r="V206" s="31">
        <v>0</v>
      </c>
      <c r="W206" s="31">
        <v>0</v>
      </c>
      <c r="X206" s="33">
        <v>-9.36</v>
      </c>
      <c r="Y206" s="29">
        <v>-9.36</v>
      </c>
      <c r="Z206" s="29">
        <v>-9.36</v>
      </c>
      <c r="AA206" s="35">
        <v>44972</v>
      </c>
      <c r="AB206" s="27"/>
      <c r="AC206" s="27"/>
      <c r="AD206" s="58">
        <v>-9.36</v>
      </c>
      <c r="AE206" s="31">
        <v>0</v>
      </c>
      <c r="AF206" t="b">
        <v>0</v>
      </c>
      <c r="AG206" s="78">
        <v>9.36</v>
      </c>
    </row>
    <row r="207" spans="1:33" x14ac:dyDescent="0.25">
      <c r="F207" s="117"/>
      <c r="I207" s="53">
        <v>2022</v>
      </c>
      <c r="J207" s="53">
        <v>206</v>
      </c>
      <c r="K207" s="71" t="s">
        <v>105</v>
      </c>
      <c r="L207" t="s">
        <v>691</v>
      </c>
      <c r="M207" s="9"/>
      <c r="N207" s="1">
        <v>44926</v>
      </c>
      <c r="O207" s="154" t="s">
        <v>1719</v>
      </c>
      <c r="Q207" s="76"/>
      <c r="S207" s="109">
        <v>-505.65</v>
      </c>
      <c r="T207" s="72">
        <v>1</v>
      </c>
      <c r="U207">
        <v>20</v>
      </c>
      <c r="V207" s="31">
        <v>-101.13</v>
      </c>
      <c r="W207" s="31">
        <v>-101.13</v>
      </c>
      <c r="X207" s="33">
        <v>-505.65</v>
      </c>
      <c r="Y207" s="29">
        <v>-606.78</v>
      </c>
      <c r="Z207" s="29">
        <v>-606.78</v>
      </c>
      <c r="AA207" s="35">
        <v>44972</v>
      </c>
      <c r="AB207" s="27"/>
      <c r="AC207" s="27"/>
      <c r="AD207" s="58">
        <v>-505.65</v>
      </c>
      <c r="AE207" s="31">
        <v>0</v>
      </c>
      <c r="AF207" t="b">
        <v>0</v>
      </c>
      <c r="AG207" s="78">
        <v>505.65</v>
      </c>
    </row>
    <row r="208" spans="1:33" x14ac:dyDescent="0.25">
      <c r="F208" s="117"/>
      <c r="I208" s="53">
        <v>2022</v>
      </c>
      <c r="J208" s="53">
        <v>207</v>
      </c>
      <c r="K208" s="71" t="s">
        <v>105</v>
      </c>
      <c r="L208" t="s">
        <v>703</v>
      </c>
      <c r="M208" s="9"/>
      <c r="N208" s="1">
        <v>44926</v>
      </c>
      <c r="O208" s="154" t="s">
        <v>1720</v>
      </c>
      <c r="Q208" s="76"/>
      <c r="S208" s="48">
        <v>-15</v>
      </c>
      <c r="T208" s="72">
        <v>1</v>
      </c>
      <c r="U208">
        <v>20</v>
      </c>
      <c r="V208" s="31">
        <v>-3</v>
      </c>
      <c r="W208" s="31">
        <v>-3</v>
      </c>
      <c r="X208" s="33">
        <v>-15</v>
      </c>
      <c r="Y208" s="29">
        <v>-18</v>
      </c>
      <c r="Z208" s="29">
        <v>-18</v>
      </c>
      <c r="AA208" s="35">
        <v>44972</v>
      </c>
      <c r="AB208" s="27"/>
      <c r="AC208" s="27"/>
      <c r="AD208" s="58">
        <v>-15</v>
      </c>
      <c r="AE208" s="31">
        <v>0</v>
      </c>
      <c r="AF208" t="b">
        <v>0</v>
      </c>
      <c r="AG208" s="78">
        <v>15</v>
      </c>
    </row>
    <row r="209" spans="6:33" x14ac:dyDescent="0.25">
      <c r="F209" s="117"/>
      <c r="I209" s="53">
        <v>2022</v>
      </c>
      <c r="J209" s="53">
        <v>208</v>
      </c>
      <c r="K209" s="71" t="s">
        <v>105</v>
      </c>
      <c r="L209" t="s">
        <v>339</v>
      </c>
      <c r="M209" s="9" t="s">
        <v>1726</v>
      </c>
      <c r="N209" s="1">
        <v>44909</v>
      </c>
      <c r="O209" t="s">
        <v>1749</v>
      </c>
      <c r="Q209" s="76"/>
      <c r="R209" t="b">
        <v>0</v>
      </c>
      <c r="S209" s="48">
        <v>7.2333333333333334</v>
      </c>
      <c r="T209" s="72">
        <v>1</v>
      </c>
      <c r="U209">
        <v>20</v>
      </c>
      <c r="V209" s="31">
        <v>1.4466666666666665</v>
      </c>
      <c r="W209" s="31">
        <v>1.4466666666666665</v>
      </c>
      <c r="X209" s="33">
        <v>7.2333333333333334</v>
      </c>
      <c r="Y209" s="29">
        <v>8.68</v>
      </c>
      <c r="Z209" s="29">
        <v>8.68</v>
      </c>
      <c r="AA209" s="35">
        <v>44972</v>
      </c>
      <c r="AB209" s="27"/>
      <c r="AC209" s="27"/>
      <c r="AD209" s="58">
        <v>7.2333333333333334</v>
      </c>
      <c r="AE209" s="31">
        <v>0</v>
      </c>
      <c r="AF209" t="b">
        <v>0</v>
      </c>
      <c r="AG209" s="78">
        <v>-7.2333333333333334</v>
      </c>
    </row>
    <row r="210" spans="6:33" x14ac:dyDescent="0.25">
      <c r="F210" s="117"/>
    </row>
    <row r="211" spans="6:33" x14ac:dyDescent="0.25">
      <c r="F211" s="117"/>
    </row>
    <row r="212" spans="6:33" x14ac:dyDescent="0.25">
      <c r="F212" s="117"/>
    </row>
    <row r="213" spans="6:33" x14ac:dyDescent="0.25">
      <c r="F213" s="117"/>
    </row>
    <row r="214" spans="6:33" x14ac:dyDescent="0.25">
      <c r="F214" s="117"/>
    </row>
    <row r="215" spans="6:33" x14ac:dyDescent="0.25">
      <c r="F215" s="117"/>
    </row>
    <row r="216" spans="6:33" x14ac:dyDescent="0.25">
      <c r="F216" s="117"/>
    </row>
    <row r="217" spans="6:33" x14ac:dyDescent="0.25">
      <c r="F217" s="117"/>
    </row>
    <row r="218" spans="6:33" x14ac:dyDescent="0.25">
      <c r="F218" s="117"/>
    </row>
    <row r="219" spans="6:33" x14ac:dyDescent="0.25">
      <c r="F219" s="117"/>
    </row>
    <row r="220" spans="6:33" x14ac:dyDescent="0.25">
      <c r="F220" s="117"/>
    </row>
    <row r="221" spans="6:33" x14ac:dyDescent="0.25">
      <c r="F221" s="117"/>
    </row>
  </sheetData>
  <autoFilter ref="A1:XEK221" xr:uid="{C4A5EBC9-434B-4276-8C4B-35467F33AC41}"/>
  <conditionalFormatting sqref="D1">
    <cfRule type="containsText" dxfId="5865" priority="8610" operator="containsText" text="Einnahmen">
      <formula>NOT(ISERROR(SEARCH("Einnahmen",D1)))</formula>
    </cfRule>
    <cfRule type="containsText" dxfId="5864" priority="8611" operator="containsText" text="Ausgaben">
      <formula>NOT(ISERROR(SEARCH("Ausgaben",D1)))</formula>
    </cfRule>
  </conditionalFormatting>
  <conditionalFormatting sqref="B1">
    <cfRule type="expression" dxfId="5863" priority="8609">
      <formula>ISBLANK(#REF!)</formula>
    </cfRule>
  </conditionalFormatting>
  <conditionalFormatting sqref="K206 K208">
    <cfRule type="containsText" dxfId="5862" priority="8359" operator="containsText" text="Einnahmen">
      <formula>NOT(ISERROR(SEARCH("Einnahmen",K206)))</formula>
    </cfRule>
    <cfRule type="containsText" dxfId="5861" priority="8360" operator="containsText" text="Ausgaben">
      <formula>NOT(ISERROR(SEARCH("Ausgaben",K206)))</formula>
    </cfRule>
  </conditionalFormatting>
  <conditionalFormatting sqref="K205 K207 K201">
    <cfRule type="containsText" dxfId="5860" priority="8357" operator="containsText" text="Einnahmen">
      <formula>NOT(ISERROR(SEARCH("Einnahmen",K201)))</formula>
    </cfRule>
    <cfRule type="containsText" dxfId="5859" priority="8358" operator="containsText" text="Ausgaben">
      <formula>NOT(ISERROR(SEARCH("Ausgaben",K201)))</formula>
    </cfRule>
  </conditionalFormatting>
  <conditionalFormatting sqref="K202">
    <cfRule type="containsText" dxfId="5858" priority="8197" operator="containsText" text="Einnahmen">
      <formula>NOT(ISERROR(SEARCH("Einnahmen",K202)))</formula>
    </cfRule>
    <cfRule type="containsText" dxfId="5857" priority="8198" operator="containsText" text="Ausgaben">
      <formula>NOT(ISERROR(SEARCH("Ausgaben",K202)))</formula>
    </cfRule>
  </conditionalFormatting>
  <conditionalFormatting sqref="K203:K204">
    <cfRule type="containsText" dxfId="5856" priority="8195" operator="containsText" text="Einnahmen">
      <formula>NOT(ISERROR(SEARCH("Einnahmen",K203)))</formula>
    </cfRule>
    <cfRule type="containsText" dxfId="5855" priority="8196" operator="containsText" text="Ausgaben">
      <formula>NOT(ISERROR(SEARCH("Ausgaben",K203)))</formula>
    </cfRule>
  </conditionalFormatting>
  <conditionalFormatting sqref="K209">
    <cfRule type="containsText" dxfId="5854" priority="8193" operator="containsText" text="Einnahmen">
      <formula>NOT(ISERROR(SEARCH("Einnahmen",K209)))</formula>
    </cfRule>
    <cfRule type="containsText" dxfId="5853" priority="8194" operator="containsText" text="Ausgaben">
      <formula>NOT(ISERROR(SEARCH("Ausgaben",K209)))</formula>
    </cfRule>
  </conditionalFormatting>
  <conditionalFormatting sqref="Q205:Q209">
    <cfRule type="cellIs" dxfId="5852" priority="8192" operator="equal">
      <formula>"ja"</formula>
    </cfRule>
  </conditionalFormatting>
  <conditionalFormatting sqref="Q201">
    <cfRule type="cellIs" dxfId="5851" priority="6976" operator="equal">
      <formula>"ja"</formula>
    </cfRule>
  </conditionalFormatting>
  <conditionalFormatting sqref="AA201">
    <cfRule type="expression" dxfId="5850" priority="6975">
      <formula>AND(AND($W201&lt;TODAY(),$W201&lt;&gt;""),$X201="")</formula>
    </cfRule>
  </conditionalFormatting>
  <conditionalFormatting sqref="AG201">
    <cfRule type="dataBar" priority="6974">
      <dataBar>
        <cfvo type="min"/>
        <cfvo type="max"/>
        <color rgb="FF63C384"/>
      </dataBar>
      <extLst>
        <ext xmlns:x14="http://schemas.microsoft.com/office/spreadsheetml/2009/9/main" uri="{B025F937-C7B1-47D3-B67F-A62EFF666E3E}">
          <x14:id>{FE9F390D-20C8-401E-9083-F80FAF5D196A}</x14:id>
        </ext>
      </extLst>
    </cfRule>
  </conditionalFormatting>
  <conditionalFormatting sqref="AG201">
    <cfRule type="dataBar" priority="6973">
      <dataBar>
        <cfvo type="min"/>
        <cfvo type="max"/>
        <color rgb="FF63C384"/>
      </dataBar>
      <extLst>
        <ext xmlns:x14="http://schemas.microsoft.com/office/spreadsheetml/2009/9/main" uri="{B025F937-C7B1-47D3-B67F-A62EFF666E3E}">
          <x14:id>{F559F1ED-849B-4F90-933D-9E40D8A1D26E}</x14:id>
        </ext>
      </extLst>
    </cfRule>
  </conditionalFormatting>
  <conditionalFormatting sqref="AA201">
    <cfRule type="expression" dxfId="5849" priority="6972">
      <formula>AND(AND($W201&lt;TODAY(),$W201&lt;&gt;""),$X201="")</formula>
    </cfRule>
  </conditionalFormatting>
  <conditionalFormatting sqref="Q201">
    <cfRule type="cellIs" dxfId="5848" priority="6971" operator="equal">
      <formula>"ja"</formula>
    </cfRule>
  </conditionalFormatting>
  <conditionalFormatting sqref="AG201">
    <cfRule type="dataBar" priority="6970">
      <dataBar>
        <cfvo type="min"/>
        <cfvo type="max"/>
        <color rgb="FF63C384"/>
      </dataBar>
      <extLst>
        <ext xmlns:x14="http://schemas.microsoft.com/office/spreadsheetml/2009/9/main" uri="{B025F937-C7B1-47D3-B67F-A62EFF666E3E}">
          <x14:id>{9D0AF026-7FC6-423B-AA76-3966EB4B73DD}</x14:id>
        </ext>
      </extLst>
    </cfRule>
  </conditionalFormatting>
  <conditionalFormatting sqref="AG201">
    <cfRule type="dataBar" priority="6969">
      <dataBar>
        <cfvo type="min"/>
        <cfvo type="max"/>
        <color rgb="FF63C384"/>
      </dataBar>
      <extLst>
        <ext xmlns:x14="http://schemas.microsoft.com/office/spreadsheetml/2009/9/main" uri="{B025F937-C7B1-47D3-B67F-A62EFF666E3E}">
          <x14:id>{9ECBFC44-67C1-4884-A3B8-00A745BF2DB3}</x14:id>
        </ext>
      </extLst>
    </cfRule>
  </conditionalFormatting>
  <conditionalFormatting sqref="Q202">
    <cfRule type="cellIs" dxfId="5847" priority="6968" operator="equal">
      <formula>"ja"</formula>
    </cfRule>
  </conditionalFormatting>
  <conditionalFormatting sqref="AA202">
    <cfRule type="expression" dxfId="5846" priority="6967">
      <formula>AND(AND($W202&lt;TODAY(),$W202&lt;&gt;""),$X202="")</formula>
    </cfRule>
  </conditionalFormatting>
  <conditionalFormatting sqref="AG202">
    <cfRule type="dataBar" priority="6966">
      <dataBar>
        <cfvo type="min"/>
        <cfvo type="max"/>
        <color rgb="FF63C384"/>
      </dataBar>
      <extLst>
        <ext xmlns:x14="http://schemas.microsoft.com/office/spreadsheetml/2009/9/main" uri="{B025F937-C7B1-47D3-B67F-A62EFF666E3E}">
          <x14:id>{8ABD0928-DC0D-4658-A672-86A1B2347315}</x14:id>
        </ext>
      </extLst>
    </cfRule>
  </conditionalFormatting>
  <conditionalFormatting sqref="AG202">
    <cfRule type="dataBar" priority="6965">
      <dataBar>
        <cfvo type="min"/>
        <cfvo type="max"/>
        <color rgb="FF63C384"/>
      </dataBar>
      <extLst>
        <ext xmlns:x14="http://schemas.microsoft.com/office/spreadsheetml/2009/9/main" uri="{B025F937-C7B1-47D3-B67F-A62EFF666E3E}">
          <x14:id>{05A390CF-9637-4BFA-9E9A-26D5C7007EE8}</x14:id>
        </ext>
      </extLst>
    </cfRule>
  </conditionalFormatting>
  <conditionalFormatting sqref="AA203">
    <cfRule type="expression" dxfId="5845" priority="6964">
      <formula>AND(AND($W203&lt;TODAY(),$W203&lt;&gt;""),$X203="")</formula>
    </cfRule>
  </conditionalFormatting>
  <conditionalFormatting sqref="Q203">
    <cfRule type="cellIs" dxfId="5844" priority="6963" operator="equal">
      <formula>"ja"</formula>
    </cfRule>
  </conditionalFormatting>
  <conditionalFormatting sqref="AG203">
    <cfRule type="dataBar" priority="6962">
      <dataBar>
        <cfvo type="min"/>
        <cfvo type="max"/>
        <color rgb="FF63C384"/>
      </dataBar>
      <extLst>
        <ext xmlns:x14="http://schemas.microsoft.com/office/spreadsheetml/2009/9/main" uri="{B025F937-C7B1-47D3-B67F-A62EFF666E3E}">
          <x14:id>{B0DD2C60-6456-451E-ACB5-E7C137BB3017}</x14:id>
        </ext>
      </extLst>
    </cfRule>
  </conditionalFormatting>
  <conditionalFormatting sqref="AG203">
    <cfRule type="dataBar" priority="6961">
      <dataBar>
        <cfvo type="min"/>
        <cfvo type="max"/>
        <color rgb="FF63C384"/>
      </dataBar>
      <extLst>
        <ext xmlns:x14="http://schemas.microsoft.com/office/spreadsheetml/2009/9/main" uri="{B025F937-C7B1-47D3-B67F-A62EFF666E3E}">
          <x14:id>{EBA82B4E-4294-4DFD-8EAB-4809434B1053}</x14:id>
        </ext>
      </extLst>
    </cfRule>
  </conditionalFormatting>
  <conditionalFormatting sqref="Q204">
    <cfRule type="cellIs" dxfId="5843" priority="6960" operator="equal">
      <formula>"ja"</formula>
    </cfRule>
  </conditionalFormatting>
  <conditionalFormatting sqref="Q204">
    <cfRule type="cellIs" dxfId="5842" priority="6959" operator="equal">
      <formula>"ja"</formula>
    </cfRule>
  </conditionalFormatting>
  <conditionalFormatting sqref="AA204:AA209">
    <cfRule type="expression" dxfId="5841" priority="6958">
      <formula>AND(AND($W204&lt;TODAY(),$W204&lt;&gt;""),$X204="")</formula>
    </cfRule>
  </conditionalFormatting>
  <conditionalFormatting sqref="AG204:AG208">
    <cfRule type="dataBar" priority="6957">
      <dataBar>
        <cfvo type="min"/>
        <cfvo type="max"/>
        <color rgb="FF63C384"/>
      </dataBar>
      <extLst>
        <ext xmlns:x14="http://schemas.microsoft.com/office/spreadsheetml/2009/9/main" uri="{B025F937-C7B1-47D3-B67F-A62EFF666E3E}">
          <x14:id>{238A8147-2F3C-4092-9EF2-230790281152}</x14:id>
        </ext>
      </extLst>
    </cfRule>
  </conditionalFormatting>
  <conditionalFormatting sqref="AG204:AG208">
    <cfRule type="dataBar" priority="6956">
      <dataBar>
        <cfvo type="min"/>
        <cfvo type="max"/>
        <color rgb="FF63C384"/>
      </dataBar>
      <extLst>
        <ext xmlns:x14="http://schemas.microsoft.com/office/spreadsheetml/2009/9/main" uri="{B025F937-C7B1-47D3-B67F-A62EFF666E3E}">
          <x14:id>{14BB634C-953E-4135-AA89-CFA619ABECD3}</x14:id>
        </ext>
      </extLst>
    </cfRule>
  </conditionalFormatting>
  <conditionalFormatting sqref="AG209">
    <cfRule type="dataBar" priority="6955">
      <dataBar>
        <cfvo type="min"/>
        <cfvo type="max"/>
        <color rgb="FF63C384"/>
      </dataBar>
      <extLst>
        <ext xmlns:x14="http://schemas.microsoft.com/office/spreadsheetml/2009/9/main" uri="{B025F937-C7B1-47D3-B67F-A62EFF666E3E}">
          <x14:id>{88A03F60-CBF0-4D78-BBC3-1FAE4E5CFED9}</x14:id>
        </ext>
      </extLst>
    </cfRule>
  </conditionalFormatting>
  <conditionalFormatting sqref="AG209">
    <cfRule type="dataBar" priority="6954">
      <dataBar>
        <cfvo type="min"/>
        <cfvo type="max"/>
        <color rgb="FF63C384"/>
      </dataBar>
      <extLst>
        <ext xmlns:x14="http://schemas.microsoft.com/office/spreadsheetml/2009/9/main" uri="{B025F937-C7B1-47D3-B67F-A62EFF666E3E}">
          <x14:id>{B4C8D4E2-1D46-43F5-84FD-AB8A555DA4C0}</x14:id>
        </ext>
      </extLst>
    </cfRule>
  </conditionalFormatting>
  <conditionalFormatting sqref="AG209">
    <cfRule type="dataBar" priority="6953">
      <dataBar>
        <cfvo type="min"/>
        <cfvo type="max"/>
        <color rgb="FF63C384"/>
      </dataBar>
      <extLst>
        <ext xmlns:x14="http://schemas.microsoft.com/office/spreadsheetml/2009/9/main" uri="{B025F937-C7B1-47D3-B67F-A62EFF666E3E}">
          <x14:id>{6EC11DDB-06B1-4DBE-BDA5-085BDA220856}</x14:id>
        </ext>
      </extLst>
    </cfRule>
  </conditionalFormatting>
  <conditionalFormatting sqref="AG209">
    <cfRule type="dataBar" priority="6952">
      <dataBar>
        <cfvo type="min"/>
        <cfvo type="max"/>
        <color rgb="FF63C384"/>
      </dataBar>
      <extLst>
        <ext xmlns:x14="http://schemas.microsoft.com/office/spreadsheetml/2009/9/main" uri="{B025F937-C7B1-47D3-B67F-A62EFF666E3E}">
          <x14:id>{24695DEF-C8C1-4041-8D3A-8A1D9133BE5F}</x14:id>
        </ext>
      </extLst>
    </cfRule>
  </conditionalFormatting>
  <conditionalFormatting sqref="K55 K138 K141 K171 K182 K191">
    <cfRule type="containsText" dxfId="5840" priority="1425" operator="containsText" text="Einnahmen">
      <formula>NOT(ISERROR(SEARCH("Einnahmen",K55)))</formula>
    </cfRule>
    <cfRule type="containsText" dxfId="5839" priority="1426" operator="containsText" text="Ausgaben">
      <formula>NOT(ISERROR(SEARCH("Ausgaben",K55)))</formula>
    </cfRule>
  </conditionalFormatting>
  <conditionalFormatting sqref="K25 K15">
    <cfRule type="containsText" dxfId="5838" priority="1423" operator="containsText" text="Einnahmen">
      <formula>NOT(ISERROR(SEARCH("Einnahmen",K15)))</formula>
    </cfRule>
    <cfRule type="containsText" dxfId="5837" priority="1424" operator="containsText" text="Ausgaben">
      <formula>NOT(ISERROR(SEARCH("Ausgaben",K15)))</formula>
    </cfRule>
  </conditionalFormatting>
  <conditionalFormatting sqref="K11 K13">
    <cfRule type="containsText" dxfId="5836" priority="1421" operator="containsText" text="Einnahmen">
      <formula>NOT(ISERROR(SEARCH("Einnahmen",K11)))</formula>
    </cfRule>
    <cfRule type="containsText" dxfId="5835" priority="1422" operator="containsText" text="Ausgaben">
      <formula>NOT(ISERROR(SEARCH("Ausgaben",K11)))</formula>
    </cfRule>
  </conditionalFormatting>
  <conditionalFormatting sqref="K2">
    <cfRule type="containsText" dxfId="5834" priority="1419" operator="containsText" text="Einnahmen">
      <formula>NOT(ISERROR(SEARCH("Einnahmen",K2)))</formula>
    </cfRule>
    <cfRule type="containsText" dxfId="5833" priority="1420" operator="containsText" text="Ausgaben">
      <formula>NOT(ISERROR(SEARCH("Ausgaben",K2)))</formula>
    </cfRule>
  </conditionalFormatting>
  <conditionalFormatting sqref="K3">
    <cfRule type="containsText" dxfId="5832" priority="1417" operator="containsText" text="Einnahmen">
      <formula>NOT(ISERROR(SEARCH("Einnahmen",K3)))</formula>
    </cfRule>
    <cfRule type="containsText" dxfId="5831" priority="1418" operator="containsText" text="Ausgaben">
      <formula>NOT(ISERROR(SEARCH("Ausgaben",K3)))</formula>
    </cfRule>
  </conditionalFormatting>
  <conditionalFormatting sqref="K4">
    <cfRule type="containsText" dxfId="5830" priority="1415" operator="containsText" text="Einnahmen">
      <formula>NOT(ISERROR(SEARCH("Einnahmen",K4)))</formula>
    </cfRule>
    <cfRule type="containsText" dxfId="5829" priority="1416" operator="containsText" text="Ausgaben">
      <formula>NOT(ISERROR(SEARCH("Ausgaben",K4)))</formula>
    </cfRule>
  </conditionalFormatting>
  <conditionalFormatting sqref="K5">
    <cfRule type="containsText" dxfId="5828" priority="1413" operator="containsText" text="Einnahmen">
      <formula>NOT(ISERROR(SEARCH("Einnahmen",K5)))</formula>
    </cfRule>
    <cfRule type="containsText" dxfId="5827" priority="1414" operator="containsText" text="Ausgaben">
      <formula>NOT(ISERROR(SEARCH("Ausgaben",K5)))</formula>
    </cfRule>
  </conditionalFormatting>
  <conditionalFormatting sqref="K6">
    <cfRule type="containsText" dxfId="5826" priority="1411" operator="containsText" text="Einnahmen">
      <formula>NOT(ISERROR(SEARCH("Einnahmen",K6)))</formula>
    </cfRule>
    <cfRule type="containsText" dxfId="5825" priority="1412" operator="containsText" text="Ausgaben">
      <formula>NOT(ISERROR(SEARCH("Ausgaben",K6)))</formula>
    </cfRule>
  </conditionalFormatting>
  <conditionalFormatting sqref="K7">
    <cfRule type="containsText" dxfId="5824" priority="1409" operator="containsText" text="Einnahmen">
      <formula>NOT(ISERROR(SEARCH("Einnahmen",K7)))</formula>
    </cfRule>
    <cfRule type="containsText" dxfId="5823" priority="1410" operator="containsText" text="Ausgaben">
      <formula>NOT(ISERROR(SEARCH("Ausgaben",K7)))</formula>
    </cfRule>
  </conditionalFormatting>
  <conditionalFormatting sqref="K8">
    <cfRule type="containsText" dxfId="5822" priority="1407" operator="containsText" text="Einnahmen">
      <formula>NOT(ISERROR(SEARCH("Einnahmen",K8)))</formula>
    </cfRule>
    <cfRule type="containsText" dxfId="5821" priority="1408" operator="containsText" text="Ausgaben">
      <formula>NOT(ISERROR(SEARCH("Ausgaben",K8)))</formula>
    </cfRule>
  </conditionalFormatting>
  <conditionalFormatting sqref="K8">
    <cfRule type="containsText" dxfId="5820" priority="1405" operator="containsText" text="Einnahmen">
      <formula>NOT(ISERROR(SEARCH("Einnahmen",K8)))</formula>
    </cfRule>
    <cfRule type="containsText" dxfId="5819" priority="1406" operator="containsText" text="Ausgaben">
      <formula>NOT(ISERROR(SEARCH("Ausgaben",K8)))</formula>
    </cfRule>
  </conditionalFormatting>
  <conditionalFormatting sqref="K9:K10">
    <cfRule type="containsText" dxfId="5818" priority="1403" operator="containsText" text="Einnahmen">
      <formula>NOT(ISERROR(SEARCH("Einnahmen",K9)))</formula>
    </cfRule>
    <cfRule type="containsText" dxfId="5817" priority="1404" operator="containsText" text="Ausgaben">
      <formula>NOT(ISERROR(SEARCH("Ausgaben",K9)))</formula>
    </cfRule>
  </conditionalFormatting>
  <conditionalFormatting sqref="K12">
    <cfRule type="containsText" dxfId="5816" priority="1401" operator="containsText" text="Einnahmen">
      <formula>NOT(ISERROR(SEARCH("Einnahmen",K12)))</formula>
    </cfRule>
    <cfRule type="containsText" dxfId="5815" priority="1402" operator="containsText" text="Ausgaben">
      <formula>NOT(ISERROR(SEARCH("Ausgaben",K12)))</formula>
    </cfRule>
  </conditionalFormatting>
  <conditionalFormatting sqref="K12">
    <cfRule type="containsText" dxfId="5814" priority="1399" operator="containsText" text="Einnahmen">
      <formula>NOT(ISERROR(SEARCH("Einnahmen",K12)))</formula>
    </cfRule>
    <cfRule type="containsText" dxfId="5813" priority="1400" operator="containsText" text="Ausgaben">
      <formula>NOT(ISERROR(SEARCH("Ausgaben",K12)))</formula>
    </cfRule>
  </conditionalFormatting>
  <conditionalFormatting sqref="K14">
    <cfRule type="containsText" dxfId="5812" priority="1397" operator="containsText" text="Einnahmen">
      <formula>NOT(ISERROR(SEARCH("Einnahmen",K14)))</formula>
    </cfRule>
    <cfRule type="containsText" dxfId="5811" priority="1398" operator="containsText" text="Ausgaben">
      <formula>NOT(ISERROR(SEARCH("Ausgaben",K14)))</formula>
    </cfRule>
  </conditionalFormatting>
  <conditionalFormatting sqref="K16">
    <cfRule type="containsText" dxfId="5810" priority="1395" operator="containsText" text="Einnahmen">
      <formula>NOT(ISERROR(SEARCH("Einnahmen",K16)))</formula>
    </cfRule>
    <cfRule type="containsText" dxfId="5809" priority="1396" operator="containsText" text="Ausgaben">
      <formula>NOT(ISERROR(SEARCH("Ausgaben",K16)))</formula>
    </cfRule>
  </conditionalFormatting>
  <conditionalFormatting sqref="K17">
    <cfRule type="containsText" dxfId="5808" priority="1393" operator="containsText" text="Einnahmen">
      <formula>NOT(ISERROR(SEARCH("Einnahmen",K17)))</formula>
    </cfRule>
    <cfRule type="containsText" dxfId="5807" priority="1394" operator="containsText" text="Ausgaben">
      <formula>NOT(ISERROR(SEARCH("Ausgaben",K17)))</formula>
    </cfRule>
  </conditionalFormatting>
  <conditionalFormatting sqref="K18">
    <cfRule type="containsText" dxfId="5806" priority="1391" operator="containsText" text="Einnahmen">
      <formula>NOT(ISERROR(SEARCH("Einnahmen",K18)))</formula>
    </cfRule>
    <cfRule type="containsText" dxfId="5805" priority="1392" operator="containsText" text="Ausgaben">
      <formula>NOT(ISERROR(SEARCH("Ausgaben",K18)))</formula>
    </cfRule>
  </conditionalFormatting>
  <conditionalFormatting sqref="K19">
    <cfRule type="containsText" dxfId="5804" priority="1389" operator="containsText" text="Einnahmen">
      <formula>NOT(ISERROR(SEARCH("Einnahmen",K19)))</formula>
    </cfRule>
    <cfRule type="containsText" dxfId="5803" priority="1390" operator="containsText" text="Ausgaben">
      <formula>NOT(ISERROR(SEARCH("Ausgaben",K19)))</formula>
    </cfRule>
  </conditionalFormatting>
  <conditionalFormatting sqref="K19">
    <cfRule type="containsText" dxfId="5802" priority="1387" operator="containsText" text="Einnahmen">
      <formula>NOT(ISERROR(SEARCH("Einnahmen",K19)))</formula>
    </cfRule>
    <cfRule type="containsText" dxfId="5801" priority="1388" operator="containsText" text="Ausgaben">
      <formula>NOT(ISERROR(SEARCH("Ausgaben",K19)))</formula>
    </cfRule>
  </conditionalFormatting>
  <conditionalFormatting sqref="K20">
    <cfRule type="containsText" dxfId="5800" priority="1385" operator="containsText" text="Einnahmen">
      <formula>NOT(ISERROR(SEARCH("Einnahmen",K20)))</formula>
    </cfRule>
    <cfRule type="containsText" dxfId="5799" priority="1386" operator="containsText" text="Ausgaben">
      <formula>NOT(ISERROR(SEARCH("Ausgaben",K20)))</formula>
    </cfRule>
  </conditionalFormatting>
  <conditionalFormatting sqref="K21">
    <cfRule type="containsText" dxfId="5798" priority="1383" operator="containsText" text="Einnahmen">
      <formula>NOT(ISERROR(SEARCH("Einnahmen",K21)))</formula>
    </cfRule>
    <cfRule type="containsText" dxfId="5797" priority="1384" operator="containsText" text="Ausgaben">
      <formula>NOT(ISERROR(SEARCH("Ausgaben",K21)))</formula>
    </cfRule>
  </conditionalFormatting>
  <conditionalFormatting sqref="K22">
    <cfRule type="containsText" dxfId="5796" priority="1381" operator="containsText" text="Einnahmen">
      <formula>NOT(ISERROR(SEARCH("Einnahmen",K22)))</formula>
    </cfRule>
    <cfRule type="containsText" dxfId="5795" priority="1382" operator="containsText" text="Ausgaben">
      <formula>NOT(ISERROR(SEARCH("Ausgaben",K22)))</formula>
    </cfRule>
  </conditionalFormatting>
  <conditionalFormatting sqref="K23">
    <cfRule type="containsText" dxfId="5794" priority="1379" operator="containsText" text="Einnahmen">
      <formula>NOT(ISERROR(SEARCH("Einnahmen",K23)))</formula>
    </cfRule>
    <cfRule type="containsText" dxfId="5793" priority="1380" operator="containsText" text="Ausgaben">
      <formula>NOT(ISERROR(SEARCH("Ausgaben",K23)))</formula>
    </cfRule>
  </conditionalFormatting>
  <conditionalFormatting sqref="K24">
    <cfRule type="containsText" dxfId="5792" priority="1377" operator="containsText" text="Einnahmen">
      <formula>NOT(ISERROR(SEARCH("Einnahmen",K24)))</formula>
    </cfRule>
    <cfRule type="containsText" dxfId="5791" priority="1378" operator="containsText" text="Ausgaben">
      <formula>NOT(ISERROR(SEARCH("Ausgaben",K24)))</formula>
    </cfRule>
  </conditionalFormatting>
  <conditionalFormatting sqref="K26">
    <cfRule type="containsText" dxfId="5790" priority="1375" operator="containsText" text="Einnahmen">
      <formula>NOT(ISERROR(SEARCH("Einnahmen",K26)))</formula>
    </cfRule>
    <cfRule type="containsText" dxfId="5789" priority="1376" operator="containsText" text="Ausgaben">
      <formula>NOT(ISERROR(SEARCH("Ausgaben",K26)))</formula>
    </cfRule>
  </conditionalFormatting>
  <conditionalFormatting sqref="K27:K28">
    <cfRule type="containsText" dxfId="5788" priority="1373" operator="containsText" text="Einnahmen">
      <formula>NOT(ISERROR(SEARCH("Einnahmen",K27)))</formula>
    </cfRule>
    <cfRule type="containsText" dxfId="5787" priority="1374" operator="containsText" text="Ausgaben">
      <formula>NOT(ISERROR(SEARCH("Ausgaben",K27)))</formula>
    </cfRule>
  </conditionalFormatting>
  <conditionalFormatting sqref="K27:K28">
    <cfRule type="containsText" dxfId="5786" priority="1371" operator="containsText" text="Einnahmen">
      <formula>NOT(ISERROR(SEARCH("Einnahmen",K27)))</formula>
    </cfRule>
    <cfRule type="containsText" dxfId="5785" priority="1372" operator="containsText" text="Ausgaben">
      <formula>NOT(ISERROR(SEARCH("Ausgaben",K27)))</formula>
    </cfRule>
  </conditionalFormatting>
  <conditionalFormatting sqref="K29">
    <cfRule type="containsText" dxfId="5784" priority="1369" operator="containsText" text="Einnahmen">
      <formula>NOT(ISERROR(SEARCH("Einnahmen",K29)))</formula>
    </cfRule>
    <cfRule type="containsText" dxfId="5783" priority="1370" operator="containsText" text="Ausgaben">
      <formula>NOT(ISERROR(SEARCH("Ausgaben",K29)))</formula>
    </cfRule>
  </conditionalFormatting>
  <conditionalFormatting sqref="K29">
    <cfRule type="containsText" dxfId="5782" priority="1367" operator="containsText" text="Einnahmen">
      <formula>NOT(ISERROR(SEARCH("Einnahmen",K29)))</formula>
    </cfRule>
    <cfRule type="containsText" dxfId="5781" priority="1368" operator="containsText" text="Ausgaben">
      <formula>NOT(ISERROR(SEARCH("Ausgaben",K29)))</formula>
    </cfRule>
  </conditionalFormatting>
  <conditionalFormatting sqref="K30">
    <cfRule type="containsText" dxfId="5780" priority="1365" operator="containsText" text="Einnahmen">
      <formula>NOT(ISERROR(SEARCH("Einnahmen",K30)))</formula>
    </cfRule>
    <cfRule type="containsText" dxfId="5779" priority="1366" operator="containsText" text="Ausgaben">
      <formula>NOT(ISERROR(SEARCH("Ausgaben",K30)))</formula>
    </cfRule>
  </conditionalFormatting>
  <conditionalFormatting sqref="K31:K32">
    <cfRule type="containsText" dxfId="5778" priority="1363" operator="containsText" text="Einnahmen">
      <formula>NOT(ISERROR(SEARCH("Einnahmen",K31)))</formula>
    </cfRule>
    <cfRule type="containsText" dxfId="5777" priority="1364" operator="containsText" text="Ausgaben">
      <formula>NOT(ISERROR(SEARCH("Ausgaben",K31)))</formula>
    </cfRule>
  </conditionalFormatting>
  <conditionalFormatting sqref="K31:K32">
    <cfRule type="containsText" dxfId="5776" priority="1361" operator="containsText" text="Einnahmen">
      <formula>NOT(ISERROR(SEARCH("Einnahmen",K31)))</formula>
    </cfRule>
    <cfRule type="containsText" dxfId="5775" priority="1362" operator="containsText" text="Ausgaben">
      <formula>NOT(ISERROR(SEARCH("Ausgaben",K31)))</formula>
    </cfRule>
  </conditionalFormatting>
  <conditionalFormatting sqref="K33">
    <cfRule type="containsText" dxfId="5774" priority="1359" operator="containsText" text="Einnahmen">
      <formula>NOT(ISERROR(SEARCH("Einnahmen",K33)))</formula>
    </cfRule>
    <cfRule type="containsText" dxfId="5773" priority="1360" operator="containsText" text="Ausgaben">
      <formula>NOT(ISERROR(SEARCH("Ausgaben",K33)))</formula>
    </cfRule>
  </conditionalFormatting>
  <conditionalFormatting sqref="K32">
    <cfRule type="containsText" dxfId="5772" priority="1357" operator="containsText" text="Einnahmen">
      <formula>NOT(ISERROR(SEARCH("Einnahmen",K32)))</formula>
    </cfRule>
    <cfRule type="containsText" dxfId="5771" priority="1358" operator="containsText" text="Ausgaben">
      <formula>NOT(ISERROR(SEARCH("Ausgaben",K32)))</formula>
    </cfRule>
  </conditionalFormatting>
  <conditionalFormatting sqref="K34">
    <cfRule type="containsText" dxfId="5770" priority="1355" operator="containsText" text="Einnahmen">
      <formula>NOT(ISERROR(SEARCH("Einnahmen",K34)))</formula>
    </cfRule>
    <cfRule type="containsText" dxfId="5769" priority="1356" operator="containsText" text="Ausgaben">
      <formula>NOT(ISERROR(SEARCH("Ausgaben",K34)))</formula>
    </cfRule>
  </conditionalFormatting>
  <conditionalFormatting sqref="K34">
    <cfRule type="containsText" dxfId="5768" priority="1353" operator="containsText" text="Einnahmen">
      <formula>NOT(ISERROR(SEARCH("Einnahmen",K34)))</formula>
    </cfRule>
    <cfRule type="containsText" dxfId="5767" priority="1354" operator="containsText" text="Ausgaben">
      <formula>NOT(ISERROR(SEARCH("Ausgaben",K34)))</formula>
    </cfRule>
  </conditionalFormatting>
  <conditionalFormatting sqref="K35">
    <cfRule type="containsText" dxfId="5766" priority="1351" operator="containsText" text="Einnahmen">
      <formula>NOT(ISERROR(SEARCH("Einnahmen",K35)))</formula>
    </cfRule>
    <cfRule type="containsText" dxfId="5765" priority="1352" operator="containsText" text="Ausgaben">
      <formula>NOT(ISERROR(SEARCH("Ausgaben",K35)))</formula>
    </cfRule>
  </conditionalFormatting>
  <conditionalFormatting sqref="K36">
    <cfRule type="containsText" dxfId="5764" priority="1349" operator="containsText" text="Einnahmen">
      <formula>NOT(ISERROR(SEARCH("Einnahmen",K36)))</formula>
    </cfRule>
    <cfRule type="containsText" dxfId="5763" priority="1350" operator="containsText" text="Ausgaben">
      <formula>NOT(ISERROR(SEARCH("Ausgaben",K36)))</formula>
    </cfRule>
  </conditionalFormatting>
  <conditionalFormatting sqref="K37">
    <cfRule type="containsText" dxfId="5762" priority="1347" operator="containsText" text="Einnahmen">
      <formula>NOT(ISERROR(SEARCH("Einnahmen",K37)))</formula>
    </cfRule>
    <cfRule type="containsText" dxfId="5761" priority="1348" operator="containsText" text="Ausgaben">
      <formula>NOT(ISERROR(SEARCH("Ausgaben",K37)))</formula>
    </cfRule>
  </conditionalFormatting>
  <conditionalFormatting sqref="K38:K39">
    <cfRule type="containsText" dxfId="5760" priority="1345" operator="containsText" text="Einnahmen">
      <formula>NOT(ISERROR(SEARCH("Einnahmen",K38)))</formula>
    </cfRule>
    <cfRule type="containsText" dxfId="5759" priority="1346" operator="containsText" text="Ausgaben">
      <formula>NOT(ISERROR(SEARCH("Ausgaben",K38)))</formula>
    </cfRule>
  </conditionalFormatting>
  <conditionalFormatting sqref="K38:K39">
    <cfRule type="containsText" dxfId="5758" priority="1343" operator="containsText" text="Einnahmen">
      <formula>NOT(ISERROR(SEARCH("Einnahmen",K38)))</formula>
    </cfRule>
    <cfRule type="containsText" dxfId="5757" priority="1344" operator="containsText" text="Ausgaben">
      <formula>NOT(ISERROR(SEARCH("Ausgaben",K38)))</formula>
    </cfRule>
  </conditionalFormatting>
  <conditionalFormatting sqref="K40">
    <cfRule type="containsText" dxfId="5756" priority="1341" operator="containsText" text="Einnahmen">
      <formula>NOT(ISERROR(SEARCH("Einnahmen",K40)))</formula>
    </cfRule>
    <cfRule type="containsText" dxfId="5755" priority="1342" operator="containsText" text="Ausgaben">
      <formula>NOT(ISERROR(SEARCH("Ausgaben",K40)))</formula>
    </cfRule>
  </conditionalFormatting>
  <conditionalFormatting sqref="K41">
    <cfRule type="containsText" dxfId="5754" priority="1339" operator="containsText" text="Einnahmen">
      <formula>NOT(ISERROR(SEARCH("Einnahmen",K41)))</formula>
    </cfRule>
    <cfRule type="containsText" dxfId="5753" priority="1340" operator="containsText" text="Ausgaben">
      <formula>NOT(ISERROR(SEARCH("Ausgaben",K41)))</formula>
    </cfRule>
  </conditionalFormatting>
  <conditionalFormatting sqref="K42">
    <cfRule type="containsText" dxfId="5752" priority="1337" operator="containsText" text="Einnahmen">
      <formula>NOT(ISERROR(SEARCH("Einnahmen",K42)))</formula>
    </cfRule>
    <cfRule type="containsText" dxfId="5751" priority="1338" operator="containsText" text="Ausgaben">
      <formula>NOT(ISERROR(SEARCH("Ausgaben",K42)))</formula>
    </cfRule>
  </conditionalFormatting>
  <conditionalFormatting sqref="K43">
    <cfRule type="containsText" dxfId="5750" priority="1335" operator="containsText" text="Einnahmen">
      <formula>NOT(ISERROR(SEARCH("Einnahmen",K43)))</formula>
    </cfRule>
    <cfRule type="containsText" dxfId="5749" priority="1336" operator="containsText" text="Ausgaben">
      <formula>NOT(ISERROR(SEARCH("Ausgaben",K43)))</formula>
    </cfRule>
  </conditionalFormatting>
  <conditionalFormatting sqref="K45">
    <cfRule type="containsText" dxfId="5748" priority="1333" operator="containsText" text="Einnahmen">
      <formula>NOT(ISERROR(SEARCH("Einnahmen",K45)))</formula>
    </cfRule>
    <cfRule type="containsText" dxfId="5747" priority="1334" operator="containsText" text="Ausgaben">
      <formula>NOT(ISERROR(SEARCH("Ausgaben",K45)))</formula>
    </cfRule>
  </conditionalFormatting>
  <conditionalFormatting sqref="K44:K45">
    <cfRule type="containsText" dxfId="5746" priority="1331" operator="containsText" text="Einnahmen">
      <formula>NOT(ISERROR(SEARCH("Einnahmen",K44)))</formula>
    </cfRule>
    <cfRule type="containsText" dxfId="5745" priority="1332" operator="containsText" text="Ausgaben">
      <formula>NOT(ISERROR(SEARCH("Ausgaben",K44)))</formula>
    </cfRule>
  </conditionalFormatting>
  <conditionalFormatting sqref="K44:K45">
    <cfRule type="containsText" dxfId="5744" priority="1329" operator="containsText" text="Einnahmen">
      <formula>NOT(ISERROR(SEARCH("Einnahmen",K44)))</formula>
    </cfRule>
    <cfRule type="containsText" dxfId="5743" priority="1330" operator="containsText" text="Ausgaben">
      <formula>NOT(ISERROR(SEARCH("Ausgaben",K44)))</formula>
    </cfRule>
  </conditionalFormatting>
  <conditionalFormatting sqref="K46:K47">
    <cfRule type="containsText" dxfId="5742" priority="1327" operator="containsText" text="Einnahmen">
      <formula>NOT(ISERROR(SEARCH("Einnahmen",K46)))</formula>
    </cfRule>
    <cfRule type="containsText" dxfId="5741" priority="1328" operator="containsText" text="Ausgaben">
      <formula>NOT(ISERROR(SEARCH("Ausgaben",K46)))</formula>
    </cfRule>
  </conditionalFormatting>
  <conditionalFormatting sqref="K48">
    <cfRule type="containsText" dxfId="5740" priority="1325" operator="containsText" text="Einnahmen">
      <formula>NOT(ISERROR(SEARCH("Einnahmen",K48)))</formula>
    </cfRule>
    <cfRule type="containsText" dxfId="5739" priority="1326" operator="containsText" text="Ausgaben">
      <formula>NOT(ISERROR(SEARCH("Ausgaben",K48)))</formula>
    </cfRule>
  </conditionalFormatting>
  <conditionalFormatting sqref="K47">
    <cfRule type="containsText" dxfId="5738" priority="1323" operator="containsText" text="Einnahmen">
      <formula>NOT(ISERROR(SEARCH("Einnahmen",K47)))</formula>
    </cfRule>
    <cfRule type="containsText" dxfId="5737" priority="1324" operator="containsText" text="Ausgaben">
      <formula>NOT(ISERROR(SEARCH("Ausgaben",K47)))</formula>
    </cfRule>
  </conditionalFormatting>
  <conditionalFormatting sqref="K49">
    <cfRule type="containsText" dxfId="5736" priority="1321" operator="containsText" text="Einnahmen">
      <formula>NOT(ISERROR(SEARCH("Einnahmen",K49)))</formula>
    </cfRule>
    <cfRule type="containsText" dxfId="5735" priority="1322" operator="containsText" text="Ausgaben">
      <formula>NOT(ISERROR(SEARCH("Ausgaben",K49)))</formula>
    </cfRule>
  </conditionalFormatting>
  <conditionalFormatting sqref="K52:K54">
    <cfRule type="containsText" dxfId="5734" priority="1319" operator="containsText" text="Einnahmen">
      <formula>NOT(ISERROR(SEARCH("Einnahmen",K52)))</formula>
    </cfRule>
    <cfRule type="containsText" dxfId="5733" priority="1320" operator="containsText" text="Ausgaben">
      <formula>NOT(ISERROR(SEARCH("Ausgaben",K52)))</formula>
    </cfRule>
  </conditionalFormatting>
  <conditionalFormatting sqref="K52:K54">
    <cfRule type="containsText" dxfId="5732" priority="1317" operator="containsText" text="Einnahmen">
      <formula>NOT(ISERROR(SEARCH("Einnahmen",K52)))</formula>
    </cfRule>
    <cfRule type="containsText" dxfId="5731" priority="1318" operator="containsText" text="Ausgaben">
      <formula>NOT(ISERROR(SEARCH("Ausgaben",K52)))</formula>
    </cfRule>
  </conditionalFormatting>
  <conditionalFormatting sqref="K50:K51">
    <cfRule type="containsText" dxfId="5730" priority="1315" operator="containsText" text="Einnahmen">
      <formula>NOT(ISERROR(SEARCH("Einnahmen",K50)))</formula>
    </cfRule>
    <cfRule type="containsText" dxfId="5729" priority="1316" operator="containsText" text="Ausgaben">
      <formula>NOT(ISERROR(SEARCH("Ausgaben",K50)))</formula>
    </cfRule>
  </conditionalFormatting>
  <conditionalFormatting sqref="K50:K51">
    <cfRule type="containsText" dxfId="5728" priority="1313" operator="containsText" text="Einnahmen">
      <formula>NOT(ISERROR(SEARCH("Einnahmen",K50)))</formula>
    </cfRule>
    <cfRule type="containsText" dxfId="5727" priority="1314" operator="containsText" text="Ausgaben">
      <formula>NOT(ISERROR(SEARCH("Ausgaben",K50)))</formula>
    </cfRule>
  </conditionalFormatting>
  <conditionalFormatting sqref="K56">
    <cfRule type="containsText" dxfId="5726" priority="1311" operator="containsText" text="Einnahmen">
      <formula>NOT(ISERROR(SEARCH("Einnahmen",K56)))</formula>
    </cfRule>
    <cfRule type="containsText" dxfId="5725" priority="1312" operator="containsText" text="Ausgaben">
      <formula>NOT(ISERROR(SEARCH("Ausgaben",K56)))</formula>
    </cfRule>
  </conditionalFormatting>
  <conditionalFormatting sqref="K57">
    <cfRule type="containsText" dxfId="5724" priority="1309" operator="containsText" text="Einnahmen">
      <formula>NOT(ISERROR(SEARCH("Einnahmen",K57)))</formula>
    </cfRule>
    <cfRule type="containsText" dxfId="5723" priority="1310" operator="containsText" text="Ausgaben">
      <formula>NOT(ISERROR(SEARCH("Ausgaben",K57)))</formula>
    </cfRule>
  </conditionalFormatting>
  <conditionalFormatting sqref="K58 K66 K85">
    <cfRule type="containsText" dxfId="5722" priority="1307" operator="containsText" text="Einnahmen">
      <formula>NOT(ISERROR(SEARCH("Einnahmen",K58)))</formula>
    </cfRule>
    <cfRule type="containsText" dxfId="5721" priority="1308" operator="containsText" text="Ausgaben">
      <formula>NOT(ISERROR(SEARCH("Ausgaben",K58)))</formula>
    </cfRule>
  </conditionalFormatting>
  <conditionalFormatting sqref="K59">
    <cfRule type="containsText" dxfId="5720" priority="1305" operator="containsText" text="Einnahmen">
      <formula>NOT(ISERROR(SEARCH("Einnahmen",K59)))</formula>
    </cfRule>
    <cfRule type="containsText" dxfId="5719" priority="1306" operator="containsText" text="Ausgaben">
      <formula>NOT(ISERROR(SEARCH("Ausgaben",K59)))</formula>
    </cfRule>
  </conditionalFormatting>
  <conditionalFormatting sqref="K60">
    <cfRule type="containsText" dxfId="5718" priority="1303" operator="containsText" text="Einnahmen">
      <formula>NOT(ISERROR(SEARCH("Einnahmen",K60)))</formula>
    </cfRule>
    <cfRule type="containsText" dxfId="5717" priority="1304" operator="containsText" text="Ausgaben">
      <formula>NOT(ISERROR(SEARCH("Ausgaben",K60)))</formula>
    </cfRule>
  </conditionalFormatting>
  <conditionalFormatting sqref="K61">
    <cfRule type="containsText" dxfId="5716" priority="1301" operator="containsText" text="Einnahmen">
      <formula>NOT(ISERROR(SEARCH("Einnahmen",K61)))</formula>
    </cfRule>
    <cfRule type="containsText" dxfId="5715" priority="1302" operator="containsText" text="Ausgaben">
      <formula>NOT(ISERROR(SEARCH("Ausgaben",K61)))</formula>
    </cfRule>
  </conditionalFormatting>
  <conditionalFormatting sqref="K61">
    <cfRule type="containsText" dxfId="5714" priority="1299" operator="containsText" text="Einnahmen">
      <formula>NOT(ISERROR(SEARCH("Einnahmen",K61)))</formula>
    </cfRule>
    <cfRule type="containsText" dxfId="5713" priority="1300" operator="containsText" text="Ausgaben">
      <formula>NOT(ISERROR(SEARCH("Ausgaben",K61)))</formula>
    </cfRule>
  </conditionalFormatting>
  <conditionalFormatting sqref="K62">
    <cfRule type="containsText" dxfId="5712" priority="1297" operator="containsText" text="Einnahmen">
      <formula>NOT(ISERROR(SEARCH("Einnahmen",K62)))</formula>
    </cfRule>
    <cfRule type="containsText" dxfId="5711" priority="1298" operator="containsText" text="Ausgaben">
      <formula>NOT(ISERROR(SEARCH("Ausgaben",K62)))</formula>
    </cfRule>
  </conditionalFormatting>
  <conditionalFormatting sqref="K63">
    <cfRule type="containsText" dxfId="5710" priority="1295" operator="containsText" text="Einnahmen">
      <formula>NOT(ISERROR(SEARCH("Einnahmen",K63)))</formula>
    </cfRule>
    <cfRule type="containsText" dxfId="5709" priority="1296" operator="containsText" text="Ausgaben">
      <formula>NOT(ISERROR(SEARCH("Ausgaben",K63)))</formula>
    </cfRule>
  </conditionalFormatting>
  <conditionalFormatting sqref="K64">
    <cfRule type="containsText" dxfId="5708" priority="1293" operator="containsText" text="Einnahmen">
      <formula>NOT(ISERROR(SEARCH("Einnahmen",K64)))</formula>
    </cfRule>
    <cfRule type="containsText" dxfId="5707" priority="1294" operator="containsText" text="Ausgaben">
      <formula>NOT(ISERROR(SEARCH("Ausgaben",K64)))</formula>
    </cfRule>
  </conditionalFormatting>
  <conditionalFormatting sqref="K65">
    <cfRule type="containsText" dxfId="5706" priority="1291" operator="containsText" text="Einnahmen">
      <formula>NOT(ISERROR(SEARCH("Einnahmen",K65)))</formula>
    </cfRule>
    <cfRule type="containsText" dxfId="5705" priority="1292" operator="containsText" text="Ausgaben">
      <formula>NOT(ISERROR(SEARCH("Ausgaben",K65)))</formula>
    </cfRule>
  </conditionalFormatting>
  <conditionalFormatting sqref="K67">
    <cfRule type="containsText" dxfId="5704" priority="1289" operator="containsText" text="Einnahmen">
      <formula>NOT(ISERROR(SEARCH("Einnahmen",K67)))</formula>
    </cfRule>
    <cfRule type="containsText" dxfId="5703" priority="1290" operator="containsText" text="Ausgaben">
      <formula>NOT(ISERROR(SEARCH("Ausgaben",K67)))</formula>
    </cfRule>
  </conditionalFormatting>
  <conditionalFormatting sqref="K67">
    <cfRule type="containsText" dxfId="5702" priority="1287" operator="containsText" text="Einnahmen">
      <formula>NOT(ISERROR(SEARCH("Einnahmen",K67)))</formula>
    </cfRule>
    <cfRule type="containsText" dxfId="5701" priority="1288" operator="containsText" text="Ausgaben">
      <formula>NOT(ISERROR(SEARCH("Ausgaben",K67)))</formula>
    </cfRule>
  </conditionalFormatting>
  <conditionalFormatting sqref="K67">
    <cfRule type="containsText" dxfId="5700" priority="1285" operator="containsText" text="Einnahmen">
      <formula>NOT(ISERROR(SEARCH("Einnahmen",K67)))</formula>
    </cfRule>
    <cfRule type="containsText" dxfId="5699" priority="1286" operator="containsText" text="Ausgaben">
      <formula>NOT(ISERROR(SEARCH("Ausgaben",K67)))</formula>
    </cfRule>
  </conditionalFormatting>
  <conditionalFormatting sqref="K68">
    <cfRule type="containsText" dxfId="5698" priority="1283" operator="containsText" text="Einnahmen">
      <formula>NOT(ISERROR(SEARCH("Einnahmen",K68)))</formula>
    </cfRule>
    <cfRule type="containsText" dxfId="5697" priority="1284" operator="containsText" text="Ausgaben">
      <formula>NOT(ISERROR(SEARCH("Ausgaben",K68)))</formula>
    </cfRule>
  </conditionalFormatting>
  <conditionalFormatting sqref="K69">
    <cfRule type="containsText" dxfId="5696" priority="1281" operator="containsText" text="Einnahmen">
      <formula>NOT(ISERROR(SEARCH("Einnahmen",K69)))</formula>
    </cfRule>
    <cfRule type="containsText" dxfId="5695" priority="1282" operator="containsText" text="Ausgaben">
      <formula>NOT(ISERROR(SEARCH("Ausgaben",K69)))</formula>
    </cfRule>
  </conditionalFormatting>
  <conditionalFormatting sqref="K70">
    <cfRule type="containsText" dxfId="5694" priority="1279" operator="containsText" text="Einnahmen">
      <formula>NOT(ISERROR(SEARCH("Einnahmen",K70)))</formula>
    </cfRule>
    <cfRule type="containsText" dxfId="5693" priority="1280" operator="containsText" text="Ausgaben">
      <formula>NOT(ISERROR(SEARCH("Ausgaben",K70)))</formula>
    </cfRule>
  </conditionalFormatting>
  <conditionalFormatting sqref="K70">
    <cfRule type="containsText" dxfId="5692" priority="1277" operator="containsText" text="Einnahmen">
      <formula>NOT(ISERROR(SEARCH("Einnahmen",K70)))</formula>
    </cfRule>
    <cfRule type="containsText" dxfId="5691" priority="1278" operator="containsText" text="Ausgaben">
      <formula>NOT(ISERROR(SEARCH("Ausgaben",K70)))</formula>
    </cfRule>
  </conditionalFormatting>
  <conditionalFormatting sqref="K71">
    <cfRule type="containsText" dxfId="5690" priority="1275" operator="containsText" text="Einnahmen">
      <formula>NOT(ISERROR(SEARCH("Einnahmen",K71)))</formula>
    </cfRule>
    <cfRule type="containsText" dxfId="5689" priority="1276" operator="containsText" text="Ausgaben">
      <formula>NOT(ISERROR(SEARCH("Ausgaben",K71)))</formula>
    </cfRule>
  </conditionalFormatting>
  <conditionalFormatting sqref="K72">
    <cfRule type="containsText" dxfId="5688" priority="1273" operator="containsText" text="Einnahmen">
      <formula>NOT(ISERROR(SEARCH("Einnahmen",K72)))</formula>
    </cfRule>
    <cfRule type="containsText" dxfId="5687" priority="1274" operator="containsText" text="Ausgaben">
      <formula>NOT(ISERROR(SEARCH("Ausgaben",K72)))</formula>
    </cfRule>
  </conditionalFormatting>
  <conditionalFormatting sqref="K72">
    <cfRule type="containsText" dxfId="5686" priority="1271" operator="containsText" text="Einnahmen">
      <formula>NOT(ISERROR(SEARCH("Einnahmen",K72)))</formula>
    </cfRule>
    <cfRule type="containsText" dxfId="5685" priority="1272" operator="containsText" text="Ausgaben">
      <formula>NOT(ISERROR(SEARCH("Ausgaben",K72)))</formula>
    </cfRule>
  </conditionalFormatting>
  <conditionalFormatting sqref="K73">
    <cfRule type="containsText" dxfId="5684" priority="1269" operator="containsText" text="Einnahmen">
      <formula>NOT(ISERROR(SEARCH("Einnahmen",K73)))</formula>
    </cfRule>
    <cfRule type="containsText" dxfId="5683" priority="1270" operator="containsText" text="Ausgaben">
      <formula>NOT(ISERROR(SEARCH("Ausgaben",K73)))</formula>
    </cfRule>
  </conditionalFormatting>
  <conditionalFormatting sqref="K74">
    <cfRule type="containsText" dxfId="5682" priority="1267" operator="containsText" text="Einnahmen">
      <formula>NOT(ISERROR(SEARCH("Einnahmen",K74)))</formula>
    </cfRule>
    <cfRule type="containsText" dxfId="5681" priority="1268" operator="containsText" text="Ausgaben">
      <formula>NOT(ISERROR(SEARCH("Ausgaben",K74)))</formula>
    </cfRule>
  </conditionalFormatting>
  <conditionalFormatting sqref="K74">
    <cfRule type="containsText" dxfId="5680" priority="1265" operator="containsText" text="Einnahmen">
      <formula>NOT(ISERROR(SEARCH("Einnahmen",K74)))</formula>
    </cfRule>
    <cfRule type="containsText" dxfId="5679" priority="1266" operator="containsText" text="Ausgaben">
      <formula>NOT(ISERROR(SEARCH("Ausgaben",K74)))</formula>
    </cfRule>
  </conditionalFormatting>
  <conditionalFormatting sqref="K75">
    <cfRule type="containsText" dxfId="5678" priority="1263" operator="containsText" text="Einnahmen">
      <formula>NOT(ISERROR(SEARCH("Einnahmen",K75)))</formula>
    </cfRule>
    <cfRule type="containsText" dxfId="5677" priority="1264" operator="containsText" text="Ausgaben">
      <formula>NOT(ISERROR(SEARCH("Ausgaben",K75)))</formula>
    </cfRule>
  </conditionalFormatting>
  <conditionalFormatting sqref="K76">
    <cfRule type="containsText" dxfId="5676" priority="1261" operator="containsText" text="Einnahmen">
      <formula>NOT(ISERROR(SEARCH("Einnahmen",K76)))</formula>
    </cfRule>
    <cfRule type="containsText" dxfId="5675" priority="1262" operator="containsText" text="Ausgaben">
      <formula>NOT(ISERROR(SEARCH("Ausgaben",K76)))</formula>
    </cfRule>
  </conditionalFormatting>
  <conditionalFormatting sqref="K77">
    <cfRule type="containsText" dxfId="5674" priority="1259" operator="containsText" text="Einnahmen">
      <formula>NOT(ISERROR(SEARCH("Einnahmen",K77)))</formula>
    </cfRule>
    <cfRule type="containsText" dxfId="5673" priority="1260" operator="containsText" text="Ausgaben">
      <formula>NOT(ISERROR(SEARCH("Ausgaben",K77)))</formula>
    </cfRule>
  </conditionalFormatting>
  <conditionalFormatting sqref="K78">
    <cfRule type="containsText" dxfId="5672" priority="1257" operator="containsText" text="Einnahmen">
      <formula>NOT(ISERROR(SEARCH("Einnahmen",K78)))</formula>
    </cfRule>
    <cfRule type="containsText" dxfId="5671" priority="1258" operator="containsText" text="Ausgaben">
      <formula>NOT(ISERROR(SEARCH("Ausgaben",K78)))</formula>
    </cfRule>
  </conditionalFormatting>
  <conditionalFormatting sqref="K79">
    <cfRule type="containsText" dxfId="5670" priority="1255" operator="containsText" text="Einnahmen">
      <formula>NOT(ISERROR(SEARCH("Einnahmen",K79)))</formula>
    </cfRule>
    <cfRule type="containsText" dxfId="5669" priority="1256" operator="containsText" text="Ausgaben">
      <formula>NOT(ISERROR(SEARCH("Ausgaben",K79)))</formula>
    </cfRule>
  </conditionalFormatting>
  <conditionalFormatting sqref="K80">
    <cfRule type="containsText" dxfId="5668" priority="1253" operator="containsText" text="Einnahmen">
      <formula>NOT(ISERROR(SEARCH("Einnahmen",K80)))</formula>
    </cfRule>
    <cfRule type="containsText" dxfId="5667" priority="1254" operator="containsText" text="Ausgaben">
      <formula>NOT(ISERROR(SEARCH("Ausgaben",K80)))</formula>
    </cfRule>
  </conditionalFormatting>
  <conditionalFormatting sqref="K81">
    <cfRule type="containsText" dxfId="5666" priority="1251" operator="containsText" text="Einnahmen">
      <formula>NOT(ISERROR(SEARCH("Einnahmen",K81)))</formula>
    </cfRule>
    <cfRule type="containsText" dxfId="5665" priority="1252" operator="containsText" text="Ausgaben">
      <formula>NOT(ISERROR(SEARCH("Ausgaben",K81)))</formula>
    </cfRule>
  </conditionalFormatting>
  <conditionalFormatting sqref="K81">
    <cfRule type="containsText" dxfId="5664" priority="1249" operator="containsText" text="Einnahmen">
      <formula>NOT(ISERROR(SEARCH("Einnahmen",K81)))</formula>
    </cfRule>
    <cfRule type="containsText" dxfId="5663" priority="1250" operator="containsText" text="Ausgaben">
      <formula>NOT(ISERROR(SEARCH("Ausgaben",K81)))</formula>
    </cfRule>
  </conditionalFormatting>
  <conditionalFormatting sqref="K82">
    <cfRule type="containsText" dxfId="5662" priority="1247" operator="containsText" text="Einnahmen">
      <formula>NOT(ISERROR(SEARCH("Einnahmen",K82)))</formula>
    </cfRule>
    <cfRule type="containsText" dxfId="5661" priority="1248" operator="containsText" text="Ausgaben">
      <formula>NOT(ISERROR(SEARCH("Ausgaben",K82)))</formula>
    </cfRule>
  </conditionalFormatting>
  <conditionalFormatting sqref="K83">
    <cfRule type="containsText" dxfId="5660" priority="1245" operator="containsText" text="Einnahmen">
      <formula>NOT(ISERROR(SEARCH("Einnahmen",K83)))</formula>
    </cfRule>
    <cfRule type="containsText" dxfId="5659" priority="1246" operator="containsText" text="Ausgaben">
      <formula>NOT(ISERROR(SEARCH("Ausgaben",K83)))</formula>
    </cfRule>
  </conditionalFormatting>
  <conditionalFormatting sqref="K83">
    <cfRule type="containsText" dxfId="5658" priority="1243" operator="containsText" text="Einnahmen">
      <formula>NOT(ISERROR(SEARCH("Einnahmen",K83)))</formula>
    </cfRule>
    <cfRule type="containsText" dxfId="5657" priority="1244" operator="containsText" text="Ausgaben">
      <formula>NOT(ISERROR(SEARCH("Ausgaben",K83)))</formula>
    </cfRule>
  </conditionalFormatting>
  <conditionalFormatting sqref="K83">
    <cfRule type="containsText" dxfId="5656" priority="1241" operator="containsText" text="Einnahmen">
      <formula>NOT(ISERROR(SEARCH("Einnahmen",K83)))</formula>
    </cfRule>
    <cfRule type="containsText" dxfId="5655" priority="1242" operator="containsText" text="Ausgaben">
      <formula>NOT(ISERROR(SEARCH("Ausgaben",K83)))</formula>
    </cfRule>
  </conditionalFormatting>
  <conditionalFormatting sqref="K84 K96 K115">
    <cfRule type="containsText" dxfId="5654" priority="1239" operator="containsText" text="Einnahmen">
      <formula>NOT(ISERROR(SEARCH("Einnahmen",K84)))</formula>
    </cfRule>
    <cfRule type="containsText" dxfId="5653" priority="1240" operator="containsText" text="Ausgaben">
      <formula>NOT(ISERROR(SEARCH("Ausgaben",K84)))</formula>
    </cfRule>
  </conditionalFormatting>
  <conditionalFormatting sqref="K86">
    <cfRule type="containsText" dxfId="5652" priority="1237" operator="containsText" text="Einnahmen">
      <formula>NOT(ISERROR(SEARCH("Einnahmen",K86)))</formula>
    </cfRule>
    <cfRule type="containsText" dxfId="5651" priority="1238" operator="containsText" text="Ausgaben">
      <formula>NOT(ISERROR(SEARCH("Ausgaben",K86)))</formula>
    </cfRule>
  </conditionalFormatting>
  <conditionalFormatting sqref="K87">
    <cfRule type="containsText" dxfId="5650" priority="1235" operator="containsText" text="Einnahmen">
      <formula>NOT(ISERROR(SEARCH("Einnahmen",K87)))</formula>
    </cfRule>
    <cfRule type="containsText" dxfId="5649" priority="1236" operator="containsText" text="Ausgaben">
      <formula>NOT(ISERROR(SEARCH("Ausgaben",K87)))</formula>
    </cfRule>
  </conditionalFormatting>
  <conditionalFormatting sqref="K87">
    <cfRule type="containsText" dxfId="5648" priority="1233" operator="containsText" text="Einnahmen">
      <formula>NOT(ISERROR(SEARCH("Einnahmen",K87)))</formula>
    </cfRule>
    <cfRule type="containsText" dxfId="5647" priority="1234" operator="containsText" text="Ausgaben">
      <formula>NOT(ISERROR(SEARCH("Ausgaben",K87)))</formula>
    </cfRule>
  </conditionalFormatting>
  <conditionalFormatting sqref="K88">
    <cfRule type="containsText" dxfId="5646" priority="1231" operator="containsText" text="Einnahmen">
      <formula>NOT(ISERROR(SEARCH("Einnahmen",K88)))</formula>
    </cfRule>
    <cfRule type="containsText" dxfId="5645" priority="1232" operator="containsText" text="Ausgaben">
      <formula>NOT(ISERROR(SEARCH("Ausgaben",K88)))</formula>
    </cfRule>
  </conditionalFormatting>
  <conditionalFormatting sqref="K89">
    <cfRule type="containsText" dxfId="5644" priority="1229" operator="containsText" text="Einnahmen">
      <formula>NOT(ISERROR(SEARCH("Einnahmen",K89)))</formula>
    </cfRule>
    <cfRule type="containsText" dxfId="5643" priority="1230" operator="containsText" text="Ausgaben">
      <formula>NOT(ISERROR(SEARCH("Ausgaben",K89)))</formula>
    </cfRule>
  </conditionalFormatting>
  <conditionalFormatting sqref="K89">
    <cfRule type="containsText" dxfId="5642" priority="1227" operator="containsText" text="Einnahmen">
      <formula>NOT(ISERROR(SEARCH("Einnahmen",K89)))</formula>
    </cfRule>
    <cfRule type="containsText" dxfId="5641" priority="1228" operator="containsText" text="Ausgaben">
      <formula>NOT(ISERROR(SEARCH("Ausgaben",K89)))</formula>
    </cfRule>
  </conditionalFormatting>
  <conditionalFormatting sqref="K90">
    <cfRule type="containsText" dxfId="5640" priority="1225" operator="containsText" text="Einnahmen">
      <formula>NOT(ISERROR(SEARCH("Einnahmen",K90)))</formula>
    </cfRule>
    <cfRule type="containsText" dxfId="5639" priority="1226" operator="containsText" text="Ausgaben">
      <formula>NOT(ISERROR(SEARCH("Ausgaben",K90)))</formula>
    </cfRule>
  </conditionalFormatting>
  <conditionalFormatting sqref="K90">
    <cfRule type="containsText" dxfId="5638" priority="1223" operator="containsText" text="Einnahmen">
      <formula>NOT(ISERROR(SEARCH("Einnahmen",K90)))</formula>
    </cfRule>
    <cfRule type="containsText" dxfId="5637" priority="1224" operator="containsText" text="Ausgaben">
      <formula>NOT(ISERROR(SEARCH("Ausgaben",K90)))</formula>
    </cfRule>
  </conditionalFormatting>
  <conditionalFormatting sqref="K91">
    <cfRule type="containsText" dxfId="5636" priority="1221" operator="containsText" text="Einnahmen">
      <formula>NOT(ISERROR(SEARCH("Einnahmen",K91)))</formula>
    </cfRule>
    <cfRule type="containsText" dxfId="5635" priority="1222" operator="containsText" text="Ausgaben">
      <formula>NOT(ISERROR(SEARCH("Ausgaben",K91)))</formula>
    </cfRule>
  </conditionalFormatting>
  <conditionalFormatting sqref="K92">
    <cfRule type="containsText" dxfId="5634" priority="1219" operator="containsText" text="Einnahmen">
      <formula>NOT(ISERROR(SEARCH("Einnahmen",K92)))</formula>
    </cfRule>
    <cfRule type="containsText" dxfId="5633" priority="1220" operator="containsText" text="Ausgaben">
      <formula>NOT(ISERROR(SEARCH("Ausgaben",K92)))</formula>
    </cfRule>
  </conditionalFormatting>
  <conditionalFormatting sqref="K93">
    <cfRule type="containsText" dxfId="5632" priority="1217" operator="containsText" text="Einnahmen">
      <formula>NOT(ISERROR(SEARCH("Einnahmen",K93)))</formula>
    </cfRule>
    <cfRule type="containsText" dxfId="5631" priority="1218" operator="containsText" text="Ausgaben">
      <formula>NOT(ISERROR(SEARCH("Ausgaben",K93)))</formula>
    </cfRule>
  </conditionalFormatting>
  <conditionalFormatting sqref="K94">
    <cfRule type="containsText" dxfId="5630" priority="1215" operator="containsText" text="Einnahmen">
      <formula>NOT(ISERROR(SEARCH("Einnahmen",K94)))</formula>
    </cfRule>
    <cfRule type="containsText" dxfId="5629" priority="1216" operator="containsText" text="Ausgaben">
      <formula>NOT(ISERROR(SEARCH("Ausgaben",K94)))</formula>
    </cfRule>
  </conditionalFormatting>
  <conditionalFormatting sqref="K95">
    <cfRule type="containsText" dxfId="5628" priority="1213" operator="containsText" text="Einnahmen">
      <formula>NOT(ISERROR(SEARCH("Einnahmen",K95)))</formula>
    </cfRule>
    <cfRule type="containsText" dxfId="5627" priority="1214" operator="containsText" text="Ausgaben">
      <formula>NOT(ISERROR(SEARCH("Ausgaben",K95)))</formula>
    </cfRule>
  </conditionalFormatting>
  <conditionalFormatting sqref="K97">
    <cfRule type="containsText" dxfId="5626" priority="1211" operator="containsText" text="Einnahmen">
      <formula>NOT(ISERROR(SEARCH("Einnahmen",K97)))</formula>
    </cfRule>
    <cfRule type="containsText" dxfId="5625" priority="1212" operator="containsText" text="Ausgaben">
      <formula>NOT(ISERROR(SEARCH("Ausgaben",K97)))</formula>
    </cfRule>
  </conditionalFormatting>
  <conditionalFormatting sqref="K97">
    <cfRule type="containsText" dxfId="5624" priority="1209" operator="containsText" text="Einnahmen">
      <formula>NOT(ISERROR(SEARCH("Einnahmen",K97)))</formula>
    </cfRule>
    <cfRule type="containsText" dxfId="5623" priority="1210" operator="containsText" text="Ausgaben">
      <formula>NOT(ISERROR(SEARCH("Ausgaben",K97)))</formula>
    </cfRule>
  </conditionalFormatting>
  <conditionalFormatting sqref="K97">
    <cfRule type="containsText" dxfId="5622" priority="1207" operator="containsText" text="Einnahmen">
      <formula>NOT(ISERROR(SEARCH("Einnahmen",K97)))</formula>
    </cfRule>
    <cfRule type="containsText" dxfId="5621" priority="1208" operator="containsText" text="Ausgaben">
      <formula>NOT(ISERROR(SEARCH("Ausgaben",K97)))</formula>
    </cfRule>
  </conditionalFormatting>
  <conditionalFormatting sqref="K98">
    <cfRule type="containsText" dxfId="5620" priority="1205" operator="containsText" text="Einnahmen">
      <formula>NOT(ISERROR(SEARCH("Einnahmen",K98)))</formula>
    </cfRule>
    <cfRule type="containsText" dxfId="5619" priority="1206" operator="containsText" text="Ausgaben">
      <formula>NOT(ISERROR(SEARCH("Ausgaben",K98)))</formula>
    </cfRule>
  </conditionalFormatting>
  <conditionalFormatting sqref="K98">
    <cfRule type="containsText" dxfId="5618" priority="1203" operator="containsText" text="Einnahmen">
      <formula>NOT(ISERROR(SEARCH("Einnahmen",K98)))</formula>
    </cfRule>
    <cfRule type="containsText" dxfId="5617" priority="1204" operator="containsText" text="Ausgaben">
      <formula>NOT(ISERROR(SEARCH("Ausgaben",K98)))</formula>
    </cfRule>
  </conditionalFormatting>
  <conditionalFormatting sqref="K99">
    <cfRule type="containsText" dxfId="5616" priority="1201" operator="containsText" text="Einnahmen">
      <formula>NOT(ISERROR(SEARCH("Einnahmen",K99)))</formula>
    </cfRule>
    <cfRule type="containsText" dxfId="5615" priority="1202" operator="containsText" text="Ausgaben">
      <formula>NOT(ISERROR(SEARCH("Ausgaben",K99)))</formula>
    </cfRule>
  </conditionalFormatting>
  <conditionalFormatting sqref="K99">
    <cfRule type="containsText" dxfId="5614" priority="1199" operator="containsText" text="Einnahmen">
      <formula>NOT(ISERROR(SEARCH("Einnahmen",K99)))</formula>
    </cfRule>
    <cfRule type="containsText" dxfId="5613" priority="1200" operator="containsText" text="Ausgaben">
      <formula>NOT(ISERROR(SEARCH("Ausgaben",K99)))</formula>
    </cfRule>
  </conditionalFormatting>
  <conditionalFormatting sqref="K100">
    <cfRule type="containsText" dxfId="5612" priority="1197" operator="containsText" text="Einnahmen">
      <formula>NOT(ISERROR(SEARCH("Einnahmen",K100)))</formula>
    </cfRule>
    <cfRule type="containsText" dxfId="5611" priority="1198" operator="containsText" text="Ausgaben">
      <formula>NOT(ISERROR(SEARCH("Ausgaben",K100)))</formula>
    </cfRule>
  </conditionalFormatting>
  <conditionalFormatting sqref="K100">
    <cfRule type="containsText" dxfId="5610" priority="1195" operator="containsText" text="Einnahmen">
      <formula>NOT(ISERROR(SEARCH("Einnahmen",K100)))</formula>
    </cfRule>
    <cfRule type="containsText" dxfId="5609" priority="1196" operator="containsText" text="Ausgaben">
      <formula>NOT(ISERROR(SEARCH("Ausgaben",K100)))</formula>
    </cfRule>
  </conditionalFormatting>
  <conditionalFormatting sqref="K101">
    <cfRule type="containsText" dxfId="5608" priority="1193" operator="containsText" text="Einnahmen">
      <formula>NOT(ISERROR(SEARCH("Einnahmen",K101)))</formula>
    </cfRule>
    <cfRule type="containsText" dxfId="5607" priority="1194" operator="containsText" text="Ausgaben">
      <formula>NOT(ISERROR(SEARCH("Ausgaben",K101)))</formula>
    </cfRule>
  </conditionalFormatting>
  <conditionalFormatting sqref="K102">
    <cfRule type="containsText" dxfId="5606" priority="1191" operator="containsText" text="Einnahmen">
      <formula>NOT(ISERROR(SEARCH("Einnahmen",K102)))</formula>
    </cfRule>
    <cfRule type="containsText" dxfId="5605" priority="1192" operator="containsText" text="Ausgaben">
      <formula>NOT(ISERROR(SEARCH("Ausgaben",K102)))</formula>
    </cfRule>
  </conditionalFormatting>
  <conditionalFormatting sqref="K103">
    <cfRule type="containsText" dxfId="5604" priority="1189" operator="containsText" text="Einnahmen">
      <formula>NOT(ISERROR(SEARCH("Einnahmen",K103)))</formula>
    </cfRule>
    <cfRule type="containsText" dxfId="5603" priority="1190" operator="containsText" text="Ausgaben">
      <formula>NOT(ISERROR(SEARCH("Ausgaben",K103)))</formula>
    </cfRule>
  </conditionalFormatting>
  <conditionalFormatting sqref="K103">
    <cfRule type="containsText" dxfId="5602" priority="1187" operator="containsText" text="Einnahmen">
      <formula>NOT(ISERROR(SEARCH("Einnahmen",K103)))</formula>
    </cfRule>
    <cfRule type="containsText" dxfId="5601" priority="1188" operator="containsText" text="Ausgaben">
      <formula>NOT(ISERROR(SEARCH("Ausgaben",K103)))</formula>
    </cfRule>
  </conditionalFormatting>
  <conditionalFormatting sqref="K104">
    <cfRule type="containsText" dxfId="5600" priority="1185" operator="containsText" text="Einnahmen">
      <formula>NOT(ISERROR(SEARCH("Einnahmen",K104)))</formula>
    </cfRule>
    <cfRule type="containsText" dxfId="5599" priority="1186" operator="containsText" text="Ausgaben">
      <formula>NOT(ISERROR(SEARCH("Ausgaben",K104)))</formula>
    </cfRule>
  </conditionalFormatting>
  <conditionalFormatting sqref="K105">
    <cfRule type="containsText" dxfId="5598" priority="1183" operator="containsText" text="Einnahmen">
      <formula>NOT(ISERROR(SEARCH("Einnahmen",K105)))</formula>
    </cfRule>
    <cfRule type="containsText" dxfId="5597" priority="1184" operator="containsText" text="Ausgaben">
      <formula>NOT(ISERROR(SEARCH("Ausgaben",K105)))</formula>
    </cfRule>
  </conditionalFormatting>
  <conditionalFormatting sqref="K106">
    <cfRule type="containsText" dxfId="5596" priority="1181" operator="containsText" text="Einnahmen">
      <formula>NOT(ISERROR(SEARCH("Einnahmen",K106)))</formula>
    </cfRule>
    <cfRule type="containsText" dxfId="5595" priority="1182" operator="containsText" text="Ausgaben">
      <formula>NOT(ISERROR(SEARCH("Ausgaben",K106)))</formula>
    </cfRule>
  </conditionalFormatting>
  <conditionalFormatting sqref="K107">
    <cfRule type="containsText" dxfId="5594" priority="1179" operator="containsText" text="Einnahmen">
      <formula>NOT(ISERROR(SEARCH("Einnahmen",K107)))</formula>
    </cfRule>
    <cfRule type="containsText" dxfId="5593" priority="1180" operator="containsText" text="Ausgaben">
      <formula>NOT(ISERROR(SEARCH("Ausgaben",K107)))</formula>
    </cfRule>
  </conditionalFormatting>
  <conditionalFormatting sqref="K107">
    <cfRule type="containsText" dxfId="5592" priority="1177" operator="containsText" text="Einnahmen">
      <formula>NOT(ISERROR(SEARCH("Einnahmen",K107)))</formula>
    </cfRule>
    <cfRule type="containsText" dxfId="5591" priority="1178" operator="containsText" text="Ausgaben">
      <formula>NOT(ISERROR(SEARCH("Ausgaben",K107)))</formula>
    </cfRule>
  </conditionalFormatting>
  <conditionalFormatting sqref="K108">
    <cfRule type="containsText" dxfId="5590" priority="1175" operator="containsText" text="Einnahmen">
      <formula>NOT(ISERROR(SEARCH("Einnahmen",K108)))</formula>
    </cfRule>
    <cfRule type="containsText" dxfId="5589" priority="1176" operator="containsText" text="Ausgaben">
      <formula>NOT(ISERROR(SEARCH("Ausgaben",K108)))</formula>
    </cfRule>
  </conditionalFormatting>
  <conditionalFormatting sqref="K109:K110">
    <cfRule type="containsText" dxfId="5588" priority="1173" operator="containsText" text="Einnahmen">
      <formula>NOT(ISERROR(SEARCH("Einnahmen",K109)))</formula>
    </cfRule>
    <cfRule type="containsText" dxfId="5587" priority="1174" operator="containsText" text="Ausgaben">
      <formula>NOT(ISERROR(SEARCH("Ausgaben",K109)))</formula>
    </cfRule>
  </conditionalFormatting>
  <conditionalFormatting sqref="K109:K110">
    <cfRule type="containsText" dxfId="5586" priority="1171" operator="containsText" text="Einnahmen">
      <formula>NOT(ISERROR(SEARCH("Einnahmen",K109)))</formula>
    </cfRule>
    <cfRule type="containsText" dxfId="5585" priority="1172" operator="containsText" text="Ausgaben">
      <formula>NOT(ISERROR(SEARCH("Ausgaben",K109)))</formula>
    </cfRule>
  </conditionalFormatting>
  <conditionalFormatting sqref="K111">
    <cfRule type="containsText" dxfId="5584" priority="1169" operator="containsText" text="Einnahmen">
      <formula>NOT(ISERROR(SEARCH("Einnahmen",K111)))</formula>
    </cfRule>
    <cfRule type="containsText" dxfId="5583" priority="1170" operator="containsText" text="Ausgaben">
      <formula>NOT(ISERROR(SEARCH("Ausgaben",K111)))</formula>
    </cfRule>
  </conditionalFormatting>
  <conditionalFormatting sqref="K112">
    <cfRule type="containsText" dxfId="5582" priority="1167" operator="containsText" text="Einnahmen">
      <formula>NOT(ISERROR(SEARCH("Einnahmen",K112)))</formula>
    </cfRule>
    <cfRule type="containsText" dxfId="5581" priority="1168" operator="containsText" text="Ausgaben">
      <formula>NOT(ISERROR(SEARCH("Ausgaben",K112)))</formula>
    </cfRule>
  </conditionalFormatting>
  <conditionalFormatting sqref="K113">
    <cfRule type="containsText" dxfId="5580" priority="1165" operator="containsText" text="Einnahmen">
      <formula>NOT(ISERROR(SEARCH("Einnahmen",K113)))</formula>
    </cfRule>
    <cfRule type="containsText" dxfId="5579" priority="1166" operator="containsText" text="Ausgaben">
      <formula>NOT(ISERROR(SEARCH("Ausgaben",K113)))</formula>
    </cfRule>
  </conditionalFormatting>
  <conditionalFormatting sqref="K114">
    <cfRule type="containsText" dxfId="5578" priority="1163" operator="containsText" text="Einnahmen">
      <formula>NOT(ISERROR(SEARCH("Einnahmen",K114)))</formula>
    </cfRule>
    <cfRule type="containsText" dxfId="5577" priority="1164" operator="containsText" text="Ausgaben">
      <formula>NOT(ISERROR(SEARCH("Ausgaben",K114)))</formula>
    </cfRule>
  </conditionalFormatting>
  <conditionalFormatting sqref="K116">
    <cfRule type="containsText" dxfId="5576" priority="1161" operator="containsText" text="Einnahmen">
      <formula>NOT(ISERROR(SEARCH("Einnahmen",K116)))</formula>
    </cfRule>
    <cfRule type="containsText" dxfId="5575" priority="1162" operator="containsText" text="Ausgaben">
      <formula>NOT(ISERROR(SEARCH("Ausgaben",K116)))</formula>
    </cfRule>
  </conditionalFormatting>
  <conditionalFormatting sqref="K116">
    <cfRule type="containsText" dxfId="5574" priority="1159" operator="containsText" text="Einnahmen">
      <formula>NOT(ISERROR(SEARCH("Einnahmen",K116)))</formula>
    </cfRule>
    <cfRule type="containsText" dxfId="5573" priority="1160" operator="containsText" text="Ausgaben">
      <formula>NOT(ISERROR(SEARCH("Ausgaben",K116)))</formula>
    </cfRule>
  </conditionalFormatting>
  <conditionalFormatting sqref="K116">
    <cfRule type="containsText" dxfId="5572" priority="1157" operator="containsText" text="Einnahmen">
      <formula>NOT(ISERROR(SEARCH("Einnahmen",K116)))</formula>
    </cfRule>
    <cfRule type="containsText" dxfId="5571" priority="1158" operator="containsText" text="Ausgaben">
      <formula>NOT(ISERROR(SEARCH("Ausgaben",K116)))</formula>
    </cfRule>
  </conditionalFormatting>
  <conditionalFormatting sqref="K117">
    <cfRule type="containsText" dxfId="5570" priority="1155" operator="containsText" text="Einnahmen">
      <formula>NOT(ISERROR(SEARCH("Einnahmen",K117)))</formula>
    </cfRule>
    <cfRule type="containsText" dxfId="5569" priority="1156" operator="containsText" text="Ausgaben">
      <formula>NOT(ISERROR(SEARCH("Ausgaben",K117)))</formula>
    </cfRule>
  </conditionalFormatting>
  <conditionalFormatting sqref="K118">
    <cfRule type="containsText" dxfId="5568" priority="1153" operator="containsText" text="Einnahmen">
      <formula>NOT(ISERROR(SEARCH("Einnahmen",K118)))</formula>
    </cfRule>
    <cfRule type="containsText" dxfId="5567" priority="1154" operator="containsText" text="Ausgaben">
      <formula>NOT(ISERROR(SEARCH("Ausgaben",K118)))</formula>
    </cfRule>
  </conditionalFormatting>
  <conditionalFormatting sqref="K118">
    <cfRule type="containsText" dxfId="5566" priority="1151" operator="containsText" text="Einnahmen">
      <formula>NOT(ISERROR(SEARCH("Einnahmen",K118)))</formula>
    </cfRule>
    <cfRule type="containsText" dxfId="5565" priority="1152" operator="containsText" text="Ausgaben">
      <formula>NOT(ISERROR(SEARCH("Ausgaben",K118)))</formula>
    </cfRule>
  </conditionalFormatting>
  <conditionalFormatting sqref="K119">
    <cfRule type="containsText" dxfId="5564" priority="1149" operator="containsText" text="Einnahmen">
      <formula>NOT(ISERROR(SEARCH("Einnahmen",K119)))</formula>
    </cfRule>
    <cfRule type="containsText" dxfId="5563" priority="1150" operator="containsText" text="Ausgaben">
      <formula>NOT(ISERROR(SEARCH("Ausgaben",K119)))</formula>
    </cfRule>
  </conditionalFormatting>
  <conditionalFormatting sqref="K120">
    <cfRule type="containsText" dxfId="5562" priority="1147" operator="containsText" text="Einnahmen">
      <formula>NOT(ISERROR(SEARCH("Einnahmen",K120)))</formula>
    </cfRule>
    <cfRule type="containsText" dxfId="5561" priority="1148" operator="containsText" text="Ausgaben">
      <formula>NOT(ISERROR(SEARCH("Ausgaben",K120)))</formula>
    </cfRule>
  </conditionalFormatting>
  <conditionalFormatting sqref="K121">
    <cfRule type="containsText" dxfId="5560" priority="1145" operator="containsText" text="Einnahmen">
      <formula>NOT(ISERROR(SEARCH("Einnahmen",K121)))</formula>
    </cfRule>
    <cfRule type="containsText" dxfId="5559" priority="1146" operator="containsText" text="Ausgaben">
      <formula>NOT(ISERROR(SEARCH("Ausgaben",K121)))</formula>
    </cfRule>
  </conditionalFormatting>
  <conditionalFormatting sqref="K121">
    <cfRule type="containsText" dxfId="5558" priority="1143" operator="containsText" text="Einnahmen">
      <formula>NOT(ISERROR(SEARCH("Einnahmen",K121)))</formula>
    </cfRule>
    <cfRule type="containsText" dxfId="5557" priority="1144" operator="containsText" text="Ausgaben">
      <formula>NOT(ISERROR(SEARCH("Ausgaben",K121)))</formula>
    </cfRule>
  </conditionalFormatting>
  <conditionalFormatting sqref="K122">
    <cfRule type="containsText" dxfId="5556" priority="1141" operator="containsText" text="Einnahmen">
      <formula>NOT(ISERROR(SEARCH("Einnahmen",K122)))</formula>
    </cfRule>
    <cfRule type="containsText" dxfId="5555" priority="1142" operator="containsText" text="Ausgaben">
      <formula>NOT(ISERROR(SEARCH("Ausgaben",K122)))</formula>
    </cfRule>
  </conditionalFormatting>
  <conditionalFormatting sqref="K122">
    <cfRule type="containsText" dxfId="5554" priority="1139" operator="containsText" text="Einnahmen">
      <formula>NOT(ISERROR(SEARCH("Einnahmen",K122)))</formula>
    </cfRule>
    <cfRule type="containsText" dxfId="5553" priority="1140" operator="containsText" text="Ausgaben">
      <formula>NOT(ISERROR(SEARCH("Ausgaben",K122)))</formula>
    </cfRule>
  </conditionalFormatting>
  <conditionalFormatting sqref="K123">
    <cfRule type="containsText" dxfId="5552" priority="1137" operator="containsText" text="Einnahmen">
      <formula>NOT(ISERROR(SEARCH("Einnahmen",K123)))</formula>
    </cfRule>
    <cfRule type="containsText" dxfId="5551" priority="1138" operator="containsText" text="Ausgaben">
      <formula>NOT(ISERROR(SEARCH("Ausgaben",K123)))</formula>
    </cfRule>
  </conditionalFormatting>
  <conditionalFormatting sqref="K124">
    <cfRule type="containsText" dxfId="5550" priority="1135" operator="containsText" text="Einnahmen">
      <formula>NOT(ISERROR(SEARCH("Einnahmen",K124)))</formula>
    </cfRule>
    <cfRule type="containsText" dxfId="5549" priority="1136" operator="containsText" text="Ausgaben">
      <formula>NOT(ISERROR(SEARCH("Ausgaben",K124)))</formula>
    </cfRule>
  </conditionalFormatting>
  <conditionalFormatting sqref="K125">
    <cfRule type="containsText" dxfId="5548" priority="1133" operator="containsText" text="Einnahmen">
      <formula>NOT(ISERROR(SEARCH("Einnahmen",K125)))</formula>
    </cfRule>
    <cfRule type="containsText" dxfId="5547" priority="1134" operator="containsText" text="Ausgaben">
      <formula>NOT(ISERROR(SEARCH("Ausgaben",K125)))</formula>
    </cfRule>
  </conditionalFormatting>
  <conditionalFormatting sqref="K126">
    <cfRule type="containsText" dxfId="5546" priority="1131" operator="containsText" text="Einnahmen">
      <formula>NOT(ISERROR(SEARCH("Einnahmen",K126)))</formula>
    </cfRule>
    <cfRule type="containsText" dxfId="5545" priority="1132" operator="containsText" text="Ausgaben">
      <formula>NOT(ISERROR(SEARCH("Ausgaben",K126)))</formula>
    </cfRule>
  </conditionalFormatting>
  <conditionalFormatting sqref="K127">
    <cfRule type="containsText" dxfId="5544" priority="1129" operator="containsText" text="Einnahmen">
      <formula>NOT(ISERROR(SEARCH("Einnahmen",K127)))</formula>
    </cfRule>
    <cfRule type="containsText" dxfId="5543" priority="1130" operator="containsText" text="Ausgaben">
      <formula>NOT(ISERROR(SEARCH("Ausgaben",K127)))</formula>
    </cfRule>
  </conditionalFormatting>
  <conditionalFormatting sqref="K128">
    <cfRule type="containsText" dxfId="5542" priority="1127" operator="containsText" text="Einnahmen">
      <formula>NOT(ISERROR(SEARCH("Einnahmen",K128)))</formula>
    </cfRule>
    <cfRule type="containsText" dxfId="5541" priority="1128" operator="containsText" text="Ausgaben">
      <formula>NOT(ISERROR(SEARCH("Ausgaben",K128)))</formula>
    </cfRule>
  </conditionalFormatting>
  <conditionalFormatting sqref="K129">
    <cfRule type="containsText" dxfId="5540" priority="1125" operator="containsText" text="Einnahmen">
      <formula>NOT(ISERROR(SEARCH("Einnahmen",K129)))</formula>
    </cfRule>
    <cfRule type="containsText" dxfId="5539" priority="1126" operator="containsText" text="Ausgaben">
      <formula>NOT(ISERROR(SEARCH("Ausgaben",K129)))</formula>
    </cfRule>
  </conditionalFormatting>
  <conditionalFormatting sqref="K129">
    <cfRule type="containsText" dxfId="5538" priority="1123" operator="containsText" text="Einnahmen">
      <formula>NOT(ISERROR(SEARCH("Einnahmen",K129)))</formula>
    </cfRule>
    <cfRule type="containsText" dxfId="5537" priority="1124" operator="containsText" text="Ausgaben">
      <formula>NOT(ISERROR(SEARCH("Ausgaben",K129)))</formula>
    </cfRule>
  </conditionalFormatting>
  <conditionalFormatting sqref="K129">
    <cfRule type="containsText" dxfId="5536" priority="1121" operator="containsText" text="Einnahmen">
      <formula>NOT(ISERROR(SEARCH("Einnahmen",K129)))</formula>
    </cfRule>
    <cfRule type="containsText" dxfId="5535" priority="1122" operator="containsText" text="Ausgaben">
      <formula>NOT(ISERROR(SEARCH("Ausgaben",K129)))</formula>
    </cfRule>
  </conditionalFormatting>
  <conditionalFormatting sqref="K130">
    <cfRule type="containsText" dxfId="5534" priority="1119" operator="containsText" text="Einnahmen">
      <formula>NOT(ISERROR(SEARCH("Einnahmen",K130)))</formula>
    </cfRule>
    <cfRule type="containsText" dxfId="5533" priority="1120" operator="containsText" text="Ausgaben">
      <formula>NOT(ISERROR(SEARCH("Ausgaben",K130)))</formula>
    </cfRule>
  </conditionalFormatting>
  <conditionalFormatting sqref="K131">
    <cfRule type="containsText" dxfId="5532" priority="1117" operator="containsText" text="Einnahmen">
      <formula>NOT(ISERROR(SEARCH("Einnahmen",K131)))</formula>
    </cfRule>
    <cfRule type="containsText" dxfId="5531" priority="1118" operator="containsText" text="Ausgaben">
      <formula>NOT(ISERROR(SEARCH("Ausgaben",K131)))</formula>
    </cfRule>
  </conditionalFormatting>
  <conditionalFormatting sqref="K131">
    <cfRule type="containsText" dxfId="5530" priority="1115" operator="containsText" text="Einnahmen">
      <formula>NOT(ISERROR(SEARCH("Einnahmen",K131)))</formula>
    </cfRule>
    <cfRule type="containsText" dxfId="5529" priority="1116" operator="containsText" text="Ausgaben">
      <formula>NOT(ISERROR(SEARCH("Ausgaben",K131)))</formula>
    </cfRule>
  </conditionalFormatting>
  <conditionalFormatting sqref="K132">
    <cfRule type="containsText" dxfId="5528" priority="1113" operator="containsText" text="Einnahmen">
      <formula>NOT(ISERROR(SEARCH("Einnahmen",K132)))</formula>
    </cfRule>
    <cfRule type="containsText" dxfId="5527" priority="1114" operator="containsText" text="Ausgaben">
      <formula>NOT(ISERROR(SEARCH("Ausgaben",K132)))</formula>
    </cfRule>
  </conditionalFormatting>
  <conditionalFormatting sqref="K133">
    <cfRule type="containsText" dxfId="5526" priority="1111" operator="containsText" text="Einnahmen">
      <formula>NOT(ISERROR(SEARCH("Einnahmen",K133)))</formula>
    </cfRule>
    <cfRule type="containsText" dxfId="5525" priority="1112" operator="containsText" text="Ausgaben">
      <formula>NOT(ISERROR(SEARCH("Ausgaben",K133)))</formula>
    </cfRule>
  </conditionalFormatting>
  <conditionalFormatting sqref="K133">
    <cfRule type="containsText" dxfId="5524" priority="1109" operator="containsText" text="Einnahmen">
      <formula>NOT(ISERROR(SEARCH("Einnahmen",K133)))</formula>
    </cfRule>
    <cfRule type="containsText" dxfId="5523" priority="1110" operator="containsText" text="Ausgaben">
      <formula>NOT(ISERROR(SEARCH("Ausgaben",K133)))</formula>
    </cfRule>
  </conditionalFormatting>
  <conditionalFormatting sqref="K134">
    <cfRule type="containsText" dxfId="5522" priority="1107" operator="containsText" text="Einnahmen">
      <formula>NOT(ISERROR(SEARCH("Einnahmen",K134)))</formula>
    </cfRule>
    <cfRule type="containsText" dxfId="5521" priority="1108" operator="containsText" text="Ausgaben">
      <formula>NOT(ISERROR(SEARCH("Ausgaben",K134)))</formula>
    </cfRule>
  </conditionalFormatting>
  <conditionalFormatting sqref="K134">
    <cfRule type="containsText" dxfId="5520" priority="1105" operator="containsText" text="Einnahmen">
      <formula>NOT(ISERROR(SEARCH("Einnahmen",K134)))</formula>
    </cfRule>
    <cfRule type="containsText" dxfId="5519" priority="1106" operator="containsText" text="Ausgaben">
      <formula>NOT(ISERROR(SEARCH("Ausgaben",K134)))</formula>
    </cfRule>
  </conditionalFormatting>
  <conditionalFormatting sqref="K135">
    <cfRule type="containsText" dxfId="5518" priority="1103" operator="containsText" text="Einnahmen">
      <formula>NOT(ISERROR(SEARCH("Einnahmen",K135)))</formula>
    </cfRule>
    <cfRule type="containsText" dxfId="5517" priority="1104" operator="containsText" text="Ausgaben">
      <formula>NOT(ISERROR(SEARCH("Ausgaben",K135)))</formula>
    </cfRule>
  </conditionalFormatting>
  <conditionalFormatting sqref="K136">
    <cfRule type="containsText" dxfId="5516" priority="1101" operator="containsText" text="Einnahmen">
      <formula>NOT(ISERROR(SEARCH("Einnahmen",K136)))</formula>
    </cfRule>
    <cfRule type="containsText" dxfId="5515" priority="1102" operator="containsText" text="Ausgaben">
      <formula>NOT(ISERROR(SEARCH("Ausgaben",K136)))</formula>
    </cfRule>
  </conditionalFormatting>
  <conditionalFormatting sqref="K137">
    <cfRule type="containsText" dxfId="5514" priority="1099" operator="containsText" text="Einnahmen">
      <formula>NOT(ISERROR(SEARCH("Einnahmen",K137)))</formula>
    </cfRule>
    <cfRule type="containsText" dxfId="5513" priority="1100" operator="containsText" text="Ausgaben">
      <formula>NOT(ISERROR(SEARCH("Ausgaben",K137)))</formula>
    </cfRule>
  </conditionalFormatting>
  <conditionalFormatting sqref="K139">
    <cfRule type="containsText" dxfId="5512" priority="1097" operator="containsText" text="Einnahmen">
      <formula>NOT(ISERROR(SEARCH("Einnahmen",K139)))</formula>
    </cfRule>
    <cfRule type="containsText" dxfId="5511" priority="1098" operator="containsText" text="Ausgaben">
      <formula>NOT(ISERROR(SEARCH("Ausgaben",K139)))</formula>
    </cfRule>
  </conditionalFormatting>
  <conditionalFormatting sqref="K139">
    <cfRule type="containsText" dxfId="5510" priority="1095" operator="containsText" text="Einnahmen">
      <formula>NOT(ISERROR(SEARCH("Einnahmen",K139)))</formula>
    </cfRule>
    <cfRule type="containsText" dxfId="5509" priority="1096" operator="containsText" text="Ausgaben">
      <formula>NOT(ISERROR(SEARCH("Ausgaben",K139)))</formula>
    </cfRule>
  </conditionalFormatting>
  <conditionalFormatting sqref="K140">
    <cfRule type="containsText" dxfId="5508" priority="1093" operator="containsText" text="Einnahmen">
      <formula>NOT(ISERROR(SEARCH("Einnahmen",K140)))</formula>
    </cfRule>
    <cfRule type="containsText" dxfId="5507" priority="1094" operator="containsText" text="Ausgaben">
      <formula>NOT(ISERROR(SEARCH("Ausgaben",K140)))</formula>
    </cfRule>
  </conditionalFormatting>
  <conditionalFormatting sqref="K142">
    <cfRule type="containsText" dxfId="5506" priority="1091" operator="containsText" text="Einnahmen">
      <formula>NOT(ISERROR(SEARCH("Einnahmen",K142)))</formula>
    </cfRule>
    <cfRule type="containsText" dxfId="5505" priority="1092" operator="containsText" text="Ausgaben">
      <formula>NOT(ISERROR(SEARCH("Ausgaben",K142)))</formula>
    </cfRule>
  </conditionalFormatting>
  <conditionalFormatting sqref="K143">
    <cfRule type="containsText" dxfId="5504" priority="1089" operator="containsText" text="Einnahmen">
      <formula>NOT(ISERROR(SEARCH("Einnahmen",K143)))</formula>
    </cfRule>
    <cfRule type="containsText" dxfId="5503" priority="1090" operator="containsText" text="Ausgaben">
      <formula>NOT(ISERROR(SEARCH("Ausgaben",K143)))</formula>
    </cfRule>
  </conditionalFormatting>
  <conditionalFormatting sqref="K144">
    <cfRule type="containsText" dxfId="5502" priority="1087" operator="containsText" text="Einnahmen">
      <formula>NOT(ISERROR(SEARCH("Einnahmen",K144)))</formula>
    </cfRule>
    <cfRule type="containsText" dxfId="5501" priority="1088" operator="containsText" text="Ausgaben">
      <formula>NOT(ISERROR(SEARCH("Ausgaben",K144)))</formula>
    </cfRule>
  </conditionalFormatting>
  <conditionalFormatting sqref="K145">
    <cfRule type="containsText" dxfId="5500" priority="1085" operator="containsText" text="Einnahmen">
      <formula>NOT(ISERROR(SEARCH("Einnahmen",K145)))</formula>
    </cfRule>
    <cfRule type="containsText" dxfId="5499" priority="1086" operator="containsText" text="Ausgaben">
      <formula>NOT(ISERROR(SEARCH("Ausgaben",K145)))</formula>
    </cfRule>
  </conditionalFormatting>
  <conditionalFormatting sqref="K145">
    <cfRule type="containsText" dxfId="5498" priority="1083" operator="containsText" text="Einnahmen">
      <formula>NOT(ISERROR(SEARCH("Einnahmen",K145)))</formula>
    </cfRule>
    <cfRule type="containsText" dxfId="5497" priority="1084" operator="containsText" text="Ausgaben">
      <formula>NOT(ISERROR(SEARCH("Ausgaben",K145)))</formula>
    </cfRule>
  </conditionalFormatting>
  <conditionalFormatting sqref="K145">
    <cfRule type="containsText" dxfId="5496" priority="1081" operator="containsText" text="Einnahmen">
      <formula>NOT(ISERROR(SEARCH("Einnahmen",K145)))</formula>
    </cfRule>
    <cfRule type="containsText" dxfId="5495" priority="1082" operator="containsText" text="Ausgaben">
      <formula>NOT(ISERROR(SEARCH("Ausgaben",K145)))</formula>
    </cfRule>
  </conditionalFormatting>
  <conditionalFormatting sqref="K146">
    <cfRule type="containsText" dxfId="5494" priority="1079" operator="containsText" text="Einnahmen">
      <formula>NOT(ISERROR(SEARCH("Einnahmen",K146)))</formula>
    </cfRule>
    <cfRule type="containsText" dxfId="5493" priority="1080" operator="containsText" text="Ausgaben">
      <formula>NOT(ISERROR(SEARCH("Ausgaben",K146)))</formula>
    </cfRule>
  </conditionalFormatting>
  <conditionalFormatting sqref="K146">
    <cfRule type="containsText" dxfId="5492" priority="1077" operator="containsText" text="Einnahmen">
      <formula>NOT(ISERROR(SEARCH("Einnahmen",K146)))</formula>
    </cfRule>
    <cfRule type="containsText" dxfId="5491" priority="1078" operator="containsText" text="Ausgaben">
      <formula>NOT(ISERROR(SEARCH("Ausgaben",K146)))</formula>
    </cfRule>
  </conditionalFormatting>
  <conditionalFormatting sqref="K147">
    <cfRule type="containsText" dxfId="5490" priority="1075" operator="containsText" text="Einnahmen">
      <formula>NOT(ISERROR(SEARCH("Einnahmen",K147)))</formula>
    </cfRule>
    <cfRule type="containsText" dxfId="5489" priority="1076" operator="containsText" text="Ausgaben">
      <formula>NOT(ISERROR(SEARCH("Ausgaben",K147)))</formula>
    </cfRule>
  </conditionalFormatting>
  <conditionalFormatting sqref="K148">
    <cfRule type="containsText" dxfId="5488" priority="1073" operator="containsText" text="Einnahmen">
      <formula>NOT(ISERROR(SEARCH("Einnahmen",K148)))</formula>
    </cfRule>
    <cfRule type="containsText" dxfId="5487" priority="1074" operator="containsText" text="Ausgaben">
      <formula>NOT(ISERROR(SEARCH("Ausgaben",K148)))</formula>
    </cfRule>
  </conditionalFormatting>
  <conditionalFormatting sqref="K148">
    <cfRule type="containsText" dxfId="5486" priority="1071" operator="containsText" text="Einnahmen">
      <formula>NOT(ISERROR(SEARCH("Einnahmen",K148)))</formula>
    </cfRule>
    <cfRule type="containsText" dxfId="5485" priority="1072" operator="containsText" text="Ausgaben">
      <formula>NOT(ISERROR(SEARCH("Ausgaben",K148)))</formula>
    </cfRule>
  </conditionalFormatting>
  <conditionalFormatting sqref="K149">
    <cfRule type="containsText" dxfId="5484" priority="1069" operator="containsText" text="Einnahmen">
      <formula>NOT(ISERROR(SEARCH("Einnahmen",K149)))</formula>
    </cfRule>
    <cfRule type="containsText" dxfId="5483" priority="1070" operator="containsText" text="Ausgaben">
      <formula>NOT(ISERROR(SEARCH("Ausgaben",K149)))</formula>
    </cfRule>
  </conditionalFormatting>
  <conditionalFormatting sqref="K149">
    <cfRule type="containsText" dxfId="5482" priority="1067" operator="containsText" text="Einnahmen">
      <formula>NOT(ISERROR(SEARCH("Einnahmen",K149)))</formula>
    </cfRule>
    <cfRule type="containsText" dxfId="5481" priority="1068" operator="containsText" text="Ausgaben">
      <formula>NOT(ISERROR(SEARCH("Ausgaben",K149)))</formula>
    </cfRule>
  </conditionalFormatting>
  <conditionalFormatting sqref="K150">
    <cfRule type="containsText" dxfId="5480" priority="1065" operator="containsText" text="Einnahmen">
      <formula>NOT(ISERROR(SEARCH("Einnahmen",K150)))</formula>
    </cfRule>
    <cfRule type="containsText" dxfId="5479" priority="1066" operator="containsText" text="Ausgaben">
      <formula>NOT(ISERROR(SEARCH("Ausgaben",K150)))</formula>
    </cfRule>
  </conditionalFormatting>
  <conditionalFormatting sqref="K151">
    <cfRule type="containsText" dxfId="5478" priority="1063" operator="containsText" text="Einnahmen">
      <formula>NOT(ISERROR(SEARCH("Einnahmen",K151)))</formula>
    </cfRule>
    <cfRule type="containsText" dxfId="5477" priority="1064" operator="containsText" text="Ausgaben">
      <formula>NOT(ISERROR(SEARCH("Ausgaben",K151)))</formula>
    </cfRule>
  </conditionalFormatting>
  <conditionalFormatting sqref="K152">
    <cfRule type="containsText" dxfId="5476" priority="1061" operator="containsText" text="Einnahmen">
      <formula>NOT(ISERROR(SEARCH("Einnahmen",K152)))</formula>
    </cfRule>
    <cfRule type="containsText" dxfId="5475" priority="1062" operator="containsText" text="Ausgaben">
      <formula>NOT(ISERROR(SEARCH("Ausgaben",K152)))</formula>
    </cfRule>
  </conditionalFormatting>
  <conditionalFormatting sqref="K153">
    <cfRule type="containsText" dxfId="5474" priority="1059" operator="containsText" text="Einnahmen">
      <formula>NOT(ISERROR(SEARCH("Einnahmen",K153)))</formula>
    </cfRule>
    <cfRule type="containsText" dxfId="5473" priority="1060" operator="containsText" text="Ausgaben">
      <formula>NOT(ISERROR(SEARCH("Ausgaben",K153)))</formula>
    </cfRule>
  </conditionalFormatting>
  <conditionalFormatting sqref="K154">
    <cfRule type="containsText" dxfId="5472" priority="1057" operator="containsText" text="Einnahmen">
      <formula>NOT(ISERROR(SEARCH("Einnahmen",K154)))</formula>
    </cfRule>
    <cfRule type="containsText" dxfId="5471" priority="1058" operator="containsText" text="Ausgaben">
      <formula>NOT(ISERROR(SEARCH("Ausgaben",K154)))</formula>
    </cfRule>
  </conditionalFormatting>
  <conditionalFormatting sqref="K155">
    <cfRule type="containsText" dxfId="5470" priority="1055" operator="containsText" text="Einnahmen">
      <formula>NOT(ISERROR(SEARCH("Einnahmen",K155)))</formula>
    </cfRule>
    <cfRule type="containsText" dxfId="5469" priority="1056" operator="containsText" text="Ausgaben">
      <formula>NOT(ISERROR(SEARCH("Ausgaben",K155)))</formula>
    </cfRule>
  </conditionalFormatting>
  <conditionalFormatting sqref="K156">
    <cfRule type="containsText" dxfId="5468" priority="1053" operator="containsText" text="Einnahmen">
      <formula>NOT(ISERROR(SEARCH("Einnahmen",K156)))</formula>
    </cfRule>
    <cfRule type="containsText" dxfId="5467" priority="1054" operator="containsText" text="Ausgaben">
      <formula>NOT(ISERROR(SEARCH("Ausgaben",K156)))</formula>
    </cfRule>
  </conditionalFormatting>
  <conditionalFormatting sqref="K156">
    <cfRule type="containsText" dxfId="5466" priority="1051" operator="containsText" text="Einnahmen">
      <formula>NOT(ISERROR(SEARCH("Einnahmen",K156)))</formula>
    </cfRule>
    <cfRule type="containsText" dxfId="5465" priority="1052" operator="containsText" text="Ausgaben">
      <formula>NOT(ISERROR(SEARCH("Ausgaben",K156)))</formula>
    </cfRule>
  </conditionalFormatting>
  <conditionalFormatting sqref="K157">
    <cfRule type="containsText" dxfId="5464" priority="1049" operator="containsText" text="Einnahmen">
      <formula>NOT(ISERROR(SEARCH("Einnahmen",K157)))</formula>
    </cfRule>
    <cfRule type="containsText" dxfId="5463" priority="1050" operator="containsText" text="Ausgaben">
      <formula>NOT(ISERROR(SEARCH("Ausgaben",K157)))</formula>
    </cfRule>
  </conditionalFormatting>
  <conditionalFormatting sqref="K158">
    <cfRule type="containsText" dxfId="5462" priority="1047" operator="containsText" text="Einnahmen">
      <formula>NOT(ISERROR(SEARCH("Einnahmen",K158)))</formula>
    </cfRule>
    <cfRule type="containsText" dxfId="5461" priority="1048" operator="containsText" text="Ausgaben">
      <formula>NOT(ISERROR(SEARCH("Ausgaben",K158)))</formula>
    </cfRule>
  </conditionalFormatting>
  <conditionalFormatting sqref="K158">
    <cfRule type="containsText" dxfId="5460" priority="1045" operator="containsText" text="Einnahmen">
      <formula>NOT(ISERROR(SEARCH("Einnahmen",K158)))</formula>
    </cfRule>
    <cfRule type="containsText" dxfId="5459" priority="1046" operator="containsText" text="Ausgaben">
      <formula>NOT(ISERROR(SEARCH("Ausgaben",K158)))</formula>
    </cfRule>
  </conditionalFormatting>
  <conditionalFormatting sqref="K158">
    <cfRule type="containsText" dxfId="5458" priority="1043" operator="containsText" text="Einnahmen">
      <formula>NOT(ISERROR(SEARCH("Einnahmen",K158)))</formula>
    </cfRule>
    <cfRule type="containsText" dxfId="5457" priority="1044" operator="containsText" text="Ausgaben">
      <formula>NOT(ISERROR(SEARCH("Ausgaben",K158)))</formula>
    </cfRule>
  </conditionalFormatting>
  <conditionalFormatting sqref="K159">
    <cfRule type="containsText" dxfId="5456" priority="1041" operator="containsText" text="Einnahmen">
      <formula>NOT(ISERROR(SEARCH("Einnahmen",K159)))</formula>
    </cfRule>
    <cfRule type="containsText" dxfId="5455" priority="1042" operator="containsText" text="Ausgaben">
      <formula>NOT(ISERROR(SEARCH("Ausgaben",K159)))</formula>
    </cfRule>
  </conditionalFormatting>
  <conditionalFormatting sqref="K160">
    <cfRule type="containsText" dxfId="5454" priority="1039" operator="containsText" text="Einnahmen">
      <formula>NOT(ISERROR(SEARCH("Einnahmen",K160)))</formula>
    </cfRule>
    <cfRule type="containsText" dxfId="5453" priority="1040" operator="containsText" text="Ausgaben">
      <formula>NOT(ISERROR(SEARCH("Ausgaben",K160)))</formula>
    </cfRule>
  </conditionalFormatting>
  <conditionalFormatting sqref="K160">
    <cfRule type="containsText" dxfId="5452" priority="1037" operator="containsText" text="Einnahmen">
      <formula>NOT(ISERROR(SEARCH("Einnahmen",K160)))</formula>
    </cfRule>
    <cfRule type="containsText" dxfId="5451" priority="1038" operator="containsText" text="Ausgaben">
      <formula>NOT(ISERROR(SEARCH("Ausgaben",K160)))</formula>
    </cfRule>
  </conditionalFormatting>
  <conditionalFormatting sqref="K161">
    <cfRule type="containsText" dxfId="5450" priority="1035" operator="containsText" text="Einnahmen">
      <formula>NOT(ISERROR(SEARCH("Einnahmen",K161)))</formula>
    </cfRule>
    <cfRule type="containsText" dxfId="5449" priority="1036" operator="containsText" text="Ausgaben">
      <formula>NOT(ISERROR(SEARCH("Ausgaben",K161)))</formula>
    </cfRule>
  </conditionalFormatting>
  <conditionalFormatting sqref="K162">
    <cfRule type="containsText" dxfId="5448" priority="1033" operator="containsText" text="Einnahmen">
      <formula>NOT(ISERROR(SEARCH("Einnahmen",K162)))</formula>
    </cfRule>
    <cfRule type="containsText" dxfId="5447" priority="1034" operator="containsText" text="Ausgaben">
      <formula>NOT(ISERROR(SEARCH("Ausgaben",K162)))</formula>
    </cfRule>
  </conditionalFormatting>
  <conditionalFormatting sqref="K163">
    <cfRule type="containsText" dxfId="5446" priority="1031" operator="containsText" text="Einnahmen">
      <formula>NOT(ISERROR(SEARCH("Einnahmen",K163)))</formula>
    </cfRule>
    <cfRule type="containsText" dxfId="5445" priority="1032" operator="containsText" text="Ausgaben">
      <formula>NOT(ISERROR(SEARCH("Ausgaben",K163)))</formula>
    </cfRule>
  </conditionalFormatting>
  <conditionalFormatting sqref="K164">
    <cfRule type="containsText" dxfId="5444" priority="1029" operator="containsText" text="Einnahmen">
      <formula>NOT(ISERROR(SEARCH("Einnahmen",K164)))</formula>
    </cfRule>
    <cfRule type="containsText" dxfId="5443" priority="1030" operator="containsText" text="Ausgaben">
      <formula>NOT(ISERROR(SEARCH("Ausgaben",K164)))</formula>
    </cfRule>
  </conditionalFormatting>
  <conditionalFormatting sqref="K164">
    <cfRule type="containsText" dxfId="5442" priority="1027" operator="containsText" text="Einnahmen">
      <formula>NOT(ISERROR(SEARCH("Einnahmen",K164)))</formula>
    </cfRule>
    <cfRule type="containsText" dxfId="5441" priority="1028" operator="containsText" text="Ausgaben">
      <formula>NOT(ISERROR(SEARCH("Ausgaben",K164)))</formula>
    </cfRule>
  </conditionalFormatting>
  <conditionalFormatting sqref="K165">
    <cfRule type="containsText" dxfId="5440" priority="1025" operator="containsText" text="Einnahmen">
      <formula>NOT(ISERROR(SEARCH("Einnahmen",K165)))</formula>
    </cfRule>
    <cfRule type="containsText" dxfId="5439" priority="1026" operator="containsText" text="Ausgaben">
      <formula>NOT(ISERROR(SEARCH("Ausgaben",K165)))</formula>
    </cfRule>
  </conditionalFormatting>
  <conditionalFormatting sqref="K166">
    <cfRule type="containsText" dxfId="5438" priority="1023" operator="containsText" text="Einnahmen">
      <formula>NOT(ISERROR(SEARCH("Einnahmen",K166)))</formula>
    </cfRule>
    <cfRule type="containsText" dxfId="5437" priority="1024" operator="containsText" text="Ausgaben">
      <formula>NOT(ISERROR(SEARCH("Ausgaben",K166)))</formula>
    </cfRule>
  </conditionalFormatting>
  <conditionalFormatting sqref="K167">
    <cfRule type="containsText" dxfId="5436" priority="1021" operator="containsText" text="Einnahmen">
      <formula>NOT(ISERROR(SEARCH("Einnahmen",K167)))</formula>
    </cfRule>
    <cfRule type="containsText" dxfId="5435" priority="1022" operator="containsText" text="Ausgaben">
      <formula>NOT(ISERROR(SEARCH("Ausgaben",K167)))</formula>
    </cfRule>
  </conditionalFormatting>
  <conditionalFormatting sqref="K168:K169">
    <cfRule type="containsText" dxfId="5434" priority="1019" operator="containsText" text="Einnahmen">
      <formula>NOT(ISERROR(SEARCH("Einnahmen",K168)))</formula>
    </cfRule>
    <cfRule type="containsText" dxfId="5433" priority="1020" operator="containsText" text="Ausgaben">
      <formula>NOT(ISERROR(SEARCH("Ausgaben",K168)))</formula>
    </cfRule>
  </conditionalFormatting>
  <conditionalFormatting sqref="K169:K170">
    <cfRule type="containsText" dxfId="5432" priority="1017" operator="containsText" text="Einnahmen">
      <formula>NOT(ISERROR(SEARCH("Einnahmen",K169)))</formula>
    </cfRule>
    <cfRule type="containsText" dxfId="5431" priority="1018" operator="containsText" text="Ausgaben">
      <formula>NOT(ISERROR(SEARCH("Ausgaben",K169)))</formula>
    </cfRule>
  </conditionalFormatting>
  <conditionalFormatting sqref="K170:K171">
    <cfRule type="containsText" dxfId="5430" priority="1015" operator="containsText" text="Einnahmen">
      <formula>NOT(ISERROR(SEARCH("Einnahmen",K170)))</formula>
    </cfRule>
    <cfRule type="containsText" dxfId="5429" priority="1016" operator="containsText" text="Ausgaben">
      <formula>NOT(ISERROR(SEARCH("Ausgaben",K170)))</formula>
    </cfRule>
  </conditionalFormatting>
  <conditionalFormatting sqref="K170:K171">
    <cfRule type="containsText" dxfId="5428" priority="1013" operator="containsText" text="Einnahmen">
      <formula>NOT(ISERROR(SEARCH("Einnahmen",K170)))</formula>
    </cfRule>
    <cfRule type="containsText" dxfId="5427" priority="1014" operator="containsText" text="Ausgaben">
      <formula>NOT(ISERROR(SEARCH("Ausgaben",K170)))</formula>
    </cfRule>
  </conditionalFormatting>
  <conditionalFormatting sqref="K172">
    <cfRule type="containsText" dxfId="5426" priority="1011" operator="containsText" text="Einnahmen">
      <formula>NOT(ISERROR(SEARCH("Einnahmen",K172)))</formula>
    </cfRule>
    <cfRule type="containsText" dxfId="5425" priority="1012" operator="containsText" text="Ausgaben">
      <formula>NOT(ISERROR(SEARCH("Ausgaben",K172)))</formula>
    </cfRule>
  </conditionalFormatting>
  <conditionalFormatting sqref="K172">
    <cfRule type="containsText" dxfId="5424" priority="1009" operator="containsText" text="Einnahmen">
      <formula>NOT(ISERROR(SEARCH("Einnahmen",K172)))</formula>
    </cfRule>
    <cfRule type="containsText" dxfId="5423" priority="1010" operator="containsText" text="Ausgaben">
      <formula>NOT(ISERROR(SEARCH("Ausgaben",K172)))</formula>
    </cfRule>
  </conditionalFormatting>
  <conditionalFormatting sqref="K172">
    <cfRule type="containsText" dxfId="5422" priority="1007" operator="containsText" text="Einnahmen">
      <formula>NOT(ISERROR(SEARCH("Einnahmen",K172)))</formula>
    </cfRule>
    <cfRule type="containsText" dxfId="5421" priority="1008" operator="containsText" text="Ausgaben">
      <formula>NOT(ISERROR(SEARCH("Ausgaben",K172)))</formula>
    </cfRule>
  </conditionalFormatting>
  <conditionalFormatting sqref="K173:K175">
    <cfRule type="containsText" dxfId="5420" priority="1005" operator="containsText" text="Einnahmen">
      <formula>NOT(ISERROR(SEARCH("Einnahmen",K173)))</formula>
    </cfRule>
    <cfRule type="containsText" dxfId="5419" priority="1006" operator="containsText" text="Ausgaben">
      <formula>NOT(ISERROR(SEARCH("Ausgaben",K173)))</formula>
    </cfRule>
  </conditionalFormatting>
  <conditionalFormatting sqref="K173:K175">
    <cfRule type="containsText" dxfId="5418" priority="1003" operator="containsText" text="Einnahmen">
      <formula>NOT(ISERROR(SEARCH("Einnahmen",K173)))</formula>
    </cfRule>
    <cfRule type="containsText" dxfId="5417" priority="1004" operator="containsText" text="Ausgaben">
      <formula>NOT(ISERROR(SEARCH("Ausgaben",K173)))</formula>
    </cfRule>
  </conditionalFormatting>
  <conditionalFormatting sqref="K176">
    <cfRule type="containsText" dxfId="5416" priority="1001" operator="containsText" text="Einnahmen">
      <formula>NOT(ISERROR(SEARCH("Einnahmen",K176)))</formula>
    </cfRule>
    <cfRule type="containsText" dxfId="5415" priority="1002" operator="containsText" text="Ausgaben">
      <formula>NOT(ISERROR(SEARCH("Ausgaben",K176)))</formula>
    </cfRule>
  </conditionalFormatting>
  <conditionalFormatting sqref="K176">
    <cfRule type="containsText" dxfId="5414" priority="999" operator="containsText" text="Einnahmen">
      <formula>NOT(ISERROR(SEARCH("Einnahmen",K176)))</formula>
    </cfRule>
    <cfRule type="containsText" dxfId="5413" priority="1000" operator="containsText" text="Ausgaben">
      <formula>NOT(ISERROR(SEARCH("Ausgaben",K176)))</formula>
    </cfRule>
  </conditionalFormatting>
  <conditionalFormatting sqref="K177">
    <cfRule type="containsText" dxfId="5412" priority="997" operator="containsText" text="Einnahmen">
      <formula>NOT(ISERROR(SEARCH("Einnahmen",K177)))</formula>
    </cfRule>
    <cfRule type="containsText" dxfId="5411" priority="998" operator="containsText" text="Ausgaben">
      <formula>NOT(ISERROR(SEARCH("Ausgaben",K177)))</formula>
    </cfRule>
  </conditionalFormatting>
  <conditionalFormatting sqref="K177">
    <cfRule type="containsText" dxfId="5410" priority="995" operator="containsText" text="Einnahmen">
      <formula>NOT(ISERROR(SEARCH("Einnahmen",K177)))</formula>
    </cfRule>
    <cfRule type="containsText" dxfId="5409" priority="996" operator="containsText" text="Ausgaben">
      <formula>NOT(ISERROR(SEARCH("Ausgaben",K177)))</formula>
    </cfRule>
  </conditionalFormatting>
  <conditionalFormatting sqref="K178">
    <cfRule type="containsText" dxfId="5408" priority="993" operator="containsText" text="Einnahmen">
      <formula>NOT(ISERROR(SEARCH("Einnahmen",K178)))</formula>
    </cfRule>
    <cfRule type="containsText" dxfId="5407" priority="994" operator="containsText" text="Ausgaben">
      <formula>NOT(ISERROR(SEARCH("Ausgaben",K178)))</formula>
    </cfRule>
  </conditionalFormatting>
  <conditionalFormatting sqref="K179">
    <cfRule type="containsText" dxfId="5406" priority="991" operator="containsText" text="Einnahmen">
      <formula>NOT(ISERROR(SEARCH("Einnahmen",K179)))</formula>
    </cfRule>
    <cfRule type="containsText" dxfId="5405" priority="992" operator="containsText" text="Ausgaben">
      <formula>NOT(ISERROR(SEARCH("Ausgaben",K179)))</formula>
    </cfRule>
  </conditionalFormatting>
  <conditionalFormatting sqref="K180:K181">
    <cfRule type="containsText" dxfId="5404" priority="989" operator="containsText" text="Einnahmen">
      <formula>NOT(ISERROR(SEARCH("Einnahmen",K180)))</formula>
    </cfRule>
    <cfRule type="containsText" dxfId="5403" priority="990" operator="containsText" text="Ausgaben">
      <formula>NOT(ISERROR(SEARCH("Ausgaben",K180)))</formula>
    </cfRule>
  </conditionalFormatting>
  <conditionalFormatting sqref="K180:K181">
    <cfRule type="containsText" dxfId="5402" priority="987" operator="containsText" text="Einnahmen">
      <formula>NOT(ISERROR(SEARCH("Einnahmen",K180)))</formula>
    </cfRule>
    <cfRule type="containsText" dxfId="5401" priority="988" operator="containsText" text="Ausgaben">
      <formula>NOT(ISERROR(SEARCH("Ausgaben",K180)))</formula>
    </cfRule>
  </conditionalFormatting>
  <conditionalFormatting sqref="K183:K184">
    <cfRule type="containsText" dxfId="5400" priority="985" operator="containsText" text="Einnahmen">
      <formula>NOT(ISERROR(SEARCH("Einnahmen",K183)))</formula>
    </cfRule>
    <cfRule type="containsText" dxfId="5399" priority="986" operator="containsText" text="Ausgaben">
      <formula>NOT(ISERROR(SEARCH("Ausgaben",K183)))</formula>
    </cfRule>
  </conditionalFormatting>
  <conditionalFormatting sqref="K185">
    <cfRule type="containsText" dxfId="5398" priority="983" operator="containsText" text="Einnahmen">
      <formula>NOT(ISERROR(SEARCH("Einnahmen",K185)))</formula>
    </cfRule>
    <cfRule type="containsText" dxfId="5397" priority="984" operator="containsText" text="Ausgaben">
      <formula>NOT(ISERROR(SEARCH("Ausgaben",K185)))</formula>
    </cfRule>
  </conditionalFormatting>
  <conditionalFormatting sqref="K186">
    <cfRule type="containsText" dxfId="5396" priority="981" operator="containsText" text="Einnahmen">
      <formula>NOT(ISERROR(SEARCH("Einnahmen",K186)))</formula>
    </cfRule>
    <cfRule type="containsText" dxfId="5395" priority="982" operator="containsText" text="Ausgaben">
      <formula>NOT(ISERROR(SEARCH("Ausgaben",K186)))</formula>
    </cfRule>
  </conditionalFormatting>
  <conditionalFormatting sqref="K187:K188">
    <cfRule type="containsText" dxfId="5394" priority="979" operator="containsText" text="Einnahmen">
      <formula>NOT(ISERROR(SEARCH("Einnahmen",K187)))</formula>
    </cfRule>
    <cfRule type="containsText" dxfId="5393" priority="980" operator="containsText" text="Ausgaben">
      <formula>NOT(ISERROR(SEARCH("Ausgaben",K187)))</formula>
    </cfRule>
  </conditionalFormatting>
  <conditionalFormatting sqref="K187:K188">
    <cfRule type="containsText" dxfId="5392" priority="977" operator="containsText" text="Einnahmen">
      <formula>NOT(ISERROR(SEARCH("Einnahmen",K187)))</formula>
    </cfRule>
    <cfRule type="containsText" dxfId="5391" priority="978" operator="containsText" text="Ausgaben">
      <formula>NOT(ISERROR(SEARCH("Ausgaben",K187)))</formula>
    </cfRule>
  </conditionalFormatting>
  <conditionalFormatting sqref="K189">
    <cfRule type="containsText" dxfId="5390" priority="975" operator="containsText" text="Einnahmen">
      <formula>NOT(ISERROR(SEARCH("Einnahmen",K189)))</formula>
    </cfRule>
    <cfRule type="containsText" dxfId="5389" priority="976" operator="containsText" text="Ausgaben">
      <formula>NOT(ISERROR(SEARCH("Ausgaben",K189)))</formula>
    </cfRule>
  </conditionalFormatting>
  <conditionalFormatting sqref="K189">
    <cfRule type="containsText" dxfId="5388" priority="973" operator="containsText" text="Einnahmen">
      <formula>NOT(ISERROR(SEARCH("Einnahmen",K189)))</formula>
    </cfRule>
    <cfRule type="containsText" dxfId="5387" priority="974" operator="containsText" text="Ausgaben">
      <formula>NOT(ISERROR(SEARCH("Ausgaben",K189)))</formula>
    </cfRule>
  </conditionalFormatting>
  <conditionalFormatting sqref="K190">
    <cfRule type="containsText" dxfId="5386" priority="971" operator="containsText" text="Einnahmen">
      <formula>NOT(ISERROR(SEARCH("Einnahmen",K190)))</formula>
    </cfRule>
    <cfRule type="containsText" dxfId="5385" priority="972" operator="containsText" text="Ausgaben">
      <formula>NOT(ISERROR(SEARCH("Ausgaben",K190)))</formula>
    </cfRule>
  </conditionalFormatting>
  <conditionalFormatting sqref="K191">
    <cfRule type="containsText" dxfId="5384" priority="969" operator="containsText" text="Einnahmen">
      <formula>NOT(ISERROR(SEARCH("Einnahmen",K191)))</formula>
    </cfRule>
    <cfRule type="containsText" dxfId="5383" priority="970" operator="containsText" text="Ausgaben">
      <formula>NOT(ISERROR(SEARCH("Ausgaben",K191)))</formula>
    </cfRule>
  </conditionalFormatting>
  <conditionalFormatting sqref="K191">
    <cfRule type="containsText" dxfId="5382" priority="967" operator="containsText" text="Einnahmen">
      <formula>NOT(ISERROR(SEARCH("Einnahmen",K191)))</formula>
    </cfRule>
    <cfRule type="containsText" dxfId="5381" priority="968" operator="containsText" text="Ausgaben">
      <formula>NOT(ISERROR(SEARCH("Ausgaben",K191)))</formula>
    </cfRule>
  </conditionalFormatting>
  <conditionalFormatting sqref="K192">
    <cfRule type="containsText" dxfId="5380" priority="965" operator="containsText" text="Einnahmen">
      <formula>NOT(ISERROR(SEARCH("Einnahmen",K192)))</formula>
    </cfRule>
    <cfRule type="containsText" dxfId="5379" priority="966" operator="containsText" text="Ausgaben">
      <formula>NOT(ISERROR(SEARCH("Ausgaben",K192)))</formula>
    </cfRule>
  </conditionalFormatting>
  <conditionalFormatting sqref="K192">
    <cfRule type="containsText" dxfId="5378" priority="963" operator="containsText" text="Einnahmen">
      <formula>NOT(ISERROR(SEARCH("Einnahmen",K192)))</formula>
    </cfRule>
    <cfRule type="containsText" dxfId="5377" priority="964" operator="containsText" text="Ausgaben">
      <formula>NOT(ISERROR(SEARCH("Ausgaben",K192)))</formula>
    </cfRule>
  </conditionalFormatting>
  <conditionalFormatting sqref="K192">
    <cfRule type="containsText" dxfId="5376" priority="961" operator="containsText" text="Einnahmen">
      <formula>NOT(ISERROR(SEARCH("Einnahmen",K192)))</formula>
    </cfRule>
    <cfRule type="containsText" dxfId="5375" priority="962" operator="containsText" text="Ausgaben">
      <formula>NOT(ISERROR(SEARCH("Ausgaben",K192)))</formula>
    </cfRule>
  </conditionalFormatting>
  <conditionalFormatting sqref="K193">
    <cfRule type="containsText" dxfId="5374" priority="959" operator="containsText" text="Einnahmen">
      <formula>NOT(ISERROR(SEARCH("Einnahmen",K193)))</formula>
    </cfRule>
    <cfRule type="containsText" dxfId="5373" priority="960" operator="containsText" text="Ausgaben">
      <formula>NOT(ISERROR(SEARCH("Ausgaben",K193)))</formula>
    </cfRule>
  </conditionalFormatting>
  <conditionalFormatting sqref="K193">
    <cfRule type="containsText" dxfId="5372" priority="957" operator="containsText" text="Einnahmen">
      <formula>NOT(ISERROR(SEARCH("Einnahmen",K193)))</formula>
    </cfRule>
    <cfRule type="containsText" dxfId="5371" priority="958" operator="containsText" text="Ausgaben">
      <formula>NOT(ISERROR(SEARCH("Ausgaben",K193)))</formula>
    </cfRule>
  </conditionalFormatting>
  <conditionalFormatting sqref="K194">
    <cfRule type="containsText" dxfId="5370" priority="955" operator="containsText" text="Einnahmen">
      <formula>NOT(ISERROR(SEARCH("Einnahmen",K194)))</formula>
    </cfRule>
    <cfRule type="containsText" dxfId="5369" priority="956" operator="containsText" text="Ausgaben">
      <formula>NOT(ISERROR(SEARCH("Ausgaben",K194)))</formula>
    </cfRule>
  </conditionalFormatting>
  <conditionalFormatting sqref="K194">
    <cfRule type="containsText" dxfId="5368" priority="953" operator="containsText" text="Einnahmen">
      <formula>NOT(ISERROR(SEARCH("Einnahmen",K194)))</formula>
    </cfRule>
    <cfRule type="containsText" dxfId="5367" priority="954" operator="containsText" text="Ausgaben">
      <formula>NOT(ISERROR(SEARCH("Ausgaben",K194)))</formula>
    </cfRule>
  </conditionalFormatting>
  <conditionalFormatting sqref="K195">
    <cfRule type="containsText" dxfId="5366" priority="951" operator="containsText" text="Einnahmen">
      <formula>NOT(ISERROR(SEARCH("Einnahmen",K195)))</formula>
    </cfRule>
    <cfRule type="containsText" dxfId="5365" priority="952" operator="containsText" text="Ausgaben">
      <formula>NOT(ISERROR(SEARCH("Ausgaben",K195)))</formula>
    </cfRule>
  </conditionalFormatting>
  <conditionalFormatting sqref="K196">
    <cfRule type="containsText" dxfId="5364" priority="949" operator="containsText" text="Einnahmen">
      <formula>NOT(ISERROR(SEARCH("Einnahmen",K196)))</formula>
    </cfRule>
    <cfRule type="containsText" dxfId="5363" priority="950" operator="containsText" text="Ausgaben">
      <formula>NOT(ISERROR(SEARCH("Ausgaben",K196)))</formula>
    </cfRule>
  </conditionalFormatting>
  <conditionalFormatting sqref="K197">
    <cfRule type="containsText" dxfId="5362" priority="947" operator="containsText" text="Einnahmen">
      <formula>NOT(ISERROR(SEARCH("Einnahmen",K197)))</formula>
    </cfRule>
    <cfRule type="containsText" dxfId="5361" priority="948" operator="containsText" text="Ausgaben">
      <formula>NOT(ISERROR(SEARCH("Ausgaben",K197)))</formula>
    </cfRule>
  </conditionalFormatting>
  <conditionalFormatting sqref="K197">
    <cfRule type="containsText" dxfId="5360" priority="945" operator="containsText" text="Einnahmen">
      <formula>NOT(ISERROR(SEARCH("Einnahmen",K197)))</formula>
    </cfRule>
    <cfRule type="containsText" dxfId="5359" priority="946" operator="containsText" text="Ausgaben">
      <formula>NOT(ISERROR(SEARCH("Ausgaben",K197)))</formula>
    </cfRule>
  </conditionalFormatting>
  <conditionalFormatting sqref="K198">
    <cfRule type="containsText" dxfId="5358" priority="943" operator="containsText" text="Einnahmen">
      <formula>NOT(ISERROR(SEARCH("Einnahmen",K198)))</formula>
    </cfRule>
    <cfRule type="containsText" dxfId="5357" priority="944" operator="containsText" text="Ausgaben">
      <formula>NOT(ISERROR(SEARCH("Ausgaben",K198)))</formula>
    </cfRule>
  </conditionalFormatting>
  <conditionalFormatting sqref="K198">
    <cfRule type="containsText" dxfId="5356" priority="941" operator="containsText" text="Einnahmen">
      <formula>NOT(ISERROR(SEARCH("Einnahmen",K198)))</formula>
    </cfRule>
    <cfRule type="containsText" dxfId="5355" priority="942" operator="containsText" text="Ausgaben">
      <formula>NOT(ISERROR(SEARCH("Ausgaben",K198)))</formula>
    </cfRule>
  </conditionalFormatting>
  <conditionalFormatting sqref="K199">
    <cfRule type="containsText" dxfId="5354" priority="939" operator="containsText" text="Einnahmen">
      <formula>NOT(ISERROR(SEARCH("Einnahmen",K199)))</formula>
    </cfRule>
    <cfRule type="containsText" dxfId="5353" priority="940" operator="containsText" text="Ausgaben">
      <formula>NOT(ISERROR(SEARCH("Ausgaben",K199)))</formula>
    </cfRule>
  </conditionalFormatting>
  <conditionalFormatting sqref="K199">
    <cfRule type="containsText" dxfId="5352" priority="937" operator="containsText" text="Einnahmen">
      <formula>NOT(ISERROR(SEARCH("Einnahmen",K199)))</formula>
    </cfRule>
    <cfRule type="containsText" dxfId="5351" priority="938" operator="containsText" text="Ausgaben">
      <formula>NOT(ISERROR(SEARCH("Ausgaben",K199)))</formula>
    </cfRule>
  </conditionalFormatting>
  <conditionalFormatting sqref="K200">
    <cfRule type="containsText" dxfId="5350" priority="935" operator="containsText" text="Einnahmen">
      <formula>NOT(ISERROR(SEARCH("Einnahmen",K200)))</formula>
    </cfRule>
    <cfRule type="containsText" dxfId="5349" priority="936" operator="containsText" text="Ausgaben">
      <formula>NOT(ISERROR(SEARCH("Ausgaben",K200)))</formula>
    </cfRule>
  </conditionalFormatting>
  <conditionalFormatting sqref="K200">
    <cfRule type="containsText" dxfId="5348" priority="933" operator="containsText" text="Einnahmen">
      <formula>NOT(ISERROR(SEARCH("Einnahmen",K200)))</formula>
    </cfRule>
    <cfRule type="containsText" dxfId="5347" priority="934" operator="containsText" text="Ausgaben">
      <formula>NOT(ISERROR(SEARCH("Ausgaben",K200)))</formula>
    </cfRule>
  </conditionalFormatting>
  <conditionalFormatting sqref="AA109:AA110">
    <cfRule type="expression" dxfId="5346" priority="931">
      <formula>AND(AND($W109&lt;TODAY(),$W109&lt;&gt;""),$X109="")</formula>
    </cfRule>
  </conditionalFormatting>
  <conditionalFormatting sqref="Q10 Q13 Q15 Q17 Q19 Q25:Q28 Q34:Q35 Q37:Q39 Q49 Q52:Q56 Q59 Q61 Q66 Q73 Q75:Q76 Q81 Q85 Q88 Q92 Q98 Q100:Q101 Q105:Q106 Q109:Q110 Q123:Q124 Q126 Q135 Q137:Q138 Q140:Q141 Q150:Q151 Q161:Q162 Q165:Q166 Q171 Q173:Q175 Q178:Q184 Q188:Q191 Q193 Q195:Q197 Q200">
    <cfRule type="cellIs" dxfId="5345" priority="930" operator="equal">
      <formula>"ja"</formula>
    </cfRule>
  </conditionalFormatting>
  <conditionalFormatting sqref="AG126 AG138 AG55 AG17 AG59 AG141 AG171 AG182 AG190:AG191">
    <cfRule type="dataBar" priority="929">
      <dataBar>
        <cfvo type="min"/>
        <cfvo type="max"/>
        <color rgb="FF63C384"/>
      </dataBar>
      <extLst>
        <ext xmlns:x14="http://schemas.microsoft.com/office/spreadsheetml/2009/9/main" uri="{B025F937-C7B1-47D3-B67F-A62EFF666E3E}">
          <x14:id>{5BC113D2-5AF3-4017-9D4D-CE33B2F20C30}</x14:id>
        </ext>
      </extLst>
    </cfRule>
  </conditionalFormatting>
  <conditionalFormatting sqref="AG126 AG138 AG55 AG17 AG59 AG141 AG171 AG182 AG190:AG191">
    <cfRule type="dataBar" priority="928">
      <dataBar>
        <cfvo type="min"/>
        <cfvo type="max"/>
        <color rgb="FF63C384"/>
      </dataBar>
      <extLst>
        <ext xmlns:x14="http://schemas.microsoft.com/office/spreadsheetml/2009/9/main" uri="{B025F937-C7B1-47D3-B67F-A62EFF666E3E}">
          <x14:id>{CAE03208-14A7-4D61-B647-D491437B1206}</x14:id>
        </ext>
      </extLst>
    </cfRule>
  </conditionalFormatting>
  <conditionalFormatting sqref="AA2:AA57">
    <cfRule type="expression" dxfId="5344" priority="927">
      <formula>AND(AND($W2&lt;TODAY(),$W2&lt;&gt;""),$X2="")</formula>
    </cfRule>
  </conditionalFormatting>
  <conditionalFormatting sqref="Q2">
    <cfRule type="cellIs" dxfId="5343" priority="926" operator="equal">
      <formula>"ja"</formula>
    </cfRule>
  </conditionalFormatting>
  <conditionalFormatting sqref="AG2">
    <cfRule type="dataBar" priority="925">
      <dataBar>
        <cfvo type="min"/>
        <cfvo type="max"/>
        <color rgb="FF63C384"/>
      </dataBar>
      <extLst>
        <ext xmlns:x14="http://schemas.microsoft.com/office/spreadsheetml/2009/9/main" uri="{B025F937-C7B1-47D3-B67F-A62EFF666E3E}">
          <x14:id>{D4D046B2-5706-49E4-B2FD-F99D6D23AD2F}</x14:id>
        </ext>
      </extLst>
    </cfRule>
  </conditionalFormatting>
  <conditionalFormatting sqref="AG2">
    <cfRule type="dataBar" priority="924">
      <dataBar>
        <cfvo type="min"/>
        <cfvo type="max"/>
        <color rgb="FF63C384"/>
      </dataBar>
      <extLst>
        <ext xmlns:x14="http://schemas.microsoft.com/office/spreadsheetml/2009/9/main" uri="{B025F937-C7B1-47D3-B67F-A62EFF666E3E}">
          <x14:id>{FB00BEE4-1021-45FE-B679-68C9016248C7}</x14:id>
        </ext>
      </extLst>
    </cfRule>
  </conditionalFormatting>
  <conditionalFormatting sqref="Q2">
    <cfRule type="cellIs" dxfId="5342" priority="923" operator="equal">
      <formula>"ja"</formula>
    </cfRule>
  </conditionalFormatting>
  <conditionalFormatting sqref="AG2">
    <cfRule type="dataBar" priority="922">
      <dataBar>
        <cfvo type="min"/>
        <cfvo type="max"/>
        <color rgb="FF63C384"/>
      </dataBar>
      <extLst>
        <ext xmlns:x14="http://schemas.microsoft.com/office/spreadsheetml/2009/9/main" uri="{B025F937-C7B1-47D3-B67F-A62EFF666E3E}">
          <x14:id>{70C095F3-8315-4D98-8507-6AE616C2CFEB}</x14:id>
        </ext>
      </extLst>
    </cfRule>
  </conditionalFormatting>
  <conditionalFormatting sqref="AG2">
    <cfRule type="dataBar" priority="921">
      <dataBar>
        <cfvo type="min"/>
        <cfvo type="max"/>
        <color rgb="FF63C384"/>
      </dataBar>
      <extLst>
        <ext xmlns:x14="http://schemas.microsoft.com/office/spreadsheetml/2009/9/main" uri="{B025F937-C7B1-47D3-B67F-A62EFF666E3E}">
          <x14:id>{592FF216-17B2-4F73-9CC2-B4066FCF971D}</x14:id>
        </ext>
      </extLst>
    </cfRule>
  </conditionalFormatting>
  <conditionalFormatting sqref="Q3">
    <cfRule type="cellIs" dxfId="5341" priority="920" operator="equal">
      <formula>"ja"</formula>
    </cfRule>
  </conditionalFormatting>
  <conditionalFormatting sqref="AG3">
    <cfRule type="dataBar" priority="919">
      <dataBar>
        <cfvo type="min"/>
        <cfvo type="max"/>
        <color rgb="FF63C384"/>
      </dataBar>
      <extLst>
        <ext xmlns:x14="http://schemas.microsoft.com/office/spreadsheetml/2009/9/main" uri="{B025F937-C7B1-47D3-B67F-A62EFF666E3E}">
          <x14:id>{2A284FCA-8F8B-4BAD-BFFB-3AB6684A6060}</x14:id>
        </ext>
      </extLst>
    </cfRule>
  </conditionalFormatting>
  <conditionalFormatting sqref="AG3">
    <cfRule type="dataBar" priority="918">
      <dataBar>
        <cfvo type="min"/>
        <cfvo type="max"/>
        <color rgb="FF63C384"/>
      </dataBar>
      <extLst>
        <ext xmlns:x14="http://schemas.microsoft.com/office/spreadsheetml/2009/9/main" uri="{B025F937-C7B1-47D3-B67F-A62EFF666E3E}">
          <x14:id>{1500B1D6-8D4A-404B-B699-B32094C4C6B2}</x14:id>
        </ext>
      </extLst>
    </cfRule>
  </conditionalFormatting>
  <conditionalFormatting sqref="Q4">
    <cfRule type="cellIs" dxfId="5340" priority="917" operator="equal">
      <formula>"ja"</formula>
    </cfRule>
  </conditionalFormatting>
  <conditionalFormatting sqref="AG4">
    <cfRule type="dataBar" priority="916">
      <dataBar>
        <cfvo type="min"/>
        <cfvo type="max"/>
        <color rgb="FF63C384"/>
      </dataBar>
      <extLst>
        <ext xmlns:x14="http://schemas.microsoft.com/office/spreadsheetml/2009/9/main" uri="{B025F937-C7B1-47D3-B67F-A62EFF666E3E}">
          <x14:id>{CA2FEF34-A099-478F-B99C-D4873FAE08B6}</x14:id>
        </ext>
      </extLst>
    </cfRule>
  </conditionalFormatting>
  <conditionalFormatting sqref="AG4">
    <cfRule type="dataBar" priority="915">
      <dataBar>
        <cfvo type="min"/>
        <cfvo type="max"/>
        <color rgb="FF63C384"/>
      </dataBar>
      <extLst>
        <ext xmlns:x14="http://schemas.microsoft.com/office/spreadsheetml/2009/9/main" uri="{B025F937-C7B1-47D3-B67F-A62EFF666E3E}">
          <x14:id>{EAD390D5-26E3-4F98-8F87-F04A38E5B0E7}</x14:id>
        </ext>
      </extLst>
    </cfRule>
  </conditionalFormatting>
  <conditionalFormatting sqref="AG5">
    <cfRule type="dataBar" priority="914">
      <dataBar>
        <cfvo type="min"/>
        <cfvo type="max"/>
        <color rgb="FF63C384"/>
      </dataBar>
      <extLst>
        <ext xmlns:x14="http://schemas.microsoft.com/office/spreadsheetml/2009/9/main" uri="{B025F937-C7B1-47D3-B67F-A62EFF666E3E}">
          <x14:id>{F15BBCA2-D103-423B-8FDF-48CE7EF26E23}</x14:id>
        </ext>
      </extLst>
    </cfRule>
  </conditionalFormatting>
  <conditionalFormatting sqref="AG5">
    <cfRule type="dataBar" priority="913">
      <dataBar>
        <cfvo type="min"/>
        <cfvo type="max"/>
        <color rgb="FF63C384"/>
      </dataBar>
      <extLst>
        <ext xmlns:x14="http://schemas.microsoft.com/office/spreadsheetml/2009/9/main" uri="{B025F937-C7B1-47D3-B67F-A62EFF666E3E}">
          <x14:id>{DA6BFA95-E7C0-492F-BEFB-A006156DD6E5}</x14:id>
        </ext>
      </extLst>
    </cfRule>
  </conditionalFormatting>
  <conditionalFormatting sqref="Q5">
    <cfRule type="cellIs" dxfId="5339" priority="912" operator="equal">
      <formula>"ja"</formula>
    </cfRule>
  </conditionalFormatting>
  <conditionalFormatting sqref="Q6">
    <cfRule type="cellIs" dxfId="5338" priority="911" operator="equal">
      <formula>"ja"</formula>
    </cfRule>
  </conditionalFormatting>
  <conditionalFormatting sqref="AG6">
    <cfRule type="dataBar" priority="910">
      <dataBar>
        <cfvo type="min"/>
        <cfvo type="max"/>
        <color rgb="FF63C384"/>
      </dataBar>
      <extLst>
        <ext xmlns:x14="http://schemas.microsoft.com/office/spreadsheetml/2009/9/main" uri="{B025F937-C7B1-47D3-B67F-A62EFF666E3E}">
          <x14:id>{3957B211-8E3D-45A8-BF7E-7BECD44F502A}</x14:id>
        </ext>
      </extLst>
    </cfRule>
  </conditionalFormatting>
  <conditionalFormatting sqref="AG6">
    <cfRule type="dataBar" priority="909">
      <dataBar>
        <cfvo type="min"/>
        <cfvo type="max"/>
        <color rgb="FF63C384"/>
      </dataBar>
      <extLst>
        <ext xmlns:x14="http://schemas.microsoft.com/office/spreadsheetml/2009/9/main" uri="{B025F937-C7B1-47D3-B67F-A62EFF666E3E}">
          <x14:id>{06464A34-0226-4E67-A9B5-635CD318C42C}</x14:id>
        </ext>
      </extLst>
    </cfRule>
  </conditionalFormatting>
  <conditionalFormatting sqref="Q6">
    <cfRule type="cellIs" dxfId="5337" priority="908" operator="equal">
      <formula>"ja"</formula>
    </cfRule>
  </conditionalFormatting>
  <conditionalFormatting sqref="AG6">
    <cfRule type="dataBar" priority="907">
      <dataBar>
        <cfvo type="min"/>
        <cfvo type="max"/>
        <color rgb="FF63C384"/>
      </dataBar>
      <extLst>
        <ext xmlns:x14="http://schemas.microsoft.com/office/spreadsheetml/2009/9/main" uri="{B025F937-C7B1-47D3-B67F-A62EFF666E3E}">
          <x14:id>{D2359C07-C223-4EDE-92BF-8E1654D29453}</x14:id>
        </ext>
      </extLst>
    </cfRule>
  </conditionalFormatting>
  <conditionalFormatting sqref="AG6">
    <cfRule type="dataBar" priority="906">
      <dataBar>
        <cfvo type="min"/>
        <cfvo type="max"/>
        <color rgb="FF63C384"/>
      </dataBar>
      <extLst>
        <ext xmlns:x14="http://schemas.microsoft.com/office/spreadsheetml/2009/9/main" uri="{B025F937-C7B1-47D3-B67F-A62EFF666E3E}">
          <x14:id>{6E8C686E-99AC-474F-A9B2-36FAA9DA9A2E}</x14:id>
        </ext>
      </extLst>
    </cfRule>
  </conditionalFormatting>
  <conditionalFormatting sqref="Q7">
    <cfRule type="cellIs" dxfId="5336" priority="905" operator="equal">
      <formula>"ja"</formula>
    </cfRule>
  </conditionalFormatting>
  <conditionalFormatting sqref="Q7">
    <cfRule type="cellIs" dxfId="5335" priority="896" operator="equal">
      <formula>"ja"</formula>
    </cfRule>
  </conditionalFormatting>
  <conditionalFormatting sqref="AG7">
    <cfRule type="dataBar" priority="904">
      <dataBar>
        <cfvo type="min"/>
        <cfvo type="max"/>
        <color rgb="FF63C384"/>
      </dataBar>
      <extLst>
        <ext xmlns:x14="http://schemas.microsoft.com/office/spreadsheetml/2009/9/main" uri="{B025F937-C7B1-47D3-B67F-A62EFF666E3E}">
          <x14:id>{01EAB9B0-F937-452C-8603-8C072769E0A2}</x14:id>
        </ext>
      </extLst>
    </cfRule>
  </conditionalFormatting>
  <conditionalFormatting sqref="AG7">
    <cfRule type="dataBar" priority="903">
      <dataBar>
        <cfvo type="min"/>
        <cfvo type="max"/>
        <color rgb="FF63C384"/>
      </dataBar>
      <extLst>
        <ext xmlns:x14="http://schemas.microsoft.com/office/spreadsheetml/2009/9/main" uri="{B025F937-C7B1-47D3-B67F-A62EFF666E3E}">
          <x14:id>{260C35E4-638C-48D3-95BB-8F8EF841458C}</x14:id>
        </ext>
      </extLst>
    </cfRule>
  </conditionalFormatting>
  <conditionalFormatting sqref="Q7">
    <cfRule type="cellIs" dxfId="5334" priority="902" operator="equal">
      <formula>"ja"</formula>
    </cfRule>
  </conditionalFormatting>
  <conditionalFormatting sqref="AG7">
    <cfRule type="dataBar" priority="901">
      <dataBar>
        <cfvo type="min"/>
        <cfvo type="max"/>
        <color rgb="FF63C384"/>
      </dataBar>
      <extLst>
        <ext xmlns:x14="http://schemas.microsoft.com/office/spreadsheetml/2009/9/main" uri="{B025F937-C7B1-47D3-B67F-A62EFF666E3E}">
          <x14:id>{0E6E5B74-B373-4106-98AB-2B278BC23B19}</x14:id>
        </ext>
      </extLst>
    </cfRule>
  </conditionalFormatting>
  <conditionalFormatting sqref="AG7">
    <cfRule type="dataBar" priority="900">
      <dataBar>
        <cfvo type="min"/>
        <cfvo type="max"/>
        <color rgb="FF63C384"/>
      </dataBar>
      <extLst>
        <ext xmlns:x14="http://schemas.microsoft.com/office/spreadsheetml/2009/9/main" uri="{B025F937-C7B1-47D3-B67F-A62EFF666E3E}">
          <x14:id>{996C332B-F566-4262-A2EF-F605E8DD1F2A}</x14:id>
        </ext>
      </extLst>
    </cfRule>
  </conditionalFormatting>
  <conditionalFormatting sqref="Q7">
    <cfRule type="cellIs" dxfId="5333" priority="899" operator="equal">
      <formula>"ja"</formula>
    </cfRule>
  </conditionalFormatting>
  <conditionalFormatting sqref="AG7">
    <cfRule type="dataBar" priority="898">
      <dataBar>
        <cfvo type="min"/>
        <cfvo type="max"/>
        <color rgb="FF63C384"/>
      </dataBar>
      <extLst>
        <ext xmlns:x14="http://schemas.microsoft.com/office/spreadsheetml/2009/9/main" uri="{B025F937-C7B1-47D3-B67F-A62EFF666E3E}">
          <x14:id>{98F877F4-7A34-4967-82DE-13D524B003BC}</x14:id>
        </ext>
      </extLst>
    </cfRule>
  </conditionalFormatting>
  <conditionalFormatting sqref="AG7">
    <cfRule type="dataBar" priority="897">
      <dataBar>
        <cfvo type="min"/>
        <cfvo type="max"/>
        <color rgb="FF63C384"/>
      </dataBar>
      <extLst>
        <ext xmlns:x14="http://schemas.microsoft.com/office/spreadsheetml/2009/9/main" uri="{B025F937-C7B1-47D3-B67F-A62EFF666E3E}">
          <x14:id>{05008642-C380-4810-BB3C-A27E1E69576A}</x14:id>
        </ext>
      </extLst>
    </cfRule>
  </conditionalFormatting>
  <conditionalFormatting sqref="AG7">
    <cfRule type="dataBar" priority="895">
      <dataBar>
        <cfvo type="min"/>
        <cfvo type="max"/>
        <color rgb="FF63C384"/>
      </dataBar>
      <extLst>
        <ext xmlns:x14="http://schemas.microsoft.com/office/spreadsheetml/2009/9/main" uri="{B025F937-C7B1-47D3-B67F-A62EFF666E3E}">
          <x14:id>{8019697A-BE02-4238-954D-D7642C73FFAE}</x14:id>
        </ext>
      </extLst>
    </cfRule>
  </conditionalFormatting>
  <conditionalFormatting sqref="AG7">
    <cfRule type="dataBar" priority="894">
      <dataBar>
        <cfvo type="min"/>
        <cfvo type="max"/>
        <color rgb="FF63C384"/>
      </dataBar>
      <extLst>
        <ext xmlns:x14="http://schemas.microsoft.com/office/spreadsheetml/2009/9/main" uri="{B025F937-C7B1-47D3-B67F-A62EFF666E3E}">
          <x14:id>{5BE627BD-B7AF-42AE-BB83-30F51CC38DE8}</x14:id>
        </ext>
      </extLst>
    </cfRule>
  </conditionalFormatting>
  <conditionalFormatting sqref="Q8">
    <cfRule type="cellIs" dxfId="5332" priority="893" operator="equal">
      <formula>"ja"</formula>
    </cfRule>
  </conditionalFormatting>
  <conditionalFormatting sqref="AG8">
    <cfRule type="dataBar" priority="892">
      <dataBar>
        <cfvo type="min"/>
        <cfvo type="max"/>
        <color rgb="FF63C384"/>
      </dataBar>
      <extLst>
        <ext xmlns:x14="http://schemas.microsoft.com/office/spreadsheetml/2009/9/main" uri="{B025F937-C7B1-47D3-B67F-A62EFF666E3E}">
          <x14:id>{A84108C4-AC76-468F-9623-42480CEDFC0D}</x14:id>
        </ext>
      </extLst>
    </cfRule>
  </conditionalFormatting>
  <conditionalFormatting sqref="AG8">
    <cfRule type="dataBar" priority="891">
      <dataBar>
        <cfvo type="min"/>
        <cfvo type="max"/>
        <color rgb="FF63C384"/>
      </dataBar>
      <extLst>
        <ext xmlns:x14="http://schemas.microsoft.com/office/spreadsheetml/2009/9/main" uri="{B025F937-C7B1-47D3-B67F-A62EFF666E3E}">
          <x14:id>{DDF0F6F3-D33A-479A-811A-F5A896B3BE18}</x14:id>
        </ext>
      </extLst>
    </cfRule>
  </conditionalFormatting>
  <conditionalFormatting sqref="AG8">
    <cfRule type="dataBar" priority="890">
      <dataBar>
        <cfvo type="min"/>
        <cfvo type="max"/>
        <color rgb="FF63C384"/>
      </dataBar>
      <extLst>
        <ext xmlns:x14="http://schemas.microsoft.com/office/spreadsheetml/2009/9/main" uri="{B025F937-C7B1-47D3-B67F-A62EFF666E3E}">
          <x14:id>{A401FED5-CA0B-4F7B-A3E6-2AC664D9C0D8}</x14:id>
        </ext>
      </extLst>
    </cfRule>
  </conditionalFormatting>
  <conditionalFormatting sqref="AG8">
    <cfRule type="dataBar" priority="889">
      <dataBar>
        <cfvo type="min"/>
        <cfvo type="max"/>
        <color rgb="FF63C384"/>
      </dataBar>
      <extLst>
        <ext xmlns:x14="http://schemas.microsoft.com/office/spreadsheetml/2009/9/main" uri="{B025F937-C7B1-47D3-B67F-A62EFF666E3E}">
          <x14:id>{597BF309-3D36-467C-8E4E-A3EC90AA56C5}</x14:id>
        </ext>
      </extLst>
    </cfRule>
  </conditionalFormatting>
  <conditionalFormatting sqref="Q8">
    <cfRule type="cellIs" dxfId="5331" priority="888" operator="equal">
      <formula>"ja"</formula>
    </cfRule>
  </conditionalFormatting>
  <conditionalFormatting sqref="Q9">
    <cfRule type="cellIs" dxfId="5330" priority="887" operator="equal">
      <formula>"ja"</formula>
    </cfRule>
  </conditionalFormatting>
  <conditionalFormatting sqref="Q9">
    <cfRule type="cellIs" dxfId="5329" priority="878" operator="equal">
      <formula>"ja"</formula>
    </cfRule>
  </conditionalFormatting>
  <conditionalFormatting sqref="AG9">
    <cfRule type="dataBar" priority="886">
      <dataBar>
        <cfvo type="min"/>
        <cfvo type="max"/>
        <color rgb="FF63C384"/>
      </dataBar>
      <extLst>
        <ext xmlns:x14="http://schemas.microsoft.com/office/spreadsheetml/2009/9/main" uri="{B025F937-C7B1-47D3-B67F-A62EFF666E3E}">
          <x14:id>{B3521D9F-6C80-4B7F-A857-A19E8D91EECC}</x14:id>
        </ext>
      </extLst>
    </cfRule>
  </conditionalFormatting>
  <conditionalFormatting sqref="AG9">
    <cfRule type="dataBar" priority="885">
      <dataBar>
        <cfvo type="min"/>
        <cfvo type="max"/>
        <color rgb="FF63C384"/>
      </dataBar>
      <extLst>
        <ext xmlns:x14="http://schemas.microsoft.com/office/spreadsheetml/2009/9/main" uri="{B025F937-C7B1-47D3-B67F-A62EFF666E3E}">
          <x14:id>{C001018C-B82F-47AF-9A62-D1DF2568B477}</x14:id>
        </ext>
      </extLst>
    </cfRule>
  </conditionalFormatting>
  <conditionalFormatting sqref="Q9">
    <cfRule type="cellIs" dxfId="5328" priority="884" operator="equal">
      <formula>"ja"</formula>
    </cfRule>
  </conditionalFormatting>
  <conditionalFormatting sqref="AG9">
    <cfRule type="dataBar" priority="883">
      <dataBar>
        <cfvo type="min"/>
        <cfvo type="max"/>
        <color rgb="FF63C384"/>
      </dataBar>
      <extLst>
        <ext xmlns:x14="http://schemas.microsoft.com/office/spreadsheetml/2009/9/main" uri="{B025F937-C7B1-47D3-B67F-A62EFF666E3E}">
          <x14:id>{5E4A763E-C6F8-4341-849A-19B0456614CE}</x14:id>
        </ext>
      </extLst>
    </cfRule>
  </conditionalFormatting>
  <conditionalFormatting sqref="AG9">
    <cfRule type="dataBar" priority="882">
      <dataBar>
        <cfvo type="min"/>
        <cfvo type="max"/>
        <color rgb="FF63C384"/>
      </dataBar>
      <extLst>
        <ext xmlns:x14="http://schemas.microsoft.com/office/spreadsheetml/2009/9/main" uri="{B025F937-C7B1-47D3-B67F-A62EFF666E3E}">
          <x14:id>{3BCDBEF4-96B0-4223-9274-D46017C5EC68}</x14:id>
        </ext>
      </extLst>
    </cfRule>
  </conditionalFormatting>
  <conditionalFormatting sqref="Q9">
    <cfRule type="cellIs" dxfId="5327" priority="881" operator="equal">
      <formula>"ja"</formula>
    </cfRule>
  </conditionalFormatting>
  <conditionalFormatting sqref="AG9">
    <cfRule type="dataBar" priority="880">
      <dataBar>
        <cfvo type="min"/>
        <cfvo type="max"/>
        <color rgb="FF63C384"/>
      </dataBar>
      <extLst>
        <ext xmlns:x14="http://schemas.microsoft.com/office/spreadsheetml/2009/9/main" uri="{B025F937-C7B1-47D3-B67F-A62EFF666E3E}">
          <x14:id>{C57DFE27-9974-4484-A497-C8953A0658FB}</x14:id>
        </ext>
      </extLst>
    </cfRule>
  </conditionalFormatting>
  <conditionalFormatting sqref="AG9">
    <cfRule type="dataBar" priority="879">
      <dataBar>
        <cfvo type="min"/>
        <cfvo type="max"/>
        <color rgb="FF63C384"/>
      </dataBar>
      <extLst>
        <ext xmlns:x14="http://schemas.microsoft.com/office/spreadsheetml/2009/9/main" uri="{B025F937-C7B1-47D3-B67F-A62EFF666E3E}">
          <x14:id>{992780BA-D2DA-46D6-8812-0D8960BA4256}</x14:id>
        </ext>
      </extLst>
    </cfRule>
  </conditionalFormatting>
  <conditionalFormatting sqref="AG9">
    <cfRule type="dataBar" priority="877">
      <dataBar>
        <cfvo type="min"/>
        <cfvo type="max"/>
        <color rgb="FF63C384"/>
      </dataBar>
      <extLst>
        <ext xmlns:x14="http://schemas.microsoft.com/office/spreadsheetml/2009/9/main" uri="{B025F937-C7B1-47D3-B67F-A62EFF666E3E}">
          <x14:id>{60DA5367-FAED-44E1-8BEF-FBE19B46947F}</x14:id>
        </ext>
      </extLst>
    </cfRule>
  </conditionalFormatting>
  <conditionalFormatting sqref="AG9">
    <cfRule type="dataBar" priority="876">
      <dataBar>
        <cfvo type="min"/>
        <cfvo type="max"/>
        <color rgb="FF63C384"/>
      </dataBar>
      <extLst>
        <ext xmlns:x14="http://schemas.microsoft.com/office/spreadsheetml/2009/9/main" uri="{B025F937-C7B1-47D3-B67F-A62EFF666E3E}">
          <x14:id>{480DBAB0-18F0-4B52-8358-8E53E45B8ECC}</x14:id>
        </ext>
      </extLst>
    </cfRule>
  </conditionalFormatting>
  <conditionalFormatting sqref="AG10">
    <cfRule type="dataBar" priority="875">
      <dataBar>
        <cfvo type="min"/>
        <cfvo type="max"/>
        <color rgb="FF63C384"/>
      </dataBar>
      <extLst>
        <ext xmlns:x14="http://schemas.microsoft.com/office/spreadsheetml/2009/9/main" uri="{B025F937-C7B1-47D3-B67F-A62EFF666E3E}">
          <x14:id>{816CD168-EFC3-4195-88BA-991253B8F77A}</x14:id>
        </ext>
      </extLst>
    </cfRule>
  </conditionalFormatting>
  <conditionalFormatting sqref="AG10">
    <cfRule type="dataBar" priority="874">
      <dataBar>
        <cfvo type="min"/>
        <cfvo type="max"/>
        <color rgb="FF63C384"/>
      </dataBar>
      <extLst>
        <ext xmlns:x14="http://schemas.microsoft.com/office/spreadsheetml/2009/9/main" uri="{B025F937-C7B1-47D3-B67F-A62EFF666E3E}">
          <x14:id>{C6A997B8-DE69-4609-B589-312E841AB034}</x14:id>
        </ext>
      </extLst>
    </cfRule>
  </conditionalFormatting>
  <conditionalFormatting sqref="Q10">
    <cfRule type="cellIs" dxfId="5326" priority="873" operator="equal">
      <formula>"ja"</formula>
    </cfRule>
  </conditionalFormatting>
  <conditionalFormatting sqref="AG10">
    <cfRule type="dataBar" priority="872">
      <dataBar>
        <cfvo type="min"/>
        <cfvo type="max"/>
        <color rgb="FF63C384"/>
      </dataBar>
      <extLst>
        <ext xmlns:x14="http://schemas.microsoft.com/office/spreadsheetml/2009/9/main" uri="{B025F937-C7B1-47D3-B67F-A62EFF666E3E}">
          <x14:id>{DFCE6606-907B-4B6F-AEF4-8EBED7CBCEAC}</x14:id>
        </ext>
      </extLst>
    </cfRule>
  </conditionalFormatting>
  <conditionalFormatting sqref="AG10">
    <cfRule type="dataBar" priority="871">
      <dataBar>
        <cfvo type="min"/>
        <cfvo type="max"/>
        <color rgb="FF63C384"/>
      </dataBar>
      <extLst>
        <ext xmlns:x14="http://schemas.microsoft.com/office/spreadsheetml/2009/9/main" uri="{B025F937-C7B1-47D3-B67F-A62EFF666E3E}">
          <x14:id>{5288EE14-0DAA-4CA5-A3BB-52AD0C9E0E28}</x14:id>
        </ext>
      </extLst>
    </cfRule>
  </conditionalFormatting>
  <conditionalFormatting sqref="Q11">
    <cfRule type="cellIs" dxfId="5325" priority="870" operator="equal">
      <formula>"ja"</formula>
    </cfRule>
  </conditionalFormatting>
  <conditionalFormatting sqref="AG11">
    <cfRule type="dataBar" priority="869">
      <dataBar>
        <cfvo type="min"/>
        <cfvo type="max"/>
        <color rgb="FF63C384"/>
      </dataBar>
      <extLst>
        <ext xmlns:x14="http://schemas.microsoft.com/office/spreadsheetml/2009/9/main" uri="{B025F937-C7B1-47D3-B67F-A62EFF666E3E}">
          <x14:id>{E6EB0943-B77B-4C27-A2EE-9CBC082A4345}</x14:id>
        </ext>
      </extLst>
    </cfRule>
  </conditionalFormatting>
  <conditionalFormatting sqref="AG11">
    <cfRule type="dataBar" priority="868">
      <dataBar>
        <cfvo type="min"/>
        <cfvo type="max"/>
        <color rgb="FF63C384"/>
      </dataBar>
      <extLst>
        <ext xmlns:x14="http://schemas.microsoft.com/office/spreadsheetml/2009/9/main" uri="{B025F937-C7B1-47D3-B67F-A62EFF666E3E}">
          <x14:id>{00A927CC-BE0B-468D-AF60-44BDB0FA7D75}</x14:id>
        </ext>
      </extLst>
    </cfRule>
  </conditionalFormatting>
  <conditionalFormatting sqref="Q11">
    <cfRule type="cellIs" dxfId="5324" priority="867" operator="equal">
      <formula>"ja"</formula>
    </cfRule>
  </conditionalFormatting>
  <conditionalFormatting sqref="AG11">
    <cfRule type="dataBar" priority="866">
      <dataBar>
        <cfvo type="min"/>
        <cfvo type="max"/>
        <color rgb="FF63C384"/>
      </dataBar>
      <extLst>
        <ext xmlns:x14="http://schemas.microsoft.com/office/spreadsheetml/2009/9/main" uri="{B025F937-C7B1-47D3-B67F-A62EFF666E3E}">
          <x14:id>{60DC868E-7995-4450-AD20-04AFA00DDCF4}</x14:id>
        </ext>
      </extLst>
    </cfRule>
  </conditionalFormatting>
  <conditionalFormatting sqref="AG11">
    <cfRule type="dataBar" priority="865">
      <dataBar>
        <cfvo type="min"/>
        <cfvo type="max"/>
        <color rgb="FF63C384"/>
      </dataBar>
      <extLst>
        <ext xmlns:x14="http://schemas.microsoft.com/office/spreadsheetml/2009/9/main" uri="{B025F937-C7B1-47D3-B67F-A62EFF666E3E}">
          <x14:id>{3E383E54-97FF-4CE8-80B9-9DCF26536317}</x14:id>
        </ext>
      </extLst>
    </cfRule>
  </conditionalFormatting>
  <conditionalFormatting sqref="Q12">
    <cfRule type="cellIs" dxfId="5323" priority="864" operator="equal">
      <formula>"ja"</formula>
    </cfRule>
  </conditionalFormatting>
  <conditionalFormatting sqref="AG12">
    <cfRule type="dataBar" priority="863">
      <dataBar>
        <cfvo type="min"/>
        <cfvo type="max"/>
        <color rgb="FF63C384"/>
      </dataBar>
      <extLst>
        <ext xmlns:x14="http://schemas.microsoft.com/office/spreadsheetml/2009/9/main" uri="{B025F937-C7B1-47D3-B67F-A62EFF666E3E}">
          <x14:id>{E61AA50E-B67B-49B0-9358-52B4EB5942AA}</x14:id>
        </ext>
      </extLst>
    </cfRule>
  </conditionalFormatting>
  <conditionalFormatting sqref="AG12">
    <cfRule type="dataBar" priority="862">
      <dataBar>
        <cfvo type="min"/>
        <cfvo type="max"/>
        <color rgb="FF63C384"/>
      </dataBar>
      <extLst>
        <ext xmlns:x14="http://schemas.microsoft.com/office/spreadsheetml/2009/9/main" uri="{B025F937-C7B1-47D3-B67F-A62EFF666E3E}">
          <x14:id>{E2F9F9EA-D0EC-42A2-9257-DDD46E73A2C8}</x14:id>
        </ext>
      </extLst>
    </cfRule>
  </conditionalFormatting>
  <conditionalFormatting sqref="Q12">
    <cfRule type="cellIs" dxfId="5322" priority="861" operator="equal">
      <formula>"ja"</formula>
    </cfRule>
  </conditionalFormatting>
  <conditionalFormatting sqref="AG12">
    <cfRule type="dataBar" priority="860">
      <dataBar>
        <cfvo type="min"/>
        <cfvo type="max"/>
        <color rgb="FF63C384"/>
      </dataBar>
      <extLst>
        <ext xmlns:x14="http://schemas.microsoft.com/office/spreadsheetml/2009/9/main" uri="{B025F937-C7B1-47D3-B67F-A62EFF666E3E}">
          <x14:id>{391F9398-F6BC-48F6-A824-E9089D184213}</x14:id>
        </ext>
      </extLst>
    </cfRule>
  </conditionalFormatting>
  <conditionalFormatting sqref="AG12">
    <cfRule type="dataBar" priority="859">
      <dataBar>
        <cfvo type="min"/>
        <cfvo type="max"/>
        <color rgb="FF63C384"/>
      </dataBar>
      <extLst>
        <ext xmlns:x14="http://schemas.microsoft.com/office/spreadsheetml/2009/9/main" uri="{B025F937-C7B1-47D3-B67F-A62EFF666E3E}">
          <x14:id>{1B493BE4-F023-4DE8-952B-F9B3B6D61B89}</x14:id>
        </ext>
      </extLst>
    </cfRule>
  </conditionalFormatting>
  <conditionalFormatting sqref="Q12">
    <cfRule type="cellIs" dxfId="5321" priority="858" operator="equal">
      <formula>"ja"</formula>
    </cfRule>
  </conditionalFormatting>
  <conditionalFormatting sqref="AG12">
    <cfRule type="dataBar" priority="857">
      <dataBar>
        <cfvo type="min"/>
        <cfvo type="max"/>
        <color rgb="FF63C384"/>
      </dataBar>
      <extLst>
        <ext xmlns:x14="http://schemas.microsoft.com/office/spreadsheetml/2009/9/main" uri="{B025F937-C7B1-47D3-B67F-A62EFF666E3E}">
          <x14:id>{44B65378-569C-4726-A8BA-CC3005485F8E}</x14:id>
        </ext>
      </extLst>
    </cfRule>
  </conditionalFormatting>
  <conditionalFormatting sqref="AG12">
    <cfRule type="dataBar" priority="856">
      <dataBar>
        <cfvo type="min"/>
        <cfvo type="max"/>
        <color rgb="FF63C384"/>
      </dataBar>
      <extLst>
        <ext xmlns:x14="http://schemas.microsoft.com/office/spreadsheetml/2009/9/main" uri="{B025F937-C7B1-47D3-B67F-A62EFF666E3E}">
          <x14:id>{3B3DC3D9-F6C6-438A-B938-665AE879A467}</x14:id>
        </ext>
      </extLst>
    </cfRule>
  </conditionalFormatting>
  <conditionalFormatting sqref="AG13">
    <cfRule type="dataBar" priority="855">
      <dataBar>
        <cfvo type="min"/>
        <cfvo type="max"/>
        <color rgb="FF63C384"/>
      </dataBar>
      <extLst>
        <ext xmlns:x14="http://schemas.microsoft.com/office/spreadsheetml/2009/9/main" uri="{B025F937-C7B1-47D3-B67F-A62EFF666E3E}">
          <x14:id>{B3D8CF13-6669-4DBA-AB3B-ABBCB8A7F315}</x14:id>
        </ext>
      </extLst>
    </cfRule>
  </conditionalFormatting>
  <conditionalFormatting sqref="AG13">
    <cfRule type="dataBar" priority="854">
      <dataBar>
        <cfvo type="min"/>
        <cfvo type="max"/>
        <color rgb="FF63C384"/>
      </dataBar>
      <extLst>
        <ext xmlns:x14="http://schemas.microsoft.com/office/spreadsheetml/2009/9/main" uri="{B025F937-C7B1-47D3-B67F-A62EFF666E3E}">
          <x14:id>{62CF00FC-2EBF-4860-86FA-01C498CA0E6D}</x14:id>
        </ext>
      </extLst>
    </cfRule>
  </conditionalFormatting>
  <conditionalFormatting sqref="AG13">
    <cfRule type="dataBar" priority="853">
      <dataBar>
        <cfvo type="min"/>
        <cfvo type="max"/>
        <color rgb="FF63C384"/>
      </dataBar>
      <extLst>
        <ext xmlns:x14="http://schemas.microsoft.com/office/spreadsheetml/2009/9/main" uri="{B025F937-C7B1-47D3-B67F-A62EFF666E3E}">
          <x14:id>{5C1BD6E2-D339-47CC-B793-F5FFC9353F20}</x14:id>
        </ext>
      </extLst>
    </cfRule>
  </conditionalFormatting>
  <conditionalFormatting sqref="AG13">
    <cfRule type="dataBar" priority="852">
      <dataBar>
        <cfvo type="min"/>
        <cfvo type="max"/>
        <color rgb="FF63C384"/>
      </dataBar>
      <extLst>
        <ext xmlns:x14="http://schemas.microsoft.com/office/spreadsheetml/2009/9/main" uri="{B025F937-C7B1-47D3-B67F-A62EFF666E3E}">
          <x14:id>{EC582D2B-F6E2-4B1C-9CFE-5E386BB4D44F}</x14:id>
        </ext>
      </extLst>
    </cfRule>
  </conditionalFormatting>
  <conditionalFormatting sqref="Q14">
    <cfRule type="cellIs" dxfId="5320" priority="851" operator="equal">
      <formula>"ja"</formula>
    </cfRule>
  </conditionalFormatting>
  <conditionalFormatting sqref="AG14:AG15">
    <cfRule type="dataBar" priority="850">
      <dataBar>
        <cfvo type="min"/>
        <cfvo type="max"/>
        <color rgb="FF63C384"/>
      </dataBar>
      <extLst>
        <ext xmlns:x14="http://schemas.microsoft.com/office/spreadsheetml/2009/9/main" uri="{B025F937-C7B1-47D3-B67F-A62EFF666E3E}">
          <x14:id>{EDF1AFBF-B816-4525-BA7A-664203FF5A97}</x14:id>
        </ext>
      </extLst>
    </cfRule>
  </conditionalFormatting>
  <conditionalFormatting sqref="AG14:AG15">
    <cfRule type="dataBar" priority="849">
      <dataBar>
        <cfvo type="min"/>
        <cfvo type="max"/>
        <color rgb="FF63C384"/>
      </dataBar>
      <extLst>
        <ext xmlns:x14="http://schemas.microsoft.com/office/spreadsheetml/2009/9/main" uri="{B025F937-C7B1-47D3-B67F-A62EFF666E3E}">
          <x14:id>{92408556-7020-49D1-A693-963E4525548D}</x14:id>
        </ext>
      </extLst>
    </cfRule>
  </conditionalFormatting>
  <conditionalFormatting sqref="Q15">
    <cfRule type="cellIs" dxfId="5319" priority="848" operator="equal">
      <formula>"ja"</formula>
    </cfRule>
  </conditionalFormatting>
  <conditionalFormatting sqref="Q15">
    <cfRule type="cellIs" dxfId="5318" priority="847" operator="equal">
      <formula>"ja"</formula>
    </cfRule>
  </conditionalFormatting>
  <conditionalFormatting sqref="Q16">
    <cfRule type="cellIs" dxfId="5317" priority="846" operator="equal">
      <formula>"ja"</formula>
    </cfRule>
  </conditionalFormatting>
  <conditionalFormatting sqref="AG16">
    <cfRule type="dataBar" priority="845">
      <dataBar>
        <cfvo type="min"/>
        <cfvo type="max"/>
        <color rgb="FF63C384"/>
      </dataBar>
      <extLst>
        <ext xmlns:x14="http://schemas.microsoft.com/office/spreadsheetml/2009/9/main" uri="{B025F937-C7B1-47D3-B67F-A62EFF666E3E}">
          <x14:id>{47E45BD6-E848-4FCE-AD67-6DAD32F3EA77}</x14:id>
        </ext>
      </extLst>
    </cfRule>
  </conditionalFormatting>
  <conditionalFormatting sqref="AG16">
    <cfRule type="dataBar" priority="844">
      <dataBar>
        <cfvo type="min"/>
        <cfvo type="max"/>
        <color rgb="FF63C384"/>
      </dataBar>
      <extLst>
        <ext xmlns:x14="http://schemas.microsoft.com/office/spreadsheetml/2009/9/main" uri="{B025F937-C7B1-47D3-B67F-A62EFF666E3E}">
          <x14:id>{7404F292-06AB-4AA7-BB3B-E9E5B8162F75}</x14:id>
        </ext>
      </extLst>
    </cfRule>
  </conditionalFormatting>
  <conditionalFormatting sqref="AG16">
    <cfRule type="dataBar" priority="843">
      <dataBar>
        <cfvo type="min"/>
        <cfvo type="max"/>
        <color rgb="FF63C384"/>
      </dataBar>
      <extLst>
        <ext xmlns:x14="http://schemas.microsoft.com/office/spreadsheetml/2009/9/main" uri="{B025F937-C7B1-47D3-B67F-A62EFF666E3E}">
          <x14:id>{8FD0F237-9DE7-4DD7-B1F0-5A1B065F1096}</x14:id>
        </ext>
      </extLst>
    </cfRule>
  </conditionalFormatting>
  <conditionalFormatting sqref="AG16">
    <cfRule type="dataBar" priority="842">
      <dataBar>
        <cfvo type="min"/>
        <cfvo type="max"/>
        <color rgb="FF63C384"/>
      </dataBar>
      <extLst>
        <ext xmlns:x14="http://schemas.microsoft.com/office/spreadsheetml/2009/9/main" uri="{B025F937-C7B1-47D3-B67F-A62EFF666E3E}">
          <x14:id>{3378F5F0-3D86-4B75-9A94-DDF02D081A05}</x14:id>
        </ext>
      </extLst>
    </cfRule>
  </conditionalFormatting>
  <conditionalFormatting sqref="Q16">
    <cfRule type="cellIs" dxfId="5316" priority="841" operator="equal">
      <formula>"ja"</formula>
    </cfRule>
  </conditionalFormatting>
  <conditionalFormatting sqref="Q18">
    <cfRule type="cellIs" dxfId="5315" priority="840" operator="equal">
      <formula>"ja"</formula>
    </cfRule>
  </conditionalFormatting>
  <conditionalFormatting sqref="AG18">
    <cfRule type="dataBar" priority="839">
      <dataBar>
        <cfvo type="min"/>
        <cfvo type="max"/>
        <color rgb="FF63C384"/>
      </dataBar>
      <extLst>
        <ext xmlns:x14="http://schemas.microsoft.com/office/spreadsheetml/2009/9/main" uri="{B025F937-C7B1-47D3-B67F-A62EFF666E3E}">
          <x14:id>{B0A87D32-556A-4B78-8CDA-55F6461587C5}</x14:id>
        </ext>
      </extLst>
    </cfRule>
  </conditionalFormatting>
  <conditionalFormatting sqref="AG18">
    <cfRule type="dataBar" priority="838">
      <dataBar>
        <cfvo type="min"/>
        <cfvo type="max"/>
        <color rgb="FF63C384"/>
      </dataBar>
      <extLst>
        <ext xmlns:x14="http://schemas.microsoft.com/office/spreadsheetml/2009/9/main" uri="{B025F937-C7B1-47D3-B67F-A62EFF666E3E}">
          <x14:id>{572731DE-DDDA-4963-9D5B-534D91FF8AEF}</x14:id>
        </ext>
      </extLst>
    </cfRule>
  </conditionalFormatting>
  <conditionalFormatting sqref="AG19">
    <cfRule type="dataBar" priority="837">
      <dataBar>
        <cfvo type="min"/>
        <cfvo type="max"/>
        <color rgb="FF63C384"/>
      </dataBar>
      <extLst>
        <ext xmlns:x14="http://schemas.microsoft.com/office/spreadsheetml/2009/9/main" uri="{B025F937-C7B1-47D3-B67F-A62EFF666E3E}">
          <x14:id>{19A56CBB-AE86-429B-BF4B-2A5EB44D7C7A}</x14:id>
        </ext>
      </extLst>
    </cfRule>
  </conditionalFormatting>
  <conditionalFormatting sqref="AG19">
    <cfRule type="dataBar" priority="836">
      <dataBar>
        <cfvo type="min"/>
        <cfvo type="max"/>
        <color rgb="FF63C384"/>
      </dataBar>
      <extLst>
        <ext xmlns:x14="http://schemas.microsoft.com/office/spreadsheetml/2009/9/main" uri="{B025F937-C7B1-47D3-B67F-A62EFF666E3E}">
          <x14:id>{C93DCCD7-448D-42B0-A066-0FD08075EED4}</x14:id>
        </ext>
      </extLst>
    </cfRule>
  </conditionalFormatting>
  <conditionalFormatting sqref="AG20">
    <cfRule type="dataBar" priority="835">
      <dataBar>
        <cfvo type="min"/>
        <cfvo type="max"/>
        <color rgb="FF63C384"/>
      </dataBar>
      <extLst>
        <ext xmlns:x14="http://schemas.microsoft.com/office/spreadsheetml/2009/9/main" uri="{B025F937-C7B1-47D3-B67F-A62EFF666E3E}">
          <x14:id>{D42525CE-7124-4EBE-A040-297979846399}</x14:id>
        </ext>
      </extLst>
    </cfRule>
  </conditionalFormatting>
  <conditionalFormatting sqref="AG20">
    <cfRule type="dataBar" priority="834">
      <dataBar>
        <cfvo type="min"/>
        <cfvo type="max"/>
        <color rgb="FF63C384"/>
      </dataBar>
      <extLst>
        <ext xmlns:x14="http://schemas.microsoft.com/office/spreadsheetml/2009/9/main" uri="{B025F937-C7B1-47D3-B67F-A62EFF666E3E}">
          <x14:id>{70874306-B56D-4831-A48E-0525A6F4088E}</x14:id>
        </ext>
      </extLst>
    </cfRule>
  </conditionalFormatting>
  <conditionalFormatting sqref="Q20">
    <cfRule type="cellIs" dxfId="5314" priority="833" operator="equal">
      <formula>"ja"</formula>
    </cfRule>
  </conditionalFormatting>
  <conditionalFormatting sqref="Q21">
    <cfRule type="cellIs" dxfId="5313" priority="832" operator="equal">
      <formula>"ja"</formula>
    </cfRule>
  </conditionalFormatting>
  <conditionalFormatting sqref="AG21">
    <cfRule type="dataBar" priority="831">
      <dataBar>
        <cfvo type="min"/>
        <cfvo type="max"/>
        <color rgb="FF63C384"/>
      </dataBar>
      <extLst>
        <ext xmlns:x14="http://schemas.microsoft.com/office/spreadsheetml/2009/9/main" uri="{B025F937-C7B1-47D3-B67F-A62EFF666E3E}">
          <x14:id>{9CE4E9A6-E916-4D78-9E48-F958495A74DA}</x14:id>
        </ext>
      </extLst>
    </cfRule>
  </conditionalFormatting>
  <conditionalFormatting sqref="AG21">
    <cfRule type="dataBar" priority="830">
      <dataBar>
        <cfvo type="min"/>
        <cfvo type="max"/>
        <color rgb="FF63C384"/>
      </dataBar>
      <extLst>
        <ext xmlns:x14="http://schemas.microsoft.com/office/spreadsheetml/2009/9/main" uri="{B025F937-C7B1-47D3-B67F-A62EFF666E3E}">
          <x14:id>{28F5D95D-4DE7-4374-B6E3-C1BDA4204EE9}</x14:id>
        </ext>
      </extLst>
    </cfRule>
  </conditionalFormatting>
  <conditionalFormatting sqref="Q22">
    <cfRule type="cellIs" dxfId="5312" priority="829" operator="equal">
      <formula>"ja"</formula>
    </cfRule>
  </conditionalFormatting>
  <conditionalFormatting sqref="AG22">
    <cfRule type="dataBar" priority="828">
      <dataBar>
        <cfvo type="min"/>
        <cfvo type="max"/>
        <color rgb="FF63C384"/>
      </dataBar>
      <extLst>
        <ext xmlns:x14="http://schemas.microsoft.com/office/spreadsheetml/2009/9/main" uri="{B025F937-C7B1-47D3-B67F-A62EFF666E3E}">
          <x14:id>{55502E70-092B-4F24-AEE6-2D5F5D2299BD}</x14:id>
        </ext>
      </extLst>
    </cfRule>
  </conditionalFormatting>
  <conditionalFormatting sqref="AG22">
    <cfRule type="dataBar" priority="827">
      <dataBar>
        <cfvo type="min"/>
        <cfvo type="max"/>
        <color rgb="FF63C384"/>
      </dataBar>
      <extLst>
        <ext xmlns:x14="http://schemas.microsoft.com/office/spreadsheetml/2009/9/main" uri="{B025F937-C7B1-47D3-B67F-A62EFF666E3E}">
          <x14:id>{693B75C3-67D7-48C2-9D9F-61B05ECEDEB7}</x14:id>
        </ext>
      </extLst>
    </cfRule>
  </conditionalFormatting>
  <conditionalFormatting sqref="Q23">
    <cfRule type="cellIs" dxfId="5311" priority="826" operator="equal">
      <formula>"ja"</formula>
    </cfRule>
  </conditionalFormatting>
  <conditionalFormatting sqref="AG23">
    <cfRule type="dataBar" priority="825">
      <dataBar>
        <cfvo type="min"/>
        <cfvo type="max"/>
        <color rgb="FF63C384"/>
      </dataBar>
      <extLst>
        <ext xmlns:x14="http://schemas.microsoft.com/office/spreadsheetml/2009/9/main" uri="{B025F937-C7B1-47D3-B67F-A62EFF666E3E}">
          <x14:id>{311260C7-D629-498C-BE8B-1B805C6E8B4A}</x14:id>
        </ext>
      </extLst>
    </cfRule>
  </conditionalFormatting>
  <conditionalFormatting sqref="AG23">
    <cfRule type="dataBar" priority="824">
      <dataBar>
        <cfvo type="min"/>
        <cfvo type="max"/>
        <color rgb="FF63C384"/>
      </dataBar>
      <extLst>
        <ext xmlns:x14="http://schemas.microsoft.com/office/spreadsheetml/2009/9/main" uri="{B025F937-C7B1-47D3-B67F-A62EFF666E3E}">
          <x14:id>{9958E8CE-D5DF-4DFA-90A3-E90C7FE04518}</x14:id>
        </ext>
      </extLst>
    </cfRule>
  </conditionalFormatting>
  <conditionalFormatting sqref="Q23">
    <cfRule type="cellIs" dxfId="5310" priority="823" operator="equal">
      <formula>"ja"</formula>
    </cfRule>
  </conditionalFormatting>
  <conditionalFormatting sqref="AG23">
    <cfRule type="dataBar" priority="822">
      <dataBar>
        <cfvo type="min"/>
        <cfvo type="max"/>
        <color rgb="FF63C384"/>
      </dataBar>
      <extLst>
        <ext xmlns:x14="http://schemas.microsoft.com/office/spreadsheetml/2009/9/main" uri="{B025F937-C7B1-47D3-B67F-A62EFF666E3E}">
          <x14:id>{1E6DE618-74C0-4357-AF5F-4DF16AC0D24A}</x14:id>
        </ext>
      </extLst>
    </cfRule>
  </conditionalFormatting>
  <conditionalFormatting sqref="AG23">
    <cfRule type="dataBar" priority="821">
      <dataBar>
        <cfvo type="min"/>
        <cfvo type="max"/>
        <color rgb="FF63C384"/>
      </dataBar>
      <extLst>
        <ext xmlns:x14="http://schemas.microsoft.com/office/spreadsheetml/2009/9/main" uri="{B025F937-C7B1-47D3-B67F-A62EFF666E3E}">
          <x14:id>{71221370-173A-474D-A3A2-FC63F6D1E029}</x14:id>
        </ext>
      </extLst>
    </cfRule>
  </conditionalFormatting>
  <conditionalFormatting sqref="Q24">
    <cfRule type="cellIs" dxfId="5309" priority="820" operator="equal">
      <formula>"ja"</formula>
    </cfRule>
  </conditionalFormatting>
  <conditionalFormatting sqref="Q24">
    <cfRule type="cellIs" dxfId="5308" priority="811" operator="equal">
      <formula>"ja"</formula>
    </cfRule>
  </conditionalFormatting>
  <conditionalFormatting sqref="AG24:AG25">
    <cfRule type="dataBar" priority="819">
      <dataBar>
        <cfvo type="min"/>
        <cfvo type="max"/>
        <color rgb="FF63C384"/>
      </dataBar>
      <extLst>
        <ext xmlns:x14="http://schemas.microsoft.com/office/spreadsheetml/2009/9/main" uri="{B025F937-C7B1-47D3-B67F-A62EFF666E3E}">
          <x14:id>{F53CFDB2-9C7E-4FE4-A445-EBB1863FC0DD}</x14:id>
        </ext>
      </extLst>
    </cfRule>
  </conditionalFormatting>
  <conditionalFormatting sqref="AG24:AG25">
    <cfRule type="dataBar" priority="818">
      <dataBar>
        <cfvo type="min"/>
        <cfvo type="max"/>
        <color rgb="FF63C384"/>
      </dataBar>
      <extLst>
        <ext xmlns:x14="http://schemas.microsoft.com/office/spreadsheetml/2009/9/main" uri="{B025F937-C7B1-47D3-B67F-A62EFF666E3E}">
          <x14:id>{D219310E-A288-4292-B1F0-6CA564F6FF11}</x14:id>
        </ext>
      </extLst>
    </cfRule>
  </conditionalFormatting>
  <conditionalFormatting sqref="Q24">
    <cfRule type="cellIs" dxfId="5307" priority="817" operator="equal">
      <formula>"ja"</formula>
    </cfRule>
  </conditionalFormatting>
  <conditionalFormatting sqref="AG24:AG25">
    <cfRule type="dataBar" priority="816">
      <dataBar>
        <cfvo type="min"/>
        <cfvo type="max"/>
        <color rgb="FF63C384"/>
      </dataBar>
      <extLst>
        <ext xmlns:x14="http://schemas.microsoft.com/office/spreadsheetml/2009/9/main" uri="{B025F937-C7B1-47D3-B67F-A62EFF666E3E}">
          <x14:id>{885CFC9A-3EC9-435D-9FD1-1BC876ACC9C5}</x14:id>
        </ext>
      </extLst>
    </cfRule>
  </conditionalFormatting>
  <conditionalFormatting sqref="AG24:AG25">
    <cfRule type="dataBar" priority="815">
      <dataBar>
        <cfvo type="min"/>
        <cfvo type="max"/>
        <color rgb="FF63C384"/>
      </dataBar>
      <extLst>
        <ext xmlns:x14="http://schemas.microsoft.com/office/spreadsheetml/2009/9/main" uri="{B025F937-C7B1-47D3-B67F-A62EFF666E3E}">
          <x14:id>{C82B9B03-1A78-419A-B45C-D20DBB4F1E8D}</x14:id>
        </ext>
      </extLst>
    </cfRule>
  </conditionalFormatting>
  <conditionalFormatting sqref="Q24">
    <cfRule type="cellIs" dxfId="5306" priority="814" operator="equal">
      <formula>"ja"</formula>
    </cfRule>
  </conditionalFormatting>
  <conditionalFormatting sqref="AG24:AG25">
    <cfRule type="dataBar" priority="813">
      <dataBar>
        <cfvo type="min"/>
        <cfvo type="max"/>
        <color rgb="FF63C384"/>
      </dataBar>
      <extLst>
        <ext xmlns:x14="http://schemas.microsoft.com/office/spreadsheetml/2009/9/main" uri="{B025F937-C7B1-47D3-B67F-A62EFF666E3E}">
          <x14:id>{A38D193C-B890-41A2-996F-EB3F3FB7C7B3}</x14:id>
        </ext>
      </extLst>
    </cfRule>
  </conditionalFormatting>
  <conditionalFormatting sqref="AG24:AG25">
    <cfRule type="dataBar" priority="812">
      <dataBar>
        <cfvo type="min"/>
        <cfvo type="max"/>
        <color rgb="FF63C384"/>
      </dataBar>
      <extLst>
        <ext xmlns:x14="http://schemas.microsoft.com/office/spreadsheetml/2009/9/main" uri="{B025F937-C7B1-47D3-B67F-A62EFF666E3E}">
          <x14:id>{24D2133D-1EA4-410F-BE55-B8570C157178}</x14:id>
        </ext>
      </extLst>
    </cfRule>
  </conditionalFormatting>
  <conditionalFormatting sqref="AG24:AG25">
    <cfRule type="dataBar" priority="810">
      <dataBar>
        <cfvo type="min"/>
        <cfvo type="max"/>
        <color rgb="FF63C384"/>
      </dataBar>
      <extLst>
        <ext xmlns:x14="http://schemas.microsoft.com/office/spreadsheetml/2009/9/main" uri="{B025F937-C7B1-47D3-B67F-A62EFF666E3E}">
          <x14:id>{C62ED4F4-4B95-4E2B-875F-E631ECFDDB3C}</x14:id>
        </ext>
      </extLst>
    </cfRule>
  </conditionalFormatting>
  <conditionalFormatting sqref="AG24:AG25">
    <cfRule type="dataBar" priority="809">
      <dataBar>
        <cfvo type="min"/>
        <cfvo type="max"/>
        <color rgb="FF63C384"/>
      </dataBar>
      <extLst>
        <ext xmlns:x14="http://schemas.microsoft.com/office/spreadsheetml/2009/9/main" uri="{B025F937-C7B1-47D3-B67F-A62EFF666E3E}">
          <x14:id>{33A69512-1721-41FE-8952-8CE4036B2527}</x14:id>
        </ext>
      </extLst>
    </cfRule>
  </conditionalFormatting>
  <conditionalFormatting sqref="AG26">
    <cfRule type="dataBar" priority="808">
      <dataBar>
        <cfvo type="min"/>
        <cfvo type="max"/>
        <color rgb="FF63C384"/>
      </dataBar>
      <extLst>
        <ext xmlns:x14="http://schemas.microsoft.com/office/spreadsheetml/2009/9/main" uri="{B025F937-C7B1-47D3-B67F-A62EFF666E3E}">
          <x14:id>{6A49B597-7986-4F7A-8B10-127A8EC38F7E}</x14:id>
        </ext>
      </extLst>
    </cfRule>
  </conditionalFormatting>
  <conditionalFormatting sqref="AG26">
    <cfRule type="dataBar" priority="807">
      <dataBar>
        <cfvo type="min"/>
        <cfvo type="max"/>
        <color rgb="FF63C384"/>
      </dataBar>
      <extLst>
        <ext xmlns:x14="http://schemas.microsoft.com/office/spreadsheetml/2009/9/main" uri="{B025F937-C7B1-47D3-B67F-A62EFF666E3E}">
          <x14:id>{4EEEAFCB-6066-470C-BED1-09F9F87FE9A8}</x14:id>
        </ext>
      </extLst>
    </cfRule>
  </conditionalFormatting>
  <conditionalFormatting sqref="AG26">
    <cfRule type="dataBar" priority="806">
      <dataBar>
        <cfvo type="min"/>
        <cfvo type="max"/>
        <color rgb="FF63C384"/>
      </dataBar>
      <extLst>
        <ext xmlns:x14="http://schemas.microsoft.com/office/spreadsheetml/2009/9/main" uri="{B025F937-C7B1-47D3-B67F-A62EFF666E3E}">
          <x14:id>{82AA1952-357C-400A-A230-678166AA9876}</x14:id>
        </ext>
      </extLst>
    </cfRule>
  </conditionalFormatting>
  <conditionalFormatting sqref="AG26">
    <cfRule type="dataBar" priority="805">
      <dataBar>
        <cfvo type="min"/>
        <cfvo type="max"/>
        <color rgb="FF63C384"/>
      </dataBar>
      <extLst>
        <ext xmlns:x14="http://schemas.microsoft.com/office/spreadsheetml/2009/9/main" uri="{B025F937-C7B1-47D3-B67F-A62EFF666E3E}">
          <x14:id>{DBB7E15F-78C6-4F60-8A56-DA7693B9E019}</x14:id>
        </ext>
      </extLst>
    </cfRule>
  </conditionalFormatting>
  <conditionalFormatting sqref="AG27:AG28">
    <cfRule type="dataBar" priority="804">
      <dataBar>
        <cfvo type="min"/>
        <cfvo type="max"/>
        <color rgb="FF63C384"/>
      </dataBar>
      <extLst>
        <ext xmlns:x14="http://schemas.microsoft.com/office/spreadsheetml/2009/9/main" uri="{B025F937-C7B1-47D3-B67F-A62EFF666E3E}">
          <x14:id>{F905F761-BD64-43DC-A3E2-A8F2626F5E8D}</x14:id>
        </ext>
      </extLst>
    </cfRule>
  </conditionalFormatting>
  <conditionalFormatting sqref="AG27:AG28">
    <cfRule type="dataBar" priority="803">
      <dataBar>
        <cfvo type="min"/>
        <cfvo type="max"/>
        <color rgb="FF63C384"/>
      </dataBar>
      <extLst>
        <ext xmlns:x14="http://schemas.microsoft.com/office/spreadsheetml/2009/9/main" uri="{B025F937-C7B1-47D3-B67F-A62EFF666E3E}">
          <x14:id>{C357B3D5-43C7-4AC7-889D-AF3C429FA0A6}</x14:id>
        </ext>
      </extLst>
    </cfRule>
  </conditionalFormatting>
  <conditionalFormatting sqref="Q29">
    <cfRule type="cellIs" dxfId="5305" priority="802" operator="equal">
      <formula>"ja"</formula>
    </cfRule>
  </conditionalFormatting>
  <conditionalFormatting sqref="AG29">
    <cfRule type="dataBar" priority="801">
      <dataBar>
        <cfvo type="min"/>
        <cfvo type="max"/>
        <color rgb="FF63C384"/>
      </dataBar>
      <extLst>
        <ext xmlns:x14="http://schemas.microsoft.com/office/spreadsheetml/2009/9/main" uri="{B025F937-C7B1-47D3-B67F-A62EFF666E3E}">
          <x14:id>{C6F0A9D6-E40A-41A8-A70F-28BB5D7AB08C}</x14:id>
        </ext>
      </extLst>
    </cfRule>
  </conditionalFormatting>
  <conditionalFormatting sqref="AG29">
    <cfRule type="dataBar" priority="800">
      <dataBar>
        <cfvo type="min"/>
        <cfvo type="max"/>
        <color rgb="FF63C384"/>
      </dataBar>
      <extLst>
        <ext xmlns:x14="http://schemas.microsoft.com/office/spreadsheetml/2009/9/main" uri="{B025F937-C7B1-47D3-B67F-A62EFF666E3E}">
          <x14:id>{29C1C874-6095-4CE6-82D7-A72B15493142}</x14:id>
        </ext>
      </extLst>
    </cfRule>
  </conditionalFormatting>
  <conditionalFormatting sqref="AG29">
    <cfRule type="dataBar" priority="799">
      <dataBar>
        <cfvo type="min"/>
        <cfvo type="max"/>
        <color rgb="FF63C384"/>
      </dataBar>
      <extLst>
        <ext xmlns:x14="http://schemas.microsoft.com/office/spreadsheetml/2009/9/main" uri="{B025F937-C7B1-47D3-B67F-A62EFF666E3E}">
          <x14:id>{90B06830-0ACF-404D-9444-CACB454E9CDD}</x14:id>
        </ext>
      </extLst>
    </cfRule>
  </conditionalFormatting>
  <conditionalFormatting sqref="AG29">
    <cfRule type="dataBar" priority="798">
      <dataBar>
        <cfvo type="min"/>
        <cfvo type="max"/>
        <color rgb="FF63C384"/>
      </dataBar>
      <extLst>
        <ext xmlns:x14="http://schemas.microsoft.com/office/spreadsheetml/2009/9/main" uri="{B025F937-C7B1-47D3-B67F-A62EFF666E3E}">
          <x14:id>{4A2FECA8-CECF-4435-80AF-E376CF89EA49}</x14:id>
        </ext>
      </extLst>
    </cfRule>
  </conditionalFormatting>
  <conditionalFormatting sqref="Q29">
    <cfRule type="cellIs" dxfId="5304" priority="797" operator="equal">
      <formula>"ja"</formula>
    </cfRule>
  </conditionalFormatting>
  <conditionalFormatting sqref="Q30">
    <cfRule type="cellIs" dxfId="5303" priority="796" operator="equal">
      <formula>"ja"</formula>
    </cfRule>
  </conditionalFormatting>
  <conditionalFormatting sqref="AG30">
    <cfRule type="dataBar" priority="795">
      <dataBar>
        <cfvo type="min"/>
        <cfvo type="max"/>
        <color rgb="FF63C384"/>
      </dataBar>
      <extLst>
        <ext xmlns:x14="http://schemas.microsoft.com/office/spreadsheetml/2009/9/main" uri="{B025F937-C7B1-47D3-B67F-A62EFF666E3E}">
          <x14:id>{212AD21A-0B54-47B6-84DD-B49A6790FA47}</x14:id>
        </ext>
      </extLst>
    </cfRule>
  </conditionalFormatting>
  <conditionalFormatting sqref="AG30">
    <cfRule type="dataBar" priority="794">
      <dataBar>
        <cfvo type="min"/>
        <cfvo type="max"/>
        <color rgb="FF63C384"/>
      </dataBar>
      <extLst>
        <ext xmlns:x14="http://schemas.microsoft.com/office/spreadsheetml/2009/9/main" uri="{B025F937-C7B1-47D3-B67F-A62EFF666E3E}">
          <x14:id>{9DB5A9CB-32F7-46C2-9A1C-ADEDAF1CC324}</x14:id>
        </ext>
      </extLst>
    </cfRule>
  </conditionalFormatting>
  <conditionalFormatting sqref="Q31:Q32">
    <cfRule type="cellIs" dxfId="5302" priority="793" operator="equal">
      <formula>"ja"</formula>
    </cfRule>
  </conditionalFormatting>
  <conditionalFormatting sqref="AG31">
    <cfRule type="dataBar" priority="792">
      <dataBar>
        <cfvo type="min"/>
        <cfvo type="max"/>
        <color rgb="FF63C384"/>
      </dataBar>
      <extLst>
        <ext xmlns:x14="http://schemas.microsoft.com/office/spreadsheetml/2009/9/main" uri="{B025F937-C7B1-47D3-B67F-A62EFF666E3E}">
          <x14:id>{CB127920-9D34-4B41-A17D-0467FF226944}</x14:id>
        </ext>
      </extLst>
    </cfRule>
  </conditionalFormatting>
  <conditionalFormatting sqref="Q31:Q32">
    <cfRule type="cellIs" dxfId="5301" priority="791" operator="equal">
      <formula>"ja"</formula>
    </cfRule>
  </conditionalFormatting>
  <conditionalFormatting sqref="Q31:Q32">
    <cfRule type="cellIs" dxfId="5300" priority="790" operator="equal">
      <formula>"ja"</formula>
    </cfRule>
  </conditionalFormatting>
  <conditionalFormatting sqref="Q33">
    <cfRule type="cellIs" dxfId="5299" priority="789" operator="equal">
      <formula>"ja"</formula>
    </cfRule>
  </conditionalFormatting>
  <conditionalFormatting sqref="AG33">
    <cfRule type="dataBar" priority="788">
      <dataBar>
        <cfvo type="min"/>
        <cfvo type="max"/>
        <color rgb="FF63C384"/>
      </dataBar>
      <extLst>
        <ext xmlns:x14="http://schemas.microsoft.com/office/spreadsheetml/2009/9/main" uri="{B025F937-C7B1-47D3-B67F-A62EFF666E3E}">
          <x14:id>{1702EA9C-D742-4908-9710-D3E59037974F}</x14:id>
        </ext>
      </extLst>
    </cfRule>
  </conditionalFormatting>
  <conditionalFormatting sqref="AG33">
    <cfRule type="dataBar" priority="787">
      <dataBar>
        <cfvo type="min"/>
        <cfvo type="max"/>
        <color rgb="FF63C384"/>
      </dataBar>
      <extLst>
        <ext xmlns:x14="http://schemas.microsoft.com/office/spreadsheetml/2009/9/main" uri="{B025F937-C7B1-47D3-B67F-A62EFF666E3E}">
          <x14:id>{6F4C2C3F-5A62-4835-879F-DE4D4D4023FA}</x14:id>
        </ext>
      </extLst>
    </cfRule>
  </conditionalFormatting>
  <conditionalFormatting sqref="Q32">
    <cfRule type="cellIs" dxfId="5298" priority="786" operator="equal">
      <formula>"ja"</formula>
    </cfRule>
  </conditionalFormatting>
  <conditionalFormatting sqref="AG32">
    <cfRule type="dataBar" priority="785">
      <dataBar>
        <cfvo type="min"/>
        <cfvo type="max"/>
        <color rgb="FF63C384"/>
      </dataBar>
      <extLst>
        <ext xmlns:x14="http://schemas.microsoft.com/office/spreadsheetml/2009/9/main" uri="{B025F937-C7B1-47D3-B67F-A62EFF666E3E}">
          <x14:id>{1AB6EA16-DA5C-4177-A6D5-D73ACE6CC5F7}</x14:id>
        </ext>
      </extLst>
    </cfRule>
  </conditionalFormatting>
  <conditionalFormatting sqref="AG32">
    <cfRule type="dataBar" priority="784">
      <dataBar>
        <cfvo type="min"/>
        <cfvo type="max"/>
        <color rgb="FF63C384"/>
      </dataBar>
      <extLst>
        <ext xmlns:x14="http://schemas.microsoft.com/office/spreadsheetml/2009/9/main" uri="{B025F937-C7B1-47D3-B67F-A62EFF666E3E}">
          <x14:id>{9C2C6F92-AAC4-4C0A-882F-CE5B581665E9}</x14:id>
        </ext>
      </extLst>
    </cfRule>
  </conditionalFormatting>
  <conditionalFormatting sqref="Q32">
    <cfRule type="cellIs" dxfId="5297" priority="783" operator="equal">
      <formula>"ja"</formula>
    </cfRule>
  </conditionalFormatting>
  <conditionalFormatting sqref="AG32">
    <cfRule type="dataBar" priority="782">
      <dataBar>
        <cfvo type="min"/>
        <cfvo type="max"/>
        <color rgb="FF63C384"/>
      </dataBar>
      <extLst>
        <ext xmlns:x14="http://schemas.microsoft.com/office/spreadsheetml/2009/9/main" uri="{B025F937-C7B1-47D3-B67F-A62EFF666E3E}">
          <x14:id>{8359357B-F631-4991-9755-3EA3BC9161EF}</x14:id>
        </ext>
      </extLst>
    </cfRule>
  </conditionalFormatting>
  <conditionalFormatting sqref="AG32">
    <cfRule type="dataBar" priority="781">
      <dataBar>
        <cfvo type="min"/>
        <cfvo type="max"/>
        <color rgb="FF63C384"/>
      </dataBar>
      <extLst>
        <ext xmlns:x14="http://schemas.microsoft.com/office/spreadsheetml/2009/9/main" uri="{B025F937-C7B1-47D3-B67F-A62EFF666E3E}">
          <x14:id>{89957364-161A-421D-9682-9CF22B7B8893}</x14:id>
        </ext>
      </extLst>
    </cfRule>
  </conditionalFormatting>
  <conditionalFormatting sqref="AG34">
    <cfRule type="dataBar" priority="780">
      <dataBar>
        <cfvo type="min"/>
        <cfvo type="max"/>
        <color rgb="FF63C384"/>
      </dataBar>
      <extLst>
        <ext xmlns:x14="http://schemas.microsoft.com/office/spreadsheetml/2009/9/main" uri="{B025F937-C7B1-47D3-B67F-A62EFF666E3E}">
          <x14:id>{F25F0FBC-40F0-447D-B437-1786C523EAD1}</x14:id>
        </ext>
      </extLst>
    </cfRule>
  </conditionalFormatting>
  <conditionalFormatting sqref="AG34">
    <cfRule type="dataBar" priority="779">
      <dataBar>
        <cfvo type="min"/>
        <cfvo type="max"/>
        <color rgb="FF63C384"/>
      </dataBar>
      <extLst>
        <ext xmlns:x14="http://schemas.microsoft.com/office/spreadsheetml/2009/9/main" uri="{B025F937-C7B1-47D3-B67F-A62EFF666E3E}">
          <x14:id>{A15B3E97-83B5-414B-846B-350FEECBD638}</x14:id>
        </ext>
      </extLst>
    </cfRule>
  </conditionalFormatting>
  <conditionalFormatting sqref="AG35">
    <cfRule type="dataBar" priority="778">
      <dataBar>
        <cfvo type="min"/>
        <cfvo type="max"/>
        <color rgb="FF63C384"/>
      </dataBar>
      <extLst>
        <ext xmlns:x14="http://schemas.microsoft.com/office/spreadsheetml/2009/9/main" uri="{B025F937-C7B1-47D3-B67F-A62EFF666E3E}">
          <x14:id>{3BB1A110-8E22-4702-9AEF-740B5B0C0522}</x14:id>
        </ext>
      </extLst>
    </cfRule>
  </conditionalFormatting>
  <conditionalFormatting sqref="AG35">
    <cfRule type="dataBar" priority="777">
      <dataBar>
        <cfvo type="min"/>
        <cfvo type="max"/>
        <color rgb="FF63C384"/>
      </dataBar>
      <extLst>
        <ext xmlns:x14="http://schemas.microsoft.com/office/spreadsheetml/2009/9/main" uri="{B025F937-C7B1-47D3-B67F-A62EFF666E3E}">
          <x14:id>{3CE3F52E-C763-424A-8A6F-68809BBD8BE0}</x14:id>
        </ext>
      </extLst>
    </cfRule>
  </conditionalFormatting>
  <conditionalFormatting sqref="AG35">
    <cfRule type="dataBar" priority="776">
      <dataBar>
        <cfvo type="min"/>
        <cfvo type="max"/>
        <color rgb="FF63C384"/>
      </dataBar>
      <extLst>
        <ext xmlns:x14="http://schemas.microsoft.com/office/spreadsheetml/2009/9/main" uri="{B025F937-C7B1-47D3-B67F-A62EFF666E3E}">
          <x14:id>{2C3E76AD-2EDC-4E57-9649-86DC62BFE682}</x14:id>
        </ext>
      </extLst>
    </cfRule>
  </conditionalFormatting>
  <conditionalFormatting sqref="AG35">
    <cfRule type="dataBar" priority="775">
      <dataBar>
        <cfvo type="min"/>
        <cfvo type="max"/>
        <color rgb="FF63C384"/>
      </dataBar>
      <extLst>
        <ext xmlns:x14="http://schemas.microsoft.com/office/spreadsheetml/2009/9/main" uri="{B025F937-C7B1-47D3-B67F-A62EFF666E3E}">
          <x14:id>{09FC1ACD-4442-4888-ACD5-91DCACB88F84}</x14:id>
        </ext>
      </extLst>
    </cfRule>
  </conditionalFormatting>
  <conditionalFormatting sqref="Q36">
    <cfRule type="cellIs" dxfId="5296" priority="774" operator="equal">
      <formula>"ja"</formula>
    </cfRule>
  </conditionalFormatting>
  <conditionalFormatting sqref="AG36">
    <cfRule type="dataBar" priority="773">
      <dataBar>
        <cfvo type="min"/>
        <cfvo type="max"/>
        <color rgb="FF63C384"/>
      </dataBar>
      <extLst>
        <ext xmlns:x14="http://schemas.microsoft.com/office/spreadsheetml/2009/9/main" uri="{B025F937-C7B1-47D3-B67F-A62EFF666E3E}">
          <x14:id>{C3972318-2B32-4C9E-968B-861FE94A69A4}</x14:id>
        </ext>
      </extLst>
    </cfRule>
  </conditionalFormatting>
  <conditionalFormatting sqref="AG36">
    <cfRule type="dataBar" priority="772">
      <dataBar>
        <cfvo type="min"/>
        <cfvo type="max"/>
        <color rgb="FF63C384"/>
      </dataBar>
      <extLst>
        <ext xmlns:x14="http://schemas.microsoft.com/office/spreadsheetml/2009/9/main" uri="{B025F937-C7B1-47D3-B67F-A62EFF666E3E}">
          <x14:id>{5C7ACE6F-B3C1-4B02-BAAE-96E28CED7A41}</x14:id>
        </ext>
      </extLst>
    </cfRule>
  </conditionalFormatting>
  <conditionalFormatting sqref="AG37">
    <cfRule type="dataBar" priority="771">
      <dataBar>
        <cfvo type="min"/>
        <cfvo type="max"/>
        <color rgb="FF63C384"/>
      </dataBar>
      <extLst>
        <ext xmlns:x14="http://schemas.microsoft.com/office/spreadsheetml/2009/9/main" uri="{B025F937-C7B1-47D3-B67F-A62EFF666E3E}">
          <x14:id>{1D860F66-3884-4B65-BC3F-ADAEE8C97804}</x14:id>
        </ext>
      </extLst>
    </cfRule>
  </conditionalFormatting>
  <conditionalFormatting sqref="AG37">
    <cfRule type="dataBar" priority="770">
      <dataBar>
        <cfvo type="min"/>
        <cfvo type="max"/>
        <color rgb="FF63C384"/>
      </dataBar>
      <extLst>
        <ext xmlns:x14="http://schemas.microsoft.com/office/spreadsheetml/2009/9/main" uri="{B025F937-C7B1-47D3-B67F-A62EFF666E3E}">
          <x14:id>{272C9E77-774F-4E30-B996-2B220BA9DF0B}</x14:id>
        </ext>
      </extLst>
    </cfRule>
  </conditionalFormatting>
  <conditionalFormatting sqref="Q37">
    <cfRule type="cellIs" dxfId="5295" priority="769" operator="equal">
      <formula>"ja"</formula>
    </cfRule>
  </conditionalFormatting>
  <conditionalFormatting sqref="Q37">
    <cfRule type="cellIs" dxfId="5294" priority="768" operator="equal">
      <formula>"ja"</formula>
    </cfRule>
  </conditionalFormatting>
  <conditionalFormatting sqref="AG38:AG39">
    <cfRule type="dataBar" priority="767">
      <dataBar>
        <cfvo type="min"/>
        <cfvo type="max"/>
        <color rgb="FF63C384"/>
      </dataBar>
      <extLst>
        <ext xmlns:x14="http://schemas.microsoft.com/office/spreadsheetml/2009/9/main" uri="{B025F937-C7B1-47D3-B67F-A62EFF666E3E}">
          <x14:id>{6CED8230-A190-4CC7-8662-8703C15A8C7E}</x14:id>
        </ext>
      </extLst>
    </cfRule>
  </conditionalFormatting>
  <conditionalFormatting sqref="AG38:AG39">
    <cfRule type="dataBar" priority="766">
      <dataBar>
        <cfvo type="min"/>
        <cfvo type="max"/>
        <color rgb="FF63C384"/>
      </dataBar>
      <extLst>
        <ext xmlns:x14="http://schemas.microsoft.com/office/spreadsheetml/2009/9/main" uri="{B025F937-C7B1-47D3-B67F-A62EFF666E3E}">
          <x14:id>{15E98ABE-0225-47B9-84D2-521872D89C5B}</x14:id>
        </ext>
      </extLst>
    </cfRule>
  </conditionalFormatting>
  <conditionalFormatting sqref="Q40">
    <cfRule type="cellIs" dxfId="5293" priority="765" operator="equal">
      <formula>"ja"</formula>
    </cfRule>
  </conditionalFormatting>
  <conditionalFormatting sqref="AG40">
    <cfRule type="dataBar" priority="764">
      <dataBar>
        <cfvo type="min"/>
        <cfvo type="max"/>
        <color rgb="FF63C384"/>
      </dataBar>
      <extLst>
        <ext xmlns:x14="http://schemas.microsoft.com/office/spreadsheetml/2009/9/main" uri="{B025F937-C7B1-47D3-B67F-A62EFF666E3E}">
          <x14:id>{2C68E705-D2FF-400D-9E85-5F34DC129D90}</x14:id>
        </ext>
      </extLst>
    </cfRule>
  </conditionalFormatting>
  <conditionalFormatting sqref="AG40">
    <cfRule type="dataBar" priority="763">
      <dataBar>
        <cfvo type="min"/>
        <cfvo type="max"/>
        <color rgb="FF63C384"/>
      </dataBar>
      <extLst>
        <ext xmlns:x14="http://schemas.microsoft.com/office/spreadsheetml/2009/9/main" uri="{B025F937-C7B1-47D3-B67F-A62EFF666E3E}">
          <x14:id>{A41016A2-00F5-4DF2-99E7-7D318AC0E0BB}</x14:id>
        </ext>
      </extLst>
    </cfRule>
  </conditionalFormatting>
  <conditionalFormatting sqref="AG40">
    <cfRule type="dataBar" priority="762">
      <dataBar>
        <cfvo type="min"/>
        <cfvo type="max"/>
        <color rgb="FF63C384"/>
      </dataBar>
      <extLst>
        <ext xmlns:x14="http://schemas.microsoft.com/office/spreadsheetml/2009/9/main" uri="{B025F937-C7B1-47D3-B67F-A62EFF666E3E}">
          <x14:id>{716A2EC6-3B77-4DD9-A412-751D9895933B}</x14:id>
        </ext>
      </extLst>
    </cfRule>
  </conditionalFormatting>
  <conditionalFormatting sqref="AG40">
    <cfRule type="dataBar" priority="761">
      <dataBar>
        <cfvo type="min"/>
        <cfvo type="max"/>
        <color rgb="FF63C384"/>
      </dataBar>
      <extLst>
        <ext xmlns:x14="http://schemas.microsoft.com/office/spreadsheetml/2009/9/main" uri="{B025F937-C7B1-47D3-B67F-A62EFF666E3E}">
          <x14:id>{4C1B3AF2-97D1-4ACB-95AF-04CFBA7168EC}</x14:id>
        </ext>
      </extLst>
    </cfRule>
  </conditionalFormatting>
  <conditionalFormatting sqref="Q40">
    <cfRule type="cellIs" dxfId="5292" priority="760" operator="equal">
      <formula>"ja"</formula>
    </cfRule>
  </conditionalFormatting>
  <conditionalFormatting sqref="AG41">
    <cfRule type="dataBar" priority="759">
      <dataBar>
        <cfvo type="min"/>
        <cfvo type="max"/>
        <color rgb="FF63C384"/>
      </dataBar>
      <extLst>
        <ext xmlns:x14="http://schemas.microsoft.com/office/spreadsheetml/2009/9/main" uri="{B025F937-C7B1-47D3-B67F-A62EFF666E3E}">
          <x14:id>{AFD21B1F-E7F5-4B02-AD59-B6843878484B}</x14:id>
        </ext>
      </extLst>
    </cfRule>
  </conditionalFormatting>
  <conditionalFormatting sqref="AG41">
    <cfRule type="dataBar" priority="758">
      <dataBar>
        <cfvo type="min"/>
        <cfvo type="max"/>
        <color rgb="FF63C384"/>
      </dataBar>
      <extLst>
        <ext xmlns:x14="http://schemas.microsoft.com/office/spreadsheetml/2009/9/main" uri="{B025F937-C7B1-47D3-B67F-A62EFF666E3E}">
          <x14:id>{FFDFBE66-EE07-4888-B60B-F69CCE3632E8}</x14:id>
        </ext>
      </extLst>
    </cfRule>
  </conditionalFormatting>
  <conditionalFormatting sqref="Q41">
    <cfRule type="cellIs" dxfId="5291" priority="757" operator="equal">
      <formula>"ja"</formula>
    </cfRule>
  </conditionalFormatting>
  <conditionalFormatting sqref="Q42">
    <cfRule type="cellIs" dxfId="5290" priority="756" operator="equal">
      <formula>"ja"</formula>
    </cfRule>
  </conditionalFormatting>
  <conditionalFormatting sqref="AG42">
    <cfRule type="dataBar" priority="755">
      <dataBar>
        <cfvo type="min"/>
        <cfvo type="max"/>
        <color rgb="FF63C384"/>
      </dataBar>
      <extLst>
        <ext xmlns:x14="http://schemas.microsoft.com/office/spreadsheetml/2009/9/main" uri="{B025F937-C7B1-47D3-B67F-A62EFF666E3E}">
          <x14:id>{9713F20A-E05C-4C9F-99EE-8492EE66F05E}</x14:id>
        </ext>
      </extLst>
    </cfRule>
  </conditionalFormatting>
  <conditionalFormatting sqref="AG42">
    <cfRule type="dataBar" priority="754">
      <dataBar>
        <cfvo type="min"/>
        <cfvo type="max"/>
        <color rgb="FF63C384"/>
      </dataBar>
      <extLst>
        <ext xmlns:x14="http://schemas.microsoft.com/office/spreadsheetml/2009/9/main" uri="{B025F937-C7B1-47D3-B67F-A62EFF666E3E}">
          <x14:id>{92901671-36EA-4F50-824A-AE2507C70CCC}</x14:id>
        </ext>
      </extLst>
    </cfRule>
  </conditionalFormatting>
  <conditionalFormatting sqref="Q43">
    <cfRule type="cellIs" dxfId="5289" priority="753" operator="equal">
      <formula>"ja"</formula>
    </cfRule>
  </conditionalFormatting>
  <conditionalFormatting sqref="AG43">
    <cfRule type="dataBar" priority="752">
      <dataBar>
        <cfvo type="min"/>
        <cfvo type="max"/>
        <color rgb="FF63C384"/>
      </dataBar>
      <extLst>
        <ext xmlns:x14="http://schemas.microsoft.com/office/spreadsheetml/2009/9/main" uri="{B025F937-C7B1-47D3-B67F-A62EFF666E3E}">
          <x14:id>{3DE3789D-CB49-40BF-B029-FA6FEEE99301}</x14:id>
        </ext>
      </extLst>
    </cfRule>
  </conditionalFormatting>
  <conditionalFormatting sqref="AG43">
    <cfRule type="dataBar" priority="751">
      <dataBar>
        <cfvo type="min"/>
        <cfvo type="max"/>
        <color rgb="FF63C384"/>
      </dataBar>
      <extLst>
        <ext xmlns:x14="http://schemas.microsoft.com/office/spreadsheetml/2009/9/main" uri="{B025F937-C7B1-47D3-B67F-A62EFF666E3E}">
          <x14:id>{6C3CA3FA-C348-4276-BF4F-55C4BE7F3867}</x14:id>
        </ext>
      </extLst>
    </cfRule>
  </conditionalFormatting>
  <conditionalFormatting sqref="Q45">
    <cfRule type="cellIs" dxfId="5288" priority="750" operator="equal">
      <formula>"ja"</formula>
    </cfRule>
  </conditionalFormatting>
  <conditionalFormatting sqref="Q45">
    <cfRule type="cellIs" dxfId="5287" priority="741" operator="equal">
      <formula>"ja"</formula>
    </cfRule>
  </conditionalFormatting>
  <conditionalFormatting sqref="AG45">
    <cfRule type="dataBar" priority="749">
      <dataBar>
        <cfvo type="min"/>
        <cfvo type="max"/>
        <color rgb="FF63C384"/>
      </dataBar>
      <extLst>
        <ext xmlns:x14="http://schemas.microsoft.com/office/spreadsheetml/2009/9/main" uri="{B025F937-C7B1-47D3-B67F-A62EFF666E3E}">
          <x14:id>{912C37DE-771A-436B-9506-502B73350ED0}</x14:id>
        </ext>
      </extLst>
    </cfRule>
  </conditionalFormatting>
  <conditionalFormatting sqref="AG45">
    <cfRule type="dataBar" priority="748">
      <dataBar>
        <cfvo type="min"/>
        <cfvo type="max"/>
        <color rgb="FF63C384"/>
      </dataBar>
      <extLst>
        <ext xmlns:x14="http://schemas.microsoft.com/office/spreadsheetml/2009/9/main" uri="{B025F937-C7B1-47D3-B67F-A62EFF666E3E}">
          <x14:id>{854E1B74-5190-4207-9ECA-33CC3E3296B8}</x14:id>
        </ext>
      </extLst>
    </cfRule>
  </conditionalFormatting>
  <conditionalFormatting sqref="Q45">
    <cfRule type="cellIs" dxfId="5286" priority="747" operator="equal">
      <formula>"ja"</formula>
    </cfRule>
  </conditionalFormatting>
  <conditionalFormatting sqref="AG45">
    <cfRule type="dataBar" priority="746">
      <dataBar>
        <cfvo type="min"/>
        <cfvo type="max"/>
        <color rgb="FF63C384"/>
      </dataBar>
      <extLst>
        <ext xmlns:x14="http://schemas.microsoft.com/office/spreadsheetml/2009/9/main" uri="{B025F937-C7B1-47D3-B67F-A62EFF666E3E}">
          <x14:id>{41D46DFC-E1AD-4A5C-816D-1130383E9C8E}</x14:id>
        </ext>
      </extLst>
    </cfRule>
  </conditionalFormatting>
  <conditionalFormatting sqref="AG45">
    <cfRule type="dataBar" priority="745">
      <dataBar>
        <cfvo type="min"/>
        <cfvo type="max"/>
        <color rgb="FF63C384"/>
      </dataBar>
      <extLst>
        <ext xmlns:x14="http://schemas.microsoft.com/office/spreadsheetml/2009/9/main" uri="{B025F937-C7B1-47D3-B67F-A62EFF666E3E}">
          <x14:id>{D16C4BC2-BA7A-4BD1-B7B0-E592F5728FFA}</x14:id>
        </ext>
      </extLst>
    </cfRule>
  </conditionalFormatting>
  <conditionalFormatting sqref="Q45">
    <cfRule type="cellIs" dxfId="5285" priority="744" operator="equal">
      <formula>"ja"</formula>
    </cfRule>
  </conditionalFormatting>
  <conditionalFormatting sqref="AG45">
    <cfRule type="dataBar" priority="743">
      <dataBar>
        <cfvo type="min"/>
        <cfvo type="max"/>
        <color rgb="FF63C384"/>
      </dataBar>
      <extLst>
        <ext xmlns:x14="http://schemas.microsoft.com/office/spreadsheetml/2009/9/main" uri="{B025F937-C7B1-47D3-B67F-A62EFF666E3E}">
          <x14:id>{A14D1251-4506-464D-AFA0-97B73B4426CC}</x14:id>
        </ext>
      </extLst>
    </cfRule>
  </conditionalFormatting>
  <conditionalFormatting sqref="AG45">
    <cfRule type="dataBar" priority="742">
      <dataBar>
        <cfvo type="min"/>
        <cfvo type="max"/>
        <color rgb="FF63C384"/>
      </dataBar>
      <extLst>
        <ext xmlns:x14="http://schemas.microsoft.com/office/spreadsheetml/2009/9/main" uri="{B025F937-C7B1-47D3-B67F-A62EFF666E3E}">
          <x14:id>{1120071D-6458-4DB1-94D6-384B3C5CDC84}</x14:id>
        </ext>
      </extLst>
    </cfRule>
  </conditionalFormatting>
  <conditionalFormatting sqref="AG45">
    <cfRule type="dataBar" priority="740">
      <dataBar>
        <cfvo type="min"/>
        <cfvo type="max"/>
        <color rgb="FF63C384"/>
      </dataBar>
      <extLst>
        <ext xmlns:x14="http://schemas.microsoft.com/office/spreadsheetml/2009/9/main" uri="{B025F937-C7B1-47D3-B67F-A62EFF666E3E}">
          <x14:id>{8F3D2019-C393-4A9E-A43F-D82DD106AA74}</x14:id>
        </ext>
      </extLst>
    </cfRule>
  </conditionalFormatting>
  <conditionalFormatting sqref="AG45">
    <cfRule type="dataBar" priority="739">
      <dataBar>
        <cfvo type="min"/>
        <cfvo type="max"/>
        <color rgb="FF63C384"/>
      </dataBar>
      <extLst>
        <ext xmlns:x14="http://schemas.microsoft.com/office/spreadsheetml/2009/9/main" uri="{B025F937-C7B1-47D3-B67F-A62EFF666E3E}">
          <x14:id>{B676D0F5-BD0F-4531-9DCD-CED95113CB43}</x14:id>
        </ext>
      </extLst>
    </cfRule>
  </conditionalFormatting>
  <conditionalFormatting sqref="Q44:Q45">
    <cfRule type="cellIs" dxfId="5284" priority="738" operator="equal">
      <formula>"ja"</formula>
    </cfRule>
  </conditionalFormatting>
  <conditionalFormatting sqref="AG44">
    <cfRule type="dataBar" priority="737">
      <dataBar>
        <cfvo type="min"/>
        <cfvo type="max"/>
        <color rgb="FF63C384"/>
      </dataBar>
      <extLst>
        <ext xmlns:x14="http://schemas.microsoft.com/office/spreadsheetml/2009/9/main" uri="{B025F937-C7B1-47D3-B67F-A62EFF666E3E}">
          <x14:id>{E6B6E8D4-66FA-49E0-A823-C5EE0CD47BBD}</x14:id>
        </ext>
      </extLst>
    </cfRule>
  </conditionalFormatting>
  <conditionalFormatting sqref="Q44:Q45">
    <cfRule type="cellIs" dxfId="5283" priority="736" operator="equal">
      <formula>"ja"</formula>
    </cfRule>
  </conditionalFormatting>
  <conditionalFormatting sqref="Q46:Q47">
    <cfRule type="cellIs" dxfId="5282" priority="735" operator="equal">
      <formula>"ja"</formula>
    </cfRule>
  </conditionalFormatting>
  <conditionalFormatting sqref="AG46">
    <cfRule type="dataBar" priority="734">
      <dataBar>
        <cfvo type="min"/>
        <cfvo type="max"/>
        <color rgb="FF63C384"/>
      </dataBar>
      <extLst>
        <ext xmlns:x14="http://schemas.microsoft.com/office/spreadsheetml/2009/9/main" uri="{B025F937-C7B1-47D3-B67F-A62EFF666E3E}">
          <x14:id>{6148C1AC-88F3-4A6D-8845-4E0AE44B52F9}</x14:id>
        </ext>
      </extLst>
    </cfRule>
  </conditionalFormatting>
  <conditionalFormatting sqref="Q46:Q47">
    <cfRule type="cellIs" dxfId="5281" priority="733" operator="equal">
      <formula>"ja"</formula>
    </cfRule>
  </conditionalFormatting>
  <conditionalFormatting sqref="Q48">
    <cfRule type="cellIs" dxfId="5280" priority="732" operator="equal">
      <formula>"ja"</formula>
    </cfRule>
  </conditionalFormatting>
  <conditionalFormatting sqref="AG48">
    <cfRule type="dataBar" priority="731">
      <dataBar>
        <cfvo type="min"/>
        <cfvo type="max"/>
        <color rgb="FF63C384"/>
      </dataBar>
      <extLst>
        <ext xmlns:x14="http://schemas.microsoft.com/office/spreadsheetml/2009/9/main" uri="{B025F937-C7B1-47D3-B67F-A62EFF666E3E}">
          <x14:id>{688EA4BD-49A0-44C4-B80B-A5787A81A482}</x14:id>
        </ext>
      </extLst>
    </cfRule>
  </conditionalFormatting>
  <conditionalFormatting sqref="AG48">
    <cfRule type="dataBar" priority="730">
      <dataBar>
        <cfvo type="min"/>
        <cfvo type="max"/>
        <color rgb="FF63C384"/>
      </dataBar>
      <extLst>
        <ext xmlns:x14="http://schemas.microsoft.com/office/spreadsheetml/2009/9/main" uri="{B025F937-C7B1-47D3-B67F-A62EFF666E3E}">
          <x14:id>{5D36E32A-F6EE-4CBB-B715-DA2CB2A67813}</x14:id>
        </ext>
      </extLst>
    </cfRule>
  </conditionalFormatting>
  <conditionalFormatting sqref="Q47">
    <cfRule type="cellIs" dxfId="5279" priority="729" operator="equal">
      <formula>"ja"</formula>
    </cfRule>
  </conditionalFormatting>
  <conditionalFormatting sqref="AG47">
    <cfRule type="dataBar" priority="728">
      <dataBar>
        <cfvo type="min"/>
        <cfvo type="max"/>
        <color rgb="FF63C384"/>
      </dataBar>
      <extLst>
        <ext xmlns:x14="http://schemas.microsoft.com/office/spreadsheetml/2009/9/main" uri="{B025F937-C7B1-47D3-B67F-A62EFF666E3E}">
          <x14:id>{8B1B77BD-39DD-421F-96B0-DE2C4B966917}</x14:id>
        </ext>
      </extLst>
    </cfRule>
  </conditionalFormatting>
  <conditionalFormatting sqref="AG47">
    <cfRule type="dataBar" priority="727">
      <dataBar>
        <cfvo type="min"/>
        <cfvo type="max"/>
        <color rgb="FF63C384"/>
      </dataBar>
      <extLst>
        <ext xmlns:x14="http://schemas.microsoft.com/office/spreadsheetml/2009/9/main" uri="{B025F937-C7B1-47D3-B67F-A62EFF666E3E}">
          <x14:id>{1662EE69-932C-41C1-AC62-929C05D8309F}</x14:id>
        </ext>
      </extLst>
    </cfRule>
  </conditionalFormatting>
  <conditionalFormatting sqref="Q47">
    <cfRule type="cellIs" dxfId="5278" priority="726" operator="equal">
      <formula>"ja"</formula>
    </cfRule>
  </conditionalFormatting>
  <conditionalFormatting sqref="AG47">
    <cfRule type="dataBar" priority="725">
      <dataBar>
        <cfvo type="min"/>
        <cfvo type="max"/>
        <color rgb="FF63C384"/>
      </dataBar>
      <extLst>
        <ext xmlns:x14="http://schemas.microsoft.com/office/spreadsheetml/2009/9/main" uri="{B025F937-C7B1-47D3-B67F-A62EFF666E3E}">
          <x14:id>{64E41112-05AF-4544-83BD-F2D2C58E7CDF}</x14:id>
        </ext>
      </extLst>
    </cfRule>
  </conditionalFormatting>
  <conditionalFormatting sqref="AG47">
    <cfRule type="dataBar" priority="724">
      <dataBar>
        <cfvo type="min"/>
        <cfvo type="max"/>
        <color rgb="FF63C384"/>
      </dataBar>
      <extLst>
        <ext xmlns:x14="http://schemas.microsoft.com/office/spreadsheetml/2009/9/main" uri="{B025F937-C7B1-47D3-B67F-A62EFF666E3E}">
          <x14:id>{CB657D50-5D51-4AEC-8DE4-4E48182D6244}</x14:id>
        </ext>
      </extLst>
    </cfRule>
  </conditionalFormatting>
  <conditionalFormatting sqref="AG49">
    <cfRule type="dataBar" priority="723">
      <dataBar>
        <cfvo type="min"/>
        <cfvo type="max"/>
        <color rgb="FF63C384"/>
      </dataBar>
      <extLst>
        <ext xmlns:x14="http://schemas.microsoft.com/office/spreadsheetml/2009/9/main" uri="{B025F937-C7B1-47D3-B67F-A62EFF666E3E}">
          <x14:id>{6D634221-EBF8-4EFC-BD0C-6BAFBF8827FC}</x14:id>
        </ext>
      </extLst>
    </cfRule>
  </conditionalFormatting>
  <conditionalFormatting sqref="AG49">
    <cfRule type="dataBar" priority="722">
      <dataBar>
        <cfvo type="min"/>
        <cfvo type="max"/>
        <color rgb="FF63C384"/>
      </dataBar>
      <extLst>
        <ext xmlns:x14="http://schemas.microsoft.com/office/spreadsheetml/2009/9/main" uri="{B025F937-C7B1-47D3-B67F-A62EFF666E3E}">
          <x14:id>{089BDEE5-D142-4C9D-A48B-D7428191689A}</x14:id>
        </ext>
      </extLst>
    </cfRule>
  </conditionalFormatting>
  <conditionalFormatting sqref="AG49">
    <cfRule type="dataBar" priority="721">
      <dataBar>
        <cfvo type="min"/>
        <cfvo type="max"/>
        <color rgb="FF63C384"/>
      </dataBar>
      <extLst>
        <ext xmlns:x14="http://schemas.microsoft.com/office/spreadsheetml/2009/9/main" uri="{B025F937-C7B1-47D3-B67F-A62EFF666E3E}">
          <x14:id>{596F8C04-94D8-4A1C-900A-15BD8C6941CA}</x14:id>
        </ext>
      </extLst>
    </cfRule>
  </conditionalFormatting>
  <conditionalFormatting sqref="AG49">
    <cfRule type="dataBar" priority="720">
      <dataBar>
        <cfvo type="min"/>
        <cfvo type="max"/>
        <color rgb="FF63C384"/>
      </dataBar>
      <extLst>
        <ext xmlns:x14="http://schemas.microsoft.com/office/spreadsheetml/2009/9/main" uri="{B025F937-C7B1-47D3-B67F-A62EFF666E3E}">
          <x14:id>{92FAFAAA-508A-444E-8B52-D6198FE5A456}</x14:id>
        </ext>
      </extLst>
    </cfRule>
  </conditionalFormatting>
  <conditionalFormatting sqref="AG52:AG54">
    <cfRule type="dataBar" priority="719">
      <dataBar>
        <cfvo type="min"/>
        <cfvo type="max"/>
        <color rgb="FF63C384"/>
      </dataBar>
      <extLst>
        <ext xmlns:x14="http://schemas.microsoft.com/office/spreadsheetml/2009/9/main" uri="{B025F937-C7B1-47D3-B67F-A62EFF666E3E}">
          <x14:id>{AF80682C-0C32-4B9F-9F7F-AF1C0785A0E3}</x14:id>
        </ext>
      </extLst>
    </cfRule>
  </conditionalFormatting>
  <conditionalFormatting sqref="AG52:AG54">
    <cfRule type="dataBar" priority="718">
      <dataBar>
        <cfvo type="min"/>
        <cfvo type="max"/>
        <color rgb="FF63C384"/>
      </dataBar>
      <extLst>
        <ext xmlns:x14="http://schemas.microsoft.com/office/spreadsheetml/2009/9/main" uri="{B025F937-C7B1-47D3-B67F-A62EFF666E3E}">
          <x14:id>{F27B82A7-40C9-42C9-AED5-3AF74543A05C}</x14:id>
        </ext>
      </extLst>
    </cfRule>
  </conditionalFormatting>
  <conditionalFormatting sqref="Q50:Q51">
    <cfRule type="cellIs" dxfId="5277" priority="717" operator="equal">
      <formula>"ja"</formula>
    </cfRule>
  </conditionalFormatting>
  <conditionalFormatting sqref="AG50:AG51">
    <cfRule type="dataBar" priority="716">
      <dataBar>
        <cfvo type="min"/>
        <cfvo type="max"/>
        <color rgb="FF63C384"/>
      </dataBar>
      <extLst>
        <ext xmlns:x14="http://schemas.microsoft.com/office/spreadsheetml/2009/9/main" uri="{B025F937-C7B1-47D3-B67F-A62EFF666E3E}">
          <x14:id>{646D9C7F-117E-4F22-BBF6-16ABD821AFD6}</x14:id>
        </ext>
      </extLst>
    </cfRule>
  </conditionalFormatting>
  <conditionalFormatting sqref="Q50:Q51">
    <cfRule type="cellIs" dxfId="5276" priority="715" operator="equal">
      <formula>"ja"</formula>
    </cfRule>
  </conditionalFormatting>
  <conditionalFormatting sqref="Q50:Q51">
    <cfRule type="cellIs" dxfId="5275" priority="714" operator="equal">
      <formula>"ja"</formula>
    </cfRule>
  </conditionalFormatting>
  <conditionalFormatting sqref="AG56">
    <cfRule type="dataBar" priority="713">
      <dataBar>
        <cfvo type="min"/>
        <cfvo type="max"/>
        <color rgb="FF63C384"/>
      </dataBar>
      <extLst>
        <ext xmlns:x14="http://schemas.microsoft.com/office/spreadsheetml/2009/9/main" uri="{B025F937-C7B1-47D3-B67F-A62EFF666E3E}">
          <x14:id>{D32E66EA-66D3-4DF3-88BB-EAACE41E3832}</x14:id>
        </ext>
      </extLst>
    </cfRule>
  </conditionalFormatting>
  <conditionalFormatting sqref="AG56">
    <cfRule type="dataBar" priority="712">
      <dataBar>
        <cfvo type="min"/>
        <cfvo type="max"/>
        <color rgb="FF63C384"/>
      </dataBar>
      <extLst>
        <ext xmlns:x14="http://schemas.microsoft.com/office/spreadsheetml/2009/9/main" uri="{B025F937-C7B1-47D3-B67F-A62EFF666E3E}">
          <x14:id>{50DB91CD-AE37-4B9F-BED1-1C822918D16B}</x14:id>
        </ext>
      </extLst>
    </cfRule>
  </conditionalFormatting>
  <conditionalFormatting sqref="Q56">
    <cfRule type="cellIs" dxfId="5274" priority="711" operator="equal">
      <formula>"ja"</formula>
    </cfRule>
  </conditionalFormatting>
  <conditionalFormatting sqref="Q56">
    <cfRule type="cellIs" dxfId="5273" priority="710" operator="equal">
      <formula>"ja"</formula>
    </cfRule>
  </conditionalFormatting>
  <conditionalFormatting sqref="Q57">
    <cfRule type="cellIs" dxfId="5272" priority="709" operator="equal">
      <formula>"ja"</formula>
    </cfRule>
  </conditionalFormatting>
  <conditionalFormatting sqref="AG57">
    <cfRule type="dataBar" priority="708">
      <dataBar>
        <cfvo type="min"/>
        <cfvo type="max"/>
        <color rgb="FF63C384"/>
      </dataBar>
      <extLst>
        <ext xmlns:x14="http://schemas.microsoft.com/office/spreadsheetml/2009/9/main" uri="{B025F937-C7B1-47D3-B67F-A62EFF666E3E}">
          <x14:id>{CC9B0E91-8B25-4A1D-B05F-3AB47A2CDC2D}</x14:id>
        </ext>
      </extLst>
    </cfRule>
  </conditionalFormatting>
  <conditionalFormatting sqref="AG57">
    <cfRule type="dataBar" priority="707">
      <dataBar>
        <cfvo type="min"/>
        <cfvo type="max"/>
        <color rgb="FF63C384"/>
      </dataBar>
      <extLst>
        <ext xmlns:x14="http://schemas.microsoft.com/office/spreadsheetml/2009/9/main" uri="{B025F937-C7B1-47D3-B67F-A62EFF666E3E}">
          <x14:id>{4CCCD723-025D-4EB1-89D2-FD0B566A34E0}</x14:id>
        </ext>
      </extLst>
    </cfRule>
  </conditionalFormatting>
  <conditionalFormatting sqref="AG57">
    <cfRule type="dataBar" priority="706">
      <dataBar>
        <cfvo type="min"/>
        <cfvo type="max"/>
        <color rgb="FF63C384"/>
      </dataBar>
      <extLst>
        <ext xmlns:x14="http://schemas.microsoft.com/office/spreadsheetml/2009/9/main" uri="{B025F937-C7B1-47D3-B67F-A62EFF666E3E}">
          <x14:id>{0116130E-0EFC-4E81-8E57-C43EE2CA7CE9}</x14:id>
        </ext>
      </extLst>
    </cfRule>
  </conditionalFormatting>
  <conditionalFormatting sqref="AG57">
    <cfRule type="dataBar" priority="705">
      <dataBar>
        <cfvo type="min"/>
        <cfvo type="max"/>
        <color rgb="FF63C384"/>
      </dataBar>
      <extLst>
        <ext xmlns:x14="http://schemas.microsoft.com/office/spreadsheetml/2009/9/main" uri="{B025F937-C7B1-47D3-B67F-A62EFF666E3E}">
          <x14:id>{9B88EF0C-D902-4801-8B8F-E0199E6A0560}</x14:id>
        </ext>
      </extLst>
    </cfRule>
  </conditionalFormatting>
  <conditionalFormatting sqref="Q57">
    <cfRule type="cellIs" dxfId="5271" priority="704" operator="equal">
      <formula>"ja"</formula>
    </cfRule>
  </conditionalFormatting>
  <conditionalFormatting sqref="AA58">
    <cfRule type="expression" dxfId="5270" priority="703">
      <formula>AND(AND($W58&lt;TODAY(),$W58&lt;&gt;""),$X58="")</formula>
    </cfRule>
  </conditionalFormatting>
  <conditionalFormatting sqref="Q58">
    <cfRule type="cellIs" dxfId="5269" priority="702" operator="equal">
      <formula>"ja"</formula>
    </cfRule>
  </conditionalFormatting>
  <conditionalFormatting sqref="AG58">
    <cfRule type="dataBar" priority="701">
      <dataBar>
        <cfvo type="min"/>
        <cfvo type="max"/>
        <color rgb="FF63C384"/>
      </dataBar>
      <extLst>
        <ext xmlns:x14="http://schemas.microsoft.com/office/spreadsheetml/2009/9/main" uri="{B025F937-C7B1-47D3-B67F-A62EFF666E3E}">
          <x14:id>{8233BD2C-70C8-4F99-A9FA-FBDA984CE93F}</x14:id>
        </ext>
      </extLst>
    </cfRule>
  </conditionalFormatting>
  <conditionalFormatting sqref="AG58">
    <cfRule type="dataBar" priority="700">
      <dataBar>
        <cfvo type="min"/>
        <cfvo type="max"/>
        <color rgb="FF63C384"/>
      </dataBar>
      <extLst>
        <ext xmlns:x14="http://schemas.microsoft.com/office/spreadsheetml/2009/9/main" uri="{B025F937-C7B1-47D3-B67F-A62EFF666E3E}">
          <x14:id>{E62DD41E-2EB3-4C2C-9D82-87C7F2401EBE}</x14:id>
        </ext>
      </extLst>
    </cfRule>
  </conditionalFormatting>
  <conditionalFormatting sqref="Q59">
    <cfRule type="cellIs" dxfId="5268" priority="699" operator="equal">
      <formula>"ja"</formula>
    </cfRule>
  </conditionalFormatting>
  <conditionalFormatting sqref="AA59">
    <cfRule type="expression" dxfId="5267" priority="698">
      <formula>AND(AND($W59&lt;TODAY(),$W59&lt;&gt;""),$X59="")</formula>
    </cfRule>
  </conditionalFormatting>
  <conditionalFormatting sqref="AG59">
    <cfRule type="dataBar" priority="697">
      <dataBar>
        <cfvo type="min"/>
        <cfvo type="max"/>
        <color rgb="FF63C384"/>
      </dataBar>
      <extLst>
        <ext xmlns:x14="http://schemas.microsoft.com/office/spreadsheetml/2009/9/main" uri="{B025F937-C7B1-47D3-B67F-A62EFF666E3E}">
          <x14:id>{B6C5DAE6-4106-4792-B765-1FBB547A0066}</x14:id>
        </ext>
      </extLst>
    </cfRule>
  </conditionalFormatting>
  <conditionalFormatting sqref="AG59">
    <cfRule type="dataBar" priority="696">
      <dataBar>
        <cfvo type="min"/>
        <cfvo type="max"/>
        <color rgb="FF63C384"/>
      </dataBar>
      <extLst>
        <ext xmlns:x14="http://schemas.microsoft.com/office/spreadsheetml/2009/9/main" uri="{B025F937-C7B1-47D3-B67F-A62EFF666E3E}">
          <x14:id>{A76FDB57-291C-4410-9967-D3094AF3D8BE}</x14:id>
        </ext>
      </extLst>
    </cfRule>
  </conditionalFormatting>
  <conditionalFormatting sqref="AA60">
    <cfRule type="expression" dxfId="5266" priority="695">
      <formula>AND(AND($W60&lt;TODAY(),$W60&lt;&gt;""),$X60="")</formula>
    </cfRule>
  </conditionalFormatting>
  <conditionalFormatting sqref="Q60">
    <cfRule type="cellIs" dxfId="5265" priority="694" operator="equal">
      <formula>"ja"</formula>
    </cfRule>
  </conditionalFormatting>
  <conditionalFormatting sqref="AG60">
    <cfRule type="dataBar" priority="693">
      <dataBar>
        <cfvo type="min"/>
        <cfvo type="max"/>
        <color rgb="FF63C384"/>
      </dataBar>
      <extLst>
        <ext xmlns:x14="http://schemas.microsoft.com/office/spreadsheetml/2009/9/main" uri="{B025F937-C7B1-47D3-B67F-A62EFF666E3E}">
          <x14:id>{C0F34EE5-5E33-44D4-9AE2-D3D6289EAFF6}</x14:id>
        </ext>
      </extLst>
    </cfRule>
  </conditionalFormatting>
  <conditionalFormatting sqref="AG60">
    <cfRule type="dataBar" priority="692">
      <dataBar>
        <cfvo type="min"/>
        <cfvo type="max"/>
        <color rgb="FF63C384"/>
      </dataBar>
      <extLst>
        <ext xmlns:x14="http://schemas.microsoft.com/office/spreadsheetml/2009/9/main" uri="{B025F937-C7B1-47D3-B67F-A62EFF666E3E}">
          <x14:id>{D1130922-0004-4AF9-9F68-852AF51B7E08}</x14:id>
        </ext>
      </extLst>
    </cfRule>
  </conditionalFormatting>
  <conditionalFormatting sqref="AA61">
    <cfRule type="expression" dxfId="5264" priority="691">
      <formula>AND(AND($W61&lt;TODAY(),$W61&lt;&gt;""),$X61="")</formula>
    </cfRule>
  </conditionalFormatting>
  <conditionalFormatting sqref="AG61">
    <cfRule type="dataBar" priority="690">
      <dataBar>
        <cfvo type="min"/>
        <cfvo type="max"/>
        <color rgb="FF63C384"/>
      </dataBar>
      <extLst>
        <ext xmlns:x14="http://schemas.microsoft.com/office/spreadsheetml/2009/9/main" uri="{B025F937-C7B1-47D3-B67F-A62EFF666E3E}">
          <x14:id>{F900A940-7D64-42AF-8402-0176AEDB0A94}</x14:id>
        </ext>
      </extLst>
    </cfRule>
  </conditionalFormatting>
  <conditionalFormatting sqref="AG61">
    <cfRule type="dataBar" priority="689">
      <dataBar>
        <cfvo type="min"/>
        <cfvo type="max"/>
        <color rgb="FF63C384"/>
      </dataBar>
      <extLst>
        <ext xmlns:x14="http://schemas.microsoft.com/office/spreadsheetml/2009/9/main" uri="{B025F937-C7B1-47D3-B67F-A62EFF666E3E}">
          <x14:id>{63EB8342-9C97-434B-925D-2DCD3D45A745}</x14:id>
        </ext>
      </extLst>
    </cfRule>
  </conditionalFormatting>
  <conditionalFormatting sqref="Q61">
    <cfRule type="cellIs" dxfId="5263" priority="688" operator="equal">
      <formula>"ja"</formula>
    </cfRule>
  </conditionalFormatting>
  <conditionalFormatting sqref="AG61">
    <cfRule type="dataBar" priority="687">
      <dataBar>
        <cfvo type="min"/>
        <cfvo type="max"/>
        <color rgb="FF63C384"/>
      </dataBar>
      <extLst>
        <ext xmlns:x14="http://schemas.microsoft.com/office/spreadsheetml/2009/9/main" uri="{B025F937-C7B1-47D3-B67F-A62EFF666E3E}">
          <x14:id>{4B0CB4AF-0860-4C3C-8271-42ADFC942D60}</x14:id>
        </ext>
      </extLst>
    </cfRule>
  </conditionalFormatting>
  <conditionalFormatting sqref="AG61">
    <cfRule type="dataBar" priority="686">
      <dataBar>
        <cfvo type="min"/>
        <cfvo type="max"/>
        <color rgb="FF63C384"/>
      </dataBar>
      <extLst>
        <ext xmlns:x14="http://schemas.microsoft.com/office/spreadsheetml/2009/9/main" uri="{B025F937-C7B1-47D3-B67F-A62EFF666E3E}">
          <x14:id>{F7831345-C8AD-42AD-8FD4-0BD138594EB2}</x14:id>
        </ext>
      </extLst>
    </cfRule>
  </conditionalFormatting>
  <conditionalFormatting sqref="Q62">
    <cfRule type="cellIs" dxfId="5262" priority="685" operator="equal">
      <formula>"ja"</formula>
    </cfRule>
  </conditionalFormatting>
  <conditionalFormatting sqref="AA62">
    <cfRule type="expression" dxfId="5261" priority="684">
      <formula>AND(AND($W62&lt;TODAY(),$W62&lt;&gt;""),$X62="")</formula>
    </cfRule>
  </conditionalFormatting>
  <conditionalFormatting sqref="AG62">
    <cfRule type="dataBar" priority="683">
      <dataBar>
        <cfvo type="min"/>
        <cfvo type="max"/>
        <color rgb="FF63C384"/>
      </dataBar>
      <extLst>
        <ext xmlns:x14="http://schemas.microsoft.com/office/spreadsheetml/2009/9/main" uri="{B025F937-C7B1-47D3-B67F-A62EFF666E3E}">
          <x14:id>{16FF93E8-D074-44A4-B64F-52419B4F87F4}</x14:id>
        </ext>
      </extLst>
    </cfRule>
  </conditionalFormatting>
  <conditionalFormatting sqref="AG62">
    <cfRule type="dataBar" priority="682">
      <dataBar>
        <cfvo type="min"/>
        <cfvo type="max"/>
        <color rgb="FF63C384"/>
      </dataBar>
      <extLst>
        <ext xmlns:x14="http://schemas.microsoft.com/office/spreadsheetml/2009/9/main" uri="{B025F937-C7B1-47D3-B67F-A62EFF666E3E}">
          <x14:id>{3B91D8B2-355F-4B80-89B4-E05794211576}</x14:id>
        </ext>
      </extLst>
    </cfRule>
  </conditionalFormatting>
  <conditionalFormatting sqref="Q62">
    <cfRule type="cellIs" dxfId="5260" priority="681" operator="equal">
      <formula>"ja"</formula>
    </cfRule>
  </conditionalFormatting>
  <conditionalFormatting sqref="AA62">
    <cfRule type="expression" dxfId="5259" priority="680">
      <formula>AND(AND($W62&lt;TODAY(),$W62&lt;&gt;""),$X62="")</formula>
    </cfRule>
  </conditionalFormatting>
  <conditionalFormatting sqref="AG62">
    <cfRule type="dataBar" priority="679">
      <dataBar>
        <cfvo type="min"/>
        <cfvo type="max"/>
        <color rgb="FF63C384"/>
      </dataBar>
      <extLst>
        <ext xmlns:x14="http://schemas.microsoft.com/office/spreadsheetml/2009/9/main" uri="{B025F937-C7B1-47D3-B67F-A62EFF666E3E}">
          <x14:id>{6A281752-347F-486A-A941-8C024C3B2011}</x14:id>
        </ext>
      </extLst>
    </cfRule>
  </conditionalFormatting>
  <conditionalFormatting sqref="AG62">
    <cfRule type="dataBar" priority="678">
      <dataBar>
        <cfvo type="min"/>
        <cfvo type="max"/>
        <color rgb="FF63C384"/>
      </dataBar>
      <extLst>
        <ext xmlns:x14="http://schemas.microsoft.com/office/spreadsheetml/2009/9/main" uri="{B025F937-C7B1-47D3-B67F-A62EFF666E3E}">
          <x14:id>{803B9E59-67F9-4880-BC0F-118FD96B3B9B}</x14:id>
        </ext>
      </extLst>
    </cfRule>
  </conditionalFormatting>
  <conditionalFormatting sqref="Q63">
    <cfRule type="cellIs" dxfId="5258" priority="677" operator="equal">
      <formula>"ja"</formula>
    </cfRule>
  </conditionalFormatting>
  <conditionalFormatting sqref="AA63">
    <cfRule type="expression" dxfId="5257" priority="676">
      <formula>AND(AND($W63&lt;TODAY(),$W63&lt;&gt;""),$X63="")</formula>
    </cfRule>
  </conditionalFormatting>
  <conditionalFormatting sqref="AG63">
    <cfRule type="dataBar" priority="675">
      <dataBar>
        <cfvo type="min"/>
        <cfvo type="max"/>
        <color rgb="FF63C384"/>
      </dataBar>
      <extLst>
        <ext xmlns:x14="http://schemas.microsoft.com/office/spreadsheetml/2009/9/main" uri="{B025F937-C7B1-47D3-B67F-A62EFF666E3E}">
          <x14:id>{403E2242-73C4-48E0-81C5-0BAA01EA71C8}</x14:id>
        </ext>
      </extLst>
    </cfRule>
  </conditionalFormatting>
  <conditionalFormatting sqref="AG63">
    <cfRule type="dataBar" priority="674">
      <dataBar>
        <cfvo type="min"/>
        <cfvo type="max"/>
        <color rgb="FF63C384"/>
      </dataBar>
      <extLst>
        <ext xmlns:x14="http://schemas.microsoft.com/office/spreadsheetml/2009/9/main" uri="{B025F937-C7B1-47D3-B67F-A62EFF666E3E}">
          <x14:id>{657D0C09-7DBC-4AF3-9E41-97337D721134}</x14:id>
        </ext>
      </extLst>
    </cfRule>
  </conditionalFormatting>
  <conditionalFormatting sqref="AA64">
    <cfRule type="expression" dxfId="5256" priority="673">
      <formula>AND(AND($W64&lt;TODAY(),$W64&lt;&gt;""),$X64="")</formula>
    </cfRule>
  </conditionalFormatting>
  <conditionalFormatting sqref="AG64">
    <cfRule type="dataBar" priority="672">
      <dataBar>
        <cfvo type="min"/>
        <cfvo type="max"/>
        <color rgb="FF63C384"/>
      </dataBar>
      <extLst>
        <ext xmlns:x14="http://schemas.microsoft.com/office/spreadsheetml/2009/9/main" uri="{B025F937-C7B1-47D3-B67F-A62EFF666E3E}">
          <x14:id>{A17E264C-08EA-47F8-9A18-24F12E325CE9}</x14:id>
        </ext>
      </extLst>
    </cfRule>
  </conditionalFormatting>
  <conditionalFormatting sqref="AG64">
    <cfRule type="dataBar" priority="671">
      <dataBar>
        <cfvo type="min"/>
        <cfvo type="max"/>
        <color rgb="FF63C384"/>
      </dataBar>
      <extLst>
        <ext xmlns:x14="http://schemas.microsoft.com/office/spreadsheetml/2009/9/main" uri="{B025F937-C7B1-47D3-B67F-A62EFF666E3E}">
          <x14:id>{A7272B36-99D3-4A20-8308-317A585F1B31}</x14:id>
        </ext>
      </extLst>
    </cfRule>
  </conditionalFormatting>
  <conditionalFormatting sqref="Q64">
    <cfRule type="cellIs" dxfId="5255" priority="670" operator="equal">
      <formula>"ja"</formula>
    </cfRule>
  </conditionalFormatting>
  <conditionalFormatting sqref="AA65:AA66">
    <cfRule type="expression" dxfId="5254" priority="669">
      <formula>AND(AND($W65&lt;TODAY(),$W65&lt;&gt;""),$X65="")</formula>
    </cfRule>
  </conditionalFormatting>
  <conditionalFormatting sqref="Q65">
    <cfRule type="cellIs" dxfId="5253" priority="668" operator="equal">
      <formula>"ja"</formula>
    </cfRule>
  </conditionalFormatting>
  <conditionalFormatting sqref="AG65:AG66">
    <cfRule type="dataBar" priority="667">
      <dataBar>
        <cfvo type="min"/>
        <cfvo type="max"/>
        <color rgb="FF63C384"/>
      </dataBar>
      <extLst>
        <ext xmlns:x14="http://schemas.microsoft.com/office/spreadsheetml/2009/9/main" uri="{B025F937-C7B1-47D3-B67F-A62EFF666E3E}">
          <x14:id>{C2D69CEA-7AD8-4562-B5D3-8B5645C3E909}</x14:id>
        </ext>
      </extLst>
    </cfRule>
  </conditionalFormatting>
  <conditionalFormatting sqref="AG65:AG66">
    <cfRule type="dataBar" priority="666">
      <dataBar>
        <cfvo type="min"/>
        <cfvo type="max"/>
        <color rgb="FF63C384"/>
      </dataBar>
      <extLst>
        <ext xmlns:x14="http://schemas.microsoft.com/office/spreadsheetml/2009/9/main" uri="{B025F937-C7B1-47D3-B67F-A62EFF666E3E}">
          <x14:id>{63C8ADAD-99CE-403F-B540-F0FAA9C3C41C}</x14:id>
        </ext>
      </extLst>
    </cfRule>
  </conditionalFormatting>
  <conditionalFormatting sqref="AA67">
    <cfRule type="expression" dxfId="5252" priority="665">
      <formula>AND(AND($W67&lt;TODAY(),$W67&lt;&gt;""),$X67="")</formula>
    </cfRule>
  </conditionalFormatting>
  <conditionalFormatting sqref="Q67">
    <cfRule type="cellIs" dxfId="5251" priority="664" operator="equal">
      <formula>"ja"</formula>
    </cfRule>
  </conditionalFormatting>
  <conditionalFormatting sqref="Q67">
    <cfRule type="cellIs" dxfId="5250" priority="655" operator="equal">
      <formula>"ja"</formula>
    </cfRule>
  </conditionalFormatting>
  <conditionalFormatting sqref="AG67">
    <cfRule type="dataBar" priority="663">
      <dataBar>
        <cfvo type="min"/>
        <cfvo type="max"/>
        <color rgb="FF63C384"/>
      </dataBar>
      <extLst>
        <ext xmlns:x14="http://schemas.microsoft.com/office/spreadsheetml/2009/9/main" uri="{B025F937-C7B1-47D3-B67F-A62EFF666E3E}">
          <x14:id>{3686D245-81EB-44E6-9BBE-4285BA577761}</x14:id>
        </ext>
      </extLst>
    </cfRule>
  </conditionalFormatting>
  <conditionalFormatting sqref="AG67">
    <cfRule type="dataBar" priority="662">
      <dataBar>
        <cfvo type="min"/>
        <cfvo type="max"/>
        <color rgb="FF63C384"/>
      </dataBar>
      <extLst>
        <ext xmlns:x14="http://schemas.microsoft.com/office/spreadsheetml/2009/9/main" uri="{B025F937-C7B1-47D3-B67F-A62EFF666E3E}">
          <x14:id>{41691B18-B939-478D-8B71-1E9078BA8BA8}</x14:id>
        </ext>
      </extLst>
    </cfRule>
  </conditionalFormatting>
  <conditionalFormatting sqref="Q67">
    <cfRule type="cellIs" dxfId="5249" priority="661" operator="equal">
      <formula>"ja"</formula>
    </cfRule>
  </conditionalFormatting>
  <conditionalFormatting sqref="AG67">
    <cfRule type="dataBar" priority="660">
      <dataBar>
        <cfvo type="min"/>
        <cfvo type="max"/>
        <color rgb="FF63C384"/>
      </dataBar>
      <extLst>
        <ext xmlns:x14="http://schemas.microsoft.com/office/spreadsheetml/2009/9/main" uri="{B025F937-C7B1-47D3-B67F-A62EFF666E3E}">
          <x14:id>{5EFC951F-110D-43E2-92E9-D5D508B06AE8}</x14:id>
        </ext>
      </extLst>
    </cfRule>
  </conditionalFormatting>
  <conditionalFormatting sqref="AG67">
    <cfRule type="dataBar" priority="659">
      <dataBar>
        <cfvo type="min"/>
        <cfvo type="max"/>
        <color rgb="FF63C384"/>
      </dataBar>
      <extLst>
        <ext xmlns:x14="http://schemas.microsoft.com/office/spreadsheetml/2009/9/main" uri="{B025F937-C7B1-47D3-B67F-A62EFF666E3E}">
          <x14:id>{9AB14837-B246-4228-B10B-7D74E9D2AA03}</x14:id>
        </ext>
      </extLst>
    </cfRule>
  </conditionalFormatting>
  <conditionalFormatting sqref="Q67">
    <cfRule type="cellIs" dxfId="5248" priority="658" operator="equal">
      <formula>"ja"</formula>
    </cfRule>
  </conditionalFormatting>
  <conditionalFormatting sqref="AG67">
    <cfRule type="dataBar" priority="657">
      <dataBar>
        <cfvo type="min"/>
        <cfvo type="max"/>
        <color rgb="FF63C384"/>
      </dataBar>
      <extLst>
        <ext xmlns:x14="http://schemas.microsoft.com/office/spreadsheetml/2009/9/main" uri="{B025F937-C7B1-47D3-B67F-A62EFF666E3E}">
          <x14:id>{8D4C0E12-613C-423B-8DEC-FC671C3CB0F2}</x14:id>
        </ext>
      </extLst>
    </cfRule>
  </conditionalFormatting>
  <conditionalFormatting sqref="AG67">
    <cfRule type="dataBar" priority="656">
      <dataBar>
        <cfvo type="min"/>
        <cfvo type="max"/>
        <color rgb="FF63C384"/>
      </dataBar>
      <extLst>
        <ext xmlns:x14="http://schemas.microsoft.com/office/spreadsheetml/2009/9/main" uri="{B025F937-C7B1-47D3-B67F-A62EFF666E3E}">
          <x14:id>{F215C24E-16D2-4A85-8F4F-4CD29FED97A8}</x14:id>
        </ext>
      </extLst>
    </cfRule>
  </conditionalFormatting>
  <conditionalFormatting sqref="AG67">
    <cfRule type="dataBar" priority="654">
      <dataBar>
        <cfvo type="min"/>
        <cfvo type="max"/>
        <color rgb="FF63C384"/>
      </dataBar>
      <extLst>
        <ext xmlns:x14="http://schemas.microsoft.com/office/spreadsheetml/2009/9/main" uri="{B025F937-C7B1-47D3-B67F-A62EFF666E3E}">
          <x14:id>{047BFEA3-4B70-420B-AADF-B2B8B507130F}</x14:id>
        </ext>
      </extLst>
    </cfRule>
  </conditionalFormatting>
  <conditionalFormatting sqref="AG67">
    <cfRule type="dataBar" priority="653">
      <dataBar>
        <cfvo type="min"/>
        <cfvo type="max"/>
        <color rgb="FF63C384"/>
      </dataBar>
      <extLst>
        <ext xmlns:x14="http://schemas.microsoft.com/office/spreadsheetml/2009/9/main" uri="{B025F937-C7B1-47D3-B67F-A62EFF666E3E}">
          <x14:id>{1A638CFB-4CEC-491D-A090-ED9C417EA712}</x14:id>
        </ext>
      </extLst>
    </cfRule>
  </conditionalFormatting>
  <conditionalFormatting sqref="Q67">
    <cfRule type="cellIs" dxfId="5247" priority="652" operator="equal">
      <formula>"ja"</formula>
    </cfRule>
  </conditionalFormatting>
  <conditionalFormatting sqref="Q67">
    <cfRule type="cellIs" dxfId="5246" priority="651" operator="equal">
      <formula>"ja"</formula>
    </cfRule>
  </conditionalFormatting>
  <conditionalFormatting sqref="AA68">
    <cfRule type="expression" dxfId="5245" priority="650">
      <formula>AND(AND($W68&lt;TODAY(),$W68&lt;&gt;""),$X68="")</formula>
    </cfRule>
  </conditionalFormatting>
  <conditionalFormatting sqref="Q68">
    <cfRule type="cellIs" dxfId="5244" priority="649" operator="equal">
      <formula>"ja"</formula>
    </cfRule>
  </conditionalFormatting>
  <conditionalFormatting sqref="AG68">
    <cfRule type="dataBar" priority="648">
      <dataBar>
        <cfvo type="min"/>
        <cfvo type="max"/>
        <color rgb="FF63C384"/>
      </dataBar>
      <extLst>
        <ext xmlns:x14="http://schemas.microsoft.com/office/spreadsheetml/2009/9/main" uri="{B025F937-C7B1-47D3-B67F-A62EFF666E3E}">
          <x14:id>{ABE77069-9DBE-4F6B-873D-9ED20E140E03}</x14:id>
        </ext>
      </extLst>
    </cfRule>
  </conditionalFormatting>
  <conditionalFormatting sqref="AG68">
    <cfRule type="dataBar" priority="647">
      <dataBar>
        <cfvo type="min"/>
        <cfvo type="max"/>
        <color rgb="FF63C384"/>
      </dataBar>
      <extLst>
        <ext xmlns:x14="http://schemas.microsoft.com/office/spreadsheetml/2009/9/main" uri="{B025F937-C7B1-47D3-B67F-A62EFF666E3E}">
          <x14:id>{F00E872C-03D3-437D-AB15-9A2CCF798165}</x14:id>
        </ext>
      </extLst>
    </cfRule>
  </conditionalFormatting>
  <conditionalFormatting sqref="AA69">
    <cfRule type="expression" dxfId="5243" priority="646">
      <formula>AND(AND($W69&lt;TODAY(),$W69&lt;&gt;""),$X69="")</formula>
    </cfRule>
  </conditionalFormatting>
  <conditionalFormatting sqref="Q69">
    <cfRule type="cellIs" dxfId="5242" priority="645" operator="equal">
      <formula>"ja"</formula>
    </cfRule>
  </conditionalFormatting>
  <conditionalFormatting sqref="AG69">
    <cfRule type="dataBar" priority="644">
      <dataBar>
        <cfvo type="min"/>
        <cfvo type="max"/>
        <color rgb="FF63C384"/>
      </dataBar>
      <extLst>
        <ext xmlns:x14="http://schemas.microsoft.com/office/spreadsheetml/2009/9/main" uri="{B025F937-C7B1-47D3-B67F-A62EFF666E3E}">
          <x14:id>{95A82544-C051-4572-9C29-BC656541FCD4}</x14:id>
        </ext>
      </extLst>
    </cfRule>
  </conditionalFormatting>
  <conditionalFormatting sqref="Q69">
    <cfRule type="cellIs" dxfId="5241" priority="643" operator="equal">
      <formula>"ja"</formula>
    </cfRule>
  </conditionalFormatting>
  <conditionalFormatting sqref="AA70">
    <cfRule type="expression" dxfId="5240" priority="642">
      <formula>AND(AND($W70&lt;TODAY(),$W70&lt;&gt;""),$X70="")</formula>
    </cfRule>
  </conditionalFormatting>
  <conditionalFormatting sqref="Q70">
    <cfRule type="cellIs" dxfId="5239" priority="641" operator="equal">
      <formula>"ja"</formula>
    </cfRule>
  </conditionalFormatting>
  <conditionalFormatting sqref="AG70">
    <cfRule type="dataBar" priority="640">
      <dataBar>
        <cfvo type="min"/>
        <cfvo type="max"/>
        <color rgb="FF63C384"/>
      </dataBar>
      <extLst>
        <ext xmlns:x14="http://schemas.microsoft.com/office/spreadsheetml/2009/9/main" uri="{B025F937-C7B1-47D3-B67F-A62EFF666E3E}">
          <x14:id>{7FF27BEA-60C7-449F-BDF0-34A8A7985059}</x14:id>
        </ext>
      </extLst>
    </cfRule>
  </conditionalFormatting>
  <conditionalFormatting sqref="Q70">
    <cfRule type="cellIs" dxfId="5238" priority="639" operator="equal">
      <formula>"ja"</formula>
    </cfRule>
  </conditionalFormatting>
  <conditionalFormatting sqref="AA71">
    <cfRule type="expression" dxfId="5237" priority="638">
      <formula>AND(AND($W71&lt;TODAY(),$W71&lt;&gt;""),$X71="")</formula>
    </cfRule>
  </conditionalFormatting>
  <conditionalFormatting sqref="Q71">
    <cfRule type="cellIs" dxfId="5236" priority="637" operator="equal">
      <formula>"ja"</formula>
    </cfRule>
  </conditionalFormatting>
  <conditionalFormatting sqref="AG71">
    <cfRule type="dataBar" priority="636">
      <dataBar>
        <cfvo type="min"/>
        <cfvo type="max"/>
        <color rgb="FF63C384"/>
      </dataBar>
      <extLst>
        <ext xmlns:x14="http://schemas.microsoft.com/office/spreadsheetml/2009/9/main" uri="{B025F937-C7B1-47D3-B67F-A62EFF666E3E}">
          <x14:id>{BBAF0227-5BAF-4206-AC0D-55B5E323EB3C}</x14:id>
        </ext>
      </extLst>
    </cfRule>
  </conditionalFormatting>
  <conditionalFormatting sqref="AG71">
    <cfRule type="dataBar" priority="635">
      <dataBar>
        <cfvo type="min"/>
        <cfvo type="max"/>
        <color rgb="FF63C384"/>
      </dataBar>
      <extLst>
        <ext xmlns:x14="http://schemas.microsoft.com/office/spreadsheetml/2009/9/main" uri="{B025F937-C7B1-47D3-B67F-A62EFF666E3E}">
          <x14:id>{51D2DFBB-F7BE-4424-B4C8-2BF879CABC95}</x14:id>
        </ext>
      </extLst>
    </cfRule>
  </conditionalFormatting>
  <conditionalFormatting sqref="AA72">
    <cfRule type="expression" dxfId="5235" priority="634">
      <formula>AND(AND($W72&lt;TODAY(),$W72&lt;&gt;""),$X72="")</formula>
    </cfRule>
  </conditionalFormatting>
  <conditionalFormatting sqref="Q72">
    <cfRule type="cellIs" dxfId="5234" priority="633" operator="equal">
      <formula>"ja"</formula>
    </cfRule>
  </conditionalFormatting>
  <conditionalFormatting sqref="AG72">
    <cfRule type="dataBar" priority="632">
      <dataBar>
        <cfvo type="min"/>
        <cfvo type="max"/>
        <color rgb="FF63C384"/>
      </dataBar>
      <extLst>
        <ext xmlns:x14="http://schemas.microsoft.com/office/spreadsheetml/2009/9/main" uri="{B025F937-C7B1-47D3-B67F-A62EFF666E3E}">
          <x14:id>{09F85BBE-29CD-4D4C-872F-F9F17166EBD5}</x14:id>
        </ext>
      </extLst>
    </cfRule>
  </conditionalFormatting>
  <conditionalFormatting sqref="Q72">
    <cfRule type="cellIs" dxfId="5233" priority="631" operator="equal">
      <formula>"ja"</formula>
    </cfRule>
  </conditionalFormatting>
  <conditionalFormatting sqref="Q72">
    <cfRule type="cellIs" dxfId="5232" priority="630" operator="equal">
      <formula>"ja"</formula>
    </cfRule>
  </conditionalFormatting>
  <conditionalFormatting sqref="AA73">
    <cfRule type="expression" dxfId="5231" priority="629">
      <formula>AND(AND($W73&lt;TODAY(),$W73&lt;&gt;""),$X73="")</formula>
    </cfRule>
  </conditionalFormatting>
  <conditionalFormatting sqref="AG73">
    <cfRule type="dataBar" priority="628">
      <dataBar>
        <cfvo type="min"/>
        <cfvo type="max"/>
        <color rgb="FF63C384"/>
      </dataBar>
      <extLst>
        <ext xmlns:x14="http://schemas.microsoft.com/office/spreadsheetml/2009/9/main" uri="{B025F937-C7B1-47D3-B67F-A62EFF666E3E}">
          <x14:id>{2D715037-E849-437B-8B8E-90194CB42F15}</x14:id>
        </ext>
      </extLst>
    </cfRule>
  </conditionalFormatting>
  <conditionalFormatting sqref="AG73">
    <cfRule type="dataBar" priority="627">
      <dataBar>
        <cfvo type="min"/>
        <cfvo type="max"/>
        <color rgb="FF63C384"/>
      </dataBar>
      <extLst>
        <ext xmlns:x14="http://schemas.microsoft.com/office/spreadsheetml/2009/9/main" uri="{B025F937-C7B1-47D3-B67F-A62EFF666E3E}">
          <x14:id>{72229C83-1A16-4C46-9937-CF68EA08B759}</x14:id>
        </ext>
      </extLst>
    </cfRule>
  </conditionalFormatting>
  <conditionalFormatting sqref="AA74">
    <cfRule type="expression" dxfId="5230" priority="626">
      <formula>AND(AND($W74&lt;TODAY(),$W74&lt;&gt;""),$X74="")</formula>
    </cfRule>
  </conditionalFormatting>
  <conditionalFormatting sqref="Q74">
    <cfRule type="cellIs" dxfId="5229" priority="625" operator="equal">
      <formula>"ja"</formula>
    </cfRule>
  </conditionalFormatting>
  <conditionalFormatting sqref="Q74">
    <cfRule type="cellIs" dxfId="5228" priority="624" operator="equal">
      <formula>"ja"</formula>
    </cfRule>
  </conditionalFormatting>
  <conditionalFormatting sqref="Q74">
    <cfRule type="cellIs" dxfId="5227" priority="623" operator="equal">
      <formula>"ja"</formula>
    </cfRule>
  </conditionalFormatting>
  <conditionalFormatting sqref="AG74">
    <cfRule type="dataBar" priority="622">
      <dataBar>
        <cfvo type="min"/>
        <cfvo type="max"/>
        <color rgb="FF63C384"/>
      </dataBar>
      <extLst>
        <ext xmlns:x14="http://schemas.microsoft.com/office/spreadsheetml/2009/9/main" uri="{B025F937-C7B1-47D3-B67F-A62EFF666E3E}">
          <x14:id>{274E5405-8AB5-4CD5-983A-58784A747BEA}</x14:id>
        </ext>
      </extLst>
    </cfRule>
  </conditionalFormatting>
  <conditionalFormatting sqref="AG74">
    <cfRule type="dataBar" priority="621">
      <dataBar>
        <cfvo type="min"/>
        <cfvo type="max"/>
        <color rgb="FF63C384"/>
      </dataBar>
      <extLst>
        <ext xmlns:x14="http://schemas.microsoft.com/office/spreadsheetml/2009/9/main" uri="{B025F937-C7B1-47D3-B67F-A62EFF666E3E}">
          <x14:id>{07CB7B33-9CB6-43EF-BF39-BEC00C9F848E}</x14:id>
        </ext>
      </extLst>
    </cfRule>
  </conditionalFormatting>
  <conditionalFormatting sqref="Q74">
    <cfRule type="cellIs" dxfId="5226" priority="620" operator="equal">
      <formula>"ja"</formula>
    </cfRule>
  </conditionalFormatting>
  <conditionalFormatting sqref="AG74">
    <cfRule type="dataBar" priority="619">
      <dataBar>
        <cfvo type="min"/>
        <cfvo type="max"/>
        <color rgb="FF63C384"/>
      </dataBar>
      <extLst>
        <ext xmlns:x14="http://schemas.microsoft.com/office/spreadsheetml/2009/9/main" uri="{B025F937-C7B1-47D3-B67F-A62EFF666E3E}">
          <x14:id>{13877C06-9D93-4629-89CF-A278F151C3F9}</x14:id>
        </ext>
      </extLst>
    </cfRule>
  </conditionalFormatting>
  <conditionalFormatting sqref="AG74">
    <cfRule type="dataBar" priority="618">
      <dataBar>
        <cfvo type="min"/>
        <cfvo type="max"/>
        <color rgb="FF63C384"/>
      </dataBar>
      <extLst>
        <ext xmlns:x14="http://schemas.microsoft.com/office/spreadsheetml/2009/9/main" uri="{B025F937-C7B1-47D3-B67F-A62EFF666E3E}">
          <x14:id>{F5E4417B-F118-4D61-AA49-B8427AC9BE9E}</x14:id>
        </ext>
      </extLst>
    </cfRule>
  </conditionalFormatting>
  <conditionalFormatting sqref="AA75">
    <cfRule type="expression" dxfId="5225" priority="617">
      <formula>AND(AND($W75&lt;TODAY(),$W75&lt;&gt;""),$X75="")</formula>
    </cfRule>
  </conditionalFormatting>
  <conditionalFormatting sqref="AG75">
    <cfRule type="dataBar" priority="616">
      <dataBar>
        <cfvo type="min"/>
        <cfvo type="max"/>
        <color rgb="FF63C384"/>
      </dataBar>
      <extLst>
        <ext xmlns:x14="http://schemas.microsoft.com/office/spreadsheetml/2009/9/main" uri="{B025F937-C7B1-47D3-B67F-A62EFF666E3E}">
          <x14:id>{9FAD2B71-0824-4C4E-BC31-AEF5295FC3A6}</x14:id>
        </ext>
      </extLst>
    </cfRule>
  </conditionalFormatting>
  <conditionalFormatting sqref="AG75">
    <cfRule type="dataBar" priority="615">
      <dataBar>
        <cfvo type="min"/>
        <cfvo type="max"/>
        <color rgb="FF63C384"/>
      </dataBar>
      <extLst>
        <ext xmlns:x14="http://schemas.microsoft.com/office/spreadsheetml/2009/9/main" uri="{B025F937-C7B1-47D3-B67F-A62EFF666E3E}">
          <x14:id>{0689693F-CA2C-418E-8373-786CE84AD7AA}</x14:id>
        </ext>
      </extLst>
    </cfRule>
  </conditionalFormatting>
  <conditionalFormatting sqref="AG75">
    <cfRule type="dataBar" priority="614">
      <dataBar>
        <cfvo type="min"/>
        <cfvo type="max"/>
        <color rgb="FF63C384"/>
      </dataBar>
      <extLst>
        <ext xmlns:x14="http://schemas.microsoft.com/office/spreadsheetml/2009/9/main" uri="{B025F937-C7B1-47D3-B67F-A62EFF666E3E}">
          <x14:id>{63C7A52B-2DF2-44DA-A25F-9188DF2F003A}</x14:id>
        </ext>
      </extLst>
    </cfRule>
  </conditionalFormatting>
  <conditionalFormatting sqref="AG75">
    <cfRule type="dataBar" priority="613">
      <dataBar>
        <cfvo type="min"/>
        <cfvo type="max"/>
        <color rgb="FF63C384"/>
      </dataBar>
      <extLst>
        <ext xmlns:x14="http://schemas.microsoft.com/office/spreadsheetml/2009/9/main" uri="{B025F937-C7B1-47D3-B67F-A62EFF666E3E}">
          <x14:id>{25371EB8-629D-42BF-821E-9A5D333D1C4A}</x14:id>
        </ext>
      </extLst>
    </cfRule>
  </conditionalFormatting>
  <conditionalFormatting sqref="AA76">
    <cfRule type="expression" dxfId="5224" priority="612">
      <formula>AND(AND($W76&lt;TODAY(),$W76&lt;&gt;""),$X76="")</formula>
    </cfRule>
  </conditionalFormatting>
  <conditionalFormatting sqref="AG76">
    <cfRule type="dataBar" priority="611">
      <dataBar>
        <cfvo type="min"/>
        <cfvo type="max"/>
        <color rgb="FF63C384"/>
      </dataBar>
      <extLst>
        <ext xmlns:x14="http://schemas.microsoft.com/office/spreadsheetml/2009/9/main" uri="{B025F937-C7B1-47D3-B67F-A62EFF666E3E}">
          <x14:id>{01750164-D7B1-4324-B074-CBB192DC9BA3}</x14:id>
        </ext>
      </extLst>
    </cfRule>
  </conditionalFormatting>
  <conditionalFormatting sqref="AG76">
    <cfRule type="dataBar" priority="610">
      <dataBar>
        <cfvo type="min"/>
        <cfvo type="max"/>
        <color rgb="FF63C384"/>
      </dataBar>
      <extLst>
        <ext xmlns:x14="http://schemas.microsoft.com/office/spreadsheetml/2009/9/main" uri="{B025F937-C7B1-47D3-B67F-A62EFF666E3E}">
          <x14:id>{0D6DD2E6-84E9-425F-AE95-2AB152A51D66}</x14:id>
        </ext>
      </extLst>
    </cfRule>
  </conditionalFormatting>
  <conditionalFormatting sqref="Q76">
    <cfRule type="cellIs" dxfId="5223" priority="609" operator="equal">
      <formula>"ja"</formula>
    </cfRule>
  </conditionalFormatting>
  <conditionalFormatting sqref="Q76">
    <cfRule type="cellIs" dxfId="5222" priority="608" operator="equal">
      <formula>"ja"</formula>
    </cfRule>
  </conditionalFormatting>
  <conditionalFormatting sqref="AA77">
    <cfRule type="expression" dxfId="5221" priority="607">
      <formula>AND(AND($W77&lt;TODAY(),$W77&lt;&gt;""),$X77="")</formula>
    </cfRule>
  </conditionalFormatting>
  <conditionalFormatting sqref="Q77">
    <cfRule type="cellIs" dxfId="5220" priority="606" operator="equal">
      <formula>"ja"</formula>
    </cfRule>
  </conditionalFormatting>
  <conditionalFormatting sqref="AG77">
    <cfRule type="dataBar" priority="605">
      <dataBar>
        <cfvo type="min"/>
        <cfvo type="max"/>
        <color rgb="FF63C384"/>
      </dataBar>
      <extLst>
        <ext xmlns:x14="http://schemas.microsoft.com/office/spreadsheetml/2009/9/main" uri="{B025F937-C7B1-47D3-B67F-A62EFF666E3E}">
          <x14:id>{14FD8C4E-F5EB-48E6-A36C-E6D3D9CC2686}</x14:id>
        </ext>
      </extLst>
    </cfRule>
  </conditionalFormatting>
  <conditionalFormatting sqref="AG77">
    <cfRule type="dataBar" priority="604">
      <dataBar>
        <cfvo type="min"/>
        <cfvo type="max"/>
        <color rgb="FF63C384"/>
      </dataBar>
      <extLst>
        <ext xmlns:x14="http://schemas.microsoft.com/office/spreadsheetml/2009/9/main" uri="{B025F937-C7B1-47D3-B67F-A62EFF666E3E}">
          <x14:id>{BF6D0F83-9C48-4A59-8DB5-1C88D905912E}</x14:id>
        </ext>
      </extLst>
    </cfRule>
  </conditionalFormatting>
  <conditionalFormatting sqref="AG77">
    <cfRule type="dataBar" priority="603">
      <dataBar>
        <cfvo type="min"/>
        <cfvo type="max"/>
        <color rgb="FF63C384"/>
      </dataBar>
      <extLst>
        <ext xmlns:x14="http://schemas.microsoft.com/office/spreadsheetml/2009/9/main" uri="{B025F937-C7B1-47D3-B67F-A62EFF666E3E}">
          <x14:id>{18FE119D-8C1F-4FE5-8F90-23C7BF457638}</x14:id>
        </ext>
      </extLst>
    </cfRule>
  </conditionalFormatting>
  <conditionalFormatting sqref="AG77">
    <cfRule type="dataBar" priority="602">
      <dataBar>
        <cfvo type="min"/>
        <cfvo type="max"/>
        <color rgb="FF63C384"/>
      </dataBar>
      <extLst>
        <ext xmlns:x14="http://schemas.microsoft.com/office/spreadsheetml/2009/9/main" uri="{B025F937-C7B1-47D3-B67F-A62EFF666E3E}">
          <x14:id>{247E7155-F0E9-4ED6-85AE-5310BACE3468}</x14:id>
        </ext>
      </extLst>
    </cfRule>
  </conditionalFormatting>
  <conditionalFormatting sqref="Q77">
    <cfRule type="cellIs" dxfId="5219" priority="601" operator="equal">
      <formula>"ja"</formula>
    </cfRule>
  </conditionalFormatting>
  <conditionalFormatting sqref="AA78">
    <cfRule type="expression" dxfId="5218" priority="600">
      <formula>AND(AND($W78&lt;TODAY(),$W78&lt;&gt;""),$X78="")</formula>
    </cfRule>
  </conditionalFormatting>
  <conditionalFormatting sqref="Q78">
    <cfRule type="cellIs" dxfId="5217" priority="599" operator="equal">
      <formula>"ja"</formula>
    </cfRule>
  </conditionalFormatting>
  <conditionalFormatting sqref="AG78">
    <cfRule type="dataBar" priority="598">
      <dataBar>
        <cfvo type="min"/>
        <cfvo type="max"/>
        <color rgb="FF63C384"/>
      </dataBar>
      <extLst>
        <ext xmlns:x14="http://schemas.microsoft.com/office/spreadsheetml/2009/9/main" uri="{B025F937-C7B1-47D3-B67F-A62EFF666E3E}">
          <x14:id>{F525EB95-DC15-4135-92A4-C2CED88B0592}</x14:id>
        </ext>
      </extLst>
    </cfRule>
  </conditionalFormatting>
  <conditionalFormatting sqref="AG78">
    <cfRule type="dataBar" priority="597">
      <dataBar>
        <cfvo type="min"/>
        <cfvo type="max"/>
        <color rgb="FF63C384"/>
      </dataBar>
      <extLst>
        <ext xmlns:x14="http://schemas.microsoft.com/office/spreadsheetml/2009/9/main" uri="{B025F937-C7B1-47D3-B67F-A62EFF666E3E}">
          <x14:id>{1A92E82F-5681-44A4-A412-0B314588CD66}</x14:id>
        </ext>
      </extLst>
    </cfRule>
  </conditionalFormatting>
  <conditionalFormatting sqref="AA79">
    <cfRule type="expression" dxfId="5216" priority="596">
      <formula>AND(AND($W79&lt;TODAY(),$W79&lt;&gt;""),$X79="")</formula>
    </cfRule>
  </conditionalFormatting>
  <conditionalFormatting sqref="Q79">
    <cfRule type="cellIs" dxfId="5215" priority="595" operator="equal">
      <formula>"ja"</formula>
    </cfRule>
  </conditionalFormatting>
  <conditionalFormatting sqref="AG79">
    <cfRule type="dataBar" priority="594">
      <dataBar>
        <cfvo type="min"/>
        <cfvo type="max"/>
        <color rgb="FF63C384"/>
      </dataBar>
      <extLst>
        <ext xmlns:x14="http://schemas.microsoft.com/office/spreadsheetml/2009/9/main" uri="{B025F937-C7B1-47D3-B67F-A62EFF666E3E}">
          <x14:id>{1A6B5064-05CA-4983-A429-79389BCC5C2D}</x14:id>
        </ext>
      </extLst>
    </cfRule>
  </conditionalFormatting>
  <conditionalFormatting sqref="AG79">
    <cfRule type="dataBar" priority="593">
      <dataBar>
        <cfvo type="min"/>
        <cfvo type="max"/>
        <color rgb="FF63C384"/>
      </dataBar>
      <extLst>
        <ext xmlns:x14="http://schemas.microsoft.com/office/spreadsheetml/2009/9/main" uri="{B025F937-C7B1-47D3-B67F-A62EFF666E3E}">
          <x14:id>{0579FAC2-ABAA-4290-B6F0-D9EC1DE85494}</x14:id>
        </ext>
      </extLst>
    </cfRule>
  </conditionalFormatting>
  <conditionalFormatting sqref="AA80">
    <cfRule type="expression" dxfId="5214" priority="592">
      <formula>AND(AND($W80&lt;TODAY(),$W80&lt;&gt;""),$X80="")</formula>
    </cfRule>
  </conditionalFormatting>
  <conditionalFormatting sqref="AG80">
    <cfRule type="dataBar" priority="591">
      <dataBar>
        <cfvo type="min"/>
        <cfvo type="max"/>
        <color rgb="FF63C384"/>
      </dataBar>
      <extLst>
        <ext xmlns:x14="http://schemas.microsoft.com/office/spreadsheetml/2009/9/main" uri="{B025F937-C7B1-47D3-B67F-A62EFF666E3E}">
          <x14:id>{83FD6644-D9E9-44CD-B5AF-0D5FB65AE3B7}</x14:id>
        </ext>
      </extLst>
    </cfRule>
  </conditionalFormatting>
  <conditionalFormatting sqref="AG80">
    <cfRule type="dataBar" priority="590">
      <dataBar>
        <cfvo type="min"/>
        <cfvo type="max"/>
        <color rgb="FF63C384"/>
      </dataBar>
      <extLst>
        <ext xmlns:x14="http://schemas.microsoft.com/office/spreadsheetml/2009/9/main" uri="{B025F937-C7B1-47D3-B67F-A62EFF666E3E}">
          <x14:id>{C258CCE5-CE3A-492B-ACFC-F93357C08A39}</x14:id>
        </ext>
      </extLst>
    </cfRule>
  </conditionalFormatting>
  <conditionalFormatting sqref="Q80">
    <cfRule type="cellIs" dxfId="5213" priority="589" operator="equal">
      <formula>"ja"</formula>
    </cfRule>
  </conditionalFormatting>
  <conditionalFormatting sqref="AA81">
    <cfRule type="expression" dxfId="5212" priority="588">
      <formula>AND(AND($W81&lt;TODAY(),$W81&lt;&gt;""),$X81="")</formula>
    </cfRule>
  </conditionalFormatting>
  <conditionalFormatting sqref="AG81">
    <cfRule type="dataBar" priority="587">
      <dataBar>
        <cfvo type="min"/>
        <cfvo type="max"/>
        <color rgb="FF63C384"/>
      </dataBar>
      <extLst>
        <ext xmlns:x14="http://schemas.microsoft.com/office/spreadsheetml/2009/9/main" uri="{B025F937-C7B1-47D3-B67F-A62EFF666E3E}">
          <x14:id>{95F73500-33DB-45F8-A5CC-81376BF6223C}</x14:id>
        </ext>
      </extLst>
    </cfRule>
  </conditionalFormatting>
  <conditionalFormatting sqref="AG81">
    <cfRule type="dataBar" priority="586">
      <dataBar>
        <cfvo type="min"/>
        <cfvo type="max"/>
        <color rgb="FF63C384"/>
      </dataBar>
      <extLst>
        <ext xmlns:x14="http://schemas.microsoft.com/office/spreadsheetml/2009/9/main" uri="{B025F937-C7B1-47D3-B67F-A62EFF666E3E}">
          <x14:id>{5312CDD3-B64B-4545-8178-C6FDC1672AAB}</x14:id>
        </ext>
      </extLst>
    </cfRule>
  </conditionalFormatting>
  <conditionalFormatting sqref="AA82">
    <cfRule type="expression" dxfId="5211" priority="585">
      <formula>AND(AND($W82&lt;TODAY(),$W82&lt;&gt;""),$X82="")</formula>
    </cfRule>
  </conditionalFormatting>
  <conditionalFormatting sqref="Q82">
    <cfRule type="cellIs" dxfId="5210" priority="584" operator="equal">
      <formula>"ja"</formula>
    </cfRule>
  </conditionalFormatting>
  <conditionalFormatting sqref="AG82">
    <cfRule type="dataBar" priority="583">
      <dataBar>
        <cfvo type="min"/>
        <cfvo type="max"/>
        <color rgb="FF63C384"/>
      </dataBar>
      <extLst>
        <ext xmlns:x14="http://schemas.microsoft.com/office/spreadsheetml/2009/9/main" uri="{B025F937-C7B1-47D3-B67F-A62EFF666E3E}">
          <x14:id>{DA413A56-899A-41D2-BCF9-FDB69235075E}</x14:id>
        </ext>
      </extLst>
    </cfRule>
  </conditionalFormatting>
  <conditionalFormatting sqref="AG82">
    <cfRule type="dataBar" priority="582">
      <dataBar>
        <cfvo type="min"/>
        <cfvo type="max"/>
        <color rgb="FF63C384"/>
      </dataBar>
      <extLst>
        <ext xmlns:x14="http://schemas.microsoft.com/office/spreadsheetml/2009/9/main" uri="{B025F937-C7B1-47D3-B67F-A62EFF666E3E}">
          <x14:id>{6762B0DE-A160-480B-B03F-FBD797B71121}</x14:id>
        </ext>
      </extLst>
    </cfRule>
  </conditionalFormatting>
  <conditionalFormatting sqref="AA83">
    <cfRule type="expression" dxfId="5209" priority="581">
      <formula>AND(AND($W83&lt;TODAY(),$W83&lt;&gt;""),$X83="")</formula>
    </cfRule>
  </conditionalFormatting>
  <conditionalFormatting sqref="Q83">
    <cfRule type="cellIs" dxfId="5208" priority="580" operator="equal">
      <formula>"ja"</formula>
    </cfRule>
  </conditionalFormatting>
  <conditionalFormatting sqref="Q83">
    <cfRule type="cellIs" dxfId="5207" priority="571" operator="equal">
      <formula>"ja"</formula>
    </cfRule>
  </conditionalFormatting>
  <conditionalFormatting sqref="AG83">
    <cfRule type="dataBar" priority="579">
      <dataBar>
        <cfvo type="min"/>
        <cfvo type="max"/>
        <color rgb="FF63C384"/>
      </dataBar>
      <extLst>
        <ext xmlns:x14="http://schemas.microsoft.com/office/spreadsheetml/2009/9/main" uri="{B025F937-C7B1-47D3-B67F-A62EFF666E3E}">
          <x14:id>{9BDB6696-FFB9-4CF5-A4E0-820CE8DE94C5}</x14:id>
        </ext>
      </extLst>
    </cfRule>
  </conditionalFormatting>
  <conditionalFormatting sqref="AG83">
    <cfRule type="dataBar" priority="578">
      <dataBar>
        <cfvo type="min"/>
        <cfvo type="max"/>
        <color rgb="FF63C384"/>
      </dataBar>
      <extLst>
        <ext xmlns:x14="http://schemas.microsoft.com/office/spreadsheetml/2009/9/main" uri="{B025F937-C7B1-47D3-B67F-A62EFF666E3E}">
          <x14:id>{59B3BF70-6D98-4078-BA27-1D7D4047071E}</x14:id>
        </ext>
      </extLst>
    </cfRule>
  </conditionalFormatting>
  <conditionalFormatting sqref="Q83">
    <cfRule type="cellIs" dxfId="5206" priority="577" operator="equal">
      <formula>"ja"</formula>
    </cfRule>
  </conditionalFormatting>
  <conditionalFormatting sqref="AG83">
    <cfRule type="dataBar" priority="576">
      <dataBar>
        <cfvo type="min"/>
        <cfvo type="max"/>
        <color rgb="FF63C384"/>
      </dataBar>
      <extLst>
        <ext xmlns:x14="http://schemas.microsoft.com/office/spreadsheetml/2009/9/main" uri="{B025F937-C7B1-47D3-B67F-A62EFF666E3E}">
          <x14:id>{9422DD36-B020-49C9-BC36-6DC7E8355B45}</x14:id>
        </ext>
      </extLst>
    </cfRule>
  </conditionalFormatting>
  <conditionalFormatting sqref="AG83">
    <cfRule type="dataBar" priority="575">
      <dataBar>
        <cfvo type="min"/>
        <cfvo type="max"/>
        <color rgb="FF63C384"/>
      </dataBar>
      <extLst>
        <ext xmlns:x14="http://schemas.microsoft.com/office/spreadsheetml/2009/9/main" uri="{B025F937-C7B1-47D3-B67F-A62EFF666E3E}">
          <x14:id>{807D1CFB-B830-4FCA-AD7D-EB2D86F7AC40}</x14:id>
        </ext>
      </extLst>
    </cfRule>
  </conditionalFormatting>
  <conditionalFormatting sqref="Q83">
    <cfRule type="cellIs" dxfId="5205" priority="574" operator="equal">
      <formula>"ja"</formula>
    </cfRule>
  </conditionalFormatting>
  <conditionalFormatting sqref="AG83">
    <cfRule type="dataBar" priority="573">
      <dataBar>
        <cfvo type="min"/>
        <cfvo type="max"/>
        <color rgb="FF63C384"/>
      </dataBar>
      <extLst>
        <ext xmlns:x14="http://schemas.microsoft.com/office/spreadsheetml/2009/9/main" uri="{B025F937-C7B1-47D3-B67F-A62EFF666E3E}">
          <x14:id>{9B0F111F-A656-4A03-ADEC-C3FAF0F7AC74}</x14:id>
        </ext>
      </extLst>
    </cfRule>
  </conditionalFormatting>
  <conditionalFormatting sqref="AG83">
    <cfRule type="dataBar" priority="572">
      <dataBar>
        <cfvo type="min"/>
        <cfvo type="max"/>
        <color rgb="FF63C384"/>
      </dataBar>
      <extLst>
        <ext xmlns:x14="http://schemas.microsoft.com/office/spreadsheetml/2009/9/main" uri="{B025F937-C7B1-47D3-B67F-A62EFF666E3E}">
          <x14:id>{6B32E6B6-17F7-4A39-98FF-54522832EA57}</x14:id>
        </ext>
      </extLst>
    </cfRule>
  </conditionalFormatting>
  <conditionalFormatting sqref="AG83">
    <cfRule type="dataBar" priority="570">
      <dataBar>
        <cfvo type="min"/>
        <cfvo type="max"/>
        <color rgb="FF63C384"/>
      </dataBar>
      <extLst>
        <ext xmlns:x14="http://schemas.microsoft.com/office/spreadsheetml/2009/9/main" uri="{B025F937-C7B1-47D3-B67F-A62EFF666E3E}">
          <x14:id>{D4F1AF6D-55CB-4C5D-886B-406243C6BB04}</x14:id>
        </ext>
      </extLst>
    </cfRule>
  </conditionalFormatting>
  <conditionalFormatting sqref="AG83">
    <cfRule type="dataBar" priority="569">
      <dataBar>
        <cfvo type="min"/>
        <cfvo type="max"/>
        <color rgb="FF63C384"/>
      </dataBar>
      <extLst>
        <ext xmlns:x14="http://schemas.microsoft.com/office/spreadsheetml/2009/9/main" uri="{B025F937-C7B1-47D3-B67F-A62EFF666E3E}">
          <x14:id>{39F6201C-623F-4641-815F-7C411C9B1A6F}</x14:id>
        </ext>
      </extLst>
    </cfRule>
  </conditionalFormatting>
  <conditionalFormatting sqref="Q83">
    <cfRule type="cellIs" dxfId="5204" priority="568" operator="equal">
      <formula>"ja"</formula>
    </cfRule>
  </conditionalFormatting>
  <conditionalFormatting sqref="Q83">
    <cfRule type="cellIs" dxfId="5203" priority="567" operator="equal">
      <formula>"ja"</formula>
    </cfRule>
  </conditionalFormatting>
  <conditionalFormatting sqref="AA84:AA85">
    <cfRule type="expression" dxfId="5202" priority="566">
      <formula>AND(AND($W84&lt;TODAY(),$W84&lt;&gt;""),$X84="")</formula>
    </cfRule>
  </conditionalFormatting>
  <conditionalFormatting sqref="Q84">
    <cfRule type="cellIs" dxfId="5201" priority="565" operator="equal">
      <formula>"ja"</formula>
    </cfRule>
  </conditionalFormatting>
  <conditionalFormatting sqref="AG84:AG85">
    <cfRule type="dataBar" priority="564">
      <dataBar>
        <cfvo type="min"/>
        <cfvo type="max"/>
        <color rgb="FF63C384"/>
      </dataBar>
      <extLst>
        <ext xmlns:x14="http://schemas.microsoft.com/office/spreadsheetml/2009/9/main" uri="{B025F937-C7B1-47D3-B67F-A62EFF666E3E}">
          <x14:id>{65A10683-AF50-4975-9A5F-1B960F826932}</x14:id>
        </ext>
      </extLst>
    </cfRule>
  </conditionalFormatting>
  <conditionalFormatting sqref="Q84">
    <cfRule type="cellIs" dxfId="5200" priority="563" operator="equal">
      <formula>"ja"</formula>
    </cfRule>
  </conditionalFormatting>
  <conditionalFormatting sqref="AA86">
    <cfRule type="expression" dxfId="5199" priority="562">
      <formula>AND(AND($W86&lt;TODAY(),$W86&lt;&gt;""),$X86="")</formula>
    </cfRule>
  </conditionalFormatting>
  <conditionalFormatting sqref="Q86">
    <cfRule type="cellIs" dxfId="5198" priority="561" operator="equal">
      <formula>"ja"</formula>
    </cfRule>
  </conditionalFormatting>
  <conditionalFormatting sqref="AG86">
    <cfRule type="dataBar" priority="560">
      <dataBar>
        <cfvo type="min"/>
        <cfvo type="max"/>
        <color rgb="FF63C384"/>
      </dataBar>
      <extLst>
        <ext xmlns:x14="http://schemas.microsoft.com/office/spreadsheetml/2009/9/main" uri="{B025F937-C7B1-47D3-B67F-A62EFF666E3E}">
          <x14:id>{D74E68AA-D999-41DE-9A7E-816C79ABFA71}</x14:id>
        </ext>
      </extLst>
    </cfRule>
  </conditionalFormatting>
  <conditionalFormatting sqref="AG86">
    <cfRule type="dataBar" priority="559">
      <dataBar>
        <cfvo type="min"/>
        <cfvo type="max"/>
        <color rgb="FF63C384"/>
      </dataBar>
      <extLst>
        <ext xmlns:x14="http://schemas.microsoft.com/office/spreadsheetml/2009/9/main" uri="{B025F937-C7B1-47D3-B67F-A62EFF666E3E}">
          <x14:id>{270F4BE8-351D-4FE9-9AF8-4D530BD3AA17}</x14:id>
        </ext>
      </extLst>
    </cfRule>
  </conditionalFormatting>
  <conditionalFormatting sqref="AA87">
    <cfRule type="expression" dxfId="5197" priority="558">
      <formula>AND(AND($W87&lt;TODAY(),$W87&lt;&gt;""),$X87="")</formula>
    </cfRule>
  </conditionalFormatting>
  <conditionalFormatting sqref="Q87">
    <cfRule type="cellIs" dxfId="5196" priority="557" operator="equal">
      <formula>"ja"</formula>
    </cfRule>
  </conditionalFormatting>
  <conditionalFormatting sqref="Q87">
    <cfRule type="cellIs" dxfId="5195" priority="556" operator="equal">
      <formula>"ja"</formula>
    </cfRule>
  </conditionalFormatting>
  <conditionalFormatting sqref="Q87">
    <cfRule type="cellIs" dxfId="5194" priority="555" operator="equal">
      <formula>"ja"</formula>
    </cfRule>
  </conditionalFormatting>
  <conditionalFormatting sqref="AG87">
    <cfRule type="dataBar" priority="554">
      <dataBar>
        <cfvo type="min"/>
        <cfvo type="max"/>
        <color rgb="FF63C384"/>
      </dataBar>
      <extLst>
        <ext xmlns:x14="http://schemas.microsoft.com/office/spreadsheetml/2009/9/main" uri="{B025F937-C7B1-47D3-B67F-A62EFF666E3E}">
          <x14:id>{5471BA30-A055-47DE-9162-110E2997AC1A}</x14:id>
        </ext>
      </extLst>
    </cfRule>
  </conditionalFormatting>
  <conditionalFormatting sqref="AG87">
    <cfRule type="dataBar" priority="553">
      <dataBar>
        <cfvo type="min"/>
        <cfvo type="max"/>
        <color rgb="FF63C384"/>
      </dataBar>
      <extLst>
        <ext xmlns:x14="http://schemas.microsoft.com/office/spreadsheetml/2009/9/main" uri="{B025F937-C7B1-47D3-B67F-A62EFF666E3E}">
          <x14:id>{21CEC3C9-EFB6-4771-ACD5-03630C2291E8}</x14:id>
        </ext>
      </extLst>
    </cfRule>
  </conditionalFormatting>
  <conditionalFormatting sqref="Q87">
    <cfRule type="cellIs" dxfId="5193" priority="552" operator="equal">
      <formula>"ja"</formula>
    </cfRule>
  </conditionalFormatting>
  <conditionalFormatting sqref="AG87">
    <cfRule type="dataBar" priority="551">
      <dataBar>
        <cfvo type="min"/>
        <cfvo type="max"/>
        <color rgb="FF63C384"/>
      </dataBar>
      <extLst>
        <ext xmlns:x14="http://schemas.microsoft.com/office/spreadsheetml/2009/9/main" uri="{B025F937-C7B1-47D3-B67F-A62EFF666E3E}">
          <x14:id>{EEA73BA1-11C9-4BC2-A905-176D60A36131}</x14:id>
        </ext>
      </extLst>
    </cfRule>
  </conditionalFormatting>
  <conditionalFormatting sqref="AG87">
    <cfRule type="dataBar" priority="550">
      <dataBar>
        <cfvo type="min"/>
        <cfvo type="max"/>
        <color rgb="FF63C384"/>
      </dataBar>
      <extLst>
        <ext xmlns:x14="http://schemas.microsoft.com/office/spreadsheetml/2009/9/main" uri="{B025F937-C7B1-47D3-B67F-A62EFF666E3E}">
          <x14:id>{781B6C34-230A-44D6-9C3D-CC4DE9708469}</x14:id>
        </ext>
      </extLst>
    </cfRule>
  </conditionalFormatting>
  <conditionalFormatting sqref="AA88">
    <cfRule type="expression" dxfId="5192" priority="549">
      <formula>AND(AND($W88&lt;TODAY(),$W88&lt;&gt;""),$X88="")</formula>
    </cfRule>
  </conditionalFormatting>
  <conditionalFormatting sqref="AG88">
    <cfRule type="dataBar" priority="548">
      <dataBar>
        <cfvo type="min"/>
        <cfvo type="max"/>
        <color rgb="FF63C384"/>
      </dataBar>
      <extLst>
        <ext xmlns:x14="http://schemas.microsoft.com/office/spreadsheetml/2009/9/main" uri="{B025F937-C7B1-47D3-B67F-A62EFF666E3E}">
          <x14:id>{5CA57F44-0141-40C9-B3EA-17F6E5203AFD}</x14:id>
        </ext>
      </extLst>
    </cfRule>
  </conditionalFormatting>
  <conditionalFormatting sqref="AG88">
    <cfRule type="dataBar" priority="547">
      <dataBar>
        <cfvo type="min"/>
        <cfvo type="max"/>
        <color rgb="FF63C384"/>
      </dataBar>
      <extLst>
        <ext xmlns:x14="http://schemas.microsoft.com/office/spreadsheetml/2009/9/main" uri="{B025F937-C7B1-47D3-B67F-A62EFF666E3E}">
          <x14:id>{18C8DF88-B6D3-49B2-8F1B-F6D4019EA819}</x14:id>
        </ext>
      </extLst>
    </cfRule>
  </conditionalFormatting>
  <conditionalFormatting sqref="AG88">
    <cfRule type="dataBar" priority="546">
      <dataBar>
        <cfvo type="min"/>
        <cfvo type="max"/>
        <color rgb="FF63C384"/>
      </dataBar>
      <extLst>
        <ext xmlns:x14="http://schemas.microsoft.com/office/spreadsheetml/2009/9/main" uri="{B025F937-C7B1-47D3-B67F-A62EFF666E3E}">
          <x14:id>{09B563DF-C4A9-4D38-9E97-F065C1AFE960}</x14:id>
        </ext>
      </extLst>
    </cfRule>
  </conditionalFormatting>
  <conditionalFormatting sqref="AG88">
    <cfRule type="dataBar" priority="545">
      <dataBar>
        <cfvo type="min"/>
        <cfvo type="max"/>
        <color rgb="FF63C384"/>
      </dataBar>
      <extLst>
        <ext xmlns:x14="http://schemas.microsoft.com/office/spreadsheetml/2009/9/main" uri="{B025F937-C7B1-47D3-B67F-A62EFF666E3E}">
          <x14:id>{B092ABD0-41CD-4367-8C6C-216376654479}</x14:id>
        </ext>
      </extLst>
    </cfRule>
  </conditionalFormatting>
  <conditionalFormatting sqref="AA89">
    <cfRule type="expression" dxfId="5191" priority="544">
      <formula>AND(AND($W89&lt;TODAY(),$W89&lt;&gt;""),$X89="")</formula>
    </cfRule>
  </conditionalFormatting>
  <conditionalFormatting sqref="Q89">
    <cfRule type="cellIs" dxfId="5190" priority="543" operator="equal">
      <formula>"ja"</formula>
    </cfRule>
  </conditionalFormatting>
  <conditionalFormatting sqref="AG89">
    <cfRule type="dataBar" priority="542">
      <dataBar>
        <cfvo type="min"/>
        <cfvo type="max"/>
        <color rgb="FF63C384"/>
      </dataBar>
      <extLst>
        <ext xmlns:x14="http://schemas.microsoft.com/office/spreadsheetml/2009/9/main" uri="{B025F937-C7B1-47D3-B67F-A62EFF666E3E}">
          <x14:id>{B246C314-AEB8-4458-93F3-75F68B2FE7A3}</x14:id>
        </ext>
      </extLst>
    </cfRule>
  </conditionalFormatting>
  <conditionalFormatting sqref="Q89">
    <cfRule type="cellIs" dxfId="5189" priority="541" operator="equal">
      <formula>"ja"</formula>
    </cfRule>
  </conditionalFormatting>
  <conditionalFormatting sqref="AA90">
    <cfRule type="expression" dxfId="5188" priority="540">
      <formula>AND(AND($W90&lt;TODAY(),$W90&lt;&gt;""),$X90="")</formula>
    </cfRule>
  </conditionalFormatting>
  <conditionalFormatting sqref="Q90">
    <cfRule type="cellIs" dxfId="5187" priority="539" operator="equal">
      <formula>"ja"</formula>
    </cfRule>
  </conditionalFormatting>
  <conditionalFormatting sqref="AG90">
    <cfRule type="dataBar" priority="538">
      <dataBar>
        <cfvo type="min"/>
        <cfvo type="max"/>
        <color rgb="FF63C384"/>
      </dataBar>
      <extLst>
        <ext xmlns:x14="http://schemas.microsoft.com/office/spreadsheetml/2009/9/main" uri="{B025F937-C7B1-47D3-B67F-A62EFF666E3E}">
          <x14:id>{80611A4D-7896-4F7D-91E0-7BE5BA56B89C}</x14:id>
        </ext>
      </extLst>
    </cfRule>
  </conditionalFormatting>
  <conditionalFormatting sqref="Q90">
    <cfRule type="cellIs" dxfId="5186" priority="537" operator="equal">
      <formula>"ja"</formula>
    </cfRule>
  </conditionalFormatting>
  <conditionalFormatting sqref="Q90">
    <cfRule type="cellIs" dxfId="5185" priority="536" operator="equal">
      <formula>"ja"</formula>
    </cfRule>
  </conditionalFormatting>
  <conditionalFormatting sqref="AA91">
    <cfRule type="expression" dxfId="5184" priority="535">
      <formula>AND(AND($W91&lt;TODAY(),$W91&lt;&gt;""),$X91="")</formula>
    </cfRule>
  </conditionalFormatting>
  <conditionalFormatting sqref="Q91">
    <cfRule type="cellIs" dxfId="5183" priority="534" operator="equal">
      <formula>"ja"</formula>
    </cfRule>
  </conditionalFormatting>
  <conditionalFormatting sqref="AG91">
    <cfRule type="dataBar" priority="533">
      <dataBar>
        <cfvo type="min"/>
        <cfvo type="max"/>
        <color rgb="FF63C384"/>
      </dataBar>
      <extLst>
        <ext xmlns:x14="http://schemas.microsoft.com/office/spreadsheetml/2009/9/main" uri="{B025F937-C7B1-47D3-B67F-A62EFF666E3E}">
          <x14:id>{D1F128A3-2CEE-44C1-93E3-0116B318CD4B}</x14:id>
        </ext>
      </extLst>
    </cfRule>
  </conditionalFormatting>
  <conditionalFormatting sqref="AG91">
    <cfRule type="dataBar" priority="532">
      <dataBar>
        <cfvo type="min"/>
        <cfvo type="max"/>
        <color rgb="FF63C384"/>
      </dataBar>
      <extLst>
        <ext xmlns:x14="http://schemas.microsoft.com/office/spreadsheetml/2009/9/main" uri="{B025F937-C7B1-47D3-B67F-A62EFF666E3E}">
          <x14:id>{C5003F33-023E-4833-99F9-CE09767E86F7}</x14:id>
        </ext>
      </extLst>
    </cfRule>
  </conditionalFormatting>
  <conditionalFormatting sqref="AG91">
    <cfRule type="dataBar" priority="531">
      <dataBar>
        <cfvo type="min"/>
        <cfvo type="max"/>
        <color rgb="FF63C384"/>
      </dataBar>
      <extLst>
        <ext xmlns:x14="http://schemas.microsoft.com/office/spreadsheetml/2009/9/main" uri="{B025F937-C7B1-47D3-B67F-A62EFF666E3E}">
          <x14:id>{78D0D480-F554-4F87-910E-0967C5C6322C}</x14:id>
        </ext>
      </extLst>
    </cfRule>
  </conditionalFormatting>
  <conditionalFormatting sqref="AG91">
    <cfRule type="dataBar" priority="530">
      <dataBar>
        <cfvo type="min"/>
        <cfvo type="max"/>
        <color rgb="FF63C384"/>
      </dataBar>
      <extLst>
        <ext xmlns:x14="http://schemas.microsoft.com/office/spreadsheetml/2009/9/main" uri="{B025F937-C7B1-47D3-B67F-A62EFF666E3E}">
          <x14:id>{BB1F8A5A-04EF-4E80-8270-2EF57ADE0EBD}</x14:id>
        </ext>
      </extLst>
    </cfRule>
  </conditionalFormatting>
  <conditionalFormatting sqref="Q91">
    <cfRule type="cellIs" dxfId="5182" priority="529" operator="equal">
      <formula>"ja"</formula>
    </cfRule>
  </conditionalFormatting>
  <conditionalFormatting sqref="AA92">
    <cfRule type="expression" dxfId="5181" priority="528">
      <formula>AND(AND($W92&lt;TODAY(),$W92&lt;&gt;""),$X92="")</formula>
    </cfRule>
  </conditionalFormatting>
  <conditionalFormatting sqref="AG92">
    <cfRule type="dataBar" priority="527">
      <dataBar>
        <cfvo type="min"/>
        <cfvo type="max"/>
        <color rgb="FF63C384"/>
      </dataBar>
      <extLst>
        <ext xmlns:x14="http://schemas.microsoft.com/office/spreadsheetml/2009/9/main" uri="{B025F937-C7B1-47D3-B67F-A62EFF666E3E}">
          <x14:id>{A51D337B-E1B2-4230-8E09-15AF207A5222}</x14:id>
        </ext>
      </extLst>
    </cfRule>
  </conditionalFormatting>
  <conditionalFormatting sqref="AG92">
    <cfRule type="dataBar" priority="526">
      <dataBar>
        <cfvo type="min"/>
        <cfvo type="max"/>
        <color rgb="FF63C384"/>
      </dataBar>
      <extLst>
        <ext xmlns:x14="http://schemas.microsoft.com/office/spreadsheetml/2009/9/main" uri="{B025F937-C7B1-47D3-B67F-A62EFF666E3E}">
          <x14:id>{22BB8E5F-35E3-45C5-963B-F70661E48E4A}</x14:id>
        </ext>
      </extLst>
    </cfRule>
  </conditionalFormatting>
  <conditionalFormatting sqref="Q92">
    <cfRule type="cellIs" dxfId="5180" priority="525" operator="equal">
      <formula>"ja"</formula>
    </cfRule>
  </conditionalFormatting>
  <conditionalFormatting sqref="Q92">
    <cfRule type="cellIs" dxfId="5179" priority="524" operator="equal">
      <formula>"ja"</formula>
    </cfRule>
  </conditionalFormatting>
  <conditionalFormatting sqref="AA93">
    <cfRule type="expression" dxfId="5178" priority="523">
      <formula>AND(AND($W93&lt;TODAY(),$W93&lt;&gt;""),$X93="")</formula>
    </cfRule>
  </conditionalFormatting>
  <conditionalFormatting sqref="Q93">
    <cfRule type="cellIs" dxfId="5177" priority="522" operator="equal">
      <formula>"ja"</formula>
    </cfRule>
  </conditionalFormatting>
  <conditionalFormatting sqref="AG93">
    <cfRule type="dataBar" priority="521">
      <dataBar>
        <cfvo type="min"/>
        <cfvo type="max"/>
        <color rgb="FF63C384"/>
      </dataBar>
      <extLst>
        <ext xmlns:x14="http://schemas.microsoft.com/office/spreadsheetml/2009/9/main" uri="{B025F937-C7B1-47D3-B67F-A62EFF666E3E}">
          <x14:id>{83F2433E-087E-42FE-B548-EA104F4808B8}</x14:id>
        </ext>
      </extLst>
    </cfRule>
  </conditionalFormatting>
  <conditionalFormatting sqref="AG93">
    <cfRule type="dataBar" priority="520">
      <dataBar>
        <cfvo type="min"/>
        <cfvo type="max"/>
        <color rgb="FF63C384"/>
      </dataBar>
      <extLst>
        <ext xmlns:x14="http://schemas.microsoft.com/office/spreadsheetml/2009/9/main" uri="{B025F937-C7B1-47D3-B67F-A62EFF666E3E}">
          <x14:id>{291E823C-8A8D-454E-A645-E6D25CC512E8}</x14:id>
        </ext>
      </extLst>
    </cfRule>
  </conditionalFormatting>
  <conditionalFormatting sqref="AA94">
    <cfRule type="expression" dxfId="5176" priority="519">
      <formula>AND(AND($W94&lt;TODAY(),$W94&lt;&gt;""),$X94="")</formula>
    </cfRule>
  </conditionalFormatting>
  <conditionalFormatting sqref="AG94">
    <cfRule type="dataBar" priority="518">
      <dataBar>
        <cfvo type="min"/>
        <cfvo type="max"/>
        <color rgb="FF63C384"/>
      </dataBar>
      <extLst>
        <ext xmlns:x14="http://schemas.microsoft.com/office/spreadsheetml/2009/9/main" uri="{B025F937-C7B1-47D3-B67F-A62EFF666E3E}">
          <x14:id>{8E1990D4-E67F-4E71-957D-C4DC1DF98D2C}</x14:id>
        </ext>
      </extLst>
    </cfRule>
  </conditionalFormatting>
  <conditionalFormatting sqref="AG94">
    <cfRule type="dataBar" priority="517">
      <dataBar>
        <cfvo type="min"/>
        <cfvo type="max"/>
        <color rgb="FF63C384"/>
      </dataBar>
      <extLst>
        <ext xmlns:x14="http://schemas.microsoft.com/office/spreadsheetml/2009/9/main" uri="{B025F937-C7B1-47D3-B67F-A62EFF666E3E}">
          <x14:id>{25D16101-3DFA-4A02-AD9F-743D1E567DA2}</x14:id>
        </ext>
      </extLst>
    </cfRule>
  </conditionalFormatting>
  <conditionalFormatting sqref="Q94">
    <cfRule type="cellIs" dxfId="5175" priority="516" operator="equal">
      <formula>"ja"</formula>
    </cfRule>
  </conditionalFormatting>
  <conditionalFormatting sqref="AA95">
    <cfRule type="expression" dxfId="5174" priority="515">
      <formula>AND(AND($W95&lt;TODAY(),$W95&lt;&gt;""),$X95="")</formula>
    </cfRule>
  </conditionalFormatting>
  <conditionalFormatting sqref="Q95">
    <cfRule type="cellIs" dxfId="5173" priority="514" operator="equal">
      <formula>"ja"</formula>
    </cfRule>
  </conditionalFormatting>
  <conditionalFormatting sqref="AG95">
    <cfRule type="dataBar" priority="513">
      <dataBar>
        <cfvo type="min"/>
        <cfvo type="max"/>
        <color rgb="FF63C384"/>
      </dataBar>
      <extLst>
        <ext xmlns:x14="http://schemas.microsoft.com/office/spreadsheetml/2009/9/main" uri="{B025F937-C7B1-47D3-B67F-A62EFF666E3E}">
          <x14:id>{B8D467F8-537A-44D8-AF51-6E0A336C2216}</x14:id>
        </ext>
      </extLst>
    </cfRule>
  </conditionalFormatting>
  <conditionalFormatting sqref="AG95">
    <cfRule type="dataBar" priority="512">
      <dataBar>
        <cfvo type="min"/>
        <cfvo type="max"/>
        <color rgb="FF63C384"/>
      </dataBar>
      <extLst>
        <ext xmlns:x14="http://schemas.microsoft.com/office/spreadsheetml/2009/9/main" uri="{B025F937-C7B1-47D3-B67F-A62EFF666E3E}">
          <x14:id>{490B949E-6B40-497B-B9B4-93E4D114D4EB}</x14:id>
        </ext>
      </extLst>
    </cfRule>
  </conditionalFormatting>
  <conditionalFormatting sqref="AA96">
    <cfRule type="expression" dxfId="5172" priority="511">
      <formula>AND(AND($W96&lt;TODAY(),$W96&lt;&gt;""),$X96="")</formula>
    </cfRule>
  </conditionalFormatting>
  <conditionalFormatting sqref="Q96">
    <cfRule type="cellIs" dxfId="5171" priority="510" operator="equal">
      <formula>"ja"</formula>
    </cfRule>
  </conditionalFormatting>
  <conditionalFormatting sqref="AG96">
    <cfRule type="dataBar" priority="509">
      <dataBar>
        <cfvo type="min"/>
        <cfvo type="max"/>
        <color rgb="FF63C384"/>
      </dataBar>
      <extLst>
        <ext xmlns:x14="http://schemas.microsoft.com/office/spreadsheetml/2009/9/main" uri="{B025F937-C7B1-47D3-B67F-A62EFF666E3E}">
          <x14:id>{32F61BDD-E5E0-4064-AAA1-3EB9F8DC5050}</x14:id>
        </ext>
      </extLst>
    </cfRule>
  </conditionalFormatting>
  <conditionalFormatting sqref="Q96">
    <cfRule type="cellIs" dxfId="5170" priority="508" operator="equal">
      <formula>"ja"</formula>
    </cfRule>
  </conditionalFormatting>
  <conditionalFormatting sqref="AA97">
    <cfRule type="expression" dxfId="5169" priority="507">
      <formula>AND(AND($W97&lt;TODAY(),$W97&lt;&gt;""),$X97="")</formula>
    </cfRule>
  </conditionalFormatting>
  <conditionalFormatting sqref="Q97">
    <cfRule type="cellIs" dxfId="5168" priority="506" operator="equal">
      <formula>"ja"</formula>
    </cfRule>
  </conditionalFormatting>
  <conditionalFormatting sqref="Q97">
    <cfRule type="cellIs" dxfId="5167" priority="497" operator="equal">
      <formula>"ja"</formula>
    </cfRule>
  </conditionalFormatting>
  <conditionalFormatting sqref="AG97">
    <cfRule type="dataBar" priority="505">
      <dataBar>
        <cfvo type="min"/>
        <cfvo type="max"/>
        <color rgb="FF63C384"/>
      </dataBar>
      <extLst>
        <ext xmlns:x14="http://schemas.microsoft.com/office/spreadsheetml/2009/9/main" uri="{B025F937-C7B1-47D3-B67F-A62EFF666E3E}">
          <x14:id>{47B4AF3A-3CE6-4D07-AC4D-4B52E50BBBCB}</x14:id>
        </ext>
      </extLst>
    </cfRule>
  </conditionalFormatting>
  <conditionalFormatting sqref="AG97">
    <cfRule type="dataBar" priority="504">
      <dataBar>
        <cfvo type="min"/>
        <cfvo type="max"/>
        <color rgb="FF63C384"/>
      </dataBar>
      <extLst>
        <ext xmlns:x14="http://schemas.microsoft.com/office/spreadsheetml/2009/9/main" uri="{B025F937-C7B1-47D3-B67F-A62EFF666E3E}">
          <x14:id>{92CC2493-DF33-4F44-912D-AE9201D13EE3}</x14:id>
        </ext>
      </extLst>
    </cfRule>
  </conditionalFormatting>
  <conditionalFormatting sqref="Q97">
    <cfRule type="cellIs" dxfId="5166" priority="503" operator="equal">
      <formula>"ja"</formula>
    </cfRule>
  </conditionalFormatting>
  <conditionalFormatting sqref="AG97">
    <cfRule type="dataBar" priority="502">
      <dataBar>
        <cfvo type="min"/>
        <cfvo type="max"/>
        <color rgb="FF63C384"/>
      </dataBar>
      <extLst>
        <ext xmlns:x14="http://schemas.microsoft.com/office/spreadsheetml/2009/9/main" uri="{B025F937-C7B1-47D3-B67F-A62EFF666E3E}">
          <x14:id>{AF49A8F5-1357-4952-BCEB-C72674C8E5F2}</x14:id>
        </ext>
      </extLst>
    </cfRule>
  </conditionalFormatting>
  <conditionalFormatting sqref="AG97">
    <cfRule type="dataBar" priority="501">
      <dataBar>
        <cfvo type="min"/>
        <cfvo type="max"/>
        <color rgb="FF63C384"/>
      </dataBar>
      <extLst>
        <ext xmlns:x14="http://schemas.microsoft.com/office/spreadsheetml/2009/9/main" uri="{B025F937-C7B1-47D3-B67F-A62EFF666E3E}">
          <x14:id>{68D724E8-8184-40C1-9BB4-9B2CA589DA4D}</x14:id>
        </ext>
      </extLst>
    </cfRule>
  </conditionalFormatting>
  <conditionalFormatting sqref="Q97">
    <cfRule type="cellIs" dxfId="5165" priority="500" operator="equal">
      <formula>"ja"</formula>
    </cfRule>
  </conditionalFormatting>
  <conditionalFormatting sqref="AG97">
    <cfRule type="dataBar" priority="499">
      <dataBar>
        <cfvo type="min"/>
        <cfvo type="max"/>
        <color rgb="FF63C384"/>
      </dataBar>
      <extLst>
        <ext xmlns:x14="http://schemas.microsoft.com/office/spreadsheetml/2009/9/main" uri="{B025F937-C7B1-47D3-B67F-A62EFF666E3E}">
          <x14:id>{54F4D994-1B99-4AFD-BEA3-A4976081152C}</x14:id>
        </ext>
      </extLst>
    </cfRule>
  </conditionalFormatting>
  <conditionalFormatting sqref="AG97">
    <cfRule type="dataBar" priority="498">
      <dataBar>
        <cfvo type="min"/>
        <cfvo type="max"/>
        <color rgb="FF63C384"/>
      </dataBar>
      <extLst>
        <ext xmlns:x14="http://schemas.microsoft.com/office/spreadsheetml/2009/9/main" uri="{B025F937-C7B1-47D3-B67F-A62EFF666E3E}">
          <x14:id>{51F0F0BF-C123-4615-8803-42D0D14AF086}</x14:id>
        </ext>
      </extLst>
    </cfRule>
  </conditionalFormatting>
  <conditionalFormatting sqref="AG97">
    <cfRule type="dataBar" priority="496">
      <dataBar>
        <cfvo type="min"/>
        <cfvo type="max"/>
        <color rgb="FF63C384"/>
      </dataBar>
      <extLst>
        <ext xmlns:x14="http://schemas.microsoft.com/office/spreadsheetml/2009/9/main" uri="{B025F937-C7B1-47D3-B67F-A62EFF666E3E}">
          <x14:id>{6136881B-3309-4C87-80BE-64B056B21464}</x14:id>
        </ext>
      </extLst>
    </cfRule>
  </conditionalFormatting>
  <conditionalFormatting sqref="AG97">
    <cfRule type="dataBar" priority="495">
      <dataBar>
        <cfvo type="min"/>
        <cfvo type="max"/>
        <color rgb="FF63C384"/>
      </dataBar>
      <extLst>
        <ext xmlns:x14="http://schemas.microsoft.com/office/spreadsheetml/2009/9/main" uri="{B025F937-C7B1-47D3-B67F-A62EFF666E3E}">
          <x14:id>{CF0C852F-DF29-45B7-8846-1BC3BEA5741F}</x14:id>
        </ext>
      </extLst>
    </cfRule>
  </conditionalFormatting>
  <conditionalFormatting sqref="Q97">
    <cfRule type="cellIs" dxfId="5164" priority="494" operator="equal">
      <formula>"ja"</formula>
    </cfRule>
  </conditionalFormatting>
  <conditionalFormatting sqref="Q97">
    <cfRule type="cellIs" dxfId="5163" priority="493" operator="equal">
      <formula>"ja"</formula>
    </cfRule>
  </conditionalFormatting>
  <conditionalFormatting sqref="AA98">
    <cfRule type="expression" dxfId="5162" priority="492">
      <formula>AND(AND($W98&lt;TODAY(),$W98&lt;&gt;""),$X98="")</formula>
    </cfRule>
  </conditionalFormatting>
  <conditionalFormatting sqref="AG98">
    <cfRule type="dataBar" priority="491">
      <dataBar>
        <cfvo type="min"/>
        <cfvo type="max"/>
        <color rgb="FF63C384"/>
      </dataBar>
      <extLst>
        <ext xmlns:x14="http://schemas.microsoft.com/office/spreadsheetml/2009/9/main" uri="{B025F937-C7B1-47D3-B67F-A62EFF666E3E}">
          <x14:id>{CC9CAA73-F367-435E-9C92-9D54C85DF355}</x14:id>
        </ext>
      </extLst>
    </cfRule>
  </conditionalFormatting>
  <conditionalFormatting sqref="AG98">
    <cfRule type="dataBar" priority="490">
      <dataBar>
        <cfvo type="min"/>
        <cfvo type="max"/>
        <color rgb="FF63C384"/>
      </dataBar>
      <extLst>
        <ext xmlns:x14="http://schemas.microsoft.com/office/spreadsheetml/2009/9/main" uri="{B025F937-C7B1-47D3-B67F-A62EFF666E3E}">
          <x14:id>{8A22DA75-57FB-4BE2-9F2B-AB6402C513D0}</x14:id>
        </ext>
      </extLst>
    </cfRule>
  </conditionalFormatting>
  <conditionalFormatting sqref="AA99">
    <cfRule type="expression" dxfId="5161" priority="489">
      <formula>AND(AND($W99&lt;TODAY(),$W99&lt;&gt;""),$X99="")</formula>
    </cfRule>
  </conditionalFormatting>
  <conditionalFormatting sqref="Q99">
    <cfRule type="cellIs" dxfId="5160" priority="488" operator="equal">
      <formula>"ja"</formula>
    </cfRule>
  </conditionalFormatting>
  <conditionalFormatting sqref="AG99">
    <cfRule type="dataBar" priority="487">
      <dataBar>
        <cfvo type="min"/>
        <cfvo type="max"/>
        <color rgb="FF63C384"/>
      </dataBar>
      <extLst>
        <ext xmlns:x14="http://schemas.microsoft.com/office/spreadsheetml/2009/9/main" uri="{B025F937-C7B1-47D3-B67F-A62EFF666E3E}">
          <x14:id>{34B43F8A-EF38-4372-AA18-072631FC7C09}</x14:id>
        </ext>
      </extLst>
    </cfRule>
  </conditionalFormatting>
  <conditionalFormatting sqref="Q99">
    <cfRule type="cellIs" dxfId="5159" priority="486" operator="equal">
      <formula>"ja"</formula>
    </cfRule>
  </conditionalFormatting>
  <conditionalFormatting sqref="AA100">
    <cfRule type="expression" dxfId="5158" priority="485">
      <formula>AND(AND($W100&lt;TODAY(),$W100&lt;&gt;""),$X100="")</formula>
    </cfRule>
  </conditionalFormatting>
  <conditionalFormatting sqref="AG100">
    <cfRule type="dataBar" priority="484">
      <dataBar>
        <cfvo type="min"/>
        <cfvo type="max"/>
        <color rgb="FF63C384"/>
      </dataBar>
      <extLst>
        <ext xmlns:x14="http://schemas.microsoft.com/office/spreadsheetml/2009/9/main" uri="{B025F937-C7B1-47D3-B67F-A62EFF666E3E}">
          <x14:id>{536B3896-44BF-45D0-B931-9A90429709FC}</x14:id>
        </ext>
      </extLst>
    </cfRule>
  </conditionalFormatting>
  <conditionalFormatting sqref="AG100">
    <cfRule type="dataBar" priority="483">
      <dataBar>
        <cfvo type="min"/>
        <cfvo type="max"/>
        <color rgb="FF63C384"/>
      </dataBar>
      <extLst>
        <ext xmlns:x14="http://schemas.microsoft.com/office/spreadsheetml/2009/9/main" uri="{B025F937-C7B1-47D3-B67F-A62EFF666E3E}">
          <x14:id>{ECAA8A67-2433-4EA0-BB74-5232C7F0156D}</x14:id>
        </ext>
      </extLst>
    </cfRule>
  </conditionalFormatting>
  <conditionalFormatting sqref="AA101">
    <cfRule type="expression" dxfId="5157" priority="482">
      <formula>AND(AND($W101&lt;TODAY(),$W101&lt;&gt;""),$X101="")</formula>
    </cfRule>
  </conditionalFormatting>
  <conditionalFormatting sqref="AG101">
    <cfRule type="dataBar" priority="481">
      <dataBar>
        <cfvo type="min"/>
        <cfvo type="max"/>
        <color rgb="FF63C384"/>
      </dataBar>
      <extLst>
        <ext xmlns:x14="http://schemas.microsoft.com/office/spreadsheetml/2009/9/main" uri="{B025F937-C7B1-47D3-B67F-A62EFF666E3E}">
          <x14:id>{B848174D-C11D-4ECB-BCA0-301AB9F6D96D}</x14:id>
        </ext>
      </extLst>
    </cfRule>
  </conditionalFormatting>
  <conditionalFormatting sqref="AG101">
    <cfRule type="dataBar" priority="480">
      <dataBar>
        <cfvo type="min"/>
        <cfvo type="max"/>
        <color rgb="FF63C384"/>
      </dataBar>
      <extLst>
        <ext xmlns:x14="http://schemas.microsoft.com/office/spreadsheetml/2009/9/main" uri="{B025F937-C7B1-47D3-B67F-A62EFF666E3E}">
          <x14:id>{EC18EE18-15FE-4616-817F-829333E7EAD7}</x14:id>
        </ext>
      </extLst>
    </cfRule>
  </conditionalFormatting>
  <conditionalFormatting sqref="AA102">
    <cfRule type="expression" dxfId="5156" priority="479">
      <formula>AND(AND($W102&lt;TODAY(),$W102&lt;&gt;""),$X102="")</formula>
    </cfRule>
  </conditionalFormatting>
  <conditionalFormatting sqref="Q102">
    <cfRule type="cellIs" dxfId="5155" priority="478" operator="equal">
      <formula>"ja"</formula>
    </cfRule>
  </conditionalFormatting>
  <conditionalFormatting sqref="AG102">
    <cfRule type="dataBar" priority="477">
      <dataBar>
        <cfvo type="min"/>
        <cfvo type="max"/>
        <color rgb="FF63C384"/>
      </dataBar>
      <extLst>
        <ext xmlns:x14="http://schemas.microsoft.com/office/spreadsheetml/2009/9/main" uri="{B025F937-C7B1-47D3-B67F-A62EFF666E3E}">
          <x14:id>{8A980ACA-EEE4-4344-8C4D-D666436F883E}</x14:id>
        </ext>
      </extLst>
    </cfRule>
  </conditionalFormatting>
  <conditionalFormatting sqref="AG102">
    <cfRule type="dataBar" priority="476">
      <dataBar>
        <cfvo type="min"/>
        <cfvo type="max"/>
        <color rgb="FF63C384"/>
      </dataBar>
      <extLst>
        <ext xmlns:x14="http://schemas.microsoft.com/office/spreadsheetml/2009/9/main" uri="{B025F937-C7B1-47D3-B67F-A62EFF666E3E}">
          <x14:id>{756BFDB5-EC06-4D40-AC48-2A13CE2AA62A}</x14:id>
        </ext>
      </extLst>
    </cfRule>
  </conditionalFormatting>
  <conditionalFormatting sqref="AA103">
    <cfRule type="expression" dxfId="5154" priority="475">
      <formula>AND(AND($W103&lt;TODAY(),$W103&lt;&gt;""),$X103="")</formula>
    </cfRule>
  </conditionalFormatting>
  <conditionalFormatting sqref="Q103">
    <cfRule type="cellIs" dxfId="5153" priority="474" operator="equal">
      <formula>"ja"</formula>
    </cfRule>
  </conditionalFormatting>
  <conditionalFormatting sqref="Q103">
    <cfRule type="cellIs" dxfId="5152" priority="473" operator="equal">
      <formula>"ja"</formula>
    </cfRule>
  </conditionalFormatting>
  <conditionalFormatting sqref="Q103">
    <cfRule type="cellIs" dxfId="5151" priority="472" operator="equal">
      <formula>"ja"</formula>
    </cfRule>
  </conditionalFormatting>
  <conditionalFormatting sqref="AG103">
    <cfRule type="dataBar" priority="471">
      <dataBar>
        <cfvo type="min"/>
        <cfvo type="max"/>
        <color rgb="FF63C384"/>
      </dataBar>
      <extLst>
        <ext xmlns:x14="http://schemas.microsoft.com/office/spreadsheetml/2009/9/main" uri="{B025F937-C7B1-47D3-B67F-A62EFF666E3E}">
          <x14:id>{AD20700D-F79E-4F17-9131-AE68CC2A6A5B}</x14:id>
        </ext>
      </extLst>
    </cfRule>
  </conditionalFormatting>
  <conditionalFormatting sqref="AG103">
    <cfRule type="dataBar" priority="470">
      <dataBar>
        <cfvo type="min"/>
        <cfvo type="max"/>
        <color rgb="FF63C384"/>
      </dataBar>
      <extLst>
        <ext xmlns:x14="http://schemas.microsoft.com/office/spreadsheetml/2009/9/main" uri="{B025F937-C7B1-47D3-B67F-A62EFF666E3E}">
          <x14:id>{7978163D-D3EC-4225-AD17-88C8A188D69A}</x14:id>
        </ext>
      </extLst>
    </cfRule>
  </conditionalFormatting>
  <conditionalFormatting sqref="Q103">
    <cfRule type="cellIs" dxfId="5150" priority="469" operator="equal">
      <formula>"ja"</formula>
    </cfRule>
  </conditionalFormatting>
  <conditionalFormatting sqref="AG103">
    <cfRule type="dataBar" priority="468">
      <dataBar>
        <cfvo type="min"/>
        <cfvo type="max"/>
        <color rgb="FF63C384"/>
      </dataBar>
      <extLst>
        <ext xmlns:x14="http://schemas.microsoft.com/office/spreadsheetml/2009/9/main" uri="{B025F937-C7B1-47D3-B67F-A62EFF666E3E}">
          <x14:id>{B667FA05-D315-4CB5-9959-0B8713BAB3EF}</x14:id>
        </ext>
      </extLst>
    </cfRule>
  </conditionalFormatting>
  <conditionalFormatting sqref="AG103">
    <cfRule type="dataBar" priority="467">
      <dataBar>
        <cfvo type="min"/>
        <cfvo type="max"/>
        <color rgb="FF63C384"/>
      </dataBar>
      <extLst>
        <ext xmlns:x14="http://schemas.microsoft.com/office/spreadsheetml/2009/9/main" uri="{B025F937-C7B1-47D3-B67F-A62EFF666E3E}">
          <x14:id>{292B77C7-E303-436E-A071-49181F1662B6}</x14:id>
        </ext>
      </extLst>
    </cfRule>
  </conditionalFormatting>
  <conditionalFormatting sqref="AA104">
    <cfRule type="expression" dxfId="5149" priority="466">
      <formula>AND(AND($W104&lt;TODAY(),$W104&lt;&gt;""),$X104="")</formula>
    </cfRule>
  </conditionalFormatting>
  <conditionalFormatting sqref="Q104">
    <cfRule type="cellIs" dxfId="5148" priority="465" operator="equal">
      <formula>"ja"</formula>
    </cfRule>
  </conditionalFormatting>
  <conditionalFormatting sqref="AG104">
    <cfRule type="dataBar" priority="464">
      <dataBar>
        <cfvo type="min"/>
        <cfvo type="max"/>
        <color rgb="FF63C384"/>
      </dataBar>
      <extLst>
        <ext xmlns:x14="http://schemas.microsoft.com/office/spreadsheetml/2009/9/main" uri="{B025F937-C7B1-47D3-B67F-A62EFF666E3E}">
          <x14:id>{F123CFE1-944E-41D9-BA70-2A04A6406D68}</x14:id>
        </ext>
      </extLst>
    </cfRule>
  </conditionalFormatting>
  <conditionalFormatting sqref="AG104">
    <cfRule type="dataBar" priority="463">
      <dataBar>
        <cfvo type="min"/>
        <cfvo type="max"/>
        <color rgb="FF63C384"/>
      </dataBar>
      <extLst>
        <ext xmlns:x14="http://schemas.microsoft.com/office/spreadsheetml/2009/9/main" uri="{B025F937-C7B1-47D3-B67F-A62EFF666E3E}">
          <x14:id>{D6CBAC36-D6E7-407F-A530-C67784A2E517}</x14:id>
        </ext>
      </extLst>
    </cfRule>
  </conditionalFormatting>
  <conditionalFormatting sqref="AA105">
    <cfRule type="expression" dxfId="5147" priority="462">
      <formula>AND(AND($W105&lt;TODAY(),$W105&lt;&gt;""),$X105="")</formula>
    </cfRule>
  </conditionalFormatting>
  <conditionalFormatting sqref="AG105">
    <cfRule type="dataBar" priority="461">
      <dataBar>
        <cfvo type="min"/>
        <cfvo type="max"/>
        <color rgb="FF63C384"/>
      </dataBar>
      <extLst>
        <ext xmlns:x14="http://schemas.microsoft.com/office/spreadsheetml/2009/9/main" uri="{B025F937-C7B1-47D3-B67F-A62EFF666E3E}">
          <x14:id>{DF937159-99A1-4AD3-9A0D-D383305C011E}</x14:id>
        </ext>
      </extLst>
    </cfRule>
  </conditionalFormatting>
  <conditionalFormatting sqref="AG105">
    <cfRule type="dataBar" priority="460">
      <dataBar>
        <cfvo type="min"/>
        <cfvo type="max"/>
        <color rgb="FF63C384"/>
      </dataBar>
      <extLst>
        <ext xmlns:x14="http://schemas.microsoft.com/office/spreadsheetml/2009/9/main" uri="{B025F937-C7B1-47D3-B67F-A62EFF666E3E}">
          <x14:id>{E57CC844-88F3-4D49-86E0-C3D308FE8627}</x14:id>
        </ext>
      </extLst>
    </cfRule>
  </conditionalFormatting>
  <conditionalFormatting sqref="Q105">
    <cfRule type="cellIs" dxfId="5146" priority="459" operator="equal">
      <formula>"ja"</formula>
    </cfRule>
  </conditionalFormatting>
  <conditionalFormatting sqref="Q105">
    <cfRule type="cellIs" dxfId="5145" priority="458" operator="equal">
      <formula>"ja"</formula>
    </cfRule>
  </conditionalFormatting>
  <conditionalFormatting sqref="AA106">
    <cfRule type="expression" dxfId="5144" priority="457">
      <formula>AND(AND($W106&lt;TODAY(),$W106&lt;&gt;""),$X106="")</formula>
    </cfRule>
  </conditionalFormatting>
  <conditionalFormatting sqref="AG106">
    <cfRule type="dataBar" priority="456">
      <dataBar>
        <cfvo type="min"/>
        <cfvo type="max"/>
        <color rgb="FF63C384"/>
      </dataBar>
      <extLst>
        <ext xmlns:x14="http://schemas.microsoft.com/office/spreadsheetml/2009/9/main" uri="{B025F937-C7B1-47D3-B67F-A62EFF666E3E}">
          <x14:id>{2D78F805-13CD-436D-8CD2-5F4274472650}</x14:id>
        </ext>
      </extLst>
    </cfRule>
  </conditionalFormatting>
  <conditionalFormatting sqref="AG106">
    <cfRule type="dataBar" priority="455">
      <dataBar>
        <cfvo type="min"/>
        <cfvo type="max"/>
        <color rgb="FF63C384"/>
      </dataBar>
      <extLst>
        <ext xmlns:x14="http://schemas.microsoft.com/office/spreadsheetml/2009/9/main" uri="{B025F937-C7B1-47D3-B67F-A62EFF666E3E}">
          <x14:id>{069A7887-7CA0-43D6-A823-400EC62E244B}</x14:id>
        </ext>
      </extLst>
    </cfRule>
  </conditionalFormatting>
  <conditionalFormatting sqref="AG106">
    <cfRule type="dataBar" priority="454">
      <dataBar>
        <cfvo type="min"/>
        <cfvo type="max"/>
        <color rgb="FF63C384"/>
      </dataBar>
      <extLst>
        <ext xmlns:x14="http://schemas.microsoft.com/office/spreadsheetml/2009/9/main" uri="{B025F937-C7B1-47D3-B67F-A62EFF666E3E}">
          <x14:id>{0C834492-4FC6-4707-B293-83906998BFBD}</x14:id>
        </ext>
      </extLst>
    </cfRule>
  </conditionalFormatting>
  <conditionalFormatting sqref="AG106">
    <cfRule type="dataBar" priority="453">
      <dataBar>
        <cfvo type="min"/>
        <cfvo type="max"/>
        <color rgb="FF63C384"/>
      </dataBar>
      <extLst>
        <ext xmlns:x14="http://schemas.microsoft.com/office/spreadsheetml/2009/9/main" uri="{B025F937-C7B1-47D3-B67F-A62EFF666E3E}">
          <x14:id>{E23C24A1-0919-488F-822C-07BB26193F00}</x14:id>
        </ext>
      </extLst>
    </cfRule>
  </conditionalFormatting>
  <conditionalFormatting sqref="AA107">
    <cfRule type="expression" dxfId="5143" priority="452">
      <formula>AND(AND($W107&lt;TODAY(),$W107&lt;&gt;""),$X107="")</formula>
    </cfRule>
  </conditionalFormatting>
  <conditionalFormatting sqref="Q107">
    <cfRule type="cellIs" dxfId="5142" priority="451" operator="equal">
      <formula>"ja"</formula>
    </cfRule>
  </conditionalFormatting>
  <conditionalFormatting sqref="AG107">
    <cfRule type="dataBar" priority="450">
      <dataBar>
        <cfvo type="min"/>
        <cfvo type="max"/>
        <color rgb="FF63C384"/>
      </dataBar>
      <extLst>
        <ext xmlns:x14="http://schemas.microsoft.com/office/spreadsheetml/2009/9/main" uri="{B025F937-C7B1-47D3-B67F-A62EFF666E3E}">
          <x14:id>{73BAA78B-38CD-4284-9AD8-2FC03663440D}</x14:id>
        </ext>
      </extLst>
    </cfRule>
  </conditionalFormatting>
  <conditionalFormatting sqref="Q107">
    <cfRule type="cellIs" dxfId="5141" priority="449" operator="equal">
      <formula>"ja"</formula>
    </cfRule>
  </conditionalFormatting>
  <conditionalFormatting sqref="Q107">
    <cfRule type="cellIs" dxfId="5140" priority="448" operator="equal">
      <formula>"ja"</formula>
    </cfRule>
  </conditionalFormatting>
  <conditionalFormatting sqref="AA108">
    <cfRule type="expression" dxfId="5139" priority="447">
      <formula>AND(AND($W108&lt;TODAY(),$W108&lt;&gt;""),$X108="")</formula>
    </cfRule>
  </conditionalFormatting>
  <conditionalFormatting sqref="Q108">
    <cfRule type="cellIs" dxfId="5138" priority="446" operator="equal">
      <formula>"ja"</formula>
    </cfRule>
  </conditionalFormatting>
  <conditionalFormatting sqref="AG108">
    <cfRule type="dataBar" priority="445">
      <dataBar>
        <cfvo type="min"/>
        <cfvo type="max"/>
        <color rgb="FF63C384"/>
      </dataBar>
      <extLst>
        <ext xmlns:x14="http://schemas.microsoft.com/office/spreadsheetml/2009/9/main" uri="{B025F937-C7B1-47D3-B67F-A62EFF666E3E}">
          <x14:id>{D706C4A5-B5AC-4C1F-99C4-61B359C6F9FE}</x14:id>
        </ext>
      </extLst>
    </cfRule>
  </conditionalFormatting>
  <conditionalFormatting sqref="AG108">
    <cfRule type="dataBar" priority="444">
      <dataBar>
        <cfvo type="min"/>
        <cfvo type="max"/>
        <color rgb="FF63C384"/>
      </dataBar>
      <extLst>
        <ext xmlns:x14="http://schemas.microsoft.com/office/spreadsheetml/2009/9/main" uri="{B025F937-C7B1-47D3-B67F-A62EFF666E3E}">
          <x14:id>{13759F2A-570A-4B62-83C4-1303C55C9A4E}</x14:id>
        </ext>
      </extLst>
    </cfRule>
  </conditionalFormatting>
  <conditionalFormatting sqref="AG108">
    <cfRule type="dataBar" priority="443">
      <dataBar>
        <cfvo type="min"/>
        <cfvo type="max"/>
        <color rgb="FF63C384"/>
      </dataBar>
      <extLst>
        <ext xmlns:x14="http://schemas.microsoft.com/office/spreadsheetml/2009/9/main" uri="{B025F937-C7B1-47D3-B67F-A62EFF666E3E}">
          <x14:id>{99485EB2-211D-47B8-97E7-06E981770A0B}</x14:id>
        </ext>
      </extLst>
    </cfRule>
  </conditionalFormatting>
  <conditionalFormatting sqref="AG108">
    <cfRule type="dataBar" priority="442">
      <dataBar>
        <cfvo type="min"/>
        <cfvo type="max"/>
        <color rgb="FF63C384"/>
      </dataBar>
      <extLst>
        <ext xmlns:x14="http://schemas.microsoft.com/office/spreadsheetml/2009/9/main" uri="{B025F937-C7B1-47D3-B67F-A62EFF666E3E}">
          <x14:id>{CFB8B60D-DA22-48F9-AAA3-DC614D77F31B}</x14:id>
        </ext>
      </extLst>
    </cfRule>
  </conditionalFormatting>
  <conditionalFormatting sqref="Q108">
    <cfRule type="cellIs" dxfId="5137" priority="441" operator="equal">
      <formula>"ja"</formula>
    </cfRule>
  </conditionalFormatting>
  <conditionalFormatting sqref="AA111">
    <cfRule type="expression" dxfId="5136" priority="440">
      <formula>AND(AND($W111&lt;TODAY(),$W111&lt;&gt;""),$X111="")</formula>
    </cfRule>
  </conditionalFormatting>
  <conditionalFormatting sqref="Q111">
    <cfRule type="cellIs" dxfId="5135" priority="439" operator="equal">
      <formula>"ja"</formula>
    </cfRule>
  </conditionalFormatting>
  <conditionalFormatting sqref="AG111">
    <cfRule type="dataBar" priority="438">
      <dataBar>
        <cfvo type="min"/>
        <cfvo type="max"/>
        <color rgb="FF63C384"/>
      </dataBar>
      <extLst>
        <ext xmlns:x14="http://schemas.microsoft.com/office/spreadsheetml/2009/9/main" uri="{B025F937-C7B1-47D3-B67F-A62EFF666E3E}">
          <x14:id>{3E91B8C0-8CD2-48B6-A01E-087A232AB351}</x14:id>
        </ext>
      </extLst>
    </cfRule>
  </conditionalFormatting>
  <conditionalFormatting sqref="AG111">
    <cfRule type="dataBar" priority="437">
      <dataBar>
        <cfvo type="min"/>
        <cfvo type="max"/>
        <color rgb="FF63C384"/>
      </dataBar>
      <extLst>
        <ext xmlns:x14="http://schemas.microsoft.com/office/spreadsheetml/2009/9/main" uri="{B025F937-C7B1-47D3-B67F-A62EFF666E3E}">
          <x14:id>{AD44FDFC-FC8A-4D95-A26D-34F779F76B92}</x14:id>
        </ext>
      </extLst>
    </cfRule>
  </conditionalFormatting>
  <conditionalFormatting sqref="AA112">
    <cfRule type="expression" dxfId="5134" priority="436">
      <formula>AND(AND($W112&lt;TODAY(),$W112&lt;&gt;""),$X112="")</formula>
    </cfRule>
  </conditionalFormatting>
  <conditionalFormatting sqref="Q112">
    <cfRule type="cellIs" dxfId="5133" priority="435" operator="equal">
      <formula>"ja"</formula>
    </cfRule>
  </conditionalFormatting>
  <conditionalFormatting sqref="AG112">
    <cfRule type="dataBar" priority="434">
      <dataBar>
        <cfvo type="min"/>
        <cfvo type="max"/>
        <color rgb="FF63C384"/>
      </dataBar>
      <extLst>
        <ext xmlns:x14="http://schemas.microsoft.com/office/spreadsheetml/2009/9/main" uri="{B025F937-C7B1-47D3-B67F-A62EFF666E3E}">
          <x14:id>{A09CF7AD-2C52-4BDC-A0D8-788B4F826AB1}</x14:id>
        </ext>
      </extLst>
    </cfRule>
  </conditionalFormatting>
  <conditionalFormatting sqref="AG112">
    <cfRule type="dataBar" priority="433">
      <dataBar>
        <cfvo type="min"/>
        <cfvo type="max"/>
        <color rgb="FF63C384"/>
      </dataBar>
      <extLst>
        <ext xmlns:x14="http://schemas.microsoft.com/office/spreadsheetml/2009/9/main" uri="{B025F937-C7B1-47D3-B67F-A62EFF666E3E}">
          <x14:id>{5DF21CBC-3C06-45B9-AF0B-F009C1501CE7}</x14:id>
        </ext>
      </extLst>
    </cfRule>
  </conditionalFormatting>
  <conditionalFormatting sqref="Q113">
    <cfRule type="cellIs" dxfId="5132" priority="432" operator="equal">
      <formula>"ja"</formula>
    </cfRule>
  </conditionalFormatting>
  <conditionalFormatting sqref="AA113">
    <cfRule type="expression" dxfId="5131" priority="431">
      <formula>AND(AND($W113&lt;TODAY(),$W113&lt;&gt;""),$X113="")</formula>
    </cfRule>
  </conditionalFormatting>
  <conditionalFormatting sqref="AG113">
    <cfRule type="dataBar" priority="430">
      <dataBar>
        <cfvo type="min"/>
        <cfvo type="max"/>
        <color rgb="FF63C384"/>
      </dataBar>
      <extLst>
        <ext xmlns:x14="http://schemas.microsoft.com/office/spreadsheetml/2009/9/main" uri="{B025F937-C7B1-47D3-B67F-A62EFF666E3E}">
          <x14:id>{FD19547E-57E6-4E9C-AC28-FA9459D3A4A4}</x14:id>
        </ext>
      </extLst>
    </cfRule>
  </conditionalFormatting>
  <conditionalFormatting sqref="AG113">
    <cfRule type="dataBar" priority="429">
      <dataBar>
        <cfvo type="min"/>
        <cfvo type="max"/>
        <color rgb="FF63C384"/>
      </dataBar>
      <extLst>
        <ext xmlns:x14="http://schemas.microsoft.com/office/spreadsheetml/2009/9/main" uri="{B025F937-C7B1-47D3-B67F-A62EFF666E3E}">
          <x14:id>{D4144F02-9247-4E37-BAA4-8E9BDB4F1387}</x14:id>
        </ext>
      </extLst>
    </cfRule>
  </conditionalFormatting>
  <conditionalFormatting sqref="Q113">
    <cfRule type="cellIs" dxfId="5130" priority="428" operator="equal">
      <formula>"ja"</formula>
    </cfRule>
  </conditionalFormatting>
  <conditionalFormatting sqref="AA113">
    <cfRule type="expression" dxfId="5129" priority="427">
      <formula>AND(AND($W113&lt;TODAY(),$W113&lt;&gt;""),$X113="")</formula>
    </cfRule>
  </conditionalFormatting>
  <conditionalFormatting sqref="AG113">
    <cfRule type="dataBar" priority="426">
      <dataBar>
        <cfvo type="min"/>
        <cfvo type="max"/>
        <color rgb="FF63C384"/>
      </dataBar>
      <extLst>
        <ext xmlns:x14="http://schemas.microsoft.com/office/spreadsheetml/2009/9/main" uri="{B025F937-C7B1-47D3-B67F-A62EFF666E3E}">
          <x14:id>{B3F676B1-082C-4C7F-B80D-5389E1A16B24}</x14:id>
        </ext>
      </extLst>
    </cfRule>
  </conditionalFormatting>
  <conditionalFormatting sqref="AG113">
    <cfRule type="dataBar" priority="425">
      <dataBar>
        <cfvo type="min"/>
        <cfvo type="max"/>
        <color rgb="FF63C384"/>
      </dataBar>
      <extLst>
        <ext xmlns:x14="http://schemas.microsoft.com/office/spreadsheetml/2009/9/main" uri="{B025F937-C7B1-47D3-B67F-A62EFF666E3E}">
          <x14:id>{92F730ED-94D1-4B28-92A0-D71A214FCC62}</x14:id>
        </ext>
      </extLst>
    </cfRule>
  </conditionalFormatting>
  <conditionalFormatting sqref="AA114">
    <cfRule type="expression" dxfId="5128" priority="424">
      <formula>AND(AND($W114&lt;TODAY(),$W114&lt;&gt;""),$X114="")</formula>
    </cfRule>
  </conditionalFormatting>
  <conditionalFormatting sqref="AG114">
    <cfRule type="dataBar" priority="423">
      <dataBar>
        <cfvo type="min"/>
        <cfvo type="max"/>
        <color rgb="FF63C384"/>
      </dataBar>
      <extLst>
        <ext xmlns:x14="http://schemas.microsoft.com/office/spreadsheetml/2009/9/main" uri="{B025F937-C7B1-47D3-B67F-A62EFF666E3E}">
          <x14:id>{ECDC9B9C-6E68-47DB-B69F-1FA93F74D34C}</x14:id>
        </ext>
      </extLst>
    </cfRule>
  </conditionalFormatting>
  <conditionalFormatting sqref="AG114">
    <cfRule type="dataBar" priority="422">
      <dataBar>
        <cfvo type="min"/>
        <cfvo type="max"/>
        <color rgb="FF63C384"/>
      </dataBar>
      <extLst>
        <ext xmlns:x14="http://schemas.microsoft.com/office/spreadsheetml/2009/9/main" uri="{B025F937-C7B1-47D3-B67F-A62EFF666E3E}">
          <x14:id>{A14F6A04-D5C7-49B5-9231-4FB02C6DFA1E}</x14:id>
        </ext>
      </extLst>
    </cfRule>
  </conditionalFormatting>
  <conditionalFormatting sqref="Q114">
    <cfRule type="cellIs" dxfId="5127" priority="421" operator="equal">
      <formula>"ja"</formula>
    </cfRule>
  </conditionalFormatting>
  <conditionalFormatting sqref="AA115">
    <cfRule type="expression" dxfId="5126" priority="420">
      <formula>AND(AND($W115&lt;TODAY(),$W115&lt;&gt;""),$X115="")</formula>
    </cfRule>
  </conditionalFormatting>
  <conditionalFormatting sqref="Q115">
    <cfRule type="cellIs" dxfId="5125" priority="419" operator="equal">
      <formula>"ja"</formula>
    </cfRule>
  </conditionalFormatting>
  <conditionalFormatting sqref="AG115">
    <cfRule type="dataBar" priority="418">
      <dataBar>
        <cfvo type="min"/>
        <cfvo type="max"/>
        <color rgb="FF63C384"/>
      </dataBar>
      <extLst>
        <ext xmlns:x14="http://schemas.microsoft.com/office/spreadsheetml/2009/9/main" uri="{B025F937-C7B1-47D3-B67F-A62EFF666E3E}">
          <x14:id>{259D2FF4-1F4D-45B5-8C8B-5D642E502E34}</x14:id>
        </ext>
      </extLst>
    </cfRule>
  </conditionalFormatting>
  <conditionalFormatting sqref="Q115">
    <cfRule type="cellIs" dxfId="5124" priority="417" operator="equal">
      <formula>"ja"</formula>
    </cfRule>
  </conditionalFormatting>
  <conditionalFormatting sqref="AA116">
    <cfRule type="expression" dxfId="5123" priority="416">
      <formula>AND(AND($W116&lt;TODAY(),$W116&lt;&gt;""),$X116="")</formula>
    </cfRule>
  </conditionalFormatting>
  <conditionalFormatting sqref="Q116">
    <cfRule type="cellIs" dxfId="5122" priority="415" operator="equal">
      <formula>"ja"</formula>
    </cfRule>
  </conditionalFormatting>
  <conditionalFormatting sqref="Q116">
    <cfRule type="cellIs" dxfId="5121" priority="406" operator="equal">
      <formula>"ja"</formula>
    </cfRule>
  </conditionalFormatting>
  <conditionalFormatting sqref="AG116">
    <cfRule type="dataBar" priority="414">
      <dataBar>
        <cfvo type="min"/>
        <cfvo type="max"/>
        <color rgb="FF63C384"/>
      </dataBar>
      <extLst>
        <ext xmlns:x14="http://schemas.microsoft.com/office/spreadsheetml/2009/9/main" uri="{B025F937-C7B1-47D3-B67F-A62EFF666E3E}">
          <x14:id>{80D26B41-7AB9-41B0-92FF-595F5424B74F}</x14:id>
        </ext>
      </extLst>
    </cfRule>
  </conditionalFormatting>
  <conditionalFormatting sqref="AG116">
    <cfRule type="dataBar" priority="413">
      <dataBar>
        <cfvo type="min"/>
        <cfvo type="max"/>
        <color rgb="FF63C384"/>
      </dataBar>
      <extLst>
        <ext xmlns:x14="http://schemas.microsoft.com/office/spreadsheetml/2009/9/main" uri="{B025F937-C7B1-47D3-B67F-A62EFF666E3E}">
          <x14:id>{F45F45BB-C442-4C68-8CA5-807031C6865C}</x14:id>
        </ext>
      </extLst>
    </cfRule>
  </conditionalFormatting>
  <conditionalFormatting sqref="Q116">
    <cfRule type="cellIs" dxfId="5120" priority="412" operator="equal">
      <formula>"ja"</formula>
    </cfRule>
  </conditionalFormatting>
  <conditionalFormatting sqref="AG116">
    <cfRule type="dataBar" priority="411">
      <dataBar>
        <cfvo type="min"/>
        <cfvo type="max"/>
        <color rgb="FF63C384"/>
      </dataBar>
      <extLst>
        <ext xmlns:x14="http://schemas.microsoft.com/office/spreadsheetml/2009/9/main" uri="{B025F937-C7B1-47D3-B67F-A62EFF666E3E}">
          <x14:id>{CFE38E8F-9847-4CE6-B297-7943C9E401BC}</x14:id>
        </ext>
      </extLst>
    </cfRule>
  </conditionalFormatting>
  <conditionalFormatting sqref="AG116">
    <cfRule type="dataBar" priority="410">
      <dataBar>
        <cfvo type="min"/>
        <cfvo type="max"/>
        <color rgb="FF63C384"/>
      </dataBar>
      <extLst>
        <ext xmlns:x14="http://schemas.microsoft.com/office/spreadsheetml/2009/9/main" uri="{B025F937-C7B1-47D3-B67F-A62EFF666E3E}">
          <x14:id>{C32DCE95-FDA7-4099-9467-4D75C5D679A9}</x14:id>
        </ext>
      </extLst>
    </cfRule>
  </conditionalFormatting>
  <conditionalFormatting sqref="Q116">
    <cfRule type="cellIs" dxfId="5119" priority="409" operator="equal">
      <formula>"ja"</formula>
    </cfRule>
  </conditionalFormatting>
  <conditionalFormatting sqref="AG116">
    <cfRule type="dataBar" priority="408">
      <dataBar>
        <cfvo type="min"/>
        <cfvo type="max"/>
        <color rgb="FF63C384"/>
      </dataBar>
      <extLst>
        <ext xmlns:x14="http://schemas.microsoft.com/office/spreadsheetml/2009/9/main" uri="{B025F937-C7B1-47D3-B67F-A62EFF666E3E}">
          <x14:id>{B646147C-D439-470D-9282-90A747A205E5}</x14:id>
        </ext>
      </extLst>
    </cfRule>
  </conditionalFormatting>
  <conditionalFormatting sqref="AG116">
    <cfRule type="dataBar" priority="407">
      <dataBar>
        <cfvo type="min"/>
        <cfvo type="max"/>
        <color rgb="FF63C384"/>
      </dataBar>
      <extLst>
        <ext xmlns:x14="http://schemas.microsoft.com/office/spreadsheetml/2009/9/main" uri="{B025F937-C7B1-47D3-B67F-A62EFF666E3E}">
          <x14:id>{80011B56-75A1-4B36-A852-8BD95064AC0B}</x14:id>
        </ext>
      </extLst>
    </cfRule>
  </conditionalFormatting>
  <conditionalFormatting sqref="AG116">
    <cfRule type="dataBar" priority="405">
      <dataBar>
        <cfvo type="min"/>
        <cfvo type="max"/>
        <color rgb="FF63C384"/>
      </dataBar>
      <extLst>
        <ext xmlns:x14="http://schemas.microsoft.com/office/spreadsheetml/2009/9/main" uri="{B025F937-C7B1-47D3-B67F-A62EFF666E3E}">
          <x14:id>{8EA65F2D-6E0F-4D6E-ABB9-FDC8527AC539}</x14:id>
        </ext>
      </extLst>
    </cfRule>
  </conditionalFormatting>
  <conditionalFormatting sqref="AG116">
    <cfRule type="dataBar" priority="404">
      <dataBar>
        <cfvo type="min"/>
        <cfvo type="max"/>
        <color rgb="FF63C384"/>
      </dataBar>
      <extLst>
        <ext xmlns:x14="http://schemas.microsoft.com/office/spreadsheetml/2009/9/main" uri="{B025F937-C7B1-47D3-B67F-A62EFF666E3E}">
          <x14:id>{20B1C3B5-2197-4FCA-A7F2-77F5CE0255C7}</x14:id>
        </ext>
      </extLst>
    </cfRule>
  </conditionalFormatting>
  <conditionalFormatting sqref="Q116">
    <cfRule type="cellIs" dxfId="5118" priority="403" operator="equal">
      <formula>"ja"</formula>
    </cfRule>
  </conditionalFormatting>
  <conditionalFormatting sqref="Q116">
    <cfRule type="cellIs" dxfId="5117" priority="402" operator="equal">
      <formula>"ja"</formula>
    </cfRule>
  </conditionalFormatting>
  <conditionalFormatting sqref="Q117">
    <cfRule type="cellIs" dxfId="5116" priority="401" operator="equal">
      <formula>"ja"</formula>
    </cfRule>
  </conditionalFormatting>
  <conditionalFormatting sqref="AA117">
    <cfRule type="expression" dxfId="5115" priority="400">
      <formula>AND(AND($W117&lt;TODAY(),$W117&lt;&gt;""),$X117="")</formula>
    </cfRule>
  </conditionalFormatting>
  <conditionalFormatting sqref="AG117">
    <cfRule type="dataBar" priority="399">
      <dataBar>
        <cfvo type="min"/>
        <cfvo type="max"/>
        <color rgb="FF63C384"/>
      </dataBar>
      <extLst>
        <ext xmlns:x14="http://schemas.microsoft.com/office/spreadsheetml/2009/9/main" uri="{B025F937-C7B1-47D3-B67F-A62EFF666E3E}">
          <x14:id>{D0E1AC29-4E7C-4EE8-B719-35513DB21840}</x14:id>
        </ext>
      </extLst>
    </cfRule>
  </conditionalFormatting>
  <conditionalFormatting sqref="AG117">
    <cfRule type="dataBar" priority="398">
      <dataBar>
        <cfvo type="min"/>
        <cfvo type="max"/>
        <color rgb="FF63C384"/>
      </dataBar>
      <extLst>
        <ext xmlns:x14="http://schemas.microsoft.com/office/spreadsheetml/2009/9/main" uri="{B025F937-C7B1-47D3-B67F-A62EFF666E3E}">
          <x14:id>{9C091459-40B9-45F0-A641-BCC03B78E56C}</x14:id>
        </ext>
      </extLst>
    </cfRule>
  </conditionalFormatting>
  <conditionalFormatting sqref="AA118">
    <cfRule type="expression" dxfId="5114" priority="397">
      <formula>AND(AND($W118&lt;TODAY(),$W118&lt;&gt;""),$X118="")</formula>
    </cfRule>
  </conditionalFormatting>
  <conditionalFormatting sqref="Q118">
    <cfRule type="cellIs" dxfId="5113" priority="396" operator="equal">
      <formula>"ja"</formula>
    </cfRule>
  </conditionalFormatting>
  <conditionalFormatting sqref="AG118">
    <cfRule type="dataBar" priority="395">
      <dataBar>
        <cfvo type="min"/>
        <cfvo type="max"/>
        <color rgb="FF63C384"/>
      </dataBar>
      <extLst>
        <ext xmlns:x14="http://schemas.microsoft.com/office/spreadsheetml/2009/9/main" uri="{B025F937-C7B1-47D3-B67F-A62EFF666E3E}">
          <x14:id>{DA2AC240-0E73-4327-B3A6-E91FCD208ECC}</x14:id>
        </ext>
      </extLst>
    </cfRule>
  </conditionalFormatting>
  <conditionalFormatting sqref="Q118">
    <cfRule type="cellIs" dxfId="5112" priority="394" operator="equal">
      <formula>"ja"</formula>
    </cfRule>
  </conditionalFormatting>
  <conditionalFormatting sqref="AA119">
    <cfRule type="expression" dxfId="5111" priority="393">
      <formula>AND(AND($W119&lt;TODAY(),$W119&lt;&gt;""),$X119="")</formula>
    </cfRule>
  </conditionalFormatting>
  <conditionalFormatting sqref="Q119">
    <cfRule type="cellIs" dxfId="5110" priority="392" operator="equal">
      <formula>"ja"</formula>
    </cfRule>
  </conditionalFormatting>
  <conditionalFormatting sqref="AG119">
    <cfRule type="dataBar" priority="391">
      <dataBar>
        <cfvo type="min"/>
        <cfvo type="max"/>
        <color rgb="FF63C384"/>
      </dataBar>
      <extLst>
        <ext xmlns:x14="http://schemas.microsoft.com/office/spreadsheetml/2009/9/main" uri="{B025F937-C7B1-47D3-B67F-A62EFF666E3E}">
          <x14:id>{8B24D2F5-7239-4206-BE9A-6E0BE4314DD7}</x14:id>
        </ext>
      </extLst>
    </cfRule>
  </conditionalFormatting>
  <conditionalFormatting sqref="AG119">
    <cfRule type="dataBar" priority="390">
      <dataBar>
        <cfvo type="min"/>
        <cfvo type="max"/>
        <color rgb="FF63C384"/>
      </dataBar>
      <extLst>
        <ext xmlns:x14="http://schemas.microsoft.com/office/spreadsheetml/2009/9/main" uri="{B025F937-C7B1-47D3-B67F-A62EFF666E3E}">
          <x14:id>{ABD3C367-6D52-4BEC-B942-DE806B0EBDBC}</x14:id>
        </ext>
      </extLst>
    </cfRule>
  </conditionalFormatting>
  <conditionalFormatting sqref="AA120">
    <cfRule type="expression" dxfId="5109" priority="389">
      <formula>AND(AND($W120&lt;TODAY(),$W120&lt;&gt;""),$X120="")</formula>
    </cfRule>
  </conditionalFormatting>
  <conditionalFormatting sqref="Q120">
    <cfRule type="cellIs" dxfId="5108" priority="388" operator="equal">
      <formula>"ja"</formula>
    </cfRule>
  </conditionalFormatting>
  <conditionalFormatting sqref="AG120">
    <cfRule type="dataBar" priority="387">
      <dataBar>
        <cfvo type="min"/>
        <cfvo type="max"/>
        <color rgb="FF63C384"/>
      </dataBar>
      <extLst>
        <ext xmlns:x14="http://schemas.microsoft.com/office/spreadsheetml/2009/9/main" uri="{B025F937-C7B1-47D3-B67F-A62EFF666E3E}">
          <x14:id>{C5E78F21-2191-490F-A9C3-AF825EF8CBBB}</x14:id>
        </ext>
      </extLst>
    </cfRule>
  </conditionalFormatting>
  <conditionalFormatting sqref="AG120">
    <cfRule type="dataBar" priority="386">
      <dataBar>
        <cfvo type="min"/>
        <cfvo type="max"/>
        <color rgb="FF63C384"/>
      </dataBar>
      <extLst>
        <ext xmlns:x14="http://schemas.microsoft.com/office/spreadsheetml/2009/9/main" uri="{B025F937-C7B1-47D3-B67F-A62EFF666E3E}">
          <x14:id>{C181379A-432B-478C-A9D6-6BD8551C0512}</x14:id>
        </ext>
      </extLst>
    </cfRule>
  </conditionalFormatting>
  <conditionalFormatting sqref="AA121">
    <cfRule type="expression" dxfId="5107" priority="385">
      <formula>AND(AND($W121&lt;TODAY(),$W121&lt;&gt;""),$X121="")</formula>
    </cfRule>
  </conditionalFormatting>
  <conditionalFormatting sqref="Q121">
    <cfRule type="cellIs" dxfId="5106" priority="384" operator="equal">
      <formula>"ja"</formula>
    </cfRule>
  </conditionalFormatting>
  <conditionalFormatting sqref="Q121">
    <cfRule type="cellIs" dxfId="5105" priority="383" operator="equal">
      <formula>"ja"</formula>
    </cfRule>
  </conditionalFormatting>
  <conditionalFormatting sqref="Q121">
    <cfRule type="cellIs" dxfId="5104" priority="382" operator="equal">
      <formula>"ja"</formula>
    </cfRule>
  </conditionalFormatting>
  <conditionalFormatting sqref="AG121">
    <cfRule type="dataBar" priority="381">
      <dataBar>
        <cfvo type="min"/>
        <cfvo type="max"/>
        <color rgb="FF63C384"/>
      </dataBar>
      <extLst>
        <ext xmlns:x14="http://schemas.microsoft.com/office/spreadsheetml/2009/9/main" uri="{B025F937-C7B1-47D3-B67F-A62EFF666E3E}">
          <x14:id>{A477C3F2-C075-48B1-B371-149794586A24}</x14:id>
        </ext>
      </extLst>
    </cfRule>
  </conditionalFormatting>
  <conditionalFormatting sqref="AG121">
    <cfRule type="dataBar" priority="380">
      <dataBar>
        <cfvo type="min"/>
        <cfvo type="max"/>
        <color rgb="FF63C384"/>
      </dataBar>
      <extLst>
        <ext xmlns:x14="http://schemas.microsoft.com/office/spreadsheetml/2009/9/main" uri="{B025F937-C7B1-47D3-B67F-A62EFF666E3E}">
          <x14:id>{446694D7-50C3-4316-9A28-218D711BB90D}</x14:id>
        </ext>
      </extLst>
    </cfRule>
  </conditionalFormatting>
  <conditionalFormatting sqref="Q121">
    <cfRule type="cellIs" dxfId="5103" priority="379" operator="equal">
      <formula>"ja"</formula>
    </cfRule>
  </conditionalFormatting>
  <conditionalFormatting sqref="AG121">
    <cfRule type="dataBar" priority="378">
      <dataBar>
        <cfvo type="min"/>
        <cfvo type="max"/>
        <color rgb="FF63C384"/>
      </dataBar>
      <extLst>
        <ext xmlns:x14="http://schemas.microsoft.com/office/spreadsheetml/2009/9/main" uri="{B025F937-C7B1-47D3-B67F-A62EFF666E3E}">
          <x14:id>{7BAF3782-0EB9-4E79-BF3F-1C72E600C66A}</x14:id>
        </ext>
      </extLst>
    </cfRule>
  </conditionalFormatting>
  <conditionalFormatting sqref="AG121">
    <cfRule type="dataBar" priority="377">
      <dataBar>
        <cfvo type="min"/>
        <cfvo type="max"/>
        <color rgb="FF63C384"/>
      </dataBar>
      <extLst>
        <ext xmlns:x14="http://schemas.microsoft.com/office/spreadsheetml/2009/9/main" uri="{B025F937-C7B1-47D3-B67F-A62EFF666E3E}">
          <x14:id>{AF2AAD3A-6A5A-4E03-A09B-BACC7D14B4E5}</x14:id>
        </ext>
      </extLst>
    </cfRule>
  </conditionalFormatting>
  <conditionalFormatting sqref="AA122">
    <cfRule type="expression" dxfId="5102" priority="376">
      <formula>AND(AND($W122&lt;TODAY(),$W122&lt;&gt;""),$X122="")</formula>
    </cfRule>
  </conditionalFormatting>
  <conditionalFormatting sqref="Q122">
    <cfRule type="cellIs" dxfId="5101" priority="375" operator="equal">
      <formula>"ja"</formula>
    </cfRule>
  </conditionalFormatting>
  <conditionalFormatting sqref="AG122">
    <cfRule type="dataBar" priority="374">
      <dataBar>
        <cfvo type="min"/>
        <cfvo type="max"/>
        <color rgb="FF63C384"/>
      </dataBar>
      <extLst>
        <ext xmlns:x14="http://schemas.microsoft.com/office/spreadsheetml/2009/9/main" uri="{B025F937-C7B1-47D3-B67F-A62EFF666E3E}">
          <x14:id>{C7A6582F-AE60-4152-995D-260B5F03EC73}</x14:id>
        </ext>
      </extLst>
    </cfRule>
  </conditionalFormatting>
  <conditionalFormatting sqref="Q122">
    <cfRule type="cellIs" dxfId="5100" priority="373" operator="equal">
      <formula>"ja"</formula>
    </cfRule>
  </conditionalFormatting>
  <conditionalFormatting sqref="Q122">
    <cfRule type="cellIs" dxfId="5099" priority="372" operator="equal">
      <formula>"ja"</formula>
    </cfRule>
  </conditionalFormatting>
  <conditionalFormatting sqref="AA123">
    <cfRule type="expression" dxfId="5098" priority="371">
      <formula>AND(AND($W123&lt;TODAY(),$W123&lt;&gt;""),$X123="")</formula>
    </cfRule>
  </conditionalFormatting>
  <conditionalFormatting sqref="AG123">
    <cfRule type="dataBar" priority="370">
      <dataBar>
        <cfvo type="min"/>
        <cfvo type="max"/>
        <color rgb="FF63C384"/>
      </dataBar>
      <extLst>
        <ext xmlns:x14="http://schemas.microsoft.com/office/spreadsheetml/2009/9/main" uri="{B025F937-C7B1-47D3-B67F-A62EFF666E3E}">
          <x14:id>{4D7878BF-B1A8-4228-9482-0913F3529CE1}</x14:id>
        </ext>
      </extLst>
    </cfRule>
  </conditionalFormatting>
  <conditionalFormatting sqref="AG123">
    <cfRule type="dataBar" priority="369">
      <dataBar>
        <cfvo type="min"/>
        <cfvo type="max"/>
        <color rgb="FF63C384"/>
      </dataBar>
      <extLst>
        <ext xmlns:x14="http://schemas.microsoft.com/office/spreadsheetml/2009/9/main" uri="{B025F937-C7B1-47D3-B67F-A62EFF666E3E}">
          <x14:id>{6EEBB27A-F590-4AF3-8BB2-22028EF2B711}</x14:id>
        </ext>
      </extLst>
    </cfRule>
  </conditionalFormatting>
  <conditionalFormatting sqref="AG123">
    <cfRule type="dataBar" priority="368">
      <dataBar>
        <cfvo type="min"/>
        <cfvo type="max"/>
        <color rgb="FF63C384"/>
      </dataBar>
      <extLst>
        <ext xmlns:x14="http://schemas.microsoft.com/office/spreadsheetml/2009/9/main" uri="{B025F937-C7B1-47D3-B67F-A62EFF666E3E}">
          <x14:id>{51174996-CBEB-4953-A4ED-69D7B09151DF}</x14:id>
        </ext>
      </extLst>
    </cfRule>
  </conditionalFormatting>
  <conditionalFormatting sqref="AG123">
    <cfRule type="dataBar" priority="367">
      <dataBar>
        <cfvo type="min"/>
        <cfvo type="max"/>
        <color rgb="FF63C384"/>
      </dataBar>
      <extLst>
        <ext xmlns:x14="http://schemas.microsoft.com/office/spreadsheetml/2009/9/main" uri="{B025F937-C7B1-47D3-B67F-A62EFF666E3E}">
          <x14:id>{67A4DAE4-567E-44D2-9B83-C027CF9C9DAC}</x14:id>
        </ext>
      </extLst>
    </cfRule>
  </conditionalFormatting>
  <conditionalFormatting sqref="AA124">
    <cfRule type="expression" dxfId="5097" priority="366">
      <formula>AND(AND($W124&lt;TODAY(),$W124&lt;&gt;""),$X124="")</formula>
    </cfRule>
  </conditionalFormatting>
  <conditionalFormatting sqref="AG124">
    <cfRule type="dataBar" priority="365">
      <dataBar>
        <cfvo type="min"/>
        <cfvo type="max"/>
        <color rgb="FF63C384"/>
      </dataBar>
      <extLst>
        <ext xmlns:x14="http://schemas.microsoft.com/office/spreadsheetml/2009/9/main" uri="{B025F937-C7B1-47D3-B67F-A62EFF666E3E}">
          <x14:id>{F8FD55AE-F265-4895-BC22-6FBD7F89D9DF}</x14:id>
        </ext>
      </extLst>
    </cfRule>
  </conditionalFormatting>
  <conditionalFormatting sqref="AG124">
    <cfRule type="dataBar" priority="364">
      <dataBar>
        <cfvo type="min"/>
        <cfvo type="max"/>
        <color rgb="FF63C384"/>
      </dataBar>
      <extLst>
        <ext xmlns:x14="http://schemas.microsoft.com/office/spreadsheetml/2009/9/main" uri="{B025F937-C7B1-47D3-B67F-A62EFF666E3E}">
          <x14:id>{A96DB08B-3041-4F6D-9D63-6C13417B4C09}</x14:id>
        </ext>
      </extLst>
    </cfRule>
  </conditionalFormatting>
  <conditionalFormatting sqref="Q124">
    <cfRule type="cellIs" dxfId="5096" priority="363" operator="equal">
      <formula>"ja"</formula>
    </cfRule>
  </conditionalFormatting>
  <conditionalFormatting sqref="Q124">
    <cfRule type="cellIs" dxfId="5095" priority="362" operator="equal">
      <formula>"ja"</formula>
    </cfRule>
  </conditionalFormatting>
  <conditionalFormatting sqref="AA125">
    <cfRule type="expression" dxfId="5094" priority="361">
      <formula>AND(AND($W125&lt;TODAY(),$W125&lt;&gt;""),$X125="")</formula>
    </cfRule>
  </conditionalFormatting>
  <conditionalFormatting sqref="Q125">
    <cfRule type="cellIs" dxfId="5093" priority="360" operator="equal">
      <formula>"ja"</formula>
    </cfRule>
  </conditionalFormatting>
  <conditionalFormatting sqref="AG125">
    <cfRule type="dataBar" priority="359">
      <dataBar>
        <cfvo type="min"/>
        <cfvo type="max"/>
        <color rgb="FF63C384"/>
      </dataBar>
      <extLst>
        <ext xmlns:x14="http://schemas.microsoft.com/office/spreadsheetml/2009/9/main" uri="{B025F937-C7B1-47D3-B67F-A62EFF666E3E}">
          <x14:id>{60D077E0-66A4-49F7-AEF2-81621A791DEF}</x14:id>
        </ext>
      </extLst>
    </cfRule>
  </conditionalFormatting>
  <conditionalFormatting sqref="AG125">
    <cfRule type="dataBar" priority="358">
      <dataBar>
        <cfvo type="min"/>
        <cfvo type="max"/>
        <color rgb="FF63C384"/>
      </dataBar>
      <extLst>
        <ext xmlns:x14="http://schemas.microsoft.com/office/spreadsheetml/2009/9/main" uri="{B025F937-C7B1-47D3-B67F-A62EFF666E3E}">
          <x14:id>{095EAA88-A1A0-4745-AB6E-05B283B38D45}</x14:id>
        </ext>
      </extLst>
    </cfRule>
  </conditionalFormatting>
  <conditionalFormatting sqref="AG125">
    <cfRule type="dataBar" priority="357">
      <dataBar>
        <cfvo type="min"/>
        <cfvo type="max"/>
        <color rgb="FF63C384"/>
      </dataBar>
      <extLst>
        <ext xmlns:x14="http://schemas.microsoft.com/office/spreadsheetml/2009/9/main" uri="{B025F937-C7B1-47D3-B67F-A62EFF666E3E}">
          <x14:id>{699054DD-D23B-425C-93A8-BCEA9B4877FD}</x14:id>
        </ext>
      </extLst>
    </cfRule>
  </conditionalFormatting>
  <conditionalFormatting sqref="AG125">
    <cfRule type="dataBar" priority="356">
      <dataBar>
        <cfvo type="min"/>
        <cfvo type="max"/>
        <color rgb="FF63C384"/>
      </dataBar>
      <extLst>
        <ext xmlns:x14="http://schemas.microsoft.com/office/spreadsheetml/2009/9/main" uri="{B025F937-C7B1-47D3-B67F-A62EFF666E3E}">
          <x14:id>{CEABCB54-1725-4171-88FA-1E114B10D23F}</x14:id>
        </ext>
      </extLst>
    </cfRule>
  </conditionalFormatting>
  <conditionalFormatting sqref="Q125">
    <cfRule type="cellIs" dxfId="5092" priority="355" operator="equal">
      <formula>"ja"</formula>
    </cfRule>
  </conditionalFormatting>
  <conditionalFormatting sqref="AA126">
    <cfRule type="expression" dxfId="5091" priority="354">
      <formula>AND(AND($W126&lt;TODAY(),$W126&lt;&gt;""),$X126="")</formula>
    </cfRule>
  </conditionalFormatting>
  <conditionalFormatting sqref="AA127">
    <cfRule type="expression" dxfId="5090" priority="353">
      <formula>AND(AND($W127&lt;TODAY(),$W127&lt;&gt;""),$X127="")</formula>
    </cfRule>
  </conditionalFormatting>
  <conditionalFormatting sqref="AG127">
    <cfRule type="dataBar" priority="352">
      <dataBar>
        <cfvo type="min"/>
        <cfvo type="max"/>
        <color rgb="FF63C384"/>
      </dataBar>
      <extLst>
        <ext xmlns:x14="http://schemas.microsoft.com/office/spreadsheetml/2009/9/main" uri="{B025F937-C7B1-47D3-B67F-A62EFF666E3E}">
          <x14:id>{8EA36CBF-9AD7-4615-BBA8-9132EB848576}</x14:id>
        </ext>
      </extLst>
    </cfRule>
  </conditionalFormatting>
  <conditionalFormatting sqref="AG127">
    <cfRule type="dataBar" priority="351">
      <dataBar>
        <cfvo type="min"/>
        <cfvo type="max"/>
        <color rgb="FF63C384"/>
      </dataBar>
      <extLst>
        <ext xmlns:x14="http://schemas.microsoft.com/office/spreadsheetml/2009/9/main" uri="{B025F937-C7B1-47D3-B67F-A62EFF666E3E}">
          <x14:id>{A4FF116B-60A6-481D-B4F3-889E41FA52AA}</x14:id>
        </ext>
      </extLst>
    </cfRule>
  </conditionalFormatting>
  <conditionalFormatting sqref="Q127">
    <cfRule type="cellIs" dxfId="5089" priority="350" operator="equal">
      <formula>"ja"</formula>
    </cfRule>
  </conditionalFormatting>
  <conditionalFormatting sqref="AA128">
    <cfRule type="expression" dxfId="5088" priority="349">
      <formula>AND(AND($W128&lt;TODAY(),$W128&lt;&gt;""),$X128="")</formula>
    </cfRule>
  </conditionalFormatting>
  <conditionalFormatting sqref="Q128">
    <cfRule type="cellIs" dxfId="5087" priority="348" operator="equal">
      <formula>"ja"</formula>
    </cfRule>
  </conditionalFormatting>
  <conditionalFormatting sqref="AG128">
    <cfRule type="dataBar" priority="347">
      <dataBar>
        <cfvo type="min"/>
        <cfvo type="max"/>
        <color rgb="FF63C384"/>
      </dataBar>
      <extLst>
        <ext xmlns:x14="http://schemas.microsoft.com/office/spreadsheetml/2009/9/main" uri="{B025F937-C7B1-47D3-B67F-A62EFF666E3E}">
          <x14:id>{0A5FA8A4-200F-467C-A27B-50AB0EE99CB1}</x14:id>
        </ext>
      </extLst>
    </cfRule>
  </conditionalFormatting>
  <conditionalFormatting sqref="AG128">
    <cfRule type="dataBar" priority="346">
      <dataBar>
        <cfvo type="min"/>
        <cfvo type="max"/>
        <color rgb="FF63C384"/>
      </dataBar>
      <extLst>
        <ext xmlns:x14="http://schemas.microsoft.com/office/spreadsheetml/2009/9/main" uri="{B025F937-C7B1-47D3-B67F-A62EFF666E3E}">
          <x14:id>{63624594-BA26-491D-9A4B-27C017292293}</x14:id>
        </ext>
      </extLst>
    </cfRule>
  </conditionalFormatting>
  <conditionalFormatting sqref="AA129">
    <cfRule type="expression" dxfId="5086" priority="345">
      <formula>AND(AND($W129&lt;TODAY(),$W129&lt;&gt;""),$X129="")</formula>
    </cfRule>
  </conditionalFormatting>
  <conditionalFormatting sqref="Q129">
    <cfRule type="cellIs" dxfId="5085" priority="344" operator="equal">
      <formula>"ja"</formula>
    </cfRule>
  </conditionalFormatting>
  <conditionalFormatting sqref="Q129">
    <cfRule type="cellIs" dxfId="5084" priority="335" operator="equal">
      <formula>"ja"</formula>
    </cfRule>
  </conditionalFormatting>
  <conditionalFormatting sqref="AG129">
    <cfRule type="dataBar" priority="343">
      <dataBar>
        <cfvo type="min"/>
        <cfvo type="max"/>
        <color rgb="FF63C384"/>
      </dataBar>
      <extLst>
        <ext xmlns:x14="http://schemas.microsoft.com/office/spreadsheetml/2009/9/main" uri="{B025F937-C7B1-47D3-B67F-A62EFF666E3E}">
          <x14:id>{EE18F87A-10D4-427D-8D63-98FB6FE9CCD6}</x14:id>
        </ext>
      </extLst>
    </cfRule>
  </conditionalFormatting>
  <conditionalFormatting sqref="AG129">
    <cfRule type="dataBar" priority="342">
      <dataBar>
        <cfvo type="min"/>
        <cfvo type="max"/>
        <color rgb="FF63C384"/>
      </dataBar>
      <extLst>
        <ext xmlns:x14="http://schemas.microsoft.com/office/spreadsheetml/2009/9/main" uri="{B025F937-C7B1-47D3-B67F-A62EFF666E3E}">
          <x14:id>{4121B0DA-4EAF-4D7D-ADC4-644AC33EA7CA}</x14:id>
        </ext>
      </extLst>
    </cfRule>
  </conditionalFormatting>
  <conditionalFormatting sqref="Q129">
    <cfRule type="cellIs" dxfId="5083" priority="341" operator="equal">
      <formula>"ja"</formula>
    </cfRule>
  </conditionalFormatting>
  <conditionalFormatting sqref="AG129">
    <cfRule type="dataBar" priority="340">
      <dataBar>
        <cfvo type="min"/>
        <cfvo type="max"/>
        <color rgb="FF63C384"/>
      </dataBar>
      <extLst>
        <ext xmlns:x14="http://schemas.microsoft.com/office/spreadsheetml/2009/9/main" uri="{B025F937-C7B1-47D3-B67F-A62EFF666E3E}">
          <x14:id>{CDA8D0DB-FACE-4D4E-AECE-E551412BAF44}</x14:id>
        </ext>
      </extLst>
    </cfRule>
  </conditionalFormatting>
  <conditionalFormatting sqref="AG129">
    <cfRule type="dataBar" priority="339">
      <dataBar>
        <cfvo type="min"/>
        <cfvo type="max"/>
        <color rgb="FF63C384"/>
      </dataBar>
      <extLst>
        <ext xmlns:x14="http://schemas.microsoft.com/office/spreadsheetml/2009/9/main" uri="{B025F937-C7B1-47D3-B67F-A62EFF666E3E}">
          <x14:id>{7C654386-FA53-4AFD-AF96-6E7B46F6DF4D}</x14:id>
        </ext>
      </extLst>
    </cfRule>
  </conditionalFormatting>
  <conditionalFormatting sqref="Q129">
    <cfRule type="cellIs" dxfId="5082" priority="338" operator="equal">
      <formula>"ja"</formula>
    </cfRule>
  </conditionalFormatting>
  <conditionalFormatting sqref="AG129">
    <cfRule type="dataBar" priority="337">
      <dataBar>
        <cfvo type="min"/>
        <cfvo type="max"/>
        <color rgb="FF63C384"/>
      </dataBar>
      <extLst>
        <ext xmlns:x14="http://schemas.microsoft.com/office/spreadsheetml/2009/9/main" uri="{B025F937-C7B1-47D3-B67F-A62EFF666E3E}">
          <x14:id>{A238F18B-5EBA-493E-939D-D89282BA5C27}</x14:id>
        </ext>
      </extLst>
    </cfRule>
  </conditionalFormatting>
  <conditionalFormatting sqref="AG129">
    <cfRule type="dataBar" priority="336">
      <dataBar>
        <cfvo type="min"/>
        <cfvo type="max"/>
        <color rgb="FF63C384"/>
      </dataBar>
      <extLst>
        <ext xmlns:x14="http://schemas.microsoft.com/office/spreadsheetml/2009/9/main" uri="{B025F937-C7B1-47D3-B67F-A62EFF666E3E}">
          <x14:id>{6AA8AF3A-F863-4B36-AC54-1577504B3A61}</x14:id>
        </ext>
      </extLst>
    </cfRule>
  </conditionalFormatting>
  <conditionalFormatting sqref="AG129">
    <cfRule type="dataBar" priority="334">
      <dataBar>
        <cfvo type="min"/>
        <cfvo type="max"/>
        <color rgb="FF63C384"/>
      </dataBar>
      <extLst>
        <ext xmlns:x14="http://schemas.microsoft.com/office/spreadsheetml/2009/9/main" uri="{B025F937-C7B1-47D3-B67F-A62EFF666E3E}">
          <x14:id>{1BD307A5-E3ED-44C9-B18E-3673DDAF6C78}</x14:id>
        </ext>
      </extLst>
    </cfRule>
  </conditionalFormatting>
  <conditionalFormatting sqref="AG129">
    <cfRule type="dataBar" priority="333">
      <dataBar>
        <cfvo type="min"/>
        <cfvo type="max"/>
        <color rgb="FF63C384"/>
      </dataBar>
      <extLst>
        <ext xmlns:x14="http://schemas.microsoft.com/office/spreadsheetml/2009/9/main" uri="{B025F937-C7B1-47D3-B67F-A62EFF666E3E}">
          <x14:id>{CB6AC873-DC5C-414F-958E-0BC3ED87F4E7}</x14:id>
        </ext>
      </extLst>
    </cfRule>
  </conditionalFormatting>
  <conditionalFormatting sqref="Q129">
    <cfRule type="cellIs" dxfId="5081" priority="332" operator="equal">
      <formula>"ja"</formula>
    </cfRule>
  </conditionalFormatting>
  <conditionalFormatting sqref="Q129">
    <cfRule type="cellIs" dxfId="5080" priority="331" operator="equal">
      <formula>"ja"</formula>
    </cfRule>
  </conditionalFormatting>
  <conditionalFormatting sqref="AA130">
    <cfRule type="expression" dxfId="5079" priority="330">
      <formula>AND(AND($W130&lt;TODAY(),$W130&lt;&gt;""),$X130="")</formula>
    </cfRule>
  </conditionalFormatting>
  <conditionalFormatting sqref="Q130">
    <cfRule type="cellIs" dxfId="5078" priority="329" operator="equal">
      <formula>"ja"</formula>
    </cfRule>
  </conditionalFormatting>
  <conditionalFormatting sqref="AG130">
    <cfRule type="dataBar" priority="328">
      <dataBar>
        <cfvo type="min"/>
        <cfvo type="max"/>
        <color rgb="FF63C384"/>
      </dataBar>
      <extLst>
        <ext xmlns:x14="http://schemas.microsoft.com/office/spreadsheetml/2009/9/main" uri="{B025F937-C7B1-47D3-B67F-A62EFF666E3E}">
          <x14:id>{4940791C-EAD1-4557-8573-2D2A2AE1738F}</x14:id>
        </ext>
      </extLst>
    </cfRule>
  </conditionalFormatting>
  <conditionalFormatting sqref="Q130">
    <cfRule type="cellIs" dxfId="5077" priority="327" operator="equal">
      <formula>"ja"</formula>
    </cfRule>
  </conditionalFormatting>
  <conditionalFormatting sqref="AA131">
    <cfRule type="expression" dxfId="5076" priority="326">
      <formula>AND(AND($W131&lt;TODAY(),$W131&lt;&gt;""),$X131="")</formula>
    </cfRule>
  </conditionalFormatting>
  <conditionalFormatting sqref="Q131">
    <cfRule type="cellIs" dxfId="5075" priority="325" operator="equal">
      <formula>"ja"</formula>
    </cfRule>
  </conditionalFormatting>
  <conditionalFormatting sqref="AG131">
    <cfRule type="dataBar" priority="324">
      <dataBar>
        <cfvo type="min"/>
        <cfvo type="max"/>
        <color rgb="FF63C384"/>
      </dataBar>
      <extLst>
        <ext xmlns:x14="http://schemas.microsoft.com/office/spreadsheetml/2009/9/main" uri="{B025F937-C7B1-47D3-B67F-A62EFF666E3E}">
          <x14:id>{7E3A4089-DB7D-4736-B7F4-29E59077A487}</x14:id>
        </ext>
      </extLst>
    </cfRule>
  </conditionalFormatting>
  <conditionalFormatting sqref="Q131">
    <cfRule type="cellIs" dxfId="5074" priority="323" operator="equal">
      <formula>"ja"</formula>
    </cfRule>
  </conditionalFormatting>
  <conditionalFormatting sqref="AA132">
    <cfRule type="expression" dxfId="5073" priority="322">
      <formula>AND(AND($W132&lt;TODAY(),$W132&lt;&gt;""),$X132="")</formula>
    </cfRule>
  </conditionalFormatting>
  <conditionalFormatting sqref="Q132">
    <cfRule type="cellIs" dxfId="5072" priority="321" operator="equal">
      <formula>"ja"</formula>
    </cfRule>
  </conditionalFormatting>
  <conditionalFormatting sqref="AG132">
    <cfRule type="dataBar" priority="320">
      <dataBar>
        <cfvo type="min"/>
        <cfvo type="max"/>
        <color rgb="FF63C384"/>
      </dataBar>
      <extLst>
        <ext xmlns:x14="http://schemas.microsoft.com/office/spreadsheetml/2009/9/main" uri="{B025F937-C7B1-47D3-B67F-A62EFF666E3E}">
          <x14:id>{1F6A9524-2E21-4FB6-9E15-19A6BB98A96B}</x14:id>
        </ext>
      </extLst>
    </cfRule>
  </conditionalFormatting>
  <conditionalFormatting sqref="AG132">
    <cfRule type="dataBar" priority="319">
      <dataBar>
        <cfvo type="min"/>
        <cfvo type="max"/>
        <color rgb="FF63C384"/>
      </dataBar>
      <extLst>
        <ext xmlns:x14="http://schemas.microsoft.com/office/spreadsheetml/2009/9/main" uri="{B025F937-C7B1-47D3-B67F-A62EFF666E3E}">
          <x14:id>{F8FE9304-36B2-4354-9F56-8F1CC028B0A1}</x14:id>
        </ext>
      </extLst>
    </cfRule>
  </conditionalFormatting>
  <conditionalFormatting sqref="AA133">
    <cfRule type="expression" dxfId="5071" priority="318">
      <formula>AND(AND($W133&lt;TODAY(),$W133&lt;&gt;""),$X133="")</formula>
    </cfRule>
  </conditionalFormatting>
  <conditionalFormatting sqref="Q133">
    <cfRule type="cellIs" dxfId="5070" priority="317" operator="equal">
      <formula>"ja"</formula>
    </cfRule>
  </conditionalFormatting>
  <conditionalFormatting sqref="Q133">
    <cfRule type="cellIs" dxfId="5069" priority="316" operator="equal">
      <formula>"ja"</formula>
    </cfRule>
  </conditionalFormatting>
  <conditionalFormatting sqref="Q133">
    <cfRule type="cellIs" dxfId="5068" priority="315" operator="equal">
      <formula>"ja"</formula>
    </cfRule>
  </conditionalFormatting>
  <conditionalFormatting sqref="AG133">
    <cfRule type="dataBar" priority="314">
      <dataBar>
        <cfvo type="min"/>
        <cfvo type="max"/>
        <color rgb="FF63C384"/>
      </dataBar>
      <extLst>
        <ext xmlns:x14="http://schemas.microsoft.com/office/spreadsheetml/2009/9/main" uri="{B025F937-C7B1-47D3-B67F-A62EFF666E3E}">
          <x14:id>{578AB49D-AB94-4BA5-BE88-202BA80D146B}</x14:id>
        </ext>
      </extLst>
    </cfRule>
  </conditionalFormatting>
  <conditionalFormatting sqref="AG133">
    <cfRule type="dataBar" priority="313">
      <dataBar>
        <cfvo type="min"/>
        <cfvo type="max"/>
        <color rgb="FF63C384"/>
      </dataBar>
      <extLst>
        <ext xmlns:x14="http://schemas.microsoft.com/office/spreadsheetml/2009/9/main" uri="{B025F937-C7B1-47D3-B67F-A62EFF666E3E}">
          <x14:id>{DFEE36B0-D1B9-4E85-8AE3-65EDC544EBB0}</x14:id>
        </ext>
      </extLst>
    </cfRule>
  </conditionalFormatting>
  <conditionalFormatting sqref="Q133">
    <cfRule type="cellIs" dxfId="5067" priority="312" operator="equal">
      <formula>"ja"</formula>
    </cfRule>
  </conditionalFormatting>
  <conditionalFormatting sqref="AG133">
    <cfRule type="dataBar" priority="311">
      <dataBar>
        <cfvo type="min"/>
        <cfvo type="max"/>
        <color rgb="FF63C384"/>
      </dataBar>
      <extLst>
        <ext xmlns:x14="http://schemas.microsoft.com/office/spreadsheetml/2009/9/main" uri="{B025F937-C7B1-47D3-B67F-A62EFF666E3E}">
          <x14:id>{29BABFB6-C278-4B33-93AC-9400C8563109}</x14:id>
        </ext>
      </extLst>
    </cfRule>
  </conditionalFormatting>
  <conditionalFormatting sqref="AG133">
    <cfRule type="dataBar" priority="310">
      <dataBar>
        <cfvo type="min"/>
        <cfvo type="max"/>
        <color rgb="FF63C384"/>
      </dataBar>
      <extLst>
        <ext xmlns:x14="http://schemas.microsoft.com/office/spreadsheetml/2009/9/main" uri="{B025F937-C7B1-47D3-B67F-A62EFF666E3E}">
          <x14:id>{99D6A654-19D4-43F6-845B-A09EE3DC61C9}</x14:id>
        </ext>
      </extLst>
    </cfRule>
  </conditionalFormatting>
  <conditionalFormatting sqref="AA134">
    <cfRule type="expression" dxfId="5066" priority="309">
      <formula>AND(AND($W134&lt;TODAY(),$W134&lt;&gt;""),$X134="")</formula>
    </cfRule>
  </conditionalFormatting>
  <conditionalFormatting sqref="Q134">
    <cfRule type="cellIs" dxfId="5065" priority="308" operator="equal">
      <formula>"ja"</formula>
    </cfRule>
  </conditionalFormatting>
  <conditionalFormatting sqref="AG134">
    <cfRule type="dataBar" priority="307">
      <dataBar>
        <cfvo type="min"/>
        <cfvo type="max"/>
        <color rgb="FF63C384"/>
      </dataBar>
      <extLst>
        <ext xmlns:x14="http://schemas.microsoft.com/office/spreadsheetml/2009/9/main" uri="{B025F937-C7B1-47D3-B67F-A62EFF666E3E}">
          <x14:id>{4C772DD1-7E7A-4E18-8778-7C2FC4D96236}</x14:id>
        </ext>
      </extLst>
    </cfRule>
  </conditionalFormatting>
  <conditionalFormatting sqref="Q134">
    <cfRule type="cellIs" dxfId="5064" priority="306" operator="equal">
      <formula>"ja"</formula>
    </cfRule>
  </conditionalFormatting>
  <conditionalFormatting sqref="Q134">
    <cfRule type="cellIs" dxfId="5063" priority="305" operator="equal">
      <formula>"ja"</formula>
    </cfRule>
  </conditionalFormatting>
  <conditionalFormatting sqref="AA135">
    <cfRule type="expression" dxfId="5062" priority="304">
      <formula>AND(AND($W135&lt;TODAY(),$W135&lt;&gt;""),$X135="")</formula>
    </cfRule>
  </conditionalFormatting>
  <conditionalFormatting sqref="AG135">
    <cfRule type="dataBar" priority="303">
      <dataBar>
        <cfvo type="min"/>
        <cfvo type="max"/>
        <color rgb="FF63C384"/>
      </dataBar>
      <extLst>
        <ext xmlns:x14="http://schemas.microsoft.com/office/spreadsheetml/2009/9/main" uri="{B025F937-C7B1-47D3-B67F-A62EFF666E3E}">
          <x14:id>{C1171FA8-343E-4776-8152-1DD0EDBD9FC1}</x14:id>
        </ext>
      </extLst>
    </cfRule>
  </conditionalFormatting>
  <conditionalFormatting sqref="AG135">
    <cfRule type="dataBar" priority="302">
      <dataBar>
        <cfvo type="min"/>
        <cfvo type="max"/>
        <color rgb="FF63C384"/>
      </dataBar>
      <extLst>
        <ext xmlns:x14="http://schemas.microsoft.com/office/spreadsheetml/2009/9/main" uri="{B025F937-C7B1-47D3-B67F-A62EFF666E3E}">
          <x14:id>{293FD433-787C-4703-BF7F-6B33EFD377C4}</x14:id>
        </ext>
      </extLst>
    </cfRule>
  </conditionalFormatting>
  <conditionalFormatting sqref="AG135">
    <cfRule type="dataBar" priority="301">
      <dataBar>
        <cfvo type="min"/>
        <cfvo type="max"/>
        <color rgb="FF63C384"/>
      </dataBar>
      <extLst>
        <ext xmlns:x14="http://schemas.microsoft.com/office/spreadsheetml/2009/9/main" uri="{B025F937-C7B1-47D3-B67F-A62EFF666E3E}">
          <x14:id>{6AA4BB2D-3088-466F-9610-3AD5B15CC7FB}</x14:id>
        </ext>
      </extLst>
    </cfRule>
  </conditionalFormatting>
  <conditionalFormatting sqref="AG135">
    <cfRule type="dataBar" priority="300">
      <dataBar>
        <cfvo type="min"/>
        <cfvo type="max"/>
        <color rgb="FF63C384"/>
      </dataBar>
      <extLst>
        <ext xmlns:x14="http://schemas.microsoft.com/office/spreadsheetml/2009/9/main" uri="{B025F937-C7B1-47D3-B67F-A62EFF666E3E}">
          <x14:id>{6FA5F18D-8F4E-4AA3-AAA3-00195B1B30B3}</x14:id>
        </ext>
      </extLst>
    </cfRule>
  </conditionalFormatting>
  <conditionalFormatting sqref="AA136">
    <cfRule type="expression" dxfId="5061" priority="299">
      <formula>AND(AND($W136&lt;TODAY(),$W136&lt;&gt;""),$X136="")</formula>
    </cfRule>
  </conditionalFormatting>
  <conditionalFormatting sqref="Q136">
    <cfRule type="cellIs" dxfId="5060" priority="298" operator="equal">
      <formula>"ja"</formula>
    </cfRule>
  </conditionalFormatting>
  <conditionalFormatting sqref="AG136">
    <cfRule type="dataBar" priority="297">
      <dataBar>
        <cfvo type="min"/>
        <cfvo type="max"/>
        <color rgb="FF63C384"/>
      </dataBar>
      <extLst>
        <ext xmlns:x14="http://schemas.microsoft.com/office/spreadsheetml/2009/9/main" uri="{B025F937-C7B1-47D3-B67F-A62EFF666E3E}">
          <x14:id>{19D1C7DA-AF3A-4834-AF30-20A85CCA287A}</x14:id>
        </ext>
      </extLst>
    </cfRule>
  </conditionalFormatting>
  <conditionalFormatting sqref="AG136">
    <cfRule type="dataBar" priority="296">
      <dataBar>
        <cfvo type="min"/>
        <cfvo type="max"/>
        <color rgb="FF63C384"/>
      </dataBar>
      <extLst>
        <ext xmlns:x14="http://schemas.microsoft.com/office/spreadsheetml/2009/9/main" uri="{B025F937-C7B1-47D3-B67F-A62EFF666E3E}">
          <x14:id>{FF644FEC-079C-43FA-A31B-6C99CBCE1894}</x14:id>
        </ext>
      </extLst>
    </cfRule>
  </conditionalFormatting>
  <conditionalFormatting sqref="AG136">
    <cfRule type="dataBar" priority="295">
      <dataBar>
        <cfvo type="min"/>
        <cfvo type="max"/>
        <color rgb="FF63C384"/>
      </dataBar>
      <extLst>
        <ext xmlns:x14="http://schemas.microsoft.com/office/spreadsheetml/2009/9/main" uri="{B025F937-C7B1-47D3-B67F-A62EFF666E3E}">
          <x14:id>{76BEFF86-1784-4346-A791-64A86E6FBAF9}</x14:id>
        </ext>
      </extLst>
    </cfRule>
  </conditionalFormatting>
  <conditionalFormatting sqref="AG136">
    <cfRule type="dataBar" priority="294">
      <dataBar>
        <cfvo type="min"/>
        <cfvo type="max"/>
        <color rgb="FF63C384"/>
      </dataBar>
      <extLst>
        <ext xmlns:x14="http://schemas.microsoft.com/office/spreadsheetml/2009/9/main" uri="{B025F937-C7B1-47D3-B67F-A62EFF666E3E}">
          <x14:id>{D9DAE256-92DF-4BBA-AA5C-468FF9E867F6}</x14:id>
        </ext>
      </extLst>
    </cfRule>
  </conditionalFormatting>
  <conditionalFormatting sqref="Q136">
    <cfRule type="cellIs" dxfId="5059" priority="293" operator="equal">
      <formula>"ja"</formula>
    </cfRule>
  </conditionalFormatting>
  <conditionalFormatting sqref="AA137">
    <cfRule type="expression" dxfId="5058" priority="292">
      <formula>AND(AND($W137&lt;TODAY(),$W137&lt;&gt;""),$X137="")</formula>
    </cfRule>
  </conditionalFormatting>
  <conditionalFormatting sqref="AG137">
    <cfRule type="dataBar" priority="291">
      <dataBar>
        <cfvo type="min"/>
        <cfvo type="max"/>
        <color rgb="FF63C384"/>
      </dataBar>
      <extLst>
        <ext xmlns:x14="http://schemas.microsoft.com/office/spreadsheetml/2009/9/main" uri="{B025F937-C7B1-47D3-B67F-A62EFF666E3E}">
          <x14:id>{0D7083E5-68E3-48BF-ADFB-EC9E8A623DF6}</x14:id>
        </ext>
      </extLst>
    </cfRule>
  </conditionalFormatting>
  <conditionalFormatting sqref="AG137">
    <cfRule type="dataBar" priority="290">
      <dataBar>
        <cfvo type="min"/>
        <cfvo type="max"/>
        <color rgb="FF63C384"/>
      </dataBar>
      <extLst>
        <ext xmlns:x14="http://schemas.microsoft.com/office/spreadsheetml/2009/9/main" uri="{B025F937-C7B1-47D3-B67F-A62EFF666E3E}">
          <x14:id>{90FBC8FE-43F4-4980-B9BC-3F964A210AA2}</x14:id>
        </ext>
      </extLst>
    </cfRule>
  </conditionalFormatting>
  <conditionalFormatting sqref="Q137">
    <cfRule type="cellIs" dxfId="5057" priority="289" operator="equal">
      <formula>"ja"</formula>
    </cfRule>
  </conditionalFormatting>
  <conditionalFormatting sqref="Q137">
    <cfRule type="cellIs" dxfId="5056" priority="288" operator="equal">
      <formula>"ja"</formula>
    </cfRule>
  </conditionalFormatting>
  <conditionalFormatting sqref="AA138">
    <cfRule type="expression" dxfId="5055" priority="287">
      <formula>AND(AND($W138&lt;TODAY(),$W138&lt;&gt;""),$X138="")</formula>
    </cfRule>
  </conditionalFormatting>
  <conditionalFormatting sqref="AA139">
    <cfRule type="expression" dxfId="5054" priority="286">
      <formula>AND(AND($W139&lt;TODAY(),$W139&lt;&gt;""),$X139="")</formula>
    </cfRule>
  </conditionalFormatting>
  <conditionalFormatting sqref="Q139">
    <cfRule type="cellIs" dxfId="5053" priority="285" operator="equal">
      <formula>"ja"</formula>
    </cfRule>
  </conditionalFormatting>
  <conditionalFormatting sqref="AG139">
    <cfRule type="dataBar" priority="284">
      <dataBar>
        <cfvo type="min"/>
        <cfvo type="max"/>
        <color rgb="FF63C384"/>
      </dataBar>
      <extLst>
        <ext xmlns:x14="http://schemas.microsoft.com/office/spreadsheetml/2009/9/main" uri="{B025F937-C7B1-47D3-B67F-A62EFF666E3E}">
          <x14:id>{8AFAEA3F-F670-440D-8119-D44103009783}</x14:id>
        </ext>
      </extLst>
    </cfRule>
  </conditionalFormatting>
  <conditionalFormatting sqref="Q139">
    <cfRule type="cellIs" dxfId="5052" priority="283" operator="equal">
      <formula>"ja"</formula>
    </cfRule>
  </conditionalFormatting>
  <conditionalFormatting sqref="AG109:AG110">
    <cfRule type="dataBar" priority="932">
      <dataBar>
        <cfvo type="min"/>
        <cfvo type="max"/>
        <color rgb="FF63C384"/>
      </dataBar>
      <extLst>
        <ext xmlns:x14="http://schemas.microsoft.com/office/spreadsheetml/2009/9/main" uri="{B025F937-C7B1-47D3-B67F-A62EFF666E3E}">
          <x14:id>{AFCDA391-747A-49E4-8E3E-452C533E6FAB}</x14:id>
        </ext>
      </extLst>
    </cfRule>
  </conditionalFormatting>
  <conditionalFormatting sqref="AA140">
    <cfRule type="expression" dxfId="5051" priority="282">
      <formula>AND(AND($W140&lt;TODAY(),$W140&lt;&gt;""),$X140="")</formula>
    </cfRule>
  </conditionalFormatting>
  <conditionalFormatting sqref="AG140">
    <cfRule type="dataBar" priority="281">
      <dataBar>
        <cfvo type="min"/>
        <cfvo type="max"/>
        <color rgb="FF63C384"/>
      </dataBar>
      <extLst>
        <ext xmlns:x14="http://schemas.microsoft.com/office/spreadsheetml/2009/9/main" uri="{B025F937-C7B1-47D3-B67F-A62EFF666E3E}">
          <x14:id>{41BB42F8-DB5E-43CC-B82C-0C3243BEA1FD}</x14:id>
        </ext>
      </extLst>
    </cfRule>
  </conditionalFormatting>
  <conditionalFormatting sqref="AG140">
    <cfRule type="dataBar" priority="280">
      <dataBar>
        <cfvo type="min"/>
        <cfvo type="max"/>
        <color rgb="FF63C384"/>
      </dataBar>
      <extLst>
        <ext xmlns:x14="http://schemas.microsoft.com/office/spreadsheetml/2009/9/main" uri="{B025F937-C7B1-47D3-B67F-A62EFF666E3E}">
          <x14:id>{8F5C5354-F3C8-4553-8C03-E9F118406ED1}</x14:id>
        </ext>
      </extLst>
    </cfRule>
  </conditionalFormatting>
  <conditionalFormatting sqref="AG140">
    <cfRule type="dataBar" priority="279">
      <dataBar>
        <cfvo type="min"/>
        <cfvo type="max"/>
        <color rgb="FF63C384"/>
      </dataBar>
      <extLst>
        <ext xmlns:x14="http://schemas.microsoft.com/office/spreadsheetml/2009/9/main" uri="{B025F937-C7B1-47D3-B67F-A62EFF666E3E}">
          <x14:id>{7A2E99CE-CB2C-4401-9AC3-5ACF7EB9D847}</x14:id>
        </ext>
      </extLst>
    </cfRule>
  </conditionalFormatting>
  <conditionalFormatting sqref="AG140">
    <cfRule type="dataBar" priority="278">
      <dataBar>
        <cfvo type="min"/>
        <cfvo type="max"/>
        <color rgb="FF63C384"/>
      </dataBar>
      <extLst>
        <ext xmlns:x14="http://schemas.microsoft.com/office/spreadsheetml/2009/9/main" uri="{B025F937-C7B1-47D3-B67F-A62EFF666E3E}">
          <x14:id>{AF2D5343-A16E-48B4-AB90-AAE62429194F}</x14:id>
        </ext>
      </extLst>
    </cfRule>
  </conditionalFormatting>
  <conditionalFormatting sqref="AA141">
    <cfRule type="expression" dxfId="5050" priority="277">
      <formula>AND(AND($W141&lt;TODAY(),$W141&lt;&gt;""),$X141="")</formula>
    </cfRule>
  </conditionalFormatting>
  <conditionalFormatting sqref="AA142">
    <cfRule type="expression" dxfId="5049" priority="276">
      <formula>AND(AND($W142&lt;TODAY(),$W142&lt;&gt;""),$X142="")</formula>
    </cfRule>
  </conditionalFormatting>
  <conditionalFormatting sqref="AG142">
    <cfRule type="dataBar" priority="275">
      <dataBar>
        <cfvo type="min"/>
        <cfvo type="max"/>
        <color rgb="FF63C384"/>
      </dataBar>
      <extLst>
        <ext xmlns:x14="http://schemas.microsoft.com/office/spreadsheetml/2009/9/main" uri="{B025F937-C7B1-47D3-B67F-A62EFF666E3E}">
          <x14:id>{80076AF5-99F7-4B0D-98F8-AF6CFAF828C9}</x14:id>
        </ext>
      </extLst>
    </cfRule>
  </conditionalFormatting>
  <conditionalFormatting sqref="AG142">
    <cfRule type="dataBar" priority="274">
      <dataBar>
        <cfvo type="min"/>
        <cfvo type="max"/>
        <color rgb="FF63C384"/>
      </dataBar>
      <extLst>
        <ext xmlns:x14="http://schemas.microsoft.com/office/spreadsheetml/2009/9/main" uri="{B025F937-C7B1-47D3-B67F-A62EFF666E3E}">
          <x14:id>{94A08AA4-E6A1-4E56-8C2A-E3A6E5FBA8B3}</x14:id>
        </ext>
      </extLst>
    </cfRule>
  </conditionalFormatting>
  <conditionalFormatting sqref="Q142">
    <cfRule type="cellIs" dxfId="5048" priority="273" operator="equal">
      <formula>"ja"</formula>
    </cfRule>
  </conditionalFormatting>
  <conditionalFormatting sqref="AA143">
    <cfRule type="expression" dxfId="5047" priority="272">
      <formula>AND(AND($W143&lt;TODAY(),$W143&lt;&gt;""),$X143="")</formula>
    </cfRule>
  </conditionalFormatting>
  <conditionalFormatting sqref="Q143">
    <cfRule type="cellIs" dxfId="5046" priority="271" operator="equal">
      <formula>"ja"</formula>
    </cfRule>
  </conditionalFormatting>
  <conditionalFormatting sqref="AG143">
    <cfRule type="dataBar" priority="270">
      <dataBar>
        <cfvo type="min"/>
        <cfvo type="max"/>
        <color rgb="FF63C384"/>
      </dataBar>
      <extLst>
        <ext xmlns:x14="http://schemas.microsoft.com/office/spreadsheetml/2009/9/main" uri="{B025F937-C7B1-47D3-B67F-A62EFF666E3E}">
          <x14:id>{1E019C8A-1D03-490D-B914-664B0E667E30}</x14:id>
        </ext>
      </extLst>
    </cfRule>
  </conditionalFormatting>
  <conditionalFormatting sqref="Q143">
    <cfRule type="cellIs" dxfId="5045" priority="269" operator="equal">
      <formula>"ja"</formula>
    </cfRule>
  </conditionalFormatting>
  <conditionalFormatting sqref="AA144">
    <cfRule type="expression" dxfId="5044" priority="268">
      <formula>AND(AND($W144&lt;TODAY(),$W144&lt;&gt;""),$X144="")</formula>
    </cfRule>
  </conditionalFormatting>
  <conditionalFormatting sqref="Q144">
    <cfRule type="cellIs" dxfId="5043" priority="267" operator="equal">
      <formula>"ja"</formula>
    </cfRule>
  </conditionalFormatting>
  <conditionalFormatting sqref="AG144">
    <cfRule type="dataBar" priority="266">
      <dataBar>
        <cfvo type="min"/>
        <cfvo type="max"/>
        <color rgb="FF63C384"/>
      </dataBar>
      <extLst>
        <ext xmlns:x14="http://schemas.microsoft.com/office/spreadsheetml/2009/9/main" uri="{B025F937-C7B1-47D3-B67F-A62EFF666E3E}">
          <x14:id>{42D2D3C4-3F83-44DE-A862-75FF0A992F52}</x14:id>
        </ext>
      </extLst>
    </cfRule>
  </conditionalFormatting>
  <conditionalFormatting sqref="AG144">
    <cfRule type="dataBar" priority="265">
      <dataBar>
        <cfvo type="min"/>
        <cfvo type="max"/>
        <color rgb="FF63C384"/>
      </dataBar>
      <extLst>
        <ext xmlns:x14="http://schemas.microsoft.com/office/spreadsheetml/2009/9/main" uri="{B025F937-C7B1-47D3-B67F-A62EFF666E3E}">
          <x14:id>{FEE0C606-2293-41BC-AED8-FE1F6A307648}</x14:id>
        </ext>
      </extLst>
    </cfRule>
  </conditionalFormatting>
  <conditionalFormatting sqref="AA145">
    <cfRule type="expression" dxfId="5042" priority="264">
      <formula>AND(AND($W145&lt;TODAY(),$W145&lt;&gt;""),$X145="")</formula>
    </cfRule>
  </conditionalFormatting>
  <conditionalFormatting sqref="Q145">
    <cfRule type="cellIs" dxfId="5041" priority="263" operator="equal">
      <formula>"ja"</formula>
    </cfRule>
  </conditionalFormatting>
  <conditionalFormatting sqref="Q145">
    <cfRule type="cellIs" dxfId="5040" priority="254" operator="equal">
      <formula>"ja"</formula>
    </cfRule>
  </conditionalFormatting>
  <conditionalFormatting sqref="AG145">
    <cfRule type="dataBar" priority="262">
      <dataBar>
        <cfvo type="min"/>
        <cfvo type="max"/>
        <color rgb="FF63C384"/>
      </dataBar>
      <extLst>
        <ext xmlns:x14="http://schemas.microsoft.com/office/spreadsheetml/2009/9/main" uri="{B025F937-C7B1-47D3-B67F-A62EFF666E3E}">
          <x14:id>{9707CEE1-AE85-4F30-8F9C-A88413C1640C}</x14:id>
        </ext>
      </extLst>
    </cfRule>
  </conditionalFormatting>
  <conditionalFormatting sqref="AG145">
    <cfRule type="dataBar" priority="261">
      <dataBar>
        <cfvo type="min"/>
        <cfvo type="max"/>
        <color rgb="FF63C384"/>
      </dataBar>
      <extLst>
        <ext xmlns:x14="http://schemas.microsoft.com/office/spreadsheetml/2009/9/main" uri="{B025F937-C7B1-47D3-B67F-A62EFF666E3E}">
          <x14:id>{A8FBC33E-3956-4864-B292-18A263C0BE18}</x14:id>
        </ext>
      </extLst>
    </cfRule>
  </conditionalFormatting>
  <conditionalFormatting sqref="Q145">
    <cfRule type="cellIs" dxfId="5039" priority="260" operator="equal">
      <formula>"ja"</formula>
    </cfRule>
  </conditionalFormatting>
  <conditionalFormatting sqref="AG145">
    <cfRule type="dataBar" priority="259">
      <dataBar>
        <cfvo type="min"/>
        <cfvo type="max"/>
        <color rgb="FF63C384"/>
      </dataBar>
      <extLst>
        <ext xmlns:x14="http://schemas.microsoft.com/office/spreadsheetml/2009/9/main" uri="{B025F937-C7B1-47D3-B67F-A62EFF666E3E}">
          <x14:id>{1236B0B1-8F8E-4D0B-AD1E-04C9676FC34B}</x14:id>
        </ext>
      </extLst>
    </cfRule>
  </conditionalFormatting>
  <conditionalFormatting sqref="AG145">
    <cfRule type="dataBar" priority="258">
      <dataBar>
        <cfvo type="min"/>
        <cfvo type="max"/>
        <color rgb="FF63C384"/>
      </dataBar>
      <extLst>
        <ext xmlns:x14="http://schemas.microsoft.com/office/spreadsheetml/2009/9/main" uri="{B025F937-C7B1-47D3-B67F-A62EFF666E3E}">
          <x14:id>{F4B63009-BAAB-4C15-844F-B1B8CF906794}</x14:id>
        </ext>
      </extLst>
    </cfRule>
  </conditionalFormatting>
  <conditionalFormatting sqref="Q145">
    <cfRule type="cellIs" dxfId="5038" priority="257" operator="equal">
      <formula>"ja"</formula>
    </cfRule>
  </conditionalFormatting>
  <conditionalFormatting sqref="AG145">
    <cfRule type="dataBar" priority="256">
      <dataBar>
        <cfvo type="min"/>
        <cfvo type="max"/>
        <color rgb="FF63C384"/>
      </dataBar>
      <extLst>
        <ext xmlns:x14="http://schemas.microsoft.com/office/spreadsheetml/2009/9/main" uri="{B025F937-C7B1-47D3-B67F-A62EFF666E3E}">
          <x14:id>{A0F6BE48-799B-460B-B83F-101140DF760F}</x14:id>
        </ext>
      </extLst>
    </cfRule>
  </conditionalFormatting>
  <conditionalFormatting sqref="AG145">
    <cfRule type="dataBar" priority="255">
      <dataBar>
        <cfvo type="min"/>
        <cfvo type="max"/>
        <color rgb="FF63C384"/>
      </dataBar>
      <extLst>
        <ext xmlns:x14="http://schemas.microsoft.com/office/spreadsheetml/2009/9/main" uri="{B025F937-C7B1-47D3-B67F-A62EFF666E3E}">
          <x14:id>{05704116-E129-4AAB-845B-AC36B1F70437}</x14:id>
        </ext>
      </extLst>
    </cfRule>
  </conditionalFormatting>
  <conditionalFormatting sqref="AG145">
    <cfRule type="dataBar" priority="253">
      <dataBar>
        <cfvo type="min"/>
        <cfvo type="max"/>
        <color rgb="FF63C384"/>
      </dataBar>
      <extLst>
        <ext xmlns:x14="http://schemas.microsoft.com/office/spreadsheetml/2009/9/main" uri="{B025F937-C7B1-47D3-B67F-A62EFF666E3E}">
          <x14:id>{E7AE072D-6E1C-47EE-9AF4-B2C49FD2D564}</x14:id>
        </ext>
      </extLst>
    </cfRule>
  </conditionalFormatting>
  <conditionalFormatting sqref="AG145">
    <cfRule type="dataBar" priority="252">
      <dataBar>
        <cfvo type="min"/>
        <cfvo type="max"/>
        <color rgb="FF63C384"/>
      </dataBar>
      <extLst>
        <ext xmlns:x14="http://schemas.microsoft.com/office/spreadsheetml/2009/9/main" uri="{B025F937-C7B1-47D3-B67F-A62EFF666E3E}">
          <x14:id>{693A13E1-5287-49DE-A20A-FB16EA3A37D1}</x14:id>
        </ext>
      </extLst>
    </cfRule>
  </conditionalFormatting>
  <conditionalFormatting sqref="Q145">
    <cfRule type="cellIs" dxfId="5037" priority="251" operator="equal">
      <formula>"ja"</formula>
    </cfRule>
  </conditionalFormatting>
  <conditionalFormatting sqref="Q145">
    <cfRule type="cellIs" dxfId="5036" priority="250" operator="equal">
      <formula>"ja"</formula>
    </cfRule>
  </conditionalFormatting>
  <conditionalFormatting sqref="AA146">
    <cfRule type="expression" dxfId="5035" priority="249">
      <formula>AND(AND($W146&lt;TODAY(),$W146&lt;&gt;""),$X146="")</formula>
    </cfRule>
  </conditionalFormatting>
  <conditionalFormatting sqref="Q146">
    <cfRule type="cellIs" dxfId="5034" priority="248" operator="equal">
      <formula>"ja"</formula>
    </cfRule>
  </conditionalFormatting>
  <conditionalFormatting sqref="AG146">
    <cfRule type="dataBar" priority="247">
      <dataBar>
        <cfvo type="min"/>
        <cfvo type="max"/>
        <color rgb="FF63C384"/>
      </dataBar>
      <extLst>
        <ext xmlns:x14="http://schemas.microsoft.com/office/spreadsheetml/2009/9/main" uri="{B025F937-C7B1-47D3-B67F-A62EFF666E3E}">
          <x14:id>{880DD1E1-49CA-49DC-AB22-C9B7A1F46634}</x14:id>
        </ext>
      </extLst>
    </cfRule>
  </conditionalFormatting>
  <conditionalFormatting sqref="Q146">
    <cfRule type="cellIs" dxfId="5033" priority="246" operator="equal">
      <formula>"ja"</formula>
    </cfRule>
  </conditionalFormatting>
  <conditionalFormatting sqref="AA147">
    <cfRule type="expression" dxfId="5032" priority="245">
      <formula>AND(AND($W147&lt;TODAY(),$W147&lt;&gt;""),$X147="")</formula>
    </cfRule>
  </conditionalFormatting>
  <conditionalFormatting sqref="Q147">
    <cfRule type="cellIs" dxfId="5031" priority="244" operator="equal">
      <formula>"ja"</formula>
    </cfRule>
  </conditionalFormatting>
  <conditionalFormatting sqref="AG147">
    <cfRule type="dataBar" priority="243">
      <dataBar>
        <cfvo type="min"/>
        <cfvo type="max"/>
        <color rgb="FF63C384"/>
      </dataBar>
      <extLst>
        <ext xmlns:x14="http://schemas.microsoft.com/office/spreadsheetml/2009/9/main" uri="{B025F937-C7B1-47D3-B67F-A62EFF666E3E}">
          <x14:id>{51D478E8-1BB3-4119-BF83-D0852F4157E4}</x14:id>
        </ext>
      </extLst>
    </cfRule>
  </conditionalFormatting>
  <conditionalFormatting sqref="AG147">
    <cfRule type="dataBar" priority="242">
      <dataBar>
        <cfvo type="min"/>
        <cfvo type="max"/>
        <color rgb="FF63C384"/>
      </dataBar>
      <extLst>
        <ext xmlns:x14="http://schemas.microsoft.com/office/spreadsheetml/2009/9/main" uri="{B025F937-C7B1-47D3-B67F-A62EFF666E3E}">
          <x14:id>{2DA62C2F-BE9B-4D81-A7D0-F1DCA2C0AF2A}</x14:id>
        </ext>
      </extLst>
    </cfRule>
  </conditionalFormatting>
  <conditionalFormatting sqref="AA148">
    <cfRule type="expression" dxfId="5030" priority="241">
      <formula>AND(AND($W148&lt;TODAY(),$W148&lt;&gt;""),$X148="")</formula>
    </cfRule>
  </conditionalFormatting>
  <conditionalFormatting sqref="Q148">
    <cfRule type="cellIs" dxfId="5029" priority="240" operator="equal">
      <formula>"ja"</formula>
    </cfRule>
  </conditionalFormatting>
  <conditionalFormatting sqref="AG148">
    <cfRule type="dataBar" priority="239">
      <dataBar>
        <cfvo type="min"/>
        <cfvo type="max"/>
        <color rgb="FF63C384"/>
      </dataBar>
      <extLst>
        <ext xmlns:x14="http://schemas.microsoft.com/office/spreadsheetml/2009/9/main" uri="{B025F937-C7B1-47D3-B67F-A62EFF666E3E}">
          <x14:id>{92B962DD-1CA6-4A26-B83A-933DDB113A5D}</x14:id>
        </ext>
      </extLst>
    </cfRule>
  </conditionalFormatting>
  <conditionalFormatting sqref="Q148">
    <cfRule type="cellIs" dxfId="5028" priority="238" operator="equal">
      <formula>"ja"</formula>
    </cfRule>
  </conditionalFormatting>
  <conditionalFormatting sqref="Q148">
    <cfRule type="cellIs" dxfId="5027" priority="237" operator="equal">
      <formula>"ja"</formula>
    </cfRule>
  </conditionalFormatting>
  <conditionalFormatting sqref="AA149">
    <cfRule type="expression" dxfId="5026" priority="236">
      <formula>AND(AND($W149&lt;TODAY(),$W149&lt;&gt;""),$X149="")</formula>
    </cfRule>
  </conditionalFormatting>
  <conditionalFormatting sqref="Q149">
    <cfRule type="cellIs" dxfId="5025" priority="235" operator="equal">
      <formula>"ja"</formula>
    </cfRule>
  </conditionalFormatting>
  <conditionalFormatting sqref="Q149">
    <cfRule type="cellIs" dxfId="5024" priority="234" operator="equal">
      <formula>"ja"</formula>
    </cfRule>
  </conditionalFormatting>
  <conditionalFormatting sqref="Q149">
    <cfRule type="cellIs" dxfId="5023" priority="233" operator="equal">
      <formula>"ja"</formula>
    </cfRule>
  </conditionalFormatting>
  <conditionalFormatting sqref="AG149">
    <cfRule type="dataBar" priority="232">
      <dataBar>
        <cfvo type="min"/>
        <cfvo type="max"/>
        <color rgb="FF63C384"/>
      </dataBar>
      <extLst>
        <ext xmlns:x14="http://schemas.microsoft.com/office/spreadsheetml/2009/9/main" uri="{B025F937-C7B1-47D3-B67F-A62EFF666E3E}">
          <x14:id>{D36CF367-3D98-4B6E-A322-5F5862CCAAD2}</x14:id>
        </ext>
      </extLst>
    </cfRule>
  </conditionalFormatting>
  <conditionalFormatting sqref="AG149">
    <cfRule type="dataBar" priority="231">
      <dataBar>
        <cfvo type="min"/>
        <cfvo type="max"/>
        <color rgb="FF63C384"/>
      </dataBar>
      <extLst>
        <ext xmlns:x14="http://schemas.microsoft.com/office/spreadsheetml/2009/9/main" uri="{B025F937-C7B1-47D3-B67F-A62EFF666E3E}">
          <x14:id>{B556AF67-9DA8-48C0-A2BF-F7EDE074054D}</x14:id>
        </ext>
      </extLst>
    </cfRule>
  </conditionalFormatting>
  <conditionalFormatting sqref="Q149">
    <cfRule type="cellIs" dxfId="5022" priority="230" operator="equal">
      <formula>"ja"</formula>
    </cfRule>
  </conditionalFormatting>
  <conditionalFormatting sqref="AG149">
    <cfRule type="dataBar" priority="229">
      <dataBar>
        <cfvo type="min"/>
        <cfvo type="max"/>
        <color rgb="FF63C384"/>
      </dataBar>
      <extLst>
        <ext xmlns:x14="http://schemas.microsoft.com/office/spreadsheetml/2009/9/main" uri="{B025F937-C7B1-47D3-B67F-A62EFF666E3E}">
          <x14:id>{523FC3EA-D15D-4D88-A834-8323672CEF1F}</x14:id>
        </ext>
      </extLst>
    </cfRule>
  </conditionalFormatting>
  <conditionalFormatting sqref="AG149">
    <cfRule type="dataBar" priority="228">
      <dataBar>
        <cfvo type="min"/>
        <cfvo type="max"/>
        <color rgb="FF63C384"/>
      </dataBar>
      <extLst>
        <ext xmlns:x14="http://schemas.microsoft.com/office/spreadsheetml/2009/9/main" uri="{B025F937-C7B1-47D3-B67F-A62EFF666E3E}">
          <x14:id>{C773726B-8F38-4B87-BE27-47A74946CDB2}</x14:id>
        </ext>
      </extLst>
    </cfRule>
  </conditionalFormatting>
  <conditionalFormatting sqref="AA150">
    <cfRule type="expression" dxfId="5021" priority="227">
      <formula>AND(AND($W150&lt;TODAY(),$W150&lt;&gt;""),$X150="")</formula>
    </cfRule>
  </conditionalFormatting>
  <conditionalFormatting sqref="AG150">
    <cfRule type="dataBar" priority="226">
      <dataBar>
        <cfvo type="min"/>
        <cfvo type="max"/>
        <color rgb="FF63C384"/>
      </dataBar>
      <extLst>
        <ext xmlns:x14="http://schemas.microsoft.com/office/spreadsheetml/2009/9/main" uri="{B025F937-C7B1-47D3-B67F-A62EFF666E3E}">
          <x14:id>{0444AB7D-C987-4057-91D4-A4EADA90372C}</x14:id>
        </ext>
      </extLst>
    </cfRule>
  </conditionalFormatting>
  <conditionalFormatting sqref="AG150">
    <cfRule type="dataBar" priority="225">
      <dataBar>
        <cfvo type="min"/>
        <cfvo type="max"/>
        <color rgb="FF63C384"/>
      </dataBar>
      <extLst>
        <ext xmlns:x14="http://schemas.microsoft.com/office/spreadsheetml/2009/9/main" uri="{B025F937-C7B1-47D3-B67F-A62EFF666E3E}">
          <x14:id>{119D4166-F567-434A-BACB-E3BC208ABB4E}</x14:id>
        </ext>
      </extLst>
    </cfRule>
  </conditionalFormatting>
  <conditionalFormatting sqref="AG150">
    <cfRule type="dataBar" priority="224">
      <dataBar>
        <cfvo type="min"/>
        <cfvo type="max"/>
        <color rgb="FF63C384"/>
      </dataBar>
      <extLst>
        <ext xmlns:x14="http://schemas.microsoft.com/office/spreadsheetml/2009/9/main" uri="{B025F937-C7B1-47D3-B67F-A62EFF666E3E}">
          <x14:id>{D3058C8D-7B20-4FC8-980F-C5DC4129C893}</x14:id>
        </ext>
      </extLst>
    </cfRule>
  </conditionalFormatting>
  <conditionalFormatting sqref="AG150">
    <cfRule type="dataBar" priority="223">
      <dataBar>
        <cfvo type="min"/>
        <cfvo type="max"/>
        <color rgb="FF63C384"/>
      </dataBar>
      <extLst>
        <ext xmlns:x14="http://schemas.microsoft.com/office/spreadsheetml/2009/9/main" uri="{B025F937-C7B1-47D3-B67F-A62EFF666E3E}">
          <x14:id>{A58FFCAA-A912-4120-9D9F-107CA3EAA179}</x14:id>
        </ext>
      </extLst>
    </cfRule>
  </conditionalFormatting>
  <conditionalFormatting sqref="AA151">
    <cfRule type="expression" dxfId="5020" priority="222">
      <formula>AND(AND($W151&lt;TODAY(),$W151&lt;&gt;""),$X151="")</formula>
    </cfRule>
  </conditionalFormatting>
  <conditionalFormatting sqref="AG151">
    <cfRule type="dataBar" priority="221">
      <dataBar>
        <cfvo type="min"/>
        <cfvo type="max"/>
        <color rgb="FF63C384"/>
      </dataBar>
      <extLst>
        <ext xmlns:x14="http://schemas.microsoft.com/office/spreadsheetml/2009/9/main" uri="{B025F937-C7B1-47D3-B67F-A62EFF666E3E}">
          <x14:id>{A274C0A6-0DBD-4F42-BE46-B7D2EB77175C}</x14:id>
        </ext>
      </extLst>
    </cfRule>
  </conditionalFormatting>
  <conditionalFormatting sqref="AG151">
    <cfRule type="dataBar" priority="220">
      <dataBar>
        <cfvo type="min"/>
        <cfvo type="max"/>
        <color rgb="FF63C384"/>
      </dataBar>
      <extLst>
        <ext xmlns:x14="http://schemas.microsoft.com/office/spreadsheetml/2009/9/main" uri="{B025F937-C7B1-47D3-B67F-A62EFF666E3E}">
          <x14:id>{61CD517A-956A-4508-923C-502E30DB9D20}</x14:id>
        </ext>
      </extLst>
    </cfRule>
  </conditionalFormatting>
  <conditionalFormatting sqref="Q151">
    <cfRule type="cellIs" dxfId="5019" priority="219" operator="equal">
      <formula>"ja"</formula>
    </cfRule>
  </conditionalFormatting>
  <conditionalFormatting sqref="Q151">
    <cfRule type="cellIs" dxfId="5018" priority="218" operator="equal">
      <formula>"ja"</formula>
    </cfRule>
  </conditionalFormatting>
  <conditionalFormatting sqref="AA152">
    <cfRule type="expression" dxfId="5017" priority="217">
      <formula>AND(AND($W152&lt;TODAY(),$W152&lt;&gt;""),$X152="")</formula>
    </cfRule>
  </conditionalFormatting>
  <conditionalFormatting sqref="Q152">
    <cfRule type="cellIs" dxfId="5016" priority="216" operator="equal">
      <formula>"ja"</formula>
    </cfRule>
  </conditionalFormatting>
  <conditionalFormatting sqref="AG152">
    <cfRule type="dataBar" priority="215">
      <dataBar>
        <cfvo type="min"/>
        <cfvo type="max"/>
        <color rgb="FF63C384"/>
      </dataBar>
      <extLst>
        <ext xmlns:x14="http://schemas.microsoft.com/office/spreadsheetml/2009/9/main" uri="{B025F937-C7B1-47D3-B67F-A62EFF666E3E}">
          <x14:id>{40F78761-A65F-4E64-8139-A9E69CD5B9D9}</x14:id>
        </ext>
      </extLst>
    </cfRule>
  </conditionalFormatting>
  <conditionalFormatting sqref="AG152">
    <cfRule type="dataBar" priority="214">
      <dataBar>
        <cfvo type="min"/>
        <cfvo type="max"/>
        <color rgb="FF63C384"/>
      </dataBar>
      <extLst>
        <ext xmlns:x14="http://schemas.microsoft.com/office/spreadsheetml/2009/9/main" uri="{B025F937-C7B1-47D3-B67F-A62EFF666E3E}">
          <x14:id>{24B8A78E-B60F-485F-A5DC-31209E769BB4}</x14:id>
        </ext>
      </extLst>
    </cfRule>
  </conditionalFormatting>
  <conditionalFormatting sqref="AG152">
    <cfRule type="dataBar" priority="213">
      <dataBar>
        <cfvo type="min"/>
        <cfvo type="max"/>
        <color rgb="FF63C384"/>
      </dataBar>
      <extLst>
        <ext xmlns:x14="http://schemas.microsoft.com/office/spreadsheetml/2009/9/main" uri="{B025F937-C7B1-47D3-B67F-A62EFF666E3E}">
          <x14:id>{2493E70F-CF64-43F6-B295-6442670CD1DF}</x14:id>
        </ext>
      </extLst>
    </cfRule>
  </conditionalFormatting>
  <conditionalFormatting sqref="AG152">
    <cfRule type="dataBar" priority="212">
      <dataBar>
        <cfvo type="min"/>
        <cfvo type="max"/>
        <color rgb="FF63C384"/>
      </dataBar>
      <extLst>
        <ext xmlns:x14="http://schemas.microsoft.com/office/spreadsheetml/2009/9/main" uri="{B025F937-C7B1-47D3-B67F-A62EFF666E3E}">
          <x14:id>{0328A11B-3D4D-4F12-B074-D66A354CEF81}</x14:id>
        </ext>
      </extLst>
    </cfRule>
  </conditionalFormatting>
  <conditionalFormatting sqref="Q152">
    <cfRule type="cellIs" dxfId="5015" priority="211" operator="equal">
      <formula>"ja"</formula>
    </cfRule>
  </conditionalFormatting>
  <conditionalFormatting sqref="AA153">
    <cfRule type="expression" dxfId="5014" priority="210">
      <formula>AND(AND($W153&lt;TODAY(),$W153&lt;&gt;""),$X153="")</formula>
    </cfRule>
  </conditionalFormatting>
  <conditionalFormatting sqref="Q153">
    <cfRule type="cellIs" dxfId="5013" priority="209" operator="equal">
      <formula>"ja"</formula>
    </cfRule>
  </conditionalFormatting>
  <conditionalFormatting sqref="AG153">
    <cfRule type="dataBar" priority="208">
      <dataBar>
        <cfvo type="min"/>
        <cfvo type="max"/>
        <color rgb="FF63C384"/>
      </dataBar>
      <extLst>
        <ext xmlns:x14="http://schemas.microsoft.com/office/spreadsheetml/2009/9/main" uri="{B025F937-C7B1-47D3-B67F-A62EFF666E3E}">
          <x14:id>{3DD69051-C300-496B-B68A-9845D5F4F9AA}</x14:id>
        </ext>
      </extLst>
    </cfRule>
  </conditionalFormatting>
  <conditionalFormatting sqref="AG153">
    <cfRule type="dataBar" priority="207">
      <dataBar>
        <cfvo type="min"/>
        <cfvo type="max"/>
        <color rgb="FF63C384"/>
      </dataBar>
      <extLst>
        <ext xmlns:x14="http://schemas.microsoft.com/office/spreadsheetml/2009/9/main" uri="{B025F937-C7B1-47D3-B67F-A62EFF666E3E}">
          <x14:id>{13EEC503-98B2-453C-9C49-EB644756D52B}</x14:id>
        </ext>
      </extLst>
    </cfRule>
  </conditionalFormatting>
  <conditionalFormatting sqref="AA154">
    <cfRule type="expression" dxfId="5012" priority="206">
      <formula>AND(AND($W154&lt;TODAY(),$W154&lt;&gt;""),$X154="")</formula>
    </cfRule>
  </conditionalFormatting>
  <conditionalFormatting sqref="Q154">
    <cfRule type="cellIs" dxfId="5011" priority="205" operator="equal">
      <formula>"ja"</formula>
    </cfRule>
  </conditionalFormatting>
  <conditionalFormatting sqref="AG154">
    <cfRule type="dataBar" priority="204">
      <dataBar>
        <cfvo type="min"/>
        <cfvo type="max"/>
        <color rgb="FF63C384"/>
      </dataBar>
      <extLst>
        <ext xmlns:x14="http://schemas.microsoft.com/office/spreadsheetml/2009/9/main" uri="{B025F937-C7B1-47D3-B67F-A62EFF666E3E}">
          <x14:id>{5F6A0AE4-7D47-4415-BD07-CE56EB384D85}</x14:id>
        </ext>
      </extLst>
    </cfRule>
  </conditionalFormatting>
  <conditionalFormatting sqref="AG154">
    <cfRule type="dataBar" priority="203">
      <dataBar>
        <cfvo type="min"/>
        <cfvo type="max"/>
        <color rgb="FF63C384"/>
      </dataBar>
      <extLst>
        <ext xmlns:x14="http://schemas.microsoft.com/office/spreadsheetml/2009/9/main" uri="{B025F937-C7B1-47D3-B67F-A62EFF666E3E}">
          <x14:id>{DE9F61AB-F835-41C7-902C-45EF7CEAACFD}</x14:id>
        </ext>
      </extLst>
    </cfRule>
  </conditionalFormatting>
  <conditionalFormatting sqref="AA155">
    <cfRule type="expression" dxfId="5010" priority="202">
      <formula>AND(AND($W155&lt;TODAY(),$W155&lt;&gt;""),$X155="")</formula>
    </cfRule>
  </conditionalFormatting>
  <conditionalFormatting sqref="AG155">
    <cfRule type="dataBar" priority="201">
      <dataBar>
        <cfvo type="min"/>
        <cfvo type="max"/>
        <color rgb="FF63C384"/>
      </dataBar>
      <extLst>
        <ext xmlns:x14="http://schemas.microsoft.com/office/spreadsheetml/2009/9/main" uri="{B025F937-C7B1-47D3-B67F-A62EFF666E3E}">
          <x14:id>{DAC52CA1-73EE-4907-8479-D1272C63EA02}</x14:id>
        </ext>
      </extLst>
    </cfRule>
  </conditionalFormatting>
  <conditionalFormatting sqref="AG155">
    <cfRule type="dataBar" priority="200">
      <dataBar>
        <cfvo type="min"/>
        <cfvo type="max"/>
        <color rgb="FF63C384"/>
      </dataBar>
      <extLst>
        <ext xmlns:x14="http://schemas.microsoft.com/office/spreadsheetml/2009/9/main" uri="{B025F937-C7B1-47D3-B67F-A62EFF666E3E}">
          <x14:id>{CB5FD9B4-E6DE-4D75-AE8E-3D4F6760B2D7}</x14:id>
        </ext>
      </extLst>
    </cfRule>
  </conditionalFormatting>
  <conditionalFormatting sqref="Q155">
    <cfRule type="cellIs" dxfId="5009" priority="199" operator="equal">
      <formula>"ja"</formula>
    </cfRule>
  </conditionalFormatting>
  <conditionalFormatting sqref="AA156">
    <cfRule type="expression" dxfId="5008" priority="198">
      <formula>AND(AND($W156&lt;TODAY(),$W156&lt;&gt;""),$X156="")</formula>
    </cfRule>
  </conditionalFormatting>
  <conditionalFormatting sqref="Q156">
    <cfRule type="cellIs" dxfId="5007" priority="197" operator="equal">
      <formula>"ja"</formula>
    </cfRule>
  </conditionalFormatting>
  <conditionalFormatting sqref="AG156">
    <cfRule type="dataBar" priority="196">
      <dataBar>
        <cfvo type="min"/>
        <cfvo type="max"/>
        <color rgb="FF63C384"/>
      </dataBar>
      <extLst>
        <ext xmlns:x14="http://schemas.microsoft.com/office/spreadsheetml/2009/9/main" uri="{B025F937-C7B1-47D3-B67F-A62EFF666E3E}">
          <x14:id>{D926DF47-809C-4180-848B-97602C06555F}</x14:id>
        </ext>
      </extLst>
    </cfRule>
  </conditionalFormatting>
  <conditionalFormatting sqref="Q156">
    <cfRule type="cellIs" dxfId="5006" priority="195" operator="equal">
      <formula>"ja"</formula>
    </cfRule>
  </conditionalFormatting>
  <conditionalFormatting sqref="AA157">
    <cfRule type="expression" dxfId="5005" priority="194">
      <formula>AND(AND($W157&lt;TODAY(),$W157&lt;&gt;""),$X157="")</formula>
    </cfRule>
  </conditionalFormatting>
  <conditionalFormatting sqref="Q157">
    <cfRule type="cellIs" dxfId="5004" priority="193" operator="equal">
      <formula>"ja"</formula>
    </cfRule>
  </conditionalFormatting>
  <conditionalFormatting sqref="AG157">
    <cfRule type="dataBar" priority="192">
      <dataBar>
        <cfvo type="min"/>
        <cfvo type="max"/>
        <color rgb="FF63C384"/>
      </dataBar>
      <extLst>
        <ext xmlns:x14="http://schemas.microsoft.com/office/spreadsheetml/2009/9/main" uri="{B025F937-C7B1-47D3-B67F-A62EFF666E3E}">
          <x14:id>{58269858-198C-42E5-B276-90A3ECDC3355}</x14:id>
        </ext>
      </extLst>
    </cfRule>
  </conditionalFormatting>
  <conditionalFormatting sqref="Q157">
    <cfRule type="cellIs" dxfId="5003" priority="191" operator="equal">
      <formula>"ja"</formula>
    </cfRule>
  </conditionalFormatting>
  <conditionalFormatting sqref="AA158">
    <cfRule type="expression" dxfId="5002" priority="190">
      <formula>AND(AND($W158&lt;TODAY(),$W158&lt;&gt;""),$X158="")</formula>
    </cfRule>
  </conditionalFormatting>
  <conditionalFormatting sqref="Q158">
    <cfRule type="cellIs" dxfId="5001" priority="189" operator="equal">
      <formula>"ja"</formula>
    </cfRule>
  </conditionalFormatting>
  <conditionalFormatting sqref="Q158">
    <cfRule type="cellIs" dxfId="5000" priority="180" operator="equal">
      <formula>"ja"</formula>
    </cfRule>
  </conditionalFormatting>
  <conditionalFormatting sqref="AG158">
    <cfRule type="dataBar" priority="188">
      <dataBar>
        <cfvo type="min"/>
        <cfvo type="max"/>
        <color rgb="FF63C384"/>
      </dataBar>
      <extLst>
        <ext xmlns:x14="http://schemas.microsoft.com/office/spreadsheetml/2009/9/main" uri="{B025F937-C7B1-47D3-B67F-A62EFF666E3E}">
          <x14:id>{234B9E2C-E349-45BB-8760-344345A63B66}</x14:id>
        </ext>
      </extLst>
    </cfRule>
  </conditionalFormatting>
  <conditionalFormatting sqref="AG158">
    <cfRule type="dataBar" priority="187">
      <dataBar>
        <cfvo type="min"/>
        <cfvo type="max"/>
        <color rgb="FF63C384"/>
      </dataBar>
      <extLst>
        <ext xmlns:x14="http://schemas.microsoft.com/office/spreadsheetml/2009/9/main" uri="{B025F937-C7B1-47D3-B67F-A62EFF666E3E}">
          <x14:id>{9E30EF19-CFB1-4D77-A3B3-6C262DF57E59}</x14:id>
        </ext>
      </extLst>
    </cfRule>
  </conditionalFormatting>
  <conditionalFormatting sqref="Q158">
    <cfRule type="cellIs" dxfId="4999" priority="186" operator="equal">
      <formula>"ja"</formula>
    </cfRule>
  </conditionalFormatting>
  <conditionalFormatting sqref="AG158">
    <cfRule type="dataBar" priority="185">
      <dataBar>
        <cfvo type="min"/>
        <cfvo type="max"/>
        <color rgb="FF63C384"/>
      </dataBar>
      <extLst>
        <ext xmlns:x14="http://schemas.microsoft.com/office/spreadsheetml/2009/9/main" uri="{B025F937-C7B1-47D3-B67F-A62EFF666E3E}">
          <x14:id>{876BA825-0475-4AF3-A8EF-D51A268E3C6D}</x14:id>
        </ext>
      </extLst>
    </cfRule>
  </conditionalFormatting>
  <conditionalFormatting sqref="AG158">
    <cfRule type="dataBar" priority="184">
      <dataBar>
        <cfvo type="min"/>
        <cfvo type="max"/>
        <color rgb="FF63C384"/>
      </dataBar>
      <extLst>
        <ext xmlns:x14="http://schemas.microsoft.com/office/spreadsheetml/2009/9/main" uri="{B025F937-C7B1-47D3-B67F-A62EFF666E3E}">
          <x14:id>{CFCD1DB3-9D37-4995-A972-394BF2F4FD3E}</x14:id>
        </ext>
      </extLst>
    </cfRule>
  </conditionalFormatting>
  <conditionalFormatting sqref="Q158">
    <cfRule type="cellIs" dxfId="4998" priority="183" operator="equal">
      <formula>"ja"</formula>
    </cfRule>
  </conditionalFormatting>
  <conditionalFormatting sqref="AG158">
    <cfRule type="dataBar" priority="182">
      <dataBar>
        <cfvo type="min"/>
        <cfvo type="max"/>
        <color rgb="FF63C384"/>
      </dataBar>
      <extLst>
        <ext xmlns:x14="http://schemas.microsoft.com/office/spreadsheetml/2009/9/main" uri="{B025F937-C7B1-47D3-B67F-A62EFF666E3E}">
          <x14:id>{3AC8FDB8-A0F6-4CBA-9DFD-C4EB3B5BF072}</x14:id>
        </ext>
      </extLst>
    </cfRule>
  </conditionalFormatting>
  <conditionalFormatting sqref="AG158">
    <cfRule type="dataBar" priority="181">
      <dataBar>
        <cfvo type="min"/>
        <cfvo type="max"/>
        <color rgb="FF63C384"/>
      </dataBar>
      <extLst>
        <ext xmlns:x14="http://schemas.microsoft.com/office/spreadsheetml/2009/9/main" uri="{B025F937-C7B1-47D3-B67F-A62EFF666E3E}">
          <x14:id>{2FB01A7A-1376-4D4E-9A97-73AC7CFC9E3B}</x14:id>
        </ext>
      </extLst>
    </cfRule>
  </conditionalFormatting>
  <conditionalFormatting sqref="AG158">
    <cfRule type="dataBar" priority="179">
      <dataBar>
        <cfvo type="min"/>
        <cfvo type="max"/>
        <color rgb="FF63C384"/>
      </dataBar>
      <extLst>
        <ext xmlns:x14="http://schemas.microsoft.com/office/spreadsheetml/2009/9/main" uri="{B025F937-C7B1-47D3-B67F-A62EFF666E3E}">
          <x14:id>{FC826242-DABB-4FDD-B952-A7ECB941AA68}</x14:id>
        </ext>
      </extLst>
    </cfRule>
  </conditionalFormatting>
  <conditionalFormatting sqref="AG158">
    <cfRule type="dataBar" priority="178">
      <dataBar>
        <cfvo type="min"/>
        <cfvo type="max"/>
        <color rgb="FF63C384"/>
      </dataBar>
      <extLst>
        <ext xmlns:x14="http://schemas.microsoft.com/office/spreadsheetml/2009/9/main" uri="{B025F937-C7B1-47D3-B67F-A62EFF666E3E}">
          <x14:id>{B41D6EBD-A361-4278-ABFF-2AE6464DF946}</x14:id>
        </ext>
      </extLst>
    </cfRule>
  </conditionalFormatting>
  <conditionalFormatting sqref="Q158">
    <cfRule type="cellIs" dxfId="4997" priority="177" operator="equal">
      <formula>"ja"</formula>
    </cfRule>
  </conditionalFormatting>
  <conditionalFormatting sqref="Q158">
    <cfRule type="cellIs" dxfId="4996" priority="176" operator="equal">
      <formula>"ja"</formula>
    </cfRule>
  </conditionalFormatting>
  <conditionalFormatting sqref="AA159">
    <cfRule type="expression" dxfId="4995" priority="175">
      <formula>AND(AND($W159&lt;TODAY(),$W159&lt;&gt;""),$X159="")</formula>
    </cfRule>
  </conditionalFormatting>
  <conditionalFormatting sqref="Q159">
    <cfRule type="cellIs" dxfId="4994" priority="174" operator="equal">
      <formula>"ja"</formula>
    </cfRule>
  </conditionalFormatting>
  <conditionalFormatting sqref="AG159">
    <cfRule type="dataBar" priority="173">
      <dataBar>
        <cfvo type="min"/>
        <cfvo type="max"/>
        <color rgb="FF63C384"/>
      </dataBar>
      <extLst>
        <ext xmlns:x14="http://schemas.microsoft.com/office/spreadsheetml/2009/9/main" uri="{B025F937-C7B1-47D3-B67F-A62EFF666E3E}">
          <x14:id>{4D6B15F3-485D-4D69-A748-A9CF4BE54063}</x14:id>
        </ext>
      </extLst>
    </cfRule>
  </conditionalFormatting>
  <conditionalFormatting sqref="AG159">
    <cfRule type="dataBar" priority="172">
      <dataBar>
        <cfvo type="min"/>
        <cfvo type="max"/>
        <color rgb="FF63C384"/>
      </dataBar>
      <extLst>
        <ext xmlns:x14="http://schemas.microsoft.com/office/spreadsheetml/2009/9/main" uri="{B025F937-C7B1-47D3-B67F-A62EFF666E3E}">
          <x14:id>{3D6888A9-18EB-4A2F-A15B-E79F8D5D3A25}</x14:id>
        </ext>
      </extLst>
    </cfRule>
  </conditionalFormatting>
  <conditionalFormatting sqref="AA160">
    <cfRule type="expression" dxfId="4993" priority="171">
      <formula>AND(AND($W160&lt;TODAY(),$W160&lt;&gt;""),$X160="")</formula>
    </cfRule>
  </conditionalFormatting>
  <conditionalFormatting sqref="Q160">
    <cfRule type="cellIs" dxfId="4992" priority="170" operator="equal">
      <formula>"ja"</formula>
    </cfRule>
  </conditionalFormatting>
  <conditionalFormatting sqref="Q160">
    <cfRule type="cellIs" dxfId="4991" priority="169" operator="equal">
      <formula>"ja"</formula>
    </cfRule>
  </conditionalFormatting>
  <conditionalFormatting sqref="Q160">
    <cfRule type="cellIs" dxfId="4990" priority="168" operator="equal">
      <formula>"ja"</formula>
    </cfRule>
  </conditionalFormatting>
  <conditionalFormatting sqref="AG160">
    <cfRule type="dataBar" priority="167">
      <dataBar>
        <cfvo type="min"/>
        <cfvo type="max"/>
        <color rgb="FF63C384"/>
      </dataBar>
      <extLst>
        <ext xmlns:x14="http://schemas.microsoft.com/office/spreadsheetml/2009/9/main" uri="{B025F937-C7B1-47D3-B67F-A62EFF666E3E}">
          <x14:id>{0E143E3E-DDE5-4F7A-B738-99EFD3B7A20C}</x14:id>
        </ext>
      </extLst>
    </cfRule>
  </conditionalFormatting>
  <conditionalFormatting sqref="AG160">
    <cfRule type="dataBar" priority="166">
      <dataBar>
        <cfvo type="min"/>
        <cfvo type="max"/>
        <color rgb="FF63C384"/>
      </dataBar>
      <extLst>
        <ext xmlns:x14="http://schemas.microsoft.com/office/spreadsheetml/2009/9/main" uri="{B025F937-C7B1-47D3-B67F-A62EFF666E3E}">
          <x14:id>{FC3F44FA-D6F3-4A48-B131-2664A7371486}</x14:id>
        </ext>
      </extLst>
    </cfRule>
  </conditionalFormatting>
  <conditionalFormatting sqref="Q160">
    <cfRule type="cellIs" dxfId="4989" priority="165" operator="equal">
      <formula>"ja"</formula>
    </cfRule>
  </conditionalFormatting>
  <conditionalFormatting sqref="AG160">
    <cfRule type="dataBar" priority="164">
      <dataBar>
        <cfvo type="min"/>
        <cfvo type="max"/>
        <color rgb="FF63C384"/>
      </dataBar>
      <extLst>
        <ext xmlns:x14="http://schemas.microsoft.com/office/spreadsheetml/2009/9/main" uri="{B025F937-C7B1-47D3-B67F-A62EFF666E3E}">
          <x14:id>{31FFD7AA-6CE8-4C89-A609-9B7306019E7D}</x14:id>
        </ext>
      </extLst>
    </cfRule>
  </conditionalFormatting>
  <conditionalFormatting sqref="AG160">
    <cfRule type="dataBar" priority="163">
      <dataBar>
        <cfvo type="min"/>
        <cfvo type="max"/>
        <color rgb="FF63C384"/>
      </dataBar>
      <extLst>
        <ext xmlns:x14="http://schemas.microsoft.com/office/spreadsheetml/2009/9/main" uri="{B025F937-C7B1-47D3-B67F-A62EFF666E3E}">
          <x14:id>{40B9C8C7-8F01-407C-998D-9EB0EB192DCC}</x14:id>
        </ext>
      </extLst>
    </cfRule>
  </conditionalFormatting>
  <conditionalFormatting sqref="AA161">
    <cfRule type="expression" dxfId="4988" priority="162">
      <formula>AND(AND($W161&lt;TODAY(),$W161&lt;&gt;""),$X161="")</formula>
    </cfRule>
  </conditionalFormatting>
  <conditionalFormatting sqref="AG161">
    <cfRule type="dataBar" priority="161">
      <dataBar>
        <cfvo type="min"/>
        <cfvo type="max"/>
        <color rgb="FF63C384"/>
      </dataBar>
      <extLst>
        <ext xmlns:x14="http://schemas.microsoft.com/office/spreadsheetml/2009/9/main" uri="{B025F937-C7B1-47D3-B67F-A62EFF666E3E}">
          <x14:id>{13667E9F-3340-400A-ADAA-92FC8116575D}</x14:id>
        </ext>
      </extLst>
    </cfRule>
  </conditionalFormatting>
  <conditionalFormatting sqref="AG161">
    <cfRule type="dataBar" priority="160">
      <dataBar>
        <cfvo type="min"/>
        <cfvo type="max"/>
        <color rgb="FF63C384"/>
      </dataBar>
      <extLst>
        <ext xmlns:x14="http://schemas.microsoft.com/office/spreadsheetml/2009/9/main" uri="{B025F937-C7B1-47D3-B67F-A62EFF666E3E}">
          <x14:id>{AA0CE3E3-BFD4-457F-A062-6AC0679AAE32}</x14:id>
        </ext>
      </extLst>
    </cfRule>
  </conditionalFormatting>
  <conditionalFormatting sqref="AG161">
    <cfRule type="dataBar" priority="159">
      <dataBar>
        <cfvo type="min"/>
        <cfvo type="max"/>
        <color rgb="FF63C384"/>
      </dataBar>
      <extLst>
        <ext xmlns:x14="http://schemas.microsoft.com/office/spreadsheetml/2009/9/main" uri="{B025F937-C7B1-47D3-B67F-A62EFF666E3E}">
          <x14:id>{2742A350-3CC9-4DFD-91E3-2B0C2A805C22}</x14:id>
        </ext>
      </extLst>
    </cfRule>
  </conditionalFormatting>
  <conditionalFormatting sqref="AG161">
    <cfRule type="dataBar" priority="158">
      <dataBar>
        <cfvo type="min"/>
        <cfvo type="max"/>
        <color rgb="FF63C384"/>
      </dataBar>
      <extLst>
        <ext xmlns:x14="http://schemas.microsoft.com/office/spreadsheetml/2009/9/main" uri="{B025F937-C7B1-47D3-B67F-A62EFF666E3E}">
          <x14:id>{71E58D22-F174-48AB-AE4F-B6D5FA076AB9}</x14:id>
        </ext>
      </extLst>
    </cfRule>
  </conditionalFormatting>
  <conditionalFormatting sqref="AA162">
    <cfRule type="expression" dxfId="4987" priority="157">
      <formula>AND(AND($W162&lt;TODAY(),$W162&lt;&gt;""),$X162="")</formula>
    </cfRule>
  </conditionalFormatting>
  <conditionalFormatting sqref="AG162">
    <cfRule type="dataBar" priority="156">
      <dataBar>
        <cfvo type="min"/>
        <cfvo type="max"/>
        <color rgb="FF63C384"/>
      </dataBar>
      <extLst>
        <ext xmlns:x14="http://schemas.microsoft.com/office/spreadsheetml/2009/9/main" uri="{B025F937-C7B1-47D3-B67F-A62EFF666E3E}">
          <x14:id>{45D8F436-DEC2-4573-94F4-88CFB6926140}</x14:id>
        </ext>
      </extLst>
    </cfRule>
  </conditionalFormatting>
  <conditionalFormatting sqref="AG162">
    <cfRule type="dataBar" priority="155">
      <dataBar>
        <cfvo type="min"/>
        <cfvo type="max"/>
        <color rgb="FF63C384"/>
      </dataBar>
      <extLst>
        <ext xmlns:x14="http://schemas.microsoft.com/office/spreadsheetml/2009/9/main" uri="{B025F937-C7B1-47D3-B67F-A62EFF666E3E}">
          <x14:id>{6F851A8E-CDCC-489D-A5F0-DF92DF5526CF}</x14:id>
        </ext>
      </extLst>
    </cfRule>
  </conditionalFormatting>
  <conditionalFormatting sqref="Q162">
    <cfRule type="cellIs" dxfId="4986" priority="154" operator="equal">
      <formula>"ja"</formula>
    </cfRule>
  </conditionalFormatting>
  <conditionalFormatting sqref="Q162">
    <cfRule type="cellIs" dxfId="4985" priority="153" operator="equal">
      <formula>"ja"</formula>
    </cfRule>
  </conditionalFormatting>
  <conditionalFormatting sqref="AA163">
    <cfRule type="expression" dxfId="4984" priority="152">
      <formula>AND(AND($W163&lt;TODAY(),$W163&lt;&gt;""),$X163="")</formula>
    </cfRule>
  </conditionalFormatting>
  <conditionalFormatting sqref="Q163">
    <cfRule type="cellIs" dxfId="4983" priority="151" operator="equal">
      <formula>"ja"</formula>
    </cfRule>
  </conditionalFormatting>
  <conditionalFormatting sqref="AG163">
    <cfRule type="dataBar" priority="150">
      <dataBar>
        <cfvo type="min"/>
        <cfvo type="max"/>
        <color rgb="FF63C384"/>
      </dataBar>
      <extLst>
        <ext xmlns:x14="http://schemas.microsoft.com/office/spreadsheetml/2009/9/main" uri="{B025F937-C7B1-47D3-B67F-A62EFF666E3E}">
          <x14:id>{40509451-38B0-4043-BD2F-F14362089F98}</x14:id>
        </ext>
      </extLst>
    </cfRule>
  </conditionalFormatting>
  <conditionalFormatting sqref="AG163">
    <cfRule type="dataBar" priority="149">
      <dataBar>
        <cfvo type="min"/>
        <cfvo type="max"/>
        <color rgb="FF63C384"/>
      </dataBar>
      <extLst>
        <ext xmlns:x14="http://schemas.microsoft.com/office/spreadsheetml/2009/9/main" uri="{B025F937-C7B1-47D3-B67F-A62EFF666E3E}">
          <x14:id>{1F3ED64B-833F-410F-B640-08C403222428}</x14:id>
        </ext>
      </extLst>
    </cfRule>
  </conditionalFormatting>
  <conditionalFormatting sqref="AG163">
    <cfRule type="dataBar" priority="148">
      <dataBar>
        <cfvo type="min"/>
        <cfvo type="max"/>
        <color rgb="FF63C384"/>
      </dataBar>
      <extLst>
        <ext xmlns:x14="http://schemas.microsoft.com/office/spreadsheetml/2009/9/main" uri="{B025F937-C7B1-47D3-B67F-A62EFF666E3E}">
          <x14:id>{D8A056CC-A307-483C-B875-D7AA59F0BE07}</x14:id>
        </ext>
      </extLst>
    </cfRule>
  </conditionalFormatting>
  <conditionalFormatting sqref="AG163">
    <cfRule type="dataBar" priority="147">
      <dataBar>
        <cfvo type="min"/>
        <cfvo type="max"/>
        <color rgb="FF63C384"/>
      </dataBar>
      <extLst>
        <ext xmlns:x14="http://schemas.microsoft.com/office/spreadsheetml/2009/9/main" uri="{B025F937-C7B1-47D3-B67F-A62EFF666E3E}">
          <x14:id>{B1384FF8-2EF5-4A8A-B1C5-A690B2B1EE17}</x14:id>
        </ext>
      </extLst>
    </cfRule>
  </conditionalFormatting>
  <conditionalFormatting sqref="Q163">
    <cfRule type="cellIs" dxfId="4982" priority="146" operator="equal">
      <formula>"ja"</formula>
    </cfRule>
  </conditionalFormatting>
  <conditionalFormatting sqref="AA164">
    <cfRule type="expression" dxfId="4981" priority="145">
      <formula>AND(AND($W164&lt;TODAY(),$W164&lt;&gt;""),$X164="")</formula>
    </cfRule>
  </conditionalFormatting>
  <conditionalFormatting sqref="Q164">
    <cfRule type="cellIs" dxfId="4980" priority="144" operator="equal">
      <formula>"ja"</formula>
    </cfRule>
  </conditionalFormatting>
  <conditionalFormatting sqref="AG164">
    <cfRule type="dataBar" priority="143">
      <dataBar>
        <cfvo type="min"/>
        <cfvo type="max"/>
        <color rgb="FF63C384"/>
      </dataBar>
      <extLst>
        <ext xmlns:x14="http://schemas.microsoft.com/office/spreadsheetml/2009/9/main" uri="{B025F937-C7B1-47D3-B67F-A62EFF666E3E}">
          <x14:id>{64CBB510-A554-4398-B4C6-6D23754CEED5}</x14:id>
        </ext>
      </extLst>
    </cfRule>
  </conditionalFormatting>
  <conditionalFormatting sqref="Q164">
    <cfRule type="cellIs" dxfId="4979" priority="142" operator="equal">
      <formula>"ja"</formula>
    </cfRule>
  </conditionalFormatting>
  <conditionalFormatting sqref="Q164">
    <cfRule type="cellIs" dxfId="4978" priority="141" operator="equal">
      <formula>"ja"</formula>
    </cfRule>
  </conditionalFormatting>
  <conditionalFormatting sqref="AA165:AA166">
    <cfRule type="expression" dxfId="4977" priority="140">
      <formula>AND(AND($W165&lt;TODAY(),$W165&lt;&gt;""),$X165="")</formula>
    </cfRule>
  </conditionalFormatting>
  <conditionalFormatting sqref="AG165:AG166">
    <cfRule type="dataBar" priority="139">
      <dataBar>
        <cfvo type="min"/>
        <cfvo type="max"/>
        <color rgb="FF63C384"/>
      </dataBar>
      <extLst>
        <ext xmlns:x14="http://schemas.microsoft.com/office/spreadsheetml/2009/9/main" uri="{B025F937-C7B1-47D3-B67F-A62EFF666E3E}">
          <x14:id>{DC2AAA53-C04A-4DBD-8197-0CC86AB5A084}</x14:id>
        </ext>
      </extLst>
    </cfRule>
  </conditionalFormatting>
  <conditionalFormatting sqref="AG165:AG166">
    <cfRule type="dataBar" priority="138">
      <dataBar>
        <cfvo type="min"/>
        <cfvo type="max"/>
        <color rgb="FF63C384"/>
      </dataBar>
      <extLst>
        <ext xmlns:x14="http://schemas.microsoft.com/office/spreadsheetml/2009/9/main" uri="{B025F937-C7B1-47D3-B67F-A62EFF666E3E}">
          <x14:id>{0B43CA24-494F-4484-BE95-87720C2AFEF6}</x14:id>
        </ext>
      </extLst>
    </cfRule>
  </conditionalFormatting>
  <conditionalFormatting sqref="AA167">
    <cfRule type="expression" dxfId="4976" priority="137">
      <formula>AND(AND($W167&lt;TODAY(),$W167&lt;&gt;""),$X167="")</formula>
    </cfRule>
  </conditionalFormatting>
  <conditionalFormatting sqref="Q167">
    <cfRule type="cellIs" dxfId="4975" priority="136" operator="equal">
      <formula>"ja"</formula>
    </cfRule>
  </conditionalFormatting>
  <conditionalFormatting sqref="AG167">
    <cfRule type="dataBar" priority="135">
      <dataBar>
        <cfvo type="min"/>
        <cfvo type="max"/>
        <color rgb="FF63C384"/>
      </dataBar>
      <extLst>
        <ext xmlns:x14="http://schemas.microsoft.com/office/spreadsheetml/2009/9/main" uri="{B025F937-C7B1-47D3-B67F-A62EFF666E3E}">
          <x14:id>{653BB280-F052-4D5F-A183-11F751E6575D}</x14:id>
        </ext>
      </extLst>
    </cfRule>
  </conditionalFormatting>
  <conditionalFormatting sqref="AG167">
    <cfRule type="dataBar" priority="134">
      <dataBar>
        <cfvo type="min"/>
        <cfvo type="max"/>
        <color rgb="FF63C384"/>
      </dataBar>
      <extLst>
        <ext xmlns:x14="http://schemas.microsoft.com/office/spreadsheetml/2009/9/main" uri="{B025F937-C7B1-47D3-B67F-A62EFF666E3E}">
          <x14:id>{111B04AD-DAB1-4D9A-A2DA-3556A241F492}</x14:id>
        </ext>
      </extLst>
    </cfRule>
  </conditionalFormatting>
  <conditionalFormatting sqref="AA169">
    <cfRule type="expression" dxfId="4974" priority="133">
      <formula>AND(AND($W169&lt;TODAY(),$W169&lt;&gt;""),$X169="")</formula>
    </cfRule>
  </conditionalFormatting>
  <conditionalFormatting sqref="Q169">
    <cfRule type="cellIs" dxfId="4973" priority="132" operator="equal">
      <formula>"ja"</formula>
    </cfRule>
  </conditionalFormatting>
  <conditionalFormatting sqref="AG169">
    <cfRule type="dataBar" priority="131">
      <dataBar>
        <cfvo type="min"/>
        <cfvo type="max"/>
        <color rgb="FF63C384"/>
      </dataBar>
      <extLst>
        <ext xmlns:x14="http://schemas.microsoft.com/office/spreadsheetml/2009/9/main" uri="{B025F937-C7B1-47D3-B67F-A62EFF666E3E}">
          <x14:id>{1618ADA1-3C91-4BDD-808E-91C941BE22F5}</x14:id>
        </ext>
      </extLst>
    </cfRule>
  </conditionalFormatting>
  <conditionalFormatting sqref="AG169">
    <cfRule type="dataBar" priority="130">
      <dataBar>
        <cfvo type="min"/>
        <cfvo type="max"/>
        <color rgb="FF63C384"/>
      </dataBar>
      <extLst>
        <ext xmlns:x14="http://schemas.microsoft.com/office/spreadsheetml/2009/9/main" uri="{B025F937-C7B1-47D3-B67F-A62EFF666E3E}">
          <x14:id>{AABC3C47-A62D-4216-9CE9-2A7E76540304}</x14:id>
        </ext>
      </extLst>
    </cfRule>
  </conditionalFormatting>
  <conditionalFormatting sqref="AA169:AA170">
    <cfRule type="expression" dxfId="4972" priority="129">
      <formula>AND(AND($W169&lt;TODAY(),$W169&lt;&gt;""),$X169="")</formula>
    </cfRule>
  </conditionalFormatting>
  <conditionalFormatting sqref="Q169:Q170">
    <cfRule type="cellIs" dxfId="4971" priority="128" operator="equal">
      <formula>"ja"</formula>
    </cfRule>
  </conditionalFormatting>
  <conditionalFormatting sqref="AG169:AG170">
    <cfRule type="dataBar" priority="127">
      <dataBar>
        <cfvo type="min"/>
        <cfvo type="max"/>
        <color rgb="FF63C384"/>
      </dataBar>
      <extLst>
        <ext xmlns:x14="http://schemas.microsoft.com/office/spreadsheetml/2009/9/main" uri="{B025F937-C7B1-47D3-B67F-A62EFF666E3E}">
          <x14:id>{E6BDC172-73E5-4412-88F6-D9D7A84FA885}</x14:id>
        </ext>
      </extLst>
    </cfRule>
  </conditionalFormatting>
  <conditionalFormatting sqref="Q169:Q170">
    <cfRule type="cellIs" dxfId="4970" priority="126" operator="equal">
      <formula>"ja"</formula>
    </cfRule>
  </conditionalFormatting>
  <conditionalFormatting sqref="AA170:AA171">
    <cfRule type="expression" dxfId="4969" priority="125">
      <formula>AND(AND($W170&lt;TODAY(),$W170&lt;&gt;""),$X170="")</formula>
    </cfRule>
  </conditionalFormatting>
  <conditionalFormatting sqref="Q170:Q171">
    <cfRule type="cellIs" dxfId="4968" priority="124" operator="equal">
      <formula>"ja"</formula>
    </cfRule>
  </conditionalFormatting>
  <conditionalFormatting sqref="AG170:AG171">
    <cfRule type="dataBar" priority="123">
      <dataBar>
        <cfvo type="min"/>
        <cfvo type="max"/>
        <color rgb="FF63C384"/>
      </dataBar>
      <extLst>
        <ext xmlns:x14="http://schemas.microsoft.com/office/spreadsheetml/2009/9/main" uri="{B025F937-C7B1-47D3-B67F-A62EFF666E3E}">
          <x14:id>{194BE720-90F3-4B4A-9D65-63123E082A9F}</x14:id>
        </ext>
      </extLst>
    </cfRule>
  </conditionalFormatting>
  <conditionalFormatting sqref="Q170:Q171">
    <cfRule type="cellIs" dxfId="4967" priority="122" operator="equal">
      <formula>"ja"</formula>
    </cfRule>
  </conditionalFormatting>
  <conditionalFormatting sqref="AA168">
    <cfRule type="expression" dxfId="4966" priority="121">
      <formula>AND(AND($W168&lt;TODAY(),$W168&lt;&gt;""),$X168="")</formula>
    </cfRule>
  </conditionalFormatting>
  <conditionalFormatting sqref="AG168">
    <cfRule type="dataBar" priority="120">
      <dataBar>
        <cfvo type="min"/>
        <cfvo type="max"/>
        <color rgb="FF63C384"/>
      </dataBar>
      <extLst>
        <ext xmlns:x14="http://schemas.microsoft.com/office/spreadsheetml/2009/9/main" uri="{B025F937-C7B1-47D3-B67F-A62EFF666E3E}">
          <x14:id>{5DA4D89D-EE69-45C9-8ECD-5909C41BEA43}</x14:id>
        </ext>
      </extLst>
    </cfRule>
  </conditionalFormatting>
  <conditionalFormatting sqref="AG168">
    <cfRule type="dataBar" priority="119">
      <dataBar>
        <cfvo type="min"/>
        <cfvo type="max"/>
        <color rgb="FF63C384"/>
      </dataBar>
      <extLst>
        <ext xmlns:x14="http://schemas.microsoft.com/office/spreadsheetml/2009/9/main" uri="{B025F937-C7B1-47D3-B67F-A62EFF666E3E}">
          <x14:id>{13105151-2B42-48F0-84E0-7E2E72449FE3}</x14:id>
        </ext>
      </extLst>
    </cfRule>
  </conditionalFormatting>
  <conditionalFormatting sqref="Q168">
    <cfRule type="cellIs" dxfId="4965" priority="118" operator="equal">
      <formula>"ja"</formula>
    </cfRule>
  </conditionalFormatting>
  <conditionalFormatting sqref="AA172">
    <cfRule type="expression" dxfId="4964" priority="117">
      <formula>AND(AND($W172&lt;TODAY(),$W172&lt;&gt;""),$X172="")</formula>
    </cfRule>
  </conditionalFormatting>
  <conditionalFormatting sqref="Q172">
    <cfRule type="cellIs" dxfId="4963" priority="116" operator="equal">
      <formula>"ja"</formula>
    </cfRule>
  </conditionalFormatting>
  <conditionalFormatting sqref="Q172">
    <cfRule type="cellIs" dxfId="4962" priority="107" operator="equal">
      <formula>"ja"</formula>
    </cfRule>
  </conditionalFormatting>
  <conditionalFormatting sqref="AG172">
    <cfRule type="dataBar" priority="115">
      <dataBar>
        <cfvo type="min"/>
        <cfvo type="max"/>
        <color rgb="FF63C384"/>
      </dataBar>
      <extLst>
        <ext xmlns:x14="http://schemas.microsoft.com/office/spreadsheetml/2009/9/main" uri="{B025F937-C7B1-47D3-B67F-A62EFF666E3E}">
          <x14:id>{0B10A6D4-3C27-48A1-B3E7-98BB9CA407EA}</x14:id>
        </ext>
      </extLst>
    </cfRule>
  </conditionalFormatting>
  <conditionalFormatting sqref="AG172">
    <cfRule type="dataBar" priority="114">
      <dataBar>
        <cfvo type="min"/>
        <cfvo type="max"/>
        <color rgb="FF63C384"/>
      </dataBar>
      <extLst>
        <ext xmlns:x14="http://schemas.microsoft.com/office/spreadsheetml/2009/9/main" uri="{B025F937-C7B1-47D3-B67F-A62EFF666E3E}">
          <x14:id>{CA790EE0-2E61-4ACD-A793-38B42272B5AD}</x14:id>
        </ext>
      </extLst>
    </cfRule>
  </conditionalFormatting>
  <conditionalFormatting sqref="Q172">
    <cfRule type="cellIs" dxfId="4961" priority="113" operator="equal">
      <formula>"ja"</formula>
    </cfRule>
  </conditionalFormatting>
  <conditionalFormatting sqref="AG172">
    <cfRule type="dataBar" priority="112">
      <dataBar>
        <cfvo type="min"/>
        <cfvo type="max"/>
        <color rgb="FF63C384"/>
      </dataBar>
      <extLst>
        <ext xmlns:x14="http://schemas.microsoft.com/office/spreadsheetml/2009/9/main" uri="{B025F937-C7B1-47D3-B67F-A62EFF666E3E}">
          <x14:id>{7694E081-04BA-459D-A92F-20B66DCE4635}</x14:id>
        </ext>
      </extLst>
    </cfRule>
  </conditionalFormatting>
  <conditionalFormatting sqref="AG172">
    <cfRule type="dataBar" priority="111">
      <dataBar>
        <cfvo type="min"/>
        <cfvo type="max"/>
        <color rgb="FF63C384"/>
      </dataBar>
      <extLst>
        <ext xmlns:x14="http://schemas.microsoft.com/office/spreadsheetml/2009/9/main" uri="{B025F937-C7B1-47D3-B67F-A62EFF666E3E}">
          <x14:id>{564B0D35-91DF-4ACE-8DF1-1B48836C3315}</x14:id>
        </ext>
      </extLst>
    </cfRule>
  </conditionalFormatting>
  <conditionalFormatting sqref="Q172">
    <cfRule type="cellIs" dxfId="4960" priority="110" operator="equal">
      <formula>"ja"</formula>
    </cfRule>
  </conditionalFormatting>
  <conditionalFormatting sqref="AG172">
    <cfRule type="dataBar" priority="109">
      <dataBar>
        <cfvo type="min"/>
        <cfvo type="max"/>
        <color rgb="FF63C384"/>
      </dataBar>
      <extLst>
        <ext xmlns:x14="http://schemas.microsoft.com/office/spreadsheetml/2009/9/main" uri="{B025F937-C7B1-47D3-B67F-A62EFF666E3E}">
          <x14:id>{B63D01E5-3161-4DF6-A11E-4B92DCBC16EC}</x14:id>
        </ext>
      </extLst>
    </cfRule>
  </conditionalFormatting>
  <conditionalFormatting sqref="AG172">
    <cfRule type="dataBar" priority="108">
      <dataBar>
        <cfvo type="min"/>
        <cfvo type="max"/>
        <color rgb="FF63C384"/>
      </dataBar>
      <extLst>
        <ext xmlns:x14="http://schemas.microsoft.com/office/spreadsheetml/2009/9/main" uri="{B025F937-C7B1-47D3-B67F-A62EFF666E3E}">
          <x14:id>{53A8B0BA-B432-417A-8DCA-1BD7698C20DC}</x14:id>
        </ext>
      </extLst>
    </cfRule>
  </conditionalFormatting>
  <conditionalFormatting sqref="AG172">
    <cfRule type="dataBar" priority="106">
      <dataBar>
        <cfvo type="min"/>
        <cfvo type="max"/>
        <color rgb="FF63C384"/>
      </dataBar>
      <extLst>
        <ext xmlns:x14="http://schemas.microsoft.com/office/spreadsheetml/2009/9/main" uri="{B025F937-C7B1-47D3-B67F-A62EFF666E3E}">
          <x14:id>{3EAFD5EE-4CE8-490A-80A4-15171FE6629A}</x14:id>
        </ext>
      </extLst>
    </cfRule>
  </conditionalFormatting>
  <conditionalFormatting sqref="AG172">
    <cfRule type="dataBar" priority="105">
      <dataBar>
        <cfvo type="min"/>
        <cfvo type="max"/>
        <color rgb="FF63C384"/>
      </dataBar>
      <extLst>
        <ext xmlns:x14="http://schemas.microsoft.com/office/spreadsheetml/2009/9/main" uri="{B025F937-C7B1-47D3-B67F-A62EFF666E3E}">
          <x14:id>{7C14A2E4-1C0B-4423-8F4B-8D89891B7773}</x14:id>
        </ext>
      </extLst>
    </cfRule>
  </conditionalFormatting>
  <conditionalFormatting sqref="Q172">
    <cfRule type="cellIs" dxfId="4959" priority="104" operator="equal">
      <formula>"ja"</formula>
    </cfRule>
  </conditionalFormatting>
  <conditionalFormatting sqref="Q172">
    <cfRule type="cellIs" dxfId="4958" priority="103" operator="equal">
      <formula>"ja"</formula>
    </cfRule>
  </conditionalFormatting>
  <conditionalFormatting sqref="AA173:AA175">
    <cfRule type="expression" dxfId="4957" priority="101">
      <formula>AND(AND($W173&lt;TODAY(),$W173&lt;&gt;""),$X173="")</formula>
    </cfRule>
  </conditionalFormatting>
  <conditionalFormatting sqref="AG173:AG175">
    <cfRule type="dataBar" priority="102">
      <dataBar>
        <cfvo type="min"/>
        <cfvo type="max"/>
        <color rgb="FF63C384"/>
      </dataBar>
      <extLst>
        <ext xmlns:x14="http://schemas.microsoft.com/office/spreadsheetml/2009/9/main" uri="{B025F937-C7B1-47D3-B67F-A62EFF666E3E}">
          <x14:id>{84E4F58E-8300-480E-B4FD-2C5FC7528432}</x14:id>
        </ext>
      </extLst>
    </cfRule>
  </conditionalFormatting>
  <conditionalFormatting sqref="AA176">
    <cfRule type="expression" dxfId="4956" priority="100">
      <formula>AND(AND($W176&lt;TODAY(),$W176&lt;&gt;""),$X176="")</formula>
    </cfRule>
  </conditionalFormatting>
  <conditionalFormatting sqref="Q176">
    <cfRule type="cellIs" dxfId="4955" priority="99" operator="equal">
      <formula>"ja"</formula>
    </cfRule>
  </conditionalFormatting>
  <conditionalFormatting sqref="Q176">
    <cfRule type="cellIs" dxfId="4954" priority="98" operator="equal">
      <formula>"ja"</formula>
    </cfRule>
  </conditionalFormatting>
  <conditionalFormatting sqref="Q176">
    <cfRule type="cellIs" dxfId="4953" priority="97" operator="equal">
      <formula>"ja"</formula>
    </cfRule>
  </conditionalFormatting>
  <conditionalFormatting sqref="AG176">
    <cfRule type="dataBar" priority="96">
      <dataBar>
        <cfvo type="min"/>
        <cfvo type="max"/>
        <color rgb="FF63C384"/>
      </dataBar>
      <extLst>
        <ext xmlns:x14="http://schemas.microsoft.com/office/spreadsheetml/2009/9/main" uri="{B025F937-C7B1-47D3-B67F-A62EFF666E3E}">
          <x14:id>{47601DF7-A15F-4645-AB2D-C2AEB633DDEA}</x14:id>
        </ext>
      </extLst>
    </cfRule>
  </conditionalFormatting>
  <conditionalFormatting sqref="AG176">
    <cfRule type="dataBar" priority="95">
      <dataBar>
        <cfvo type="min"/>
        <cfvo type="max"/>
        <color rgb="FF63C384"/>
      </dataBar>
      <extLst>
        <ext xmlns:x14="http://schemas.microsoft.com/office/spreadsheetml/2009/9/main" uri="{B025F937-C7B1-47D3-B67F-A62EFF666E3E}">
          <x14:id>{3C0B06AD-2E0C-464B-BE22-F84C8883ABB2}</x14:id>
        </ext>
      </extLst>
    </cfRule>
  </conditionalFormatting>
  <conditionalFormatting sqref="Q176">
    <cfRule type="cellIs" dxfId="4952" priority="94" operator="equal">
      <formula>"ja"</formula>
    </cfRule>
  </conditionalFormatting>
  <conditionalFormatting sqref="AG176">
    <cfRule type="dataBar" priority="93">
      <dataBar>
        <cfvo type="min"/>
        <cfvo type="max"/>
        <color rgb="FF63C384"/>
      </dataBar>
      <extLst>
        <ext xmlns:x14="http://schemas.microsoft.com/office/spreadsheetml/2009/9/main" uri="{B025F937-C7B1-47D3-B67F-A62EFF666E3E}">
          <x14:id>{0E0F5D38-E8B7-4122-A6AF-EBB8F745E29A}</x14:id>
        </ext>
      </extLst>
    </cfRule>
  </conditionalFormatting>
  <conditionalFormatting sqref="AG176">
    <cfRule type="dataBar" priority="92">
      <dataBar>
        <cfvo type="min"/>
        <cfvo type="max"/>
        <color rgb="FF63C384"/>
      </dataBar>
      <extLst>
        <ext xmlns:x14="http://schemas.microsoft.com/office/spreadsheetml/2009/9/main" uri="{B025F937-C7B1-47D3-B67F-A62EFF666E3E}">
          <x14:id>{D76EF0A8-3439-4DD8-8AEB-0F3C2FC2E198}</x14:id>
        </ext>
      </extLst>
    </cfRule>
  </conditionalFormatting>
  <conditionalFormatting sqref="AA177">
    <cfRule type="expression" dxfId="4951" priority="91">
      <formula>AND(AND($W177&lt;TODAY(),$W177&lt;&gt;""),$X177="")</formula>
    </cfRule>
  </conditionalFormatting>
  <conditionalFormatting sqref="Q177">
    <cfRule type="cellIs" dxfId="4950" priority="90" operator="equal">
      <formula>"ja"</formula>
    </cfRule>
  </conditionalFormatting>
  <conditionalFormatting sqref="AG177">
    <cfRule type="dataBar" priority="89">
      <dataBar>
        <cfvo type="min"/>
        <cfvo type="max"/>
        <color rgb="FF63C384"/>
      </dataBar>
      <extLst>
        <ext xmlns:x14="http://schemas.microsoft.com/office/spreadsheetml/2009/9/main" uri="{B025F937-C7B1-47D3-B67F-A62EFF666E3E}">
          <x14:id>{6678802D-5621-4FC8-8E51-2ACED28697AF}</x14:id>
        </ext>
      </extLst>
    </cfRule>
  </conditionalFormatting>
  <conditionalFormatting sqref="Q177">
    <cfRule type="cellIs" dxfId="4949" priority="88" operator="equal">
      <formula>"ja"</formula>
    </cfRule>
  </conditionalFormatting>
  <conditionalFormatting sqref="Q177">
    <cfRule type="cellIs" dxfId="4948" priority="87" operator="equal">
      <formula>"ja"</formula>
    </cfRule>
  </conditionalFormatting>
  <conditionalFormatting sqref="AA178">
    <cfRule type="expression" dxfId="4947" priority="86">
      <formula>AND(AND($W178&lt;TODAY(),$W178&lt;&gt;""),$X178="")</formula>
    </cfRule>
  </conditionalFormatting>
  <conditionalFormatting sqref="AG178">
    <cfRule type="dataBar" priority="85">
      <dataBar>
        <cfvo type="min"/>
        <cfvo type="max"/>
        <color rgb="FF63C384"/>
      </dataBar>
      <extLst>
        <ext xmlns:x14="http://schemas.microsoft.com/office/spreadsheetml/2009/9/main" uri="{B025F937-C7B1-47D3-B67F-A62EFF666E3E}">
          <x14:id>{262366E7-BB55-4FAE-8B29-0789A068B2F2}</x14:id>
        </ext>
      </extLst>
    </cfRule>
  </conditionalFormatting>
  <conditionalFormatting sqref="AG178">
    <cfRule type="dataBar" priority="84">
      <dataBar>
        <cfvo type="min"/>
        <cfvo type="max"/>
        <color rgb="FF63C384"/>
      </dataBar>
      <extLst>
        <ext xmlns:x14="http://schemas.microsoft.com/office/spreadsheetml/2009/9/main" uri="{B025F937-C7B1-47D3-B67F-A62EFF666E3E}">
          <x14:id>{C2D4F31D-642B-42E1-B7F1-5B37C9EB6925}</x14:id>
        </ext>
      </extLst>
    </cfRule>
  </conditionalFormatting>
  <conditionalFormatting sqref="AG178">
    <cfRule type="dataBar" priority="83">
      <dataBar>
        <cfvo type="min"/>
        <cfvo type="max"/>
        <color rgb="FF63C384"/>
      </dataBar>
      <extLst>
        <ext xmlns:x14="http://schemas.microsoft.com/office/spreadsheetml/2009/9/main" uri="{B025F937-C7B1-47D3-B67F-A62EFF666E3E}">
          <x14:id>{1FC2201B-8374-4835-B185-48C6034923FE}</x14:id>
        </ext>
      </extLst>
    </cfRule>
  </conditionalFormatting>
  <conditionalFormatting sqref="AG178">
    <cfRule type="dataBar" priority="82">
      <dataBar>
        <cfvo type="min"/>
        <cfvo type="max"/>
        <color rgb="FF63C384"/>
      </dataBar>
      <extLst>
        <ext xmlns:x14="http://schemas.microsoft.com/office/spreadsheetml/2009/9/main" uri="{B025F937-C7B1-47D3-B67F-A62EFF666E3E}">
          <x14:id>{12C257FB-2279-4838-9C28-29899C314E39}</x14:id>
        </ext>
      </extLst>
    </cfRule>
  </conditionalFormatting>
  <conditionalFormatting sqref="AA179">
    <cfRule type="expression" dxfId="4946" priority="81">
      <formula>AND(AND($W179&lt;TODAY(),$W179&lt;&gt;""),$X179="")</formula>
    </cfRule>
  </conditionalFormatting>
  <conditionalFormatting sqref="AG179">
    <cfRule type="dataBar" priority="80">
      <dataBar>
        <cfvo type="min"/>
        <cfvo type="max"/>
        <color rgb="FF63C384"/>
      </dataBar>
      <extLst>
        <ext xmlns:x14="http://schemas.microsoft.com/office/spreadsheetml/2009/9/main" uri="{B025F937-C7B1-47D3-B67F-A62EFF666E3E}">
          <x14:id>{720B3D4D-3F62-47AF-8F94-C43ED7C63FCE}</x14:id>
        </ext>
      </extLst>
    </cfRule>
  </conditionalFormatting>
  <conditionalFormatting sqref="AG179">
    <cfRule type="dataBar" priority="79">
      <dataBar>
        <cfvo type="min"/>
        <cfvo type="max"/>
        <color rgb="FF63C384"/>
      </dataBar>
      <extLst>
        <ext xmlns:x14="http://schemas.microsoft.com/office/spreadsheetml/2009/9/main" uri="{B025F937-C7B1-47D3-B67F-A62EFF666E3E}">
          <x14:id>{0363B42F-2051-480C-8BB2-6B33C662745D}</x14:id>
        </ext>
      </extLst>
    </cfRule>
  </conditionalFormatting>
  <conditionalFormatting sqref="Q179">
    <cfRule type="cellIs" dxfId="4945" priority="78" operator="equal">
      <formula>"ja"</formula>
    </cfRule>
  </conditionalFormatting>
  <conditionalFormatting sqref="Q179">
    <cfRule type="cellIs" dxfId="4944" priority="77" operator="equal">
      <formula>"ja"</formula>
    </cfRule>
  </conditionalFormatting>
  <conditionalFormatting sqref="AA180:AA181">
    <cfRule type="expression" dxfId="4943" priority="75">
      <formula>AND(AND($W180&lt;TODAY(),$W180&lt;&gt;""),$X180="")</formula>
    </cfRule>
  </conditionalFormatting>
  <conditionalFormatting sqref="AG180:AG181">
    <cfRule type="dataBar" priority="76">
      <dataBar>
        <cfvo type="min"/>
        <cfvo type="max"/>
        <color rgb="FF63C384"/>
      </dataBar>
      <extLst>
        <ext xmlns:x14="http://schemas.microsoft.com/office/spreadsheetml/2009/9/main" uri="{B025F937-C7B1-47D3-B67F-A62EFF666E3E}">
          <x14:id>{D279629A-775A-4405-AD23-5D7D5A5EDEA8}</x14:id>
        </ext>
      </extLst>
    </cfRule>
  </conditionalFormatting>
  <conditionalFormatting sqref="AA182">
    <cfRule type="expression" dxfId="4942" priority="74">
      <formula>AND(AND($W182&lt;TODAY(),$W182&lt;&gt;""),$X182="")</formula>
    </cfRule>
  </conditionalFormatting>
  <conditionalFormatting sqref="AA183:AA184">
    <cfRule type="expression" dxfId="4941" priority="73">
      <formula>AND(AND($W183&lt;TODAY(),$W183&lt;&gt;""),$X183="")</formula>
    </cfRule>
  </conditionalFormatting>
  <conditionalFormatting sqref="AG183:AG184">
    <cfRule type="dataBar" priority="72">
      <dataBar>
        <cfvo type="min"/>
        <cfvo type="max"/>
        <color rgb="FF63C384"/>
      </dataBar>
      <extLst>
        <ext xmlns:x14="http://schemas.microsoft.com/office/spreadsheetml/2009/9/main" uri="{B025F937-C7B1-47D3-B67F-A62EFF666E3E}">
          <x14:id>{54E3D66F-4A00-4276-9259-C26DBB0DA8D8}</x14:id>
        </ext>
      </extLst>
    </cfRule>
  </conditionalFormatting>
  <conditionalFormatting sqref="AG183:AG184">
    <cfRule type="dataBar" priority="71">
      <dataBar>
        <cfvo type="min"/>
        <cfvo type="max"/>
        <color rgb="FF63C384"/>
      </dataBar>
      <extLst>
        <ext xmlns:x14="http://schemas.microsoft.com/office/spreadsheetml/2009/9/main" uri="{B025F937-C7B1-47D3-B67F-A62EFF666E3E}">
          <x14:id>{6D26AC39-0756-4047-A4C4-1B2FF8669B4D}</x14:id>
        </ext>
      </extLst>
    </cfRule>
  </conditionalFormatting>
  <conditionalFormatting sqref="AA185">
    <cfRule type="expression" dxfId="4940" priority="70">
      <formula>AND(AND($W185&lt;TODAY(),$W185&lt;&gt;""),$X185="")</formula>
    </cfRule>
  </conditionalFormatting>
  <conditionalFormatting sqref="AG185">
    <cfRule type="dataBar" priority="69">
      <dataBar>
        <cfvo type="min"/>
        <cfvo type="max"/>
        <color rgb="FF63C384"/>
      </dataBar>
      <extLst>
        <ext xmlns:x14="http://schemas.microsoft.com/office/spreadsheetml/2009/9/main" uri="{B025F937-C7B1-47D3-B67F-A62EFF666E3E}">
          <x14:id>{5B3568B3-E8BC-4BD5-AD9F-222DF210724B}</x14:id>
        </ext>
      </extLst>
    </cfRule>
  </conditionalFormatting>
  <conditionalFormatting sqref="AG185">
    <cfRule type="dataBar" priority="68">
      <dataBar>
        <cfvo type="min"/>
        <cfvo type="max"/>
        <color rgb="FF63C384"/>
      </dataBar>
      <extLst>
        <ext xmlns:x14="http://schemas.microsoft.com/office/spreadsheetml/2009/9/main" uri="{B025F937-C7B1-47D3-B67F-A62EFF666E3E}">
          <x14:id>{DBCEF4A9-57E5-4E47-B49B-9BA76B4B5012}</x14:id>
        </ext>
      </extLst>
    </cfRule>
  </conditionalFormatting>
  <conditionalFormatting sqref="Q185">
    <cfRule type="cellIs" dxfId="4939" priority="67" operator="equal">
      <formula>"ja"</formula>
    </cfRule>
  </conditionalFormatting>
  <conditionalFormatting sqref="AA186">
    <cfRule type="expression" dxfId="4938" priority="66">
      <formula>AND(AND($W186&lt;TODAY(),$W186&lt;&gt;""),$X186="")</formula>
    </cfRule>
  </conditionalFormatting>
  <conditionalFormatting sqref="AG186">
    <cfRule type="dataBar" priority="65">
      <dataBar>
        <cfvo type="min"/>
        <cfvo type="max"/>
        <color rgb="FF63C384"/>
      </dataBar>
      <extLst>
        <ext xmlns:x14="http://schemas.microsoft.com/office/spreadsheetml/2009/9/main" uri="{B025F937-C7B1-47D3-B67F-A62EFF666E3E}">
          <x14:id>{8A3BFF7A-AECD-48B0-A55D-E331CF4DFB21}</x14:id>
        </ext>
      </extLst>
    </cfRule>
  </conditionalFormatting>
  <conditionalFormatting sqref="AG186">
    <cfRule type="dataBar" priority="64">
      <dataBar>
        <cfvo type="min"/>
        <cfvo type="max"/>
        <color rgb="FF63C384"/>
      </dataBar>
      <extLst>
        <ext xmlns:x14="http://schemas.microsoft.com/office/spreadsheetml/2009/9/main" uri="{B025F937-C7B1-47D3-B67F-A62EFF666E3E}">
          <x14:id>{FA8BA39A-3942-47F1-BC6B-DB6E05600799}</x14:id>
        </ext>
      </extLst>
    </cfRule>
  </conditionalFormatting>
  <conditionalFormatting sqref="Q186">
    <cfRule type="cellIs" dxfId="4937" priority="63" operator="equal">
      <formula>"ja"</formula>
    </cfRule>
  </conditionalFormatting>
  <conditionalFormatting sqref="AA187:AA188">
    <cfRule type="expression" dxfId="4936" priority="62">
      <formula>AND(AND($W187&lt;TODAY(),$W187&lt;&gt;""),$X187="")</formula>
    </cfRule>
  </conditionalFormatting>
  <conditionalFormatting sqref="Q187">
    <cfRule type="cellIs" dxfId="4935" priority="61" operator="equal">
      <formula>"ja"</formula>
    </cfRule>
  </conditionalFormatting>
  <conditionalFormatting sqref="AG187:AG188">
    <cfRule type="dataBar" priority="60">
      <dataBar>
        <cfvo type="min"/>
        <cfvo type="max"/>
        <color rgb="FF63C384"/>
      </dataBar>
      <extLst>
        <ext xmlns:x14="http://schemas.microsoft.com/office/spreadsheetml/2009/9/main" uri="{B025F937-C7B1-47D3-B67F-A62EFF666E3E}">
          <x14:id>{98B81A84-EE47-4292-9F86-BD92024623AB}</x14:id>
        </ext>
      </extLst>
    </cfRule>
  </conditionalFormatting>
  <conditionalFormatting sqref="AG187:AG188">
    <cfRule type="dataBar" priority="59">
      <dataBar>
        <cfvo type="min"/>
        <cfvo type="max"/>
        <color rgb="FF63C384"/>
      </dataBar>
      <extLst>
        <ext xmlns:x14="http://schemas.microsoft.com/office/spreadsheetml/2009/9/main" uri="{B025F937-C7B1-47D3-B67F-A62EFF666E3E}">
          <x14:id>{CBC2BABC-761C-4B95-9E47-46943E29BD2D}</x14:id>
        </ext>
      </extLst>
    </cfRule>
  </conditionalFormatting>
  <conditionalFormatting sqref="AA187:AA188">
    <cfRule type="expression" dxfId="4934" priority="58">
      <formula>AND(AND($W187&lt;TODAY(),$W187&lt;&gt;""),$X187="")</formula>
    </cfRule>
  </conditionalFormatting>
  <conditionalFormatting sqref="Q187">
    <cfRule type="cellIs" dxfId="4933" priority="57" operator="equal">
      <formula>"ja"</formula>
    </cfRule>
  </conditionalFormatting>
  <conditionalFormatting sqref="AG187:AG188">
    <cfRule type="dataBar" priority="56">
      <dataBar>
        <cfvo type="min"/>
        <cfvo type="max"/>
        <color rgb="FF63C384"/>
      </dataBar>
      <extLst>
        <ext xmlns:x14="http://schemas.microsoft.com/office/spreadsheetml/2009/9/main" uri="{B025F937-C7B1-47D3-B67F-A62EFF666E3E}">
          <x14:id>{4F1F72A3-C735-4BC2-A345-D15CE5905845}</x14:id>
        </ext>
      </extLst>
    </cfRule>
  </conditionalFormatting>
  <conditionalFormatting sqref="Q187">
    <cfRule type="cellIs" dxfId="4932" priority="55" operator="equal">
      <formula>"ja"</formula>
    </cfRule>
  </conditionalFormatting>
  <conditionalFormatting sqref="AA189">
    <cfRule type="expression" dxfId="4931" priority="53">
      <formula>AND(AND($W189&lt;TODAY(),$W189&lt;&gt;""),$X189="")</formula>
    </cfRule>
  </conditionalFormatting>
  <conditionalFormatting sqref="AG189">
    <cfRule type="dataBar" priority="54">
      <dataBar>
        <cfvo type="min"/>
        <cfvo type="max"/>
        <color rgb="FF63C384"/>
      </dataBar>
      <extLst>
        <ext xmlns:x14="http://schemas.microsoft.com/office/spreadsheetml/2009/9/main" uri="{B025F937-C7B1-47D3-B67F-A62EFF666E3E}">
          <x14:id>{F8B231DE-75AF-4309-8F0F-CCCCA9C2DB0B}</x14:id>
        </ext>
      </extLst>
    </cfRule>
  </conditionalFormatting>
  <conditionalFormatting sqref="AA190">
    <cfRule type="expression" dxfId="4930" priority="52">
      <formula>AND(AND($W190&lt;TODAY(),$W190&lt;&gt;""),$X190="")</formula>
    </cfRule>
  </conditionalFormatting>
  <conditionalFormatting sqref="AA191">
    <cfRule type="expression" dxfId="4929" priority="51">
      <formula>AND(AND($W191&lt;TODAY(),$W191&lt;&gt;""),$X191="")</formula>
    </cfRule>
  </conditionalFormatting>
  <conditionalFormatting sqref="Q191">
    <cfRule type="cellIs" dxfId="4928" priority="50" operator="equal">
      <formula>"ja"</formula>
    </cfRule>
  </conditionalFormatting>
  <conditionalFormatting sqref="AG191">
    <cfRule type="dataBar" priority="49">
      <dataBar>
        <cfvo type="min"/>
        <cfvo type="max"/>
        <color rgb="FF63C384"/>
      </dataBar>
      <extLst>
        <ext xmlns:x14="http://schemas.microsoft.com/office/spreadsheetml/2009/9/main" uri="{B025F937-C7B1-47D3-B67F-A62EFF666E3E}">
          <x14:id>{E085D9CA-83DC-4B12-BC87-982D2CC759D4}</x14:id>
        </ext>
      </extLst>
    </cfRule>
  </conditionalFormatting>
  <conditionalFormatting sqref="Q191">
    <cfRule type="cellIs" dxfId="4927" priority="48" operator="equal">
      <formula>"ja"</formula>
    </cfRule>
  </conditionalFormatting>
  <conditionalFormatting sqref="AA192">
    <cfRule type="expression" dxfId="4926" priority="47">
      <formula>AND(AND($W192&lt;TODAY(),$W192&lt;&gt;""),$X192="")</formula>
    </cfRule>
  </conditionalFormatting>
  <conditionalFormatting sqref="Q192">
    <cfRule type="cellIs" dxfId="4925" priority="46" operator="equal">
      <formula>"ja"</formula>
    </cfRule>
  </conditionalFormatting>
  <conditionalFormatting sqref="AG192">
    <cfRule type="dataBar" priority="45">
      <dataBar>
        <cfvo type="min"/>
        <cfvo type="max"/>
        <color rgb="FF63C384"/>
      </dataBar>
      <extLst>
        <ext xmlns:x14="http://schemas.microsoft.com/office/spreadsheetml/2009/9/main" uri="{B025F937-C7B1-47D3-B67F-A62EFF666E3E}">
          <x14:id>{686B4C6A-513C-4CC6-A209-0D20C7D722C3}</x14:id>
        </ext>
      </extLst>
    </cfRule>
  </conditionalFormatting>
  <conditionalFormatting sqref="Q192">
    <cfRule type="cellIs" dxfId="4924" priority="44" operator="equal">
      <formula>"ja"</formula>
    </cfRule>
  </conditionalFormatting>
  <conditionalFormatting sqref="AA192">
    <cfRule type="expression" dxfId="4923" priority="43">
      <formula>AND(AND($W192&lt;TODAY(),$W192&lt;&gt;""),$X192="")</formula>
    </cfRule>
  </conditionalFormatting>
  <conditionalFormatting sqref="Q192">
    <cfRule type="cellIs" dxfId="4922" priority="42" operator="equal">
      <formula>"ja"</formula>
    </cfRule>
  </conditionalFormatting>
  <conditionalFormatting sqref="AG192">
    <cfRule type="dataBar" priority="41">
      <dataBar>
        <cfvo type="min"/>
        <cfvo type="max"/>
        <color rgb="FF63C384"/>
      </dataBar>
      <extLst>
        <ext xmlns:x14="http://schemas.microsoft.com/office/spreadsheetml/2009/9/main" uri="{B025F937-C7B1-47D3-B67F-A62EFF666E3E}">
          <x14:id>{12528FFA-5428-4A1D-AF2E-FC3FB22B8FCC}</x14:id>
        </ext>
      </extLst>
    </cfRule>
  </conditionalFormatting>
  <conditionalFormatting sqref="Q192">
    <cfRule type="cellIs" dxfId="4921" priority="40" operator="equal">
      <formula>"ja"</formula>
    </cfRule>
  </conditionalFormatting>
  <conditionalFormatting sqref="AA193">
    <cfRule type="expression" dxfId="4920" priority="38">
      <formula>AND(AND($W193&lt;TODAY(),$W193&lt;&gt;""),$X193="")</formula>
    </cfRule>
  </conditionalFormatting>
  <conditionalFormatting sqref="AG193">
    <cfRule type="dataBar" priority="39">
      <dataBar>
        <cfvo type="min"/>
        <cfvo type="max"/>
        <color rgb="FF63C384"/>
      </dataBar>
      <extLst>
        <ext xmlns:x14="http://schemas.microsoft.com/office/spreadsheetml/2009/9/main" uri="{B025F937-C7B1-47D3-B67F-A62EFF666E3E}">
          <x14:id>{0D2D2D06-4909-433A-9E42-F94AB174D3D8}</x14:id>
        </ext>
      </extLst>
    </cfRule>
  </conditionalFormatting>
  <conditionalFormatting sqref="AA194">
    <cfRule type="expression" dxfId="4919" priority="37">
      <formula>AND(AND($W194&lt;TODAY(),$W194&lt;&gt;""),$X194="")</formula>
    </cfRule>
  </conditionalFormatting>
  <conditionalFormatting sqref="Q194">
    <cfRule type="cellIs" dxfId="4918" priority="36" operator="equal">
      <formula>"ja"</formula>
    </cfRule>
  </conditionalFormatting>
  <conditionalFormatting sqref="Q194">
    <cfRule type="cellIs" dxfId="4917" priority="35" operator="equal">
      <formula>"ja"</formula>
    </cfRule>
  </conditionalFormatting>
  <conditionalFormatting sqref="Q194">
    <cfRule type="cellIs" dxfId="4916" priority="34" operator="equal">
      <formula>"ja"</formula>
    </cfRule>
  </conditionalFormatting>
  <conditionalFormatting sqref="AG194">
    <cfRule type="dataBar" priority="33">
      <dataBar>
        <cfvo type="min"/>
        <cfvo type="max"/>
        <color rgb="FF63C384"/>
      </dataBar>
      <extLst>
        <ext xmlns:x14="http://schemas.microsoft.com/office/spreadsheetml/2009/9/main" uri="{B025F937-C7B1-47D3-B67F-A62EFF666E3E}">
          <x14:id>{363FCA61-63F3-4E9D-B93C-2397F0B69302}</x14:id>
        </ext>
      </extLst>
    </cfRule>
  </conditionalFormatting>
  <conditionalFormatting sqref="AG194">
    <cfRule type="dataBar" priority="32">
      <dataBar>
        <cfvo type="min"/>
        <cfvo type="max"/>
        <color rgb="FF63C384"/>
      </dataBar>
      <extLst>
        <ext xmlns:x14="http://schemas.microsoft.com/office/spreadsheetml/2009/9/main" uri="{B025F937-C7B1-47D3-B67F-A62EFF666E3E}">
          <x14:id>{49B3CD78-A594-48E8-9FD9-E0BFDC67B57A}</x14:id>
        </ext>
      </extLst>
    </cfRule>
  </conditionalFormatting>
  <conditionalFormatting sqref="Q194">
    <cfRule type="cellIs" dxfId="4915" priority="31" operator="equal">
      <formula>"ja"</formula>
    </cfRule>
  </conditionalFormatting>
  <conditionalFormatting sqref="AG194">
    <cfRule type="dataBar" priority="30">
      <dataBar>
        <cfvo type="min"/>
        <cfvo type="max"/>
        <color rgb="FF63C384"/>
      </dataBar>
      <extLst>
        <ext xmlns:x14="http://schemas.microsoft.com/office/spreadsheetml/2009/9/main" uri="{B025F937-C7B1-47D3-B67F-A62EFF666E3E}">
          <x14:id>{687F67C8-DCB6-40EF-9BD3-346D1B531B9C}</x14:id>
        </ext>
      </extLst>
    </cfRule>
  </conditionalFormatting>
  <conditionalFormatting sqref="AG194">
    <cfRule type="dataBar" priority="29">
      <dataBar>
        <cfvo type="min"/>
        <cfvo type="max"/>
        <color rgb="FF63C384"/>
      </dataBar>
      <extLst>
        <ext xmlns:x14="http://schemas.microsoft.com/office/spreadsheetml/2009/9/main" uri="{B025F937-C7B1-47D3-B67F-A62EFF666E3E}">
          <x14:id>{0DC366F8-713B-4075-A6FF-B1BEC8B0E757}</x14:id>
        </ext>
      </extLst>
    </cfRule>
  </conditionalFormatting>
  <conditionalFormatting sqref="AA195">
    <cfRule type="expression" dxfId="4914" priority="28">
      <formula>AND(AND($W195&lt;TODAY(),$W195&lt;&gt;""),$X195="")</formula>
    </cfRule>
  </conditionalFormatting>
  <conditionalFormatting sqref="AG195">
    <cfRule type="dataBar" priority="27">
      <dataBar>
        <cfvo type="min"/>
        <cfvo type="max"/>
        <color rgb="FF63C384"/>
      </dataBar>
      <extLst>
        <ext xmlns:x14="http://schemas.microsoft.com/office/spreadsheetml/2009/9/main" uri="{B025F937-C7B1-47D3-B67F-A62EFF666E3E}">
          <x14:id>{CD5EF37A-4994-40BC-BE9B-D68A0CAD817C}</x14:id>
        </ext>
      </extLst>
    </cfRule>
  </conditionalFormatting>
  <conditionalFormatting sqref="AG195">
    <cfRule type="dataBar" priority="26">
      <dataBar>
        <cfvo type="min"/>
        <cfvo type="max"/>
        <color rgb="FF63C384"/>
      </dataBar>
      <extLst>
        <ext xmlns:x14="http://schemas.microsoft.com/office/spreadsheetml/2009/9/main" uri="{B025F937-C7B1-47D3-B67F-A62EFF666E3E}">
          <x14:id>{768C9CE7-5BFE-4FA6-BF19-956E0BA96ED4}</x14:id>
        </ext>
      </extLst>
    </cfRule>
  </conditionalFormatting>
  <conditionalFormatting sqref="AG195">
    <cfRule type="dataBar" priority="25">
      <dataBar>
        <cfvo type="min"/>
        <cfvo type="max"/>
        <color rgb="FF63C384"/>
      </dataBar>
      <extLst>
        <ext xmlns:x14="http://schemas.microsoft.com/office/spreadsheetml/2009/9/main" uri="{B025F937-C7B1-47D3-B67F-A62EFF666E3E}">
          <x14:id>{5E9A45C1-CC5C-448F-8FEE-4E88AA487B22}</x14:id>
        </ext>
      </extLst>
    </cfRule>
  </conditionalFormatting>
  <conditionalFormatting sqref="AG195">
    <cfRule type="dataBar" priority="24">
      <dataBar>
        <cfvo type="min"/>
        <cfvo type="max"/>
        <color rgb="FF63C384"/>
      </dataBar>
      <extLst>
        <ext xmlns:x14="http://schemas.microsoft.com/office/spreadsheetml/2009/9/main" uri="{B025F937-C7B1-47D3-B67F-A62EFF666E3E}">
          <x14:id>{203F2E6D-78DB-4F22-8D8E-184A96C050C8}</x14:id>
        </ext>
      </extLst>
    </cfRule>
  </conditionalFormatting>
  <conditionalFormatting sqref="AA196">
    <cfRule type="expression" dxfId="4913" priority="23">
      <formula>AND(AND($W196&lt;TODAY(),$W196&lt;&gt;""),$X196="")</formula>
    </cfRule>
  </conditionalFormatting>
  <conditionalFormatting sqref="AG196">
    <cfRule type="dataBar" priority="22">
      <dataBar>
        <cfvo type="min"/>
        <cfvo type="max"/>
        <color rgb="FF63C384"/>
      </dataBar>
      <extLst>
        <ext xmlns:x14="http://schemas.microsoft.com/office/spreadsheetml/2009/9/main" uri="{B025F937-C7B1-47D3-B67F-A62EFF666E3E}">
          <x14:id>{E10080E0-3121-4236-AB97-B3295A292088}</x14:id>
        </ext>
      </extLst>
    </cfRule>
  </conditionalFormatting>
  <conditionalFormatting sqref="AG196">
    <cfRule type="dataBar" priority="21">
      <dataBar>
        <cfvo type="min"/>
        <cfvo type="max"/>
        <color rgb="FF63C384"/>
      </dataBar>
      <extLst>
        <ext xmlns:x14="http://schemas.microsoft.com/office/spreadsheetml/2009/9/main" uri="{B025F937-C7B1-47D3-B67F-A62EFF666E3E}">
          <x14:id>{51C9034E-816E-4FBD-87F5-3C974081CA70}</x14:id>
        </ext>
      </extLst>
    </cfRule>
  </conditionalFormatting>
  <conditionalFormatting sqref="Q196">
    <cfRule type="cellIs" dxfId="4912" priority="20" operator="equal">
      <formula>"ja"</formula>
    </cfRule>
  </conditionalFormatting>
  <conditionalFormatting sqref="Q196">
    <cfRule type="cellIs" dxfId="4911" priority="19" operator="equal">
      <formula>"ja"</formula>
    </cfRule>
  </conditionalFormatting>
  <conditionalFormatting sqref="AA197">
    <cfRule type="expression" dxfId="4910" priority="17">
      <formula>AND(AND($W197&lt;TODAY(),$W197&lt;&gt;""),$X197="")</formula>
    </cfRule>
  </conditionalFormatting>
  <conditionalFormatting sqref="AG197">
    <cfRule type="dataBar" priority="18">
      <dataBar>
        <cfvo type="min"/>
        <cfvo type="max"/>
        <color rgb="FF63C384"/>
      </dataBar>
      <extLst>
        <ext xmlns:x14="http://schemas.microsoft.com/office/spreadsheetml/2009/9/main" uri="{B025F937-C7B1-47D3-B67F-A62EFF666E3E}">
          <x14:id>{7C947CA0-3193-4A6F-98F8-74E7E0805F1F}</x14:id>
        </ext>
      </extLst>
    </cfRule>
  </conditionalFormatting>
  <conditionalFormatting sqref="AA198">
    <cfRule type="expression" dxfId="4909" priority="16">
      <formula>AND(AND($W198&lt;TODAY(),$W198&lt;&gt;""),$X198="")</formula>
    </cfRule>
  </conditionalFormatting>
  <conditionalFormatting sqref="Q198">
    <cfRule type="cellIs" dxfId="4908" priority="15" operator="equal">
      <formula>"ja"</formula>
    </cfRule>
  </conditionalFormatting>
  <conditionalFormatting sqref="AG198">
    <cfRule type="dataBar" priority="14">
      <dataBar>
        <cfvo type="min"/>
        <cfvo type="max"/>
        <color rgb="FF63C384"/>
      </dataBar>
      <extLst>
        <ext xmlns:x14="http://schemas.microsoft.com/office/spreadsheetml/2009/9/main" uri="{B025F937-C7B1-47D3-B67F-A62EFF666E3E}">
          <x14:id>{D814BAC6-B00E-4467-B878-E67F416188D1}</x14:id>
        </ext>
      </extLst>
    </cfRule>
  </conditionalFormatting>
  <conditionalFormatting sqref="Q198">
    <cfRule type="cellIs" dxfId="4907" priority="13" operator="equal">
      <formula>"ja"</formula>
    </cfRule>
  </conditionalFormatting>
  <conditionalFormatting sqref="Q198">
    <cfRule type="cellIs" dxfId="4906" priority="12" operator="equal">
      <formula>"ja"</formula>
    </cfRule>
  </conditionalFormatting>
  <conditionalFormatting sqref="AA199">
    <cfRule type="expression" dxfId="4905" priority="11">
      <formula>AND(AND($W199&lt;TODAY(),$W199&lt;&gt;""),$X199="")</formula>
    </cfRule>
  </conditionalFormatting>
  <conditionalFormatting sqref="Q199">
    <cfRule type="cellIs" dxfId="4904" priority="10" operator="equal">
      <formula>"ja"</formula>
    </cfRule>
  </conditionalFormatting>
  <conditionalFormatting sqref="Q199">
    <cfRule type="cellIs" dxfId="4903" priority="9" operator="equal">
      <formula>"ja"</formula>
    </cfRule>
  </conditionalFormatting>
  <conditionalFormatting sqref="Q199">
    <cfRule type="cellIs" dxfId="4902" priority="8" operator="equal">
      <formula>"ja"</formula>
    </cfRule>
  </conditionalFormatting>
  <conditionalFormatting sqref="AG199">
    <cfRule type="dataBar" priority="7">
      <dataBar>
        <cfvo type="min"/>
        <cfvo type="max"/>
        <color rgb="FF63C384"/>
      </dataBar>
      <extLst>
        <ext xmlns:x14="http://schemas.microsoft.com/office/spreadsheetml/2009/9/main" uri="{B025F937-C7B1-47D3-B67F-A62EFF666E3E}">
          <x14:id>{399519FD-8EAF-4825-9C9A-494B3D51CE85}</x14:id>
        </ext>
      </extLst>
    </cfRule>
  </conditionalFormatting>
  <conditionalFormatting sqref="AG199">
    <cfRule type="dataBar" priority="6">
      <dataBar>
        <cfvo type="min"/>
        <cfvo type="max"/>
        <color rgb="FF63C384"/>
      </dataBar>
      <extLst>
        <ext xmlns:x14="http://schemas.microsoft.com/office/spreadsheetml/2009/9/main" uri="{B025F937-C7B1-47D3-B67F-A62EFF666E3E}">
          <x14:id>{0F91C3C7-52CA-40E7-81AC-E3620C5771C8}</x14:id>
        </ext>
      </extLst>
    </cfRule>
  </conditionalFormatting>
  <conditionalFormatting sqref="Q199">
    <cfRule type="cellIs" dxfId="4901" priority="5" operator="equal">
      <formula>"ja"</formula>
    </cfRule>
  </conditionalFormatting>
  <conditionalFormatting sqref="AG199">
    <cfRule type="dataBar" priority="4">
      <dataBar>
        <cfvo type="min"/>
        <cfvo type="max"/>
        <color rgb="FF63C384"/>
      </dataBar>
      <extLst>
        <ext xmlns:x14="http://schemas.microsoft.com/office/spreadsheetml/2009/9/main" uri="{B025F937-C7B1-47D3-B67F-A62EFF666E3E}">
          <x14:id>{FE125358-784B-4CCB-B5BE-0FE03337B580}</x14:id>
        </ext>
      </extLst>
    </cfRule>
  </conditionalFormatting>
  <conditionalFormatting sqref="AG199">
    <cfRule type="dataBar" priority="3">
      <dataBar>
        <cfvo type="min"/>
        <cfvo type="max"/>
        <color rgb="FF63C384"/>
      </dataBar>
      <extLst>
        <ext xmlns:x14="http://schemas.microsoft.com/office/spreadsheetml/2009/9/main" uri="{B025F937-C7B1-47D3-B67F-A62EFF666E3E}">
          <x14:id>{39A552F2-E47B-4C05-BC6C-FCF18FD0D5F4}</x14:id>
        </ext>
      </extLst>
    </cfRule>
  </conditionalFormatting>
  <conditionalFormatting sqref="AA200">
    <cfRule type="expression" dxfId="4900" priority="1">
      <formula>AND(AND($W200&lt;TODAY(),$W200&lt;&gt;""),$X200="")</formula>
    </cfRule>
  </conditionalFormatting>
  <conditionalFormatting sqref="AG200">
    <cfRule type="dataBar" priority="2">
      <dataBar>
        <cfvo type="min"/>
        <cfvo type="max"/>
        <color rgb="FF63C384"/>
      </dataBar>
      <extLst>
        <ext xmlns:x14="http://schemas.microsoft.com/office/spreadsheetml/2009/9/main" uri="{B025F937-C7B1-47D3-B67F-A62EFF666E3E}">
          <x14:id>{6EA6EBF9-D79A-4D50-BCFE-5E318186DCF6}</x14:id>
        </ext>
      </extLst>
    </cfRule>
  </conditionalFormatting>
  <dataValidations count="3">
    <dataValidation type="list" allowBlank="1" showInputMessage="1" showErrorMessage="1" sqref="Q6 Q23 Q46:Q47 Q68:Q69 Q74 Q84 Q87 Q96 Q103 Q115 Q121 Q126 Q130 Q133 Q143 Q149 Q157 Q160 Q170 Q176 Q190 Q192 Q194 Q199" xr:uid="{E314174E-1EAD-46D1-A088-149BD444659A}">
      <formula1>"Weiterverkauf,"</formula1>
    </dataValidation>
    <dataValidation type="list" allowBlank="1" showInputMessage="1" showErrorMessage="1" sqref="K201 K207 K203:K205 K17:K18 K11:K13 K31:K32 K35 K49:K51 K47 K55 K58 K61 K66 K68 K72 K74:K75 K121:K123 K126 K85 K87:K88 K90 K103 K106:K107 K138 K133:K135 K141 K148:K150 K160:K161 K164 K176:K178 K182 K190 K194:K195 K198:K199" xr:uid="{C2F56ADD-E7AA-4597-A3A7-2B5F5F7EEB8A}">
      <formula1>"Einnahmen,Ausgaben"</formula1>
    </dataValidation>
    <dataValidation type="list" allowBlank="1" showInputMessage="1" showErrorMessage="1" sqref="L2:L209" xr:uid="{2425B1F1-CA7D-4CF7-AF1C-DD995A428976}">
      <formula1>Spesenart</formula1>
    </dataValidation>
  </dataValidations>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FE9F390D-20C8-401E-9083-F80FAF5D196A}">
            <x14:dataBar minLength="0" maxLength="100" border="1" negativeBarBorderColorSameAsPositive="0">
              <x14:cfvo type="autoMin"/>
              <x14:cfvo type="autoMax"/>
              <x14:borderColor rgb="FF63C384"/>
              <x14:negativeFillColor rgb="FFFF0000"/>
              <x14:negativeBorderColor rgb="FFFF0000"/>
              <x14:axisColor rgb="FF000000"/>
            </x14:dataBar>
          </x14:cfRule>
          <xm:sqref>AG201</xm:sqref>
        </x14:conditionalFormatting>
        <x14:conditionalFormatting xmlns:xm="http://schemas.microsoft.com/office/excel/2006/main">
          <x14:cfRule type="dataBar" id="{F559F1ED-849B-4F90-933D-9E40D8A1D26E}">
            <x14:dataBar minLength="0" maxLength="100" border="1" negativeBarBorderColorSameAsPositive="0">
              <x14:cfvo type="autoMin"/>
              <x14:cfvo type="autoMax"/>
              <x14:borderColor rgb="FF63C384"/>
              <x14:negativeFillColor rgb="FFFF0000"/>
              <x14:negativeBorderColor rgb="FFFF0000"/>
              <x14:axisColor rgb="FF000000"/>
            </x14:dataBar>
          </x14:cfRule>
          <xm:sqref>AG201</xm:sqref>
        </x14:conditionalFormatting>
        <x14:conditionalFormatting xmlns:xm="http://schemas.microsoft.com/office/excel/2006/main">
          <x14:cfRule type="dataBar" id="{9D0AF026-7FC6-423B-AA76-3966EB4B73DD}">
            <x14:dataBar minLength="0" maxLength="100" border="1" negativeBarBorderColorSameAsPositive="0">
              <x14:cfvo type="autoMin"/>
              <x14:cfvo type="autoMax"/>
              <x14:borderColor rgb="FF63C384"/>
              <x14:negativeFillColor rgb="FFFF0000"/>
              <x14:negativeBorderColor rgb="FFFF0000"/>
              <x14:axisColor rgb="FF000000"/>
            </x14:dataBar>
          </x14:cfRule>
          <xm:sqref>AG201</xm:sqref>
        </x14:conditionalFormatting>
        <x14:conditionalFormatting xmlns:xm="http://schemas.microsoft.com/office/excel/2006/main">
          <x14:cfRule type="dataBar" id="{9ECBFC44-67C1-4884-A3B8-00A745BF2DB3}">
            <x14:dataBar minLength="0" maxLength="100" border="1" negativeBarBorderColorSameAsPositive="0">
              <x14:cfvo type="autoMin"/>
              <x14:cfvo type="autoMax"/>
              <x14:borderColor rgb="FF63C384"/>
              <x14:negativeFillColor rgb="FFFF0000"/>
              <x14:negativeBorderColor rgb="FFFF0000"/>
              <x14:axisColor rgb="FF000000"/>
            </x14:dataBar>
          </x14:cfRule>
          <xm:sqref>AG201</xm:sqref>
        </x14:conditionalFormatting>
        <x14:conditionalFormatting xmlns:xm="http://schemas.microsoft.com/office/excel/2006/main">
          <x14:cfRule type="dataBar" id="{8ABD0928-DC0D-4658-A672-86A1B2347315}">
            <x14:dataBar minLength="0" maxLength="100" border="1" negativeBarBorderColorSameAsPositive="0">
              <x14:cfvo type="autoMin"/>
              <x14:cfvo type="autoMax"/>
              <x14:borderColor rgb="FF63C384"/>
              <x14:negativeFillColor rgb="FFFF0000"/>
              <x14:negativeBorderColor rgb="FFFF0000"/>
              <x14:axisColor rgb="FF000000"/>
            </x14:dataBar>
          </x14:cfRule>
          <xm:sqref>AG202</xm:sqref>
        </x14:conditionalFormatting>
        <x14:conditionalFormatting xmlns:xm="http://schemas.microsoft.com/office/excel/2006/main">
          <x14:cfRule type="dataBar" id="{05A390CF-9637-4BFA-9E9A-26D5C7007EE8}">
            <x14:dataBar minLength="0" maxLength="100" border="1" negativeBarBorderColorSameAsPositive="0">
              <x14:cfvo type="autoMin"/>
              <x14:cfvo type="autoMax"/>
              <x14:borderColor rgb="FF63C384"/>
              <x14:negativeFillColor rgb="FFFF0000"/>
              <x14:negativeBorderColor rgb="FFFF0000"/>
              <x14:axisColor rgb="FF000000"/>
            </x14:dataBar>
          </x14:cfRule>
          <xm:sqref>AG202</xm:sqref>
        </x14:conditionalFormatting>
        <x14:conditionalFormatting xmlns:xm="http://schemas.microsoft.com/office/excel/2006/main">
          <x14:cfRule type="dataBar" id="{B0DD2C60-6456-451E-ACB5-E7C137BB3017}">
            <x14:dataBar minLength="0" maxLength="100" border="1" negativeBarBorderColorSameAsPositive="0">
              <x14:cfvo type="autoMin"/>
              <x14:cfvo type="autoMax"/>
              <x14:borderColor rgb="FF63C384"/>
              <x14:negativeFillColor rgb="FFFF0000"/>
              <x14:negativeBorderColor rgb="FFFF0000"/>
              <x14:axisColor rgb="FF000000"/>
            </x14:dataBar>
          </x14:cfRule>
          <xm:sqref>AG203</xm:sqref>
        </x14:conditionalFormatting>
        <x14:conditionalFormatting xmlns:xm="http://schemas.microsoft.com/office/excel/2006/main">
          <x14:cfRule type="dataBar" id="{EBA82B4E-4294-4DFD-8EAB-4809434B1053}">
            <x14:dataBar minLength="0" maxLength="100" border="1" negativeBarBorderColorSameAsPositive="0">
              <x14:cfvo type="autoMin"/>
              <x14:cfvo type="autoMax"/>
              <x14:borderColor rgb="FF63C384"/>
              <x14:negativeFillColor rgb="FFFF0000"/>
              <x14:negativeBorderColor rgb="FFFF0000"/>
              <x14:axisColor rgb="FF000000"/>
            </x14:dataBar>
          </x14:cfRule>
          <xm:sqref>AG203</xm:sqref>
        </x14:conditionalFormatting>
        <x14:conditionalFormatting xmlns:xm="http://schemas.microsoft.com/office/excel/2006/main">
          <x14:cfRule type="dataBar" id="{238A8147-2F3C-4092-9EF2-230790281152}">
            <x14:dataBar minLength="0" maxLength="100" border="1" negativeBarBorderColorSameAsPositive="0">
              <x14:cfvo type="autoMin"/>
              <x14:cfvo type="autoMax"/>
              <x14:borderColor rgb="FF63C384"/>
              <x14:negativeFillColor rgb="FFFF0000"/>
              <x14:negativeBorderColor rgb="FFFF0000"/>
              <x14:axisColor rgb="FF000000"/>
            </x14:dataBar>
          </x14:cfRule>
          <xm:sqref>AG204:AG208</xm:sqref>
        </x14:conditionalFormatting>
        <x14:conditionalFormatting xmlns:xm="http://schemas.microsoft.com/office/excel/2006/main">
          <x14:cfRule type="dataBar" id="{14BB634C-953E-4135-AA89-CFA619ABECD3}">
            <x14:dataBar minLength="0" maxLength="100" border="1" negativeBarBorderColorSameAsPositive="0">
              <x14:cfvo type="autoMin"/>
              <x14:cfvo type="autoMax"/>
              <x14:borderColor rgb="FF63C384"/>
              <x14:negativeFillColor rgb="FFFF0000"/>
              <x14:negativeBorderColor rgb="FFFF0000"/>
              <x14:axisColor rgb="FF000000"/>
            </x14:dataBar>
          </x14:cfRule>
          <xm:sqref>AG204:AG208</xm:sqref>
        </x14:conditionalFormatting>
        <x14:conditionalFormatting xmlns:xm="http://schemas.microsoft.com/office/excel/2006/main">
          <x14:cfRule type="dataBar" id="{88A03F60-CBF0-4D78-BBC3-1FAE4E5CFED9}">
            <x14:dataBar minLength="0" maxLength="100" border="1" negativeBarBorderColorSameAsPositive="0">
              <x14:cfvo type="autoMin"/>
              <x14:cfvo type="autoMax"/>
              <x14:borderColor rgb="FF63C384"/>
              <x14:negativeFillColor rgb="FFFF0000"/>
              <x14:negativeBorderColor rgb="FFFF0000"/>
              <x14:axisColor rgb="FF000000"/>
            </x14:dataBar>
          </x14:cfRule>
          <xm:sqref>AG209</xm:sqref>
        </x14:conditionalFormatting>
        <x14:conditionalFormatting xmlns:xm="http://schemas.microsoft.com/office/excel/2006/main">
          <x14:cfRule type="dataBar" id="{B4C8D4E2-1D46-43F5-84FD-AB8A555DA4C0}">
            <x14:dataBar minLength="0" maxLength="100" border="1" negativeBarBorderColorSameAsPositive="0">
              <x14:cfvo type="autoMin"/>
              <x14:cfvo type="autoMax"/>
              <x14:borderColor rgb="FF63C384"/>
              <x14:negativeFillColor rgb="FFFF0000"/>
              <x14:negativeBorderColor rgb="FFFF0000"/>
              <x14:axisColor rgb="FF000000"/>
            </x14:dataBar>
          </x14:cfRule>
          <xm:sqref>AG209</xm:sqref>
        </x14:conditionalFormatting>
        <x14:conditionalFormatting xmlns:xm="http://schemas.microsoft.com/office/excel/2006/main">
          <x14:cfRule type="dataBar" id="{6EC11DDB-06B1-4DBE-BDA5-085BDA220856}">
            <x14:dataBar minLength="0" maxLength="100" border="1" negativeBarBorderColorSameAsPositive="0">
              <x14:cfvo type="autoMin"/>
              <x14:cfvo type="autoMax"/>
              <x14:borderColor rgb="FF63C384"/>
              <x14:negativeFillColor rgb="FFFF0000"/>
              <x14:negativeBorderColor rgb="FFFF0000"/>
              <x14:axisColor rgb="FF000000"/>
            </x14:dataBar>
          </x14:cfRule>
          <xm:sqref>AG209</xm:sqref>
        </x14:conditionalFormatting>
        <x14:conditionalFormatting xmlns:xm="http://schemas.microsoft.com/office/excel/2006/main">
          <x14:cfRule type="dataBar" id="{24695DEF-C8C1-4041-8D3A-8A1D9133BE5F}">
            <x14:dataBar minLength="0" maxLength="100" border="1" negativeBarBorderColorSameAsPositive="0">
              <x14:cfvo type="autoMin"/>
              <x14:cfvo type="autoMax"/>
              <x14:borderColor rgb="FF63C384"/>
              <x14:negativeFillColor rgb="FFFF0000"/>
              <x14:negativeBorderColor rgb="FFFF0000"/>
              <x14:axisColor rgb="FF000000"/>
            </x14:dataBar>
          </x14:cfRule>
          <xm:sqref>AG209</xm:sqref>
        </x14:conditionalFormatting>
        <x14:conditionalFormatting xmlns:xm="http://schemas.microsoft.com/office/excel/2006/main">
          <x14:cfRule type="dataBar" id="{5BC113D2-5AF3-4017-9D4D-CE33B2F20C30}">
            <x14:dataBar minLength="0" maxLength="100" border="1" negativeBarBorderColorSameAsPositive="0">
              <x14:cfvo type="autoMin"/>
              <x14:cfvo type="autoMax"/>
              <x14:borderColor rgb="FF63C384"/>
              <x14:negativeFillColor rgb="FFFF0000"/>
              <x14:negativeBorderColor rgb="FFFF0000"/>
              <x14:axisColor rgb="FF000000"/>
            </x14:dataBar>
          </x14:cfRule>
          <xm:sqref>AG126 AG138 AG55 AG17 AG59 AG141 AG171 AG182 AG190:AG191</xm:sqref>
        </x14:conditionalFormatting>
        <x14:conditionalFormatting xmlns:xm="http://schemas.microsoft.com/office/excel/2006/main">
          <x14:cfRule type="dataBar" id="{CAE03208-14A7-4D61-B647-D491437B1206}">
            <x14:dataBar minLength="0" maxLength="100" border="1" negativeBarBorderColorSameAsPositive="0">
              <x14:cfvo type="autoMin"/>
              <x14:cfvo type="autoMax"/>
              <x14:borderColor rgb="FF63C384"/>
              <x14:negativeFillColor rgb="FFFF0000"/>
              <x14:negativeBorderColor rgb="FFFF0000"/>
              <x14:axisColor rgb="FF000000"/>
            </x14:dataBar>
          </x14:cfRule>
          <xm:sqref>AG126 AG138 AG55 AG17 AG59 AG141 AG171 AG182 AG190:AG191</xm:sqref>
        </x14:conditionalFormatting>
        <x14:conditionalFormatting xmlns:xm="http://schemas.microsoft.com/office/excel/2006/main">
          <x14:cfRule type="dataBar" id="{D4D046B2-5706-49E4-B2FD-F99D6D23AD2F}">
            <x14:dataBar minLength="0" maxLength="100" border="1" negativeBarBorderColorSameAsPositive="0">
              <x14:cfvo type="autoMin"/>
              <x14:cfvo type="autoMax"/>
              <x14:borderColor rgb="FF63C384"/>
              <x14:negativeFillColor rgb="FFFF0000"/>
              <x14:negativeBorderColor rgb="FFFF0000"/>
              <x14:axisColor rgb="FF000000"/>
            </x14:dataBar>
          </x14:cfRule>
          <xm:sqref>AG2</xm:sqref>
        </x14:conditionalFormatting>
        <x14:conditionalFormatting xmlns:xm="http://schemas.microsoft.com/office/excel/2006/main">
          <x14:cfRule type="dataBar" id="{FB00BEE4-1021-45FE-B679-68C9016248C7}">
            <x14:dataBar minLength="0" maxLength="100" border="1" negativeBarBorderColorSameAsPositive="0">
              <x14:cfvo type="autoMin"/>
              <x14:cfvo type="autoMax"/>
              <x14:borderColor rgb="FF63C384"/>
              <x14:negativeFillColor rgb="FFFF0000"/>
              <x14:negativeBorderColor rgb="FFFF0000"/>
              <x14:axisColor rgb="FF000000"/>
            </x14:dataBar>
          </x14:cfRule>
          <xm:sqref>AG2</xm:sqref>
        </x14:conditionalFormatting>
        <x14:conditionalFormatting xmlns:xm="http://schemas.microsoft.com/office/excel/2006/main">
          <x14:cfRule type="dataBar" id="{70C095F3-8315-4D98-8507-6AE616C2CFEB}">
            <x14:dataBar minLength="0" maxLength="100" border="1" negativeBarBorderColorSameAsPositive="0">
              <x14:cfvo type="autoMin"/>
              <x14:cfvo type="autoMax"/>
              <x14:borderColor rgb="FF63C384"/>
              <x14:negativeFillColor rgb="FFFF0000"/>
              <x14:negativeBorderColor rgb="FFFF0000"/>
              <x14:axisColor rgb="FF000000"/>
            </x14:dataBar>
          </x14:cfRule>
          <xm:sqref>AG2</xm:sqref>
        </x14:conditionalFormatting>
        <x14:conditionalFormatting xmlns:xm="http://schemas.microsoft.com/office/excel/2006/main">
          <x14:cfRule type="dataBar" id="{592FF216-17B2-4F73-9CC2-B4066FCF971D}">
            <x14:dataBar minLength="0" maxLength="100" border="1" negativeBarBorderColorSameAsPositive="0">
              <x14:cfvo type="autoMin"/>
              <x14:cfvo type="autoMax"/>
              <x14:borderColor rgb="FF63C384"/>
              <x14:negativeFillColor rgb="FFFF0000"/>
              <x14:negativeBorderColor rgb="FFFF0000"/>
              <x14:axisColor rgb="FF000000"/>
            </x14:dataBar>
          </x14:cfRule>
          <xm:sqref>AG2</xm:sqref>
        </x14:conditionalFormatting>
        <x14:conditionalFormatting xmlns:xm="http://schemas.microsoft.com/office/excel/2006/main">
          <x14:cfRule type="dataBar" id="{2A284FCA-8F8B-4BAD-BFFB-3AB6684A6060}">
            <x14:dataBar minLength="0" maxLength="100" border="1" negativeBarBorderColorSameAsPositive="0">
              <x14:cfvo type="autoMin"/>
              <x14:cfvo type="autoMax"/>
              <x14:borderColor rgb="FF63C384"/>
              <x14:negativeFillColor rgb="FFFF0000"/>
              <x14:negativeBorderColor rgb="FFFF0000"/>
              <x14:axisColor rgb="FF000000"/>
            </x14:dataBar>
          </x14:cfRule>
          <xm:sqref>AG3</xm:sqref>
        </x14:conditionalFormatting>
        <x14:conditionalFormatting xmlns:xm="http://schemas.microsoft.com/office/excel/2006/main">
          <x14:cfRule type="dataBar" id="{1500B1D6-8D4A-404B-B699-B32094C4C6B2}">
            <x14:dataBar minLength="0" maxLength="100" border="1" negativeBarBorderColorSameAsPositive="0">
              <x14:cfvo type="autoMin"/>
              <x14:cfvo type="autoMax"/>
              <x14:borderColor rgb="FF63C384"/>
              <x14:negativeFillColor rgb="FFFF0000"/>
              <x14:negativeBorderColor rgb="FFFF0000"/>
              <x14:axisColor rgb="FF000000"/>
            </x14:dataBar>
          </x14:cfRule>
          <xm:sqref>AG3</xm:sqref>
        </x14:conditionalFormatting>
        <x14:conditionalFormatting xmlns:xm="http://schemas.microsoft.com/office/excel/2006/main">
          <x14:cfRule type="dataBar" id="{CA2FEF34-A099-478F-B99C-D4873FAE08B6}">
            <x14:dataBar minLength="0" maxLength="100" border="1" negativeBarBorderColorSameAsPositive="0">
              <x14:cfvo type="autoMin"/>
              <x14:cfvo type="autoMax"/>
              <x14:borderColor rgb="FF63C384"/>
              <x14:negativeFillColor rgb="FFFF0000"/>
              <x14:negativeBorderColor rgb="FFFF0000"/>
              <x14:axisColor rgb="FF000000"/>
            </x14:dataBar>
          </x14:cfRule>
          <xm:sqref>AG4</xm:sqref>
        </x14:conditionalFormatting>
        <x14:conditionalFormatting xmlns:xm="http://schemas.microsoft.com/office/excel/2006/main">
          <x14:cfRule type="dataBar" id="{EAD390D5-26E3-4F98-8F87-F04A38E5B0E7}">
            <x14:dataBar minLength="0" maxLength="100" border="1" negativeBarBorderColorSameAsPositive="0">
              <x14:cfvo type="autoMin"/>
              <x14:cfvo type="autoMax"/>
              <x14:borderColor rgb="FF63C384"/>
              <x14:negativeFillColor rgb="FFFF0000"/>
              <x14:negativeBorderColor rgb="FFFF0000"/>
              <x14:axisColor rgb="FF000000"/>
            </x14:dataBar>
          </x14:cfRule>
          <xm:sqref>AG4</xm:sqref>
        </x14:conditionalFormatting>
        <x14:conditionalFormatting xmlns:xm="http://schemas.microsoft.com/office/excel/2006/main">
          <x14:cfRule type="dataBar" id="{F15BBCA2-D103-423B-8FDF-48CE7EF26E23}">
            <x14:dataBar minLength="0" maxLength="100" border="1" negativeBarBorderColorSameAsPositive="0">
              <x14:cfvo type="autoMin"/>
              <x14:cfvo type="autoMax"/>
              <x14:borderColor rgb="FF63C384"/>
              <x14:negativeFillColor rgb="FFFF0000"/>
              <x14:negativeBorderColor rgb="FFFF0000"/>
              <x14:axisColor rgb="FF000000"/>
            </x14:dataBar>
          </x14:cfRule>
          <xm:sqref>AG5</xm:sqref>
        </x14:conditionalFormatting>
        <x14:conditionalFormatting xmlns:xm="http://schemas.microsoft.com/office/excel/2006/main">
          <x14:cfRule type="dataBar" id="{DA6BFA95-E7C0-492F-BEFB-A006156DD6E5}">
            <x14:dataBar minLength="0" maxLength="100" border="1" negativeBarBorderColorSameAsPositive="0">
              <x14:cfvo type="autoMin"/>
              <x14:cfvo type="autoMax"/>
              <x14:borderColor rgb="FF63C384"/>
              <x14:negativeFillColor rgb="FFFF0000"/>
              <x14:negativeBorderColor rgb="FFFF0000"/>
              <x14:axisColor rgb="FF000000"/>
            </x14:dataBar>
          </x14:cfRule>
          <xm:sqref>AG5</xm:sqref>
        </x14:conditionalFormatting>
        <x14:conditionalFormatting xmlns:xm="http://schemas.microsoft.com/office/excel/2006/main">
          <x14:cfRule type="dataBar" id="{3957B211-8E3D-45A8-BF7E-7BECD44F502A}">
            <x14:dataBar minLength="0" maxLength="100" border="1" negativeBarBorderColorSameAsPositive="0">
              <x14:cfvo type="autoMin"/>
              <x14:cfvo type="autoMax"/>
              <x14:borderColor rgb="FF63C384"/>
              <x14:negativeFillColor rgb="FFFF0000"/>
              <x14:negativeBorderColor rgb="FFFF0000"/>
              <x14:axisColor rgb="FF000000"/>
            </x14:dataBar>
          </x14:cfRule>
          <xm:sqref>AG6</xm:sqref>
        </x14:conditionalFormatting>
        <x14:conditionalFormatting xmlns:xm="http://schemas.microsoft.com/office/excel/2006/main">
          <x14:cfRule type="dataBar" id="{06464A34-0226-4E67-A9B5-635CD318C42C}">
            <x14:dataBar minLength="0" maxLength="100" border="1" negativeBarBorderColorSameAsPositive="0">
              <x14:cfvo type="autoMin"/>
              <x14:cfvo type="autoMax"/>
              <x14:borderColor rgb="FF63C384"/>
              <x14:negativeFillColor rgb="FFFF0000"/>
              <x14:negativeBorderColor rgb="FFFF0000"/>
              <x14:axisColor rgb="FF000000"/>
            </x14:dataBar>
          </x14:cfRule>
          <xm:sqref>AG6</xm:sqref>
        </x14:conditionalFormatting>
        <x14:conditionalFormatting xmlns:xm="http://schemas.microsoft.com/office/excel/2006/main">
          <x14:cfRule type="dataBar" id="{D2359C07-C223-4EDE-92BF-8E1654D29453}">
            <x14:dataBar minLength="0" maxLength="100" border="1" negativeBarBorderColorSameAsPositive="0">
              <x14:cfvo type="autoMin"/>
              <x14:cfvo type="autoMax"/>
              <x14:borderColor rgb="FF63C384"/>
              <x14:negativeFillColor rgb="FFFF0000"/>
              <x14:negativeBorderColor rgb="FFFF0000"/>
              <x14:axisColor rgb="FF000000"/>
            </x14:dataBar>
          </x14:cfRule>
          <xm:sqref>AG6</xm:sqref>
        </x14:conditionalFormatting>
        <x14:conditionalFormatting xmlns:xm="http://schemas.microsoft.com/office/excel/2006/main">
          <x14:cfRule type="dataBar" id="{6E8C686E-99AC-474F-A9B2-36FAA9DA9A2E}">
            <x14:dataBar minLength="0" maxLength="100" border="1" negativeBarBorderColorSameAsPositive="0">
              <x14:cfvo type="autoMin"/>
              <x14:cfvo type="autoMax"/>
              <x14:borderColor rgb="FF63C384"/>
              <x14:negativeFillColor rgb="FFFF0000"/>
              <x14:negativeBorderColor rgb="FFFF0000"/>
              <x14:axisColor rgb="FF000000"/>
            </x14:dataBar>
          </x14:cfRule>
          <xm:sqref>AG6</xm:sqref>
        </x14:conditionalFormatting>
        <x14:conditionalFormatting xmlns:xm="http://schemas.microsoft.com/office/excel/2006/main">
          <x14:cfRule type="dataBar" id="{01EAB9B0-F937-452C-8603-8C072769E0A2}">
            <x14:dataBar minLength="0" maxLength="100" border="1" negativeBarBorderColorSameAsPositive="0">
              <x14:cfvo type="autoMin"/>
              <x14:cfvo type="autoMax"/>
              <x14:borderColor rgb="FF63C384"/>
              <x14:negativeFillColor rgb="FFFF0000"/>
              <x14:negativeBorderColor rgb="FFFF0000"/>
              <x14:axisColor rgb="FF000000"/>
            </x14:dataBar>
          </x14:cfRule>
          <xm:sqref>AG7</xm:sqref>
        </x14:conditionalFormatting>
        <x14:conditionalFormatting xmlns:xm="http://schemas.microsoft.com/office/excel/2006/main">
          <x14:cfRule type="dataBar" id="{260C35E4-638C-48D3-95BB-8F8EF841458C}">
            <x14:dataBar minLength="0" maxLength="100" border="1" negativeBarBorderColorSameAsPositive="0">
              <x14:cfvo type="autoMin"/>
              <x14:cfvo type="autoMax"/>
              <x14:borderColor rgb="FF63C384"/>
              <x14:negativeFillColor rgb="FFFF0000"/>
              <x14:negativeBorderColor rgb="FFFF0000"/>
              <x14:axisColor rgb="FF000000"/>
            </x14:dataBar>
          </x14:cfRule>
          <xm:sqref>AG7</xm:sqref>
        </x14:conditionalFormatting>
        <x14:conditionalFormatting xmlns:xm="http://schemas.microsoft.com/office/excel/2006/main">
          <x14:cfRule type="dataBar" id="{0E6E5B74-B373-4106-98AB-2B278BC23B19}">
            <x14:dataBar minLength="0" maxLength="100" border="1" negativeBarBorderColorSameAsPositive="0">
              <x14:cfvo type="autoMin"/>
              <x14:cfvo type="autoMax"/>
              <x14:borderColor rgb="FF63C384"/>
              <x14:negativeFillColor rgb="FFFF0000"/>
              <x14:negativeBorderColor rgb="FFFF0000"/>
              <x14:axisColor rgb="FF000000"/>
            </x14:dataBar>
          </x14:cfRule>
          <xm:sqref>AG7</xm:sqref>
        </x14:conditionalFormatting>
        <x14:conditionalFormatting xmlns:xm="http://schemas.microsoft.com/office/excel/2006/main">
          <x14:cfRule type="dataBar" id="{996C332B-F566-4262-A2EF-F605E8DD1F2A}">
            <x14:dataBar minLength="0" maxLength="100" border="1" negativeBarBorderColorSameAsPositive="0">
              <x14:cfvo type="autoMin"/>
              <x14:cfvo type="autoMax"/>
              <x14:borderColor rgb="FF63C384"/>
              <x14:negativeFillColor rgb="FFFF0000"/>
              <x14:negativeBorderColor rgb="FFFF0000"/>
              <x14:axisColor rgb="FF000000"/>
            </x14:dataBar>
          </x14:cfRule>
          <xm:sqref>AG7</xm:sqref>
        </x14:conditionalFormatting>
        <x14:conditionalFormatting xmlns:xm="http://schemas.microsoft.com/office/excel/2006/main">
          <x14:cfRule type="dataBar" id="{98F877F4-7A34-4967-82DE-13D524B003BC}">
            <x14:dataBar minLength="0" maxLength="100" border="1" negativeBarBorderColorSameAsPositive="0">
              <x14:cfvo type="autoMin"/>
              <x14:cfvo type="autoMax"/>
              <x14:borderColor rgb="FF63C384"/>
              <x14:negativeFillColor rgb="FFFF0000"/>
              <x14:negativeBorderColor rgb="FFFF0000"/>
              <x14:axisColor rgb="FF000000"/>
            </x14:dataBar>
          </x14:cfRule>
          <xm:sqref>AG7</xm:sqref>
        </x14:conditionalFormatting>
        <x14:conditionalFormatting xmlns:xm="http://schemas.microsoft.com/office/excel/2006/main">
          <x14:cfRule type="dataBar" id="{05008642-C380-4810-BB3C-A27E1E69576A}">
            <x14:dataBar minLength="0" maxLength="100" border="1" negativeBarBorderColorSameAsPositive="0">
              <x14:cfvo type="autoMin"/>
              <x14:cfvo type="autoMax"/>
              <x14:borderColor rgb="FF63C384"/>
              <x14:negativeFillColor rgb="FFFF0000"/>
              <x14:negativeBorderColor rgb="FFFF0000"/>
              <x14:axisColor rgb="FF000000"/>
            </x14:dataBar>
          </x14:cfRule>
          <xm:sqref>AG7</xm:sqref>
        </x14:conditionalFormatting>
        <x14:conditionalFormatting xmlns:xm="http://schemas.microsoft.com/office/excel/2006/main">
          <x14:cfRule type="dataBar" id="{8019697A-BE02-4238-954D-D7642C73FFAE}">
            <x14:dataBar minLength="0" maxLength="100" border="1" negativeBarBorderColorSameAsPositive="0">
              <x14:cfvo type="autoMin"/>
              <x14:cfvo type="autoMax"/>
              <x14:borderColor rgb="FF63C384"/>
              <x14:negativeFillColor rgb="FFFF0000"/>
              <x14:negativeBorderColor rgb="FFFF0000"/>
              <x14:axisColor rgb="FF000000"/>
            </x14:dataBar>
          </x14:cfRule>
          <xm:sqref>AG7</xm:sqref>
        </x14:conditionalFormatting>
        <x14:conditionalFormatting xmlns:xm="http://schemas.microsoft.com/office/excel/2006/main">
          <x14:cfRule type="dataBar" id="{5BE627BD-B7AF-42AE-BB83-30F51CC38DE8}">
            <x14:dataBar minLength="0" maxLength="100" border="1" negativeBarBorderColorSameAsPositive="0">
              <x14:cfvo type="autoMin"/>
              <x14:cfvo type="autoMax"/>
              <x14:borderColor rgb="FF63C384"/>
              <x14:negativeFillColor rgb="FFFF0000"/>
              <x14:negativeBorderColor rgb="FFFF0000"/>
              <x14:axisColor rgb="FF000000"/>
            </x14:dataBar>
          </x14:cfRule>
          <xm:sqref>AG7</xm:sqref>
        </x14:conditionalFormatting>
        <x14:conditionalFormatting xmlns:xm="http://schemas.microsoft.com/office/excel/2006/main">
          <x14:cfRule type="dataBar" id="{A84108C4-AC76-468F-9623-42480CEDFC0D}">
            <x14:dataBar minLength="0" maxLength="100" border="1" negativeBarBorderColorSameAsPositive="0">
              <x14:cfvo type="autoMin"/>
              <x14:cfvo type="autoMax"/>
              <x14:borderColor rgb="FF63C384"/>
              <x14:negativeFillColor rgb="FFFF0000"/>
              <x14:negativeBorderColor rgb="FFFF0000"/>
              <x14:axisColor rgb="FF000000"/>
            </x14:dataBar>
          </x14:cfRule>
          <xm:sqref>AG8</xm:sqref>
        </x14:conditionalFormatting>
        <x14:conditionalFormatting xmlns:xm="http://schemas.microsoft.com/office/excel/2006/main">
          <x14:cfRule type="dataBar" id="{DDF0F6F3-D33A-479A-811A-F5A896B3BE18}">
            <x14:dataBar minLength="0" maxLength="100" border="1" negativeBarBorderColorSameAsPositive="0">
              <x14:cfvo type="autoMin"/>
              <x14:cfvo type="autoMax"/>
              <x14:borderColor rgb="FF63C384"/>
              <x14:negativeFillColor rgb="FFFF0000"/>
              <x14:negativeBorderColor rgb="FFFF0000"/>
              <x14:axisColor rgb="FF000000"/>
            </x14:dataBar>
          </x14:cfRule>
          <xm:sqref>AG8</xm:sqref>
        </x14:conditionalFormatting>
        <x14:conditionalFormatting xmlns:xm="http://schemas.microsoft.com/office/excel/2006/main">
          <x14:cfRule type="dataBar" id="{A401FED5-CA0B-4F7B-A3E6-2AC664D9C0D8}">
            <x14:dataBar minLength="0" maxLength="100" border="1" negativeBarBorderColorSameAsPositive="0">
              <x14:cfvo type="autoMin"/>
              <x14:cfvo type="autoMax"/>
              <x14:borderColor rgb="FF63C384"/>
              <x14:negativeFillColor rgb="FFFF0000"/>
              <x14:negativeBorderColor rgb="FFFF0000"/>
              <x14:axisColor rgb="FF000000"/>
            </x14:dataBar>
          </x14:cfRule>
          <xm:sqref>AG8</xm:sqref>
        </x14:conditionalFormatting>
        <x14:conditionalFormatting xmlns:xm="http://schemas.microsoft.com/office/excel/2006/main">
          <x14:cfRule type="dataBar" id="{597BF309-3D36-467C-8E4E-A3EC90AA56C5}">
            <x14:dataBar minLength="0" maxLength="100" border="1" negativeBarBorderColorSameAsPositive="0">
              <x14:cfvo type="autoMin"/>
              <x14:cfvo type="autoMax"/>
              <x14:borderColor rgb="FF63C384"/>
              <x14:negativeFillColor rgb="FFFF0000"/>
              <x14:negativeBorderColor rgb="FFFF0000"/>
              <x14:axisColor rgb="FF000000"/>
            </x14:dataBar>
          </x14:cfRule>
          <xm:sqref>AG8</xm:sqref>
        </x14:conditionalFormatting>
        <x14:conditionalFormatting xmlns:xm="http://schemas.microsoft.com/office/excel/2006/main">
          <x14:cfRule type="dataBar" id="{B3521D9F-6C80-4B7F-A857-A19E8D91EECC}">
            <x14:dataBar minLength="0" maxLength="100" border="1" negativeBarBorderColorSameAsPositive="0">
              <x14:cfvo type="autoMin"/>
              <x14:cfvo type="autoMax"/>
              <x14:borderColor rgb="FF63C384"/>
              <x14:negativeFillColor rgb="FFFF0000"/>
              <x14:negativeBorderColor rgb="FFFF0000"/>
              <x14:axisColor rgb="FF000000"/>
            </x14:dataBar>
          </x14:cfRule>
          <xm:sqref>AG9</xm:sqref>
        </x14:conditionalFormatting>
        <x14:conditionalFormatting xmlns:xm="http://schemas.microsoft.com/office/excel/2006/main">
          <x14:cfRule type="dataBar" id="{C001018C-B82F-47AF-9A62-D1DF2568B477}">
            <x14:dataBar minLength="0" maxLength="100" border="1" negativeBarBorderColorSameAsPositive="0">
              <x14:cfvo type="autoMin"/>
              <x14:cfvo type="autoMax"/>
              <x14:borderColor rgb="FF63C384"/>
              <x14:negativeFillColor rgb="FFFF0000"/>
              <x14:negativeBorderColor rgb="FFFF0000"/>
              <x14:axisColor rgb="FF000000"/>
            </x14:dataBar>
          </x14:cfRule>
          <xm:sqref>AG9</xm:sqref>
        </x14:conditionalFormatting>
        <x14:conditionalFormatting xmlns:xm="http://schemas.microsoft.com/office/excel/2006/main">
          <x14:cfRule type="dataBar" id="{5E4A763E-C6F8-4341-849A-19B0456614CE}">
            <x14:dataBar minLength="0" maxLength="100" border="1" negativeBarBorderColorSameAsPositive="0">
              <x14:cfvo type="autoMin"/>
              <x14:cfvo type="autoMax"/>
              <x14:borderColor rgb="FF63C384"/>
              <x14:negativeFillColor rgb="FFFF0000"/>
              <x14:negativeBorderColor rgb="FFFF0000"/>
              <x14:axisColor rgb="FF000000"/>
            </x14:dataBar>
          </x14:cfRule>
          <xm:sqref>AG9</xm:sqref>
        </x14:conditionalFormatting>
        <x14:conditionalFormatting xmlns:xm="http://schemas.microsoft.com/office/excel/2006/main">
          <x14:cfRule type="dataBar" id="{3BCDBEF4-96B0-4223-9274-D46017C5EC68}">
            <x14:dataBar minLength="0" maxLength="100" border="1" negativeBarBorderColorSameAsPositive="0">
              <x14:cfvo type="autoMin"/>
              <x14:cfvo type="autoMax"/>
              <x14:borderColor rgb="FF63C384"/>
              <x14:negativeFillColor rgb="FFFF0000"/>
              <x14:negativeBorderColor rgb="FFFF0000"/>
              <x14:axisColor rgb="FF000000"/>
            </x14:dataBar>
          </x14:cfRule>
          <xm:sqref>AG9</xm:sqref>
        </x14:conditionalFormatting>
        <x14:conditionalFormatting xmlns:xm="http://schemas.microsoft.com/office/excel/2006/main">
          <x14:cfRule type="dataBar" id="{C57DFE27-9974-4484-A497-C8953A0658FB}">
            <x14:dataBar minLength="0" maxLength="100" border="1" negativeBarBorderColorSameAsPositive="0">
              <x14:cfvo type="autoMin"/>
              <x14:cfvo type="autoMax"/>
              <x14:borderColor rgb="FF63C384"/>
              <x14:negativeFillColor rgb="FFFF0000"/>
              <x14:negativeBorderColor rgb="FFFF0000"/>
              <x14:axisColor rgb="FF000000"/>
            </x14:dataBar>
          </x14:cfRule>
          <xm:sqref>AG9</xm:sqref>
        </x14:conditionalFormatting>
        <x14:conditionalFormatting xmlns:xm="http://schemas.microsoft.com/office/excel/2006/main">
          <x14:cfRule type="dataBar" id="{992780BA-D2DA-46D6-8812-0D8960BA4256}">
            <x14:dataBar minLength="0" maxLength="100" border="1" negativeBarBorderColorSameAsPositive="0">
              <x14:cfvo type="autoMin"/>
              <x14:cfvo type="autoMax"/>
              <x14:borderColor rgb="FF63C384"/>
              <x14:negativeFillColor rgb="FFFF0000"/>
              <x14:negativeBorderColor rgb="FFFF0000"/>
              <x14:axisColor rgb="FF000000"/>
            </x14:dataBar>
          </x14:cfRule>
          <xm:sqref>AG9</xm:sqref>
        </x14:conditionalFormatting>
        <x14:conditionalFormatting xmlns:xm="http://schemas.microsoft.com/office/excel/2006/main">
          <x14:cfRule type="dataBar" id="{60DA5367-FAED-44E1-8BEF-FBE19B46947F}">
            <x14:dataBar minLength="0" maxLength="100" border="1" negativeBarBorderColorSameAsPositive="0">
              <x14:cfvo type="autoMin"/>
              <x14:cfvo type="autoMax"/>
              <x14:borderColor rgb="FF63C384"/>
              <x14:negativeFillColor rgb="FFFF0000"/>
              <x14:negativeBorderColor rgb="FFFF0000"/>
              <x14:axisColor rgb="FF000000"/>
            </x14:dataBar>
          </x14:cfRule>
          <xm:sqref>AG9</xm:sqref>
        </x14:conditionalFormatting>
        <x14:conditionalFormatting xmlns:xm="http://schemas.microsoft.com/office/excel/2006/main">
          <x14:cfRule type="dataBar" id="{480DBAB0-18F0-4B52-8358-8E53E45B8ECC}">
            <x14:dataBar minLength="0" maxLength="100" border="1" negativeBarBorderColorSameAsPositive="0">
              <x14:cfvo type="autoMin"/>
              <x14:cfvo type="autoMax"/>
              <x14:borderColor rgb="FF63C384"/>
              <x14:negativeFillColor rgb="FFFF0000"/>
              <x14:negativeBorderColor rgb="FFFF0000"/>
              <x14:axisColor rgb="FF000000"/>
            </x14:dataBar>
          </x14:cfRule>
          <xm:sqref>AG9</xm:sqref>
        </x14:conditionalFormatting>
        <x14:conditionalFormatting xmlns:xm="http://schemas.microsoft.com/office/excel/2006/main">
          <x14:cfRule type="dataBar" id="{816CD168-EFC3-4195-88BA-991253B8F77A}">
            <x14:dataBar minLength="0" maxLength="100" border="1" negativeBarBorderColorSameAsPositive="0">
              <x14:cfvo type="autoMin"/>
              <x14:cfvo type="autoMax"/>
              <x14:borderColor rgb="FF63C384"/>
              <x14:negativeFillColor rgb="FFFF0000"/>
              <x14:negativeBorderColor rgb="FFFF0000"/>
              <x14:axisColor rgb="FF000000"/>
            </x14:dataBar>
          </x14:cfRule>
          <xm:sqref>AG10</xm:sqref>
        </x14:conditionalFormatting>
        <x14:conditionalFormatting xmlns:xm="http://schemas.microsoft.com/office/excel/2006/main">
          <x14:cfRule type="dataBar" id="{C6A997B8-DE69-4609-B589-312E841AB034}">
            <x14:dataBar minLength="0" maxLength="100" border="1" negativeBarBorderColorSameAsPositive="0">
              <x14:cfvo type="autoMin"/>
              <x14:cfvo type="autoMax"/>
              <x14:borderColor rgb="FF63C384"/>
              <x14:negativeFillColor rgb="FFFF0000"/>
              <x14:negativeBorderColor rgb="FFFF0000"/>
              <x14:axisColor rgb="FF000000"/>
            </x14:dataBar>
          </x14:cfRule>
          <xm:sqref>AG10</xm:sqref>
        </x14:conditionalFormatting>
        <x14:conditionalFormatting xmlns:xm="http://schemas.microsoft.com/office/excel/2006/main">
          <x14:cfRule type="dataBar" id="{DFCE6606-907B-4B6F-AEF4-8EBED7CBCEAC}">
            <x14:dataBar minLength="0" maxLength="100" border="1" negativeBarBorderColorSameAsPositive="0">
              <x14:cfvo type="autoMin"/>
              <x14:cfvo type="autoMax"/>
              <x14:borderColor rgb="FF63C384"/>
              <x14:negativeFillColor rgb="FFFF0000"/>
              <x14:negativeBorderColor rgb="FFFF0000"/>
              <x14:axisColor rgb="FF000000"/>
            </x14:dataBar>
          </x14:cfRule>
          <xm:sqref>AG10</xm:sqref>
        </x14:conditionalFormatting>
        <x14:conditionalFormatting xmlns:xm="http://schemas.microsoft.com/office/excel/2006/main">
          <x14:cfRule type="dataBar" id="{5288EE14-0DAA-4CA5-A3BB-52AD0C9E0E28}">
            <x14:dataBar minLength="0" maxLength="100" border="1" negativeBarBorderColorSameAsPositive="0">
              <x14:cfvo type="autoMin"/>
              <x14:cfvo type="autoMax"/>
              <x14:borderColor rgb="FF63C384"/>
              <x14:negativeFillColor rgb="FFFF0000"/>
              <x14:negativeBorderColor rgb="FFFF0000"/>
              <x14:axisColor rgb="FF000000"/>
            </x14:dataBar>
          </x14:cfRule>
          <xm:sqref>AG10</xm:sqref>
        </x14:conditionalFormatting>
        <x14:conditionalFormatting xmlns:xm="http://schemas.microsoft.com/office/excel/2006/main">
          <x14:cfRule type="dataBar" id="{E6EB0943-B77B-4C27-A2EE-9CBC082A4345}">
            <x14:dataBar minLength="0" maxLength="100" border="1" negativeBarBorderColorSameAsPositive="0">
              <x14:cfvo type="autoMin"/>
              <x14:cfvo type="autoMax"/>
              <x14:borderColor rgb="FF63C384"/>
              <x14:negativeFillColor rgb="FFFF0000"/>
              <x14:negativeBorderColor rgb="FFFF0000"/>
              <x14:axisColor rgb="FF000000"/>
            </x14:dataBar>
          </x14:cfRule>
          <xm:sqref>AG11</xm:sqref>
        </x14:conditionalFormatting>
        <x14:conditionalFormatting xmlns:xm="http://schemas.microsoft.com/office/excel/2006/main">
          <x14:cfRule type="dataBar" id="{00A927CC-BE0B-468D-AF60-44BDB0FA7D75}">
            <x14:dataBar minLength="0" maxLength="100" border="1" negativeBarBorderColorSameAsPositive="0">
              <x14:cfvo type="autoMin"/>
              <x14:cfvo type="autoMax"/>
              <x14:borderColor rgb="FF63C384"/>
              <x14:negativeFillColor rgb="FFFF0000"/>
              <x14:negativeBorderColor rgb="FFFF0000"/>
              <x14:axisColor rgb="FF000000"/>
            </x14:dataBar>
          </x14:cfRule>
          <xm:sqref>AG11</xm:sqref>
        </x14:conditionalFormatting>
        <x14:conditionalFormatting xmlns:xm="http://schemas.microsoft.com/office/excel/2006/main">
          <x14:cfRule type="dataBar" id="{60DC868E-7995-4450-AD20-04AFA00DDCF4}">
            <x14:dataBar minLength="0" maxLength="100" border="1" negativeBarBorderColorSameAsPositive="0">
              <x14:cfvo type="autoMin"/>
              <x14:cfvo type="autoMax"/>
              <x14:borderColor rgb="FF63C384"/>
              <x14:negativeFillColor rgb="FFFF0000"/>
              <x14:negativeBorderColor rgb="FFFF0000"/>
              <x14:axisColor rgb="FF000000"/>
            </x14:dataBar>
          </x14:cfRule>
          <xm:sqref>AG11</xm:sqref>
        </x14:conditionalFormatting>
        <x14:conditionalFormatting xmlns:xm="http://schemas.microsoft.com/office/excel/2006/main">
          <x14:cfRule type="dataBar" id="{3E383E54-97FF-4CE8-80B9-9DCF26536317}">
            <x14:dataBar minLength="0" maxLength="100" border="1" negativeBarBorderColorSameAsPositive="0">
              <x14:cfvo type="autoMin"/>
              <x14:cfvo type="autoMax"/>
              <x14:borderColor rgb="FF63C384"/>
              <x14:negativeFillColor rgb="FFFF0000"/>
              <x14:negativeBorderColor rgb="FFFF0000"/>
              <x14:axisColor rgb="FF000000"/>
            </x14:dataBar>
          </x14:cfRule>
          <xm:sqref>AG11</xm:sqref>
        </x14:conditionalFormatting>
        <x14:conditionalFormatting xmlns:xm="http://schemas.microsoft.com/office/excel/2006/main">
          <x14:cfRule type="dataBar" id="{E61AA50E-B67B-49B0-9358-52B4EB5942AA}">
            <x14:dataBar minLength="0" maxLength="100" border="1" negativeBarBorderColorSameAsPositive="0">
              <x14:cfvo type="autoMin"/>
              <x14:cfvo type="autoMax"/>
              <x14:borderColor rgb="FF63C384"/>
              <x14:negativeFillColor rgb="FFFF0000"/>
              <x14:negativeBorderColor rgb="FFFF0000"/>
              <x14:axisColor rgb="FF000000"/>
            </x14:dataBar>
          </x14:cfRule>
          <xm:sqref>AG12</xm:sqref>
        </x14:conditionalFormatting>
        <x14:conditionalFormatting xmlns:xm="http://schemas.microsoft.com/office/excel/2006/main">
          <x14:cfRule type="dataBar" id="{E2F9F9EA-D0EC-42A2-9257-DDD46E73A2C8}">
            <x14:dataBar minLength="0" maxLength="100" border="1" negativeBarBorderColorSameAsPositive="0">
              <x14:cfvo type="autoMin"/>
              <x14:cfvo type="autoMax"/>
              <x14:borderColor rgb="FF63C384"/>
              <x14:negativeFillColor rgb="FFFF0000"/>
              <x14:negativeBorderColor rgb="FFFF0000"/>
              <x14:axisColor rgb="FF000000"/>
            </x14:dataBar>
          </x14:cfRule>
          <xm:sqref>AG12</xm:sqref>
        </x14:conditionalFormatting>
        <x14:conditionalFormatting xmlns:xm="http://schemas.microsoft.com/office/excel/2006/main">
          <x14:cfRule type="dataBar" id="{391F9398-F6BC-48F6-A824-E9089D184213}">
            <x14:dataBar minLength="0" maxLength="100" border="1" negativeBarBorderColorSameAsPositive="0">
              <x14:cfvo type="autoMin"/>
              <x14:cfvo type="autoMax"/>
              <x14:borderColor rgb="FF63C384"/>
              <x14:negativeFillColor rgb="FFFF0000"/>
              <x14:negativeBorderColor rgb="FFFF0000"/>
              <x14:axisColor rgb="FF000000"/>
            </x14:dataBar>
          </x14:cfRule>
          <xm:sqref>AG12</xm:sqref>
        </x14:conditionalFormatting>
        <x14:conditionalFormatting xmlns:xm="http://schemas.microsoft.com/office/excel/2006/main">
          <x14:cfRule type="dataBar" id="{1B493BE4-F023-4DE8-952B-F9B3B6D61B89}">
            <x14:dataBar minLength="0" maxLength="100" border="1" negativeBarBorderColorSameAsPositive="0">
              <x14:cfvo type="autoMin"/>
              <x14:cfvo type="autoMax"/>
              <x14:borderColor rgb="FF63C384"/>
              <x14:negativeFillColor rgb="FFFF0000"/>
              <x14:negativeBorderColor rgb="FFFF0000"/>
              <x14:axisColor rgb="FF000000"/>
            </x14:dataBar>
          </x14:cfRule>
          <xm:sqref>AG12</xm:sqref>
        </x14:conditionalFormatting>
        <x14:conditionalFormatting xmlns:xm="http://schemas.microsoft.com/office/excel/2006/main">
          <x14:cfRule type="dataBar" id="{44B65378-569C-4726-A8BA-CC3005485F8E}">
            <x14:dataBar minLength="0" maxLength="100" border="1" negativeBarBorderColorSameAsPositive="0">
              <x14:cfvo type="autoMin"/>
              <x14:cfvo type="autoMax"/>
              <x14:borderColor rgb="FF63C384"/>
              <x14:negativeFillColor rgb="FFFF0000"/>
              <x14:negativeBorderColor rgb="FFFF0000"/>
              <x14:axisColor rgb="FF000000"/>
            </x14:dataBar>
          </x14:cfRule>
          <xm:sqref>AG12</xm:sqref>
        </x14:conditionalFormatting>
        <x14:conditionalFormatting xmlns:xm="http://schemas.microsoft.com/office/excel/2006/main">
          <x14:cfRule type="dataBar" id="{3B3DC3D9-F6C6-438A-B938-665AE879A467}">
            <x14:dataBar minLength="0" maxLength="100" border="1" negativeBarBorderColorSameAsPositive="0">
              <x14:cfvo type="autoMin"/>
              <x14:cfvo type="autoMax"/>
              <x14:borderColor rgb="FF63C384"/>
              <x14:negativeFillColor rgb="FFFF0000"/>
              <x14:negativeBorderColor rgb="FFFF0000"/>
              <x14:axisColor rgb="FF000000"/>
            </x14:dataBar>
          </x14:cfRule>
          <xm:sqref>AG12</xm:sqref>
        </x14:conditionalFormatting>
        <x14:conditionalFormatting xmlns:xm="http://schemas.microsoft.com/office/excel/2006/main">
          <x14:cfRule type="dataBar" id="{B3D8CF13-6669-4DBA-AB3B-ABBCB8A7F315}">
            <x14:dataBar minLength="0" maxLength="100" border="1" negativeBarBorderColorSameAsPositive="0">
              <x14:cfvo type="autoMin"/>
              <x14:cfvo type="autoMax"/>
              <x14:borderColor rgb="FF63C384"/>
              <x14:negativeFillColor rgb="FFFF0000"/>
              <x14:negativeBorderColor rgb="FFFF0000"/>
              <x14:axisColor rgb="FF000000"/>
            </x14:dataBar>
          </x14:cfRule>
          <xm:sqref>AG13</xm:sqref>
        </x14:conditionalFormatting>
        <x14:conditionalFormatting xmlns:xm="http://schemas.microsoft.com/office/excel/2006/main">
          <x14:cfRule type="dataBar" id="{62CF00FC-2EBF-4860-86FA-01C498CA0E6D}">
            <x14:dataBar minLength="0" maxLength="100" border="1" negativeBarBorderColorSameAsPositive="0">
              <x14:cfvo type="autoMin"/>
              <x14:cfvo type="autoMax"/>
              <x14:borderColor rgb="FF63C384"/>
              <x14:negativeFillColor rgb="FFFF0000"/>
              <x14:negativeBorderColor rgb="FFFF0000"/>
              <x14:axisColor rgb="FF000000"/>
            </x14:dataBar>
          </x14:cfRule>
          <xm:sqref>AG13</xm:sqref>
        </x14:conditionalFormatting>
        <x14:conditionalFormatting xmlns:xm="http://schemas.microsoft.com/office/excel/2006/main">
          <x14:cfRule type="dataBar" id="{5C1BD6E2-D339-47CC-B793-F5FFC9353F20}">
            <x14:dataBar minLength="0" maxLength="100" border="1" negativeBarBorderColorSameAsPositive="0">
              <x14:cfvo type="autoMin"/>
              <x14:cfvo type="autoMax"/>
              <x14:borderColor rgb="FF63C384"/>
              <x14:negativeFillColor rgb="FFFF0000"/>
              <x14:negativeBorderColor rgb="FFFF0000"/>
              <x14:axisColor rgb="FF000000"/>
            </x14:dataBar>
          </x14:cfRule>
          <xm:sqref>AG13</xm:sqref>
        </x14:conditionalFormatting>
        <x14:conditionalFormatting xmlns:xm="http://schemas.microsoft.com/office/excel/2006/main">
          <x14:cfRule type="dataBar" id="{EC582D2B-F6E2-4B1C-9CFE-5E386BB4D44F}">
            <x14:dataBar minLength="0" maxLength="100" border="1" negativeBarBorderColorSameAsPositive="0">
              <x14:cfvo type="autoMin"/>
              <x14:cfvo type="autoMax"/>
              <x14:borderColor rgb="FF63C384"/>
              <x14:negativeFillColor rgb="FFFF0000"/>
              <x14:negativeBorderColor rgb="FFFF0000"/>
              <x14:axisColor rgb="FF000000"/>
            </x14:dataBar>
          </x14:cfRule>
          <xm:sqref>AG13</xm:sqref>
        </x14:conditionalFormatting>
        <x14:conditionalFormatting xmlns:xm="http://schemas.microsoft.com/office/excel/2006/main">
          <x14:cfRule type="dataBar" id="{EDF1AFBF-B816-4525-BA7A-664203FF5A97}">
            <x14:dataBar minLength="0" maxLength="100" border="1" negativeBarBorderColorSameAsPositive="0">
              <x14:cfvo type="autoMin"/>
              <x14:cfvo type="autoMax"/>
              <x14:borderColor rgb="FF63C384"/>
              <x14:negativeFillColor rgb="FFFF0000"/>
              <x14:negativeBorderColor rgb="FFFF0000"/>
              <x14:axisColor rgb="FF000000"/>
            </x14:dataBar>
          </x14:cfRule>
          <xm:sqref>AG14:AG15</xm:sqref>
        </x14:conditionalFormatting>
        <x14:conditionalFormatting xmlns:xm="http://schemas.microsoft.com/office/excel/2006/main">
          <x14:cfRule type="dataBar" id="{92408556-7020-49D1-A693-963E4525548D}">
            <x14:dataBar minLength="0" maxLength="100" border="1" negativeBarBorderColorSameAsPositive="0">
              <x14:cfvo type="autoMin"/>
              <x14:cfvo type="autoMax"/>
              <x14:borderColor rgb="FF63C384"/>
              <x14:negativeFillColor rgb="FFFF0000"/>
              <x14:negativeBorderColor rgb="FFFF0000"/>
              <x14:axisColor rgb="FF000000"/>
            </x14:dataBar>
          </x14:cfRule>
          <xm:sqref>AG14:AG15</xm:sqref>
        </x14:conditionalFormatting>
        <x14:conditionalFormatting xmlns:xm="http://schemas.microsoft.com/office/excel/2006/main">
          <x14:cfRule type="dataBar" id="{47E45BD6-E848-4FCE-AD67-6DAD32F3EA77}">
            <x14:dataBar minLength="0" maxLength="100" border="1" negativeBarBorderColorSameAsPositive="0">
              <x14:cfvo type="autoMin"/>
              <x14:cfvo type="autoMax"/>
              <x14:borderColor rgb="FF63C384"/>
              <x14:negativeFillColor rgb="FFFF0000"/>
              <x14:negativeBorderColor rgb="FFFF0000"/>
              <x14:axisColor rgb="FF000000"/>
            </x14:dataBar>
          </x14:cfRule>
          <xm:sqref>AG16</xm:sqref>
        </x14:conditionalFormatting>
        <x14:conditionalFormatting xmlns:xm="http://schemas.microsoft.com/office/excel/2006/main">
          <x14:cfRule type="dataBar" id="{7404F292-06AB-4AA7-BB3B-E9E5B8162F75}">
            <x14:dataBar minLength="0" maxLength="100" border="1" negativeBarBorderColorSameAsPositive="0">
              <x14:cfvo type="autoMin"/>
              <x14:cfvo type="autoMax"/>
              <x14:borderColor rgb="FF63C384"/>
              <x14:negativeFillColor rgb="FFFF0000"/>
              <x14:negativeBorderColor rgb="FFFF0000"/>
              <x14:axisColor rgb="FF000000"/>
            </x14:dataBar>
          </x14:cfRule>
          <xm:sqref>AG16</xm:sqref>
        </x14:conditionalFormatting>
        <x14:conditionalFormatting xmlns:xm="http://schemas.microsoft.com/office/excel/2006/main">
          <x14:cfRule type="dataBar" id="{8FD0F237-9DE7-4DD7-B1F0-5A1B065F1096}">
            <x14:dataBar minLength="0" maxLength="100" border="1" negativeBarBorderColorSameAsPositive="0">
              <x14:cfvo type="autoMin"/>
              <x14:cfvo type="autoMax"/>
              <x14:borderColor rgb="FF63C384"/>
              <x14:negativeFillColor rgb="FFFF0000"/>
              <x14:negativeBorderColor rgb="FFFF0000"/>
              <x14:axisColor rgb="FF000000"/>
            </x14:dataBar>
          </x14:cfRule>
          <xm:sqref>AG16</xm:sqref>
        </x14:conditionalFormatting>
        <x14:conditionalFormatting xmlns:xm="http://schemas.microsoft.com/office/excel/2006/main">
          <x14:cfRule type="dataBar" id="{3378F5F0-3D86-4B75-9A94-DDF02D081A05}">
            <x14:dataBar minLength="0" maxLength="100" border="1" negativeBarBorderColorSameAsPositive="0">
              <x14:cfvo type="autoMin"/>
              <x14:cfvo type="autoMax"/>
              <x14:borderColor rgb="FF63C384"/>
              <x14:negativeFillColor rgb="FFFF0000"/>
              <x14:negativeBorderColor rgb="FFFF0000"/>
              <x14:axisColor rgb="FF000000"/>
            </x14:dataBar>
          </x14:cfRule>
          <xm:sqref>AG16</xm:sqref>
        </x14:conditionalFormatting>
        <x14:conditionalFormatting xmlns:xm="http://schemas.microsoft.com/office/excel/2006/main">
          <x14:cfRule type="dataBar" id="{B0A87D32-556A-4B78-8CDA-55F6461587C5}">
            <x14:dataBar minLength="0" maxLength="100" border="1" negativeBarBorderColorSameAsPositive="0">
              <x14:cfvo type="autoMin"/>
              <x14:cfvo type="autoMax"/>
              <x14:borderColor rgb="FF63C384"/>
              <x14:negativeFillColor rgb="FFFF0000"/>
              <x14:negativeBorderColor rgb="FFFF0000"/>
              <x14:axisColor rgb="FF000000"/>
            </x14:dataBar>
          </x14:cfRule>
          <xm:sqref>AG18</xm:sqref>
        </x14:conditionalFormatting>
        <x14:conditionalFormatting xmlns:xm="http://schemas.microsoft.com/office/excel/2006/main">
          <x14:cfRule type="dataBar" id="{572731DE-DDDA-4963-9D5B-534D91FF8AEF}">
            <x14:dataBar minLength="0" maxLength="100" border="1" negativeBarBorderColorSameAsPositive="0">
              <x14:cfvo type="autoMin"/>
              <x14:cfvo type="autoMax"/>
              <x14:borderColor rgb="FF63C384"/>
              <x14:negativeFillColor rgb="FFFF0000"/>
              <x14:negativeBorderColor rgb="FFFF0000"/>
              <x14:axisColor rgb="FF000000"/>
            </x14:dataBar>
          </x14:cfRule>
          <xm:sqref>AG18</xm:sqref>
        </x14:conditionalFormatting>
        <x14:conditionalFormatting xmlns:xm="http://schemas.microsoft.com/office/excel/2006/main">
          <x14:cfRule type="dataBar" id="{19A56CBB-AE86-429B-BF4B-2A5EB44D7C7A}">
            <x14:dataBar minLength="0" maxLength="100" border="1" negativeBarBorderColorSameAsPositive="0">
              <x14:cfvo type="autoMin"/>
              <x14:cfvo type="autoMax"/>
              <x14:borderColor rgb="FF63C384"/>
              <x14:negativeFillColor rgb="FFFF0000"/>
              <x14:negativeBorderColor rgb="FFFF0000"/>
              <x14:axisColor rgb="FF000000"/>
            </x14:dataBar>
          </x14:cfRule>
          <xm:sqref>AG19</xm:sqref>
        </x14:conditionalFormatting>
        <x14:conditionalFormatting xmlns:xm="http://schemas.microsoft.com/office/excel/2006/main">
          <x14:cfRule type="dataBar" id="{C93DCCD7-448D-42B0-A066-0FD08075EED4}">
            <x14:dataBar minLength="0" maxLength="100" border="1" negativeBarBorderColorSameAsPositive="0">
              <x14:cfvo type="autoMin"/>
              <x14:cfvo type="autoMax"/>
              <x14:borderColor rgb="FF63C384"/>
              <x14:negativeFillColor rgb="FFFF0000"/>
              <x14:negativeBorderColor rgb="FFFF0000"/>
              <x14:axisColor rgb="FF000000"/>
            </x14:dataBar>
          </x14:cfRule>
          <xm:sqref>AG19</xm:sqref>
        </x14:conditionalFormatting>
        <x14:conditionalFormatting xmlns:xm="http://schemas.microsoft.com/office/excel/2006/main">
          <x14:cfRule type="dataBar" id="{D42525CE-7124-4EBE-A040-297979846399}">
            <x14:dataBar minLength="0" maxLength="100" border="1" negativeBarBorderColorSameAsPositive="0">
              <x14:cfvo type="autoMin"/>
              <x14:cfvo type="autoMax"/>
              <x14:borderColor rgb="FF63C384"/>
              <x14:negativeFillColor rgb="FFFF0000"/>
              <x14:negativeBorderColor rgb="FFFF0000"/>
              <x14:axisColor rgb="FF000000"/>
            </x14:dataBar>
          </x14:cfRule>
          <xm:sqref>AG20</xm:sqref>
        </x14:conditionalFormatting>
        <x14:conditionalFormatting xmlns:xm="http://schemas.microsoft.com/office/excel/2006/main">
          <x14:cfRule type="dataBar" id="{70874306-B56D-4831-A48E-0525A6F4088E}">
            <x14:dataBar minLength="0" maxLength="100" border="1" negativeBarBorderColorSameAsPositive="0">
              <x14:cfvo type="autoMin"/>
              <x14:cfvo type="autoMax"/>
              <x14:borderColor rgb="FF63C384"/>
              <x14:negativeFillColor rgb="FFFF0000"/>
              <x14:negativeBorderColor rgb="FFFF0000"/>
              <x14:axisColor rgb="FF000000"/>
            </x14:dataBar>
          </x14:cfRule>
          <xm:sqref>AG20</xm:sqref>
        </x14:conditionalFormatting>
        <x14:conditionalFormatting xmlns:xm="http://schemas.microsoft.com/office/excel/2006/main">
          <x14:cfRule type="dataBar" id="{9CE4E9A6-E916-4D78-9E48-F958495A74DA}">
            <x14:dataBar minLength="0" maxLength="100" border="1" negativeBarBorderColorSameAsPositive="0">
              <x14:cfvo type="autoMin"/>
              <x14:cfvo type="autoMax"/>
              <x14:borderColor rgb="FF63C384"/>
              <x14:negativeFillColor rgb="FFFF0000"/>
              <x14:negativeBorderColor rgb="FFFF0000"/>
              <x14:axisColor rgb="FF000000"/>
            </x14:dataBar>
          </x14:cfRule>
          <xm:sqref>AG21</xm:sqref>
        </x14:conditionalFormatting>
        <x14:conditionalFormatting xmlns:xm="http://schemas.microsoft.com/office/excel/2006/main">
          <x14:cfRule type="dataBar" id="{28F5D95D-4DE7-4374-B6E3-C1BDA4204EE9}">
            <x14:dataBar minLength="0" maxLength="100" border="1" negativeBarBorderColorSameAsPositive="0">
              <x14:cfvo type="autoMin"/>
              <x14:cfvo type="autoMax"/>
              <x14:borderColor rgb="FF63C384"/>
              <x14:negativeFillColor rgb="FFFF0000"/>
              <x14:negativeBorderColor rgb="FFFF0000"/>
              <x14:axisColor rgb="FF000000"/>
            </x14:dataBar>
          </x14:cfRule>
          <xm:sqref>AG21</xm:sqref>
        </x14:conditionalFormatting>
        <x14:conditionalFormatting xmlns:xm="http://schemas.microsoft.com/office/excel/2006/main">
          <x14:cfRule type="dataBar" id="{55502E70-092B-4F24-AEE6-2D5F5D2299BD}">
            <x14:dataBar minLength="0" maxLength="100" border="1" negativeBarBorderColorSameAsPositive="0">
              <x14:cfvo type="autoMin"/>
              <x14:cfvo type="autoMax"/>
              <x14:borderColor rgb="FF63C384"/>
              <x14:negativeFillColor rgb="FFFF0000"/>
              <x14:negativeBorderColor rgb="FFFF0000"/>
              <x14:axisColor rgb="FF000000"/>
            </x14:dataBar>
          </x14:cfRule>
          <xm:sqref>AG22</xm:sqref>
        </x14:conditionalFormatting>
        <x14:conditionalFormatting xmlns:xm="http://schemas.microsoft.com/office/excel/2006/main">
          <x14:cfRule type="dataBar" id="{693B75C3-67D7-48C2-9D9F-61B05ECEDEB7}">
            <x14:dataBar minLength="0" maxLength="100" border="1" negativeBarBorderColorSameAsPositive="0">
              <x14:cfvo type="autoMin"/>
              <x14:cfvo type="autoMax"/>
              <x14:borderColor rgb="FF63C384"/>
              <x14:negativeFillColor rgb="FFFF0000"/>
              <x14:negativeBorderColor rgb="FFFF0000"/>
              <x14:axisColor rgb="FF000000"/>
            </x14:dataBar>
          </x14:cfRule>
          <xm:sqref>AG22</xm:sqref>
        </x14:conditionalFormatting>
        <x14:conditionalFormatting xmlns:xm="http://schemas.microsoft.com/office/excel/2006/main">
          <x14:cfRule type="dataBar" id="{311260C7-D629-498C-BE8B-1B805C6E8B4A}">
            <x14:dataBar minLength="0" maxLength="100" border="1" negativeBarBorderColorSameAsPositive="0">
              <x14:cfvo type="autoMin"/>
              <x14:cfvo type="autoMax"/>
              <x14:borderColor rgb="FF63C384"/>
              <x14:negativeFillColor rgb="FFFF0000"/>
              <x14:negativeBorderColor rgb="FFFF0000"/>
              <x14:axisColor rgb="FF000000"/>
            </x14:dataBar>
          </x14:cfRule>
          <xm:sqref>AG23</xm:sqref>
        </x14:conditionalFormatting>
        <x14:conditionalFormatting xmlns:xm="http://schemas.microsoft.com/office/excel/2006/main">
          <x14:cfRule type="dataBar" id="{9958E8CE-D5DF-4DFA-90A3-E90C7FE04518}">
            <x14:dataBar minLength="0" maxLength="100" border="1" negativeBarBorderColorSameAsPositive="0">
              <x14:cfvo type="autoMin"/>
              <x14:cfvo type="autoMax"/>
              <x14:borderColor rgb="FF63C384"/>
              <x14:negativeFillColor rgb="FFFF0000"/>
              <x14:negativeBorderColor rgb="FFFF0000"/>
              <x14:axisColor rgb="FF000000"/>
            </x14:dataBar>
          </x14:cfRule>
          <xm:sqref>AG23</xm:sqref>
        </x14:conditionalFormatting>
        <x14:conditionalFormatting xmlns:xm="http://schemas.microsoft.com/office/excel/2006/main">
          <x14:cfRule type="dataBar" id="{1E6DE618-74C0-4357-AF5F-4DF16AC0D24A}">
            <x14:dataBar minLength="0" maxLength="100" border="1" negativeBarBorderColorSameAsPositive="0">
              <x14:cfvo type="autoMin"/>
              <x14:cfvo type="autoMax"/>
              <x14:borderColor rgb="FF63C384"/>
              <x14:negativeFillColor rgb="FFFF0000"/>
              <x14:negativeBorderColor rgb="FFFF0000"/>
              <x14:axisColor rgb="FF000000"/>
            </x14:dataBar>
          </x14:cfRule>
          <xm:sqref>AG23</xm:sqref>
        </x14:conditionalFormatting>
        <x14:conditionalFormatting xmlns:xm="http://schemas.microsoft.com/office/excel/2006/main">
          <x14:cfRule type="dataBar" id="{71221370-173A-474D-A3A2-FC63F6D1E029}">
            <x14:dataBar minLength="0" maxLength="100" border="1" negativeBarBorderColorSameAsPositive="0">
              <x14:cfvo type="autoMin"/>
              <x14:cfvo type="autoMax"/>
              <x14:borderColor rgb="FF63C384"/>
              <x14:negativeFillColor rgb="FFFF0000"/>
              <x14:negativeBorderColor rgb="FFFF0000"/>
              <x14:axisColor rgb="FF000000"/>
            </x14:dataBar>
          </x14:cfRule>
          <xm:sqref>AG23</xm:sqref>
        </x14:conditionalFormatting>
        <x14:conditionalFormatting xmlns:xm="http://schemas.microsoft.com/office/excel/2006/main">
          <x14:cfRule type="dataBar" id="{F53CFDB2-9C7E-4FE4-A445-EBB1863FC0DD}">
            <x14:dataBar minLength="0" maxLength="100" border="1" negativeBarBorderColorSameAsPositive="0">
              <x14:cfvo type="autoMin"/>
              <x14:cfvo type="autoMax"/>
              <x14:borderColor rgb="FF63C384"/>
              <x14:negativeFillColor rgb="FFFF0000"/>
              <x14:negativeBorderColor rgb="FFFF0000"/>
              <x14:axisColor rgb="FF000000"/>
            </x14:dataBar>
          </x14:cfRule>
          <xm:sqref>AG24:AG25</xm:sqref>
        </x14:conditionalFormatting>
        <x14:conditionalFormatting xmlns:xm="http://schemas.microsoft.com/office/excel/2006/main">
          <x14:cfRule type="dataBar" id="{D219310E-A288-4292-B1F0-6CA564F6FF11}">
            <x14:dataBar minLength="0" maxLength="100" border="1" negativeBarBorderColorSameAsPositive="0">
              <x14:cfvo type="autoMin"/>
              <x14:cfvo type="autoMax"/>
              <x14:borderColor rgb="FF63C384"/>
              <x14:negativeFillColor rgb="FFFF0000"/>
              <x14:negativeBorderColor rgb="FFFF0000"/>
              <x14:axisColor rgb="FF000000"/>
            </x14:dataBar>
          </x14:cfRule>
          <xm:sqref>AG24:AG25</xm:sqref>
        </x14:conditionalFormatting>
        <x14:conditionalFormatting xmlns:xm="http://schemas.microsoft.com/office/excel/2006/main">
          <x14:cfRule type="dataBar" id="{885CFC9A-3EC9-435D-9FD1-1BC876ACC9C5}">
            <x14:dataBar minLength="0" maxLength="100" border="1" negativeBarBorderColorSameAsPositive="0">
              <x14:cfvo type="autoMin"/>
              <x14:cfvo type="autoMax"/>
              <x14:borderColor rgb="FF63C384"/>
              <x14:negativeFillColor rgb="FFFF0000"/>
              <x14:negativeBorderColor rgb="FFFF0000"/>
              <x14:axisColor rgb="FF000000"/>
            </x14:dataBar>
          </x14:cfRule>
          <xm:sqref>AG24:AG25</xm:sqref>
        </x14:conditionalFormatting>
        <x14:conditionalFormatting xmlns:xm="http://schemas.microsoft.com/office/excel/2006/main">
          <x14:cfRule type="dataBar" id="{C82B9B03-1A78-419A-B45C-D20DBB4F1E8D}">
            <x14:dataBar minLength="0" maxLength="100" border="1" negativeBarBorderColorSameAsPositive="0">
              <x14:cfvo type="autoMin"/>
              <x14:cfvo type="autoMax"/>
              <x14:borderColor rgb="FF63C384"/>
              <x14:negativeFillColor rgb="FFFF0000"/>
              <x14:negativeBorderColor rgb="FFFF0000"/>
              <x14:axisColor rgb="FF000000"/>
            </x14:dataBar>
          </x14:cfRule>
          <xm:sqref>AG24:AG25</xm:sqref>
        </x14:conditionalFormatting>
        <x14:conditionalFormatting xmlns:xm="http://schemas.microsoft.com/office/excel/2006/main">
          <x14:cfRule type="dataBar" id="{A38D193C-B890-41A2-996F-EB3F3FB7C7B3}">
            <x14:dataBar minLength="0" maxLength="100" border="1" negativeBarBorderColorSameAsPositive="0">
              <x14:cfvo type="autoMin"/>
              <x14:cfvo type="autoMax"/>
              <x14:borderColor rgb="FF63C384"/>
              <x14:negativeFillColor rgb="FFFF0000"/>
              <x14:negativeBorderColor rgb="FFFF0000"/>
              <x14:axisColor rgb="FF000000"/>
            </x14:dataBar>
          </x14:cfRule>
          <xm:sqref>AG24:AG25</xm:sqref>
        </x14:conditionalFormatting>
        <x14:conditionalFormatting xmlns:xm="http://schemas.microsoft.com/office/excel/2006/main">
          <x14:cfRule type="dataBar" id="{24D2133D-1EA4-410F-BE55-B8570C157178}">
            <x14:dataBar minLength="0" maxLength="100" border="1" negativeBarBorderColorSameAsPositive="0">
              <x14:cfvo type="autoMin"/>
              <x14:cfvo type="autoMax"/>
              <x14:borderColor rgb="FF63C384"/>
              <x14:negativeFillColor rgb="FFFF0000"/>
              <x14:negativeBorderColor rgb="FFFF0000"/>
              <x14:axisColor rgb="FF000000"/>
            </x14:dataBar>
          </x14:cfRule>
          <xm:sqref>AG24:AG25</xm:sqref>
        </x14:conditionalFormatting>
        <x14:conditionalFormatting xmlns:xm="http://schemas.microsoft.com/office/excel/2006/main">
          <x14:cfRule type="dataBar" id="{C62ED4F4-4B95-4E2B-875F-E631ECFDDB3C}">
            <x14:dataBar minLength="0" maxLength="100" border="1" negativeBarBorderColorSameAsPositive="0">
              <x14:cfvo type="autoMin"/>
              <x14:cfvo type="autoMax"/>
              <x14:borderColor rgb="FF63C384"/>
              <x14:negativeFillColor rgb="FFFF0000"/>
              <x14:negativeBorderColor rgb="FFFF0000"/>
              <x14:axisColor rgb="FF000000"/>
            </x14:dataBar>
          </x14:cfRule>
          <xm:sqref>AG24:AG25</xm:sqref>
        </x14:conditionalFormatting>
        <x14:conditionalFormatting xmlns:xm="http://schemas.microsoft.com/office/excel/2006/main">
          <x14:cfRule type="dataBar" id="{33A69512-1721-41FE-8952-8CE4036B2527}">
            <x14:dataBar minLength="0" maxLength="100" border="1" negativeBarBorderColorSameAsPositive="0">
              <x14:cfvo type="autoMin"/>
              <x14:cfvo type="autoMax"/>
              <x14:borderColor rgb="FF63C384"/>
              <x14:negativeFillColor rgb="FFFF0000"/>
              <x14:negativeBorderColor rgb="FFFF0000"/>
              <x14:axisColor rgb="FF000000"/>
            </x14:dataBar>
          </x14:cfRule>
          <xm:sqref>AG24:AG25</xm:sqref>
        </x14:conditionalFormatting>
        <x14:conditionalFormatting xmlns:xm="http://schemas.microsoft.com/office/excel/2006/main">
          <x14:cfRule type="dataBar" id="{6A49B597-7986-4F7A-8B10-127A8EC38F7E}">
            <x14:dataBar minLength="0" maxLength="100" border="1" negativeBarBorderColorSameAsPositive="0">
              <x14:cfvo type="autoMin"/>
              <x14:cfvo type="autoMax"/>
              <x14:borderColor rgb="FF63C384"/>
              <x14:negativeFillColor rgb="FFFF0000"/>
              <x14:negativeBorderColor rgb="FFFF0000"/>
              <x14:axisColor rgb="FF000000"/>
            </x14:dataBar>
          </x14:cfRule>
          <xm:sqref>AG26</xm:sqref>
        </x14:conditionalFormatting>
        <x14:conditionalFormatting xmlns:xm="http://schemas.microsoft.com/office/excel/2006/main">
          <x14:cfRule type="dataBar" id="{4EEEAFCB-6066-470C-BED1-09F9F87FE9A8}">
            <x14:dataBar minLength="0" maxLength="100" border="1" negativeBarBorderColorSameAsPositive="0">
              <x14:cfvo type="autoMin"/>
              <x14:cfvo type="autoMax"/>
              <x14:borderColor rgb="FF63C384"/>
              <x14:negativeFillColor rgb="FFFF0000"/>
              <x14:negativeBorderColor rgb="FFFF0000"/>
              <x14:axisColor rgb="FF000000"/>
            </x14:dataBar>
          </x14:cfRule>
          <xm:sqref>AG26</xm:sqref>
        </x14:conditionalFormatting>
        <x14:conditionalFormatting xmlns:xm="http://schemas.microsoft.com/office/excel/2006/main">
          <x14:cfRule type="dataBar" id="{82AA1952-357C-400A-A230-678166AA9876}">
            <x14:dataBar minLength="0" maxLength="100" border="1" negativeBarBorderColorSameAsPositive="0">
              <x14:cfvo type="autoMin"/>
              <x14:cfvo type="autoMax"/>
              <x14:borderColor rgb="FF63C384"/>
              <x14:negativeFillColor rgb="FFFF0000"/>
              <x14:negativeBorderColor rgb="FFFF0000"/>
              <x14:axisColor rgb="FF000000"/>
            </x14:dataBar>
          </x14:cfRule>
          <xm:sqref>AG26</xm:sqref>
        </x14:conditionalFormatting>
        <x14:conditionalFormatting xmlns:xm="http://schemas.microsoft.com/office/excel/2006/main">
          <x14:cfRule type="dataBar" id="{DBB7E15F-78C6-4F60-8A56-DA7693B9E019}">
            <x14:dataBar minLength="0" maxLength="100" border="1" negativeBarBorderColorSameAsPositive="0">
              <x14:cfvo type="autoMin"/>
              <x14:cfvo type="autoMax"/>
              <x14:borderColor rgb="FF63C384"/>
              <x14:negativeFillColor rgb="FFFF0000"/>
              <x14:negativeBorderColor rgb="FFFF0000"/>
              <x14:axisColor rgb="FF000000"/>
            </x14:dataBar>
          </x14:cfRule>
          <xm:sqref>AG26</xm:sqref>
        </x14:conditionalFormatting>
        <x14:conditionalFormatting xmlns:xm="http://schemas.microsoft.com/office/excel/2006/main">
          <x14:cfRule type="dataBar" id="{F905F761-BD64-43DC-A3E2-A8F2626F5E8D}">
            <x14:dataBar minLength="0" maxLength="100" border="1" negativeBarBorderColorSameAsPositive="0">
              <x14:cfvo type="autoMin"/>
              <x14:cfvo type="autoMax"/>
              <x14:borderColor rgb="FF63C384"/>
              <x14:negativeFillColor rgb="FFFF0000"/>
              <x14:negativeBorderColor rgb="FFFF0000"/>
              <x14:axisColor rgb="FF000000"/>
            </x14:dataBar>
          </x14:cfRule>
          <xm:sqref>AG27:AG28</xm:sqref>
        </x14:conditionalFormatting>
        <x14:conditionalFormatting xmlns:xm="http://schemas.microsoft.com/office/excel/2006/main">
          <x14:cfRule type="dataBar" id="{C357B3D5-43C7-4AC7-889D-AF3C429FA0A6}">
            <x14:dataBar minLength="0" maxLength="100" border="1" negativeBarBorderColorSameAsPositive="0">
              <x14:cfvo type="autoMin"/>
              <x14:cfvo type="autoMax"/>
              <x14:borderColor rgb="FF63C384"/>
              <x14:negativeFillColor rgb="FFFF0000"/>
              <x14:negativeBorderColor rgb="FFFF0000"/>
              <x14:axisColor rgb="FF000000"/>
            </x14:dataBar>
          </x14:cfRule>
          <xm:sqref>AG27:AG28</xm:sqref>
        </x14:conditionalFormatting>
        <x14:conditionalFormatting xmlns:xm="http://schemas.microsoft.com/office/excel/2006/main">
          <x14:cfRule type="dataBar" id="{C6F0A9D6-E40A-41A8-A70F-28BB5D7AB08C}">
            <x14:dataBar minLength="0" maxLength="100" border="1" negativeBarBorderColorSameAsPositive="0">
              <x14:cfvo type="autoMin"/>
              <x14:cfvo type="autoMax"/>
              <x14:borderColor rgb="FF63C384"/>
              <x14:negativeFillColor rgb="FFFF0000"/>
              <x14:negativeBorderColor rgb="FFFF0000"/>
              <x14:axisColor rgb="FF000000"/>
            </x14:dataBar>
          </x14:cfRule>
          <xm:sqref>AG29</xm:sqref>
        </x14:conditionalFormatting>
        <x14:conditionalFormatting xmlns:xm="http://schemas.microsoft.com/office/excel/2006/main">
          <x14:cfRule type="dataBar" id="{29C1C874-6095-4CE6-82D7-A72B15493142}">
            <x14:dataBar minLength="0" maxLength="100" border="1" negativeBarBorderColorSameAsPositive="0">
              <x14:cfvo type="autoMin"/>
              <x14:cfvo type="autoMax"/>
              <x14:borderColor rgb="FF63C384"/>
              <x14:negativeFillColor rgb="FFFF0000"/>
              <x14:negativeBorderColor rgb="FFFF0000"/>
              <x14:axisColor rgb="FF000000"/>
            </x14:dataBar>
          </x14:cfRule>
          <xm:sqref>AG29</xm:sqref>
        </x14:conditionalFormatting>
        <x14:conditionalFormatting xmlns:xm="http://schemas.microsoft.com/office/excel/2006/main">
          <x14:cfRule type="dataBar" id="{90B06830-0ACF-404D-9444-CACB454E9CDD}">
            <x14:dataBar minLength="0" maxLength="100" border="1" negativeBarBorderColorSameAsPositive="0">
              <x14:cfvo type="autoMin"/>
              <x14:cfvo type="autoMax"/>
              <x14:borderColor rgb="FF63C384"/>
              <x14:negativeFillColor rgb="FFFF0000"/>
              <x14:negativeBorderColor rgb="FFFF0000"/>
              <x14:axisColor rgb="FF000000"/>
            </x14:dataBar>
          </x14:cfRule>
          <xm:sqref>AG29</xm:sqref>
        </x14:conditionalFormatting>
        <x14:conditionalFormatting xmlns:xm="http://schemas.microsoft.com/office/excel/2006/main">
          <x14:cfRule type="dataBar" id="{4A2FECA8-CECF-4435-80AF-E376CF89EA49}">
            <x14:dataBar minLength="0" maxLength="100" border="1" negativeBarBorderColorSameAsPositive="0">
              <x14:cfvo type="autoMin"/>
              <x14:cfvo type="autoMax"/>
              <x14:borderColor rgb="FF63C384"/>
              <x14:negativeFillColor rgb="FFFF0000"/>
              <x14:negativeBorderColor rgb="FFFF0000"/>
              <x14:axisColor rgb="FF000000"/>
            </x14:dataBar>
          </x14:cfRule>
          <xm:sqref>AG29</xm:sqref>
        </x14:conditionalFormatting>
        <x14:conditionalFormatting xmlns:xm="http://schemas.microsoft.com/office/excel/2006/main">
          <x14:cfRule type="dataBar" id="{212AD21A-0B54-47B6-84DD-B49A6790FA47}">
            <x14:dataBar minLength="0" maxLength="100" border="1" negativeBarBorderColorSameAsPositive="0">
              <x14:cfvo type="autoMin"/>
              <x14:cfvo type="autoMax"/>
              <x14:borderColor rgb="FF63C384"/>
              <x14:negativeFillColor rgb="FFFF0000"/>
              <x14:negativeBorderColor rgb="FFFF0000"/>
              <x14:axisColor rgb="FF000000"/>
            </x14:dataBar>
          </x14:cfRule>
          <xm:sqref>AG30</xm:sqref>
        </x14:conditionalFormatting>
        <x14:conditionalFormatting xmlns:xm="http://schemas.microsoft.com/office/excel/2006/main">
          <x14:cfRule type="dataBar" id="{9DB5A9CB-32F7-46C2-9A1C-ADEDAF1CC324}">
            <x14:dataBar minLength="0" maxLength="100" border="1" negativeBarBorderColorSameAsPositive="0">
              <x14:cfvo type="autoMin"/>
              <x14:cfvo type="autoMax"/>
              <x14:borderColor rgb="FF63C384"/>
              <x14:negativeFillColor rgb="FFFF0000"/>
              <x14:negativeBorderColor rgb="FFFF0000"/>
              <x14:axisColor rgb="FF000000"/>
            </x14:dataBar>
          </x14:cfRule>
          <xm:sqref>AG30</xm:sqref>
        </x14:conditionalFormatting>
        <x14:conditionalFormatting xmlns:xm="http://schemas.microsoft.com/office/excel/2006/main">
          <x14:cfRule type="dataBar" id="{CB127920-9D34-4B41-A17D-0467FF226944}">
            <x14:dataBar minLength="0" maxLength="100" border="1" negativeBarBorderColorSameAsPositive="0">
              <x14:cfvo type="autoMin"/>
              <x14:cfvo type="autoMax"/>
              <x14:borderColor rgb="FF63C384"/>
              <x14:negativeFillColor rgb="FFFF0000"/>
              <x14:negativeBorderColor rgb="FFFF0000"/>
              <x14:axisColor rgb="FF000000"/>
            </x14:dataBar>
          </x14:cfRule>
          <xm:sqref>AG31</xm:sqref>
        </x14:conditionalFormatting>
        <x14:conditionalFormatting xmlns:xm="http://schemas.microsoft.com/office/excel/2006/main">
          <x14:cfRule type="dataBar" id="{1702EA9C-D742-4908-9710-D3E59037974F}">
            <x14:dataBar minLength="0" maxLength="100" border="1" negativeBarBorderColorSameAsPositive="0">
              <x14:cfvo type="autoMin"/>
              <x14:cfvo type="autoMax"/>
              <x14:borderColor rgb="FF63C384"/>
              <x14:negativeFillColor rgb="FFFF0000"/>
              <x14:negativeBorderColor rgb="FFFF0000"/>
              <x14:axisColor rgb="FF000000"/>
            </x14:dataBar>
          </x14:cfRule>
          <xm:sqref>AG33</xm:sqref>
        </x14:conditionalFormatting>
        <x14:conditionalFormatting xmlns:xm="http://schemas.microsoft.com/office/excel/2006/main">
          <x14:cfRule type="dataBar" id="{6F4C2C3F-5A62-4835-879F-DE4D4D4023FA}">
            <x14:dataBar minLength="0" maxLength="100" border="1" negativeBarBorderColorSameAsPositive="0">
              <x14:cfvo type="autoMin"/>
              <x14:cfvo type="autoMax"/>
              <x14:borderColor rgb="FF63C384"/>
              <x14:negativeFillColor rgb="FFFF0000"/>
              <x14:negativeBorderColor rgb="FFFF0000"/>
              <x14:axisColor rgb="FF000000"/>
            </x14:dataBar>
          </x14:cfRule>
          <xm:sqref>AG33</xm:sqref>
        </x14:conditionalFormatting>
        <x14:conditionalFormatting xmlns:xm="http://schemas.microsoft.com/office/excel/2006/main">
          <x14:cfRule type="dataBar" id="{1AB6EA16-DA5C-4177-A6D5-D73ACE6CC5F7}">
            <x14:dataBar minLength="0" maxLength="100" border="1" negativeBarBorderColorSameAsPositive="0">
              <x14:cfvo type="autoMin"/>
              <x14:cfvo type="autoMax"/>
              <x14:borderColor rgb="FF63C384"/>
              <x14:negativeFillColor rgb="FFFF0000"/>
              <x14:negativeBorderColor rgb="FFFF0000"/>
              <x14:axisColor rgb="FF000000"/>
            </x14:dataBar>
          </x14:cfRule>
          <xm:sqref>AG32</xm:sqref>
        </x14:conditionalFormatting>
        <x14:conditionalFormatting xmlns:xm="http://schemas.microsoft.com/office/excel/2006/main">
          <x14:cfRule type="dataBar" id="{9C2C6F92-AAC4-4C0A-882F-CE5B581665E9}">
            <x14:dataBar minLength="0" maxLength="100" border="1" negativeBarBorderColorSameAsPositive="0">
              <x14:cfvo type="autoMin"/>
              <x14:cfvo type="autoMax"/>
              <x14:borderColor rgb="FF63C384"/>
              <x14:negativeFillColor rgb="FFFF0000"/>
              <x14:negativeBorderColor rgb="FFFF0000"/>
              <x14:axisColor rgb="FF000000"/>
            </x14:dataBar>
          </x14:cfRule>
          <xm:sqref>AG32</xm:sqref>
        </x14:conditionalFormatting>
        <x14:conditionalFormatting xmlns:xm="http://schemas.microsoft.com/office/excel/2006/main">
          <x14:cfRule type="dataBar" id="{8359357B-F631-4991-9755-3EA3BC9161EF}">
            <x14:dataBar minLength="0" maxLength="100" border="1" negativeBarBorderColorSameAsPositive="0">
              <x14:cfvo type="autoMin"/>
              <x14:cfvo type="autoMax"/>
              <x14:borderColor rgb="FF63C384"/>
              <x14:negativeFillColor rgb="FFFF0000"/>
              <x14:negativeBorderColor rgb="FFFF0000"/>
              <x14:axisColor rgb="FF000000"/>
            </x14:dataBar>
          </x14:cfRule>
          <xm:sqref>AG32</xm:sqref>
        </x14:conditionalFormatting>
        <x14:conditionalFormatting xmlns:xm="http://schemas.microsoft.com/office/excel/2006/main">
          <x14:cfRule type="dataBar" id="{89957364-161A-421D-9682-9CF22B7B8893}">
            <x14:dataBar minLength="0" maxLength="100" border="1" negativeBarBorderColorSameAsPositive="0">
              <x14:cfvo type="autoMin"/>
              <x14:cfvo type="autoMax"/>
              <x14:borderColor rgb="FF63C384"/>
              <x14:negativeFillColor rgb="FFFF0000"/>
              <x14:negativeBorderColor rgb="FFFF0000"/>
              <x14:axisColor rgb="FF000000"/>
            </x14:dataBar>
          </x14:cfRule>
          <xm:sqref>AG32</xm:sqref>
        </x14:conditionalFormatting>
        <x14:conditionalFormatting xmlns:xm="http://schemas.microsoft.com/office/excel/2006/main">
          <x14:cfRule type="dataBar" id="{F25F0FBC-40F0-447D-B437-1786C523EAD1}">
            <x14:dataBar minLength="0" maxLength="100" border="1" negativeBarBorderColorSameAsPositive="0">
              <x14:cfvo type="autoMin"/>
              <x14:cfvo type="autoMax"/>
              <x14:borderColor rgb="FF63C384"/>
              <x14:negativeFillColor rgb="FFFF0000"/>
              <x14:negativeBorderColor rgb="FFFF0000"/>
              <x14:axisColor rgb="FF000000"/>
            </x14:dataBar>
          </x14:cfRule>
          <xm:sqref>AG34</xm:sqref>
        </x14:conditionalFormatting>
        <x14:conditionalFormatting xmlns:xm="http://schemas.microsoft.com/office/excel/2006/main">
          <x14:cfRule type="dataBar" id="{A15B3E97-83B5-414B-846B-350FEECBD638}">
            <x14:dataBar minLength="0" maxLength="100" border="1" negativeBarBorderColorSameAsPositive="0">
              <x14:cfvo type="autoMin"/>
              <x14:cfvo type="autoMax"/>
              <x14:borderColor rgb="FF63C384"/>
              <x14:negativeFillColor rgb="FFFF0000"/>
              <x14:negativeBorderColor rgb="FFFF0000"/>
              <x14:axisColor rgb="FF000000"/>
            </x14:dataBar>
          </x14:cfRule>
          <xm:sqref>AG34</xm:sqref>
        </x14:conditionalFormatting>
        <x14:conditionalFormatting xmlns:xm="http://schemas.microsoft.com/office/excel/2006/main">
          <x14:cfRule type="dataBar" id="{3BB1A110-8E22-4702-9AEF-740B5B0C0522}">
            <x14:dataBar minLength="0" maxLength="100" border="1" negativeBarBorderColorSameAsPositive="0">
              <x14:cfvo type="autoMin"/>
              <x14:cfvo type="autoMax"/>
              <x14:borderColor rgb="FF63C384"/>
              <x14:negativeFillColor rgb="FFFF0000"/>
              <x14:negativeBorderColor rgb="FFFF0000"/>
              <x14:axisColor rgb="FF000000"/>
            </x14:dataBar>
          </x14:cfRule>
          <xm:sqref>AG35</xm:sqref>
        </x14:conditionalFormatting>
        <x14:conditionalFormatting xmlns:xm="http://schemas.microsoft.com/office/excel/2006/main">
          <x14:cfRule type="dataBar" id="{3CE3F52E-C763-424A-8A6F-68809BBD8BE0}">
            <x14:dataBar minLength="0" maxLength="100" border="1" negativeBarBorderColorSameAsPositive="0">
              <x14:cfvo type="autoMin"/>
              <x14:cfvo type="autoMax"/>
              <x14:borderColor rgb="FF63C384"/>
              <x14:negativeFillColor rgb="FFFF0000"/>
              <x14:negativeBorderColor rgb="FFFF0000"/>
              <x14:axisColor rgb="FF000000"/>
            </x14:dataBar>
          </x14:cfRule>
          <xm:sqref>AG35</xm:sqref>
        </x14:conditionalFormatting>
        <x14:conditionalFormatting xmlns:xm="http://schemas.microsoft.com/office/excel/2006/main">
          <x14:cfRule type="dataBar" id="{2C3E76AD-2EDC-4E57-9649-86DC62BFE682}">
            <x14:dataBar minLength="0" maxLength="100" border="1" negativeBarBorderColorSameAsPositive="0">
              <x14:cfvo type="autoMin"/>
              <x14:cfvo type="autoMax"/>
              <x14:borderColor rgb="FF63C384"/>
              <x14:negativeFillColor rgb="FFFF0000"/>
              <x14:negativeBorderColor rgb="FFFF0000"/>
              <x14:axisColor rgb="FF000000"/>
            </x14:dataBar>
          </x14:cfRule>
          <xm:sqref>AG35</xm:sqref>
        </x14:conditionalFormatting>
        <x14:conditionalFormatting xmlns:xm="http://schemas.microsoft.com/office/excel/2006/main">
          <x14:cfRule type="dataBar" id="{09FC1ACD-4442-4888-ACD5-91DCACB88F84}">
            <x14:dataBar minLength="0" maxLength="100" border="1" negativeBarBorderColorSameAsPositive="0">
              <x14:cfvo type="autoMin"/>
              <x14:cfvo type="autoMax"/>
              <x14:borderColor rgb="FF63C384"/>
              <x14:negativeFillColor rgb="FFFF0000"/>
              <x14:negativeBorderColor rgb="FFFF0000"/>
              <x14:axisColor rgb="FF000000"/>
            </x14:dataBar>
          </x14:cfRule>
          <xm:sqref>AG35</xm:sqref>
        </x14:conditionalFormatting>
        <x14:conditionalFormatting xmlns:xm="http://schemas.microsoft.com/office/excel/2006/main">
          <x14:cfRule type="dataBar" id="{C3972318-2B32-4C9E-968B-861FE94A69A4}">
            <x14:dataBar minLength="0" maxLength="100" border="1" negativeBarBorderColorSameAsPositive="0">
              <x14:cfvo type="autoMin"/>
              <x14:cfvo type="autoMax"/>
              <x14:borderColor rgb="FF63C384"/>
              <x14:negativeFillColor rgb="FFFF0000"/>
              <x14:negativeBorderColor rgb="FFFF0000"/>
              <x14:axisColor rgb="FF000000"/>
            </x14:dataBar>
          </x14:cfRule>
          <xm:sqref>AG36</xm:sqref>
        </x14:conditionalFormatting>
        <x14:conditionalFormatting xmlns:xm="http://schemas.microsoft.com/office/excel/2006/main">
          <x14:cfRule type="dataBar" id="{5C7ACE6F-B3C1-4B02-BAAE-96E28CED7A41}">
            <x14:dataBar minLength="0" maxLength="100" border="1" negativeBarBorderColorSameAsPositive="0">
              <x14:cfvo type="autoMin"/>
              <x14:cfvo type="autoMax"/>
              <x14:borderColor rgb="FF63C384"/>
              <x14:negativeFillColor rgb="FFFF0000"/>
              <x14:negativeBorderColor rgb="FFFF0000"/>
              <x14:axisColor rgb="FF000000"/>
            </x14:dataBar>
          </x14:cfRule>
          <xm:sqref>AG36</xm:sqref>
        </x14:conditionalFormatting>
        <x14:conditionalFormatting xmlns:xm="http://schemas.microsoft.com/office/excel/2006/main">
          <x14:cfRule type="dataBar" id="{1D860F66-3884-4B65-BC3F-ADAEE8C97804}">
            <x14:dataBar minLength="0" maxLength="100" border="1" negativeBarBorderColorSameAsPositive="0">
              <x14:cfvo type="autoMin"/>
              <x14:cfvo type="autoMax"/>
              <x14:borderColor rgb="FF63C384"/>
              <x14:negativeFillColor rgb="FFFF0000"/>
              <x14:negativeBorderColor rgb="FFFF0000"/>
              <x14:axisColor rgb="FF000000"/>
            </x14:dataBar>
          </x14:cfRule>
          <xm:sqref>AG37</xm:sqref>
        </x14:conditionalFormatting>
        <x14:conditionalFormatting xmlns:xm="http://schemas.microsoft.com/office/excel/2006/main">
          <x14:cfRule type="dataBar" id="{272C9E77-774F-4E30-B996-2B220BA9DF0B}">
            <x14:dataBar minLength="0" maxLength="100" border="1" negativeBarBorderColorSameAsPositive="0">
              <x14:cfvo type="autoMin"/>
              <x14:cfvo type="autoMax"/>
              <x14:borderColor rgb="FF63C384"/>
              <x14:negativeFillColor rgb="FFFF0000"/>
              <x14:negativeBorderColor rgb="FFFF0000"/>
              <x14:axisColor rgb="FF000000"/>
            </x14:dataBar>
          </x14:cfRule>
          <xm:sqref>AG37</xm:sqref>
        </x14:conditionalFormatting>
        <x14:conditionalFormatting xmlns:xm="http://schemas.microsoft.com/office/excel/2006/main">
          <x14:cfRule type="dataBar" id="{6CED8230-A190-4CC7-8662-8703C15A8C7E}">
            <x14:dataBar minLength="0" maxLength="100" border="1" negativeBarBorderColorSameAsPositive="0">
              <x14:cfvo type="autoMin"/>
              <x14:cfvo type="autoMax"/>
              <x14:borderColor rgb="FF63C384"/>
              <x14:negativeFillColor rgb="FFFF0000"/>
              <x14:negativeBorderColor rgb="FFFF0000"/>
              <x14:axisColor rgb="FF000000"/>
            </x14:dataBar>
          </x14:cfRule>
          <xm:sqref>AG38:AG39</xm:sqref>
        </x14:conditionalFormatting>
        <x14:conditionalFormatting xmlns:xm="http://schemas.microsoft.com/office/excel/2006/main">
          <x14:cfRule type="dataBar" id="{15E98ABE-0225-47B9-84D2-521872D89C5B}">
            <x14:dataBar minLength="0" maxLength="100" border="1" negativeBarBorderColorSameAsPositive="0">
              <x14:cfvo type="autoMin"/>
              <x14:cfvo type="autoMax"/>
              <x14:borderColor rgb="FF63C384"/>
              <x14:negativeFillColor rgb="FFFF0000"/>
              <x14:negativeBorderColor rgb="FFFF0000"/>
              <x14:axisColor rgb="FF000000"/>
            </x14:dataBar>
          </x14:cfRule>
          <xm:sqref>AG38:AG39</xm:sqref>
        </x14:conditionalFormatting>
        <x14:conditionalFormatting xmlns:xm="http://schemas.microsoft.com/office/excel/2006/main">
          <x14:cfRule type="dataBar" id="{2C68E705-D2FF-400D-9E85-5F34DC129D90}">
            <x14:dataBar minLength="0" maxLength="100" border="1" negativeBarBorderColorSameAsPositive="0">
              <x14:cfvo type="autoMin"/>
              <x14:cfvo type="autoMax"/>
              <x14:borderColor rgb="FF63C384"/>
              <x14:negativeFillColor rgb="FFFF0000"/>
              <x14:negativeBorderColor rgb="FFFF0000"/>
              <x14:axisColor rgb="FF000000"/>
            </x14:dataBar>
          </x14:cfRule>
          <xm:sqref>AG40</xm:sqref>
        </x14:conditionalFormatting>
        <x14:conditionalFormatting xmlns:xm="http://schemas.microsoft.com/office/excel/2006/main">
          <x14:cfRule type="dataBar" id="{A41016A2-00F5-4DF2-99E7-7D318AC0E0BB}">
            <x14:dataBar minLength="0" maxLength="100" border="1" negativeBarBorderColorSameAsPositive="0">
              <x14:cfvo type="autoMin"/>
              <x14:cfvo type="autoMax"/>
              <x14:borderColor rgb="FF63C384"/>
              <x14:negativeFillColor rgb="FFFF0000"/>
              <x14:negativeBorderColor rgb="FFFF0000"/>
              <x14:axisColor rgb="FF000000"/>
            </x14:dataBar>
          </x14:cfRule>
          <xm:sqref>AG40</xm:sqref>
        </x14:conditionalFormatting>
        <x14:conditionalFormatting xmlns:xm="http://schemas.microsoft.com/office/excel/2006/main">
          <x14:cfRule type="dataBar" id="{716A2EC6-3B77-4DD9-A412-751D9895933B}">
            <x14:dataBar minLength="0" maxLength="100" border="1" negativeBarBorderColorSameAsPositive="0">
              <x14:cfvo type="autoMin"/>
              <x14:cfvo type="autoMax"/>
              <x14:borderColor rgb="FF63C384"/>
              <x14:negativeFillColor rgb="FFFF0000"/>
              <x14:negativeBorderColor rgb="FFFF0000"/>
              <x14:axisColor rgb="FF000000"/>
            </x14:dataBar>
          </x14:cfRule>
          <xm:sqref>AG40</xm:sqref>
        </x14:conditionalFormatting>
        <x14:conditionalFormatting xmlns:xm="http://schemas.microsoft.com/office/excel/2006/main">
          <x14:cfRule type="dataBar" id="{4C1B3AF2-97D1-4ACB-95AF-04CFBA7168EC}">
            <x14:dataBar minLength="0" maxLength="100" border="1" negativeBarBorderColorSameAsPositive="0">
              <x14:cfvo type="autoMin"/>
              <x14:cfvo type="autoMax"/>
              <x14:borderColor rgb="FF63C384"/>
              <x14:negativeFillColor rgb="FFFF0000"/>
              <x14:negativeBorderColor rgb="FFFF0000"/>
              <x14:axisColor rgb="FF000000"/>
            </x14:dataBar>
          </x14:cfRule>
          <xm:sqref>AG40</xm:sqref>
        </x14:conditionalFormatting>
        <x14:conditionalFormatting xmlns:xm="http://schemas.microsoft.com/office/excel/2006/main">
          <x14:cfRule type="dataBar" id="{AFD21B1F-E7F5-4B02-AD59-B6843878484B}">
            <x14:dataBar minLength="0" maxLength="100" border="1" negativeBarBorderColorSameAsPositive="0">
              <x14:cfvo type="autoMin"/>
              <x14:cfvo type="autoMax"/>
              <x14:borderColor rgb="FF63C384"/>
              <x14:negativeFillColor rgb="FFFF0000"/>
              <x14:negativeBorderColor rgb="FFFF0000"/>
              <x14:axisColor rgb="FF000000"/>
            </x14:dataBar>
          </x14:cfRule>
          <xm:sqref>AG41</xm:sqref>
        </x14:conditionalFormatting>
        <x14:conditionalFormatting xmlns:xm="http://schemas.microsoft.com/office/excel/2006/main">
          <x14:cfRule type="dataBar" id="{FFDFBE66-EE07-4888-B60B-F69CCE3632E8}">
            <x14:dataBar minLength="0" maxLength="100" border="1" negativeBarBorderColorSameAsPositive="0">
              <x14:cfvo type="autoMin"/>
              <x14:cfvo type="autoMax"/>
              <x14:borderColor rgb="FF63C384"/>
              <x14:negativeFillColor rgb="FFFF0000"/>
              <x14:negativeBorderColor rgb="FFFF0000"/>
              <x14:axisColor rgb="FF000000"/>
            </x14:dataBar>
          </x14:cfRule>
          <xm:sqref>AG41</xm:sqref>
        </x14:conditionalFormatting>
        <x14:conditionalFormatting xmlns:xm="http://schemas.microsoft.com/office/excel/2006/main">
          <x14:cfRule type="dataBar" id="{9713F20A-E05C-4C9F-99EE-8492EE66F05E}">
            <x14:dataBar minLength="0" maxLength="100" border="1" negativeBarBorderColorSameAsPositive="0">
              <x14:cfvo type="autoMin"/>
              <x14:cfvo type="autoMax"/>
              <x14:borderColor rgb="FF63C384"/>
              <x14:negativeFillColor rgb="FFFF0000"/>
              <x14:negativeBorderColor rgb="FFFF0000"/>
              <x14:axisColor rgb="FF000000"/>
            </x14:dataBar>
          </x14:cfRule>
          <xm:sqref>AG42</xm:sqref>
        </x14:conditionalFormatting>
        <x14:conditionalFormatting xmlns:xm="http://schemas.microsoft.com/office/excel/2006/main">
          <x14:cfRule type="dataBar" id="{92901671-36EA-4F50-824A-AE2507C70CCC}">
            <x14:dataBar minLength="0" maxLength="100" border="1" negativeBarBorderColorSameAsPositive="0">
              <x14:cfvo type="autoMin"/>
              <x14:cfvo type="autoMax"/>
              <x14:borderColor rgb="FF63C384"/>
              <x14:negativeFillColor rgb="FFFF0000"/>
              <x14:negativeBorderColor rgb="FFFF0000"/>
              <x14:axisColor rgb="FF000000"/>
            </x14:dataBar>
          </x14:cfRule>
          <xm:sqref>AG42</xm:sqref>
        </x14:conditionalFormatting>
        <x14:conditionalFormatting xmlns:xm="http://schemas.microsoft.com/office/excel/2006/main">
          <x14:cfRule type="dataBar" id="{3DE3789D-CB49-40BF-B029-FA6FEEE99301}">
            <x14:dataBar minLength="0" maxLength="100" border="1" negativeBarBorderColorSameAsPositive="0">
              <x14:cfvo type="autoMin"/>
              <x14:cfvo type="autoMax"/>
              <x14:borderColor rgb="FF63C384"/>
              <x14:negativeFillColor rgb="FFFF0000"/>
              <x14:negativeBorderColor rgb="FFFF0000"/>
              <x14:axisColor rgb="FF000000"/>
            </x14:dataBar>
          </x14:cfRule>
          <xm:sqref>AG43</xm:sqref>
        </x14:conditionalFormatting>
        <x14:conditionalFormatting xmlns:xm="http://schemas.microsoft.com/office/excel/2006/main">
          <x14:cfRule type="dataBar" id="{6C3CA3FA-C348-4276-BF4F-55C4BE7F3867}">
            <x14:dataBar minLength="0" maxLength="100" border="1" negativeBarBorderColorSameAsPositive="0">
              <x14:cfvo type="autoMin"/>
              <x14:cfvo type="autoMax"/>
              <x14:borderColor rgb="FF63C384"/>
              <x14:negativeFillColor rgb="FFFF0000"/>
              <x14:negativeBorderColor rgb="FFFF0000"/>
              <x14:axisColor rgb="FF000000"/>
            </x14:dataBar>
          </x14:cfRule>
          <xm:sqref>AG43</xm:sqref>
        </x14:conditionalFormatting>
        <x14:conditionalFormatting xmlns:xm="http://schemas.microsoft.com/office/excel/2006/main">
          <x14:cfRule type="dataBar" id="{912C37DE-771A-436B-9506-502B73350ED0}">
            <x14:dataBar minLength="0" maxLength="100" border="1" negativeBarBorderColorSameAsPositive="0">
              <x14:cfvo type="autoMin"/>
              <x14:cfvo type="autoMax"/>
              <x14:borderColor rgb="FF63C384"/>
              <x14:negativeFillColor rgb="FFFF0000"/>
              <x14:negativeBorderColor rgb="FFFF0000"/>
              <x14:axisColor rgb="FF000000"/>
            </x14:dataBar>
          </x14:cfRule>
          <xm:sqref>AG45</xm:sqref>
        </x14:conditionalFormatting>
        <x14:conditionalFormatting xmlns:xm="http://schemas.microsoft.com/office/excel/2006/main">
          <x14:cfRule type="dataBar" id="{854E1B74-5190-4207-9ECA-33CC3E3296B8}">
            <x14:dataBar minLength="0" maxLength="100" border="1" negativeBarBorderColorSameAsPositive="0">
              <x14:cfvo type="autoMin"/>
              <x14:cfvo type="autoMax"/>
              <x14:borderColor rgb="FF63C384"/>
              <x14:negativeFillColor rgb="FFFF0000"/>
              <x14:negativeBorderColor rgb="FFFF0000"/>
              <x14:axisColor rgb="FF000000"/>
            </x14:dataBar>
          </x14:cfRule>
          <xm:sqref>AG45</xm:sqref>
        </x14:conditionalFormatting>
        <x14:conditionalFormatting xmlns:xm="http://schemas.microsoft.com/office/excel/2006/main">
          <x14:cfRule type="dataBar" id="{41D46DFC-E1AD-4A5C-816D-1130383E9C8E}">
            <x14:dataBar minLength="0" maxLength="100" border="1" negativeBarBorderColorSameAsPositive="0">
              <x14:cfvo type="autoMin"/>
              <x14:cfvo type="autoMax"/>
              <x14:borderColor rgb="FF63C384"/>
              <x14:negativeFillColor rgb="FFFF0000"/>
              <x14:negativeBorderColor rgb="FFFF0000"/>
              <x14:axisColor rgb="FF000000"/>
            </x14:dataBar>
          </x14:cfRule>
          <xm:sqref>AG45</xm:sqref>
        </x14:conditionalFormatting>
        <x14:conditionalFormatting xmlns:xm="http://schemas.microsoft.com/office/excel/2006/main">
          <x14:cfRule type="dataBar" id="{D16C4BC2-BA7A-4BD1-B7B0-E592F5728FFA}">
            <x14:dataBar minLength="0" maxLength="100" border="1" negativeBarBorderColorSameAsPositive="0">
              <x14:cfvo type="autoMin"/>
              <x14:cfvo type="autoMax"/>
              <x14:borderColor rgb="FF63C384"/>
              <x14:negativeFillColor rgb="FFFF0000"/>
              <x14:negativeBorderColor rgb="FFFF0000"/>
              <x14:axisColor rgb="FF000000"/>
            </x14:dataBar>
          </x14:cfRule>
          <xm:sqref>AG45</xm:sqref>
        </x14:conditionalFormatting>
        <x14:conditionalFormatting xmlns:xm="http://schemas.microsoft.com/office/excel/2006/main">
          <x14:cfRule type="dataBar" id="{A14D1251-4506-464D-AFA0-97B73B4426CC}">
            <x14:dataBar minLength="0" maxLength="100" border="1" negativeBarBorderColorSameAsPositive="0">
              <x14:cfvo type="autoMin"/>
              <x14:cfvo type="autoMax"/>
              <x14:borderColor rgb="FF63C384"/>
              <x14:negativeFillColor rgb="FFFF0000"/>
              <x14:negativeBorderColor rgb="FFFF0000"/>
              <x14:axisColor rgb="FF000000"/>
            </x14:dataBar>
          </x14:cfRule>
          <xm:sqref>AG45</xm:sqref>
        </x14:conditionalFormatting>
        <x14:conditionalFormatting xmlns:xm="http://schemas.microsoft.com/office/excel/2006/main">
          <x14:cfRule type="dataBar" id="{1120071D-6458-4DB1-94D6-384B3C5CDC84}">
            <x14:dataBar minLength="0" maxLength="100" border="1" negativeBarBorderColorSameAsPositive="0">
              <x14:cfvo type="autoMin"/>
              <x14:cfvo type="autoMax"/>
              <x14:borderColor rgb="FF63C384"/>
              <x14:negativeFillColor rgb="FFFF0000"/>
              <x14:negativeBorderColor rgb="FFFF0000"/>
              <x14:axisColor rgb="FF000000"/>
            </x14:dataBar>
          </x14:cfRule>
          <xm:sqref>AG45</xm:sqref>
        </x14:conditionalFormatting>
        <x14:conditionalFormatting xmlns:xm="http://schemas.microsoft.com/office/excel/2006/main">
          <x14:cfRule type="dataBar" id="{8F3D2019-C393-4A9E-A43F-D82DD106AA74}">
            <x14:dataBar minLength="0" maxLength="100" border="1" negativeBarBorderColorSameAsPositive="0">
              <x14:cfvo type="autoMin"/>
              <x14:cfvo type="autoMax"/>
              <x14:borderColor rgb="FF63C384"/>
              <x14:negativeFillColor rgb="FFFF0000"/>
              <x14:negativeBorderColor rgb="FFFF0000"/>
              <x14:axisColor rgb="FF000000"/>
            </x14:dataBar>
          </x14:cfRule>
          <xm:sqref>AG45</xm:sqref>
        </x14:conditionalFormatting>
        <x14:conditionalFormatting xmlns:xm="http://schemas.microsoft.com/office/excel/2006/main">
          <x14:cfRule type="dataBar" id="{B676D0F5-BD0F-4531-9DCD-CED95113CB43}">
            <x14:dataBar minLength="0" maxLength="100" border="1" negativeBarBorderColorSameAsPositive="0">
              <x14:cfvo type="autoMin"/>
              <x14:cfvo type="autoMax"/>
              <x14:borderColor rgb="FF63C384"/>
              <x14:negativeFillColor rgb="FFFF0000"/>
              <x14:negativeBorderColor rgb="FFFF0000"/>
              <x14:axisColor rgb="FF000000"/>
            </x14:dataBar>
          </x14:cfRule>
          <xm:sqref>AG45</xm:sqref>
        </x14:conditionalFormatting>
        <x14:conditionalFormatting xmlns:xm="http://schemas.microsoft.com/office/excel/2006/main">
          <x14:cfRule type="dataBar" id="{E6B6E8D4-66FA-49E0-A823-C5EE0CD47BBD}">
            <x14:dataBar minLength="0" maxLength="100" border="1" negativeBarBorderColorSameAsPositive="0">
              <x14:cfvo type="autoMin"/>
              <x14:cfvo type="autoMax"/>
              <x14:borderColor rgb="FF63C384"/>
              <x14:negativeFillColor rgb="FFFF0000"/>
              <x14:negativeBorderColor rgb="FFFF0000"/>
              <x14:axisColor rgb="FF000000"/>
            </x14:dataBar>
          </x14:cfRule>
          <xm:sqref>AG44</xm:sqref>
        </x14:conditionalFormatting>
        <x14:conditionalFormatting xmlns:xm="http://schemas.microsoft.com/office/excel/2006/main">
          <x14:cfRule type="dataBar" id="{6148C1AC-88F3-4A6D-8845-4E0AE44B52F9}">
            <x14:dataBar minLength="0" maxLength="100" border="1" negativeBarBorderColorSameAsPositive="0">
              <x14:cfvo type="autoMin"/>
              <x14:cfvo type="autoMax"/>
              <x14:borderColor rgb="FF63C384"/>
              <x14:negativeFillColor rgb="FFFF0000"/>
              <x14:negativeBorderColor rgb="FFFF0000"/>
              <x14:axisColor rgb="FF000000"/>
            </x14:dataBar>
          </x14:cfRule>
          <xm:sqref>AG46</xm:sqref>
        </x14:conditionalFormatting>
        <x14:conditionalFormatting xmlns:xm="http://schemas.microsoft.com/office/excel/2006/main">
          <x14:cfRule type="dataBar" id="{688EA4BD-49A0-44C4-B80B-A5787A81A482}">
            <x14:dataBar minLength="0" maxLength="100" border="1" negativeBarBorderColorSameAsPositive="0">
              <x14:cfvo type="autoMin"/>
              <x14:cfvo type="autoMax"/>
              <x14:borderColor rgb="FF63C384"/>
              <x14:negativeFillColor rgb="FFFF0000"/>
              <x14:negativeBorderColor rgb="FFFF0000"/>
              <x14:axisColor rgb="FF000000"/>
            </x14:dataBar>
          </x14:cfRule>
          <xm:sqref>AG48</xm:sqref>
        </x14:conditionalFormatting>
        <x14:conditionalFormatting xmlns:xm="http://schemas.microsoft.com/office/excel/2006/main">
          <x14:cfRule type="dataBar" id="{5D36E32A-F6EE-4CBB-B715-DA2CB2A67813}">
            <x14:dataBar minLength="0" maxLength="100" border="1" negativeBarBorderColorSameAsPositive="0">
              <x14:cfvo type="autoMin"/>
              <x14:cfvo type="autoMax"/>
              <x14:borderColor rgb="FF63C384"/>
              <x14:negativeFillColor rgb="FFFF0000"/>
              <x14:negativeBorderColor rgb="FFFF0000"/>
              <x14:axisColor rgb="FF000000"/>
            </x14:dataBar>
          </x14:cfRule>
          <xm:sqref>AG48</xm:sqref>
        </x14:conditionalFormatting>
        <x14:conditionalFormatting xmlns:xm="http://schemas.microsoft.com/office/excel/2006/main">
          <x14:cfRule type="dataBar" id="{8B1B77BD-39DD-421F-96B0-DE2C4B966917}">
            <x14:dataBar minLength="0" maxLength="100" border="1" negativeBarBorderColorSameAsPositive="0">
              <x14:cfvo type="autoMin"/>
              <x14:cfvo type="autoMax"/>
              <x14:borderColor rgb="FF63C384"/>
              <x14:negativeFillColor rgb="FFFF0000"/>
              <x14:negativeBorderColor rgb="FFFF0000"/>
              <x14:axisColor rgb="FF000000"/>
            </x14:dataBar>
          </x14:cfRule>
          <xm:sqref>AG47</xm:sqref>
        </x14:conditionalFormatting>
        <x14:conditionalFormatting xmlns:xm="http://schemas.microsoft.com/office/excel/2006/main">
          <x14:cfRule type="dataBar" id="{1662EE69-932C-41C1-AC62-929C05D8309F}">
            <x14:dataBar minLength="0" maxLength="100" border="1" negativeBarBorderColorSameAsPositive="0">
              <x14:cfvo type="autoMin"/>
              <x14:cfvo type="autoMax"/>
              <x14:borderColor rgb="FF63C384"/>
              <x14:negativeFillColor rgb="FFFF0000"/>
              <x14:negativeBorderColor rgb="FFFF0000"/>
              <x14:axisColor rgb="FF000000"/>
            </x14:dataBar>
          </x14:cfRule>
          <xm:sqref>AG47</xm:sqref>
        </x14:conditionalFormatting>
        <x14:conditionalFormatting xmlns:xm="http://schemas.microsoft.com/office/excel/2006/main">
          <x14:cfRule type="dataBar" id="{64E41112-05AF-4544-83BD-F2D2C58E7CDF}">
            <x14:dataBar minLength="0" maxLength="100" border="1" negativeBarBorderColorSameAsPositive="0">
              <x14:cfvo type="autoMin"/>
              <x14:cfvo type="autoMax"/>
              <x14:borderColor rgb="FF63C384"/>
              <x14:negativeFillColor rgb="FFFF0000"/>
              <x14:negativeBorderColor rgb="FFFF0000"/>
              <x14:axisColor rgb="FF000000"/>
            </x14:dataBar>
          </x14:cfRule>
          <xm:sqref>AG47</xm:sqref>
        </x14:conditionalFormatting>
        <x14:conditionalFormatting xmlns:xm="http://schemas.microsoft.com/office/excel/2006/main">
          <x14:cfRule type="dataBar" id="{CB657D50-5D51-4AEC-8DE4-4E48182D6244}">
            <x14:dataBar minLength="0" maxLength="100" border="1" negativeBarBorderColorSameAsPositive="0">
              <x14:cfvo type="autoMin"/>
              <x14:cfvo type="autoMax"/>
              <x14:borderColor rgb="FF63C384"/>
              <x14:negativeFillColor rgb="FFFF0000"/>
              <x14:negativeBorderColor rgb="FFFF0000"/>
              <x14:axisColor rgb="FF000000"/>
            </x14:dataBar>
          </x14:cfRule>
          <xm:sqref>AG47</xm:sqref>
        </x14:conditionalFormatting>
        <x14:conditionalFormatting xmlns:xm="http://schemas.microsoft.com/office/excel/2006/main">
          <x14:cfRule type="dataBar" id="{6D634221-EBF8-4EFC-BD0C-6BAFBF8827FC}">
            <x14:dataBar minLength="0" maxLength="100" border="1" negativeBarBorderColorSameAsPositive="0">
              <x14:cfvo type="autoMin"/>
              <x14:cfvo type="autoMax"/>
              <x14:borderColor rgb="FF63C384"/>
              <x14:negativeFillColor rgb="FFFF0000"/>
              <x14:negativeBorderColor rgb="FFFF0000"/>
              <x14:axisColor rgb="FF000000"/>
            </x14:dataBar>
          </x14:cfRule>
          <xm:sqref>AG49</xm:sqref>
        </x14:conditionalFormatting>
        <x14:conditionalFormatting xmlns:xm="http://schemas.microsoft.com/office/excel/2006/main">
          <x14:cfRule type="dataBar" id="{089BDEE5-D142-4C9D-A48B-D7428191689A}">
            <x14:dataBar minLength="0" maxLength="100" border="1" negativeBarBorderColorSameAsPositive="0">
              <x14:cfvo type="autoMin"/>
              <x14:cfvo type="autoMax"/>
              <x14:borderColor rgb="FF63C384"/>
              <x14:negativeFillColor rgb="FFFF0000"/>
              <x14:negativeBorderColor rgb="FFFF0000"/>
              <x14:axisColor rgb="FF000000"/>
            </x14:dataBar>
          </x14:cfRule>
          <xm:sqref>AG49</xm:sqref>
        </x14:conditionalFormatting>
        <x14:conditionalFormatting xmlns:xm="http://schemas.microsoft.com/office/excel/2006/main">
          <x14:cfRule type="dataBar" id="{596F8C04-94D8-4A1C-900A-15BD8C6941CA}">
            <x14:dataBar minLength="0" maxLength="100" border="1" negativeBarBorderColorSameAsPositive="0">
              <x14:cfvo type="autoMin"/>
              <x14:cfvo type="autoMax"/>
              <x14:borderColor rgb="FF63C384"/>
              <x14:negativeFillColor rgb="FFFF0000"/>
              <x14:negativeBorderColor rgb="FFFF0000"/>
              <x14:axisColor rgb="FF000000"/>
            </x14:dataBar>
          </x14:cfRule>
          <xm:sqref>AG49</xm:sqref>
        </x14:conditionalFormatting>
        <x14:conditionalFormatting xmlns:xm="http://schemas.microsoft.com/office/excel/2006/main">
          <x14:cfRule type="dataBar" id="{92FAFAAA-508A-444E-8B52-D6198FE5A456}">
            <x14:dataBar minLength="0" maxLength="100" border="1" negativeBarBorderColorSameAsPositive="0">
              <x14:cfvo type="autoMin"/>
              <x14:cfvo type="autoMax"/>
              <x14:borderColor rgb="FF63C384"/>
              <x14:negativeFillColor rgb="FFFF0000"/>
              <x14:negativeBorderColor rgb="FFFF0000"/>
              <x14:axisColor rgb="FF000000"/>
            </x14:dataBar>
          </x14:cfRule>
          <xm:sqref>AG49</xm:sqref>
        </x14:conditionalFormatting>
        <x14:conditionalFormatting xmlns:xm="http://schemas.microsoft.com/office/excel/2006/main">
          <x14:cfRule type="dataBar" id="{AF80682C-0C32-4B9F-9F7F-AF1C0785A0E3}">
            <x14:dataBar minLength="0" maxLength="100" border="1" negativeBarBorderColorSameAsPositive="0">
              <x14:cfvo type="autoMin"/>
              <x14:cfvo type="autoMax"/>
              <x14:borderColor rgb="FF63C384"/>
              <x14:negativeFillColor rgb="FFFF0000"/>
              <x14:negativeBorderColor rgb="FFFF0000"/>
              <x14:axisColor rgb="FF000000"/>
            </x14:dataBar>
          </x14:cfRule>
          <xm:sqref>AG52:AG54</xm:sqref>
        </x14:conditionalFormatting>
        <x14:conditionalFormatting xmlns:xm="http://schemas.microsoft.com/office/excel/2006/main">
          <x14:cfRule type="dataBar" id="{F27B82A7-40C9-42C9-AED5-3AF74543A05C}">
            <x14:dataBar minLength="0" maxLength="100" border="1" negativeBarBorderColorSameAsPositive="0">
              <x14:cfvo type="autoMin"/>
              <x14:cfvo type="autoMax"/>
              <x14:borderColor rgb="FF63C384"/>
              <x14:negativeFillColor rgb="FFFF0000"/>
              <x14:negativeBorderColor rgb="FFFF0000"/>
              <x14:axisColor rgb="FF000000"/>
            </x14:dataBar>
          </x14:cfRule>
          <xm:sqref>AG52:AG54</xm:sqref>
        </x14:conditionalFormatting>
        <x14:conditionalFormatting xmlns:xm="http://schemas.microsoft.com/office/excel/2006/main">
          <x14:cfRule type="dataBar" id="{646D9C7F-117E-4F22-BBF6-16ABD821AFD6}">
            <x14:dataBar minLength="0" maxLength="100" border="1" negativeBarBorderColorSameAsPositive="0">
              <x14:cfvo type="autoMin"/>
              <x14:cfvo type="autoMax"/>
              <x14:borderColor rgb="FF63C384"/>
              <x14:negativeFillColor rgb="FFFF0000"/>
              <x14:negativeBorderColor rgb="FFFF0000"/>
              <x14:axisColor rgb="FF000000"/>
            </x14:dataBar>
          </x14:cfRule>
          <xm:sqref>AG50:AG51</xm:sqref>
        </x14:conditionalFormatting>
        <x14:conditionalFormatting xmlns:xm="http://schemas.microsoft.com/office/excel/2006/main">
          <x14:cfRule type="dataBar" id="{D32E66EA-66D3-4DF3-88BB-EAACE41E3832}">
            <x14:dataBar minLength="0" maxLength="100" border="1" negativeBarBorderColorSameAsPositive="0">
              <x14:cfvo type="autoMin"/>
              <x14:cfvo type="autoMax"/>
              <x14:borderColor rgb="FF63C384"/>
              <x14:negativeFillColor rgb="FFFF0000"/>
              <x14:negativeBorderColor rgb="FFFF0000"/>
              <x14:axisColor rgb="FF000000"/>
            </x14:dataBar>
          </x14:cfRule>
          <xm:sqref>AG56</xm:sqref>
        </x14:conditionalFormatting>
        <x14:conditionalFormatting xmlns:xm="http://schemas.microsoft.com/office/excel/2006/main">
          <x14:cfRule type="dataBar" id="{50DB91CD-AE37-4B9F-BED1-1C822918D16B}">
            <x14:dataBar minLength="0" maxLength="100" border="1" negativeBarBorderColorSameAsPositive="0">
              <x14:cfvo type="autoMin"/>
              <x14:cfvo type="autoMax"/>
              <x14:borderColor rgb="FF63C384"/>
              <x14:negativeFillColor rgb="FFFF0000"/>
              <x14:negativeBorderColor rgb="FFFF0000"/>
              <x14:axisColor rgb="FF000000"/>
            </x14:dataBar>
          </x14:cfRule>
          <xm:sqref>AG56</xm:sqref>
        </x14:conditionalFormatting>
        <x14:conditionalFormatting xmlns:xm="http://schemas.microsoft.com/office/excel/2006/main">
          <x14:cfRule type="dataBar" id="{CC9B0E91-8B25-4A1D-B05F-3AB47A2CDC2D}">
            <x14:dataBar minLength="0" maxLength="100" border="1" negativeBarBorderColorSameAsPositive="0">
              <x14:cfvo type="autoMin"/>
              <x14:cfvo type="autoMax"/>
              <x14:borderColor rgb="FF63C384"/>
              <x14:negativeFillColor rgb="FFFF0000"/>
              <x14:negativeBorderColor rgb="FFFF0000"/>
              <x14:axisColor rgb="FF000000"/>
            </x14:dataBar>
          </x14:cfRule>
          <xm:sqref>AG57</xm:sqref>
        </x14:conditionalFormatting>
        <x14:conditionalFormatting xmlns:xm="http://schemas.microsoft.com/office/excel/2006/main">
          <x14:cfRule type="dataBar" id="{4CCCD723-025D-4EB1-89D2-FD0B566A34E0}">
            <x14:dataBar minLength="0" maxLength="100" border="1" negativeBarBorderColorSameAsPositive="0">
              <x14:cfvo type="autoMin"/>
              <x14:cfvo type="autoMax"/>
              <x14:borderColor rgb="FF63C384"/>
              <x14:negativeFillColor rgb="FFFF0000"/>
              <x14:negativeBorderColor rgb="FFFF0000"/>
              <x14:axisColor rgb="FF000000"/>
            </x14:dataBar>
          </x14:cfRule>
          <xm:sqref>AG57</xm:sqref>
        </x14:conditionalFormatting>
        <x14:conditionalFormatting xmlns:xm="http://schemas.microsoft.com/office/excel/2006/main">
          <x14:cfRule type="dataBar" id="{0116130E-0EFC-4E81-8E57-C43EE2CA7CE9}">
            <x14:dataBar minLength="0" maxLength="100" border="1" negativeBarBorderColorSameAsPositive="0">
              <x14:cfvo type="autoMin"/>
              <x14:cfvo type="autoMax"/>
              <x14:borderColor rgb="FF63C384"/>
              <x14:negativeFillColor rgb="FFFF0000"/>
              <x14:negativeBorderColor rgb="FFFF0000"/>
              <x14:axisColor rgb="FF000000"/>
            </x14:dataBar>
          </x14:cfRule>
          <xm:sqref>AG57</xm:sqref>
        </x14:conditionalFormatting>
        <x14:conditionalFormatting xmlns:xm="http://schemas.microsoft.com/office/excel/2006/main">
          <x14:cfRule type="dataBar" id="{9B88EF0C-D902-4801-8B8F-E0199E6A0560}">
            <x14:dataBar minLength="0" maxLength="100" border="1" negativeBarBorderColorSameAsPositive="0">
              <x14:cfvo type="autoMin"/>
              <x14:cfvo type="autoMax"/>
              <x14:borderColor rgb="FF63C384"/>
              <x14:negativeFillColor rgb="FFFF0000"/>
              <x14:negativeBorderColor rgb="FFFF0000"/>
              <x14:axisColor rgb="FF000000"/>
            </x14:dataBar>
          </x14:cfRule>
          <xm:sqref>AG57</xm:sqref>
        </x14:conditionalFormatting>
        <x14:conditionalFormatting xmlns:xm="http://schemas.microsoft.com/office/excel/2006/main">
          <x14:cfRule type="dataBar" id="{8233BD2C-70C8-4F99-A9FA-FBDA984CE93F}">
            <x14:dataBar minLength="0" maxLength="100" border="1" negativeBarBorderColorSameAsPositive="0">
              <x14:cfvo type="autoMin"/>
              <x14:cfvo type="autoMax"/>
              <x14:borderColor rgb="FF63C384"/>
              <x14:negativeFillColor rgb="FFFF0000"/>
              <x14:negativeBorderColor rgb="FFFF0000"/>
              <x14:axisColor rgb="FF000000"/>
            </x14:dataBar>
          </x14:cfRule>
          <xm:sqref>AG58</xm:sqref>
        </x14:conditionalFormatting>
        <x14:conditionalFormatting xmlns:xm="http://schemas.microsoft.com/office/excel/2006/main">
          <x14:cfRule type="dataBar" id="{E62DD41E-2EB3-4C2C-9D82-87C7F2401EBE}">
            <x14:dataBar minLength="0" maxLength="100" border="1" negativeBarBorderColorSameAsPositive="0">
              <x14:cfvo type="autoMin"/>
              <x14:cfvo type="autoMax"/>
              <x14:borderColor rgb="FF63C384"/>
              <x14:negativeFillColor rgb="FFFF0000"/>
              <x14:negativeBorderColor rgb="FFFF0000"/>
              <x14:axisColor rgb="FF000000"/>
            </x14:dataBar>
          </x14:cfRule>
          <xm:sqref>AG58</xm:sqref>
        </x14:conditionalFormatting>
        <x14:conditionalFormatting xmlns:xm="http://schemas.microsoft.com/office/excel/2006/main">
          <x14:cfRule type="dataBar" id="{B6C5DAE6-4106-4792-B765-1FBB547A0066}">
            <x14:dataBar minLength="0" maxLength="100" border="1" negativeBarBorderColorSameAsPositive="0">
              <x14:cfvo type="autoMin"/>
              <x14:cfvo type="autoMax"/>
              <x14:borderColor rgb="FF63C384"/>
              <x14:negativeFillColor rgb="FFFF0000"/>
              <x14:negativeBorderColor rgb="FFFF0000"/>
              <x14:axisColor rgb="FF000000"/>
            </x14:dataBar>
          </x14:cfRule>
          <xm:sqref>AG59</xm:sqref>
        </x14:conditionalFormatting>
        <x14:conditionalFormatting xmlns:xm="http://schemas.microsoft.com/office/excel/2006/main">
          <x14:cfRule type="dataBar" id="{A76FDB57-291C-4410-9967-D3094AF3D8BE}">
            <x14:dataBar minLength="0" maxLength="100" border="1" negativeBarBorderColorSameAsPositive="0">
              <x14:cfvo type="autoMin"/>
              <x14:cfvo type="autoMax"/>
              <x14:borderColor rgb="FF63C384"/>
              <x14:negativeFillColor rgb="FFFF0000"/>
              <x14:negativeBorderColor rgb="FFFF0000"/>
              <x14:axisColor rgb="FF000000"/>
            </x14:dataBar>
          </x14:cfRule>
          <xm:sqref>AG59</xm:sqref>
        </x14:conditionalFormatting>
        <x14:conditionalFormatting xmlns:xm="http://schemas.microsoft.com/office/excel/2006/main">
          <x14:cfRule type="dataBar" id="{C0F34EE5-5E33-44D4-9AE2-D3D6289EAFF6}">
            <x14:dataBar minLength="0" maxLength="100" border="1" negativeBarBorderColorSameAsPositive="0">
              <x14:cfvo type="autoMin"/>
              <x14:cfvo type="autoMax"/>
              <x14:borderColor rgb="FF63C384"/>
              <x14:negativeFillColor rgb="FFFF0000"/>
              <x14:negativeBorderColor rgb="FFFF0000"/>
              <x14:axisColor rgb="FF000000"/>
            </x14:dataBar>
          </x14:cfRule>
          <xm:sqref>AG60</xm:sqref>
        </x14:conditionalFormatting>
        <x14:conditionalFormatting xmlns:xm="http://schemas.microsoft.com/office/excel/2006/main">
          <x14:cfRule type="dataBar" id="{D1130922-0004-4AF9-9F68-852AF51B7E08}">
            <x14:dataBar minLength="0" maxLength="100" border="1" negativeBarBorderColorSameAsPositive="0">
              <x14:cfvo type="autoMin"/>
              <x14:cfvo type="autoMax"/>
              <x14:borderColor rgb="FF63C384"/>
              <x14:negativeFillColor rgb="FFFF0000"/>
              <x14:negativeBorderColor rgb="FFFF0000"/>
              <x14:axisColor rgb="FF000000"/>
            </x14:dataBar>
          </x14:cfRule>
          <xm:sqref>AG60</xm:sqref>
        </x14:conditionalFormatting>
        <x14:conditionalFormatting xmlns:xm="http://schemas.microsoft.com/office/excel/2006/main">
          <x14:cfRule type="dataBar" id="{F900A940-7D64-42AF-8402-0176AEDB0A94}">
            <x14:dataBar minLength="0" maxLength="100" border="1" negativeBarBorderColorSameAsPositive="0">
              <x14:cfvo type="autoMin"/>
              <x14:cfvo type="autoMax"/>
              <x14:borderColor rgb="FF63C384"/>
              <x14:negativeFillColor rgb="FFFF0000"/>
              <x14:negativeBorderColor rgb="FFFF0000"/>
              <x14:axisColor rgb="FF000000"/>
            </x14:dataBar>
          </x14:cfRule>
          <xm:sqref>AG61</xm:sqref>
        </x14:conditionalFormatting>
        <x14:conditionalFormatting xmlns:xm="http://schemas.microsoft.com/office/excel/2006/main">
          <x14:cfRule type="dataBar" id="{63EB8342-9C97-434B-925D-2DCD3D45A745}">
            <x14:dataBar minLength="0" maxLength="100" border="1" negativeBarBorderColorSameAsPositive="0">
              <x14:cfvo type="autoMin"/>
              <x14:cfvo type="autoMax"/>
              <x14:borderColor rgb="FF63C384"/>
              <x14:negativeFillColor rgb="FFFF0000"/>
              <x14:negativeBorderColor rgb="FFFF0000"/>
              <x14:axisColor rgb="FF000000"/>
            </x14:dataBar>
          </x14:cfRule>
          <xm:sqref>AG61</xm:sqref>
        </x14:conditionalFormatting>
        <x14:conditionalFormatting xmlns:xm="http://schemas.microsoft.com/office/excel/2006/main">
          <x14:cfRule type="dataBar" id="{4B0CB4AF-0860-4C3C-8271-42ADFC942D60}">
            <x14:dataBar minLength="0" maxLength="100" border="1" negativeBarBorderColorSameAsPositive="0">
              <x14:cfvo type="autoMin"/>
              <x14:cfvo type="autoMax"/>
              <x14:borderColor rgb="FF63C384"/>
              <x14:negativeFillColor rgb="FFFF0000"/>
              <x14:negativeBorderColor rgb="FFFF0000"/>
              <x14:axisColor rgb="FF000000"/>
            </x14:dataBar>
          </x14:cfRule>
          <xm:sqref>AG61</xm:sqref>
        </x14:conditionalFormatting>
        <x14:conditionalFormatting xmlns:xm="http://schemas.microsoft.com/office/excel/2006/main">
          <x14:cfRule type="dataBar" id="{F7831345-C8AD-42AD-8FD4-0BD138594EB2}">
            <x14:dataBar minLength="0" maxLength="100" border="1" negativeBarBorderColorSameAsPositive="0">
              <x14:cfvo type="autoMin"/>
              <x14:cfvo type="autoMax"/>
              <x14:borderColor rgb="FF63C384"/>
              <x14:negativeFillColor rgb="FFFF0000"/>
              <x14:negativeBorderColor rgb="FFFF0000"/>
              <x14:axisColor rgb="FF000000"/>
            </x14:dataBar>
          </x14:cfRule>
          <xm:sqref>AG61</xm:sqref>
        </x14:conditionalFormatting>
        <x14:conditionalFormatting xmlns:xm="http://schemas.microsoft.com/office/excel/2006/main">
          <x14:cfRule type="dataBar" id="{16FF93E8-D074-44A4-B64F-52419B4F87F4}">
            <x14:dataBar minLength="0" maxLength="100" border="1" negativeBarBorderColorSameAsPositive="0">
              <x14:cfvo type="autoMin"/>
              <x14:cfvo type="autoMax"/>
              <x14:borderColor rgb="FF63C384"/>
              <x14:negativeFillColor rgb="FFFF0000"/>
              <x14:negativeBorderColor rgb="FFFF0000"/>
              <x14:axisColor rgb="FF000000"/>
            </x14:dataBar>
          </x14:cfRule>
          <xm:sqref>AG62</xm:sqref>
        </x14:conditionalFormatting>
        <x14:conditionalFormatting xmlns:xm="http://schemas.microsoft.com/office/excel/2006/main">
          <x14:cfRule type="dataBar" id="{3B91D8B2-355F-4B80-89B4-E05794211576}">
            <x14:dataBar minLength="0" maxLength="100" border="1" negativeBarBorderColorSameAsPositive="0">
              <x14:cfvo type="autoMin"/>
              <x14:cfvo type="autoMax"/>
              <x14:borderColor rgb="FF63C384"/>
              <x14:negativeFillColor rgb="FFFF0000"/>
              <x14:negativeBorderColor rgb="FFFF0000"/>
              <x14:axisColor rgb="FF000000"/>
            </x14:dataBar>
          </x14:cfRule>
          <xm:sqref>AG62</xm:sqref>
        </x14:conditionalFormatting>
        <x14:conditionalFormatting xmlns:xm="http://schemas.microsoft.com/office/excel/2006/main">
          <x14:cfRule type="dataBar" id="{6A281752-347F-486A-A941-8C024C3B2011}">
            <x14:dataBar minLength="0" maxLength="100" border="1" negativeBarBorderColorSameAsPositive="0">
              <x14:cfvo type="autoMin"/>
              <x14:cfvo type="autoMax"/>
              <x14:borderColor rgb="FF63C384"/>
              <x14:negativeFillColor rgb="FFFF0000"/>
              <x14:negativeBorderColor rgb="FFFF0000"/>
              <x14:axisColor rgb="FF000000"/>
            </x14:dataBar>
          </x14:cfRule>
          <xm:sqref>AG62</xm:sqref>
        </x14:conditionalFormatting>
        <x14:conditionalFormatting xmlns:xm="http://schemas.microsoft.com/office/excel/2006/main">
          <x14:cfRule type="dataBar" id="{803B9E59-67F9-4880-BC0F-118FD96B3B9B}">
            <x14:dataBar minLength="0" maxLength="100" border="1" negativeBarBorderColorSameAsPositive="0">
              <x14:cfvo type="autoMin"/>
              <x14:cfvo type="autoMax"/>
              <x14:borderColor rgb="FF63C384"/>
              <x14:negativeFillColor rgb="FFFF0000"/>
              <x14:negativeBorderColor rgb="FFFF0000"/>
              <x14:axisColor rgb="FF000000"/>
            </x14:dataBar>
          </x14:cfRule>
          <xm:sqref>AG62</xm:sqref>
        </x14:conditionalFormatting>
        <x14:conditionalFormatting xmlns:xm="http://schemas.microsoft.com/office/excel/2006/main">
          <x14:cfRule type="dataBar" id="{403E2242-73C4-48E0-81C5-0BAA01EA71C8}">
            <x14:dataBar minLength="0" maxLength="100" border="1" negativeBarBorderColorSameAsPositive="0">
              <x14:cfvo type="autoMin"/>
              <x14:cfvo type="autoMax"/>
              <x14:borderColor rgb="FF63C384"/>
              <x14:negativeFillColor rgb="FFFF0000"/>
              <x14:negativeBorderColor rgb="FFFF0000"/>
              <x14:axisColor rgb="FF000000"/>
            </x14:dataBar>
          </x14:cfRule>
          <xm:sqref>AG63</xm:sqref>
        </x14:conditionalFormatting>
        <x14:conditionalFormatting xmlns:xm="http://schemas.microsoft.com/office/excel/2006/main">
          <x14:cfRule type="dataBar" id="{657D0C09-7DBC-4AF3-9E41-97337D721134}">
            <x14:dataBar minLength="0" maxLength="100" border="1" negativeBarBorderColorSameAsPositive="0">
              <x14:cfvo type="autoMin"/>
              <x14:cfvo type="autoMax"/>
              <x14:borderColor rgb="FF63C384"/>
              <x14:negativeFillColor rgb="FFFF0000"/>
              <x14:negativeBorderColor rgb="FFFF0000"/>
              <x14:axisColor rgb="FF000000"/>
            </x14:dataBar>
          </x14:cfRule>
          <xm:sqref>AG63</xm:sqref>
        </x14:conditionalFormatting>
        <x14:conditionalFormatting xmlns:xm="http://schemas.microsoft.com/office/excel/2006/main">
          <x14:cfRule type="dataBar" id="{A17E264C-08EA-47F8-9A18-24F12E325CE9}">
            <x14:dataBar minLength="0" maxLength="100" border="1" negativeBarBorderColorSameAsPositive="0">
              <x14:cfvo type="autoMin"/>
              <x14:cfvo type="autoMax"/>
              <x14:borderColor rgb="FF63C384"/>
              <x14:negativeFillColor rgb="FFFF0000"/>
              <x14:negativeBorderColor rgb="FFFF0000"/>
              <x14:axisColor rgb="FF000000"/>
            </x14:dataBar>
          </x14:cfRule>
          <xm:sqref>AG64</xm:sqref>
        </x14:conditionalFormatting>
        <x14:conditionalFormatting xmlns:xm="http://schemas.microsoft.com/office/excel/2006/main">
          <x14:cfRule type="dataBar" id="{A7272B36-99D3-4A20-8308-317A585F1B31}">
            <x14:dataBar minLength="0" maxLength="100" border="1" negativeBarBorderColorSameAsPositive="0">
              <x14:cfvo type="autoMin"/>
              <x14:cfvo type="autoMax"/>
              <x14:borderColor rgb="FF63C384"/>
              <x14:negativeFillColor rgb="FFFF0000"/>
              <x14:negativeBorderColor rgb="FFFF0000"/>
              <x14:axisColor rgb="FF000000"/>
            </x14:dataBar>
          </x14:cfRule>
          <xm:sqref>AG64</xm:sqref>
        </x14:conditionalFormatting>
        <x14:conditionalFormatting xmlns:xm="http://schemas.microsoft.com/office/excel/2006/main">
          <x14:cfRule type="dataBar" id="{C2D69CEA-7AD8-4562-B5D3-8B5645C3E909}">
            <x14:dataBar minLength="0" maxLength="100" border="1" negativeBarBorderColorSameAsPositive="0">
              <x14:cfvo type="autoMin"/>
              <x14:cfvo type="autoMax"/>
              <x14:borderColor rgb="FF63C384"/>
              <x14:negativeFillColor rgb="FFFF0000"/>
              <x14:negativeBorderColor rgb="FFFF0000"/>
              <x14:axisColor rgb="FF000000"/>
            </x14:dataBar>
          </x14:cfRule>
          <xm:sqref>AG65:AG66</xm:sqref>
        </x14:conditionalFormatting>
        <x14:conditionalFormatting xmlns:xm="http://schemas.microsoft.com/office/excel/2006/main">
          <x14:cfRule type="dataBar" id="{63C8ADAD-99CE-403F-B540-F0FAA9C3C41C}">
            <x14:dataBar minLength="0" maxLength="100" border="1" negativeBarBorderColorSameAsPositive="0">
              <x14:cfvo type="autoMin"/>
              <x14:cfvo type="autoMax"/>
              <x14:borderColor rgb="FF63C384"/>
              <x14:negativeFillColor rgb="FFFF0000"/>
              <x14:negativeBorderColor rgb="FFFF0000"/>
              <x14:axisColor rgb="FF000000"/>
            </x14:dataBar>
          </x14:cfRule>
          <xm:sqref>AG65:AG66</xm:sqref>
        </x14:conditionalFormatting>
        <x14:conditionalFormatting xmlns:xm="http://schemas.microsoft.com/office/excel/2006/main">
          <x14:cfRule type="dataBar" id="{3686D245-81EB-44E6-9BBE-4285BA577761}">
            <x14:dataBar minLength="0" maxLength="100" border="1" negativeBarBorderColorSameAsPositive="0">
              <x14:cfvo type="autoMin"/>
              <x14:cfvo type="autoMax"/>
              <x14:borderColor rgb="FF63C384"/>
              <x14:negativeFillColor rgb="FFFF0000"/>
              <x14:negativeBorderColor rgb="FFFF0000"/>
              <x14:axisColor rgb="FF000000"/>
            </x14:dataBar>
          </x14:cfRule>
          <xm:sqref>AG67</xm:sqref>
        </x14:conditionalFormatting>
        <x14:conditionalFormatting xmlns:xm="http://schemas.microsoft.com/office/excel/2006/main">
          <x14:cfRule type="dataBar" id="{41691B18-B939-478D-8B71-1E9078BA8BA8}">
            <x14:dataBar minLength="0" maxLength="100" border="1" negativeBarBorderColorSameAsPositive="0">
              <x14:cfvo type="autoMin"/>
              <x14:cfvo type="autoMax"/>
              <x14:borderColor rgb="FF63C384"/>
              <x14:negativeFillColor rgb="FFFF0000"/>
              <x14:negativeBorderColor rgb="FFFF0000"/>
              <x14:axisColor rgb="FF000000"/>
            </x14:dataBar>
          </x14:cfRule>
          <xm:sqref>AG67</xm:sqref>
        </x14:conditionalFormatting>
        <x14:conditionalFormatting xmlns:xm="http://schemas.microsoft.com/office/excel/2006/main">
          <x14:cfRule type="dataBar" id="{5EFC951F-110D-43E2-92E9-D5D508B06AE8}">
            <x14:dataBar minLength="0" maxLength="100" border="1" negativeBarBorderColorSameAsPositive="0">
              <x14:cfvo type="autoMin"/>
              <x14:cfvo type="autoMax"/>
              <x14:borderColor rgb="FF63C384"/>
              <x14:negativeFillColor rgb="FFFF0000"/>
              <x14:negativeBorderColor rgb="FFFF0000"/>
              <x14:axisColor rgb="FF000000"/>
            </x14:dataBar>
          </x14:cfRule>
          <xm:sqref>AG67</xm:sqref>
        </x14:conditionalFormatting>
        <x14:conditionalFormatting xmlns:xm="http://schemas.microsoft.com/office/excel/2006/main">
          <x14:cfRule type="dataBar" id="{9AB14837-B246-4228-B10B-7D74E9D2AA03}">
            <x14:dataBar minLength="0" maxLength="100" border="1" negativeBarBorderColorSameAsPositive="0">
              <x14:cfvo type="autoMin"/>
              <x14:cfvo type="autoMax"/>
              <x14:borderColor rgb="FF63C384"/>
              <x14:negativeFillColor rgb="FFFF0000"/>
              <x14:negativeBorderColor rgb="FFFF0000"/>
              <x14:axisColor rgb="FF000000"/>
            </x14:dataBar>
          </x14:cfRule>
          <xm:sqref>AG67</xm:sqref>
        </x14:conditionalFormatting>
        <x14:conditionalFormatting xmlns:xm="http://schemas.microsoft.com/office/excel/2006/main">
          <x14:cfRule type="dataBar" id="{8D4C0E12-613C-423B-8DEC-FC671C3CB0F2}">
            <x14:dataBar minLength="0" maxLength="100" border="1" negativeBarBorderColorSameAsPositive="0">
              <x14:cfvo type="autoMin"/>
              <x14:cfvo type="autoMax"/>
              <x14:borderColor rgb="FF63C384"/>
              <x14:negativeFillColor rgb="FFFF0000"/>
              <x14:negativeBorderColor rgb="FFFF0000"/>
              <x14:axisColor rgb="FF000000"/>
            </x14:dataBar>
          </x14:cfRule>
          <xm:sqref>AG67</xm:sqref>
        </x14:conditionalFormatting>
        <x14:conditionalFormatting xmlns:xm="http://schemas.microsoft.com/office/excel/2006/main">
          <x14:cfRule type="dataBar" id="{F215C24E-16D2-4A85-8F4F-4CD29FED97A8}">
            <x14:dataBar minLength="0" maxLength="100" border="1" negativeBarBorderColorSameAsPositive="0">
              <x14:cfvo type="autoMin"/>
              <x14:cfvo type="autoMax"/>
              <x14:borderColor rgb="FF63C384"/>
              <x14:negativeFillColor rgb="FFFF0000"/>
              <x14:negativeBorderColor rgb="FFFF0000"/>
              <x14:axisColor rgb="FF000000"/>
            </x14:dataBar>
          </x14:cfRule>
          <xm:sqref>AG67</xm:sqref>
        </x14:conditionalFormatting>
        <x14:conditionalFormatting xmlns:xm="http://schemas.microsoft.com/office/excel/2006/main">
          <x14:cfRule type="dataBar" id="{047BFEA3-4B70-420B-AADF-B2B8B507130F}">
            <x14:dataBar minLength="0" maxLength="100" border="1" negativeBarBorderColorSameAsPositive="0">
              <x14:cfvo type="autoMin"/>
              <x14:cfvo type="autoMax"/>
              <x14:borderColor rgb="FF63C384"/>
              <x14:negativeFillColor rgb="FFFF0000"/>
              <x14:negativeBorderColor rgb="FFFF0000"/>
              <x14:axisColor rgb="FF000000"/>
            </x14:dataBar>
          </x14:cfRule>
          <xm:sqref>AG67</xm:sqref>
        </x14:conditionalFormatting>
        <x14:conditionalFormatting xmlns:xm="http://schemas.microsoft.com/office/excel/2006/main">
          <x14:cfRule type="dataBar" id="{1A638CFB-4CEC-491D-A090-ED9C417EA712}">
            <x14:dataBar minLength="0" maxLength="100" border="1" negativeBarBorderColorSameAsPositive="0">
              <x14:cfvo type="autoMin"/>
              <x14:cfvo type="autoMax"/>
              <x14:borderColor rgb="FF63C384"/>
              <x14:negativeFillColor rgb="FFFF0000"/>
              <x14:negativeBorderColor rgb="FFFF0000"/>
              <x14:axisColor rgb="FF000000"/>
            </x14:dataBar>
          </x14:cfRule>
          <xm:sqref>AG67</xm:sqref>
        </x14:conditionalFormatting>
        <x14:conditionalFormatting xmlns:xm="http://schemas.microsoft.com/office/excel/2006/main">
          <x14:cfRule type="dataBar" id="{ABE77069-9DBE-4F6B-873D-9ED20E140E03}">
            <x14:dataBar minLength="0" maxLength="100" border="1" negativeBarBorderColorSameAsPositive="0">
              <x14:cfvo type="autoMin"/>
              <x14:cfvo type="autoMax"/>
              <x14:borderColor rgb="FF63C384"/>
              <x14:negativeFillColor rgb="FFFF0000"/>
              <x14:negativeBorderColor rgb="FFFF0000"/>
              <x14:axisColor rgb="FF000000"/>
            </x14:dataBar>
          </x14:cfRule>
          <xm:sqref>AG68</xm:sqref>
        </x14:conditionalFormatting>
        <x14:conditionalFormatting xmlns:xm="http://schemas.microsoft.com/office/excel/2006/main">
          <x14:cfRule type="dataBar" id="{F00E872C-03D3-437D-AB15-9A2CCF798165}">
            <x14:dataBar minLength="0" maxLength="100" border="1" negativeBarBorderColorSameAsPositive="0">
              <x14:cfvo type="autoMin"/>
              <x14:cfvo type="autoMax"/>
              <x14:borderColor rgb="FF63C384"/>
              <x14:negativeFillColor rgb="FFFF0000"/>
              <x14:negativeBorderColor rgb="FFFF0000"/>
              <x14:axisColor rgb="FF000000"/>
            </x14:dataBar>
          </x14:cfRule>
          <xm:sqref>AG68</xm:sqref>
        </x14:conditionalFormatting>
        <x14:conditionalFormatting xmlns:xm="http://schemas.microsoft.com/office/excel/2006/main">
          <x14:cfRule type="dataBar" id="{95A82544-C051-4572-9C29-BC656541FCD4}">
            <x14:dataBar minLength="0" maxLength="100" border="1" negativeBarBorderColorSameAsPositive="0">
              <x14:cfvo type="autoMin"/>
              <x14:cfvo type="autoMax"/>
              <x14:borderColor rgb="FF63C384"/>
              <x14:negativeFillColor rgb="FFFF0000"/>
              <x14:negativeBorderColor rgb="FFFF0000"/>
              <x14:axisColor rgb="FF000000"/>
            </x14:dataBar>
          </x14:cfRule>
          <xm:sqref>AG69</xm:sqref>
        </x14:conditionalFormatting>
        <x14:conditionalFormatting xmlns:xm="http://schemas.microsoft.com/office/excel/2006/main">
          <x14:cfRule type="dataBar" id="{7FF27BEA-60C7-449F-BDF0-34A8A7985059}">
            <x14:dataBar minLength="0" maxLength="100" border="1" negativeBarBorderColorSameAsPositive="0">
              <x14:cfvo type="autoMin"/>
              <x14:cfvo type="autoMax"/>
              <x14:borderColor rgb="FF63C384"/>
              <x14:negativeFillColor rgb="FFFF0000"/>
              <x14:negativeBorderColor rgb="FFFF0000"/>
              <x14:axisColor rgb="FF000000"/>
            </x14:dataBar>
          </x14:cfRule>
          <xm:sqref>AG70</xm:sqref>
        </x14:conditionalFormatting>
        <x14:conditionalFormatting xmlns:xm="http://schemas.microsoft.com/office/excel/2006/main">
          <x14:cfRule type="dataBar" id="{BBAF0227-5BAF-4206-AC0D-55B5E323EB3C}">
            <x14:dataBar minLength="0" maxLength="100" border="1" negativeBarBorderColorSameAsPositive="0">
              <x14:cfvo type="autoMin"/>
              <x14:cfvo type="autoMax"/>
              <x14:borderColor rgb="FF63C384"/>
              <x14:negativeFillColor rgb="FFFF0000"/>
              <x14:negativeBorderColor rgb="FFFF0000"/>
              <x14:axisColor rgb="FF000000"/>
            </x14:dataBar>
          </x14:cfRule>
          <xm:sqref>AG71</xm:sqref>
        </x14:conditionalFormatting>
        <x14:conditionalFormatting xmlns:xm="http://schemas.microsoft.com/office/excel/2006/main">
          <x14:cfRule type="dataBar" id="{51D2DFBB-F7BE-4424-B4C8-2BF879CABC95}">
            <x14:dataBar minLength="0" maxLength="100" border="1" negativeBarBorderColorSameAsPositive="0">
              <x14:cfvo type="autoMin"/>
              <x14:cfvo type="autoMax"/>
              <x14:borderColor rgb="FF63C384"/>
              <x14:negativeFillColor rgb="FFFF0000"/>
              <x14:negativeBorderColor rgb="FFFF0000"/>
              <x14:axisColor rgb="FF000000"/>
            </x14:dataBar>
          </x14:cfRule>
          <xm:sqref>AG71</xm:sqref>
        </x14:conditionalFormatting>
        <x14:conditionalFormatting xmlns:xm="http://schemas.microsoft.com/office/excel/2006/main">
          <x14:cfRule type="dataBar" id="{09F85BBE-29CD-4D4C-872F-F9F17166EBD5}">
            <x14:dataBar minLength="0" maxLength="100" border="1" negativeBarBorderColorSameAsPositive="0">
              <x14:cfvo type="autoMin"/>
              <x14:cfvo type="autoMax"/>
              <x14:borderColor rgb="FF63C384"/>
              <x14:negativeFillColor rgb="FFFF0000"/>
              <x14:negativeBorderColor rgb="FFFF0000"/>
              <x14:axisColor rgb="FF000000"/>
            </x14:dataBar>
          </x14:cfRule>
          <xm:sqref>AG72</xm:sqref>
        </x14:conditionalFormatting>
        <x14:conditionalFormatting xmlns:xm="http://schemas.microsoft.com/office/excel/2006/main">
          <x14:cfRule type="dataBar" id="{2D715037-E849-437B-8B8E-90194CB42F15}">
            <x14:dataBar minLength="0" maxLength="100" border="1" negativeBarBorderColorSameAsPositive="0">
              <x14:cfvo type="autoMin"/>
              <x14:cfvo type="autoMax"/>
              <x14:borderColor rgb="FF63C384"/>
              <x14:negativeFillColor rgb="FFFF0000"/>
              <x14:negativeBorderColor rgb="FFFF0000"/>
              <x14:axisColor rgb="FF000000"/>
            </x14:dataBar>
          </x14:cfRule>
          <xm:sqref>AG73</xm:sqref>
        </x14:conditionalFormatting>
        <x14:conditionalFormatting xmlns:xm="http://schemas.microsoft.com/office/excel/2006/main">
          <x14:cfRule type="dataBar" id="{72229C83-1A16-4C46-9937-CF68EA08B759}">
            <x14:dataBar minLength="0" maxLength="100" border="1" negativeBarBorderColorSameAsPositive="0">
              <x14:cfvo type="autoMin"/>
              <x14:cfvo type="autoMax"/>
              <x14:borderColor rgb="FF63C384"/>
              <x14:negativeFillColor rgb="FFFF0000"/>
              <x14:negativeBorderColor rgb="FFFF0000"/>
              <x14:axisColor rgb="FF000000"/>
            </x14:dataBar>
          </x14:cfRule>
          <xm:sqref>AG73</xm:sqref>
        </x14:conditionalFormatting>
        <x14:conditionalFormatting xmlns:xm="http://schemas.microsoft.com/office/excel/2006/main">
          <x14:cfRule type="dataBar" id="{274E5405-8AB5-4CD5-983A-58784A747BEA}">
            <x14:dataBar minLength="0" maxLength="100" border="1" negativeBarBorderColorSameAsPositive="0">
              <x14:cfvo type="autoMin"/>
              <x14:cfvo type="autoMax"/>
              <x14:borderColor rgb="FF63C384"/>
              <x14:negativeFillColor rgb="FFFF0000"/>
              <x14:negativeBorderColor rgb="FFFF0000"/>
              <x14:axisColor rgb="FF000000"/>
            </x14:dataBar>
          </x14:cfRule>
          <xm:sqref>AG74</xm:sqref>
        </x14:conditionalFormatting>
        <x14:conditionalFormatting xmlns:xm="http://schemas.microsoft.com/office/excel/2006/main">
          <x14:cfRule type="dataBar" id="{07CB7B33-9CB6-43EF-BF39-BEC00C9F848E}">
            <x14:dataBar minLength="0" maxLength="100" border="1" negativeBarBorderColorSameAsPositive="0">
              <x14:cfvo type="autoMin"/>
              <x14:cfvo type="autoMax"/>
              <x14:borderColor rgb="FF63C384"/>
              <x14:negativeFillColor rgb="FFFF0000"/>
              <x14:negativeBorderColor rgb="FFFF0000"/>
              <x14:axisColor rgb="FF000000"/>
            </x14:dataBar>
          </x14:cfRule>
          <xm:sqref>AG74</xm:sqref>
        </x14:conditionalFormatting>
        <x14:conditionalFormatting xmlns:xm="http://schemas.microsoft.com/office/excel/2006/main">
          <x14:cfRule type="dataBar" id="{13877C06-9D93-4629-89CF-A278F151C3F9}">
            <x14:dataBar minLength="0" maxLength="100" border="1" negativeBarBorderColorSameAsPositive="0">
              <x14:cfvo type="autoMin"/>
              <x14:cfvo type="autoMax"/>
              <x14:borderColor rgb="FF63C384"/>
              <x14:negativeFillColor rgb="FFFF0000"/>
              <x14:negativeBorderColor rgb="FFFF0000"/>
              <x14:axisColor rgb="FF000000"/>
            </x14:dataBar>
          </x14:cfRule>
          <xm:sqref>AG74</xm:sqref>
        </x14:conditionalFormatting>
        <x14:conditionalFormatting xmlns:xm="http://schemas.microsoft.com/office/excel/2006/main">
          <x14:cfRule type="dataBar" id="{F5E4417B-F118-4D61-AA49-B8427AC9BE9E}">
            <x14:dataBar minLength="0" maxLength="100" border="1" negativeBarBorderColorSameAsPositive="0">
              <x14:cfvo type="autoMin"/>
              <x14:cfvo type="autoMax"/>
              <x14:borderColor rgb="FF63C384"/>
              <x14:negativeFillColor rgb="FFFF0000"/>
              <x14:negativeBorderColor rgb="FFFF0000"/>
              <x14:axisColor rgb="FF000000"/>
            </x14:dataBar>
          </x14:cfRule>
          <xm:sqref>AG74</xm:sqref>
        </x14:conditionalFormatting>
        <x14:conditionalFormatting xmlns:xm="http://schemas.microsoft.com/office/excel/2006/main">
          <x14:cfRule type="dataBar" id="{9FAD2B71-0824-4C4E-BC31-AEF5295FC3A6}">
            <x14:dataBar minLength="0" maxLength="100" border="1" negativeBarBorderColorSameAsPositive="0">
              <x14:cfvo type="autoMin"/>
              <x14:cfvo type="autoMax"/>
              <x14:borderColor rgb="FF63C384"/>
              <x14:negativeFillColor rgb="FFFF0000"/>
              <x14:negativeBorderColor rgb="FFFF0000"/>
              <x14:axisColor rgb="FF000000"/>
            </x14:dataBar>
          </x14:cfRule>
          <xm:sqref>AG75</xm:sqref>
        </x14:conditionalFormatting>
        <x14:conditionalFormatting xmlns:xm="http://schemas.microsoft.com/office/excel/2006/main">
          <x14:cfRule type="dataBar" id="{0689693F-CA2C-418E-8373-786CE84AD7AA}">
            <x14:dataBar minLength="0" maxLength="100" border="1" negativeBarBorderColorSameAsPositive="0">
              <x14:cfvo type="autoMin"/>
              <x14:cfvo type="autoMax"/>
              <x14:borderColor rgb="FF63C384"/>
              <x14:negativeFillColor rgb="FFFF0000"/>
              <x14:negativeBorderColor rgb="FFFF0000"/>
              <x14:axisColor rgb="FF000000"/>
            </x14:dataBar>
          </x14:cfRule>
          <xm:sqref>AG75</xm:sqref>
        </x14:conditionalFormatting>
        <x14:conditionalFormatting xmlns:xm="http://schemas.microsoft.com/office/excel/2006/main">
          <x14:cfRule type="dataBar" id="{63C7A52B-2DF2-44DA-A25F-9188DF2F003A}">
            <x14:dataBar minLength="0" maxLength="100" border="1" negativeBarBorderColorSameAsPositive="0">
              <x14:cfvo type="autoMin"/>
              <x14:cfvo type="autoMax"/>
              <x14:borderColor rgb="FF63C384"/>
              <x14:negativeFillColor rgb="FFFF0000"/>
              <x14:negativeBorderColor rgb="FFFF0000"/>
              <x14:axisColor rgb="FF000000"/>
            </x14:dataBar>
          </x14:cfRule>
          <xm:sqref>AG75</xm:sqref>
        </x14:conditionalFormatting>
        <x14:conditionalFormatting xmlns:xm="http://schemas.microsoft.com/office/excel/2006/main">
          <x14:cfRule type="dataBar" id="{25371EB8-629D-42BF-821E-9A5D333D1C4A}">
            <x14:dataBar minLength="0" maxLength="100" border="1" negativeBarBorderColorSameAsPositive="0">
              <x14:cfvo type="autoMin"/>
              <x14:cfvo type="autoMax"/>
              <x14:borderColor rgb="FF63C384"/>
              <x14:negativeFillColor rgb="FFFF0000"/>
              <x14:negativeBorderColor rgb="FFFF0000"/>
              <x14:axisColor rgb="FF000000"/>
            </x14:dataBar>
          </x14:cfRule>
          <xm:sqref>AG75</xm:sqref>
        </x14:conditionalFormatting>
        <x14:conditionalFormatting xmlns:xm="http://schemas.microsoft.com/office/excel/2006/main">
          <x14:cfRule type="dataBar" id="{01750164-D7B1-4324-B074-CBB192DC9BA3}">
            <x14:dataBar minLength="0" maxLength="100" border="1" negativeBarBorderColorSameAsPositive="0">
              <x14:cfvo type="autoMin"/>
              <x14:cfvo type="autoMax"/>
              <x14:borderColor rgb="FF63C384"/>
              <x14:negativeFillColor rgb="FFFF0000"/>
              <x14:negativeBorderColor rgb="FFFF0000"/>
              <x14:axisColor rgb="FF000000"/>
            </x14:dataBar>
          </x14:cfRule>
          <xm:sqref>AG76</xm:sqref>
        </x14:conditionalFormatting>
        <x14:conditionalFormatting xmlns:xm="http://schemas.microsoft.com/office/excel/2006/main">
          <x14:cfRule type="dataBar" id="{0D6DD2E6-84E9-425F-AE95-2AB152A51D66}">
            <x14:dataBar minLength="0" maxLength="100" border="1" negativeBarBorderColorSameAsPositive="0">
              <x14:cfvo type="autoMin"/>
              <x14:cfvo type="autoMax"/>
              <x14:borderColor rgb="FF63C384"/>
              <x14:negativeFillColor rgb="FFFF0000"/>
              <x14:negativeBorderColor rgb="FFFF0000"/>
              <x14:axisColor rgb="FF000000"/>
            </x14:dataBar>
          </x14:cfRule>
          <xm:sqref>AG76</xm:sqref>
        </x14:conditionalFormatting>
        <x14:conditionalFormatting xmlns:xm="http://schemas.microsoft.com/office/excel/2006/main">
          <x14:cfRule type="dataBar" id="{14FD8C4E-F5EB-48E6-A36C-E6D3D9CC2686}">
            <x14:dataBar minLength="0" maxLength="100" border="1" negativeBarBorderColorSameAsPositive="0">
              <x14:cfvo type="autoMin"/>
              <x14:cfvo type="autoMax"/>
              <x14:borderColor rgb="FF63C384"/>
              <x14:negativeFillColor rgb="FFFF0000"/>
              <x14:negativeBorderColor rgb="FFFF0000"/>
              <x14:axisColor rgb="FF000000"/>
            </x14:dataBar>
          </x14:cfRule>
          <xm:sqref>AG77</xm:sqref>
        </x14:conditionalFormatting>
        <x14:conditionalFormatting xmlns:xm="http://schemas.microsoft.com/office/excel/2006/main">
          <x14:cfRule type="dataBar" id="{BF6D0F83-9C48-4A59-8DB5-1C88D905912E}">
            <x14:dataBar minLength="0" maxLength="100" border="1" negativeBarBorderColorSameAsPositive="0">
              <x14:cfvo type="autoMin"/>
              <x14:cfvo type="autoMax"/>
              <x14:borderColor rgb="FF63C384"/>
              <x14:negativeFillColor rgb="FFFF0000"/>
              <x14:negativeBorderColor rgb="FFFF0000"/>
              <x14:axisColor rgb="FF000000"/>
            </x14:dataBar>
          </x14:cfRule>
          <xm:sqref>AG77</xm:sqref>
        </x14:conditionalFormatting>
        <x14:conditionalFormatting xmlns:xm="http://schemas.microsoft.com/office/excel/2006/main">
          <x14:cfRule type="dataBar" id="{18FE119D-8C1F-4FE5-8F90-23C7BF457638}">
            <x14:dataBar minLength="0" maxLength="100" border="1" negativeBarBorderColorSameAsPositive="0">
              <x14:cfvo type="autoMin"/>
              <x14:cfvo type="autoMax"/>
              <x14:borderColor rgb="FF63C384"/>
              <x14:negativeFillColor rgb="FFFF0000"/>
              <x14:negativeBorderColor rgb="FFFF0000"/>
              <x14:axisColor rgb="FF000000"/>
            </x14:dataBar>
          </x14:cfRule>
          <xm:sqref>AG77</xm:sqref>
        </x14:conditionalFormatting>
        <x14:conditionalFormatting xmlns:xm="http://schemas.microsoft.com/office/excel/2006/main">
          <x14:cfRule type="dataBar" id="{247E7155-F0E9-4ED6-85AE-5310BACE3468}">
            <x14:dataBar minLength="0" maxLength="100" border="1" negativeBarBorderColorSameAsPositive="0">
              <x14:cfvo type="autoMin"/>
              <x14:cfvo type="autoMax"/>
              <x14:borderColor rgb="FF63C384"/>
              <x14:negativeFillColor rgb="FFFF0000"/>
              <x14:negativeBorderColor rgb="FFFF0000"/>
              <x14:axisColor rgb="FF000000"/>
            </x14:dataBar>
          </x14:cfRule>
          <xm:sqref>AG77</xm:sqref>
        </x14:conditionalFormatting>
        <x14:conditionalFormatting xmlns:xm="http://schemas.microsoft.com/office/excel/2006/main">
          <x14:cfRule type="dataBar" id="{F525EB95-DC15-4135-92A4-C2CED88B0592}">
            <x14:dataBar minLength="0" maxLength="100" border="1" negativeBarBorderColorSameAsPositive="0">
              <x14:cfvo type="autoMin"/>
              <x14:cfvo type="autoMax"/>
              <x14:borderColor rgb="FF63C384"/>
              <x14:negativeFillColor rgb="FFFF0000"/>
              <x14:negativeBorderColor rgb="FFFF0000"/>
              <x14:axisColor rgb="FF000000"/>
            </x14:dataBar>
          </x14:cfRule>
          <xm:sqref>AG78</xm:sqref>
        </x14:conditionalFormatting>
        <x14:conditionalFormatting xmlns:xm="http://schemas.microsoft.com/office/excel/2006/main">
          <x14:cfRule type="dataBar" id="{1A92E82F-5681-44A4-A412-0B314588CD66}">
            <x14:dataBar minLength="0" maxLength="100" border="1" negativeBarBorderColorSameAsPositive="0">
              <x14:cfvo type="autoMin"/>
              <x14:cfvo type="autoMax"/>
              <x14:borderColor rgb="FF63C384"/>
              <x14:negativeFillColor rgb="FFFF0000"/>
              <x14:negativeBorderColor rgb="FFFF0000"/>
              <x14:axisColor rgb="FF000000"/>
            </x14:dataBar>
          </x14:cfRule>
          <xm:sqref>AG78</xm:sqref>
        </x14:conditionalFormatting>
        <x14:conditionalFormatting xmlns:xm="http://schemas.microsoft.com/office/excel/2006/main">
          <x14:cfRule type="dataBar" id="{1A6B5064-05CA-4983-A429-79389BCC5C2D}">
            <x14:dataBar minLength="0" maxLength="100" border="1" negativeBarBorderColorSameAsPositive="0">
              <x14:cfvo type="autoMin"/>
              <x14:cfvo type="autoMax"/>
              <x14:borderColor rgb="FF63C384"/>
              <x14:negativeFillColor rgb="FFFF0000"/>
              <x14:negativeBorderColor rgb="FFFF0000"/>
              <x14:axisColor rgb="FF000000"/>
            </x14:dataBar>
          </x14:cfRule>
          <xm:sqref>AG79</xm:sqref>
        </x14:conditionalFormatting>
        <x14:conditionalFormatting xmlns:xm="http://schemas.microsoft.com/office/excel/2006/main">
          <x14:cfRule type="dataBar" id="{0579FAC2-ABAA-4290-B6F0-D9EC1DE85494}">
            <x14:dataBar minLength="0" maxLength="100" border="1" negativeBarBorderColorSameAsPositive="0">
              <x14:cfvo type="autoMin"/>
              <x14:cfvo type="autoMax"/>
              <x14:borderColor rgb="FF63C384"/>
              <x14:negativeFillColor rgb="FFFF0000"/>
              <x14:negativeBorderColor rgb="FFFF0000"/>
              <x14:axisColor rgb="FF000000"/>
            </x14:dataBar>
          </x14:cfRule>
          <xm:sqref>AG79</xm:sqref>
        </x14:conditionalFormatting>
        <x14:conditionalFormatting xmlns:xm="http://schemas.microsoft.com/office/excel/2006/main">
          <x14:cfRule type="dataBar" id="{83FD6644-D9E9-44CD-B5AF-0D5FB65AE3B7}">
            <x14:dataBar minLength="0" maxLength="100" border="1" negativeBarBorderColorSameAsPositive="0">
              <x14:cfvo type="autoMin"/>
              <x14:cfvo type="autoMax"/>
              <x14:borderColor rgb="FF63C384"/>
              <x14:negativeFillColor rgb="FFFF0000"/>
              <x14:negativeBorderColor rgb="FFFF0000"/>
              <x14:axisColor rgb="FF000000"/>
            </x14:dataBar>
          </x14:cfRule>
          <xm:sqref>AG80</xm:sqref>
        </x14:conditionalFormatting>
        <x14:conditionalFormatting xmlns:xm="http://schemas.microsoft.com/office/excel/2006/main">
          <x14:cfRule type="dataBar" id="{C258CCE5-CE3A-492B-ACFC-F93357C08A39}">
            <x14:dataBar minLength="0" maxLength="100" border="1" negativeBarBorderColorSameAsPositive="0">
              <x14:cfvo type="autoMin"/>
              <x14:cfvo type="autoMax"/>
              <x14:borderColor rgb="FF63C384"/>
              <x14:negativeFillColor rgb="FFFF0000"/>
              <x14:negativeBorderColor rgb="FFFF0000"/>
              <x14:axisColor rgb="FF000000"/>
            </x14:dataBar>
          </x14:cfRule>
          <xm:sqref>AG80</xm:sqref>
        </x14:conditionalFormatting>
        <x14:conditionalFormatting xmlns:xm="http://schemas.microsoft.com/office/excel/2006/main">
          <x14:cfRule type="dataBar" id="{95F73500-33DB-45F8-A5CC-81376BF6223C}">
            <x14:dataBar minLength="0" maxLength="100" border="1" negativeBarBorderColorSameAsPositive="0">
              <x14:cfvo type="autoMin"/>
              <x14:cfvo type="autoMax"/>
              <x14:borderColor rgb="FF63C384"/>
              <x14:negativeFillColor rgb="FFFF0000"/>
              <x14:negativeBorderColor rgb="FFFF0000"/>
              <x14:axisColor rgb="FF000000"/>
            </x14:dataBar>
          </x14:cfRule>
          <xm:sqref>AG81</xm:sqref>
        </x14:conditionalFormatting>
        <x14:conditionalFormatting xmlns:xm="http://schemas.microsoft.com/office/excel/2006/main">
          <x14:cfRule type="dataBar" id="{5312CDD3-B64B-4545-8178-C6FDC1672AAB}">
            <x14:dataBar minLength="0" maxLength="100" border="1" negativeBarBorderColorSameAsPositive="0">
              <x14:cfvo type="autoMin"/>
              <x14:cfvo type="autoMax"/>
              <x14:borderColor rgb="FF63C384"/>
              <x14:negativeFillColor rgb="FFFF0000"/>
              <x14:negativeBorderColor rgb="FFFF0000"/>
              <x14:axisColor rgb="FF000000"/>
            </x14:dataBar>
          </x14:cfRule>
          <xm:sqref>AG81</xm:sqref>
        </x14:conditionalFormatting>
        <x14:conditionalFormatting xmlns:xm="http://schemas.microsoft.com/office/excel/2006/main">
          <x14:cfRule type="dataBar" id="{DA413A56-899A-41D2-BCF9-FDB69235075E}">
            <x14:dataBar minLength="0" maxLength="100" border="1" negativeBarBorderColorSameAsPositive="0">
              <x14:cfvo type="autoMin"/>
              <x14:cfvo type="autoMax"/>
              <x14:borderColor rgb="FF63C384"/>
              <x14:negativeFillColor rgb="FFFF0000"/>
              <x14:negativeBorderColor rgb="FFFF0000"/>
              <x14:axisColor rgb="FF000000"/>
            </x14:dataBar>
          </x14:cfRule>
          <xm:sqref>AG82</xm:sqref>
        </x14:conditionalFormatting>
        <x14:conditionalFormatting xmlns:xm="http://schemas.microsoft.com/office/excel/2006/main">
          <x14:cfRule type="dataBar" id="{6762B0DE-A160-480B-B03F-FBD797B71121}">
            <x14:dataBar minLength="0" maxLength="100" border="1" negativeBarBorderColorSameAsPositive="0">
              <x14:cfvo type="autoMin"/>
              <x14:cfvo type="autoMax"/>
              <x14:borderColor rgb="FF63C384"/>
              <x14:negativeFillColor rgb="FFFF0000"/>
              <x14:negativeBorderColor rgb="FFFF0000"/>
              <x14:axisColor rgb="FF000000"/>
            </x14:dataBar>
          </x14:cfRule>
          <xm:sqref>AG82</xm:sqref>
        </x14:conditionalFormatting>
        <x14:conditionalFormatting xmlns:xm="http://schemas.microsoft.com/office/excel/2006/main">
          <x14:cfRule type="dataBar" id="{9BDB6696-FFB9-4CF5-A4E0-820CE8DE94C5}">
            <x14:dataBar minLength="0" maxLength="100" border="1" negativeBarBorderColorSameAsPositive="0">
              <x14:cfvo type="autoMin"/>
              <x14:cfvo type="autoMax"/>
              <x14:borderColor rgb="FF63C384"/>
              <x14:negativeFillColor rgb="FFFF0000"/>
              <x14:negativeBorderColor rgb="FFFF0000"/>
              <x14:axisColor rgb="FF000000"/>
            </x14:dataBar>
          </x14:cfRule>
          <xm:sqref>AG83</xm:sqref>
        </x14:conditionalFormatting>
        <x14:conditionalFormatting xmlns:xm="http://schemas.microsoft.com/office/excel/2006/main">
          <x14:cfRule type="dataBar" id="{59B3BF70-6D98-4078-BA27-1D7D4047071E}">
            <x14:dataBar minLength="0" maxLength="100" border="1" negativeBarBorderColorSameAsPositive="0">
              <x14:cfvo type="autoMin"/>
              <x14:cfvo type="autoMax"/>
              <x14:borderColor rgb="FF63C384"/>
              <x14:negativeFillColor rgb="FFFF0000"/>
              <x14:negativeBorderColor rgb="FFFF0000"/>
              <x14:axisColor rgb="FF000000"/>
            </x14:dataBar>
          </x14:cfRule>
          <xm:sqref>AG83</xm:sqref>
        </x14:conditionalFormatting>
        <x14:conditionalFormatting xmlns:xm="http://schemas.microsoft.com/office/excel/2006/main">
          <x14:cfRule type="dataBar" id="{9422DD36-B020-49C9-BC36-6DC7E8355B45}">
            <x14:dataBar minLength="0" maxLength="100" border="1" negativeBarBorderColorSameAsPositive="0">
              <x14:cfvo type="autoMin"/>
              <x14:cfvo type="autoMax"/>
              <x14:borderColor rgb="FF63C384"/>
              <x14:negativeFillColor rgb="FFFF0000"/>
              <x14:negativeBorderColor rgb="FFFF0000"/>
              <x14:axisColor rgb="FF000000"/>
            </x14:dataBar>
          </x14:cfRule>
          <xm:sqref>AG83</xm:sqref>
        </x14:conditionalFormatting>
        <x14:conditionalFormatting xmlns:xm="http://schemas.microsoft.com/office/excel/2006/main">
          <x14:cfRule type="dataBar" id="{807D1CFB-B830-4FCA-AD7D-EB2D86F7AC40}">
            <x14:dataBar minLength="0" maxLength="100" border="1" negativeBarBorderColorSameAsPositive="0">
              <x14:cfvo type="autoMin"/>
              <x14:cfvo type="autoMax"/>
              <x14:borderColor rgb="FF63C384"/>
              <x14:negativeFillColor rgb="FFFF0000"/>
              <x14:negativeBorderColor rgb="FFFF0000"/>
              <x14:axisColor rgb="FF000000"/>
            </x14:dataBar>
          </x14:cfRule>
          <xm:sqref>AG83</xm:sqref>
        </x14:conditionalFormatting>
        <x14:conditionalFormatting xmlns:xm="http://schemas.microsoft.com/office/excel/2006/main">
          <x14:cfRule type="dataBar" id="{9B0F111F-A656-4A03-ADEC-C3FAF0F7AC74}">
            <x14:dataBar minLength="0" maxLength="100" border="1" negativeBarBorderColorSameAsPositive="0">
              <x14:cfvo type="autoMin"/>
              <x14:cfvo type="autoMax"/>
              <x14:borderColor rgb="FF63C384"/>
              <x14:negativeFillColor rgb="FFFF0000"/>
              <x14:negativeBorderColor rgb="FFFF0000"/>
              <x14:axisColor rgb="FF000000"/>
            </x14:dataBar>
          </x14:cfRule>
          <xm:sqref>AG83</xm:sqref>
        </x14:conditionalFormatting>
        <x14:conditionalFormatting xmlns:xm="http://schemas.microsoft.com/office/excel/2006/main">
          <x14:cfRule type="dataBar" id="{6B32E6B6-17F7-4A39-98FF-54522832EA57}">
            <x14:dataBar minLength="0" maxLength="100" border="1" negativeBarBorderColorSameAsPositive="0">
              <x14:cfvo type="autoMin"/>
              <x14:cfvo type="autoMax"/>
              <x14:borderColor rgb="FF63C384"/>
              <x14:negativeFillColor rgb="FFFF0000"/>
              <x14:negativeBorderColor rgb="FFFF0000"/>
              <x14:axisColor rgb="FF000000"/>
            </x14:dataBar>
          </x14:cfRule>
          <xm:sqref>AG83</xm:sqref>
        </x14:conditionalFormatting>
        <x14:conditionalFormatting xmlns:xm="http://schemas.microsoft.com/office/excel/2006/main">
          <x14:cfRule type="dataBar" id="{D4F1AF6D-55CB-4C5D-886B-406243C6BB04}">
            <x14:dataBar minLength="0" maxLength="100" border="1" negativeBarBorderColorSameAsPositive="0">
              <x14:cfvo type="autoMin"/>
              <x14:cfvo type="autoMax"/>
              <x14:borderColor rgb="FF63C384"/>
              <x14:negativeFillColor rgb="FFFF0000"/>
              <x14:negativeBorderColor rgb="FFFF0000"/>
              <x14:axisColor rgb="FF000000"/>
            </x14:dataBar>
          </x14:cfRule>
          <xm:sqref>AG83</xm:sqref>
        </x14:conditionalFormatting>
        <x14:conditionalFormatting xmlns:xm="http://schemas.microsoft.com/office/excel/2006/main">
          <x14:cfRule type="dataBar" id="{39F6201C-623F-4641-815F-7C411C9B1A6F}">
            <x14:dataBar minLength="0" maxLength="100" border="1" negativeBarBorderColorSameAsPositive="0">
              <x14:cfvo type="autoMin"/>
              <x14:cfvo type="autoMax"/>
              <x14:borderColor rgb="FF63C384"/>
              <x14:negativeFillColor rgb="FFFF0000"/>
              <x14:negativeBorderColor rgb="FFFF0000"/>
              <x14:axisColor rgb="FF000000"/>
            </x14:dataBar>
          </x14:cfRule>
          <xm:sqref>AG83</xm:sqref>
        </x14:conditionalFormatting>
        <x14:conditionalFormatting xmlns:xm="http://schemas.microsoft.com/office/excel/2006/main">
          <x14:cfRule type="dataBar" id="{65A10683-AF50-4975-9A5F-1B960F826932}">
            <x14:dataBar minLength="0" maxLength="100" border="1" negativeBarBorderColorSameAsPositive="0">
              <x14:cfvo type="autoMin"/>
              <x14:cfvo type="autoMax"/>
              <x14:borderColor rgb="FF63C384"/>
              <x14:negativeFillColor rgb="FFFF0000"/>
              <x14:negativeBorderColor rgb="FFFF0000"/>
              <x14:axisColor rgb="FF000000"/>
            </x14:dataBar>
          </x14:cfRule>
          <xm:sqref>AG84:AG85</xm:sqref>
        </x14:conditionalFormatting>
        <x14:conditionalFormatting xmlns:xm="http://schemas.microsoft.com/office/excel/2006/main">
          <x14:cfRule type="dataBar" id="{D74E68AA-D999-41DE-9A7E-816C79ABFA71}">
            <x14:dataBar minLength="0" maxLength="100" border="1" negativeBarBorderColorSameAsPositive="0">
              <x14:cfvo type="autoMin"/>
              <x14:cfvo type="autoMax"/>
              <x14:borderColor rgb="FF63C384"/>
              <x14:negativeFillColor rgb="FFFF0000"/>
              <x14:negativeBorderColor rgb="FFFF0000"/>
              <x14:axisColor rgb="FF000000"/>
            </x14:dataBar>
          </x14:cfRule>
          <xm:sqref>AG86</xm:sqref>
        </x14:conditionalFormatting>
        <x14:conditionalFormatting xmlns:xm="http://schemas.microsoft.com/office/excel/2006/main">
          <x14:cfRule type="dataBar" id="{270F4BE8-351D-4FE9-9AF8-4D530BD3AA17}">
            <x14:dataBar minLength="0" maxLength="100" border="1" negativeBarBorderColorSameAsPositive="0">
              <x14:cfvo type="autoMin"/>
              <x14:cfvo type="autoMax"/>
              <x14:borderColor rgb="FF63C384"/>
              <x14:negativeFillColor rgb="FFFF0000"/>
              <x14:negativeBorderColor rgb="FFFF0000"/>
              <x14:axisColor rgb="FF000000"/>
            </x14:dataBar>
          </x14:cfRule>
          <xm:sqref>AG86</xm:sqref>
        </x14:conditionalFormatting>
        <x14:conditionalFormatting xmlns:xm="http://schemas.microsoft.com/office/excel/2006/main">
          <x14:cfRule type="dataBar" id="{5471BA30-A055-47DE-9162-110E2997AC1A}">
            <x14:dataBar minLength="0" maxLength="100" border="1" negativeBarBorderColorSameAsPositive="0">
              <x14:cfvo type="autoMin"/>
              <x14:cfvo type="autoMax"/>
              <x14:borderColor rgb="FF63C384"/>
              <x14:negativeFillColor rgb="FFFF0000"/>
              <x14:negativeBorderColor rgb="FFFF0000"/>
              <x14:axisColor rgb="FF000000"/>
            </x14:dataBar>
          </x14:cfRule>
          <xm:sqref>AG87</xm:sqref>
        </x14:conditionalFormatting>
        <x14:conditionalFormatting xmlns:xm="http://schemas.microsoft.com/office/excel/2006/main">
          <x14:cfRule type="dataBar" id="{21CEC3C9-EFB6-4771-ACD5-03630C2291E8}">
            <x14:dataBar minLength="0" maxLength="100" border="1" negativeBarBorderColorSameAsPositive="0">
              <x14:cfvo type="autoMin"/>
              <x14:cfvo type="autoMax"/>
              <x14:borderColor rgb="FF63C384"/>
              <x14:negativeFillColor rgb="FFFF0000"/>
              <x14:negativeBorderColor rgb="FFFF0000"/>
              <x14:axisColor rgb="FF000000"/>
            </x14:dataBar>
          </x14:cfRule>
          <xm:sqref>AG87</xm:sqref>
        </x14:conditionalFormatting>
        <x14:conditionalFormatting xmlns:xm="http://schemas.microsoft.com/office/excel/2006/main">
          <x14:cfRule type="dataBar" id="{EEA73BA1-11C9-4BC2-A905-176D60A36131}">
            <x14:dataBar minLength="0" maxLength="100" border="1" negativeBarBorderColorSameAsPositive="0">
              <x14:cfvo type="autoMin"/>
              <x14:cfvo type="autoMax"/>
              <x14:borderColor rgb="FF63C384"/>
              <x14:negativeFillColor rgb="FFFF0000"/>
              <x14:negativeBorderColor rgb="FFFF0000"/>
              <x14:axisColor rgb="FF000000"/>
            </x14:dataBar>
          </x14:cfRule>
          <xm:sqref>AG87</xm:sqref>
        </x14:conditionalFormatting>
        <x14:conditionalFormatting xmlns:xm="http://schemas.microsoft.com/office/excel/2006/main">
          <x14:cfRule type="dataBar" id="{781B6C34-230A-44D6-9C3D-CC4DE9708469}">
            <x14:dataBar minLength="0" maxLength="100" border="1" negativeBarBorderColorSameAsPositive="0">
              <x14:cfvo type="autoMin"/>
              <x14:cfvo type="autoMax"/>
              <x14:borderColor rgb="FF63C384"/>
              <x14:negativeFillColor rgb="FFFF0000"/>
              <x14:negativeBorderColor rgb="FFFF0000"/>
              <x14:axisColor rgb="FF000000"/>
            </x14:dataBar>
          </x14:cfRule>
          <xm:sqref>AG87</xm:sqref>
        </x14:conditionalFormatting>
        <x14:conditionalFormatting xmlns:xm="http://schemas.microsoft.com/office/excel/2006/main">
          <x14:cfRule type="dataBar" id="{5CA57F44-0141-40C9-B3EA-17F6E5203AFD}">
            <x14:dataBar minLength="0" maxLength="100" border="1" negativeBarBorderColorSameAsPositive="0">
              <x14:cfvo type="autoMin"/>
              <x14:cfvo type="autoMax"/>
              <x14:borderColor rgb="FF63C384"/>
              <x14:negativeFillColor rgb="FFFF0000"/>
              <x14:negativeBorderColor rgb="FFFF0000"/>
              <x14:axisColor rgb="FF000000"/>
            </x14:dataBar>
          </x14:cfRule>
          <xm:sqref>AG88</xm:sqref>
        </x14:conditionalFormatting>
        <x14:conditionalFormatting xmlns:xm="http://schemas.microsoft.com/office/excel/2006/main">
          <x14:cfRule type="dataBar" id="{18C8DF88-B6D3-49B2-8F1B-F6D4019EA819}">
            <x14:dataBar minLength="0" maxLength="100" border="1" negativeBarBorderColorSameAsPositive="0">
              <x14:cfvo type="autoMin"/>
              <x14:cfvo type="autoMax"/>
              <x14:borderColor rgb="FF63C384"/>
              <x14:negativeFillColor rgb="FFFF0000"/>
              <x14:negativeBorderColor rgb="FFFF0000"/>
              <x14:axisColor rgb="FF000000"/>
            </x14:dataBar>
          </x14:cfRule>
          <xm:sqref>AG88</xm:sqref>
        </x14:conditionalFormatting>
        <x14:conditionalFormatting xmlns:xm="http://schemas.microsoft.com/office/excel/2006/main">
          <x14:cfRule type="dataBar" id="{09B563DF-C4A9-4D38-9E97-F065C1AFE960}">
            <x14:dataBar minLength="0" maxLength="100" border="1" negativeBarBorderColorSameAsPositive="0">
              <x14:cfvo type="autoMin"/>
              <x14:cfvo type="autoMax"/>
              <x14:borderColor rgb="FF63C384"/>
              <x14:negativeFillColor rgb="FFFF0000"/>
              <x14:negativeBorderColor rgb="FFFF0000"/>
              <x14:axisColor rgb="FF000000"/>
            </x14:dataBar>
          </x14:cfRule>
          <xm:sqref>AG88</xm:sqref>
        </x14:conditionalFormatting>
        <x14:conditionalFormatting xmlns:xm="http://schemas.microsoft.com/office/excel/2006/main">
          <x14:cfRule type="dataBar" id="{B092ABD0-41CD-4367-8C6C-216376654479}">
            <x14:dataBar minLength="0" maxLength="100" border="1" negativeBarBorderColorSameAsPositive="0">
              <x14:cfvo type="autoMin"/>
              <x14:cfvo type="autoMax"/>
              <x14:borderColor rgb="FF63C384"/>
              <x14:negativeFillColor rgb="FFFF0000"/>
              <x14:negativeBorderColor rgb="FFFF0000"/>
              <x14:axisColor rgb="FF000000"/>
            </x14:dataBar>
          </x14:cfRule>
          <xm:sqref>AG88</xm:sqref>
        </x14:conditionalFormatting>
        <x14:conditionalFormatting xmlns:xm="http://schemas.microsoft.com/office/excel/2006/main">
          <x14:cfRule type="dataBar" id="{B246C314-AEB8-4458-93F3-75F68B2FE7A3}">
            <x14:dataBar minLength="0" maxLength="100" border="1" negativeBarBorderColorSameAsPositive="0">
              <x14:cfvo type="autoMin"/>
              <x14:cfvo type="autoMax"/>
              <x14:borderColor rgb="FF63C384"/>
              <x14:negativeFillColor rgb="FFFF0000"/>
              <x14:negativeBorderColor rgb="FFFF0000"/>
              <x14:axisColor rgb="FF000000"/>
            </x14:dataBar>
          </x14:cfRule>
          <xm:sqref>AG89</xm:sqref>
        </x14:conditionalFormatting>
        <x14:conditionalFormatting xmlns:xm="http://schemas.microsoft.com/office/excel/2006/main">
          <x14:cfRule type="dataBar" id="{80611A4D-7896-4F7D-91E0-7BE5BA56B89C}">
            <x14:dataBar minLength="0" maxLength="100" border="1" negativeBarBorderColorSameAsPositive="0">
              <x14:cfvo type="autoMin"/>
              <x14:cfvo type="autoMax"/>
              <x14:borderColor rgb="FF63C384"/>
              <x14:negativeFillColor rgb="FFFF0000"/>
              <x14:negativeBorderColor rgb="FFFF0000"/>
              <x14:axisColor rgb="FF000000"/>
            </x14:dataBar>
          </x14:cfRule>
          <xm:sqref>AG90</xm:sqref>
        </x14:conditionalFormatting>
        <x14:conditionalFormatting xmlns:xm="http://schemas.microsoft.com/office/excel/2006/main">
          <x14:cfRule type="dataBar" id="{D1F128A3-2CEE-44C1-93E3-0116B318CD4B}">
            <x14:dataBar minLength="0" maxLength="100" border="1" negativeBarBorderColorSameAsPositive="0">
              <x14:cfvo type="autoMin"/>
              <x14:cfvo type="autoMax"/>
              <x14:borderColor rgb="FF63C384"/>
              <x14:negativeFillColor rgb="FFFF0000"/>
              <x14:negativeBorderColor rgb="FFFF0000"/>
              <x14:axisColor rgb="FF000000"/>
            </x14:dataBar>
          </x14:cfRule>
          <xm:sqref>AG91</xm:sqref>
        </x14:conditionalFormatting>
        <x14:conditionalFormatting xmlns:xm="http://schemas.microsoft.com/office/excel/2006/main">
          <x14:cfRule type="dataBar" id="{C5003F33-023E-4833-99F9-CE09767E86F7}">
            <x14:dataBar minLength="0" maxLength="100" border="1" negativeBarBorderColorSameAsPositive="0">
              <x14:cfvo type="autoMin"/>
              <x14:cfvo type="autoMax"/>
              <x14:borderColor rgb="FF63C384"/>
              <x14:negativeFillColor rgb="FFFF0000"/>
              <x14:negativeBorderColor rgb="FFFF0000"/>
              <x14:axisColor rgb="FF000000"/>
            </x14:dataBar>
          </x14:cfRule>
          <xm:sqref>AG91</xm:sqref>
        </x14:conditionalFormatting>
        <x14:conditionalFormatting xmlns:xm="http://schemas.microsoft.com/office/excel/2006/main">
          <x14:cfRule type="dataBar" id="{78D0D480-F554-4F87-910E-0967C5C6322C}">
            <x14:dataBar minLength="0" maxLength="100" border="1" negativeBarBorderColorSameAsPositive="0">
              <x14:cfvo type="autoMin"/>
              <x14:cfvo type="autoMax"/>
              <x14:borderColor rgb="FF63C384"/>
              <x14:negativeFillColor rgb="FFFF0000"/>
              <x14:negativeBorderColor rgb="FFFF0000"/>
              <x14:axisColor rgb="FF000000"/>
            </x14:dataBar>
          </x14:cfRule>
          <xm:sqref>AG91</xm:sqref>
        </x14:conditionalFormatting>
        <x14:conditionalFormatting xmlns:xm="http://schemas.microsoft.com/office/excel/2006/main">
          <x14:cfRule type="dataBar" id="{BB1F8A5A-04EF-4E80-8270-2EF57ADE0EBD}">
            <x14:dataBar minLength="0" maxLength="100" border="1" negativeBarBorderColorSameAsPositive="0">
              <x14:cfvo type="autoMin"/>
              <x14:cfvo type="autoMax"/>
              <x14:borderColor rgb="FF63C384"/>
              <x14:negativeFillColor rgb="FFFF0000"/>
              <x14:negativeBorderColor rgb="FFFF0000"/>
              <x14:axisColor rgb="FF000000"/>
            </x14:dataBar>
          </x14:cfRule>
          <xm:sqref>AG91</xm:sqref>
        </x14:conditionalFormatting>
        <x14:conditionalFormatting xmlns:xm="http://schemas.microsoft.com/office/excel/2006/main">
          <x14:cfRule type="dataBar" id="{A51D337B-E1B2-4230-8E09-15AF207A5222}">
            <x14:dataBar minLength="0" maxLength="100" border="1" negativeBarBorderColorSameAsPositive="0">
              <x14:cfvo type="autoMin"/>
              <x14:cfvo type="autoMax"/>
              <x14:borderColor rgb="FF63C384"/>
              <x14:negativeFillColor rgb="FFFF0000"/>
              <x14:negativeBorderColor rgb="FFFF0000"/>
              <x14:axisColor rgb="FF000000"/>
            </x14:dataBar>
          </x14:cfRule>
          <xm:sqref>AG92</xm:sqref>
        </x14:conditionalFormatting>
        <x14:conditionalFormatting xmlns:xm="http://schemas.microsoft.com/office/excel/2006/main">
          <x14:cfRule type="dataBar" id="{22BB8E5F-35E3-45C5-963B-F70661E48E4A}">
            <x14:dataBar minLength="0" maxLength="100" border="1" negativeBarBorderColorSameAsPositive="0">
              <x14:cfvo type="autoMin"/>
              <x14:cfvo type="autoMax"/>
              <x14:borderColor rgb="FF63C384"/>
              <x14:negativeFillColor rgb="FFFF0000"/>
              <x14:negativeBorderColor rgb="FFFF0000"/>
              <x14:axisColor rgb="FF000000"/>
            </x14:dataBar>
          </x14:cfRule>
          <xm:sqref>AG92</xm:sqref>
        </x14:conditionalFormatting>
        <x14:conditionalFormatting xmlns:xm="http://schemas.microsoft.com/office/excel/2006/main">
          <x14:cfRule type="dataBar" id="{83F2433E-087E-42FE-B548-EA104F4808B8}">
            <x14:dataBar minLength="0" maxLength="100" border="1" negativeBarBorderColorSameAsPositive="0">
              <x14:cfvo type="autoMin"/>
              <x14:cfvo type="autoMax"/>
              <x14:borderColor rgb="FF63C384"/>
              <x14:negativeFillColor rgb="FFFF0000"/>
              <x14:negativeBorderColor rgb="FFFF0000"/>
              <x14:axisColor rgb="FF000000"/>
            </x14:dataBar>
          </x14:cfRule>
          <xm:sqref>AG93</xm:sqref>
        </x14:conditionalFormatting>
        <x14:conditionalFormatting xmlns:xm="http://schemas.microsoft.com/office/excel/2006/main">
          <x14:cfRule type="dataBar" id="{291E823C-8A8D-454E-A645-E6D25CC512E8}">
            <x14:dataBar minLength="0" maxLength="100" border="1" negativeBarBorderColorSameAsPositive="0">
              <x14:cfvo type="autoMin"/>
              <x14:cfvo type="autoMax"/>
              <x14:borderColor rgb="FF63C384"/>
              <x14:negativeFillColor rgb="FFFF0000"/>
              <x14:negativeBorderColor rgb="FFFF0000"/>
              <x14:axisColor rgb="FF000000"/>
            </x14:dataBar>
          </x14:cfRule>
          <xm:sqref>AG93</xm:sqref>
        </x14:conditionalFormatting>
        <x14:conditionalFormatting xmlns:xm="http://schemas.microsoft.com/office/excel/2006/main">
          <x14:cfRule type="dataBar" id="{8E1990D4-E67F-4E71-957D-C4DC1DF98D2C}">
            <x14:dataBar minLength="0" maxLength="100" border="1" negativeBarBorderColorSameAsPositive="0">
              <x14:cfvo type="autoMin"/>
              <x14:cfvo type="autoMax"/>
              <x14:borderColor rgb="FF63C384"/>
              <x14:negativeFillColor rgb="FFFF0000"/>
              <x14:negativeBorderColor rgb="FFFF0000"/>
              <x14:axisColor rgb="FF000000"/>
            </x14:dataBar>
          </x14:cfRule>
          <xm:sqref>AG94</xm:sqref>
        </x14:conditionalFormatting>
        <x14:conditionalFormatting xmlns:xm="http://schemas.microsoft.com/office/excel/2006/main">
          <x14:cfRule type="dataBar" id="{25D16101-3DFA-4A02-AD9F-743D1E567DA2}">
            <x14:dataBar minLength="0" maxLength="100" border="1" negativeBarBorderColorSameAsPositive="0">
              <x14:cfvo type="autoMin"/>
              <x14:cfvo type="autoMax"/>
              <x14:borderColor rgb="FF63C384"/>
              <x14:negativeFillColor rgb="FFFF0000"/>
              <x14:negativeBorderColor rgb="FFFF0000"/>
              <x14:axisColor rgb="FF000000"/>
            </x14:dataBar>
          </x14:cfRule>
          <xm:sqref>AG94</xm:sqref>
        </x14:conditionalFormatting>
        <x14:conditionalFormatting xmlns:xm="http://schemas.microsoft.com/office/excel/2006/main">
          <x14:cfRule type="dataBar" id="{B8D467F8-537A-44D8-AF51-6E0A336C2216}">
            <x14:dataBar minLength="0" maxLength="100" border="1" negativeBarBorderColorSameAsPositive="0">
              <x14:cfvo type="autoMin"/>
              <x14:cfvo type="autoMax"/>
              <x14:borderColor rgb="FF63C384"/>
              <x14:negativeFillColor rgb="FFFF0000"/>
              <x14:negativeBorderColor rgb="FFFF0000"/>
              <x14:axisColor rgb="FF000000"/>
            </x14:dataBar>
          </x14:cfRule>
          <xm:sqref>AG95</xm:sqref>
        </x14:conditionalFormatting>
        <x14:conditionalFormatting xmlns:xm="http://schemas.microsoft.com/office/excel/2006/main">
          <x14:cfRule type="dataBar" id="{490B949E-6B40-497B-B9B4-93E4D114D4EB}">
            <x14:dataBar minLength="0" maxLength="100" border="1" negativeBarBorderColorSameAsPositive="0">
              <x14:cfvo type="autoMin"/>
              <x14:cfvo type="autoMax"/>
              <x14:borderColor rgb="FF63C384"/>
              <x14:negativeFillColor rgb="FFFF0000"/>
              <x14:negativeBorderColor rgb="FFFF0000"/>
              <x14:axisColor rgb="FF000000"/>
            </x14:dataBar>
          </x14:cfRule>
          <xm:sqref>AG95</xm:sqref>
        </x14:conditionalFormatting>
        <x14:conditionalFormatting xmlns:xm="http://schemas.microsoft.com/office/excel/2006/main">
          <x14:cfRule type="dataBar" id="{32F61BDD-E5E0-4064-AAA1-3EB9F8DC5050}">
            <x14:dataBar minLength="0" maxLength="100" border="1" negativeBarBorderColorSameAsPositive="0">
              <x14:cfvo type="autoMin"/>
              <x14:cfvo type="autoMax"/>
              <x14:borderColor rgb="FF63C384"/>
              <x14:negativeFillColor rgb="FFFF0000"/>
              <x14:negativeBorderColor rgb="FFFF0000"/>
              <x14:axisColor rgb="FF000000"/>
            </x14:dataBar>
          </x14:cfRule>
          <xm:sqref>AG96</xm:sqref>
        </x14:conditionalFormatting>
        <x14:conditionalFormatting xmlns:xm="http://schemas.microsoft.com/office/excel/2006/main">
          <x14:cfRule type="dataBar" id="{47B4AF3A-3CE6-4D07-AC4D-4B52E50BBBCB}">
            <x14:dataBar minLength="0" maxLength="100" border="1" negativeBarBorderColorSameAsPositive="0">
              <x14:cfvo type="autoMin"/>
              <x14:cfvo type="autoMax"/>
              <x14:borderColor rgb="FF63C384"/>
              <x14:negativeFillColor rgb="FFFF0000"/>
              <x14:negativeBorderColor rgb="FFFF0000"/>
              <x14:axisColor rgb="FF000000"/>
            </x14:dataBar>
          </x14:cfRule>
          <xm:sqref>AG97</xm:sqref>
        </x14:conditionalFormatting>
        <x14:conditionalFormatting xmlns:xm="http://schemas.microsoft.com/office/excel/2006/main">
          <x14:cfRule type="dataBar" id="{92CC2493-DF33-4F44-912D-AE9201D13EE3}">
            <x14:dataBar minLength="0" maxLength="100" border="1" negativeBarBorderColorSameAsPositive="0">
              <x14:cfvo type="autoMin"/>
              <x14:cfvo type="autoMax"/>
              <x14:borderColor rgb="FF63C384"/>
              <x14:negativeFillColor rgb="FFFF0000"/>
              <x14:negativeBorderColor rgb="FFFF0000"/>
              <x14:axisColor rgb="FF000000"/>
            </x14:dataBar>
          </x14:cfRule>
          <xm:sqref>AG97</xm:sqref>
        </x14:conditionalFormatting>
        <x14:conditionalFormatting xmlns:xm="http://schemas.microsoft.com/office/excel/2006/main">
          <x14:cfRule type="dataBar" id="{AF49A8F5-1357-4952-BCEB-C72674C8E5F2}">
            <x14:dataBar minLength="0" maxLength="100" border="1" negativeBarBorderColorSameAsPositive="0">
              <x14:cfvo type="autoMin"/>
              <x14:cfvo type="autoMax"/>
              <x14:borderColor rgb="FF63C384"/>
              <x14:negativeFillColor rgb="FFFF0000"/>
              <x14:negativeBorderColor rgb="FFFF0000"/>
              <x14:axisColor rgb="FF000000"/>
            </x14:dataBar>
          </x14:cfRule>
          <xm:sqref>AG97</xm:sqref>
        </x14:conditionalFormatting>
        <x14:conditionalFormatting xmlns:xm="http://schemas.microsoft.com/office/excel/2006/main">
          <x14:cfRule type="dataBar" id="{68D724E8-8184-40C1-9BB4-9B2CA589DA4D}">
            <x14:dataBar minLength="0" maxLength="100" border="1" negativeBarBorderColorSameAsPositive="0">
              <x14:cfvo type="autoMin"/>
              <x14:cfvo type="autoMax"/>
              <x14:borderColor rgb="FF63C384"/>
              <x14:negativeFillColor rgb="FFFF0000"/>
              <x14:negativeBorderColor rgb="FFFF0000"/>
              <x14:axisColor rgb="FF000000"/>
            </x14:dataBar>
          </x14:cfRule>
          <xm:sqref>AG97</xm:sqref>
        </x14:conditionalFormatting>
        <x14:conditionalFormatting xmlns:xm="http://schemas.microsoft.com/office/excel/2006/main">
          <x14:cfRule type="dataBar" id="{54F4D994-1B99-4AFD-BEA3-A4976081152C}">
            <x14:dataBar minLength="0" maxLength="100" border="1" negativeBarBorderColorSameAsPositive="0">
              <x14:cfvo type="autoMin"/>
              <x14:cfvo type="autoMax"/>
              <x14:borderColor rgb="FF63C384"/>
              <x14:negativeFillColor rgb="FFFF0000"/>
              <x14:negativeBorderColor rgb="FFFF0000"/>
              <x14:axisColor rgb="FF000000"/>
            </x14:dataBar>
          </x14:cfRule>
          <xm:sqref>AG97</xm:sqref>
        </x14:conditionalFormatting>
        <x14:conditionalFormatting xmlns:xm="http://schemas.microsoft.com/office/excel/2006/main">
          <x14:cfRule type="dataBar" id="{51F0F0BF-C123-4615-8803-42D0D14AF086}">
            <x14:dataBar minLength="0" maxLength="100" border="1" negativeBarBorderColorSameAsPositive="0">
              <x14:cfvo type="autoMin"/>
              <x14:cfvo type="autoMax"/>
              <x14:borderColor rgb="FF63C384"/>
              <x14:negativeFillColor rgb="FFFF0000"/>
              <x14:negativeBorderColor rgb="FFFF0000"/>
              <x14:axisColor rgb="FF000000"/>
            </x14:dataBar>
          </x14:cfRule>
          <xm:sqref>AG97</xm:sqref>
        </x14:conditionalFormatting>
        <x14:conditionalFormatting xmlns:xm="http://schemas.microsoft.com/office/excel/2006/main">
          <x14:cfRule type="dataBar" id="{6136881B-3309-4C87-80BE-64B056B21464}">
            <x14:dataBar minLength="0" maxLength="100" border="1" negativeBarBorderColorSameAsPositive="0">
              <x14:cfvo type="autoMin"/>
              <x14:cfvo type="autoMax"/>
              <x14:borderColor rgb="FF63C384"/>
              <x14:negativeFillColor rgb="FFFF0000"/>
              <x14:negativeBorderColor rgb="FFFF0000"/>
              <x14:axisColor rgb="FF000000"/>
            </x14:dataBar>
          </x14:cfRule>
          <xm:sqref>AG97</xm:sqref>
        </x14:conditionalFormatting>
        <x14:conditionalFormatting xmlns:xm="http://schemas.microsoft.com/office/excel/2006/main">
          <x14:cfRule type="dataBar" id="{CF0C852F-DF29-45B7-8846-1BC3BEA5741F}">
            <x14:dataBar minLength="0" maxLength="100" border="1" negativeBarBorderColorSameAsPositive="0">
              <x14:cfvo type="autoMin"/>
              <x14:cfvo type="autoMax"/>
              <x14:borderColor rgb="FF63C384"/>
              <x14:negativeFillColor rgb="FFFF0000"/>
              <x14:negativeBorderColor rgb="FFFF0000"/>
              <x14:axisColor rgb="FF000000"/>
            </x14:dataBar>
          </x14:cfRule>
          <xm:sqref>AG97</xm:sqref>
        </x14:conditionalFormatting>
        <x14:conditionalFormatting xmlns:xm="http://schemas.microsoft.com/office/excel/2006/main">
          <x14:cfRule type="dataBar" id="{CC9CAA73-F367-435E-9C92-9D54C85DF355}">
            <x14:dataBar minLength="0" maxLength="100" border="1" negativeBarBorderColorSameAsPositive="0">
              <x14:cfvo type="autoMin"/>
              <x14:cfvo type="autoMax"/>
              <x14:borderColor rgb="FF63C384"/>
              <x14:negativeFillColor rgb="FFFF0000"/>
              <x14:negativeBorderColor rgb="FFFF0000"/>
              <x14:axisColor rgb="FF000000"/>
            </x14:dataBar>
          </x14:cfRule>
          <xm:sqref>AG98</xm:sqref>
        </x14:conditionalFormatting>
        <x14:conditionalFormatting xmlns:xm="http://schemas.microsoft.com/office/excel/2006/main">
          <x14:cfRule type="dataBar" id="{8A22DA75-57FB-4BE2-9F2B-AB6402C513D0}">
            <x14:dataBar minLength="0" maxLength="100" border="1" negativeBarBorderColorSameAsPositive="0">
              <x14:cfvo type="autoMin"/>
              <x14:cfvo type="autoMax"/>
              <x14:borderColor rgb="FF63C384"/>
              <x14:negativeFillColor rgb="FFFF0000"/>
              <x14:negativeBorderColor rgb="FFFF0000"/>
              <x14:axisColor rgb="FF000000"/>
            </x14:dataBar>
          </x14:cfRule>
          <xm:sqref>AG98</xm:sqref>
        </x14:conditionalFormatting>
        <x14:conditionalFormatting xmlns:xm="http://schemas.microsoft.com/office/excel/2006/main">
          <x14:cfRule type="dataBar" id="{34B43F8A-EF38-4372-AA18-072631FC7C09}">
            <x14:dataBar minLength="0" maxLength="100" border="1" negativeBarBorderColorSameAsPositive="0">
              <x14:cfvo type="autoMin"/>
              <x14:cfvo type="autoMax"/>
              <x14:borderColor rgb="FF63C384"/>
              <x14:negativeFillColor rgb="FFFF0000"/>
              <x14:negativeBorderColor rgb="FFFF0000"/>
              <x14:axisColor rgb="FF000000"/>
            </x14:dataBar>
          </x14:cfRule>
          <xm:sqref>AG99</xm:sqref>
        </x14:conditionalFormatting>
        <x14:conditionalFormatting xmlns:xm="http://schemas.microsoft.com/office/excel/2006/main">
          <x14:cfRule type="dataBar" id="{536B3896-44BF-45D0-B931-9A90429709FC}">
            <x14:dataBar minLength="0" maxLength="100" border="1" negativeBarBorderColorSameAsPositive="0">
              <x14:cfvo type="autoMin"/>
              <x14:cfvo type="autoMax"/>
              <x14:borderColor rgb="FF63C384"/>
              <x14:negativeFillColor rgb="FFFF0000"/>
              <x14:negativeBorderColor rgb="FFFF0000"/>
              <x14:axisColor rgb="FF000000"/>
            </x14:dataBar>
          </x14:cfRule>
          <xm:sqref>AG100</xm:sqref>
        </x14:conditionalFormatting>
        <x14:conditionalFormatting xmlns:xm="http://schemas.microsoft.com/office/excel/2006/main">
          <x14:cfRule type="dataBar" id="{ECAA8A67-2433-4EA0-BB74-5232C7F0156D}">
            <x14:dataBar minLength="0" maxLength="100" border="1" negativeBarBorderColorSameAsPositive="0">
              <x14:cfvo type="autoMin"/>
              <x14:cfvo type="autoMax"/>
              <x14:borderColor rgb="FF63C384"/>
              <x14:negativeFillColor rgb="FFFF0000"/>
              <x14:negativeBorderColor rgb="FFFF0000"/>
              <x14:axisColor rgb="FF000000"/>
            </x14:dataBar>
          </x14:cfRule>
          <xm:sqref>AG100</xm:sqref>
        </x14:conditionalFormatting>
        <x14:conditionalFormatting xmlns:xm="http://schemas.microsoft.com/office/excel/2006/main">
          <x14:cfRule type="dataBar" id="{B848174D-C11D-4ECB-BCA0-301AB9F6D96D}">
            <x14:dataBar minLength="0" maxLength="100" border="1" negativeBarBorderColorSameAsPositive="0">
              <x14:cfvo type="autoMin"/>
              <x14:cfvo type="autoMax"/>
              <x14:borderColor rgb="FF63C384"/>
              <x14:negativeFillColor rgb="FFFF0000"/>
              <x14:negativeBorderColor rgb="FFFF0000"/>
              <x14:axisColor rgb="FF000000"/>
            </x14:dataBar>
          </x14:cfRule>
          <xm:sqref>AG101</xm:sqref>
        </x14:conditionalFormatting>
        <x14:conditionalFormatting xmlns:xm="http://schemas.microsoft.com/office/excel/2006/main">
          <x14:cfRule type="dataBar" id="{EC18EE18-15FE-4616-817F-829333E7EAD7}">
            <x14:dataBar minLength="0" maxLength="100" border="1" negativeBarBorderColorSameAsPositive="0">
              <x14:cfvo type="autoMin"/>
              <x14:cfvo type="autoMax"/>
              <x14:borderColor rgb="FF63C384"/>
              <x14:negativeFillColor rgb="FFFF0000"/>
              <x14:negativeBorderColor rgb="FFFF0000"/>
              <x14:axisColor rgb="FF000000"/>
            </x14:dataBar>
          </x14:cfRule>
          <xm:sqref>AG101</xm:sqref>
        </x14:conditionalFormatting>
        <x14:conditionalFormatting xmlns:xm="http://schemas.microsoft.com/office/excel/2006/main">
          <x14:cfRule type="dataBar" id="{8A980ACA-EEE4-4344-8C4D-D666436F883E}">
            <x14:dataBar minLength="0" maxLength="100" border="1" negativeBarBorderColorSameAsPositive="0">
              <x14:cfvo type="autoMin"/>
              <x14:cfvo type="autoMax"/>
              <x14:borderColor rgb="FF63C384"/>
              <x14:negativeFillColor rgb="FFFF0000"/>
              <x14:negativeBorderColor rgb="FFFF0000"/>
              <x14:axisColor rgb="FF000000"/>
            </x14:dataBar>
          </x14:cfRule>
          <xm:sqref>AG102</xm:sqref>
        </x14:conditionalFormatting>
        <x14:conditionalFormatting xmlns:xm="http://schemas.microsoft.com/office/excel/2006/main">
          <x14:cfRule type="dataBar" id="{756BFDB5-EC06-4D40-AC48-2A13CE2AA62A}">
            <x14:dataBar minLength="0" maxLength="100" border="1" negativeBarBorderColorSameAsPositive="0">
              <x14:cfvo type="autoMin"/>
              <x14:cfvo type="autoMax"/>
              <x14:borderColor rgb="FF63C384"/>
              <x14:negativeFillColor rgb="FFFF0000"/>
              <x14:negativeBorderColor rgb="FFFF0000"/>
              <x14:axisColor rgb="FF000000"/>
            </x14:dataBar>
          </x14:cfRule>
          <xm:sqref>AG102</xm:sqref>
        </x14:conditionalFormatting>
        <x14:conditionalFormatting xmlns:xm="http://schemas.microsoft.com/office/excel/2006/main">
          <x14:cfRule type="dataBar" id="{AD20700D-F79E-4F17-9131-AE68CC2A6A5B}">
            <x14:dataBar minLength="0" maxLength="100" border="1" negativeBarBorderColorSameAsPositive="0">
              <x14:cfvo type="autoMin"/>
              <x14:cfvo type="autoMax"/>
              <x14:borderColor rgb="FF63C384"/>
              <x14:negativeFillColor rgb="FFFF0000"/>
              <x14:negativeBorderColor rgb="FFFF0000"/>
              <x14:axisColor rgb="FF000000"/>
            </x14:dataBar>
          </x14:cfRule>
          <xm:sqref>AG103</xm:sqref>
        </x14:conditionalFormatting>
        <x14:conditionalFormatting xmlns:xm="http://schemas.microsoft.com/office/excel/2006/main">
          <x14:cfRule type="dataBar" id="{7978163D-D3EC-4225-AD17-88C8A188D69A}">
            <x14:dataBar minLength="0" maxLength="100" border="1" negativeBarBorderColorSameAsPositive="0">
              <x14:cfvo type="autoMin"/>
              <x14:cfvo type="autoMax"/>
              <x14:borderColor rgb="FF63C384"/>
              <x14:negativeFillColor rgb="FFFF0000"/>
              <x14:negativeBorderColor rgb="FFFF0000"/>
              <x14:axisColor rgb="FF000000"/>
            </x14:dataBar>
          </x14:cfRule>
          <xm:sqref>AG103</xm:sqref>
        </x14:conditionalFormatting>
        <x14:conditionalFormatting xmlns:xm="http://schemas.microsoft.com/office/excel/2006/main">
          <x14:cfRule type="dataBar" id="{B667FA05-D315-4CB5-9959-0B8713BAB3EF}">
            <x14:dataBar minLength="0" maxLength="100" border="1" negativeBarBorderColorSameAsPositive="0">
              <x14:cfvo type="autoMin"/>
              <x14:cfvo type="autoMax"/>
              <x14:borderColor rgb="FF63C384"/>
              <x14:negativeFillColor rgb="FFFF0000"/>
              <x14:negativeBorderColor rgb="FFFF0000"/>
              <x14:axisColor rgb="FF000000"/>
            </x14:dataBar>
          </x14:cfRule>
          <xm:sqref>AG103</xm:sqref>
        </x14:conditionalFormatting>
        <x14:conditionalFormatting xmlns:xm="http://schemas.microsoft.com/office/excel/2006/main">
          <x14:cfRule type="dataBar" id="{292B77C7-E303-436E-A071-49181F1662B6}">
            <x14:dataBar minLength="0" maxLength="100" border="1" negativeBarBorderColorSameAsPositive="0">
              <x14:cfvo type="autoMin"/>
              <x14:cfvo type="autoMax"/>
              <x14:borderColor rgb="FF63C384"/>
              <x14:negativeFillColor rgb="FFFF0000"/>
              <x14:negativeBorderColor rgb="FFFF0000"/>
              <x14:axisColor rgb="FF000000"/>
            </x14:dataBar>
          </x14:cfRule>
          <xm:sqref>AG103</xm:sqref>
        </x14:conditionalFormatting>
        <x14:conditionalFormatting xmlns:xm="http://schemas.microsoft.com/office/excel/2006/main">
          <x14:cfRule type="dataBar" id="{F123CFE1-944E-41D9-BA70-2A04A6406D68}">
            <x14:dataBar minLength="0" maxLength="100" border="1" negativeBarBorderColorSameAsPositive="0">
              <x14:cfvo type="autoMin"/>
              <x14:cfvo type="autoMax"/>
              <x14:borderColor rgb="FF63C384"/>
              <x14:negativeFillColor rgb="FFFF0000"/>
              <x14:negativeBorderColor rgb="FFFF0000"/>
              <x14:axisColor rgb="FF000000"/>
            </x14:dataBar>
          </x14:cfRule>
          <xm:sqref>AG104</xm:sqref>
        </x14:conditionalFormatting>
        <x14:conditionalFormatting xmlns:xm="http://schemas.microsoft.com/office/excel/2006/main">
          <x14:cfRule type="dataBar" id="{D6CBAC36-D6E7-407F-A530-C67784A2E517}">
            <x14:dataBar minLength="0" maxLength="100" border="1" negativeBarBorderColorSameAsPositive="0">
              <x14:cfvo type="autoMin"/>
              <x14:cfvo type="autoMax"/>
              <x14:borderColor rgb="FF63C384"/>
              <x14:negativeFillColor rgb="FFFF0000"/>
              <x14:negativeBorderColor rgb="FFFF0000"/>
              <x14:axisColor rgb="FF000000"/>
            </x14:dataBar>
          </x14:cfRule>
          <xm:sqref>AG104</xm:sqref>
        </x14:conditionalFormatting>
        <x14:conditionalFormatting xmlns:xm="http://schemas.microsoft.com/office/excel/2006/main">
          <x14:cfRule type="dataBar" id="{DF937159-99A1-4AD3-9A0D-D383305C011E}">
            <x14:dataBar minLength="0" maxLength="100" border="1" negativeBarBorderColorSameAsPositive="0">
              <x14:cfvo type="autoMin"/>
              <x14:cfvo type="autoMax"/>
              <x14:borderColor rgb="FF63C384"/>
              <x14:negativeFillColor rgb="FFFF0000"/>
              <x14:negativeBorderColor rgb="FFFF0000"/>
              <x14:axisColor rgb="FF000000"/>
            </x14:dataBar>
          </x14:cfRule>
          <xm:sqref>AG105</xm:sqref>
        </x14:conditionalFormatting>
        <x14:conditionalFormatting xmlns:xm="http://schemas.microsoft.com/office/excel/2006/main">
          <x14:cfRule type="dataBar" id="{E57CC844-88F3-4D49-86E0-C3D308FE8627}">
            <x14:dataBar minLength="0" maxLength="100" border="1" negativeBarBorderColorSameAsPositive="0">
              <x14:cfvo type="autoMin"/>
              <x14:cfvo type="autoMax"/>
              <x14:borderColor rgb="FF63C384"/>
              <x14:negativeFillColor rgb="FFFF0000"/>
              <x14:negativeBorderColor rgb="FFFF0000"/>
              <x14:axisColor rgb="FF000000"/>
            </x14:dataBar>
          </x14:cfRule>
          <xm:sqref>AG105</xm:sqref>
        </x14:conditionalFormatting>
        <x14:conditionalFormatting xmlns:xm="http://schemas.microsoft.com/office/excel/2006/main">
          <x14:cfRule type="dataBar" id="{2D78F805-13CD-436D-8CD2-5F4274472650}">
            <x14:dataBar minLength="0" maxLength="100" border="1" negativeBarBorderColorSameAsPositive="0">
              <x14:cfvo type="autoMin"/>
              <x14:cfvo type="autoMax"/>
              <x14:borderColor rgb="FF63C384"/>
              <x14:negativeFillColor rgb="FFFF0000"/>
              <x14:negativeBorderColor rgb="FFFF0000"/>
              <x14:axisColor rgb="FF000000"/>
            </x14:dataBar>
          </x14:cfRule>
          <xm:sqref>AG106</xm:sqref>
        </x14:conditionalFormatting>
        <x14:conditionalFormatting xmlns:xm="http://schemas.microsoft.com/office/excel/2006/main">
          <x14:cfRule type="dataBar" id="{069A7887-7CA0-43D6-A823-400EC62E244B}">
            <x14:dataBar minLength="0" maxLength="100" border="1" negativeBarBorderColorSameAsPositive="0">
              <x14:cfvo type="autoMin"/>
              <x14:cfvo type="autoMax"/>
              <x14:borderColor rgb="FF63C384"/>
              <x14:negativeFillColor rgb="FFFF0000"/>
              <x14:negativeBorderColor rgb="FFFF0000"/>
              <x14:axisColor rgb="FF000000"/>
            </x14:dataBar>
          </x14:cfRule>
          <xm:sqref>AG106</xm:sqref>
        </x14:conditionalFormatting>
        <x14:conditionalFormatting xmlns:xm="http://schemas.microsoft.com/office/excel/2006/main">
          <x14:cfRule type="dataBar" id="{0C834492-4FC6-4707-B293-83906998BFBD}">
            <x14:dataBar minLength="0" maxLength="100" border="1" negativeBarBorderColorSameAsPositive="0">
              <x14:cfvo type="autoMin"/>
              <x14:cfvo type="autoMax"/>
              <x14:borderColor rgb="FF63C384"/>
              <x14:negativeFillColor rgb="FFFF0000"/>
              <x14:negativeBorderColor rgb="FFFF0000"/>
              <x14:axisColor rgb="FF000000"/>
            </x14:dataBar>
          </x14:cfRule>
          <xm:sqref>AG106</xm:sqref>
        </x14:conditionalFormatting>
        <x14:conditionalFormatting xmlns:xm="http://schemas.microsoft.com/office/excel/2006/main">
          <x14:cfRule type="dataBar" id="{E23C24A1-0919-488F-822C-07BB26193F00}">
            <x14:dataBar minLength="0" maxLength="100" border="1" negativeBarBorderColorSameAsPositive="0">
              <x14:cfvo type="autoMin"/>
              <x14:cfvo type="autoMax"/>
              <x14:borderColor rgb="FF63C384"/>
              <x14:negativeFillColor rgb="FFFF0000"/>
              <x14:negativeBorderColor rgb="FFFF0000"/>
              <x14:axisColor rgb="FF000000"/>
            </x14:dataBar>
          </x14:cfRule>
          <xm:sqref>AG106</xm:sqref>
        </x14:conditionalFormatting>
        <x14:conditionalFormatting xmlns:xm="http://schemas.microsoft.com/office/excel/2006/main">
          <x14:cfRule type="dataBar" id="{73BAA78B-38CD-4284-9AD8-2FC03663440D}">
            <x14:dataBar minLength="0" maxLength="100" border="1" negativeBarBorderColorSameAsPositive="0">
              <x14:cfvo type="autoMin"/>
              <x14:cfvo type="autoMax"/>
              <x14:borderColor rgb="FF63C384"/>
              <x14:negativeFillColor rgb="FFFF0000"/>
              <x14:negativeBorderColor rgb="FFFF0000"/>
              <x14:axisColor rgb="FF000000"/>
            </x14:dataBar>
          </x14:cfRule>
          <xm:sqref>AG107</xm:sqref>
        </x14:conditionalFormatting>
        <x14:conditionalFormatting xmlns:xm="http://schemas.microsoft.com/office/excel/2006/main">
          <x14:cfRule type="dataBar" id="{D706C4A5-B5AC-4C1F-99C4-61B359C6F9FE}">
            <x14:dataBar minLength="0" maxLength="100" border="1" negativeBarBorderColorSameAsPositive="0">
              <x14:cfvo type="autoMin"/>
              <x14:cfvo type="autoMax"/>
              <x14:borderColor rgb="FF63C384"/>
              <x14:negativeFillColor rgb="FFFF0000"/>
              <x14:negativeBorderColor rgb="FFFF0000"/>
              <x14:axisColor rgb="FF000000"/>
            </x14:dataBar>
          </x14:cfRule>
          <xm:sqref>AG108</xm:sqref>
        </x14:conditionalFormatting>
        <x14:conditionalFormatting xmlns:xm="http://schemas.microsoft.com/office/excel/2006/main">
          <x14:cfRule type="dataBar" id="{13759F2A-570A-4B62-83C4-1303C55C9A4E}">
            <x14:dataBar minLength="0" maxLength="100" border="1" negativeBarBorderColorSameAsPositive="0">
              <x14:cfvo type="autoMin"/>
              <x14:cfvo type="autoMax"/>
              <x14:borderColor rgb="FF63C384"/>
              <x14:negativeFillColor rgb="FFFF0000"/>
              <x14:negativeBorderColor rgb="FFFF0000"/>
              <x14:axisColor rgb="FF000000"/>
            </x14:dataBar>
          </x14:cfRule>
          <xm:sqref>AG108</xm:sqref>
        </x14:conditionalFormatting>
        <x14:conditionalFormatting xmlns:xm="http://schemas.microsoft.com/office/excel/2006/main">
          <x14:cfRule type="dataBar" id="{99485EB2-211D-47B8-97E7-06E981770A0B}">
            <x14:dataBar minLength="0" maxLength="100" border="1" negativeBarBorderColorSameAsPositive="0">
              <x14:cfvo type="autoMin"/>
              <x14:cfvo type="autoMax"/>
              <x14:borderColor rgb="FF63C384"/>
              <x14:negativeFillColor rgb="FFFF0000"/>
              <x14:negativeBorderColor rgb="FFFF0000"/>
              <x14:axisColor rgb="FF000000"/>
            </x14:dataBar>
          </x14:cfRule>
          <xm:sqref>AG108</xm:sqref>
        </x14:conditionalFormatting>
        <x14:conditionalFormatting xmlns:xm="http://schemas.microsoft.com/office/excel/2006/main">
          <x14:cfRule type="dataBar" id="{CFB8B60D-DA22-48F9-AAA3-DC614D77F31B}">
            <x14:dataBar minLength="0" maxLength="100" border="1" negativeBarBorderColorSameAsPositive="0">
              <x14:cfvo type="autoMin"/>
              <x14:cfvo type="autoMax"/>
              <x14:borderColor rgb="FF63C384"/>
              <x14:negativeFillColor rgb="FFFF0000"/>
              <x14:negativeBorderColor rgb="FFFF0000"/>
              <x14:axisColor rgb="FF000000"/>
            </x14:dataBar>
          </x14:cfRule>
          <xm:sqref>AG108</xm:sqref>
        </x14:conditionalFormatting>
        <x14:conditionalFormatting xmlns:xm="http://schemas.microsoft.com/office/excel/2006/main">
          <x14:cfRule type="dataBar" id="{3E91B8C0-8CD2-48B6-A01E-087A232AB351}">
            <x14:dataBar minLength="0" maxLength="100" border="1" negativeBarBorderColorSameAsPositive="0">
              <x14:cfvo type="autoMin"/>
              <x14:cfvo type="autoMax"/>
              <x14:borderColor rgb="FF63C384"/>
              <x14:negativeFillColor rgb="FFFF0000"/>
              <x14:negativeBorderColor rgb="FFFF0000"/>
              <x14:axisColor rgb="FF000000"/>
            </x14:dataBar>
          </x14:cfRule>
          <xm:sqref>AG111</xm:sqref>
        </x14:conditionalFormatting>
        <x14:conditionalFormatting xmlns:xm="http://schemas.microsoft.com/office/excel/2006/main">
          <x14:cfRule type="dataBar" id="{AD44FDFC-FC8A-4D95-A26D-34F779F76B92}">
            <x14:dataBar minLength="0" maxLength="100" border="1" negativeBarBorderColorSameAsPositive="0">
              <x14:cfvo type="autoMin"/>
              <x14:cfvo type="autoMax"/>
              <x14:borderColor rgb="FF63C384"/>
              <x14:negativeFillColor rgb="FFFF0000"/>
              <x14:negativeBorderColor rgb="FFFF0000"/>
              <x14:axisColor rgb="FF000000"/>
            </x14:dataBar>
          </x14:cfRule>
          <xm:sqref>AG111</xm:sqref>
        </x14:conditionalFormatting>
        <x14:conditionalFormatting xmlns:xm="http://schemas.microsoft.com/office/excel/2006/main">
          <x14:cfRule type="dataBar" id="{A09CF7AD-2C52-4BDC-A0D8-788B4F826AB1}">
            <x14:dataBar minLength="0" maxLength="100" border="1" negativeBarBorderColorSameAsPositive="0">
              <x14:cfvo type="autoMin"/>
              <x14:cfvo type="autoMax"/>
              <x14:borderColor rgb="FF63C384"/>
              <x14:negativeFillColor rgb="FFFF0000"/>
              <x14:negativeBorderColor rgb="FFFF0000"/>
              <x14:axisColor rgb="FF000000"/>
            </x14:dataBar>
          </x14:cfRule>
          <xm:sqref>AG112</xm:sqref>
        </x14:conditionalFormatting>
        <x14:conditionalFormatting xmlns:xm="http://schemas.microsoft.com/office/excel/2006/main">
          <x14:cfRule type="dataBar" id="{5DF21CBC-3C06-45B9-AF0B-F009C1501CE7}">
            <x14:dataBar minLength="0" maxLength="100" border="1" negativeBarBorderColorSameAsPositive="0">
              <x14:cfvo type="autoMin"/>
              <x14:cfvo type="autoMax"/>
              <x14:borderColor rgb="FF63C384"/>
              <x14:negativeFillColor rgb="FFFF0000"/>
              <x14:negativeBorderColor rgb="FFFF0000"/>
              <x14:axisColor rgb="FF000000"/>
            </x14:dataBar>
          </x14:cfRule>
          <xm:sqref>AG112</xm:sqref>
        </x14:conditionalFormatting>
        <x14:conditionalFormatting xmlns:xm="http://schemas.microsoft.com/office/excel/2006/main">
          <x14:cfRule type="dataBar" id="{FD19547E-57E6-4E9C-AC28-FA9459D3A4A4}">
            <x14:dataBar minLength="0" maxLength="100" border="1" negativeBarBorderColorSameAsPositive="0">
              <x14:cfvo type="autoMin"/>
              <x14:cfvo type="autoMax"/>
              <x14:borderColor rgb="FF63C384"/>
              <x14:negativeFillColor rgb="FFFF0000"/>
              <x14:negativeBorderColor rgb="FFFF0000"/>
              <x14:axisColor rgb="FF000000"/>
            </x14:dataBar>
          </x14:cfRule>
          <xm:sqref>AG113</xm:sqref>
        </x14:conditionalFormatting>
        <x14:conditionalFormatting xmlns:xm="http://schemas.microsoft.com/office/excel/2006/main">
          <x14:cfRule type="dataBar" id="{D4144F02-9247-4E37-BAA4-8E9BDB4F1387}">
            <x14:dataBar minLength="0" maxLength="100" border="1" negativeBarBorderColorSameAsPositive="0">
              <x14:cfvo type="autoMin"/>
              <x14:cfvo type="autoMax"/>
              <x14:borderColor rgb="FF63C384"/>
              <x14:negativeFillColor rgb="FFFF0000"/>
              <x14:negativeBorderColor rgb="FFFF0000"/>
              <x14:axisColor rgb="FF000000"/>
            </x14:dataBar>
          </x14:cfRule>
          <xm:sqref>AG113</xm:sqref>
        </x14:conditionalFormatting>
        <x14:conditionalFormatting xmlns:xm="http://schemas.microsoft.com/office/excel/2006/main">
          <x14:cfRule type="dataBar" id="{B3F676B1-082C-4C7F-B80D-5389E1A16B24}">
            <x14:dataBar minLength="0" maxLength="100" border="1" negativeBarBorderColorSameAsPositive="0">
              <x14:cfvo type="autoMin"/>
              <x14:cfvo type="autoMax"/>
              <x14:borderColor rgb="FF63C384"/>
              <x14:negativeFillColor rgb="FFFF0000"/>
              <x14:negativeBorderColor rgb="FFFF0000"/>
              <x14:axisColor rgb="FF000000"/>
            </x14:dataBar>
          </x14:cfRule>
          <xm:sqref>AG113</xm:sqref>
        </x14:conditionalFormatting>
        <x14:conditionalFormatting xmlns:xm="http://schemas.microsoft.com/office/excel/2006/main">
          <x14:cfRule type="dataBar" id="{92F730ED-94D1-4B28-92A0-D71A214FCC62}">
            <x14:dataBar minLength="0" maxLength="100" border="1" negativeBarBorderColorSameAsPositive="0">
              <x14:cfvo type="autoMin"/>
              <x14:cfvo type="autoMax"/>
              <x14:borderColor rgb="FF63C384"/>
              <x14:negativeFillColor rgb="FFFF0000"/>
              <x14:negativeBorderColor rgb="FFFF0000"/>
              <x14:axisColor rgb="FF000000"/>
            </x14:dataBar>
          </x14:cfRule>
          <xm:sqref>AG113</xm:sqref>
        </x14:conditionalFormatting>
        <x14:conditionalFormatting xmlns:xm="http://schemas.microsoft.com/office/excel/2006/main">
          <x14:cfRule type="dataBar" id="{ECDC9B9C-6E68-47DB-B69F-1FA93F74D34C}">
            <x14:dataBar minLength="0" maxLength="100" border="1" negativeBarBorderColorSameAsPositive="0">
              <x14:cfvo type="autoMin"/>
              <x14:cfvo type="autoMax"/>
              <x14:borderColor rgb="FF63C384"/>
              <x14:negativeFillColor rgb="FFFF0000"/>
              <x14:negativeBorderColor rgb="FFFF0000"/>
              <x14:axisColor rgb="FF000000"/>
            </x14:dataBar>
          </x14:cfRule>
          <xm:sqref>AG114</xm:sqref>
        </x14:conditionalFormatting>
        <x14:conditionalFormatting xmlns:xm="http://schemas.microsoft.com/office/excel/2006/main">
          <x14:cfRule type="dataBar" id="{A14F6A04-D5C7-49B5-9231-4FB02C6DFA1E}">
            <x14:dataBar minLength="0" maxLength="100" border="1" negativeBarBorderColorSameAsPositive="0">
              <x14:cfvo type="autoMin"/>
              <x14:cfvo type="autoMax"/>
              <x14:borderColor rgb="FF63C384"/>
              <x14:negativeFillColor rgb="FFFF0000"/>
              <x14:negativeBorderColor rgb="FFFF0000"/>
              <x14:axisColor rgb="FF000000"/>
            </x14:dataBar>
          </x14:cfRule>
          <xm:sqref>AG114</xm:sqref>
        </x14:conditionalFormatting>
        <x14:conditionalFormatting xmlns:xm="http://schemas.microsoft.com/office/excel/2006/main">
          <x14:cfRule type="dataBar" id="{259D2FF4-1F4D-45B5-8C8B-5D642E502E34}">
            <x14:dataBar minLength="0" maxLength="100" border="1" negativeBarBorderColorSameAsPositive="0">
              <x14:cfvo type="autoMin"/>
              <x14:cfvo type="autoMax"/>
              <x14:borderColor rgb="FF63C384"/>
              <x14:negativeFillColor rgb="FFFF0000"/>
              <x14:negativeBorderColor rgb="FFFF0000"/>
              <x14:axisColor rgb="FF000000"/>
            </x14:dataBar>
          </x14:cfRule>
          <xm:sqref>AG115</xm:sqref>
        </x14:conditionalFormatting>
        <x14:conditionalFormatting xmlns:xm="http://schemas.microsoft.com/office/excel/2006/main">
          <x14:cfRule type="dataBar" id="{80D26B41-7AB9-41B0-92FF-595F5424B74F}">
            <x14:dataBar minLength="0" maxLength="100" border="1" negativeBarBorderColorSameAsPositive="0">
              <x14:cfvo type="autoMin"/>
              <x14:cfvo type="autoMax"/>
              <x14:borderColor rgb="FF63C384"/>
              <x14:negativeFillColor rgb="FFFF0000"/>
              <x14:negativeBorderColor rgb="FFFF0000"/>
              <x14:axisColor rgb="FF000000"/>
            </x14:dataBar>
          </x14:cfRule>
          <xm:sqref>AG116</xm:sqref>
        </x14:conditionalFormatting>
        <x14:conditionalFormatting xmlns:xm="http://schemas.microsoft.com/office/excel/2006/main">
          <x14:cfRule type="dataBar" id="{F45F45BB-C442-4C68-8CA5-807031C6865C}">
            <x14:dataBar minLength="0" maxLength="100" border="1" negativeBarBorderColorSameAsPositive="0">
              <x14:cfvo type="autoMin"/>
              <x14:cfvo type="autoMax"/>
              <x14:borderColor rgb="FF63C384"/>
              <x14:negativeFillColor rgb="FFFF0000"/>
              <x14:negativeBorderColor rgb="FFFF0000"/>
              <x14:axisColor rgb="FF000000"/>
            </x14:dataBar>
          </x14:cfRule>
          <xm:sqref>AG116</xm:sqref>
        </x14:conditionalFormatting>
        <x14:conditionalFormatting xmlns:xm="http://schemas.microsoft.com/office/excel/2006/main">
          <x14:cfRule type="dataBar" id="{CFE38E8F-9847-4CE6-B297-7943C9E401BC}">
            <x14:dataBar minLength="0" maxLength="100" border="1" negativeBarBorderColorSameAsPositive="0">
              <x14:cfvo type="autoMin"/>
              <x14:cfvo type="autoMax"/>
              <x14:borderColor rgb="FF63C384"/>
              <x14:negativeFillColor rgb="FFFF0000"/>
              <x14:negativeBorderColor rgb="FFFF0000"/>
              <x14:axisColor rgb="FF000000"/>
            </x14:dataBar>
          </x14:cfRule>
          <xm:sqref>AG116</xm:sqref>
        </x14:conditionalFormatting>
        <x14:conditionalFormatting xmlns:xm="http://schemas.microsoft.com/office/excel/2006/main">
          <x14:cfRule type="dataBar" id="{C32DCE95-FDA7-4099-9467-4D75C5D679A9}">
            <x14:dataBar minLength="0" maxLength="100" border="1" negativeBarBorderColorSameAsPositive="0">
              <x14:cfvo type="autoMin"/>
              <x14:cfvo type="autoMax"/>
              <x14:borderColor rgb="FF63C384"/>
              <x14:negativeFillColor rgb="FFFF0000"/>
              <x14:negativeBorderColor rgb="FFFF0000"/>
              <x14:axisColor rgb="FF000000"/>
            </x14:dataBar>
          </x14:cfRule>
          <xm:sqref>AG116</xm:sqref>
        </x14:conditionalFormatting>
        <x14:conditionalFormatting xmlns:xm="http://schemas.microsoft.com/office/excel/2006/main">
          <x14:cfRule type="dataBar" id="{B646147C-D439-470D-9282-90A747A205E5}">
            <x14:dataBar minLength="0" maxLength="100" border="1" negativeBarBorderColorSameAsPositive="0">
              <x14:cfvo type="autoMin"/>
              <x14:cfvo type="autoMax"/>
              <x14:borderColor rgb="FF63C384"/>
              <x14:negativeFillColor rgb="FFFF0000"/>
              <x14:negativeBorderColor rgb="FFFF0000"/>
              <x14:axisColor rgb="FF000000"/>
            </x14:dataBar>
          </x14:cfRule>
          <xm:sqref>AG116</xm:sqref>
        </x14:conditionalFormatting>
        <x14:conditionalFormatting xmlns:xm="http://schemas.microsoft.com/office/excel/2006/main">
          <x14:cfRule type="dataBar" id="{80011B56-75A1-4B36-A852-8BD95064AC0B}">
            <x14:dataBar minLength="0" maxLength="100" border="1" negativeBarBorderColorSameAsPositive="0">
              <x14:cfvo type="autoMin"/>
              <x14:cfvo type="autoMax"/>
              <x14:borderColor rgb="FF63C384"/>
              <x14:negativeFillColor rgb="FFFF0000"/>
              <x14:negativeBorderColor rgb="FFFF0000"/>
              <x14:axisColor rgb="FF000000"/>
            </x14:dataBar>
          </x14:cfRule>
          <xm:sqref>AG116</xm:sqref>
        </x14:conditionalFormatting>
        <x14:conditionalFormatting xmlns:xm="http://schemas.microsoft.com/office/excel/2006/main">
          <x14:cfRule type="dataBar" id="{8EA65F2D-6E0F-4D6E-ABB9-FDC8527AC539}">
            <x14:dataBar minLength="0" maxLength="100" border="1" negativeBarBorderColorSameAsPositive="0">
              <x14:cfvo type="autoMin"/>
              <x14:cfvo type="autoMax"/>
              <x14:borderColor rgb="FF63C384"/>
              <x14:negativeFillColor rgb="FFFF0000"/>
              <x14:negativeBorderColor rgb="FFFF0000"/>
              <x14:axisColor rgb="FF000000"/>
            </x14:dataBar>
          </x14:cfRule>
          <xm:sqref>AG116</xm:sqref>
        </x14:conditionalFormatting>
        <x14:conditionalFormatting xmlns:xm="http://schemas.microsoft.com/office/excel/2006/main">
          <x14:cfRule type="dataBar" id="{20B1C3B5-2197-4FCA-A7F2-77F5CE0255C7}">
            <x14:dataBar minLength="0" maxLength="100" border="1" negativeBarBorderColorSameAsPositive="0">
              <x14:cfvo type="autoMin"/>
              <x14:cfvo type="autoMax"/>
              <x14:borderColor rgb="FF63C384"/>
              <x14:negativeFillColor rgb="FFFF0000"/>
              <x14:negativeBorderColor rgb="FFFF0000"/>
              <x14:axisColor rgb="FF000000"/>
            </x14:dataBar>
          </x14:cfRule>
          <xm:sqref>AG116</xm:sqref>
        </x14:conditionalFormatting>
        <x14:conditionalFormatting xmlns:xm="http://schemas.microsoft.com/office/excel/2006/main">
          <x14:cfRule type="dataBar" id="{D0E1AC29-4E7C-4EE8-B719-35513DB21840}">
            <x14:dataBar minLength="0" maxLength="100" border="1" negativeBarBorderColorSameAsPositive="0">
              <x14:cfvo type="autoMin"/>
              <x14:cfvo type="autoMax"/>
              <x14:borderColor rgb="FF63C384"/>
              <x14:negativeFillColor rgb="FFFF0000"/>
              <x14:negativeBorderColor rgb="FFFF0000"/>
              <x14:axisColor rgb="FF000000"/>
            </x14:dataBar>
          </x14:cfRule>
          <xm:sqref>AG117</xm:sqref>
        </x14:conditionalFormatting>
        <x14:conditionalFormatting xmlns:xm="http://schemas.microsoft.com/office/excel/2006/main">
          <x14:cfRule type="dataBar" id="{9C091459-40B9-45F0-A641-BCC03B78E56C}">
            <x14:dataBar minLength="0" maxLength="100" border="1" negativeBarBorderColorSameAsPositive="0">
              <x14:cfvo type="autoMin"/>
              <x14:cfvo type="autoMax"/>
              <x14:borderColor rgb="FF63C384"/>
              <x14:negativeFillColor rgb="FFFF0000"/>
              <x14:negativeBorderColor rgb="FFFF0000"/>
              <x14:axisColor rgb="FF000000"/>
            </x14:dataBar>
          </x14:cfRule>
          <xm:sqref>AG117</xm:sqref>
        </x14:conditionalFormatting>
        <x14:conditionalFormatting xmlns:xm="http://schemas.microsoft.com/office/excel/2006/main">
          <x14:cfRule type="dataBar" id="{DA2AC240-0E73-4327-B3A6-E91FCD208ECC}">
            <x14:dataBar minLength="0" maxLength="100" border="1" negativeBarBorderColorSameAsPositive="0">
              <x14:cfvo type="autoMin"/>
              <x14:cfvo type="autoMax"/>
              <x14:borderColor rgb="FF63C384"/>
              <x14:negativeFillColor rgb="FFFF0000"/>
              <x14:negativeBorderColor rgb="FFFF0000"/>
              <x14:axisColor rgb="FF000000"/>
            </x14:dataBar>
          </x14:cfRule>
          <xm:sqref>AG118</xm:sqref>
        </x14:conditionalFormatting>
        <x14:conditionalFormatting xmlns:xm="http://schemas.microsoft.com/office/excel/2006/main">
          <x14:cfRule type="dataBar" id="{8B24D2F5-7239-4206-BE9A-6E0BE4314DD7}">
            <x14:dataBar minLength="0" maxLength="100" border="1" negativeBarBorderColorSameAsPositive="0">
              <x14:cfvo type="autoMin"/>
              <x14:cfvo type="autoMax"/>
              <x14:borderColor rgb="FF63C384"/>
              <x14:negativeFillColor rgb="FFFF0000"/>
              <x14:negativeBorderColor rgb="FFFF0000"/>
              <x14:axisColor rgb="FF000000"/>
            </x14:dataBar>
          </x14:cfRule>
          <xm:sqref>AG119</xm:sqref>
        </x14:conditionalFormatting>
        <x14:conditionalFormatting xmlns:xm="http://schemas.microsoft.com/office/excel/2006/main">
          <x14:cfRule type="dataBar" id="{ABD3C367-6D52-4BEC-B942-DE806B0EBDBC}">
            <x14:dataBar minLength="0" maxLength="100" border="1" negativeBarBorderColorSameAsPositive="0">
              <x14:cfvo type="autoMin"/>
              <x14:cfvo type="autoMax"/>
              <x14:borderColor rgb="FF63C384"/>
              <x14:negativeFillColor rgb="FFFF0000"/>
              <x14:negativeBorderColor rgb="FFFF0000"/>
              <x14:axisColor rgb="FF000000"/>
            </x14:dataBar>
          </x14:cfRule>
          <xm:sqref>AG119</xm:sqref>
        </x14:conditionalFormatting>
        <x14:conditionalFormatting xmlns:xm="http://schemas.microsoft.com/office/excel/2006/main">
          <x14:cfRule type="dataBar" id="{C5E78F21-2191-490F-A9C3-AF825EF8CBBB}">
            <x14:dataBar minLength="0" maxLength="100" border="1" negativeBarBorderColorSameAsPositive="0">
              <x14:cfvo type="autoMin"/>
              <x14:cfvo type="autoMax"/>
              <x14:borderColor rgb="FF63C384"/>
              <x14:negativeFillColor rgb="FFFF0000"/>
              <x14:negativeBorderColor rgb="FFFF0000"/>
              <x14:axisColor rgb="FF000000"/>
            </x14:dataBar>
          </x14:cfRule>
          <xm:sqref>AG120</xm:sqref>
        </x14:conditionalFormatting>
        <x14:conditionalFormatting xmlns:xm="http://schemas.microsoft.com/office/excel/2006/main">
          <x14:cfRule type="dataBar" id="{C181379A-432B-478C-A9D6-6BD8551C0512}">
            <x14:dataBar minLength="0" maxLength="100" border="1" negativeBarBorderColorSameAsPositive="0">
              <x14:cfvo type="autoMin"/>
              <x14:cfvo type="autoMax"/>
              <x14:borderColor rgb="FF63C384"/>
              <x14:negativeFillColor rgb="FFFF0000"/>
              <x14:negativeBorderColor rgb="FFFF0000"/>
              <x14:axisColor rgb="FF000000"/>
            </x14:dataBar>
          </x14:cfRule>
          <xm:sqref>AG120</xm:sqref>
        </x14:conditionalFormatting>
        <x14:conditionalFormatting xmlns:xm="http://schemas.microsoft.com/office/excel/2006/main">
          <x14:cfRule type="dataBar" id="{A477C3F2-C075-48B1-B371-149794586A24}">
            <x14:dataBar minLength="0" maxLength="100" border="1" negativeBarBorderColorSameAsPositive="0">
              <x14:cfvo type="autoMin"/>
              <x14:cfvo type="autoMax"/>
              <x14:borderColor rgb="FF63C384"/>
              <x14:negativeFillColor rgb="FFFF0000"/>
              <x14:negativeBorderColor rgb="FFFF0000"/>
              <x14:axisColor rgb="FF000000"/>
            </x14:dataBar>
          </x14:cfRule>
          <xm:sqref>AG121</xm:sqref>
        </x14:conditionalFormatting>
        <x14:conditionalFormatting xmlns:xm="http://schemas.microsoft.com/office/excel/2006/main">
          <x14:cfRule type="dataBar" id="{446694D7-50C3-4316-9A28-218D711BB90D}">
            <x14:dataBar minLength="0" maxLength="100" border="1" negativeBarBorderColorSameAsPositive="0">
              <x14:cfvo type="autoMin"/>
              <x14:cfvo type="autoMax"/>
              <x14:borderColor rgb="FF63C384"/>
              <x14:negativeFillColor rgb="FFFF0000"/>
              <x14:negativeBorderColor rgb="FFFF0000"/>
              <x14:axisColor rgb="FF000000"/>
            </x14:dataBar>
          </x14:cfRule>
          <xm:sqref>AG121</xm:sqref>
        </x14:conditionalFormatting>
        <x14:conditionalFormatting xmlns:xm="http://schemas.microsoft.com/office/excel/2006/main">
          <x14:cfRule type="dataBar" id="{7BAF3782-0EB9-4E79-BF3F-1C72E600C66A}">
            <x14:dataBar minLength="0" maxLength="100" border="1" negativeBarBorderColorSameAsPositive="0">
              <x14:cfvo type="autoMin"/>
              <x14:cfvo type="autoMax"/>
              <x14:borderColor rgb="FF63C384"/>
              <x14:negativeFillColor rgb="FFFF0000"/>
              <x14:negativeBorderColor rgb="FFFF0000"/>
              <x14:axisColor rgb="FF000000"/>
            </x14:dataBar>
          </x14:cfRule>
          <xm:sqref>AG121</xm:sqref>
        </x14:conditionalFormatting>
        <x14:conditionalFormatting xmlns:xm="http://schemas.microsoft.com/office/excel/2006/main">
          <x14:cfRule type="dataBar" id="{AF2AAD3A-6A5A-4E03-A09B-BACC7D14B4E5}">
            <x14:dataBar minLength="0" maxLength="100" border="1" negativeBarBorderColorSameAsPositive="0">
              <x14:cfvo type="autoMin"/>
              <x14:cfvo type="autoMax"/>
              <x14:borderColor rgb="FF63C384"/>
              <x14:negativeFillColor rgb="FFFF0000"/>
              <x14:negativeBorderColor rgb="FFFF0000"/>
              <x14:axisColor rgb="FF000000"/>
            </x14:dataBar>
          </x14:cfRule>
          <xm:sqref>AG121</xm:sqref>
        </x14:conditionalFormatting>
        <x14:conditionalFormatting xmlns:xm="http://schemas.microsoft.com/office/excel/2006/main">
          <x14:cfRule type="dataBar" id="{C7A6582F-AE60-4152-995D-260B5F03EC73}">
            <x14:dataBar minLength="0" maxLength="100" border="1" negativeBarBorderColorSameAsPositive="0">
              <x14:cfvo type="autoMin"/>
              <x14:cfvo type="autoMax"/>
              <x14:borderColor rgb="FF63C384"/>
              <x14:negativeFillColor rgb="FFFF0000"/>
              <x14:negativeBorderColor rgb="FFFF0000"/>
              <x14:axisColor rgb="FF000000"/>
            </x14:dataBar>
          </x14:cfRule>
          <xm:sqref>AG122</xm:sqref>
        </x14:conditionalFormatting>
        <x14:conditionalFormatting xmlns:xm="http://schemas.microsoft.com/office/excel/2006/main">
          <x14:cfRule type="dataBar" id="{4D7878BF-B1A8-4228-9482-0913F3529CE1}">
            <x14:dataBar minLength="0" maxLength="100" border="1" negativeBarBorderColorSameAsPositive="0">
              <x14:cfvo type="autoMin"/>
              <x14:cfvo type="autoMax"/>
              <x14:borderColor rgb="FF63C384"/>
              <x14:negativeFillColor rgb="FFFF0000"/>
              <x14:negativeBorderColor rgb="FFFF0000"/>
              <x14:axisColor rgb="FF000000"/>
            </x14:dataBar>
          </x14:cfRule>
          <xm:sqref>AG123</xm:sqref>
        </x14:conditionalFormatting>
        <x14:conditionalFormatting xmlns:xm="http://schemas.microsoft.com/office/excel/2006/main">
          <x14:cfRule type="dataBar" id="{6EEBB27A-F590-4AF3-8BB2-22028EF2B711}">
            <x14:dataBar minLength="0" maxLength="100" border="1" negativeBarBorderColorSameAsPositive="0">
              <x14:cfvo type="autoMin"/>
              <x14:cfvo type="autoMax"/>
              <x14:borderColor rgb="FF63C384"/>
              <x14:negativeFillColor rgb="FFFF0000"/>
              <x14:negativeBorderColor rgb="FFFF0000"/>
              <x14:axisColor rgb="FF000000"/>
            </x14:dataBar>
          </x14:cfRule>
          <xm:sqref>AG123</xm:sqref>
        </x14:conditionalFormatting>
        <x14:conditionalFormatting xmlns:xm="http://schemas.microsoft.com/office/excel/2006/main">
          <x14:cfRule type="dataBar" id="{51174996-CBEB-4953-A4ED-69D7B09151DF}">
            <x14:dataBar minLength="0" maxLength="100" border="1" negativeBarBorderColorSameAsPositive="0">
              <x14:cfvo type="autoMin"/>
              <x14:cfvo type="autoMax"/>
              <x14:borderColor rgb="FF63C384"/>
              <x14:negativeFillColor rgb="FFFF0000"/>
              <x14:negativeBorderColor rgb="FFFF0000"/>
              <x14:axisColor rgb="FF000000"/>
            </x14:dataBar>
          </x14:cfRule>
          <xm:sqref>AG123</xm:sqref>
        </x14:conditionalFormatting>
        <x14:conditionalFormatting xmlns:xm="http://schemas.microsoft.com/office/excel/2006/main">
          <x14:cfRule type="dataBar" id="{67A4DAE4-567E-44D2-9B83-C027CF9C9DAC}">
            <x14:dataBar minLength="0" maxLength="100" border="1" negativeBarBorderColorSameAsPositive="0">
              <x14:cfvo type="autoMin"/>
              <x14:cfvo type="autoMax"/>
              <x14:borderColor rgb="FF63C384"/>
              <x14:negativeFillColor rgb="FFFF0000"/>
              <x14:negativeBorderColor rgb="FFFF0000"/>
              <x14:axisColor rgb="FF000000"/>
            </x14:dataBar>
          </x14:cfRule>
          <xm:sqref>AG123</xm:sqref>
        </x14:conditionalFormatting>
        <x14:conditionalFormatting xmlns:xm="http://schemas.microsoft.com/office/excel/2006/main">
          <x14:cfRule type="dataBar" id="{F8FD55AE-F265-4895-BC22-6FBD7F89D9DF}">
            <x14:dataBar minLength="0" maxLength="100" border="1" negativeBarBorderColorSameAsPositive="0">
              <x14:cfvo type="autoMin"/>
              <x14:cfvo type="autoMax"/>
              <x14:borderColor rgb="FF63C384"/>
              <x14:negativeFillColor rgb="FFFF0000"/>
              <x14:negativeBorderColor rgb="FFFF0000"/>
              <x14:axisColor rgb="FF000000"/>
            </x14:dataBar>
          </x14:cfRule>
          <xm:sqref>AG124</xm:sqref>
        </x14:conditionalFormatting>
        <x14:conditionalFormatting xmlns:xm="http://schemas.microsoft.com/office/excel/2006/main">
          <x14:cfRule type="dataBar" id="{A96DB08B-3041-4F6D-9D63-6C13417B4C09}">
            <x14:dataBar minLength="0" maxLength="100" border="1" negativeBarBorderColorSameAsPositive="0">
              <x14:cfvo type="autoMin"/>
              <x14:cfvo type="autoMax"/>
              <x14:borderColor rgb="FF63C384"/>
              <x14:negativeFillColor rgb="FFFF0000"/>
              <x14:negativeBorderColor rgb="FFFF0000"/>
              <x14:axisColor rgb="FF000000"/>
            </x14:dataBar>
          </x14:cfRule>
          <xm:sqref>AG124</xm:sqref>
        </x14:conditionalFormatting>
        <x14:conditionalFormatting xmlns:xm="http://schemas.microsoft.com/office/excel/2006/main">
          <x14:cfRule type="dataBar" id="{60D077E0-66A4-49F7-AEF2-81621A791DEF}">
            <x14:dataBar minLength="0" maxLength="100" border="1" negativeBarBorderColorSameAsPositive="0">
              <x14:cfvo type="autoMin"/>
              <x14:cfvo type="autoMax"/>
              <x14:borderColor rgb="FF63C384"/>
              <x14:negativeFillColor rgb="FFFF0000"/>
              <x14:negativeBorderColor rgb="FFFF0000"/>
              <x14:axisColor rgb="FF000000"/>
            </x14:dataBar>
          </x14:cfRule>
          <xm:sqref>AG125</xm:sqref>
        </x14:conditionalFormatting>
        <x14:conditionalFormatting xmlns:xm="http://schemas.microsoft.com/office/excel/2006/main">
          <x14:cfRule type="dataBar" id="{095EAA88-A1A0-4745-AB6E-05B283B38D45}">
            <x14:dataBar minLength="0" maxLength="100" border="1" negativeBarBorderColorSameAsPositive="0">
              <x14:cfvo type="autoMin"/>
              <x14:cfvo type="autoMax"/>
              <x14:borderColor rgb="FF63C384"/>
              <x14:negativeFillColor rgb="FFFF0000"/>
              <x14:negativeBorderColor rgb="FFFF0000"/>
              <x14:axisColor rgb="FF000000"/>
            </x14:dataBar>
          </x14:cfRule>
          <xm:sqref>AG125</xm:sqref>
        </x14:conditionalFormatting>
        <x14:conditionalFormatting xmlns:xm="http://schemas.microsoft.com/office/excel/2006/main">
          <x14:cfRule type="dataBar" id="{699054DD-D23B-425C-93A8-BCEA9B4877FD}">
            <x14:dataBar minLength="0" maxLength="100" border="1" negativeBarBorderColorSameAsPositive="0">
              <x14:cfvo type="autoMin"/>
              <x14:cfvo type="autoMax"/>
              <x14:borderColor rgb="FF63C384"/>
              <x14:negativeFillColor rgb="FFFF0000"/>
              <x14:negativeBorderColor rgb="FFFF0000"/>
              <x14:axisColor rgb="FF000000"/>
            </x14:dataBar>
          </x14:cfRule>
          <xm:sqref>AG125</xm:sqref>
        </x14:conditionalFormatting>
        <x14:conditionalFormatting xmlns:xm="http://schemas.microsoft.com/office/excel/2006/main">
          <x14:cfRule type="dataBar" id="{CEABCB54-1725-4171-88FA-1E114B10D23F}">
            <x14:dataBar minLength="0" maxLength="100" border="1" negativeBarBorderColorSameAsPositive="0">
              <x14:cfvo type="autoMin"/>
              <x14:cfvo type="autoMax"/>
              <x14:borderColor rgb="FF63C384"/>
              <x14:negativeFillColor rgb="FFFF0000"/>
              <x14:negativeBorderColor rgb="FFFF0000"/>
              <x14:axisColor rgb="FF000000"/>
            </x14:dataBar>
          </x14:cfRule>
          <xm:sqref>AG125</xm:sqref>
        </x14:conditionalFormatting>
        <x14:conditionalFormatting xmlns:xm="http://schemas.microsoft.com/office/excel/2006/main">
          <x14:cfRule type="dataBar" id="{8EA36CBF-9AD7-4615-BBA8-9132EB848576}">
            <x14:dataBar minLength="0" maxLength="100" border="1" negativeBarBorderColorSameAsPositive="0">
              <x14:cfvo type="autoMin"/>
              <x14:cfvo type="autoMax"/>
              <x14:borderColor rgb="FF63C384"/>
              <x14:negativeFillColor rgb="FFFF0000"/>
              <x14:negativeBorderColor rgb="FFFF0000"/>
              <x14:axisColor rgb="FF000000"/>
            </x14:dataBar>
          </x14:cfRule>
          <xm:sqref>AG127</xm:sqref>
        </x14:conditionalFormatting>
        <x14:conditionalFormatting xmlns:xm="http://schemas.microsoft.com/office/excel/2006/main">
          <x14:cfRule type="dataBar" id="{A4FF116B-60A6-481D-B4F3-889E41FA52AA}">
            <x14:dataBar minLength="0" maxLength="100" border="1" negativeBarBorderColorSameAsPositive="0">
              <x14:cfvo type="autoMin"/>
              <x14:cfvo type="autoMax"/>
              <x14:borderColor rgb="FF63C384"/>
              <x14:negativeFillColor rgb="FFFF0000"/>
              <x14:negativeBorderColor rgb="FFFF0000"/>
              <x14:axisColor rgb="FF000000"/>
            </x14:dataBar>
          </x14:cfRule>
          <xm:sqref>AG127</xm:sqref>
        </x14:conditionalFormatting>
        <x14:conditionalFormatting xmlns:xm="http://schemas.microsoft.com/office/excel/2006/main">
          <x14:cfRule type="dataBar" id="{0A5FA8A4-200F-467C-A27B-50AB0EE99CB1}">
            <x14:dataBar minLength="0" maxLength="100" border="1" negativeBarBorderColorSameAsPositive="0">
              <x14:cfvo type="autoMin"/>
              <x14:cfvo type="autoMax"/>
              <x14:borderColor rgb="FF63C384"/>
              <x14:negativeFillColor rgb="FFFF0000"/>
              <x14:negativeBorderColor rgb="FFFF0000"/>
              <x14:axisColor rgb="FF000000"/>
            </x14:dataBar>
          </x14:cfRule>
          <xm:sqref>AG128</xm:sqref>
        </x14:conditionalFormatting>
        <x14:conditionalFormatting xmlns:xm="http://schemas.microsoft.com/office/excel/2006/main">
          <x14:cfRule type="dataBar" id="{63624594-BA26-491D-9A4B-27C017292293}">
            <x14:dataBar minLength="0" maxLength="100" border="1" negativeBarBorderColorSameAsPositive="0">
              <x14:cfvo type="autoMin"/>
              <x14:cfvo type="autoMax"/>
              <x14:borderColor rgb="FF63C384"/>
              <x14:negativeFillColor rgb="FFFF0000"/>
              <x14:negativeBorderColor rgb="FFFF0000"/>
              <x14:axisColor rgb="FF000000"/>
            </x14:dataBar>
          </x14:cfRule>
          <xm:sqref>AG128</xm:sqref>
        </x14:conditionalFormatting>
        <x14:conditionalFormatting xmlns:xm="http://schemas.microsoft.com/office/excel/2006/main">
          <x14:cfRule type="dataBar" id="{EE18F87A-10D4-427D-8D63-98FB6FE9CCD6}">
            <x14:dataBar minLength="0" maxLength="100" border="1" negativeBarBorderColorSameAsPositive="0">
              <x14:cfvo type="autoMin"/>
              <x14:cfvo type="autoMax"/>
              <x14:borderColor rgb="FF63C384"/>
              <x14:negativeFillColor rgb="FFFF0000"/>
              <x14:negativeBorderColor rgb="FFFF0000"/>
              <x14:axisColor rgb="FF000000"/>
            </x14:dataBar>
          </x14:cfRule>
          <xm:sqref>AG129</xm:sqref>
        </x14:conditionalFormatting>
        <x14:conditionalFormatting xmlns:xm="http://schemas.microsoft.com/office/excel/2006/main">
          <x14:cfRule type="dataBar" id="{4121B0DA-4EAF-4D7D-ADC4-644AC33EA7CA}">
            <x14:dataBar minLength="0" maxLength="100" border="1" negativeBarBorderColorSameAsPositive="0">
              <x14:cfvo type="autoMin"/>
              <x14:cfvo type="autoMax"/>
              <x14:borderColor rgb="FF63C384"/>
              <x14:negativeFillColor rgb="FFFF0000"/>
              <x14:negativeBorderColor rgb="FFFF0000"/>
              <x14:axisColor rgb="FF000000"/>
            </x14:dataBar>
          </x14:cfRule>
          <xm:sqref>AG129</xm:sqref>
        </x14:conditionalFormatting>
        <x14:conditionalFormatting xmlns:xm="http://schemas.microsoft.com/office/excel/2006/main">
          <x14:cfRule type="dataBar" id="{CDA8D0DB-FACE-4D4E-AECE-E551412BAF44}">
            <x14:dataBar minLength="0" maxLength="100" border="1" negativeBarBorderColorSameAsPositive="0">
              <x14:cfvo type="autoMin"/>
              <x14:cfvo type="autoMax"/>
              <x14:borderColor rgb="FF63C384"/>
              <x14:negativeFillColor rgb="FFFF0000"/>
              <x14:negativeBorderColor rgb="FFFF0000"/>
              <x14:axisColor rgb="FF000000"/>
            </x14:dataBar>
          </x14:cfRule>
          <xm:sqref>AG129</xm:sqref>
        </x14:conditionalFormatting>
        <x14:conditionalFormatting xmlns:xm="http://schemas.microsoft.com/office/excel/2006/main">
          <x14:cfRule type="dataBar" id="{7C654386-FA53-4AFD-AF96-6E7B46F6DF4D}">
            <x14:dataBar minLength="0" maxLength="100" border="1" negativeBarBorderColorSameAsPositive="0">
              <x14:cfvo type="autoMin"/>
              <x14:cfvo type="autoMax"/>
              <x14:borderColor rgb="FF63C384"/>
              <x14:negativeFillColor rgb="FFFF0000"/>
              <x14:negativeBorderColor rgb="FFFF0000"/>
              <x14:axisColor rgb="FF000000"/>
            </x14:dataBar>
          </x14:cfRule>
          <xm:sqref>AG129</xm:sqref>
        </x14:conditionalFormatting>
        <x14:conditionalFormatting xmlns:xm="http://schemas.microsoft.com/office/excel/2006/main">
          <x14:cfRule type="dataBar" id="{A238F18B-5EBA-493E-939D-D89282BA5C27}">
            <x14:dataBar minLength="0" maxLength="100" border="1" negativeBarBorderColorSameAsPositive="0">
              <x14:cfvo type="autoMin"/>
              <x14:cfvo type="autoMax"/>
              <x14:borderColor rgb="FF63C384"/>
              <x14:negativeFillColor rgb="FFFF0000"/>
              <x14:negativeBorderColor rgb="FFFF0000"/>
              <x14:axisColor rgb="FF000000"/>
            </x14:dataBar>
          </x14:cfRule>
          <xm:sqref>AG129</xm:sqref>
        </x14:conditionalFormatting>
        <x14:conditionalFormatting xmlns:xm="http://schemas.microsoft.com/office/excel/2006/main">
          <x14:cfRule type="dataBar" id="{6AA8AF3A-F863-4B36-AC54-1577504B3A61}">
            <x14:dataBar minLength="0" maxLength="100" border="1" negativeBarBorderColorSameAsPositive="0">
              <x14:cfvo type="autoMin"/>
              <x14:cfvo type="autoMax"/>
              <x14:borderColor rgb="FF63C384"/>
              <x14:negativeFillColor rgb="FFFF0000"/>
              <x14:negativeBorderColor rgb="FFFF0000"/>
              <x14:axisColor rgb="FF000000"/>
            </x14:dataBar>
          </x14:cfRule>
          <xm:sqref>AG129</xm:sqref>
        </x14:conditionalFormatting>
        <x14:conditionalFormatting xmlns:xm="http://schemas.microsoft.com/office/excel/2006/main">
          <x14:cfRule type="dataBar" id="{1BD307A5-E3ED-44C9-B18E-3673DDAF6C78}">
            <x14:dataBar minLength="0" maxLength="100" border="1" negativeBarBorderColorSameAsPositive="0">
              <x14:cfvo type="autoMin"/>
              <x14:cfvo type="autoMax"/>
              <x14:borderColor rgb="FF63C384"/>
              <x14:negativeFillColor rgb="FFFF0000"/>
              <x14:negativeBorderColor rgb="FFFF0000"/>
              <x14:axisColor rgb="FF000000"/>
            </x14:dataBar>
          </x14:cfRule>
          <xm:sqref>AG129</xm:sqref>
        </x14:conditionalFormatting>
        <x14:conditionalFormatting xmlns:xm="http://schemas.microsoft.com/office/excel/2006/main">
          <x14:cfRule type="dataBar" id="{CB6AC873-DC5C-414F-958E-0BC3ED87F4E7}">
            <x14:dataBar minLength="0" maxLength="100" border="1" negativeBarBorderColorSameAsPositive="0">
              <x14:cfvo type="autoMin"/>
              <x14:cfvo type="autoMax"/>
              <x14:borderColor rgb="FF63C384"/>
              <x14:negativeFillColor rgb="FFFF0000"/>
              <x14:negativeBorderColor rgb="FFFF0000"/>
              <x14:axisColor rgb="FF000000"/>
            </x14:dataBar>
          </x14:cfRule>
          <xm:sqref>AG129</xm:sqref>
        </x14:conditionalFormatting>
        <x14:conditionalFormatting xmlns:xm="http://schemas.microsoft.com/office/excel/2006/main">
          <x14:cfRule type="dataBar" id="{4940791C-EAD1-4557-8573-2D2A2AE1738F}">
            <x14:dataBar minLength="0" maxLength="100" border="1" negativeBarBorderColorSameAsPositive="0">
              <x14:cfvo type="autoMin"/>
              <x14:cfvo type="autoMax"/>
              <x14:borderColor rgb="FF63C384"/>
              <x14:negativeFillColor rgb="FFFF0000"/>
              <x14:negativeBorderColor rgb="FFFF0000"/>
              <x14:axisColor rgb="FF000000"/>
            </x14:dataBar>
          </x14:cfRule>
          <xm:sqref>AG130</xm:sqref>
        </x14:conditionalFormatting>
        <x14:conditionalFormatting xmlns:xm="http://schemas.microsoft.com/office/excel/2006/main">
          <x14:cfRule type="dataBar" id="{7E3A4089-DB7D-4736-B7F4-29E59077A487}">
            <x14:dataBar minLength="0" maxLength="100" border="1" negativeBarBorderColorSameAsPositive="0">
              <x14:cfvo type="autoMin"/>
              <x14:cfvo type="autoMax"/>
              <x14:borderColor rgb="FF63C384"/>
              <x14:negativeFillColor rgb="FFFF0000"/>
              <x14:negativeBorderColor rgb="FFFF0000"/>
              <x14:axisColor rgb="FF000000"/>
            </x14:dataBar>
          </x14:cfRule>
          <xm:sqref>AG131</xm:sqref>
        </x14:conditionalFormatting>
        <x14:conditionalFormatting xmlns:xm="http://schemas.microsoft.com/office/excel/2006/main">
          <x14:cfRule type="dataBar" id="{1F6A9524-2E21-4FB6-9E15-19A6BB98A96B}">
            <x14:dataBar minLength="0" maxLength="100" border="1" negativeBarBorderColorSameAsPositive="0">
              <x14:cfvo type="autoMin"/>
              <x14:cfvo type="autoMax"/>
              <x14:borderColor rgb="FF63C384"/>
              <x14:negativeFillColor rgb="FFFF0000"/>
              <x14:negativeBorderColor rgb="FFFF0000"/>
              <x14:axisColor rgb="FF000000"/>
            </x14:dataBar>
          </x14:cfRule>
          <xm:sqref>AG132</xm:sqref>
        </x14:conditionalFormatting>
        <x14:conditionalFormatting xmlns:xm="http://schemas.microsoft.com/office/excel/2006/main">
          <x14:cfRule type="dataBar" id="{F8FE9304-36B2-4354-9F56-8F1CC028B0A1}">
            <x14:dataBar minLength="0" maxLength="100" border="1" negativeBarBorderColorSameAsPositive="0">
              <x14:cfvo type="autoMin"/>
              <x14:cfvo type="autoMax"/>
              <x14:borderColor rgb="FF63C384"/>
              <x14:negativeFillColor rgb="FFFF0000"/>
              <x14:negativeBorderColor rgb="FFFF0000"/>
              <x14:axisColor rgb="FF000000"/>
            </x14:dataBar>
          </x14:cfRule>
          <xm:sqref>AG132</xm:sqref>
        </x14:conditionalFormatting>
        <x14:conditionalFormatting xmlns:xm="http://schemas.microsoft.com/office/excel/2006/main">
          <x14:cfRule type="dataBar" id="{578AB49D-AB94-4BA5-BE88-202BA80D146B}">
            <x14:dataBar minLength="0" maxLength="100" border="1" negativeBarBorderColorSameAsPositive="0">
              <x14:cfvo type="autoMin"/>
              <x14:cfvo type="autoMax"/>
              <x14:borderColor rgb="FF63C384"/>
              <x14:negativeFillColor rgb="FFFF0000"/>
              <x14:negativeBorderColor rgb="FFFF0000"/>
              <x14:axisColor rgb="FF000000"/>
            </x14:dataBar>
          </x14:cfRule>
          <xm:sqref>AG133</xm:sqref>
        </x14:conditionalFormatting>
        <x14:conditionalFormatting xmlns:xm="http://schemas.microsoft.com/office/excel/2006/main">
          <x14:cfRule type="dataBar" id="{DFEE36B0-D1B9-4E85-8AE3-65EDC544EBB0}">
            <x14:dataBar minLength="0" maxLength="100" border="1" negativeBarBorderColorSameAsPositive="0">
              <x14:cfvo type="autoMin"/>
              <x14:cfvo type="autoMax"/>
              <x14:borderColor rgb="FF63C384"/>
              <x14:negativeFillColor rgb="FFFF0000"/>
              <x14:negativeBorderColor rgb="FFFF0000"/>
              <x14:axisColor rgb="FF000000"/>
            </x14:dataBar>
          </x14:cfRule>
          <xm:sqref>AG133</xm:sqref>
        </x14:conditionalFormatting>
        <x14:conditionalFormatting xmlns:xm="http://schemas.microsoft.com/office/excel/2006/main">
          <x14:cfRule type="dataBar" id="{29BABFB6-C278-4B33-93AC-9400C8563109}">
            <x14:dataBar minLength="0" maxLength="100" border="1" negativeBarBorderColorSameAsPositive="0">
              <x14:cfvo type="autoMin"/>
              <x14:cfvo type="autoMax"/>
              <x14:borderColor rgb="FF63C384"/>
              <x14:negativeFillColor rgb="FFFF0000"/>
              <x14:negativeBorderColor rgb="FFFF0000"/>
              <x14:axisColor rgb="FF000000"/>
            </x14:dataBar>
          </x14:cfRule>
          <xm:sqref>AG133</xm:sqref>
        </x14:conditionalFormatting>
        <x14:conditionalFormatting xmlns:xm="http://schemas.microsoft.com/office/excel/2006/main">
          <x14:cfRule type="dataBar" id="{99D6A654-19D4-43F6-845B-A09EE3DC61C9}">
            <x14:dataBar minLength="0" maxLength="100" border="1" negativeBarBorderColorSameAsPositive="0">
              <x14:cfvo type="autoMin"/>
              <x14:cfvo type="autoMax"/>
              <x14:borderColor rgb="FF63C384"/>
              <x14:negativeFillColor rgb="FFFF0000"/>
              <x14:negativeBorderColor rgb="FFFF0000"/>
              <x14:axisColor rgb="FF000000"/>
            </x14:dataBar>
          </x14:cfRule>
          <xm:sqref>AG133</xm:sqref>
        </x14:conditionalFormatting>
        <x14:conditionalFormatting xmlns:xm="http://schemas.microsoft.com/office/excel/2006/main">
          <x14:cfRule type="dataBar" id="{4C772DD1-7E7A-4E18-8778-7C2FC4D96236}">
            <x14:dataBar minLength="0" maxLength="100" border="1" negativeBarBorderColorSameAsPositive="0">
              <x14:cfvo type="autoMin"/>
              <x14:cfvo type="autoMax"/>
              <x14:borderColor rgb="FF63C384"/>
              <x14:negativeFillColor rgb="FFFF0000"/>
              <x14:negativeBorderColor rgb="FFFF0000"/>
              <x14:axisColor rgb="FF000000"/>
            </x14:dataBar>
          </x14:cfRule>
          <xm:sqref>AG134</xm:sqref>
        </x14:conditionalFormatting>
        <x14:conditionalFormatting xmlns:xm="http://schemas.microsoft.com/office/excel/2006/main">
          <x14:cfRule type="dataBar" id="{C1171FA8-343E-4776-8152-1DD0EDBD9FC1}">
            <x14:dataBar minLength="0" maxLength="100" border="1" negativeBarBorderColorSameAsPositive="0">
              <x14:cfvo type="autoMin"/>
              <x14:cfvo type="autoMax"/>
              <x14:borderColor rgb="FF63C384"/>
              <x14:negativeFillColor rgb="FFFF0000"/>
              <x14:negativeBorderColor rgb="FFFF0000"/>
              <x14:axisColor rgb="FF000000"/>
            </x14:dataBar>
          </x14:cfRule>
          <xm:sqref>AG135</xm:sqref>
        </x14:conditionalFormatting>
        <x14:conditionalFormatting xmlns:xm="http://schemas.microsoft.com/office/excel/2006/main">
          <x14:cfRule type="dataBar" id="{293FD433-787C-4703-BF7F-6B33EFD377C4}">
            <x14:dataBar minLength="0" maxLength="100" border="1" negativeBarBorderColorSameAsPositive="0">
              <x14:cfvo type="autoMin"/>
              <x14:cfvo type="autoMax"/>
              <x14:borderColor rgb="FF63C384"/>
              <x14:negativeFillColor rgb="FFFF0000"/>
              <x14:negativeBorderColor rgb="FFFF0000"/>
              <x14:axisColor rgb="FF000000"/>
            </x14:dataBar>
          </x14:cfRule>
          <xm:sqref>AG135</xm:sqref>
        </x14:conditionalFormatting>
        <x14:conditionalFormatting xmlns:xm="http://schemas.microsoft.com/office/excel/2006/main">
          <x14:cfRule type="dataBar" id="{6AA4BB2D-3088-466F-9610-3AD5B15CC7FB}">
            <x14:dataBar minLength="0" maxLength="100" border="1" negativeBarBorderColorSameAsPositive="0">
              <x14:cfvo type="autoMin"/>
              <x14:cfvo type="autoMax"/>
              <x14:borderColor rgb="FF63C384"/>
              <x14:negativeFillColor rgb="FFFF0000"/>
              <x14:negativeBorderColor rgb="FFFF0000"/>
              <x14:axisColor rgb="FF000000"/>
            </x14:dataBar>
          </x14:cfRule>
          <xm:sqref>AG135</xm:sqref>
        </x14:conditionalFormatting>
        <x14:conditionalFormatting xmlns:xm="http://schemas.microsoft.com/office/excel/2006/main">
          <x14:cfRule type="dataBar" id="{6FA5F18D-8F4E-4AA3-AAA3-00195B1B30B3}">
            <x14:dataBar minLength="0" maxLength="100" border="1" negativeBarBorderColorSameAsPositive="0">
              <x14:cfvo type="autoMin"/>
              <x14:cfvo type="autoMax"/>
              <x14:borderColor rgb="FF63C384"/>
              <x14:negativeFillColor rgb="FFFF0000"/>
              <x14:negativeBorderColor rgb="FFFF0000"/>
              <x14:axisColor rgb="FF000000"/>
            </x14:dataBar>
          </x14:cfRule>
          <xm:sqref>AG135</xm:sqref>
        </x14:conditionalFormatting>
        <x14:conditionalFormatting xmlns:xm="http://schemas.microsoft.com/office/excel/2006/main">
          <x14:cfRule type="dataBar" id="{19D1C7DA-AF3A-4834-AF30-20A85CCA287A}">
            <x14:dataBar minLength="0" maxLength="100" border="1" negativeBarBorderColorSameAsPositive="0">
              <x14:cfvo type="autoMin"/>
              <x14:cfvo type="autoMax"/>
              <x14:borderColor rgb="FF63C384"/>
              <x14:negativeFillColor rgb="FFFF0000"/>
              <x14:negativeBorderColor rgb="FFFF0000"/>
              <x14:axisColor rgb="FF000000"/>
            </x14:dataBar>
          </x14:cfRule>
          <xm:sqref>AG136</xm:sqref>
        </x14:conditionalFormatting>
        <x14:conditionalFormatting xmlns:xm="http://schemas.microsoft.com/office/excel/2006/main">
          <x14:cfRule type="dataBar" id="{FF644FEC-079C-43FA-A31B-6C99CBCE1894}">
            <x14:dataBar minLength="0" maxLength="100" border="1" negativeBarBorderColorSameAsPositive="0">
              <x14:cfvo type="autoMin"/>
              <x14:cfvo type="autoMax"/>
              <x14:borderColor rgb="FF63C384"/>
              <x14:negativeFillColor rgb="FFFF0000"/>
              <x14:negativeBorderColor rgb="FFFF0000"/>
              <x14:axisColor rgb="FF000000"/>
            </x14:dataBar>
          </x14:cfRule>
          <xm:sqref>AG136</xm:sqref>
        </x14:conditionalFormatting>
        <x14:conditionalFormatting xmlns:xm="http://schemas.microsoft.com/office/excel/2006/main">
          <x14:cfRule type="dataBar" id="{76BEFF86-1784-4346-A791-64A86E6FBAF9}">
            <x14:dataBar minLength="0" maxLength="100" border="1" negativeBarBorderColorSameAsPositive="0">
              <x14:cfvo type="autoMin"/>
              <x14:cfvo type="autoMax"/>
              <x14:borderColor rgb="FF63C384"/>
              <x14:negativeFillColor rgb="FFFF0000"/>
              <x14:negativeBorderColor rgb="FFFF0000"/>
              <x14:axisColor rgb="FF000000"/>
            </x14:dataBar>
          </x14:cfRule>
          <xm:sqref>AG136</xm:sqref>
        </x14:conditionalFormatting>
        <x14:conditionalFormatting xmlns:xm="http://schemas.microsoft.com/office/excel/2006/main">
          <x14:cfRule type="dataBar" id="{D9DAE256-92DF-4BBA-AA5C-468FF9E867F6}">
            <x14:dataBar minLength="0" maxLength="100" border="1" negativeBarBorderColorSameAsPositive="0">
              <x14:cfvo type="autoMin"/>
              <x14:cfvo type="autoMax"/>
              <x14:borderColor rgb="FF63C384"/>
              <x14:negativeFillColor rgb="FFFF0000"/>
              <x14:negativeBorderColor rgb="FFFF0000"/>
              <x14:axisColor rgb="FF000000"/>
            </x14:dataBar>
          </x14:cfRule>
          <xm:sqref>AG136</xm:sqref>
        </x14:conditionalFormatting>
        <x14:conditionalFormatting xmlns:xm="http://schemas.microsoft.com/office/excel/2006/main">
          <x14:cfRule type="dataBar" id="{0D7083E5-68E3-48BF-ADFB-EC9E8A623DF6}">
            <x14:dataBar minLength="0" maxLength="100" border="1" negativeBarBorderColorSameAsPositive="0">
              <x14:cfvo type="autoMin"/>
              <x14:cfvo type="autoMax"/>
              <x14:borderColor rgb="FF63C384"/>
              <x14:negativeFillColor rgb="FFFF0000"/>
              <x14:negativeBorderColor rgb="FFFF0000"/>
              <x14:axisColor rgb="FF000000"/>
            </x14:dataBar>
          </x14:cfRule>
          <xm:sqref>AG137</xm:sqref>
        </x14:conditionalFormatting>
        <x14:conditionalFormatting xmlns:xm="http://schemas.microsoft.com/office/excel/2006/main">
          <x14:cfRule type="dataBar" id="{90FBC8FE-43F4-4980-B9BC-3F964A210AA2}">
            <x14:dataBar minLength="0" maxLength="100" border="1" negativeBarBorderColorSameAsPositive="0">
              <x14:cfvo type="autoMin"/>
              <x14:cfvo type="autoMax"/>
              <x14:borderColor rgb="FF63C384"/>
              <x14:negativeFillColor rgb="FFFF0000"/>
              <x14:negativeBorderColor rgb="FFFF0000"/>
              <x14:axisColor rgb="FF000000"/>
            </x14:dataBar>
          </x14:cfRule>
          <xm:sqref>AG137</xm:sqref>
        </x14:conditionalFormatting>
        <x14:conditionalFormatting xmlns:xm="http://schemas.microsoft.com/office/excel/2006/main">
          <x14:cfRule type="dataBar" id="{8AFAEA3F-F670-440D-8119-D44103009783}">
            <x14:dataBar minLength="0" maxLength="100" border="1" negativeBarBorderColorSameAsPositive="0">
              <x14:cfvo type="autoMin"/>
              <x14:cfvo type="autoMax"/>
              <x14:borderColor rgb="FF63C384"/>
              <x14:negativeFillColor rgb="FFFF0000"/>
              <x14:negativeBorderColor rgb="FFFF0000"/>
              <x14:axisColor rgb="FF000000"/>
            </x14:dataBar>
          </x14:cfRule>
          <xm:sqref>AG139</xm:sqref>
        </x14:conditionalFormatting>
        <x14:conditionalFormatting xmlns:xm="http://schemas.microsoft.com/office/excel/2006/main">
          <x14:cfRule type="dataBar" id="{AFCDA391-747A-49E4-8E3E-452C533E6FAB}">
            <x14:dataBar minLength="0" maxLength="100" border="1" negativeBarBorderColorSameAsPositive="0">
              <x14:cfvo type="autoMin"/>
              <x14:cfvo type="autoMax"/>
              <x14:borderColor rgb="FF63C384"/>
              <x14:negativeFillColor rgb="FFFF0000"/>
              <x14:negativeBorderColor rgb="FFFF0000"/>
              <x14:axisColor rgb="FF000000"/>
            </x14:dataBar>
          </x14:cfRule>
          <xm:sqref>AG109:AG110</xm:sqref>
        </x14:conditionalFormatting>
        <x14:conditionalFormatting xmlns:xm="http://schemas.microsoft.com/office/excel/2006/main">
          <x14:cfRule type="dataBar" id="{41BB42F8-DB5E-43CC-B82C-0C3243BEA1FD}">
            <x14:dataBar minLength="0" maxLength="100" border="1" negativeBarBorderColorSameAsPositive="0">
              <x14:cfvo type="autoMin"/>
              <x14:cfvo type="autoMax"/>
              <x14:borderColor rgb="FF63C384"/>
              <x14:negativeFillColor rgb="FFFF0000"/>
              <x14:negativeBorderColor rgb="FFFF0000"/>
              <x14:axisColor rgb="FF000000"/>
            </x14:dataBar>
          </x14:cfRule>
          <xm:sqref>AG140</xm:sqref>
        </x14:conditionalFormatting>
        <x14:conditionalFormatting xmlns:xm="http://schemas.microsoft.com/office/excel/2006/main">
          <x14:cfRule type="dataBar" id="{8F5C5354-F3C8-4553-8C03-E9F118406ED1}">
            <x14:dataBar minLength="0" maxLength="100" border="1" negativeBarBorderColorSameAsPositive="0">
              <x14:cfvo type="autoMin"/>
              <x14:cfvo type="autoMax"/>
              <x14:borderColor rgb="FF63C384"/>
              <x14:negativeFillColor rgb="FFFF0000"/>
              <x14:negativeBorderColor rgb="FFFF0000"/>
              <x14:axisColor rgb="FF000000"/>
            </x14:dataBar>
          </x14:cfRule>
          <xm:sqref>AG140</xm:sqref>
        </x14:conditionalFormatting>
        <x14:conditionalFormatting xmlns:xm="http://schemas.microsoft.com/office/excel/2006/main">
          <x14:cfRule type="dataBar" id="{7A2E99CE-CB2C-4401-9AC3-5ACF7EB9D847}">
            <x14:dataBar minLength="0" maxLength="100" border="1" negativeBarBorderColorSameAsPositive="0">
              <x14:cfvo type="autoMin"/>
              <x14:cfvo type="autoMax"/>
              <x14:borderColor rgb="FF63C384"/>
              <x14:negativeFillColor rgb="FFFF0000"/>
              <x14:negativeBorderColor rgb="FFFF0000"/>
              <x14:axisColor rgb="FF000000"/>
            </x14:dataBar>
          </x14:cfRule>
          <xm:sqref>AG140</xm:sqref>
        </x14:conditionalFormatting>
        <x14:conditionalFormatting xmlns:xm="http://schemas.microsoft.com/office/excel/2006/main">
          <x14:cfRule type="dataBar" id="{AF2D5343-A16E-48B4-AB90-AAE62429194F}">
            <x14:dataBar minLength="0" maxLength="100" border="1" negativeBarBorderColorSameAsPositive="0">
              <x14:cfvo type="autoMin"/>
              <x14:cfvo type="autoMax"/>
              <x14:borderColor rgb="FF63C384"/>
              <x14:negativeFillColor rgb="FFFF0000"/>
              <x14:negativeBorderColor rgb="FFFF0000"/>
              <x14:axisColor rgb="FF000000"/>
            </x14:dataBar>
          </x14:cfRule>
          <xm:sqref>AG140</xm:sqref>
        </x14:conditionalFormatting>
        <x14:conditionalFormatting xmlns:xm="http://schemas.microsoft.com/office/excel/2006/main">
          <x14:cfRule type="dataBar" id="{80076AF5-99F7-4B0D-98F8-AF6CFAF828C9}">
            <x14:dataBar minLength="0" maxLength="100" border="1" negativeBarBorderColorSameAsPositive="0">
              <x14:cfvo type="autoMin"/>
              <x14:cfvo type="autoMax"/>
              <x14:borderColor rgb="FF63C384"/>
              <x14:negativeFillColor rgb="FFFF0000"/>
              <x14:negativeBorderColor rgb="FFFF0000"/>
              <x14:axisColor rgb="FF000000"/>
            </x14:dataBar>
          </x14:cfRule>
          <xm:sqref>AG142</xm:sqref>
        </x14:conditionalFormatting>
        <x14:conditionalFormatting xmlns:xm="http://schemas.microsoft.com/office/excel/2006/main">
          <x14:cfRule type="dataBar" id="{94A08AA4-E6A1-4E56-8C2A-E3A6E5FBA8B3}">
            <x14:dataBar minLength="0" maxLength="100" border="1" negativeBarBorderColorSameAsPositive="0">
              <x14:cfvo type="autoMin"/>
              <x14:cfvo type="autoMax"/>
              <x14:borderColor rgb="FF63C384"/>
              <x14:negativeFillColor rgb="FFFF0000"/>
              <x14:negativeBorderColor rgb="FFFF0000"/>
              <x14:axisColor rgb="FF000000"/>
            </x14:dataBar>
          </x14:cfRule>
          <xm:sqref>AG142</xm:sqref>
        </x14:conditionalFormatting>
        <x14:conditionalFormatting xmlns:xm="http://schemas.microsoft.com/office/excel/2006/main">
          <x14:cfRule type="dataBar" id="{1E019C8A-1D03-490D-B914-664B0E667E30}">
            <x14:dataBar minLength="0" maxLength="100" border="1" negativeBarBorderColorSameAsPositive="0">
              <x14:cfvo type="autoMin"/>
              <x14:cfvo type="autoMax"/>
              <x14:borderColor rgb="FF63C384"/>
              <x14:negativeFillColor rgb="FFFF0000"/>
              <x14:negativeBorderColor rgb="FFFF0000"/>
              <x14:axisColor rgb="FF000000"/>
            </x14:dataBar>
          </x14:cfRule>
          <xm:sqref>AG143</xm:sqref>
        </x14:conditionalFormatting>
        <x14:conditionalFormatting xmlns:xm="http://schemas.microsoft.com/office/excel/2006/main">
          <x14:cfRule type="dataBar" id="{42D2D3C4-3F83-44DE-A862-75FF0A992F52}">
            <x14:dataBar minLength="0" maxLength="100" border="1" negativeBarBorderColorSameAsPositive="0">
              <x14:cfvo type="autoMin"/>
              <x14:cfvo type="autoMax"/>
              <x14:borderColor rgb="FF63C384"/>
              <x14:negativeFillColor rgb="FFFF0000"/>
              <x14:negativeBorderColor rgb="FFFF0000"/>
              <x14:axisColor rgb="FF000000"/>
            </x14:dataBar>
          </x14:cfRule>
          <xm:sqref>AG144</xm:sqref>
        </x14:conditionalFormatting>
        <x14:conditionalFormatting xmlns:xm="http://schemas.microsoft.com/office/excel/2006/main">
          <x14:cfRule type="dataBar" id="{FEE0C606-2293-41BC-AED8-FE1F6A307648}">
            <x14:dataBar minLength="0" maxLength="100" border="1" negativeBarBorderColorSameAsPositive="0">
              <x14:cfvo type="autoMin"/>
              <x14:cfvo type="autoMax"/>
              <x14:borderColor rgb="FF63C384"/>
              <x14:negativeFillColor rgb="FFFF0000"/>
              <x14:negativeBorderColor rgb="FFFF0000"/>
              <x14:axisColor rgb="FF000000"/>
            </x14:dataBar>
          </x14:cfRule>
          <xm:sqref>AG144</xm:sqref>
        </x14:conditionalFormatting>
        <x14:conditionalFormatting xmlns:xm="http://schemas.microsoft.com/office/excel/2006/main">
          <x14:cfRule type="dataBar" id="{9707CEE1-AE85-4F30-8F9C-A88413C1640C}">
            <x14:dataBar minLength="0" maxLength="100" border="1" negativeBarBorderColorSameAsPositive="0">
              <x14:cfvo type="autoMin"/>
              <x14:cfvo type="autoMax"/>
              <x14:borderColor rgb="FF63C384"/>
              <x14:negativeFillColor rgb="FFFF0000"/>
              <x14:negativeBorderColor rgb="FFFF0000"/>
              <x14:axisColor rgb="FF000000"/>
            </x14:dataBar>
          </x14:cfRule>
          <xm:sqref>AG145</xm:sqref>
        </x14:conditionalFormatting>
        <x14:conditionalFormatting xmlns:xm="http://schemas.microsoft.com/office/excel/2006/main">
          <x14:cfRule type="dataBar" id="{A8FBC33E-3956-4864-B292-18A263C0BE18}">
            <x14:dataBar minLength="0" maxLength="100" border="1" negativeBarBorderColorSameAsPositive="0">
              <x14:cfvo type="autoMin"/>
              <x14:cfvo type="autoMax"/>
              <x14:borderColor rgb="FF63C384"/>
              <x14:negativeFillColor rgb="FFFF0000"/>
              <x14:negativeBorderColor rgb="FFFF0000"/>
              <x14:axisColor rgb="FF000000"/>
            </x14:dataBar>
          </x14:cfRule>
          <xm:sqref>AG145</xm:sqref>
        </x14:conditionalFormatting>
        <x14:conditionalFormatting xmlns:xm="http://schemas.microsoft.com/office/excel/2006/main">
          <x14:cfRule type="dataBar" id="{1236B0B1-8F8E-4D0B-AD1E-04C9676FC34B}">
            <x14:dataBar minLength="0" maxLength="100" border="1" negativeBarBorderColorSameAsPositive="0">
              <x14:cfvo type="autoMin"/>
              <x14:cfvo type="autoMax"/>
              <x14:borderColor rgb="FF63C384"/>
              <x14:negativeFillColor rgb="FFFF0000"/>
              <x14:negativeBorderColor rgb="FFFF0000"/>
              <x14:axisColor rgb="FF000000"/>
            </x14:dataBar>
          </x14:cfRule>
          <xm:sqref>AG145</xm:sqref>
        </x14:conditionalFormatting>
        <x14:conditionalFormatting xmlns:xm="http://schemas.microsoft.com/office/excel/2006/main">
          <x14:cfRule type="dataBar" id="{F4B63009-BAAB-4C15-844F-B1B8CF906794}">
            <x14:dataBar minLength="0" maxLength="100" border="1" negativeBarBorderColorSameAsPositive="0">
              <x14:cfvo type="autoMin"/>
              <x14:cfvo type="autoMax"/>
              <x14:borderColor rgb="FF63C384"/>
              <x14:negativeFillColor rgb="FFFF0000"/>
              <x14:negativeBorderColor rgb="FFFF0000"/>
              <x14:axisColor rgb="FF000000"/>
            </x14:dataBar>
          </x14:cfRule>
          <xm:sqref>AG145</xm:sqref>
        </x14:conditionalFormatting>
        <x14:conditionalFormatting xmlns:xm="http://schemas.microsoft.com/office/excel/2006/main">
          <x14:cfRule type="dataBar" id="{A0F6BE48-799B-460B-B83F-101140DF760F}">
            <x14:dataBar minLength="0" maxLength="100" border="1" negativeBarBorderColorSameAsPositive="0">
              <x14:cfvo type="autoMin"/>
              <x14:cfvo type="autoMax"/>
              <x14:borderColor rgb="FF63C384"/>
              <x14:negativeFillColor rgb="FFFF0000"/>
              <x14:negativeBorderColor rgb="FFFF0000"/>
              <x14:axisColor rgb="FF000000"/>
            </x14:dataBar>
          </x14:cfRule>
          <xm:sqref>AG145</xm:sqref>
        </x14:conditionalFormatting>
        <x14:conditionalFormatting xmlns:xm="http://schemas.microsoft.com/office/excel/2006/main">
          <x14:cfRule type="dataBar" id="{05704116-E129-4AAB-845B-AC36B1F70437}">
            <x14:dataBar minLength="0" maxLength="100" border="1" negativeBarBorderColorSameAsPositive="0">
              <x14:cfvo type="autoMin"/>
              <x14:cfvo type="autoMax"/>
              <x14:borderColor rgb="FF63C384"/>
              <x14:negativeFillColor rgb="FFFF0000"/>
              <x14:negativeBorderColor rgb="FFFF0000"/>
              <x14:axisColor rgb="FF000000"/>
            </x14:dataBar>
          </x14:cfRule>
          <xm:sqref>AG145</xm:sqref>
        </x14:conditionalFormatting>
        <x14:conditionalFormatting xmlns:xm="http://schemas.microsoft.com/office/excel/2006/main">
          <x14:cfRule type="dataBar" id="{E7AE072D-6E1C-47EE-9AF4-B2C49FD2D564}">
            <x14:dataBar minLength="0" maxLength="100" border="1" negativeBarBorderColorSameAsPositive="0">
              <x14:cfvo type="autoMin"/>
              <x14:cfvo type="autoMax"/>
              <x14:borderColor rgb="FF63C384"/>
              <x14:negativeFillColor rgb="FFFF0000"/>
              <x14:negativeBorderColor rgb="FFFF0000"/>
              <x14:axisColor rgb="FF000000"/>
            </x14:dataBar>
          </x14:cfRule>
          <xm:sqref>AG145</xm:sqref>
        </x14:conditionalFormatting>
        <x14:conditionalFormatting xmlns:xm="http://schemas.microsoft.com/office/excel/2006/main">
          <x14:cfRule type="dataBar" id="{693A13E1-5287-49DE-A20A-FB16EA3A37D1}">
            <x14:dataBar minLength="0" maxLength="100" border="1" negativeBarBorderColorSameAsPositive="0">
              <x14:cfvo type="autoMin"/>
              <x14:cfvo type="autoMax"/>
              <x14:borderColor rgb="FF63C384"/>
              <x14:negativeFillColor rgb="FFFF0000"/>
              <x14:negativeBorderColor rgb="FFFF0000"/>
              <x14:axisColor rgb="FF000000"/>
            </x14:dataBar>
          </x14:cfRule>
          <xm:sqref>AG145</xm:sqref>
        </x14:conditionalFormatting>
        <x14:conditionalFormatting xmlns:xm="http://schemas.microsoft.com/office/excel/2006/main">
          <x14:cfRule type="dataBar" id="{880DD1E1-49CA-49DC-AB22-C9B7A1F46634}">
            <x14:dataBar minLength="0" maxLength="100" border="1" negativeBarBorderColorSameAsPositive="0">
              <x14:cfvo type="autoMin"/>
              <x14:cfvo type="autoMax"/>
              <x14:borderColor rgb="FF63C384"/>
              <x14:negativeFillColor rgb="FFFF0000"/>
              <x14:negativeBorderColor rgb="FFFF0000"/>
              <x14:axisColor rgb="FF000000"/>
            </x14:dataBar>
          </x14:cfRule>
          <xm:sqref>AG146</xm:sqref>
        </x14:conditionalFormatting>
        <x14:conditionalFormatting xmlns:xm="http://schemas.microsoft.com/office/excel/2006/main">
          <x14:cfRule type="dataBar" id="{51D478E8-1BB3-4119-BF83-D0852F4157E4}">
            <x14:dataBar minLength="0" maxLength="100" border="1" negativeBarBorderColorSameAsPositive="0">
              <x14:cfvo type="autoMin"/>
              <x14:cfvo type="autoMax"/>
              <x14:borderColor rgb="FF63C384"/>
              <x14:negativeFillColor rgb="FFFF0000"/>
              <x14:negativeBorderColor rgb="FFFF0000"/>
              <x14:axisColor rgb="FF000000"/>
            </x14:dataBar>
          </x14:cfRule>
          <xm:sqref>AG147</xm:sqref>
        </x14:conditionalFormatting>
        <x14:conditionalFormatting xmlns:xm="http://schemas.microsoft.com/office/excel/2006/main">
          <x14:cfRule type="dataBar" id="{2DA62C2F-BE9B-4D81-A7D0-F1DCA2C0AF2A}">
            <x14:dataBar minLength="0" maxLength="100" border="1" negativeBarBorderColorSameAsPositive="0">
              <x14:cfvo type="autoMin"/>
              <x14:cfvo type="autoMax"/>
              <x14:borderColor rgb="FF63C384"/>
              <x14:negativeFillColor rgb="FFFF0000"/>
              <x14:negativeBorderColor rgb="FFFF0000"/>
              <x14:axisColor rgb="FF000000"/>
            </x14:dataBar>
          </x14:cfRule>
          <xm:sqref>AG147</xm:sqref>
        </x14:conditionalFormatting>
        <x14:conditionalFormatting xmlns:xm="http://schemas.microsoft.com/office/excel/2006/main">
          <x14:cfRule type="dataBar" id="{92B962DD-1CA6-4A26-B83A-933DDB113A5D}">
            <x14:dataBar minLength="0" maxLength="100" border="1" negativeBarBorderColorSameAsPositive="0">
              <x14:cfvo type="autoMin"/>
              <x14:cfvo type="autoMax"/>
              <x14:borderColor rgb="FF63C384"/>
              <x14:negativeFillColor rgb="FFFF0000"/>
              <x14:negativeBorderColor rgb="FFFF0000"/>
              <x14:axisColor rgb="FF000000"/>
            </x14:dataBar>
          </x14:cfRule>
          <xm:sqref>AG148</xm:sqref>
        </x14:conditionalFormatting>
        <x14:conditionalFormatting xmlns:xm="http://schemas.microsoft.com/office/excel/2006/main">
          <x14:cfRule type="dataBar" id="{D36CF367-3D98-4B6E-A322-5F5862CCAAD2}">
            <x14:dataBar minLength="0" maxLength="100" border="1" negativeBarBorderColorSameAsPositive="0">
              <x14:cfvo type="autoMin"/>
              <x14:cfvo type="autoMax"/>
              <x14:borderColor rgb="FF63C384"/>
              <x14:negativeFillColor rgb="FFFF0000"/>
              <x14:negativeBorderColor rgb="FFFF0000"/>
              <x14:axisColor rgb="FF000000"/>
            </x14:dataBar>
          </x14:cfRule>
          <xm:sqref>AG149</xm:sqref>
        </x14:conditionalFormatting>
        <x14:conditionalFormatting xmlns:xm="http://schemas.microsoft.com/office/excel/2006/main">
          <x14:cfRule type="dataBar" id="{B556AF67-9DA8-48C0-A2BF-F7EDE074054D}">
            <x14:dataBar minLength="0" maxLength="100" border="1" negativeBarBorderColorSameAsPositive="0">
              <x14:cfvo type="autoMin"/>
              <x14:cfvo type="autoMax"/>
              <x14:borderColor rgb="FF63C384"/>
              <x14:negativeFillColor rgb="FFFF0000"/>
              <x14:negativeBorderColor rgb="FFFF0000"/>
              <x14:axisColor rgb="FF000000"/>
            </x14:dataBar>
          </x14:cfRule>
          <xm:sqref>AG149</xm:sqref>
        </x14:conditionalFormatting>
        <x14:conditionalFormatting xmlns:xm="http://schemas.microsoft.com/office/excel/2006/main">
          <x14:cfRule type="dataBar" id="{523FC3EA-D15D-4D88-A834-8323672CEF1F}">
            <x14:dataBar minLength="0" maxLength="100" border="1" negativeBarBorderColorSameAsPositive="0">
              <x14:cfvo type="autoMin"/>
              <x14:cfvo type="autoMax"/>
              <x14:borderColor rgb="FF63C384"/>
              <x14:negativeFillColor rgb="FFFF0000"/>
              <x14:negativeBorderColor rgb="FFFF0000"/>
              <x14:axisColor rgb="FF000000"/>
            </x14:dataBar>
          </x14:cfRule>
          <xm:sqref>AG149</xm:sqref>
        </x14:conditionalFormatting>
        <x14:conditionalFormatting xmlns:xm="http://schemas.microsoft.com/office/excel/2006/main">
          <x14:cfRule type="dataBar" id="{C773726B-8F38-4B87-BE27-47A74946CDB2}">
            <x14:dataBar minLength="0" maxLength="100" border="1" negativeBarBorderColorSameAsPositive="0">
              <x14:cfvo type="autoMin"/>
              <x14:cfvo type="autoMax"/>
              <x14:borderColor rgb="FF63C384"/>
              <x14:negativeFillColor rgb="FFFF0000"/>
              <x14:negativeBorderColor rgb="FFFF0000"/>
              <x14:axisColor rgb="FF000000"/>
            </x14:dataBar>
          </x14:cfRule>
          <xm:sqref>AG149</xm:sqref>
        </x14:conditionalFormatting>
        <x14:conditionalFormatting xmlns:xm="http://schemas.microsoft.com/office/excel/2006/main">
          <x14:cfRule type="dataBar" id="{0444AB7D-C987-4057-91D4-A4EADA90372C}">
            <x14:dataBar minLength="0" maxLength="100" border="1" negativeBarBorderColorSameAsPositive="0">
              <x14:cfvo type="autoMin"/>
              <x14:cfvo type="autoMax"/>
              <x14:borderColor rgb="FF63C384"/>
              <x14:negativeFillColor rgb="FFFF0000"/>
              <x14:negativeBorderColor rgb="FFFF0000"/>
              <x14:axisColor rgb="FF000000"/>
            </x14:dataBar>
          </x14:cfRule>
          <xm:sqref>AG150</xm:sqref>
        </x14:conditionalFormatting>
        <x14:conditionalFormatting xmlns:xm="http://schemas.microsoft.com/office/excel/2006/main">
          <x14:cfRule type="dataBar" id="{119D4166-F567-434A-BACB-E3BC208ABB4E}">
            <x14:dataBar minLength="0" maxLength="100" border="1" negativeBarBorderColorSameAsPositive="0">
              <x14:cfvo type="autoMin"/>
              <x14:cfvo type="autoMax"/>
              <x14:borderColor rgb="FF63C384"/>
              <x14:negativeFillColor rgb="FFFF0000"/>
              <x14:negativeBorderColor rgb="FFFF0000"/>
              <x14:axisColor rgb="FF000000"/>
            </x14:dataBar>
          </x14:cfRule>
          <xm:sqref>AG150</xm:sqref>
        </x14:conditionalFormatting>
        <x14:conditionalFormatting xmlns:xm="http://schemas.microsoft.com/office/excel/2006/main">
          <x14:cfRule type="dataBar" id="{D3058C8D-7B20-4FC8-980F-C5DC4129C893}">
            <x14:dataBar minLength="0" maxLength="100" border="1" negativeBarBorderColorSameAsPositive="0">
              <x14:cfvo type="autoMin"/>
              <x14:cfvo type="autoMax"/>
              <x14:borderColor rgb="FF63C384"/>
              <x14:negativeFillColor rgb="FFFF0000"/>
              <x14:negativeBorderColor rgb="FFFF0000"/>
              <x14:axisColor rgb="FF000000"/>
            </x14:dataBar>
          </x14:cfRule>
          <xm:sqref>AG150</xm:sqref>
        </x14:conditionalFormatting>
        <x14:conditionalFormatting xmlns:xm="http://schemas.microsoft.com/office/excel/2006/main">
          <x14:cfRule type="dataBar" id="{A58FFCAA-A912-4120-9D9F-107CA3EAA179}">
            <x14:dataBar minLength="0" maxLength="100" border="1" negativeBarBorderColorSameAsPositive="0">
              <x14:cfvo type="autoMin"/>
              <x14:cfvo type="autoMax"/>
              <x14:borderColor rgb="FF63C384"/>
              <x14:negativeFillColor rgb="FFFF0000"/>
              <x14:negativeBorderColor rgb="FFFF0000"/>
              <x14:axisColor rgb="FF000000"/>
            </x14:dataBar>
          </x14:cfRule>
          <xm:sqref>AG150</xm:sqref>
        </x14:conditionalFormatting>
        <x14:conditionalFormatting xmlns:xm="http://schemas.microsoft.com/office/excel/2006/main">
          <x14:cfRule type="dataBar" id="{A274C0A6-0DBD-4F42-BE46-B7D2EB77175C}">
            <x14:dataBar minLength="0" maxLength="100" border="1" negativeBarBorderColorSameAsPositive="0">
              <x14:cfvo type="autoMin"/>
              <x14:cfvo type="autoMax"/>
              <x14:borderColor rgb="FF63C384"/>
              <x14:negativeFillColor rgb="FFFF0000"/>
              <x14:negativeBorderColor rgb="FFFF0000"/>
              <x14:axisColor rgb="FF000000"/>
            </x14:dataBar>
          </x14:cfRule>
          <xm:sqref>AG151</xm:sqref>
        </x14:conditionalFormatting>
        <x14:conditionalFormatting xmlns:xm="http://schemas.microsoft.com/office/excel/2006/main">
          <x14:cfRule type="dataBar" id="{61CD517A-956A-4508-923C-502E30DB9D20}">
            <x14:dataBar minLength="0" maxLength="100" border="1" negativeBarBorderColorSameAsPositive="0">
              <x14:cfvo type="autoMin"/>
              <x14:cfvo type="autoMax"/>
              <x14:borderColor rgb="FF63C384"/>
              <x14:negativeFillColor rgb="FFFF0000"/>
              <x14:negativeBorderColor rgb="FFFF0000"/>
              <x14:axisColor rgb="FF000000"/>
            </x14:dataBar>
          </x14:cfRule>
          <xm:sqref>AG151</xm:sqref>
        </x14:conditionalFormatting>
        <x14:conditionalFormatting xmlns:xm="http://schemas.microsoft.com/office/excel/2006/main">
          <x14:cfRule type="dataBar" id="{40F78761-A65F-4E64-8139-A9E69CD5B9D9}">
            <x14:dataBar minLength="0" maxLength="100" border="1" negativeBarBorderColorSameAsPositive="0">
              <x14:cfvo type="autoMin"/>
              <x14:cfvo type="autoMax"/>
              <x14:borderColor rgb="FF63C384"/>
              <x14:negativeFillColor rgb="FFFF0000"/>
              <x14:negativeBorderColor rgb="FFFF0000"/>
              <x14:axisColor rgb="FF000000"/>
            </x14:dataBar>
          </x14:cfRule>
          <xm:sqref>AG152</xm:sqref>
        </x14:conditionalFormatting>
        <x14:conditionalFormatting xmlns:xm="http://schemas.microsoft.com/office/excel/2006/main">
          <x14:cfRule type="dataBar" id="{24B8A78E-B60F-485F-A5DC-31209E769BB4}">
            <x14:dataBar minLength="0" maxLength="100" border="1" negativeBarBorderColorSameAsPositive="0">
              <x14:cfvo type="autoMin"/>
              <x14:cfvo type="autoMax"/>
              <x14:borderColor rgb="FF63C384"/>
              <x14:negativeFillColor rgb="FFFF0000"/>
              <x14:negativeBorderColor rgb="FFFF0000"/>
              <x14:axisColor rgb="FF000000"/>
            </x14:dataBar>
          </x14:cfRule>
          <xm:sqref>AG152</xm:sqref>
        </x14:conditionalFormatting>
        <x14:conditionalFormatting xmlns:xm="http://schemas.microsoft.com/office/excel/2006/main">
          <x14:cfRule type="dataBar" id="{2493E70F-CF64-43F6-B295-6442670CD1DF}">
            <x14:dataBar minLength="0" maxLength="100" border="1" negativeBarBorderColorSameAsPositive="0">
              <x14:cfvo type="autoMin"/>
              <x14:cfvo type="autoMax"/>
              <x14:borderColor rgb="FF63C384"/>
              <x14:negativeFillColor rgb="FFFF0000"/>
              <x14:negativeBorderColor rgb="FFFF0000"/>
              <x14:axisColor rgb="FF000000"/>
            </x14:dataBar>
          </x14:cfRule>
          <xm:sqref>AG152</xm:sqref>
        </x14:conditionalFormatting>
        <x14:conditionalFormatting xmlns:xm="http://schemas.microsoft.com/office/excel/2006/main">
          <x14:cfRule type="dataBar" id="{0328A11B-3D4D-4F12-B074-D66A354CEF81}">
            <x14:dataBar minLength="0" maxLength="100" border="1" negativeBarBorderColorSameAsPositive="0">
              <x14:cfvo type="autoMin"/>
              <x14:cfvo type="autoMax"/>
              <x14:borderColor rgb="FF63C384"/>
              <x14:negativeFillColor rgb="FFFF0000"/>
              <x14:negativeBorderColor rgb="FFFF0000"/>
              <x14:axisColor rgb="FF000000"/>
            </x14:dataBar>
          </x14:cfRule>
          <xm:sqref>AG152</xm:sqref>
        </x14:conditionalFormatting>
        <x14:conditionalFormatting xmlns:xm="http://schemas.microsoft.com/office/excel/2006/main">
          <x14:cfRule type="dataBar" id="{3DD69051-C300-496B-B68A-9845D5F4F9AA}">
            <x14:dataBar minLength="0" maxLength="100" border="1" negativeBarBorderColorSameAsPositive="0">
              <x14:cfvo type="autoMin"/>
              <x14:cfvo type="autoMax"/>
              <x14:borderColor rgb="FF63C384"/>
              <x14:negativeFillColor rgb="FFFF0000"/>
              <x14:negativeBorderColor rgb="FFFF0000"/>
              <x14:axisColor rgb="FF000000"/>
            </x14:dataBar>
          </x14:cfRule>
          <xm:sqref>AG153</xm:sqref>
        </x14:conditionalFormatting>
        <x14:conditionalFormatting xmlns:xm="http://schemas.microsoft.com/office/excel/2006/main">
          <x14:cfRule type="dataBar" id="{13EEC503-98B2-453C-9C49-EB644756D52B}">
            <x14:dataBar minLength="0" maxLength="100" border="1" negativeBarBorderColorSameAsPositive="0">
              <x14:cfvo type="autoMin"/>
              <x14:cfvo type="autoMax"/>
              <x14:borderColor rgb="FF63C384"/>
              <x14:negativeFillColor rgb="FFFF0000"/>
              <x14:negativeBorderColor rgb="FFFF0000"/>
              <x14:axisColor rgb="FF000000"/>
            </x14:dataBar>
          </x14:cfRule>
          <xm:sqref>AG153</xm:sqref>
        </x14:conditionalFormatting>
        <x14:conditionalFormatting xmlns:xm="http://schemas.microsoft.com/office/excel/2006/main">
          <x14:cfRule type="dataBar" id="{5F6A0AE4-7D47-4415-BD07-CE56EB384D85}">
            <x14:dataBar minLength="0" maxLength="100" border="1" negativeBarBorderColorSameAsPositive="0">
              <x14:cfvo type="autoMin"/>
              <x14:cfvo type="autoMax"/>
              <x14:borderColor rgb="FF63C384"/>
              <x14:negativeFillColor rgb="FFFF0000"/>
              <x14:negativeBorderColor rgb="FFFF0000"/>
              <x14:axisColor rgb="FF000000"/>
            </x14:dataBar>
          </x14:cfRule>
          <xm:sqref>AG154</xm:sqref>
        </x14:conditionalFormatting>
        <x14:conditionalFormatting xmlns:xm="http://schemas.microsoft.com/office/excel/2006/main">
          <x14:cfRule type="dataBar" id="{DE9F61AB-F835-41C7-902C-45EF7CEAACFD}">
            <x14:dataBar minLength="0" maxLength="100" border="1" negativeBarBorderColorSameAsPositive="0">
              <x14:cfvo type="autoMin"/>
              <x14:cfvo type="autoMax"/>
              <x14:borderColor rgb="FF63C384"/>
              <x14:negativeFillColor rgb="FFFF0000"/>
              <x14:negativeBorderColor rgb="FFFF0000"/>
              <x14:axisColor rgb="FF000000"/>
            </x14:dataBar>
          </x14:cfRule>
          <xm:sqref>AG154</xm:sqref>
        </x14:conditionalFormatting>
        <x14:conditionalFormatting xmlns:xm="http://schemas.microsoft.com/office/excel/2006/main">
          <x14:cfRule type="dataBar" id="{DAC52CA1-73EE-4907-8479-D1272C63EA02}">
            <x14:dataBar minLength="0" maxLength="100" border="1" negativeBarBorderColorSameAsPositive="0">
              <x14:cfvo type="autoMin"/>
              <x14:cfvo type="autoMax"/>
              <x14:borderColor rgb="FF63C384"/>
              <x14:negativeFillColor rgb="FFFF0000"/>
              <x14:negativeBorderColor rgb="FFFF0000"/>
              <x14:axisColor rgb="FF000000"/>
            </x14:dataBar>
          </x14:cfRule>
          <xm:sqref>AG155</xm:sqref>
        </x14:conditionalFormatting>
        <x14:conditionalFormatting xmlns:xm="http://schemas.microsoft.com/office/excel/2006/main">
          <x14:cfRule type="dataBar" id="{CB5FD9B4-E6DE-4D75-AE8E-3D4F6760B2D7}">
            <x14:dataBar minLength="0" maxLength="100" border="1" negativeBarBorderColorSameAsPositive="0">
              <x14:cfvo type="autoMin"/>
              <x14:cfvo type="autoMax"/>
              <x14:borderColor rgb="FF63C384"/>
              <x14:negativeFillColor rgb="FFFF0000"/>
              <x14:negativeBorderColor rgb="FFFF0000"/>
              <x14:axisColor rgb="FF000000"/>
            </x14:dataBar>
          </x14:cfRule>
          <xm:sqref>AG155</xm:sqref>
        </x14:conditionalFormatting>
        <x14:conditionalFormatting xmlns:xm="http://schemas.microsoft.com/office/excel/2006/main">
          <x14:cfRule type="dataBar" id="{D926DF47-809C-4180-848B-97602C06555F}">
            <x14:dataBar minLength="0" maxLength="100" border="1" negativeBarBorderColorSameAsPositive="0">
              <x14:cfvo type="autoMin"/>
              <x14:cfvo type="autoMax"/>
              <x14:borderColor rgb="FF63C384"/>
              <x14:negativeFillColor rgb="FFFF0000"/>
              <x14:negativeBorderColor rgb="FFFF0000"/>
              <x14:axisColor rgb="FF000000"/>
            </x14:dataBar>
          </x14:cfRule>
          <xm:sqref>AG156</xm:sqref>
        </x14:conditionalFormatting>
        <x14:conditionalFormatting xmlns:xm="http://schemas.microsoft.com/office/excel/2006/main">
          <x14:cfRule type="dataBar" id="{58269858-198C-42E5-B276-90A3ECDC3355}">
            <x14:dataBar minLength="0" maxLength="100" border="1" negativeBarBorderColorSameAsPositive="0">
              <x14:cfvo type="autoMin"/>
              <x14:cfvo type="autoMax"/>
              <x14:borderColor rgb="FF63C384"/>
              <x14:negativeFillColor rgb="FFFF0000"/>
              <x14:negativeBorderColor rgb="FFFF0000"/>
              <x14:axisColor rgb="FF000000"/>
            </x14:dataBar>
          </x14:cfRule>
          <xm:sqref>AG157</xm:sqref>
        </x14:conditionalFormatting>
        <x14:conditionalFormatting xmlns:xm="http://schemas.microsoft.com/office/excel/2006/main">
          <x14:cfRule type="dataBar" id="{234B9E2C-E349-45BB-8760-344345A63B66}">
            <x14:dataBar minLength="0" maxLength="100" border="1" negativeBarBorderColorSameAsPositive="0">
              <x14:cfvo type="autoMin"/>
              <x14:cfvo type="autoMax"/>
              <x14:borderColor rgb="FF63C384"/>
              <x14:negativeFillColor rgb="FFFF0000"/>
              <x14:negativeBorderColor rgb="FFFF0000"/>
              <x14:axisColor rgb="FF000000"/>
            </x14:dataBar>
          </x14:cfRule>
          <xm:sqref>AG158</xm:sqref>
        </x14:conditionalFormatting>
        <x14:conditionalFormatting xmlns:xm="http://schemas.microsoft.com/office/excel/2006/main">
          <x14:cfRule type="dataBar" id="{9E30EF19-CFB1-4D77-A3B3-6C262DF57E59}">
            <x14:dataBar minLength="0" maxLength="100" border="1" negativeBarBorderColorSameAsPositive="0">
              <x14:cfvo type="autoMin"/>
              <x14:cfvo type="autoMax"/>
              <x14:borderColor rgb="FF63C384"/>
              <x14:negativeFillColor rgb="FFFF0000"/>
              <x14:negativeBorderColor rgb="FFFF0000"/>
              <x14:axisColor rgb="FF000000"/>
            </x14:dataBar>
          </x14:cfRule>
          <xm:sqref>AG158</xm:sqref>
        </x14:conditionalFormatting>
        <x14:conditionalFormatting xmlns:xm="http://schemas.microsoft.com/office/excel/2006/main">
          <x14:cfRule type="dataBar" id="{876BA825-0475-4AF3-A8EF-D51A268E3C6D}">
            <x14:dataBar minLength="0" maxLength="100" border="1" negativeBarBorderColorSameAsPositive="0">
              <x14:cfvo type="autoMin"/>
              <x14:cfvo type="autoMax"/>
              <x14:borderColor rgb="FF63C384"/>
              <x14:negativeFillColor rgb="FFFF0000"/>
              <x14:negativeBorderColor rgb="FFFF0000"/>
              <x14:axisColor rgb="FF000000"/>
            </x14:dataBar>
          </x14:cfRule>
          <xm:sqref>AG158</xm:sqref>
        </x14:conditionalFormatting>
        <x14:conditionalFormatting xmlns:xm="http://schemas.microsoft.com/office/excel/2006/main">
          <x14:cfRule type="dataBar" id="{CFCD1DB3-9D37-4995-A972-394BF2F4FD3E}">
            <x14:dataBar minLength="0" maxLength="100" border="1" negativeBarBorderColorSameAsPositive="0">
              <x14:cfvo type="autoMin"/>
              <x14:cfvo type="autoMax"/>
              <x14:borderColor rgb="FF63C384"/>
              <x14:negativeFillColor rgb="FFFF0000"/>
              <x14:negativeBorderColor rgb="FFFF0000"/>
              <x14:axisColor rgb="FF000000"/>
            </x14:dataBar>
          </x14:cfRule>
          <xm:sqref>AG158</xm:sqref>
        </x14:conditionalFormatting>
        <x14:conditionalFormatting xmlns:xm="http://schemas.microsoft.com/office/excel/2006/main">
          <x14:cfRule type="dataBar" id="{3AC8FDB8-A0F6-4CBA-9DFD-C4EB3B5BF072}">
            <x14:dataBar minLength="0" maxLength="100" border="1" negativeBarBorderColorSameAsPositive="0">
              <x14:cfvo type="autoMin"/>
              <x14:cfvo type="autoMax"/>
              <x14:borderColor rgb="FF63C384"/>
              <x14:negativeFillColor rgb="FFFF0000"/>
              <x14:negativeBorderColor rgb="FFFF0000"/>
              <x14:axisColor rgb="FF000000"/>
            </x14:dataBar>
          </x14:cfRule>
          <xm:sqref>AG158</xm:sqref>
        </x14:conditionalFormatting>
        <x14:conditionalFormatting xmlns:xm="http://schemas.microsoft.com/office/excel/2006/main">
          <x14:cfRule type="dataBar" id="{2FB01A7A-1376-4D4E-9A97-73AC7CFC9E3B}">
            <x14:dataBar minLength="0" maxLength="100" border="1" negativeBarBorderColorSameAsPositive="0">
              <x14:cfvo type="autoMin"/>
              <x14:cfvo type="autoMax"/>
              <x14:borderColor rgb="FF63C384"/>
              <x14:negativeFillColor rgb="FFFF0000"/>
              <x14:negativeBorderColor rgb="FFFF0000"/>
              <x14:axisColor rgb="FF000000"/>
            </x14:dataBar>
          </x14:cfRule>
          <xm:sqref>AG158</xm:sqref>
        </x14:conditionalFormatting>
        <x14:conditionalFormatting xmlns:xm="http://schemas.microsoft.com/office/excel/2006/main">
          <x14:cfRule type="dataBar" id="{FC826242-DABB-4FDD-B952-A7ECB941AA68}">
            <x14:dataBar minLength="0" maxLength="100" border="1" negativeBarBorderColorSameAsPositive="0">
              <x14:cfvo type="autoMin"/>
              <x14:cfvo type="autoMax"/>
              <x14:borderColor rgb="FF63C384"/>
              <x14:negativeFillColor rgb="FFFF0000"/>
              <x14:negativeBorderColor rgb="FFFF0000"/>
              <x14:axisColor rgb="FF000000"/>
            </x14:dataBar>
          </x14:cfRule>
          <xm:sqref>AG158</xm:sqref>
        </x14:conditionalFormatting>
        <x14:conditionalFormatting xmlns:xm="http://schemas.microsoft.com/office/excel/2006/main">
          <x14:cfRule type="dataBar" id="{B41D6EBD-A361-4278-ABFF-2AE6464DF946}">
            <x14:dataBar minLength="0" maxLength="100" border="1" negativeBarBorderColorSameAsPositive="0">
              <x14:cfvo type="autoMin"/>
              <x14:cfvo type="autoMax"/>
              <x14:borderColor rgb="FF63C384"/>
              <x14:negativeFillColor rgb="FFFF0000"/>
              <x14:negativeBorderColor rgb="FFFF0000"/>
              <x14:axisColor rgb="FF000000"/>
            </x14:dataBar>
          </x14:cfRule>
          <xm:sqref>AG158</xm:sqref>
        </x14:conditionalFormatting>
        <x14:conditionalFormatting xmlns:xm="http://schemas.microsoft.com/office/excel/2006/main">
          <x14:cfRule type="dataBar" id="{4D6B15F3-485D-4D69-A748-A9CF4BE54063}">
            <x14:dataBar minLength="0" maxLength="100" border="1" negativeBarBorderColorSameAsPositive="0">
              <x14:cfvo type="autoMin"/>
              <x14:cfvo type="autoMax"/>
              <x14:borderColor rgb="FF63C384"/>
              <x14:negativeFillColor rgb="FFFF0000"/>
              <x14:negativeBorderColor rgb="FFFF0000"/>
              <x14:axisColor rgb="FF000000"/>
            </x14:dataBar>
          </x14:cfRule>
          <xm:sqref>AG159</xm:sqref>
        </x14:conditionalFormatting>
        <x14:conditionalFormatting xmlns:xm="http://schemas.microsoft.com/office/excel/2006/main">
          <x14:cfRule type="dataBar" id="{3D6888A9-18EB-4A2F-A15B-E79F8D5D3A25}">
            <x14:dataBar minLength="0" maxLength="100" border="1" negativeBarBorderColorSameAsPositive="0">
              <x14:cfvo type="autoMin"/>
              <x14:cfvo type="autoMax"/>
              <x14:borderColor rgb="FF63C384"/>
              <x14:negativeFillColor rgb="FFFF0000"/>
              <x14:negativeBorderColor rgb="FFFF0000"/>
              <x14:axisColor rgb="FF000000"/>
            </x14:dataBar>
          </x14:cfRule>
          <xm:sqref>AG159</xm:sqref>
        </x14:conditionalFormatting>
        <x14:conditionalFormatting xmlns:xm="http://schemas.microsoft.com/office/excel/2006/main">
          <x14:cfRule type="dataBar" id="{0E143E3E-DDE5-4F7A-B738-99EFD3B7A20C}">
            <x14:dataBar minLength="0" maxLength="100" border="1" negativeBarBorderColorSameAsPositive="0">
              <x14:cfvo type="autoMin"/>
              <x14:cfvo type="autoMax"/>
              <x14:borderColor rgb="FF63C384"/>
              <x14:negativeFillColor rgb="FFFF0000"/>
              <x14:negativeBorderColor rgb="FFFF0000"/>
              <x14:axisColor rgb="FF000000"/>
            </x14:dataBar>
          </x14:cfRule>
          <xm:sqref>AG160</xm:sqref>
        </x14:conditionalFormatting>
        <x14:conditionalFormatting xmlns:xm="http://schemas.microsoft.com/office/excel/2006/main">
          <x14:cfRule type="dataBar" id="{FC3F44FA-D6F3-4A48-B131-2664A7371486}">
            <x14:dataBar minLength="0" maxLength="100" border="1" negativeBarBorderColorSameAsPositive="0">
              <x14:cfvo type="autoMin"/>
              <x14:cfvo type="autoMax"/>
              <x14:borderColor rgb="FF63C384"/>
              <x14:negativeFillColor rgb="FFFF0000"/>
              <x14:negativeBorderColor rgb="FFFF0000"/>
              <x14:axisColor rgb="FF000000"/>
            </x14:dataBar>
          </x14:cfRule>
          <xm:sqref>AG160</xm:sqref>
        </x14:conditionalFormatting>
        <x14:conditionalFormatting xmlns:xm="http://schemas.microsoft.com/office/excel/2006/main">
          <x14:cfRule type="dataBar" id="{31FFD7AA-6CE8-4C89-A609-9B7306019E7D}">
            <x14:dataBar minLength="0" maxLength="100" border="1" negativeBarBorderColorSameAsPositive="0">
              <x14:cfvo type="autoMin"/>
              <x14:cfvo type="autoMax"/>
              <x14:borderColor rgb="FF63C384"/>
              <x14:negativeFillColor rgb="FFFF0000"/>
              <x14:negativeBorderColor rgb="FFFF0000"/>
              <x14:axisColor rgb="FF000000"/>
            </x14:dataBar>
          </x14:cfRule>
          <xm:sqref>AG160</xm:sqref>
        </x14:conditionalFormatting>
        <x14:conditionalFormatting xmlns:xm="http://schemas.microsoft.com/office/excel/2006/main">
          <x14:cfRule type="dataBar" id="{40B9C8C7-8F01-407C-998D-9EB0EB192DCC}">
            <x14:dataBar minLength="0" maxLength="100" border="1" negativeBarBorderColorSameAsPositive="0">
              <x14:cfvo type="autoMin"/>
              <x14:cfvo type="autoMax"/>
              <x14:borderColor rgb="FF63C384"/>
              <x14:negativeFillColor rgb="FFFF0000"/>
              <x14:negativeBorderColor rgb="FFFF0000"/>
              <x14:axisColor rgb="FF000000"/>
            </x14:dataBar>
          </x14:cfRule>
          <xm:sqref>AG160</xm:sqref>
        </x14:conditionalFormatting>
        <x14:conditionalFormatting xmlns:xm="http://schemas.microsoft.com/office/excel/2006/main">
          <x14:cfRule type="dataBar" id="{13667E9F-3340-400A-ADAA-92FC8116575D}">
            <x14:dataBar minLength="0" maxLength="100" border="1" negativeBarBorderColorSameAsPositive="0">
              <x14:cfvo type="autoMin"/>
              <x14:cfvo type="autoMax"/>
              <x14:borderColor rgb="FF63C384"/>
              <x14:negativeFillColor rgb="FFFF0000"/>
              <x14:negativeBorderColor rgb="FFFF0000"/>
              <x14:axisColor rgb="FF000000"/>
            </x14:dataBar>
          </x14:cfRule>
          <xm:sqref>AG161</xm:sqref>
        </x14:conditionalFormatting>
        <x14:conditionalFormatting xmlns:xm="http://schemas.microsoft.com/office/excel/2006/main">
          <x14:cfRule type="dataBar" id="{AA0CE3E3-BFD4-457F-A062-6AC0679AAE32}">
            <x14:dataBar minLength="0" maxLength="100" border="1" negativeBarBorderColorSameAsPositive="0">
              <x14:cfvo type="autoMin"/>
              <x14:cfvo type="autoMax"/>
              <x14:borderColor rgb="FF63C384"/>
              <x14:negativeFillColor rgb="FFFF0000"/>
              <x14:negativeBorderColor rgb="FFFF0000"/>
              <x14:axisColor rgb="FF000000"/>
            </x14:dataBar>
          </x14:cfRule>
          <xm:sqref>AG161</xm:sqref>
        </x14:conditionalFormatting>
        <x14:conditionalFormatting xmlns:xm="http://schemas.microsoft.com/office/excel/2006/main">
          <x14:cfRule type="dataBar" id="{2742A350-3CC9-4DFD-91E3-2B0C2A805C22}">
            <x14:dataBar minLength="0" maxLength="100" border="1" negativeBarBorderColorSameAsPositive="0">
              <x14:cfvo type="autoMin"/>
              <x14:cfvo type="autoMax"/>
              <x14:borderColor rgb="FF63C384"/>
              <x14:negativeFillColor rgb="FFFF0000"/>
              <x14:negativeBorderColor rgb="FFFF0000"/>
              <x14:axisColor rgb="FF000000"/>
            </x14:dataBar>
          </x14:cfRule>
          <xm:sqref>AG161</xm:sqref>
        </x14:conditionalFormatting>
        <x14:conditionalFormatting xmlns:xm="http://schemas.microsoft.com/office/excel/2006/main">
          <x14:cfRule type="dataBar" id="{71E58D22-F174-48AB-AE4F-B6D5FA076AB9}">
            <x14:dataBar minLength="0" maxLength="100" border="1" negativeBarBorderColorSameAsPositive="0">
              <x14:cfvo type="autoMin"/>
              <x14:cfvo type="autoMax"/>
              <x14:borderColor rgb="FF63C384"/>
              <x14:negativeFillColor rgb="FFFF0000"/>
              <x14:negativeBorderColor rgb="FFFF0000"/>
              <x14:axisColor rgb="FF000000"/>
            </x14:dataBar>
          </x14:cfRule>
          <xm:sqref>AG161</xm:sqref>
        </x14:conditionalFormatting>
        <x14:conditionalFormatting xmlns:xm="http://schemas.microsoft.com/office/excel/2006/main">
          <x14:cfRule type="dataBar" id="{45D8F436-DEC2-4573-94F4-88CFB6926140}">
            <x14:dataBar minLength="0" maxLength="100" border="1" negativeBarBorderColorSameAsPositive="0">
              <x14:cfvo type="autoMin"/>
              <x14:cfvo type="autoMax"/>
              <x14:borderColor rgb="FF63C384"/>
              <x14:negativeFillColor rgb="FFFF0000"/>
              <x14:negativeBorderColor rgb="FFFF0000"/>
              <x14:axisColor rgb="FF000000"/>
            </x14:dataBar>
          </x14:cfRule>
          <xm:sqref>AG162</xm:sqref>
        </x14:conditionalFormatting>
        <x14:conditionalFormatting xmlns:xm="http://schemas.microsoft.com/office/excel/2006/main">
          <x14:cfRule type="dataBar" id="{6F851A8E-CDCC-489D-A5F0-DF92DF5526CF}">
            <x14:dataBar minLength="0" maxLength="100" border="1" negativeBarBorderColorSameAsPositive="0">
              <x14:cfvo type="autoMin"/>
              <x14:cfvo type="autoMax"/>
              <x14:borderColor rgb="FF63C384"/>
              <x14:negativeFillColor rgb="FFFF0000"/>
              <x14:negativeBorderColor rgb="FFFF0000"/>
              <x14:axisColor rgb="FF000000"/>
            </x14:dataBar>
          </x14:cfRule>
          <xm:sqref>AG162</xm:sqref>
        </x14:conditionalFormatting>
        <x14:conditionalFormatting xmlns:xm="http://schemas.microsoft.com/office/excel/2006/main">
          <x14:cfRule type="dataBar" id="{40509451-38B0-4043-BD2F-F14362089F98}">
            <x14:dataBar minLength="0" maxLength="100" border="1" negativeBarBorderColorSameAsPositive="0">
              <x14:cfvo type="autoMin"/>
              <x14:cfvo type="autoMax"/>
              <x14:borderColor rgb="FF63C384"/>
              <x14:negativeFillColor rgb="FFFF0000"/>
              <x14:negativeBorderColor rgb="FFFF0000"/>
              <x14:axisColor rgb="FF000000"/>
            </x14:dataBar>
          </x14:cfRule>
          <xm:sqref>AG163</xm:sqref>
        </x14:conditionalFormatting>
        <x14:conditionalFormatting xmlns:xm="http://schemas.microsoft.com/office/excel/2006/main">
          <x14:cfRule type="dataBar" id="{1F3ED64B-833F-410F-B640-08C403222428}">
            <x14:dataBar minLength="0" maxLength="100" border="1" negativeBarBorderColorSameAsPositive="0">
              <x14:cfvo type="autoMin"/>
              <x14:cfvo type="autoMax"/>
              <x14:borderColor rgb="FF63C384"/>
              <x14:negativeFillColor rgb="FFFF0000"/>
              <x14:negativeBorderColor rgb="FFFF0000"/>
              <x14:axisColor rgb="FF000000"/>
            </x14:dataBar>
          </x14:cfRule>
          <xm:sqref>AG163</xm:sqref>
        </x14:conditionalFormatting>
        <x14:conditionalFormatting xmlns:xm="http://schemas.microsoft.com/office/excel/2006/main">
          <x14:cfRule type="dataBar" id="{D8A056CC-A307-483C-B875-D7AA59F0BE07}">
            <x14:dataBar minLength="0" maxLength="100" border="1" negativeBarBorderColorSameAsPositive="0">
              <x14:cfvo type="autoMin"/>
              <x14:cfvo type="autoMax"/>
              <x14:borderColor rgb="FF63C384"/>
              <x14:negativeFillColor rgb="FFFF0000"/>
              <x14:negativeBorderColor rgb="FFFF0000"/>
              <x14:axisColor rgb="FF000000"/>
            </x14:dataBar>
          </x14:cfRule>
          <xm:sqref>AG163</xm:sqref>
        </x14:conditionalFormatting>
        <x14:conditionalFormatting xmlns:xm="http://schemas.microsoft.com/office/excel/2006/main">
          <x14:cfRule type="dataBar" id="{B1384FF8-2EF5-4A8A-B1C5-A690B2B1EE17}">
            <x14:dataBar minLength="0" maxLength="100" border="1" negativeBarBorderColorSameAsPositive="0">
              <x14:cfvo type="autoMin"/>
              <x14:cfvo type="autoMax"/>
              <x14:borderColor rgb="FF63C384"/>
              <x14:negativeFillColor rgb="FFFF0000"/>
              <x14:negativeBorderColor rgb="FFFF0000"/>
              <x14:axisColor rgb="FF000000"/>
            </x14:dataBar>
          </x14:cfRule>
          <xm:sqref>AG163</xm:sqref>
        </x14:conditionalFormatting>
        <x14:conditionalFormatting xmlns:xm="http://schemas.microsoft.com/office/excel/2006/main">
          <x14:cfRule type="dataBar" id="{64CBB510-A554-4398-B4C6-6D23754CEED5}">
            <x14:dataBar minLength="0" maxLength="100" border="1" negativeBarBorderColorSameAsPositive="0">
              <x14:cfvo type="autoMin"/>
              <x14:cfvo type="autoMax"/>
              <x14:borderColor rgb="FF63C384"/>
              <x14:negativeFillColor rgb="FFFF0000"/>
              <x14:negativeBorderColor rgb="FFFF0000"/>
              <x14:axisColor rgb="FF000000"/>
            </x14:dataBar>
          </x14:cfRule>
          <xm:sqref>AG164</xm:sqref>
        </x14:conditionalFormatting>
        <x14:conditionalFormatting xmlns:xm="http://schemas.microsoft.com/office/excel/2006/main">
          <x14:cfRule type="dataBar" id="{DC2AAA53-C04A-4DBD-8197-0CC86AB5A084}">
            <x14:dataBar minLength="0" maxLength="100" border="1" negativeBarBorderColorSameAsPositive="0">
              <x14:cfvo type="autoMin"/>
              <x14:cfvo type="autoMax"/>
              <x14:borderColor rgb="FF63C384"/>
              <x14:negativeFillColor rgb="FFFF0000"/>
              <x14:negativeBorderColor rgb="FFFF0000"/>
              <x14:axisColor rgb="FF000000"/>
            </x14:dataBar>
          </x14:cfRule>
          <xm:sqref>AG165:AG166</xm:sqref>
        </x14:conditionalFormatting>
        <x14:conditionalFormatting xmlns:xm="http://schemas.microsoft.com/office/excel/2006/main">
          <x14:cfRule type="dataBar" id="{0B43CA24-494F-4484-BE95-87720C2AFEF6}">
            <x14:dataBar minLength="0" maxLength="100" border="1" negativeBarBorderColorSameAsPositive="0">
              <x14:cfvo type="autoMin"/>
              <x14:cfvo type="autoMax"/>
              <x14:borderColor rgb="FF63C384"/>
              <x14:negativeFillColor rgb="FFFF0000"/>
              <x14:negativeBorderColor rgb="FFFF0000"/>
              <x14:axisColor rgb="FF000000"/>
            </x14:dataBar>
          </x14:cfRule>
          <xm:sqref>AG165:AG166</xm:sqref>
        </x14:conditionalFormatting>
        <x14:conditionalFormatting xmlns:xm="http://schemas.microsoft.com/office/excel/2006/main">
          <x14:cfRule type="dataBar" id="{653BB280-F052-4D5F-A183-11F751E6575D}">
            <x14:dataBar minLength="0" maxLength="100" border="1" negativeBarBorderColorSameAsPositive="0">
              <x14:cfvo type="autoMin"/>
              <x14:cfvo type="autoMax"/>
              <x14:borderColor rgb="FF63C384"/>
              <x14:negativeFillColor rgb="FFFF0000"/>
              <x14:negativeBorderColor rgb="FFFF0000"/>
              <x14:axisColor rgb="FF000000"/>
            </x14:dataBar>
          </x14:cfRule>
          <xm:sqref>AG167</xm:sqref>
        </x14:conditionalFormatting>
        <x14:conditionalFormatting xmlns:xm="http://schemas.microsoft.com/office/excel/2006/main">
          <x14:cfRule type="dataBar" id="{111B04AD-DAB1-4D9A-A2DA-3556A241F492}">
            <x14:dataBar minLength="0" maxLength="100" border="1" negativeBarBorderColorSameAsPositive="0">
              <x14:cfvo type="autoMin"/>
              <x14:cfvo type="autoMax"/>
              <x14:borderColor rgb="FF63C384"/>
              <x14:negativeFillColor rgb="FFFF0000"/>
              <x14:negativeBorderColor rgb="FFFF0000"/>
              <x14:axisColor rgb="FF000000"/>
            </x14:dataBar>
          </x14:cfRule>
          <xm:sqref>AG167</xm:sqref>
        </x14:conditionalFormatting>
        <x14:conditionalFormatting xmlns:xm="http://schemas.microsoft.com/office/excel/2006/main">
          <x14:cfRule type="dataBar" id="{1618ADA1-3C91-4BDD-808E-91C941BE22F5}">
            <x14:dataBar minLength="0" maxLength="100" border="1" negativeBarBorderColorSameAsPositive="0">
              <x14:cfvo type="autoMin"/>
              <x14:cfvo type="autoMax"/>
              <x14:borderColor rgb="FF63C384"/>
              <x14:negativeFillColor rgb="FFFF0000"/>
              <x14:negativeBorderColor rgb="FFFF0000"/>
              <x14:axisColor rgb="FF000000"/>
            </x14:dataBar>
          </x14:cfRule>
          <xm:sqref>AG169</xm:sqref>
        </x14:conditionalFormatting>
        <x14:conditionalFormatting xmlns:xm="http://schemas.microsoft.com/office/excel/2006/main">
          <x14:cfRule type="dataBar" id="{AABC3C47-A62D-4216-9CE9-2A7E76540304}">
            <x14:dataBar minLength="0" maxLength="100" border="1" negativeBarBorderColorSameAsPositive="0">
              <x14:cfvo type="autoMin"/>
              <x14:cfvo type="autoMax"/>
              <x14:borderColor rgb="FF63C384"/>
              <x14:negativeFillColor rgb="FFFF0000"/>
              <x14:negativeBorderColor rgb="FFFF0000"/>
              <x14:axisColor rgb="FF000000"/>
            </x14:dataBar>
          </x14:cfRule>
          <xm:sqref>AG169</xm:sqref>
        </x14:conditionalFormatting>
        <x14:conditionalFormatting xmlns:xm="http://schemas.microsoft.com/office/excel/2006/main">
          <x14:cfRule type="dataBar" id="{E6BDC172-73E5-4412-88F6-D9D7A84FA885}">
            <x14:dataBar minLength="0" maxLength="100" border="1" negativeBarBorderColorSameAsPositive="0">
              <x14:cfvo type="autoMin"/>
              <x14:cfvo type="autoMax"/>
              <x14:borderColor rgb="FF63C384"/>
              <x14:negativeFillColor rgb="FFFF0000"/>
              <x14:negativeBorderColor rgb="FFFF0000"/>
              <x14:axisColor rgb="FF000000"/>
            </x14:dataBar>
          </x14:cfRule>
          <xm:sqref>AG169:AG170</xm:sqref>
        </x14:conditionalFormatting>
        <x14:conditionalFormatting xmlns:xm="http://schemas.microsoft.com/office/excel/2006/main">
          <x14:cfRule type="dataBar" id="{194BE720-90F3-4B4A-9D65-63123E082A9F}">
            <x14:dataBar minLength="0" maxLength="100" border="1" negativeBarBorderColorSameAsPositive="0">
              <x14:cfvo type="autoMin"/>
              <x14:cfvo type="autoMax"/>
              <x14:borderColor rgb="FF63C384"/>
              <x14:negativeFillColor rgb="FFFF0000"/>
              <x14:negativeBorderColor rgb="FFFF0000"/>
              <x14:axisColor rgb="FF000000"/>
            </x14:dataBar>
          </x14:cfRule>
          <xm:sqref>AG170:AG171</xm:sqref>
        </x14:conditionalFormatting>
        <x14:conditionalFormatting xmlns:xm="http://schemas.microsoft.com/office/excel/2006/main">
          <x14:cfRule type="dataBar" id="{5DA4D89D-EE69-45C9-8ECD-5909C41BEA43}">
            <x14:dataBar minLength="0" maxLength="100" border="1" negativeBarBorderColorSameAsPositive="0">
              <x14:cfvo type="autoMin"/>
              <x14:cfvo type="autoMax"/>
              <x14:borderColor rgb="FF63C384"/>
              <x14:negativeFillColor rgb="FFFF0000"/>
              <x14:negativeBorderColor rgb="FFFF0000"/>
              <x14:axisColor rgb="FF000000"/>
            </x14:dataBar>
          </x14:cfRule>
          <xm:sqref>AG168</xm:sqref>
        </x14:conditionalFormatting>
        <x14:conditionalFormatting xmlns:xm="http://schemas.microsoft.com/office/excel/2006/main">
          <x14:cfRule type="dataBar" id="{13105151-2B42-48F0-84E0-7E2E72449FE3}">
            <x14:dataBar minLength="0" maxLength="100" border="1" negativeBarBorderColorSameAsPositive="0">
              <x14:cfvo type="autoMin"/>
              <x14:cfvo type="autoMax"/>
              <x14:borderColor rgb="FF63C384"/>
              <x14:negativeFillColor rgb="FFFF0000"/>
              <x14:negativeBorderColor rgb="FFFF0000"/>
              <x14:axisColor rgb="FF000000"/>
            </x14:dataBar>
          </x14:cfRule>
          <xm:sqref>AG168</xm:sqref>
        </x14:conditionalFormatting>
        <x14:conditionalFormatting xmlns:xm="http://schemas.microsoft.com/office/excel/2006/main">
          <x14:cfRule type="dataBar" id="{0B10A6D4-3C27-48A1-B3E7-98BB9CA407EA}">
            <x14:dataBar minLength="0" maxLength="100" border="1" negativeBarBorderColorSameAsPositive="0">
              <x14:cfvo type="autoMin"/>
              <x14:cfvo type="autoMax"/>
              <x14:borderColor rgb="FF63C384"/>
              <x14:negativeFillColor rgb="FFFF0000"/>
              <x14:negativeBorderColor rgb="FFFF0000"/>
              <x14:axisColor rgb="FF000000"/>
            </x14:dataBar>
          </x14:cfRule>
          <xm:sqref>AG172</xm:sqref>
        </x14:conditionalFormatting>
        <x14:conditionalFormatting xmlns:xm="http://schemas.microsoft.com/office/excel/2006/main">
          <x14:cfRule type="dataBar" id="{CA790EE0-2E61-4ACD-A793-38B42272B5AD}">
            <x14:dataBar minLength="0" maxLength="100" border="1" negativeBarBorderColorSameAsPositive="0">
              <x14:cfvo type="autoMin"/>
              <x14:cfvo type="autoMax"/>
              <x14:borderColor rgb="FF63C384"/>
              <x14:negativeFillColor rgb="FFFF0000"/>
              <x14:negativeBorderColor rgb="FFFF0000"/>
              <x14:axisColor rgb="FF000000"/>
            </x14:dataBar>
          </x14:cfRule>
          <xm:sqref>AG172</xm:sqref>
        </x14:conditionalFormatting>
        <x14:conditionalFormatting xmlns:xm="http://schemas.microsoft.com/office/excel/2006/main">
          <x14:cfRule type="dataBar" id="{7694E081-04BA-459D-A92F-20B66DCE4635}">
            <x14:dataBar minLength="0" maxLength="100" border="1" negativeBarBorderColorSameAsPositive="0">
              <x14:cfvo type="autoMin"/>
              <x14:cfvo type="autoMax"/>
              <x14:borderColor rgb="FF63C384"/>
              <x14:negativeFillColor rgb="FFFF0000"/>
              <x14:negativeBorderColor rgb="FFFF0000"/>
              <x14:axisColor rgb="FF000000"/>
            </x14:dataBar>
          </x14:cfRule>
          <xm:sqref>AG172</xm:sqref>
        </x14:conditionalFormatting>
        <x14:conditionalFormatting xmlns:xm="http://schemas.microsoft.com/office/excel/2006/main">
          <x14:cfRule type="dataBar" id="{564B0D35-91DF-4ACE-8DF1-1B48836C3315}">
            <x14:dataBar minLength="0" maxLength="100" border="1" negativeBarBorderColorSameAsPositive="0">
              <x14:cfvo type="autoMin"/>
              <x14:cfvo type="autoMax"/>
              <x14:borderColor rgb="FF63C384"/>
              <x14:negativeFillColor rgb="FFFF0000"/>
              <x14:negativeBorderColor rgb="FFFF0000"/>
              <x14:axisColor rgb="FF000000"/>
            </x14:dataBar>
          </x14:cfRule>
          <xm:sqref>AG172</xm:sqref>
        </x14:conditionalFormatting>
        <x14:conditionalFormatting xmlns:xm="http://schemas.microsoft.com/office/excel/2006/main">
          <x14:cfRule type="dataBar" id="{B63D01E5-3161-4DF6-A11E-4B92DCBC16EC}">
            <x14:dataBar minLength="0" maxLength="100" border="1" negativeBarBorderColorSameAsPositive="0">
              <x14:cfvo type="autoMin"/>
              <x14:cfvo type="autoMax"/>
              <x14:borderColor rgb="FF63C384"/>
              <x14:negativeFillColor rgb="FFFF0000"/>
              <x14:negativeBorderColor rgb="FFFF0000"/>
              <x14:axisColor rgb="FF000000"/>
            </x14:dataBar>
          </x14:cfRule>
          <xm:sqref>AG172</xm:sqref>
        </x14:conditionalFormatting>
        <x14:conditionalFormatting xmlns:xm="http://schemas.microsoft.com/office/excel/2006/main">
          <x14:cfRule type="dataBar" id="{53A8B0BA-B432-417A-8DCA-1BD7698C20DC}">
            <x14:dataBar minLength="0" maxLength="100" border="1" negativeBarBorderColorSameAsPositive="0">
              <x14:cfvo type="autoMin"/>
              <x14:cfvo type="autoMax"/>
              <x14:borderColor rgb="FF63C384"/>
              <x14:negativeFillColor rgb="FFFF0000"/>
              <x14:negativeBorderColor rgb="FFFF0000"/>
              <x14:axisColor rgb="FF000000"/>
            </x14:dataBar>
          </x14:cfRule>
          <xm:sqref>AG172</xm:sqref>
        </x14:conditionalFormatting>
        <x14:conditionalFormatting xmlns:xm="http://schemas.microsoft.com/office/excel/2006/main">
          <x14:cfRule type="dataBar" id="{3EAFD5EE-4CE8-490A-80A4-15171FE6629A}">
            <x14:dataBar minLength="0" maxLength="100" border="1" negativeBarBorderColorSameAsPositive="0">
              <x14:cfvo type="autoMin"/>
              <x14:cfvo type="autoMax"/>
              <x14:borderColor rgb="FF63C384"/>
              <x14:negativeFillColor rgb="FFFF0000"/>
              <x14:negativeBorderColor rgb="FFFF0000"/>
              <x14:axisColor rgb="FF000000"/>
            </x14:dataBar>
          </x14:cfRule>
          <xm:sqref>AG172</xm:sqref>
        </x14:conditionalFormatting>
        <x14:conditionalFormatting xmlns:xm="http://schemas.microsoft.com/office/excel/2006/main">
          <x14:cfRule type="dataBar" id="{7C14A2E4-1C0B-4423-8F4B-8D89891B7773}">
            <x14:dataBar minLength="0" maxLength="100" border="1" negativeBarBorderColorSameAsPositive="0">
              <x14:cfvo type="autoMin"/>
              <x14:cfvo type="autoMax"/>
              <x14:borderColor rgb="FF63C384"/>
              <x14:negativeFillColor rgb="FFFF0000"/>
              <x14:negativeBorderColor rgb="FFFF0000"/>
              <x14:axisColor rgb="FF000000"/>
            </x14:dataBar>
          </x14:cfRule>
          <xm:sqref>AG172</xm:sqref>
        </x14:conditionalFormatting>
        <x14:conditionalFormatting xmlns:xm="http://schemas.microsoft.com/office/excel/2006/main">
          <x14:cfRule type="dataBar" id="{84E4F58E-8300-480E-B4FD-2C5FC7528432}">
            <x14:dataBar minLength="0" maxLength="100" border="1" negativeBarBorderColorSameAsPositive="0">
              <x14:cfvo type="autoMin"/>
              <x14:cfvo type="autoMax"/>
              <x14:borderColor rgb="FF63C384"/>
              <x14:negativeFillColor rgb="FFFF0000"/>
              <x14:negativeBorderColor rgb="FFFF0000"/>
              <x14:axisColor rgb="FF000000"/>
            </x14:dataBar>
          </x14:cfRule>
          <xm:sqref>AG173:AG175</xm:sqref>
        </x14:conditionalFormatting>
        <x14:conditionalFormatting xmlns:xm="http://schemas.microsoft.com/office/excel/2006/main">
          <x14:cfRule type="dataBar" id="{47601DF7-A15F-4645-AB2D-C2AEB633DDEA}">
            <x14:dataBar minLength="0" maxLength="100" border="1" negativeBarBorderColorSameAsPositive="0">
              <x14:cfvo type="autoMin"/>
              <x14:cfvo type="autoMax"/>
              <x14:borderColor rgb="FF63C384"/>
              <x14:negativeFillColor rgb="FFFF0000"/>
              <x14:negativeBorderColor rgb="FFFF0000"/>
              <x14:axisColor rgb="FF000000"/>
            </x14:dataBar>
          </x14:cfRule>
          <xm:sqref>AG176</xm:sqref>
        </x14:conditionalFormatting>
        <x14:conditionalFormatting xmlns:xm="http://schemas.microsoft.com/office/excel/2006/main">
          <x14:cfRule type="dataBar" id="{3C0B06AD-2E0C-464B-BE22-F84C8883ABB2}">
            <x14:dataBar minLength="0" maxLength="100" border="1" negativeBarBorderColorSameAsPositive="0">
              <x14:cfvo type="autoMin"/>
              <x14:cfvo type="autoMax"/>
              <x14:borderColor rgb="FF63C384"/>
              <x14:negativeFillColor rgb="FFFF0000"/>
              <x14:negativeBorderColor rgb="FFFF0000"/>
              <x14:axisColor rgb="FF000000"/>
            </x14:dataBar>
          </x14:cfRule>
          <xm:sqref>AG176</xm:sqref>
        </x14:conditionalFormatting>
        <x14:conditionalFormatting xmlns:xm="http://schemas.microsoft.com/office/excel/2006/main">
          <x14:cfRule type="dataBar" id="{0E0F5D38-E8B7-4122-A6AF-EBB8F745E29A}">
            <x14:dataBar minLength="0" maxLength="100" border="1" negativeBarBorderColorSameAsPositive="0">
              <x14:cfvo type="autoMin"/>
              <x14:cfvo type="autoMax"/>
              <x14:borderColor rgb="FF63C384"/>
              <x14:negativeFillColor rgb="FFFF0000"/>
              <x14:negativeBorderColor rgb="FFFF0000"/>
              <x14:axisColor rgb="FF000000"/>
            </x14:dataBar>
          </x14:cfRule>
          <xm:sqref>AG176</xm:sqref>
        </x14:conditionalFormatting>
        <x14:conditionalFormatting xmlns:xm="http://schemas.microsoft.com/office/excel/2006/main">
          <x14:cfRule type="dataBar" id="{D76EF0A8-3439-4DD8-8AEB-0F3C2FC2E198}">
            <x14:dataBar minLength="0" maxLength="100" border="1" negativeBarBorderColorSameAsPositive="0">
              <x14:cfvo type="autoMin"/>
              <x14:cfvo type="autoMax"/>
              <x14:borderColor rgb="FF63C384"/>
              <x14:negativeFillColor rgb="FFFF0000"/>
              <x14:negativeBorderColor rgb="FFFF0000"/>
              <x14:axisColor rgb="FF000000"/>
            </x14:dataBar>
          </x14:cfRule>
          <xm:sqref>AG176</xm:sqref>
        </x14:conditionalFormatting>
        <x14:conditionalFormatting xmlns:xm="http://schemas.microsoft.com/office/excel/2006/main">
          <x14:cfRule type="dataBar" id="{6678802D-5621-4FC8-8E51-2ACED28697AF}">
            <x14:dataBar minLength="0" maxLength="100" border="1" negativeBarBorderColorSameAsPositive="0">
              <x14:cfvo type="autoMin"/>
              <x14:cfvo type="autoMax"/>
              <x14:borderColor rgb="FF63C384"/>
              <x14:negativeFillColor rgb="FFFF0000"/>
              <x14:negativeBorderColor rgb="FFFF0000"/>
              <x14:axisColor rgb="FF000000"/>
            </x14:dataBar>
          </x14:cfRule>
          <xm:sqref>AG177</xm:sqref>
        </x14:conditionalFormatting>
        <x14:conditionalFormatting xmlns:xm="http://schemas.microsoft.com/office/excel/2006/main">
          <x14:cfRule type="dataBar" id="{262366E7-BB55-4FAE-8B29-0789A068B2F2}">
            <x14:dataBar minLength="0" maxLength="100" border="1" negativeBarBorderColorSameAsPositive="0">
              <x14:cfvo type="autoMin"/>
              <x14:cfvo type="autoMax"/>
              <x14:borderColor rgb="FF63C384"/>
              <x14:negativeFillColor rgb="FFFF0000"/>
              <x14:negativeBorderColor rgb="FFFF0000"/>
              <x14:axisColor rgb="FF000000"/>
            </x14:dataBar>
          </x14:cfRule>
          <xm:sqref>AG178</xm:sqref>
        </x14:conditionalFormatting>
        <x14:conditionalFormatting xmlns:xm="http://schemas.microsoft.com/office/excel/2006/main">
          <x14:cfRule type="dataBar" id="{C2D4F31D-642B-42E1-B7F1-5B37C9EB6925}">
            <x14:dataBar minLength="0" maxLength="100" border="1" negativeBarBorderColorSameAsPositive="0">
              <x14:cfvo type="autoMin"/>
              <x14:cfvo type="autoMax"/>
              <x14:borderColor rgb="FF63C384"/>
              <x14:negativeFillColor rgb="FFFF0000"/>
              <x14:negativeBorderColor rgb="FFFF0000"/>
              <x14:axisColor rgb="FF000000"/>
            </x14:dataBar>
          </x14:cfRule>
          <xm:sqref>AG178</xm:sqref>
        </x14:conditionalFormatting>
        <x14:conditionalFormatting xmlns:xm="http://schemas.microsoft.com/office/excel/2006/main">
          <x14:cfRule type="dataBar" id="{1FC2201B-8374-4835-B185-48C6034923FE}">
            <x14:dataBar minLength="0" maxLength="100" border="1" negativeBarBorderColorSameAsPositive="0">
              <x14:cfvo type="autoMin"/>
              <x14:cfvo type="autoMax"/>
              <x14:borderColor rgb="FF63C384"/>
              <x14:negativeFillColor rgb="FFFF0000"/>
              <x14:negativeBorderColor rgb="FFFF0000"/>
              <x14:axisColor rgb="FF000000"/>
            </x14:dataBar>
          </x14:cfRule>
          <xm:sqref>AG178</xm:sqref>
        </x14:conditionalFormatting>
        <x14:conditionalFormatting xmlns:xm="http://schemas.microsoft.com/office/excel/2006/main">
          <x14:cfRule type="dataBar" id="{12C257FB-2279-4838-9C28-29899C314E39}">
            <x14:dataBar minLength="0" maxLength="100" border="1" negativeBarBorderColorSameAsPositive="0">
              <x14:cfvo type="autoMin"/>
              <x14:cfvo type="autoMax"/>
              <x14:borderColor rgb="FF63C384"/>
              <x14:negativeFillColor rgb="FFFF0000"/>
              <x14:negativeBorderColor rgb="FFFF0000"/>
              <x14:axisColor rgb="FF000000"/>
            </x14:dataBar>
          </x14:cfRule>
          <xm:sqref>AG178</xm:sqref>
        </x14:conditionalFormatting>
        <x14:conditionalFormatting xmlns:xm="http://schemas.microsoft.com/office/excel/2006/main">
          <x14:cfRule type="dataBar" id="{720B3D4D-3F62-47AF-8F94-C43ED7C63FCE}">
            <x14:dataBar minLength="0" maxLength="100" border="1" negativeBarBorderColorSameAsPositive="0">
              <x14:cfvo type="autoMin"/>
              <x14:cfvo type="autoMax"/>
              <x14:borderColor rgb="FF63C384"/>
              <x14:negativeFillColor rgb="FFFF0000"/>
              <x14:negativeBorderColor rgb="FFFF0000"/>
              <x14:axisColor rgb="FF000000"/>
            </x14:dataBar>
          </x14:cfRule>
          <xm:sqref>AG179</xm:sqref>
        </x14:conditionalFormatting>
        <x14:conditionalFormatting xmlns:xm="http://schemas.microsoft.com/office/excel/2006/main">
          <x14:cfRule type="dataBar" id="{0363B42F-2051-480C-8BB2-6B33C662745D}">
            <x14:dataBar minLength="0" maxLength="100" border="1" negativeBarBorderColorSameAsPositive="0">
              <x14:cfvo type="autoMin"/>
              <x14:cfvo type="autoMax"/>
              <x14:borderColor rgb="FF63C384"/>
              <x14:negativeFillColor rgb="FFFF0000"/>
              <x14:negativeBorderColor rgb="FFFF0000"/>
              <x14:axisColor rgb="FF000000"/>
            </x14:dataBar>
          </x14:cfRule>
          <xm:sqref>AG179</xm:sqref>
        </x14:conditionalFormatting>
        <x14:conditionalFormatting xmlns:xm="http://schemas.microsoft.com/office/excel/2006/main">
          <x14:cfRule type="dataBar" id="{D279629A-775A-4405-AD23-5D7D5A5EDEA8}">
            <x14:dataBar minLength="0" maxLength="100" border="1" negativeBarBorderColorSameAsPositive="0">
              <x14:cfvo type="autoMin"/>
              <x14:cfvo type="autoMax"/>
              <x14:borderColor rgb="FF63C384"/>
              <x14:negativeFillColor rgb="FFFF0000"/>
              <x14:negativeBorderColor rgb="FFFF0000"/>
              <x14:axisColor rgb="FF000000"/>
            </x14:dataBar>
          </x14:cfRule>
          <xm:sqref>AG180:AG181</xm:sqref>
        </x14:conditionalFormatting>
        <x14:conditionalFormatting xmlns:xm="http://schemas.microsoft.com/office/excel/2006/main">
          <x14:cfRule type="dataBar" id="{54E3D66F-4A00-4276-9259-C26DBB0DA8D8}">
            <x14:dataBar minLength="0" maxLength="100" border="1" negativeBarBorderColorSameAsPositive="0">
              <x14:cfvo type="autoMin"/>
              <x14:cfvo type="autoMax"/>
              <x14:borderColor rgb="FF63C384"/>
              <x14:negativeFillColor rgb="FFFF0000"/>
              <x14:negativeBorderColor rgb="FFFF0000"/>
              <x14:axisColor rgb="FF000000"/>
            </x14:dataBar>
          </x14:cfRule>
          <xm:sqref>AG183:AG184</xm:sqref>
        </x14:conditionalFormatting>
        <x14:conditionalFormatting xmlns:xm="http://schemas.microsoft.com/office/excel/2006/main">
          <x14:cfRule type="dataBar" id="{6D26AC39-0756-4047-A4C4-1B2FF8669B4D}">
            <x14:dataBar minLength="0" maxLength="100" border="1" negativeBarBorderColorSameAsPositive="0">
              <x14:cfvo type="autoMin"/>
              <x14:cfvo type="autoMax"/>
              <x14:borderColor rgb="FF63C384"/>
              <x14:negativeFillColor rgb="FFFF0000"/>
              <x14:negativeBorderColor rgb="FFFF0000"/>
              <x14:axisColor rgb="FF000000"/>
            </x14:dataBar>
          </x14:cfRule>
          <xm:sqref>AG183:AG184</xm:sqref>
        </x14:conditionalFormatting>
        <x14:conditionalFormatting xmlns:xm="http://schemas.microsoft.com/office/excel/2006/main">
          <x14:cfRule type="dataBar" id="{5B3568B3-E8BC-4BD5-AD9F-222DF210724B}">
            <x14:dataBar minLength="0" maxLength="100" border="1" negativeBarBorderColorSameAsPositive="0">
              <x14:cfvo type="autoMin"/>
              <x14:cfvo type="autoMax"/>
              <x14:borderColor rgb="FF63C384"/>
              <x14:negativeFillColor rgb="FFFF0000"/>
              <x14:negativeBorderColor rgb="FFFF0000"/>
              <x14:axisColor rgb="FF000000"/>
            </x14:dataBar>
          </x14:cfRule>
          <xm:sqref>AG185</xm:sqref>
        </x14:conditionalFormatting>
        <x14:conditionalFormatting xmlns:xm="http://schemas.microsoft.com/office/excel/2006/main">
          <x14:cfRule type="dataBar" id="{DBCEF4A9-57E5-4E47-B49B-9BA76B4B5012}">
            <x14:dataBar minLength="0" maxLength="100" border="1" negativeBarBorderColorSameAsPositive="0">
              <x14:cfvo type="autoMin"/>
              <x14:cfvo type="autoMax"/>
              <x14:borderColor rgb="FF63C384"/>
              <x14:negativeFillColor rgb="FFFF0000"/>
              <x14:negativeBorderColor rgb="FFFF0000"/>
              <x14:axisColor rgb="FF000000"/>
            </x14:dataBar>
          </x14:cfRule>
          <xm:sqref>AG185</xm:sqref>
        </x14:conditionalFormatting>
        <x14:conditionalFormatting xmlns:xm="http://schemas.microsoft.com/office/excel/2006/main">
          <x14:cfRule type="dataBar" id="{8A3BFF7A-AECD-48B0-A55D-E331CF4DFB21}">
            <x14:dataBar minLength="0" maxLength="100" border="1" negativeBarBorderColorSameAsPositive="0">
              <x14:cfvo type="autoMin"/>
              <x14:cfvo type="autoMax"/>
              <x14:borderColor rgb="FF63C384"/>
              <x14:negativeFillColor rgb="FFFF0000"/>
              <x14:negativeBorderColor rgb="FFFF0000"/>
              <x14:axisColor rgb="FF000000"/>
            </x14:dataBar>
          </x14:cfRule>
          <xm:sqref>AG186</xm:sqref>
        </x14:conditionalFormatting>
        <x14:conditionalFormatting xmlns:xm="http://schemas.microsoft.com/office/excel/2006/main">
          <x14:cfRule type="dataBar" id="{FA8BA39A-3942-47F1-BC6B-DB6E05600799}">
            <x14:dataBar minLength="0" maxLength="100" border="1" negativeBarBorderColorSameAsPositive="0">
              <x14:cfvo type="autoMin"/>
              <x14:cfvo type="autoMax"/>
              <x14:borderColor rgb="FF63C384"/>
              <x14:negativeFillColor rgb="FFFF0000"/>
              <x14:negativeBorderColor rgb="FFFF0000"/>
              <x14:axisColor rgb="FF000000"/>
            </x14:dataBar>
          </x14:cfRule>
          <xm:sqref>AG186</xm:sqref>
        </x14:conditionalFormatting>
        <x14:conditionalFormatting xmlns:xm="http://schemas.microsoft.com/office/excel/2006/main">
          <x14:cfRule type="dataBar" id="{98B81A84-EE47-4292-9F86-BD92024623AB}">
            <x14:dataBar minLength="0" maxLength="100" border="1" negativeBarBorderColorSameAsPositive="0">
              <x14:cfvo type="autoMin"/>
              <x14:cfvo type="autoMax"/>
              <x14:borderColor rgb="FF63C384"/>
              <x14:negativeFillColor rgb="FFFF0000"/>
              <x14:negativeBorderColor rgb="FFFF0000"/>
              <x14:axisColor rgb="FF000000"/>
            </x14:dataBar>
          </x14:cfRule>
          <xm:sqref>AG187:AG188</xm:sqref>
        </x14:conditionalFormatting>
        <x14:conditionalFormatting xmlns:xm="http://schemas.microsoft.com/office/excel/2006/main">
          <x14:cfRule type="dataBar" id="{CBC2BABC-761C-4B95-9E47-46943E29BD2D}">
            <x14:dataBar minLength="0" maxLength="100" border="1" negativeBarBorderColorSameAsPositive="0">
              <x14:cfvo type="autoMin"/>
              <x14:cfvo type="autoMax"/>
              <x14:borderColor rgb="FF63C384"/>
              <x14:negativeFillColor rgb="FFFF0000"/>
              <x14:negativeBorderColor rgb="FFFF0000"/>
              <x14:axisColor rgb="FF000000"/>
            </x14:dataBar>
          </x14:cfRule>
          <xm:sqref>AG187:AG188</xm:sqref>
        </x14:conditionalFormatting>
        <x14:conditionalFormatting xmlns:xm="http://schemas.microsoft.com/office/excel/2006/main">
          <x14:cfRule type="dataBar" id="{4F1F72A3-C735-4BC2-A345-D15CE5905845}">
            <x14:dataBar minLength="0" maxLength="100" border="1" negativeBarBorderColorSameAsPositive="0">
              <x14:cfvo type="autoMin"/>
              <x14:cfvo type="autoMax"/>
              <x14:borderColor rgb="FF63C384"/>
              <x14:negativeFillColor rgb="FFFF0000"/>
              <x14:negativeBorderColor rgb="FFFF0000"/>
              <x14:axisColor rgb="FF000000"/>
            </x14:dataBar>
          </x14:cfRule>
          <xm:sqref>AG187:AG188</xm:sqref>
        </x14:conditionalFormatting>
        <x14:conditionalFormatting xmlns:xm="http://schemas.microsoft.com/office/excel/2006/main">
          <x14:cfRule type="dataBar" id="{F8B231DE-75AF-4309-8F0F-CCCCA9C2DB0B}">
            <x14:dataBar minLength="0" maxLength="100" border="1" negativeBarBorderColorSameAsPositive="0">
              <x14:cfvo type="autoMin"/>
              <x14:cfvo type="autoMax"/>
              <x14:borderColor rgb="FF63C384"/>
              <x14:negativeFillColor rgb="FFFF0000"/>
              <x14:negativeBorderColor rgb="FFFF0000"/>
              <x14:axisColor rgb="FF000000"/>
            </x14:dataBar>
          </x14:cfRule>
          <xm:sqref>AG189</xm:sqref>
        </x14:conditionalFormatting>
        <x14:conditionalFormatting xmlns:xm="http://schemas.microsoft.com/office/excel/2006/main">
          <x14:cfRule type="dataBar" id="{E085D9CA-83DC-4B12-BC87-982D2CC759D4}">
            <x14:dataBar minLength="0" maxLength="100" border="1" negativeBarBorderColorSameAsPositive="0">
              <x14:cfvo type="autoMin"/>
              <x14:cfvo type="autoMax"/>
              <x14:borderColor rgb="FF63C384"/>
              <x14:negativeFillColor rgb="FFFF0000"/>
              <x14:negativeBorderColor rgb="FFFF0000"/>
              <x14:axisColor rgb="FF000000"/>
            </x14:dataBar>
          </x14:cfRule>
          <xm:sqref>AG191</xm:sqref>
        </x14:conditionalFormatting>
        <x14:conditionalFormatting xmlns:xm="http://schemas.microsoft.com/office/excel/2006/main">
          <x14:cfRule type="dataBar" id="{686B4C6A-513C-4CC6-A209-0D20C7D722C3}">
            <x14:dataBar minLength="0" maxLength="100" border="1" negativeBarBorderColorSameAsPositive="0">
              <x14:cfvo type="autoMin"/>
              <x14:cfvo type="autoMax"/>
              <x14:borderColor rgb="FF63C384"/>
              <x14:negativeFillColor rgb="FFFF0000"/>
              <x14:negativeBorderColor rgb="FFFF0000"/>
              <x14:axisColor rgb="FF000000"/>
            </x14:dataBar>
          </x14:cfRule>
          <xm:sqref>AG192</xm:sqref>
        </x14:conditionalFormatting>
        <x14:conditionalFormatting xmlns:xm="http://schemas.microsoft.com/office/excel/2006/main">
          <x14:cfRule type="dataBar" id="{12528FFA-5428-4A1D-AF2E-FC3FB22B8FCC}">
            <x14:dataBar minLength="0" maxLength="100" border="1" negativeBarBorderColorSameAsPositive="0">
              <x14:cfvo type="autoMin"/>
              <x14:cfvo type="autoMax"/>
              <x14:borderColor rgb="FF63C384"/>
              <x14:negativeFillColor rgb="FFFF0000"/>
              <x14:negativeBorderColor rgb="FFFF0000"/>
              <x14:axisColor rgb="FF000000"/>
            </x14:dataBar>
          </x14:cfRule>
          <xm:sqref>AG192</xm:sqref>
        </x14:conditionalFormatting>
        <x14:conditionalFormatting xmlns:xm="http://schemas.microsoft.com/office/excel/2006/main">
          <x14:cfRule type="dataBar" id="{0D2D2D06-4909-433A-9E42-F94AB174D3D8}">
            <x14:dataBar minLength="0" maxLength="100" border="1" negativeBarBorderColorSameAsPositive="0">
              <x14:cfvo type="autoMin"/>
              <x14:cfvo type="autoMax"/>
              <x14:borderColor rgb="FF63C384"/>
              <x14:negativeFillColor rgb="FFFF0000"/>
              <x14:negativeBorderColor rgb="FFFF0000"/>
              <x14:axisColor rgb="FF000000"/>
            </x14:dataBar>
          </x14:cfRule>
          <xm:sqref>AG193</xm:sqref>
        </x14:conditionalFormatting>
        <x14:conditionalFormatting xmlns:xm="http://schemas.microsoft.com/office/excel/2006/main">
          <x14:cfRule type="dataBar" id="{363FCA61-63F3-4E9D-B93C-2397F0B69302}">
            <x14:dataBar minLength="0" maxLength="100" border="1" negativeBarBorderColorSameAsPositive="0">
              <x14:cfvo type="autoMin"/>
              <x14:cfvo type="autoMax"/>
              <x14:borderColor rgb="FF63C384"/>
              <x14:negativeFillColor rgb="FFFF0000"/>
              <x14:negativeBorderColor rgb="FFFF0000"/>
              <x14:axisColor rgb="FF000000"/>
            </x14:dataBar>
          </x14:cfRule>
          <xm:sqref>AG194</xm:sqref>
        </x14:conditionalFormatting>
        <x14:conditionalFormatting xmlns:xm="http://schemas.microsoft.com/office/excel/2006/main">
          <x14:cfRule type="dataBar" id="{49B3CD78-A594-48E8-9FD9-E0BFDC67B57A}">
            <x14:dataBar minLength="0" maxLength="100" border="1" negativeBarBorderColorSameAsPositive="0">
              <x14:cfvo type="autoMin"/>
              <x14:cfvo type="autoMax"/>
              <x14:borderColor rgb="FF63C384"/>
              <x14:negativeFillColor rgb="FFFF0000"/>
              <x14:negativeBorderColor rgb="FFFF0000"/>
              <x14:axisColor rgb="FF000000"/>
            </x14:dataBar>
          </x14:cfRule>
          <xm:sqref>AG194</xm:sqref>
        </x14:conditionalFormatting>
        <x14:conditionalFormatting xmlns:xm="http://schemas.microsoft.com/office/excel/2006/main">
          <x14:cfRule type="dataBar" id="{687F67C8-DCB6-40EF-9BD3-346D1B531B9C}">
            <x14:dataBar minLength="0" maxLength="100" border="1" negativeBarBorderColorSameAsPositive="0">
              <x14:cfvo type="autoMin"/>
              <x14:cfvo type="autoMax"/>
              <x14:borderColor rgb="FF63C384"/>
              <x14:negativeFillColor rgb="FFFF0000"/>
              <x14:negativeBorderColor rgb="FFFF0000"/>
              <x14:axisColor rgb="FF000000"/>
            </x14:dataBar>
          </x14:cfRule>
          <xm:sqref>AG194</xm:sqref>
        </x14:conditionalFormatting>
        <x14:conditionalFormatting xmlns:xm="http://schemas.microsoft.com/office/excel/2006/main">
          <x14:cfRule type="dataBar" id="{0DC366F8-713B-4075-A6FF-B1BEC8B0E757}">
            <x14:dataBar minLength="0" maxLength="100" border="1" negativeBarBorderColorSameAsPositive="0">
              <x14:cfvo type="autoMin"/>
              <x14:cfvo type="autoMax"/>
              <x14:borderColor rgb="FF63C384"/>
              <x14:negativeFillColor rgb="FFFF0000"/>
              <x14:negativeBorderColor rgb="FFFF0000"/>
              <x14:axisColor rgb="FF000000"/>
            </x14:dataBar>
          </x14:cfRule>
          <xm:sqref>AG194</xm:sqref>
        </x14:conditionalFormatting>
        <x14:conditionalFormatting xmlns:xm="http://schemas.microsoft.com/office/excel/2006/main">
          <x14:cfRule type="dataBar" id="{CD5EF37A-4994-40BC-BE9B-D68A0CAD817C}">
            <x14:dataBar minLength="0" maxLength="100" border="1" negativeBarBorderColorSameAsPositive="0">
              <x14:cfvo type="autoMin"/>
              <x14:cfvo type="autoMax"/>
              <x14:borderColor rgb="FF63C384"/>
              <x14:negativeFillColor rgb="FFFF0000"/>
              <x14:negativeBorderColor rgb="FFFF0000"/>
              <x14:axisColor rgb="FF000000"/>
            </x14:dataBar>
          </x14:cfRule>
          <xm:sqref>AG195</xm:sqref>
        </x14:conditionalFormatting>
        <x14:conditionalFormatting xmlns:xm="http://schemas.microsoft.com/office/excel/2006/main">
          <x14:cfRule type="dataBar" id="{768C9CE7-5BFE-4FA6-BF19-956E0BA96ED4}">
            <x14:dataBar minLength="0" maxLength="100" border="1" negativeBarBorderColorSameAsPositive="0">
              <x14:cfvo type="autoMin"/>
              <x14:cfvo type="autoMax"/>
              <x14:borderColor rgb="FF63C384"/>
              <x14:negativeFillColor rgb="FFFF0000"/>
              <x14:negativeBorderColor rgb="FFFF0000"/>
              <x14:axisColor rgb="FF000000"/>
            </x14:dataBar>
          </x14:cfRule>
          <xm:sqref>AG195</xm:sqref>
        </x14:conditionalFormatting>
        <x14:conditionalFormatting xmlns:xm="http://schemas.microsoft.com/office/excel/2006/main">
          <x14:cfRule type="dataBar" id="{5E9A45C1-CC5C-448F-8FEE-4E88AA487B22}">
            <x14:dataBar minLength="0" maxLength="100" border="1" negativeBarBorderColorSameAsPositive="0">
              <x14:cfvo type="autoMin"/>
              <x14:cfvo type="autoMax"/>
              <x14:borderColor rgb="FF63C384"/>
              <x14:negativeFillColor rgb="FFFF0000"/>
              <x14:negativeBorderColor rgb="FFFF0000"/>
              <x14:axisColor rgb="FF000000"/>
            </x14:dataBar>
          </x14:cfRule>
          <xm:sqref>AG195</xm:sqref>
        </x14:conditionalFormatting>
        <x14:conditionalFormatting xmlns:xm="http://schemas.microsoft.com/office/excel/2006/main">
          <x14:cfRule type="dataBar" id="{203F2E6D-78DB-4F22-8D8E-184A96C050C8}">
            <x14:dataBar minLength="0" maxLength="100" border="1" negativeBarBorderColorSameAsPositive="0">
              <x14:cfvo type="autoMin"/>
              <x14:cfvo type="autoMax"/>
              <x14:borderColor rgb="FF63C384"/>
              <x14:negativeFillColor rgb="FFFF0000"/>
              <x14:negativeBorderColor rgb="FFFF0000"/>
              <x14:axisColor rgb="FF000000"/>
            </x14:dataBar>
          </x14:cfRule>
          <xm:sqref>AG195</xm:sqref>
        </x14:conditionalFormatting>
        <x14:conditionalFormatting xmlns:xm="http://schemas.microsoft.com/office/excel/2006/main">
          <x14:cfRule type="dataBar" id="{E10080E0-3121-4236-AB97-B3295A292088}">
            <x14:dataBar minLength="0" maxLength="100" border="1" negativeBarBorderColorSameAsPositive="0">
              <x14:cfvo type="autoMin"/>
              <x14:cfvo type="autoMax"/>
              <x14:borderColor rgb="FF63C384"/>
              <x14:negativeFillColor rgb="FFFF0000"/>
              <x14:negativeBorderColor rgb="FFFF0000"/>
              <x14:axisColor rgb="FF000000"/>
            </x14:dataBar>
          </x14:cfRule>
          <xm:sqref>AG196</xm:sqref>
        </x14:conditionalFormatting>
        <x14:conditionalFormatting xmlns:xm="http://schemas.microsoft.com/office/excel/2006/main">
          <x14:cfRule type="dataBar" id="{51C9034E-816E-4FBD-87F5-3C974081CA70}">
            <x14:dataBar minLength="0" maxLength="100" border="1" negativeBarBorderColorSameAsPositive="0">
              <x14:cfvo type="autoMin"/>
              <x14:cfvo type="autoMax"/>
              <x14:borderColor rgb="FF63C384"/>
              <x14:negativeFillColor rgb="FFFF0000"/>
              <x14:negativeBorderColor rgb="FFFF0000"/>
              <x14:axisColor rgb="FF000000"/>
            </x14:dataBar>
          </x14:cfRule>
          <xm:sqref>AG196</xm:sqref>
        </x14:conditionalFormatting>
        <x14:conditionalFormatting xmlns:xm="http://schemas.microsoft.com/office/excel/2006/main">
          <x14:cfRule type="dataBar" id="{7C947CA0-3193-4A6F-98F8-74E7E0805F1F}">
            <x14:dataBar minLength="0" maxLength="100" border="1" negativeBarBorderColorSameAsPositive="0">
              <x14:cfvo type="autoMin"/>
              <x14:cfvo type="autoMax"/>
              <x14:borderColor rgb="FF63C384"/>
              <x14:negativeFillColor rgb="FFFF0000"/>
              <x14:negativeBorderColor rgb="FFFF0000"/>
              <x14:axisColor rgb="FF000000"/>
            </x14:dataBar>
          </x14:cfRule>
          <xm:sqref>AG197</xm:sqref>
        </x14:conditionalFormatting>
        <x14:conditionalFormatting xmlns:xm="http://schemas.microsoft.com/office/excel/2006/main">
          <x14:cfRule type="dataBar" id="{D814BAC6-B00E-4467-B878-E67F416188D1}">
            <x14:dataBar minLength="0" maxLength="100" border="1" negativeBarBorderColorSameAsPositive="0">
              <x14:cfvo type="autoMin"/>
              <x14:cfvo type="autoMax"/>
              <x14:borderColor rgb="FF63C384"/>
              <x14:negativeFillColor rgb="FFFF0000"/>
              <x14:negativeBorderColor rgb="FFFF0000"/>
              <x14:axisColor rgb="FF000000"/>
            </x14:dataBar>
          </x14:cfRule>
          <xm:sqref>AG198</xm:sqref>
        </x14:conditionalFormatting>
        <x14:conditionalFormatting xmlns:xm="http://schemas.microsoft.com/office/excel/2006/main">
          <x14:cfRule type="dataBar" id="{399519FD-8EAF-4825-9C9A-494B3D51CE85}">
            <x14:dataBar minLength="0" maxLength="100" border="1" negativeBarBorderColorSameAsPositive="0">
              <x14:cfvo type="autoMin"/>
              <x14:cfvo type="autoMax"/>
              <x14:borderColor rgb="FF63C384"/>
              <x14:negativeFillColor rgb="FFFF0000"/>
              <x14:negativeBorderColor rgb="FFFF0000"/>
              <x14:axisColor rgb="FF000000"/>
            </x14:dataBar>
          </x14:cfRule>
          <xm:sqref>AG199</xm:sqref>
        </x14:conditionalFormatting>
        <x14:conditionalFormatting xmlns:xm="http://schemas.microsoft.com/office/excel/2006/main">
          <x14:cfRule type="dataBar" id="{0F91C3C7-52CA-40E7-81AC-E3620C5771C8}">
            <x14:dataBar minLength="0" maxLength="100" border="1" negativeBarBorderColorSameAsPositive="0">
              <x14:cfvo type="autoMin"/>
              <x14:cfvo type="autoMax"/>
              <x14:borderColor rgb="FF63C384"/>
              <x14:negativeFillColor rgb="FFFF0000"/>
              <x14:negativeBorderColor rgb="FFFF0000"/>
              <x14:axisColor rgb="FF000000"/>
            </x14:dataBar>
          </x14:cfRule>
          <xm:sqref>AG199</xm:sqref>
        </x14:conditionalFormatting>
        <x14:conditionalFormatting xmlns:xm="http://schemas.microsoft.com/office/excel/2006/main">
          <x14:cfRule type="dataBar" id="{FE125358-784B-4CCB-B5BE-0FE03337B580}">
            <x14:dataBar minLength="0" maxLength="100" border="1" negativeBarBorderColorSameAsPositive="0">
              <x14:cfvo type="autoMin"/>
              <x14:cfvo type="autoMax"/>
              <x14:borderColor rgb="FF63C384"/>
              <x14:negativeFillColor rgb="FFFF0000"/>
              <x14:negativeBorderColor rgb="FFFF0000"/>
              <x14:axisColor rgb="FF000000"/>
            </x14:dataBar>
          </x14:cfRule>
          <xm:sqref>AG199</xm:sqref>
        </x14:conditionalFormatting>
        <x14:conditionalFormatting xmlns:xm="http://schemas.microsoft.com/office/excel/2006/main">
          <x14:cfRule type="dataBar" id="{39A552F2-E47B-4C05-BC6C-FCF18FD0D5F4}">
            <x14:dataBar minLength="0" maxLength="100" border="1" negativeBarBorderColorSameAsPositive="0">
              <x14:cfvo type="autoMin"/>
              <x14:cfvo type="autoMax"/>
              <x14:borderColor rgb="FF63C384"/>
              <x14:negativeFillColor rgb="FFFF0000"/>
              <x14:negativeBorderColor rgb="FFFF0000"/>
              <x14:axisColor rgb="FF000000"/>
            </x14:dataBar>
          </x14:cfRule>
          <xm:sqref>AG199</xm:sqref>
        </x14:conditionalFormatting>
        <x14:conditionalFormatting xmlns:xm="http://schemas.microsoft.com/office/excel/2006/main">
          <x14:cfRule type="dataBar" id="{6EA6EBF9-D79A-4D50-BCFE-5E318186DCF6}">
            <x14:dataBar minLength="0" maxLength="100" border="1" negativeBarBorderColorSameAsPositive="0">
              <x14:cfvo type="autoMin"/>
              <x14:cfvo type="autoMax"/>
              <x14:borderColor rgb="FF63C384"/>
              <x14:negativeFillColor rgb="FFFF0000"/>
              <x14:negativeBorderColor rgb="FFFF0000"/>
              <x14:axisColor rgb="FF000000"/>
            </x14:dataBar>
          </x14:cfRule>
          <xm:sqref>AG200</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5EBC9-434B-4276-8C4B-35467F33AC41}">
  <sheetPr codeName="Tabelle29"/>
  <dimension ref="A1:XEK221"/>
  <sheetViews>
    <sheetView topLeftCell="A184" zoomScaleNormal="100" workbookViewId="0">
      <selection activeCell="A2" sqref="A2:G209"/>
    </sheetView>
  </sheetViews>
  <sheetFormatPr baseColWidth="10" defaultColWidth="11.42578125" defaultRowHeight="15" x14ac:dyDescent="0.25"/>
  <cols>
    <col min="2" max="2" width="11.42578125" style="1"/>
    <col min="3" max="3" width="35.7109375" customWidth="1"/>
    <col min="6" max="6" width="11.42578125" style="48"/>
    <col min="14" max="14" width="13.85546875" customWidth="1"/>
    <col min="19" max="19" width="11.85546875" bestFit="1" customWidth="1"/>
  </cols>
  <sheetData>
    <row r="1" spans="1:16365" x14ac:dyDescent="0.25">
      <c r="A1" s="63" t="s">
        <v>845</v>
      </c>
      <c r="B1" s="96" t="s">
        <v>846</v>
      </c>
      <c r="C1" s="63" t="s">
        <v>847</v>
      </c>
      <c r="D1" s="63" t="s">
        <v>706</v>
      </c>
      <c r="E1" s="63" t="s">
        <v>682</v>
      </c>
      <c r="F1" s="95" t="s">
        <v>848</v>
      </c>
      <c r="G1" s="63" t="s">
        <v>844</v>
      </c>
      <c r="H1" s="87"/>
      <c r="I1" s="87" t="s">
        <v>47</v>
      </c>
      <c r="J1" s="87" t="s">
        <v>1751</v>
      </c>
      <c r="K1" s="87" t="s">
        <v>1750</v>
      </c>
      <c r="L1" s="87" t="s">
        <v>682</v>
      </c>
      <c r="M1" s="87" t="s">
        <v>1753</v>
      </c>
      <c r="N1" s="87" t="s">
        <v>1754</v>
      </c>
      <c r="O1" s="87" t="s">
        <v>1752</v>
      </c>
      <c r="P1" s="87"/>
      <c r="Q1" s="87"/>
      <c r="R1" s="87" t="s">
        <v>1755</v>
      </c>
      <c r="S1" s="87" t="s">
        <v>1772</v>
      </c>
      <c r="T1" s="87" t="s">
        <v>1756</v>
      </c>
      <c r="U1" s="87" t="s">
        <v>1757</v>
      </c>
      <c r="V1" s="87" t="s">
        <v>1758</v>
      </c>
      <c r="W1" s="87" t="s">
        <v>1759</v>
      </c>
      <c r="X1" s="87" t="s">
        <v>1769</v>
      </c>
      <c r="Y1" s="87" t="s">
        <v>1771</v>
      </c>
      <c r="Z1" s="87" t="s">
        <v>1770</v>
      </c>
      <c r="AA1" s="87" t="s">
        <v>1760</v>
      </c>
      <c r="AB1" s="87" t="s">
        <v>1761</v>
      </c>
      <c r="AC1" s="87" t="s">
        <v>1762</v>
      </c>
      <c r="AD1" s="87" t="s">
        <v>1763</v>
      </c>
      <c r="AE1" s="87" t="s">
        <v>1764</v>
      </c>
      <c r="AF1" s="87" t="s">
        <v>1765</v>
      </c>
      <c r="AG1" s="87" t="s">
        <v>1766</v>
      </c>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87"/>
      <c r="BLW1" s="87"/>
      <c r="BLX1" s="87"/>
      <c r="BLY1" s="87"/>
      <c r="BLZ1" s="87"/>
      <c r="BMA1" s="87"/>
      <c r="BMB1" s="87"/>
      <c r="BMC1" s="87"/>
      <c r="BMD1" s="87"/>
      <c r="BME1" s="87"/>
      <c r="BMF1" s="87"/>
      <c r="BMG1" s="87"/>
      <c r="BMH1" s="87"/>
      <c r="BMI1" s="87"/>
      <c r="BMJ1" s="87"/>
      <c r="BMK1" s="87"/>
      <c r="BML1" s="87"/>
      <c r="BMM1" s="87"/>
      <c r="BMN1" s="87"/>
      <c r="BMO1" s="87"/>
      <c r="BMP1" s="87"/>
      <c r="BMQ1" s="87"/>
      <c r="BMR1" s="87"/>
      <c r="BMS1" s="87"/>
      <c r="BMT1" s="87"/>
      <c r="BMU1" s="87"/>
      <c r="BMV1" s="87"/>
      <c r="BMW1" s="87"/>
      <c r="BMX1" s="87"/>
      <c r="BMY1" s="87"/>
      <c r="BMZ1" s="87"/>
      <c r="BNA1" s="87"/>
      <c r="BNB1" s="87"/>
      <c r="BNC1" s="87"/>
      <c r="BND1" s="87"/>
      <c r="BNE1" s="87"/>
      <c r="BNF1" s="87"/>
      <c r="BNG1" s="87"/>
      <c r="BNH1" s="87"/>
      <c r="BNI1" s="87"/>
      <c r="BNJ1" s="87"/>
      <c r="BNK1" s="87"/>
      <c r="BNL1" s="87"/>
      <c r="BNM1" s="87"/>
      <c r="BNN1" s="87"/>
      <c r="BNO1" s="87"/>
      <c r="BNP1" s="87"/>
      <c r="BNQ1" s="87"/>
      <c r="BNR1" s="87"/>
      <c r="BNS1" s="87"/>
      <c r="BNT1" s="87"/>
      <c r="BNU1" s="87"/>
      <c r="BNV1" s="87"/>
      <c r="BNW1" s="87"/>
      <c r="BNX1" s="87"/>
      <c r="BNY1" s="87"/>
      <c r="BNZ1" s="87"/>
      <c r="BOA1" s="87"/>
      <c r="BOB1" s="87"/>
      <c r="BOC1" s="87"/>
      <c r="BOD1" s="87"/>
      <c r="BOE1" s="87"/>
      <c r="BOF1" s="87"/>
      <c r="BOG1" s="87"/>
      <c r="BOH1" s="87"/>
      <c r="BOI1" s="87"/>
      <c r="BOJ1" s="87"/>
      <c r="BOK1" s="87"/>
      <c r="BOL1" s="87"/>
      <c r="BOM1" s="87"/>
      <c r="BON1" s="87"/>
      <c r="BOO1" s="87"/>
      <c r="BOP1" s="87"/>
      <c r="BOQ1" s="87"/>
      <c r="BOR1" s="87"/>
      <c r="BOS1" s="87"/>
      <c r="BOT1" s="87"/>
      <c r="BOU1" s="87"/>
      <c r="BOV1" s="87"/>
      <c r="BOW1" s="87"/>
      <c r="BOX1" s="87"/>
      <c r="BOY1" s="87"/>
      <c r="BOZ1" s="87"/>
      <c r="BPA1" s="87"/>
      <c r="BPB1" s="87"/>
      <c r="BPC1" s="87"/>
      <c r="BPD1" s="87"/>
      <c r="BPE1" s="87"/>
      <c r="BPF1" s="87"/>
      <c r="BPG1" s="87"/>
      <c r="BPH1" s="87"/>
      <c r="BPI1" s="87"/>
      <c r="BPJ1" s="87"/>
      <c r="BPK1" s="87"/>
      <c r="BPL1" s="87"/>
      <c r="BPM1" s="87"/>
      <c r="BPN1" s="87"/>
      <c r="BPO1" s="87"/>
      <c r="BPP1" s="87"/>
      <c r="BPQ1" s="87"/>
      <c r="BPR1" s="87"/>
      <c r="BPS1" s="87"/>
      <c r="BPT1" s="87"/>
      <c r="BPU1" s="87"/>
      <c r="BPV1" s="87"/>
      <c r="BPW1" s="87"/>
      <c r="BPX1" s="87"/>
      <c r="BPY1" s="87"/>
      <c r="BPZ1" s="87"/>
      <c r="BQA1" s="87"/>
      <c r="BQB1" s="87"/>
      <c r="BQC1" s="87"/>
      <c r="BQD1" s="87"/>
      <c r="BQE1" s="87"/>
      <c r="BQF1" s="87"/>
      <c r="BQG1" s="87"/>
      <c r="BQH1" s="87"/>
      <c r="BQI1" s="87"/>
      <c r="BQJ1" s="87"/>
      <c r="BQK1" s="87"/>
      <c r="BQL1" s="87"/>
      <c r="BQM1" s="87"/>
      <c r="BQN1" s="87"/>
      <c r="BQO1" s="87"/>
      <c r="BQP1" s="87"/>
      <c r="BQQ1" s="87"/>
      <c r="BQR1" s="87"/>
      <c r="BQS1" s="87"/>
      <c r="BQT1" s="87"/>
      <c r="BQU1" s="87"/>
      <c r="BQV1" s="87"/>
      <c r="BQW1" s="87"/>
      <c r="BQX1" s="87"/>
      <c r="BQY1" s="87"/>
      <c r="BQZ1" s="87"/>
      <c r="BRA1" s="87"/>
      <c r="BRB1" s="87"/>
      <c r="BRC1" s="87"/>
      <c r="BRD1" s="87"/>
      <c r="BRE1" s="87"/>
      <c r="BRF1" s="87"/>
      <c r="BRG1" s="87"/>
      <c r="BRH1" s="87"/>
      <c r="BRI1" s="87"/>
      <c r="BRJ1" s="87"/>
      <c r="BRK1" s="87"/>
      <c r="BRL1" s="87"/>
      <c r="BRM1" s="87"/>
      <c r="BRN1" s="87"/>
      <c r="BRO1" s="87"/>
      <c r="BRP1" s="87"/>
      <c r="BRQ1" s="87"/>
      <c r="BRR1" s="87"/>
      <c r="BRS1" s="87"/>
      <c r="BRT1" s="87"/>
      <c r="BRU1" s="87"/>
      <c r="BRV1" s="87"/>
      <c r="BRW1" s="87"/>
      <c r="BRX1" s="87"/>
      <c r="BRY1" s="87"/>
      <c r="BRZ1" s="87"/>
      <c r="BSA1" s="87"/>
      <c r="BSB1" s="87"/>
      <c r="BSC1" s="87"/>
      <c r="BSD1" s="87"/>
      <c r="BSE1" s="87"/>
      <c r="BSF1" s="87"/>
      <c r="BSG1" s="87"/>
      <c r="BSH1" s="87"/>
      <c r="BSI1" s="87"/>
      <c r="BSJ1" s="87"/>
      <c r="BSK1" s="87"/>
      <c r="BSL1" s="87"/>
      <c r="BSM1" s="87"/>
      <c r="BSN1" s="87"/>
      <c r="BSO1" s="87"/>
      <c r="BSP1" s="87"/>
      <c r="BSQ1" s="87"/>
      <c r="BSR1" s="87"/>
      <c r="BSS1" s="87"/>
      <c r="BST1" s="87"/>
      <c r="BSU1" s="87"/>
      <c r="BSV1" s="87"/>
      <c r="BSW1" s="87"/>
      <c r="BSX1" s="87"/>
      <c r="BSY1" s="87"/>
      <c r="BSZ1" s="87"/>
      <c r="BTA1" s="87"/>
      <c r="BTB1" s="87"/>
      <c r="BTC1" s="87"/>
      <c r="BTD1" s="87"/>
      <c r="BTE1" s="87"/>
      <c r="BTF1" s="87"/>
      <c r="BTG1" s="87"/>
      <c r="BTH1" s="87"/>
      <c r="BTI1" s="87"/>
      <c r="BTJ1" s="87"/>
      <c r="BTK1" s="87"/>
      <c r="BTL1" s="87"/>
      <c r="BTM1" s="87"/>
      <c r="BTN1" s="87"/>
      <c r="BTO1" s="87"/>
      <c r="BTP1" s="87"/>
      <c r="BTQ1" s="87"/>
      <c r="BTR1" s="87"/>
      <c r="BTS1" s="87"/>
      <c r="BTT1" s="87"/>
      <c r="BTU1" s="87"/>
      <c r="BTV1" s="87"/>
      <c r="BTW1" s="87"/>
      <c r="BTX1" s="87"/>
      <c r="BTY1" s="87"/>
      <c r="BTZ1" s="87"/>
      <c r="BUA1" s="87"/>
      <c r="BUB1" s="87"/>
      <c r="BUC1" s="87"/>
      <c r="BUD1" s="87"/>
      <c r="BUE1" s="87"/>
      <c r="BUF1" s="87"/>
      <c r="BUG1" s="87"/>
      <c r="BUH1" s="87"/>
      <c r="BUI1" s="87"/>
      <c r="BUJ1" s="87"/>
      <c r="BUK1" s="87"/>
      <c r="BUL1" s="87"/>
      <c r="BUM1" s="87"/>
      <c r="BUN1" s="87"/>
      <c r="BUO1" s="87"/>
      <c r="BUP1" s="87"/>
      <c r="BUQ1" s="87"/>
      <c r="BUR1" s="87"/>
      <c r="BUS1" s="87"/>
      <c r="BUT1" s="87"/>
      <c r="BUU1" s="87"/>
      <c r="BUV1" s="87"/>
      <c r="BUW1" s="87"/>
      <c r="BUX1" s="87"/>
      <c r="BUY1" s="87"/>
      <c r="BUZ1" s="87"/>
      <c r="BVA1" s="87"/>
      <c r="BVB1" s="87"/>
      <c r="BVC1" s="87"/>
      <c r="BVD1" s="87"/>
      <c r="BVE1" s="87"/>
      <c r="BVF1" s="87"/>
      <c r="BVG1" s="87"/>
      <c r="BVH1" s="87"/>
      <c r="BVI1" s="87"/>
      <c r="BVJ1" s="87"/>
      <c r="BVK1" s="87"/>
      <c r="BVL1" s="87"/>
      <c r="BVM1" s="87"/>
      <c r="BVN1" s="87"/>
      <c r="BVO1" s="87"/>
      <c r="BVP1" s="87"/>
      <c r="BVQ1" s="87"/>
      <c r="BVR1" s="87"/>
      <c r="BVS1" s="87"/>
      <c r="BVT1" s="87"/>
      <c r="BVU1" s="87"/>
      <c r="BVV1" s="87"/>
      <c r="BVW1" s="87"/>
      <c r="BVX1" s="87"/>
      <c r="BVY1" s="87"/>
      <c r="BVZ1" s="87"/>
      <c r="BWA1" s="87"/>
      <c r="BWB1" s="87"/>
      <c r="BWC1" s="87"/>
      <c r="BWD1" s="87"/>
      <c r="BWE1" s="87"/>
      <c r="BWF1" s="87"/>
      <c r="BWG1" s="87"/>
      <c r="BWH1" s="87"/>
      <c r="BWI1" s="87"/>
      <c r="BWJ1" s="87"/>
      <c r="BWK1" s="87"/>
      <c r="BWL1" s="87"/>
      <c r="BWM1" s="87"/>
      <c r="BWN1" s="87"/>
      <c r="BWO1" s="87"/>
      <c r="BWP1" s="87"/>
      <c r="BWQ1" s="87"/>
      <c r="BWR1" s="87"/>
      <c r="BWS1" s="87"/>
      <c r="BWT1" s="87"/>
      <c r="BWU1" s="87"/>
      <c r="BWV1" s="87"/>
      <c r="BWW1" s="87"/>
      <c r="BWX1" s="87"/>
      <c r="BWY1" s="87"/>
      <c r="BWZ1" s="87"/>
      <c r="BXA1" s="87"/>
      <c r="BXB1" s="87"/>
      <c r="BXC1" s="87"/>
      <c r="BXD1" s="87"/>
      <c r="BXE1" s="87"/>
      <c r="BXF1" s="87"/>
      <c r="BXG1" s="87"/>
      <c r="BXH1" s="87"/>
      <c r="BXI1" s="87"/>
      <c r="BXJ1" s="87"/>
      <c r="BXK1" s="87"/>
      <c r="BXL1" s="87"/>
      <c r="BXM1" s="87"/>
      <c r="BXN1" s="87"/>
      <c r="BXO1" s="87"/>
      <c r="BXP1" s="87"/>
      <c r="BXQ1" s="87"/>
      <c r="BXR1" s="87"/>
      <c r="BXS1" s="87"/>
      <c r="BXT1" s="87"/>
      <c r="BXU1" s="87"/>
      <c r="BXV1" s="87"/>
      <c r="BXW1" s="87"/>
      <c r="BXX1" s="87"/>
      <c r="BXY1" s="87"/>
      <c r="BXZ1" s="87"/>
      <c r="BYA1" s="87"/>
      <c r="BYB1" s="87"/>
      <c r="BYC1" s="87"/>
      <c r="BYD1" s="87"/>
      <c r="BYE1" s="87"/>
      <c r="BYF1" s="87"/>
      <c r="BYG1" s="87"/>
      <c r="BYH1" s="87"/>
      <c r="BYI1" s="87"/>
      <c r="BYJ1" s="87"/>
      <c r="BYK1" s="87"/>
      <c r="BYL1" s="87"/>
      <c r="BYM1" s="87"/>
      <c r="BYN1" s="87"/>
      <c r="BYO1" s="87"/>
      <c r="BYP1" s="87"/>
      <c r="BYQ1" s="87"/>
      <c r="BYR1" s="87"/>
      <c r="BYS1" s="87"/>
      <c r="BYT1" s="87"/>
      <c r="BYU1" s="87"/>
      <c r="BYV1" s="87"/>
      <c r="BYW1" s="87"/>
      <c r="BYX1" s="87"/>
      <c r="BYY1" s="87"/>
      <c r="BYZ1" s="87"/>
      <c r="BZA1" s="87"/>
      <c r="BZB1" s="87"/>
      <c r="BZC1" s="87"/>
      <c r="BZD1" s="87"/>
      <c r="BZE1" s="87"/>
      <c r="BZF1" s="87"/>
      <c r="BZG1" s="87"/>
      <c r="BZH1" s="87"/>
      <c r="BZI1" s="87"/>
      <c r="BZJ1" s="87"/>
      <c r="BZK1" s="87"/>
      <c r="BZL1" s="87"/>
      <c r="BZM1" s="87"/>
      <c r="BZN1" s="87"/>
      <c r="BZO1" s="87"/>
      <c r="BZP1" s="87"/>
      <c r="BZQ1" s="87"/>
      <c r="BZR1" s="87"/>
      <c r="BZS1" s="87"/>
      <c r="BZT1" s="87"/>
      <c r="BZU1" s="87"/>
      <c r="BZV1" s="87"/>
      <c r="BZW1" s="87"/>
      <c r="BZX1" s="87"/>
      <c r="BZY1" s="87"/>
      <c r="BZZ1" s="87"/>
      <c r="CAA1" s="87"/>
      <c r="CAB1" s="87"/>
      <c r="CAC1" s="87"/>
      <c r="CAD1" s="87"/>
      <c r="CAE1" s="87"/>
      <c r="CAF1" s="87"/>
      <c r="CAG1" s="87"/>
      <c r="CAH1" s="87"/>
      <c r="CAI1" s="87"/>
      <c r="CAJ1" s="87"/>
      <c r="CAK1" s="87"/>
      <c r="CAL1" s="87"/>
      <c r="CAM1" s="87"/>
      <c r="CAN1" s="87"/>
      <c r="CAO1" s="87"/>
      <c r="CAP1" s="87"/>
      <c r="CAQ1" s="87"/>
      <c r="CAR1" s="87"/>
      <c r="CAS1" s="87"/>
      <c r="CAT1" s="87"/>
      <c r="CAU1" s="87"/>
      <c r="CAV1" s="87"/>
      <c r="CAW1" s="87"/>
      <c r="CAX1" s="87"/>
      <c r="CAY1" s="87"/>
      <c r="CAZ1" s="87"/>
      <c r="CBA1" s="87"/>
      <c r="CBB1" s="87"/>
      <c r="CBC1" s="87"/>
      <c r="CBD1" s="87"/>
      <c r="CBE1" s="87"/>
      <c r="CBF1" s="87"/>
      <c r="CBG1" s="87"/>
      <c r="CBH1" s="87"/>
      <c r="CBI1" s="87"/>
      <c r="CBJ1" s="87"/>
      <c r="CBK1" s="87"/>
      <c r="CBL1" s="87"/>
      <c r="CBM1" s="87"/>
      <c r="CBN1" s="87"/>
      <c r="CBO1" s="87"/>
      <c r="CBP1" s="87"/>
      <c r="CBQ1" s="87"/>
      <c r="CBR1" s="87"/>
      <c r="CBS1" s="87"/>
      <c r="CBT1" s="87"/>
      <c r="CBU1" s="87"/>
      <c r="CBV1" s="87"/>
      <c r="CBW1" s="87"/>
      <c r="CBX1" s="87"/>
      <c r="CBY1" s="87"/>
      <c r="CBZ1" s="87"/>
      <c r="CCA1" s="87"/>
      <c r="CCB1" s="87"/>
      <c r="CCC1" s="87"/>
      <c r="CCD1" s="87"/>
      <c r="CCE1" s="87"/>
      <c r="CCF1" s="87"/>
      <c r="CCG1" s="87"/>
      <c r="CCH1" s="87"/>
      <c r="CCI1" s="87"/>
      <c r="CCJ1" s="87"/>
      <c r="CCK1" s="87"/>
      <c r="CCL1" s="87"/>
      <c r="CCM1" s="87"/>
      <c r="CCN1" s="87"/>
      <c r="CCO1" s="87"/>
      <c r="CCP1" s="87"/>
      <c r="CCQ1" s="87"/>
      <c r="CCR1" s="87"/>
      <c r="CCS1" s="87"/>
      <c r="CCT1" s="87"/>
      <c r="CCU1" s="87"/>
      <c r="CCV1" s="87"/>
      <c r="CCW1" s="87"/>
      <c r="CCX1" s="87"/>
      <c r="CCY1" s="87"/>
      <c r="CCZ1" s="87"/>
      <c r="CDA1" s="87"/>
      <c r="CDB1" s="87"/>
      <c r="CDC1" s="87"/>
      <c r="CDD1" s="87"/>
      <c r="CDE1" s="87"/>
      <c r="CDF1" s="87"/>
      <c r="CDG1" s="87"/>
      <c r="CDH1" s="87"/>
      <c r="CDI1" s="87"/>
      <c r="CDJ1" s="87"/>
      <c r="CDK1" s="87"/>
      <c r="CDL1" s="87"/>
      <c r="CDM1" s="87"/>
      <c r="CDN1" s="87"/>
      <c r="CDO1" s="87"/>
      <c r="CDP1" s="87"/>
      <c r="CDQ1" s="87"/>
      <c r="CDR1" s="87"/>
      <c r="CDS1" s="87"/>
      <c r="CDT1" s="87"/>
      <c r="CDU1" s="87"/>
      <c r="CDV1" s="87"/>
      <c r="CDW1" s="87"/>
      <c r="CDX1" s="87"/>
      <c r="CDY1" s="87"/>
      <c r="CDZ1" s="87"/>
      <c r="CEA1" s="87"/>
      <c r="CEB1" s="87"/>
      <c r="CEC1" s="87"/>
      <c r="CED1" s="87"/>
      <c r="CEE1" s="87"/>
      <c r="CEF1" s="87"/>
      <c r="CEG1" s="87"/>
      <c r="CEH1" s="87"/>
      <c r="CEI1" s="87"/>
      <c r="CEJ1" s="87"/>
      <c r="CEK1" s="87"/>
      <c r="CEL1" s="87"/>
      <c r="CEM1" s="87"/>
      <c r="CEN1" s="87"/>
      <c r="CEO1" s="87"/>
      <c r="CEP1" s="87"/>
      <c r="CEQ1" s="87"/>
      <c r="CER1" s="87"/>
      <c r="CES1" s="87"/>
      <c r="CET1" s="87"/>
      <c r="CEU1" s="87"/>
      <c r="CEV1" s="87"/>
      <c r="CEW1" s="87"/>
      <c r="CEX1" s="87"/>
      <c r="CEY1" s="87"/>
      <c r="CEZ1" s="87"/>
      <c r="CFA1" s="87"/>
      <c r="CFB1" s="87"/>
      <c r="CFC1" s="87"/>
      <c r="CFD1" s="87"/>
      <c r="CFE1" s="87"/>
      <c r="CFF1" s="87"/>
      <c r="CFG1" s="87"/>
      <c r="CFH1" s="87"/>
      <c r="CFI1" s="87"/>
      <c r="CFJ1" s="87"/>
      <c r="CFK1" s="87"/>
      <c r="CFL1" s="87"/>
      <c r="CFM1" s="87"/>
      <c r="CFN1" s="87"/>
      <c r="CFO1" s="87"/>
      <c r="CFP1" s="87"/>
      <c r="CFQ1" s="87"/>
      <c r="CFR1" s="87"/>
      <c r="CFS1" s="87"/>
      <c r="CFT1" s="87"/>
      <c r="CFU1" s="87"/>
      <c r="CFV1" s="87"/>
      <c r="CFW1" s="87"/>
      <c r="CFX1" s="87"/>
      <c r="CFY1" s="87"/>
      <c r="CFZ1" s="87"/>
      <c r="CGA1" s="87"/>
      <c r="CGB1" s="87"/>
      <c r="CGC1" s="87"/>
      <c r="CGD1" s="87"/>
      <c r="CGE1" s="87"/>
      <c r="CGF1" s="87"/>
      <c r="CGG1" s="87"/>
      <c r="CGH1" s="87"/>
      <c r="CGI1" s="87"/>
      <c r="CGJ1" s="87"/>
      <c r="CGK1" s="87"/>
      <c r="CGL1" s="87"/>
      <c r="CGM1" s="87"/>
      <c r="CGN1" s="87"/>
      <c r="CGO1" s="87"/>
      <c r="CGP1" s="87"/>
      <c r="CGQ1" s="87"/>
      <c r="CGR1" s="87"/>
      <c r="CGS1" s="87"/>
      <c r="CGT1" s="87"/>
      <c r="CGU1" s="87"/>
      <c r="CGV1" s="87"/>
      <c r="CGW1" s="87"/>
      <c r="CGX1" s="87"/>
      <c r="CGY1" s="87"/>
      <c r="CGZ1" s="87"/>
      <c r="CHA1" s="87"/>
      <c r="CHB1" s="87"/>
      <c r="CHC1" s="87"/>
      <c r="CHD1" s="87"/>
      <c r="CHE1" s="87"/>
      <c r="CHF1" s="87"/>
      <c r="CHG1" s="87"/>
      <c r="CHH1" s="87"/>
      <c r="CHI1" s="87"/>
      <c r="CHJ1" s="87"/>
      <c r="CHK1" s="87"/>
      <c r="CHL1" s="87"/>
      <c r="CHM1" s="87"/>
      <c r="CHN1" s="87"/>
      <c r="CHO1" s="87"/>
      <c r="CHP1" s="87"/>
      <c r="CHQ1" s="87"/>
      <c r="CHR1" s="87"/>
      <c r="CHS1" s="87"/>
      <c r="CHT1" s="87"/>
      <c r="CHU1" s="87"/>
      <c r="CHV1" s="87"/>
      <c r="CHW1" s="87"/>
      <c r="CHX1" s="87"/>
      <c r="CHY1" s="87"/>
      <c r="CHZ1" s="87"/>
      <c r="CIA1" s="87"/>
      <c r="CIB1" s="87"/>
      <c r="CIC1" s="87"/>
      <c r="CID1" s="87"/>
      <c r="CIE1" s="87"/>
      <c r="CIF1" s="87"/>
      <c r="CIG1" s="87"/>
      <c r="CIH1" s="87"/>
      <c r="CII1" s="87"/>
      <c r="CIJ1" s="87"/>
      <c r="CIK1" s="87"/>
      <c r="CIL1" s="87"/>
      <c r="CIM1" s="87"/>
      <c r="CIN1" s="87"/>
      <c r="CIO1" s="87"/>
      <c r="CIP1" s="87"/>
      <c r="CIQ1" s="87"/>
      <c r="CIR1" s="87"/>
      <c r="CIS1" s="87"/>
      <c r="CIT1" s="87"/>
      <c r="CIU1" s="87"/>
      <c r="CIV1" s="87"/>
      <c r="CIW1" s="87"/>
      <c r="CIX1" s="87"/>
      <c r="CIY1" s="87"/>
      <c r="CIZ1" s="87"/>
      <c r="CJA1" s="87"/>
      <c r="CJB1" s="87"/>
      <c r="CJC1" s="87"/>
      <c r="CJD1" s="87"/>
      <c r="CJE1" s="87"/>
      <c r="CJF1" s="87"/>
      <c r="CJG1" s="87"/>
      <c r="CJH1" s="87"/>
      <c r="CJI1" s="87"/>
      <c r="CJJ1" s="87"/>
      <c r="CJK1" s="87"/>
      <c r="CJL1" s="87"/>
      <c r="CJM1" s="87"/>
      <c r="CJN1" s="87"/>
      <c r="CJO1" s="87"/>
      <c r="CJP1" s="87"/>
      <c r="CJQ1" s="87"/>
      <c r="CJR1" s="87"/>
      <c r="CJS1" s="87"/>
      <c r="CJT1" s="87"/>
      <c r="CJU1" s="87"/>
      <c r="CJV1" s="87"/>
      <c r="CJW1" s="87"/>
      <c r="CJX1" s="87"/>
      <c r="CJY1" s="87"/>
      <c r="CJZ1" s="87"/>
      <c r="CKA1" s="87"/>
      <c r="CKB1" s="87"/>
      <c r="CKC1" s="87"/>
      <c r="CKD1" s="87"/>
      <c r="CKE1" s="87"/>
      <c r="CKF1" s="87"/>
      <c r="CKG1" s="87"/>
      <c r="CKH1" s="87"/>
      <c r="CKI1" s="87"/>
      <c r="CKJ1" s="87"/>
      <c r="CKK1" s="87"/>
      <c r="CKL1" s="87"/>
      <c r="CKM1" s="87"/>
      <c r="CKN1" s="87"/>
      <c r="CKO1" s="87"/>
      <c r="CKP1" s="87"/>
      <c r="CKQ1" s="87"/>
      <c r="CKR1" s="87"/>
      <c r="CKS1" s="87"/>
      <c r="CKT1" s="87"/>
      <c r="CKU1" s="87"/>
      <c r="CKV1" s="87"/>
      <c r="CKW1" s="87"/>
      <c r="CKX1" s="87"/>
      <c r="CKY1" s="87"/>
      <c r="CKZ1" s="87"/>
      <c r="CLA1" s="87"/>
      <c r="CLB1" s="87"/>
      <c r="CLC1" s="87"/>
      <c r="CLD1" s="87"/>
      <c r="CLE1" s="87"/>
      <c r="CLF1" s="87"/>
      <c r="CLG1" s="87"/>
      <c r="CLH1" s="87"/>
      <c r="CLI1" s="87"/>
      <c r="CLJ1" s="87"/>
      <c r="CLK1" s="87"/>
      <c r="CLL1" s="87"/>
      <c r="CLM1" s="87"/>
      <c r="CLN1" s="87"/>
      <c r="CLO1" s="87"/>
      <c r="CLP1" s="87"/>
      <c r="CLQ1" s="87"/>
      <c r="CLR1" s="87"/>
      <c r="CLS1" s="87"/>
      <c r="CLT1" s="87"/>
      <c r="CLU1" s="87"/>
      <c r="CLV1" s="87"/>
      <c r="CLW1" s="87"/>
      <c r="CLX1" s="87"/>
      <c r="CLY1" s="87"/>
      <c r="CLZ1" s="87"/>
      <c r="CMA1" s="87"/>
      <c r="CMB1" s="87"/>
      <c r="CMC1" s="87"/>
      <c r="CMD1" s="87"/>
      <c r="CME1" s="87"/>
      <c r="CMF1" s="87"/>
      <c r="CMG1" s="87"/>
      <c r="CMH1" s="87"/>
      <c r="CMI1" s="87"/>
      <c r="CMJ1" s="87"/>
      <c r="CMK1" s="87"/>
      <c r="CML1" s="87"/>
      <c r="CMM1" s="87"/>
      <c r="CMN1" s="87"/>
      <c r="CMO1" s="87"/>
      <c r="CMP1" s="87"/>
      <c r="CMQ1" s="87"/>
      <c r="CMR1" s="87"/>
      <c r="CMS1" s="87"/>
      <c r="CMT1" s="87"/>
      <c r="CMU1" s="87"/>
      <c r="CMV1" s="87"/>
      <c r="CMW1" s="87"/>
      <c r="CMX1" s="87"/>
      <c r="CMY1" s="87"/>
      <c r="CMZ1" s="87"/>
      <c r="CNA1" s="87"/>
      <c r="CNB1" s="87"/>
      <c r="CNC1" s="87"/>
      <c r="CND1" s="87"/>
      <c r="CNE1" s="87"/>
      <c r="CNF1" s="87"/>
      <c r="CNG1" s="87"/>
      <c r="CNH1" s="87"/>
      <c r="CNI1" s="87"/>
      <c r="CNJ1" s="87"/>
      <c r="CNK1" s="87"/>
      <c r="CNL1" s="87"/>
      <c r="CNM1" s="87"/>
      <c r="CNN1" s="87"/>
      <c r="CNO1" s="87"/>
      <c r="CNP1" s="87"/>
      <c r="CNQ1" s="87"/>
      <c r="CNR1" s="87"/>
      <c r="CNS1" s="87"/>
      <c r="CNT1" s="87"/>
      <c r="CNU1" s="87"/>
      <c r="CNV1" s="87"/>
      <c r="CNW1" s="87"/>
      <c r="CNX1" s="87"/>
      <c r="CNY1" s="87"/>
      <c r="CNZ1" s="87"/>
      <c r="COA1" s="87"/>
      <c r="COB1" s="87"/>
      <c r="COC1" s="87"/>
      <c r="COD1" s="87"/>
      <c r="COE1" s="87"/>
      <c r="COF1" s="87"/>
      <c r="COG1" s="87"/>
      <c r="COH1" s="87"/>
      <c r="COI1" s="87"/>
      <c r="COJ1" s="87"/>
      <c r="COK1" s="87"/>
      <c r="COL1" s="87"/>
      <c r="COM1" s="87"/>
      <c r="CON1" s="87"/>
      <c r="COO1" s="87"/>
      <c r="COP1" s="87"/>
      <c r="COQ1" s="87"/>
      <c r="COR1" s="87"/>
      <c r="COS1" s="87"/>
      <c r="COT1" s="87"/>
      <c r="COU1" s="87"/>
      <c r="COV1" s="87"/>
      <c r="COW1" s="87"/>
      <c r="COX1" s="87"/>
      <c r="COY1" s="87"/>
      <c r="COZ1" s="87"/>
      <c r="CPA1" s="87"/>
      <c r="CPB1" s="87"/>
      <c r="CPC1" s="87"/>
      <c r="CPD1" s="87"/>
      <c r="CPE1" s="87"/>
      <c r="CPF1" s="87"/>
      <c r="CPG1" s="87"/>
      <c r="CPH1" s="87"/>
      <c r="CPI1" s="87"/>
      <c r="CPJ1" s="87"/>
      <c r="CPK1" s="87"/>
      <c r="CPL1" s="87"/>
      <c r="CPM1" s="87"/>
      <c r="CPN1" s="87"/>
      <c r="CPO1" s="87"/>
      <c r="CPP1" s="87"/>
      <c r="CPQ1" s="87"/>
      <c r="CPR1" s="87"/>
      <c r="CPS1" s="87"/>
      <c r="CPT1" s="87"/>
      <c r="CPU1" s="87"/>
      <c r="CPV1" s="87"/>
      <c r="CPW1" s="87"/>
      <c r="CPX1" s="87"/>
      <c r="CPY1" s="87"/>
      <c r="CPZ1" s="87"/>
      <c r="CQA1" s="87"/>
      <c r="CQB1" s="87"/>
      <c r="CQC1" s="87"/>
      <c r="CQD1" s="87"/>
      <c r="CQE1" s="87"/>
      <c r="CQF1" s="87"/>
      <c r="CQG1" s="87"/>
      <c r="CQH1" s="87"/>
      <c r="CQI1" s="87"/>
      <c r="CQJ1" s="87"/>
      <c r="CQK1" s="87"/>
      <c r="CQL1" s="87"/>
      <c r="CQM1" s="87"/>
      <c r="CQN1" s="87"/>
      <c r="CQO1" s="87"/>
      <c r="CQP1" s="87"/>
      <c r="CQQ1" s="87"/>
      <c r="CQR1" s="87"/>
      <c r="CQS1" s="87"/>
      <c r="CQT1" s="87"/>
      <c r="CQU1" s="87"/>
      <c r="CQV1" s="87"/>
      <c r="CQW1" s="87"/>
      <c r="CQX1" s="87"/>
      <c r="CQY1" s="87"/>
      <c r="CQZ1" s="87"/>
      <c r="CRA1" s="87"/>
      <c r="CRB1" s="87"/>
      <c r="CRC1" s="87"/>
      <c r="CRD1" s="87"/>
      <c r="CRE1" s="87"/>
      <c r="CRF1" s="87"/>
      <c r="CRG1" s="87"/>
      <c r="CRH1" s="87"/>
      <c r="CRI1" s="87"/>
      <c r="CRJ1" s="87"/>
      <c r="CRK1" s="87"/>
      <c r="CRL1" s="87"/>
      <c r="CRM1" s="87"/>
      <c r="CRN1" s="87"/>
      <c r="CRO1" s="87"/>
      <c r="CRP1" s="87"/>
      <c r="CRQ1" s="87"/>
      <c r="CRR1" s="87"/>
      <c r="CRS1" s="87"/>
      <c r="CRT1" s="87"/>
      <c r="CRU1" s="87"/>
      <c r="CRV1" s="87"/>
      <c r="CRW1" s="87"/>
      <c r="CRX1" s="87"/>
      <c r="CRY1" s="87"/>
      <c r="CRZ1" s="87"/>
      <c r="CSA1" s="87"/>
      <c r="CSB1" s="87"/>
      <c r="CSC1" s="87"/>
      <c r="CSD1" s="87"/>
      <c r="CSE1" s="87"/>
      <c r="CSF1" s="87"/>
      <c r="CSG1" s="87"/>
      <c r="CSH1" s="87"/>
      <c r="CSI1" s="87"/>
      <c r="CSJ1" s="87"/>
      <c r="CSK1" s="87"/>
      <c r="CSL1" s="87"/>
      <c r="CSM1" s="87"/>
      <c r="CSN1" s="87"/>
      <c r="CSO1" s="87"/>
      <c r="CSP1" s="87"/>
      <c r="CSQ1" s="87"/>
      <c r="CSR1" s="87"/>
      <c r="CSS1" s="87"/>
      <c r="CST1" s="87"/>
      <c r="CSU1" s="87"/>
      <c r="CSV1" s="87"/>
      <c r="CSW1" s="87"/>
      <c r="CSX1" s="87"/>
      <c r="CSY1" s="87"/>
      <c r="CSZ1" s="87"/>
      <c r="CTA1" s="87"/>
      <c r="CTB1" s="87"/>
      <c r="CTC1" s="87"/>
      <c r="CTD1" s="87"/>
      <c r="CTE1" s="87"/>
      <c r="CTF1" s="87"/>
      <c r="CTG1" s="87"/>
      <c r="CTH1" s="87"/>
      <c r="CTI1" s="87"/>
      <c r="CTJ1" s="87"/>
      <c r="CTK1" s="87"/>
      <c r="CTL1" s="87"/>
      <c r="CTM1" s="87"/>
      <c r="CTN1" s="87"/>
      <c r="CTO1" s="87"/>
      <c r="CTP1" s="87"/>
      <c r="CTQ1" s="87"/>
      <c r="CTR1" s="87"/>
      <c r="CTS1" s="87"/>
      <c r="CTT1" s="87"/>
      <c r="CTU1" s="87"/>
      <c r="CTV1" s="87"/>
      <c r="CTW1" s="87"/>
      <c r="CTX1" s="87"/>
      <c r="CTY1" s="87"/>
      <c r="CTZ1" s="87"/>
      <c r="CUA1" s="87"/>
      <c r="CUB1" s="87"/>
      <c r="CUC1" s="87"/>
      <c r="CUD1" s="87"/>
      <c r="CUE1" s="87"/>
      <c r="CUF1" s="87"/>
      <c r="CUG1" s="87"/>
      <c r="CUH1" s="87"/>
      <c r="CUI1" s="87"/>
      <c r="CUJ1" s="87"/>
      <c r="CUK1" s="87"/>
      <c r="CUL1" s="87"/>
      <c r="CUM1" s="87"/>
      <c r="CUN1" s="87"/>
      <c r="CUO1" s="87"/>
      <c r="CUP1" s="87"/>
      <c r="CUQ1" s="87"/>
      <c r="CUR1" s="87"/>
      <c r="CUS1" s="87"/>
      <c r="CUT1" s="87"/>
      <c r="CUU1" s="87"/>
      <c r="CUV1" s="87"/>
      <c r="CUW1" s="87"/>
      <c r="CUX1" s="87"/>
      <c r="CUY1" s="87"/>
      <c r="CUZ1" s="87"/>
      <c r="CVA1" s="87"/>
      <c r="CVB1" s="87"/>
      <c r="CVC1" s="87"/>
      <c r="CVD1" s="87"/>
      <c r="CVE1" s="87"/>
      <c r="CVF1" s="87"/>
      <c r="CVG1" s="87"/>
      <c r="CVH1" s="87"/>
      <c r="CVI1" s="87"/>
      <c r="CVJ1" s="87"/>
      <c r="CVK1" s="87"/>
      <c r="CVL1" s="87"/>
      <c r="CVM1" s="87"/>
      <c r="CVN1" s="87"/>
      <c r="CVO1" s="87"/>
      <c r="CVP1" s="87"/>
      <c r="CVQ1" s="87"/>
      <c r="CVR1" s="87"/>
      <c r="CVS1" s="87"/>
      <c r="CVT1" s="87"/>
      <c r="CVU1" s="87"/>
      <c r="CVV1" s="87"/>
      <c r="CVW1" s="87"/>
      <c r="CVX1" s="87"/>
      <c r="CVY1" s="87"/>
      <c r="CVZ1" s="87"/>
      <c r="CWA1" s="87"/>
      <c r="CWB1" s="87"/>
      <c r="CWC1" s="87"/>
      <c r="CWD1" s="87"/>
      <c r="CWE1" s="87"/>
      <c r="CWF1" s="87"/>
      <c r="CWG1" s="87"/>
      <c r="CWH1" s="87"/>
      <c r="CWI1" s="87"/>
      <c r="CWJ1" s="87"/>
      <c r="CWK1" s="87"/>
      <c r="CWL1" s="87"/>
      <c r="CWM1" s="87"/>
      <c r="CWN1" s="87"/>
      <c r="CWO1" s="87"/>
      <c r="CWP1" s="87"/>
      <c r="CWQ1" s="87"/>
      <c r="CWR1" s="87"/>
      <c r="CWS1" s="87"/>
      <c r="CWT1" s="87"/>
      <c r="CWU1" s="87"/>
      <c r="CWV1" s="87"/>
      <c r="CWW1" s="87"/>
      <c r="CWX1" s="87"/>
      <c r="CWY1" s="87"/>
      <c r="CWZ1" s="87"/>
      <c r="CXA1" s="87"/>
      <c r="CXB1" s="87"/>
      <c r="CXC1" s="87"/>
      <c r="CXD1" s="87"/>
      <c r="CXE1" s="87"/>
      <c r="CXF1" s="87"/>
      <c r="CXG1" s="87"/>
      <c r="CXH1" s="87"/>
      <c r="CXI1" s="87"/>
      <c r="CXJ1" s="87"/>
      <c r="CXK1" s="87"/>
      <c r="CXL1" s="87"/>
      <c r="CXM1" s="87"/>
      <c r="CXN1" s="87"/>
      <c r="CXO1" s="87"/>
      <c r="CXP1" s="87"/>
      <c r="CXQ1" s="87"/>
      <c r="CXR1" s="87"/>
      <c r="CXS1" s="87"/>
      <c r="CXT1" s="87"/>
      <c r="CXU1" s="87"/>
      <c r="CXV1" s="87"/>
      <c r="CXW1" s="87"/>
      <c r="CXX1" s="87"/>
      <c r="CXY1" s="87"/>
      <c r="CXZ1" s="87"/>
      <c r="CYA1" s="87"/>
      <c r="CYB1" s="87"/>
      <c r="CYC1" s="87"/>
      <c r="CYD1" s="87"/>
      <c r="CYE1" s="87"/>
      <c r="CYF1" s="87"/>
      <c r="CYG1" s="87"/>
      <c r="CYH1" s="87"/>
      <c r="CYI1" s="87"/>
      <c r="CYJ1" s="87"/>
      <c r="CYK1" s="87"/>
      <c r="CYL1" s="87"/>
      <c r="CYM1" s="87"/>
      <c r="CYN1" s="87"/>
      <c r="CYO1" s="87"/>
      <c r="CYP1" s="87"/>
      <c r="CYQ1" s="87"/>
      <c r="CYR1" s="87"/>
      <c r="CYS1" s="87"/>
      <c r="CYT1" s="87"/>
      <c r="CYU1" s="87"/>
      <c r="CYV1" s="87"/>
      <c r="CYW1" s="87"/>
      <c r="CYX1" s="87"/>
      <c r="CYY1" s="87"/>
      <c r="CYZ1" s="87"/>
      <c r="CZA1" s="87"/>
      <c r="CZB1" s="87"/>
      <c r="CZC1" s="87"/>
      <c r="CZD1" s="87"/>
      <c r="CZE1" s="87"/>
      <c r="CZF1" s="87"/>
      <c r="CZG1" s="87"/>
      <c r="CZH1" s="87"/>
      <c r="CZI1" s="87"/>
      <c r="CZJ1" s="87"/>
      <c r="CZK1" s="87"/>
      <c r="CZL1" s="87"/>
      <c r="CZM1" s="87"/>
      <c r="CZN1" s="87"/>
      <c r="CZO1" s="87"/>
      <c r="CZP1" s="87"/>
      <c r="CZQ1" s="87"/>
      <c r="CZR1" s="87"/>
      <c r="CZS1" s="87"/>
      <c r="CZT1" s="87"/>
      <c r="CZU1" s="87"/>
      <c r="CZV1" s="87"/>
      <c r="CZW1" s="87"/>
      <c r="CZX1" s="87"/>
      <c r="CZY1" s="87"/>
      <c r="CZZ1" s="87"/>
      <c r="DAA1" s="87"/>
      <c r="DAB1" s="87"/>
      <c r="DAC1" s="87"/>
      <c r="DAD1" s="87"/>
      <c r="DAE1" s="87"/>
      <c r="DAF1" s="87"/>
      <c r="DAG1" s="87"/>
      <c r="DAH1" s="87"/>
      <c r="DAI1" s="87"/>
      <c r="DAJ1" s="87"/>
      <c r="DAK1" s="87"/>
      <c r="DAL1" s="87"/>
      <c r="DAM1" s="87"/>
      <c r="DAN1" s="87"/>
      <c r="DAO1" s="87"/>
      <c r="DAP1" s="87"/>
      <c r="DAQ1" s="87"/>
      <c r="DAR1" s="87"/>
      <c r="DAS1" s="87"/>
      <c r="DAT1" s="87"/>
      <c r="DAU1" s="87"/>
      <c r="DAV1" s="87"/>
      <c r="DAW1" s="87"/>
      <c r="DAX1" s="87"/>
      <c r="DAY1" s="87"/>
      <c r="DAZ1" s="87"/>
      <c r="DBA1" s="87"/>
      <c r="DBB1" s="87"/>
      <c r="DBC1" s="87"/>
      <c r="DBD1" s="87"/>
      <c r="DBE1" s="87"/>
      <c r="DBF1" s="87"/>
      <c r="DBG1" s="87"/>
      <c r="DBH1" s="87"/>
      <c r="DBI1" s="87"/>
      <c r="DBJ1" s="87"/>
      <c r="DBK1" s="87"/>
      <c r="DBL1" s="87"/>
      <c r="DBM1" s="87"/>
      <c r="DBN1" s="87"/>
      <c r="DBO1" s="87"/>
      <c r="DBP1" s="87"/>
      <c r="DBQ1" s="87"/>
      <c r="DBR1" s="87"/>
      <c r="DBS1" s="87"/>
      <c r="DBT1" s="87"/>
      <c r="DBU1" s="87"/>
      <c r="DBV1" s="87"/>
      <c r="DBW1" s="87"/>
      <c r="DBX1" s="87"/>
      <c r="DBY1" s="87"/>
      <c r="DBZ1" s="87"/>
      <c r="DCA1" s="87"/>
      <c r="DCB1" s="87"/>
      <c r="DCC1" s="87"/>
      <c r="DCD1" s="87"/>
      <c r="DCE1" s="87"/>
      <c r="DCF1" s="87"/>
      <c r="DCG1" s="87"/>
      <c r="DCH1" s="87"/>
      <c r="DCI1" s="87"/>
      <c r="DCJ1" s="87"/>
      <c r="DCK1" s="87"/>
      <c r="DCL1" s="87"/>
      <c r="DCM1" s="87"/>
      <c r="DCN1" s="87"/>
      <c r="DCO1" s="87"/>
      <c r="DCP1" s="87"/>
      <c r="DCQ1" s="87"/>
      <c r="DCR1" s="87"/>
      <c r="DCS1" s="87"/>
      <c r="DCT1" s="87"/>
      <c r="DCU1" s="87"/>
      <c r="DCV1" s="87"/>
      <c r="DCW1" s="87"/>
      <c r="DCX1" s="87"/>
      <c r="DCY1" s="87"/>
      <c r="DCZ1" s="87"/>
      <c r="DDA1" s="87"/>
      <c r="DDB1" s="87"/>
      <c r="DDC1" s="87"/>
      <c r="DDD1" s="87"/>
      <c r="DDE1" s="87"/>
      <c r="DDF1" s="87"/>
      <c r="DDG1" s="87"/>
      <c r="DDH1" s="87"/>
      <c r="DDI1" s="87"/>
      <c r="DDJ1" s="87"/>
      <c r="DDK1" s="87"/>
      <c r="DDL1" s="87"/>
      <c r="DDM1" s="87"/>
      <c r="DDN1" s="87"/>
      <c r="DDO1" s="87"/>
      <c r="DDP1" s="87"/>
      <c r="DDQ1" s="87"/>
      <c r="DDR1" s="87"/>
      <c r="DDS1" s="87"/>
      <c r="DDT1" s="87"/>
      <c r="DDU1" s="87"/>
      <c r="DDV1" s="87"/>
      <c r="DDW1" s="87"/>
      <c r="DDX1" s="87"/>
      <c r="DDY1" s="87"/>
      <c r="DDZ1" s="87"/>
      <c r="DEA1" s="87"/>
      <c r="DEB1" s="87"/>
      <c r="DEC1" s="87"/>
      <c r="DED1" s="87"/>
      <c r="DEE1" s="87"/>
      <c r="DEF1" s="87"/>
      <c r="DEG1" s="87"/>
      <c r="DEH1" s="87"/>
      <c r="DEI1" s="87"/>
      <c r="DEJ1" s="87"/>
      <c r="DEK1" s="87"/>
      <c r="DEL1" s="87"/>
      <c r="DEM1" s="87"/>
      <c r="DEN1" s="87"/>
      <c r="DEO1" s="87"/>
      <c r="DEP1" s="87"/>
      <c r="DEQ1" s="87"/>
      <c r="DER1" s="87"/>
      <c r="DES1" s="87"/>
      <c r="DET1" s="87"/>
      <c r="DEU1" s="87"/>
      <c r="DEV1" s="87"/>
      <c r="DEW1" s="87"/>
      <c r="DEX1" s="87"/>
      <c r="DEY1" s="87"/>
      <c r="DEZ1" s="87"/>
      <c r="DFA1" s="87"/>
      <c r="DFB1" s="87"/>
      <c r="DFC1" s="87"/>
      <c r="DFD1" s="87"/>
      <c r="DFE1" s="87"/>
      <c r="DFF1" s="87"/>
      <c r="DFG1" s="87"/>
      <c r="DFH1" s="87"/>
      <c r="DFI1" s="87"/>
      <c r="DFJ1" s="87"/>
      <c r="DFK1" s="87"/>
      <c r="DFL1" s="87"/>
      <c r="DFM1" s="87"/>
      <c r="DFN1" s="87"/>
      <c r="DFO1" s="87"/>
      <c r="DFP1" s="87"/>
      <c r="DFQ1" s="87"/>
      <c r="DFR1" s="87"/>
      <c r="DFS1" s="87"/>
      <c r="DFT1" s="87"/>
      <c r="DFU1" s="87"/>
      <c r="DFV1" s="87"/>
      <c r="DFW1" s="87"/>
      <c r="DFX1" s="87"/>
      <c r="DFY1" s="87"/>
      <c r="DFZ1" s="87"/>
      <c r="DGA1" s="87"/>
      <c r="DGB1" s="87"/>
      <c r="DGC1" s="87"/>
      <c r="DGD1" s="87"/>
      <c r="DGE1" s="87"/>
      <c r="DGF1" s="87"/>
      <c r="DGG1" s="87"/>
      <c r="DGH1" s="87"/>
      <c r="DGI1" s="87"/>
      <c r="DGJ1" s="87"/>
      <c r="DGK1" s="87"/>
      <c r="DGL1" s="87"/>
      <c r="DGM1" s="87"/>
      <c r="DGN1" s="87"/>
      <c r="DGO1" s="87"/>
      <c r="DGP1" s="87"/>
      <c r="DGQ1" s="87"/>
      <c r="DGR1" s="87"/>
      <c r="DGS1" s="87"/>
      <c r="DGT1" s="87"/>
      <c r="DGU1" s="87"/>
      <c r="DGV1" s="87"/>
      <c r="DGW1" s="87"/>
      <c r="DGX1" s="87"/>
      <c r="DGY1" s="87"/>
      <c r="DGZ1" s="87"/>
      <c r="DHA1" s="87"/>
      <c r="DHB1" s="87"/>
      <c r="DHC1" s="87"/>
      <c r="DHD1" s="87"/>
      <c r="DHE1" s="87"/>
      <c r="DHF1" s="87"/>
      <c r="DHG1" s="87"/>
      <c r="DHH1" s="87"/>
      <c r="DHI1" s="87"/>
      <c r="DHJ1" s="87"/>
      <c r="DHK1" s="87"/>
      <c r="DHL1" s="87"/>
      <c r="DHM1" s="87"/>
      <c r="DHN1" s="87"/>
      <c r="DHO1" s="87"/>
      <c r="DHP1" s="87"/>
      <c r="DHQ1" s="87"/>
      <c r="DHR1" s="87"/>
      <c r="DHS1" s="87"/>
      <c r="DHT1" s="87"/>
      <c r="DHU1" s="87"/>
      <c r="DHV1" s="87"/>
      <c r="DHW1" s="87"/>
      <c r="DHX1" s="87"/>
      <c r="DHY1" s="87"/>
      <c r="DHZ1" s="87"/>
      <c r="DIA1" s="87"/>
      <c r="DIB1" s="87"/>
      <c r="DIC1" s="87"/>
      <c r="DID1" s="87"/>
      <c r="DIE1" s="87"/>
      <c r="DIF1" s="87"/>
      <c r="DIG1" s="87"/>
      <c r="DIH1" s="87"/>
      <c r="DII1" s="87"/>
      <c r="DIJ1" s="87"/>
      <c r="DIK1" s="87"/>
      <c r="DIL1" s="87"/>
      <c r="DIM1" s="87"/>
      <c r="DIN1" s="87"/>
      <c r="DIO1" s="87"/>
      <c r="DIP1" s="87"/>
      <c r="DIQ1" s="87"/>
      <c r="DIR1" s="87"/>
      <c r="DIS1" s="87"/>
      <c r="DIT1" s="87"/>
      <c r="DIU1" s="87"/>
      <c r="DIV1" s="87"/>
      <c r="DIW1" s="87"/>
      <c r="DIX1" s="87"/>
      <c r="DIY1" s="87"/>
      <c r="DIZ1" s="87"/>
      <c r="DJA1" s="87"/>
      <c r="DJB1" s="87"/>
      <c r="DJC1" s="87"/>
      <c r="DJD1" s="87"/>
      <c r="DJE1" s="87"/>
      <c r="DJF1" s="87"/>
      <c r="DJG1" s="87"/>
      <c r="DJH1" s="87"/>
      <c r="DJI1" s="87"/>
      <c r="DJJ1" s="87"/>
      <c r="DJK1" s="87"/>
      <c r="DJL1" s="87"/>
      <c r="DJM1" s="87"/>
      <c r="DJN1" s="87"/>
      <c r="DJO1" s="87"/>
      <c r="DJP1" s="87"/>
      <c r="DJQ1" s="87"/>
      <c r="DJR1" s="87"/>
      <c r="DJS1" s="87"/>
      <c r="DJT1" s="87"/>
      <c r="DJU1" s="87"/>
      <c r="DJV1" s="87"/>
      <c r="DJW1" s="87"/>
      <c r="DJX1" s="87"/>
      <c r="DJY1" s="87"/>
      <c r="DJZ1" s="87"/>
      <c r="DKA1" s="87"/>
      <c r="DKB1" s="87"/>
      <c r="DKC1" s="87"/>
      <c r="DKD1" s="87"/>
      <c r="DKE1" s="87"/>
      <c r="DKF1" s="87"/>
      <c r="DKG1" s="87"/>
      <c r="DKH1" s="87"/>
      <c r="DKI1" s="87"/>
      <c r="DKJ1" s="87"/>
      <c r="DKK1" s="87"/>
      <c r="DKL1" s="87"/>
      <c r="DKM1" s="87"/>
      <c r="DKN1" s="87"/>
      <c r="DKO1" s="87"/>
      <c r="DKP1" s="87"/>
      <c r="DKQ1" s="87"/>
      <c r="DKR1" s="87"/>
      <c r="DKS1" s="87"/>
      <c r="DKT1" s="87"/>
      <c r="DKU1" s="87"/>
      <c r="DKV1" s="87"/>
      <c r="DKW1" s="87"/>
      <c r="DKX1" s="87"/>
      <c r="DKY1" s="87"/>
      <c r="DKZ1" s="87"/>
      <c r="DLA1" s="87"/>
      <c r="DLB1" s="87"/>
      <c r="DLC1" s="87"/>
      <c r="DLD1" s="87"/>
      <c r="DLE1" s="87"/>
      <c r="DLF1" s="87"/>
      <c r="DLG1" s="87"/>
      <c r="DLH1" s="87"/>
      <c r="DLI1" s="87"/>
      <c r="DLJ1" s="87"/>
      <c r="DLK1" s="87"/>
      <c r="DLL1" s="87"/>
      <c r="DLM1" s="87"/>
      <c r="DLN1" s="87"/>
      <c r="DLO1" s="87"/>
      <c r="DLP1" s="87"/>
      <c r="DLQ1" s="87"/>
      <c r="DLR1" s="87"/>
      <c r="DLS1" s="87"/>
      <c r="DLT1" s="87"/>
      <c r="DLU1" s="87"/>
      <c r="DLV1" s="87"/>
      <c r="DLW1" s="87"/>
      <c r="DLX1" s="87"/>
      <c r="DLY1" s="87"/>
      <c r="DLZ1" s="87"/>
      <c r="DMA1" s="87"/>
      <c r="DMB1" s="87"/>
      <c r="DMC1" s="87"/>
      <c r="DMD1" s="87"/>
      <c r="DME1" s="87"/>
      <c r="DMF1" s="87"/>
      <c r="DMG1" s="87"/>
      <c r="DMH1" s="87"/>
      <c r="DMI1" s="87"/>
      <c r="DMJ1" s="87"/>
      <c r="DMK1" s="87"/>
      <c r="DML1" s="87"/>
      <c r="DMM1" s="87"/>
      <c r="DMN1" s="87"/>
      <c r="DMO1" s="87"/>
      <c r="DMP1" s="87"/>
      <c r="DMQ1" s="87"/>
      <c r="DMR1" s="87"/>
      <c r="DMS1" s="87"/>
      <c r="DMT1" s="87"/>
      <c r="DMU1" s="87"/>
      <c r="DMV1" s="87"/>
      <c r="DMW1" s="87"/>
      <c r="DMX1" s="87"/>
      <c r="DMY1" s="87"/>
      <c r="DMZ1" s="87"/>
      <c r="DNA1" s="87"/>
      <c r="DNB1" s="87"/>
      <c r="DNC1" s="87"/>
      <c r="DND1" s="87"/>
      <c r="DNE1" s="87"/>
      <c r="DNF1" s="87"/>
      <c r="DNG1" s="87"/>
      <c r="DNH1" s="87"/>
      <c r="DNI1" s="87"/>
      <c r="DNJ1" s="87"/>
      <c r="DNK1" s="87"/>
      <c r="DNL1" s="87"/>
      <c r="DNM1" s="87"/>
      <c r="DNN1" s="87"/>
      <c r="DNO1" s="87"/>
      <c r="DNP1" s="87"/>
      <c r="DNQ1" s="87"/>
      <c r="DNR1" s="87"/>
      <c r="DNS1" s="87"/>
      <c r="DNT1" s="87"/>
      <c r="DNU1" s="87"/>
      <c r="DNV1" s="87"/>
      <c r="DNW1" s="87"/>
      <c r="DNX1" s="87"/>
      <c r="DNY1" s="87"/>
      <c r="DNZ1" s="87"/>
      <c r="DOA1" s="87"/>
      <c r="DOB1" s="87"/>
      <c r="DOC1" s="87"/>
      <c r="DOD1" s="87"/>
      <c r="DOE1" s="87"/>
      <c r="DOF1" s="87"/>
      <c r="DOG1" s="87"/>
      <c r="DOH1" s="87"/>
      <c r="DOI1" s="87"/>
      <c r="DOJ1" s="87"/>
      <c r="DOK1" s="87"/>
      <c r="DOL1" s="87"/>
      <c r="DOM1" s="87"/>
      <c r="DON1" s="87"/>
      <c r="DOO1" s="87"/>
      <c r="DOP1" s="87"/>
      <c r="DOQ1" s="87"/>
      <c r="DOR1" s="87"/>
      <c r="DOS1" s="87"/>
      <c r="DOT1" s="87"/>
      <c r="DOU1" s="87"/>
      <c r="DOV1" s="87"/>
      <c r="DOW1" s="87"/>
      <c r="DOX1" s="87"/>
      <c r="DOY1" s="87"/>
      <c r="DOZ1" s="87"/>
      <c r="DPA1" s="87"/>
      <c r="DPB1" s="87"/>
      <c r="DPC1" s="87"/>
      <c r="DPD1" s="87"/>
      <c r="DPE1" s="87"/>
      <c r="DPF1" s="87"/>
      <c r="DPG1" s="87"/>
      <c r="DPH1" s="87"/>
      <c r="DPI1" s="87"/>
      <c r="DPJ1" s="87"/>
      <c r="DPK1" s="87"/>
      <c r="DPL1" s="87"/>
      <c r="DPM1" s="87"/>
      <c r="DPN1" s="87"/>
      <c r="DPO1" s="87"/>
      <c r="DPP1" s="87"/>
      <c r="DPQ1" s="87"/>
      <c r="DPR1" s="87"/>
      <c r="DPS1" s="87"/>
      <c r="DPT1" s="87"/>
      <c r="DPU1" s="87"/>
      <c r="DPV1" s="87"/>
      <c r="DPW1" s="87"/>
      <c r="DPX1" s="87"/>
      <c r="DPY1" s="87"/>
      <c r="DPZ1" s="87"/>
      <c r="DQA1" s="87"/>
      <c r="DQB1" s="87"/>
      <c r="DQC1" s="87"/>
      <c r="DQD1" s="87"/>
      <c r="DQE1" s="87"/>
      <c r="DQF1" s="87"/>
      <c r="DQG1" s="87"/>
      <c r="DQH1" s="87"/>
      <c r="DQI1" s="87"/>
      <c r="DQJ1" s="87"/>
      <c r="DQK1" s="87"/>
      <c r="DQL1" s="87"/>
      <c r="DQM1" s="87"/>
      <c r="DQN1" s="87"/>
      <c r="DQO1" s="87"/>
      <c r="DQP1" s="87"/>
      <c r="DQQ1" s="87"/>
      <c r="DQR1" s="87"/>
      <c r="DQS1" s="87"/>
      <c r="DQT1" s="87"/>
      <c r="DQU1" s="87"/>
      <c r="DQV1" s="87"/>
      <c r="DQW1" s="87"/>
      <c r="DQX1" s="87"/>
      <c r="DQY1" s="87"/>
      <c r="DQZ1" s="87"/>
      <c r="DRA1" s="87"/>
      <c r="DRB1" s="87"/>
      <c r="DRC1" s="87"/>
      <c r="DRD1" s="87"/>
      <c r="DRE1" s="87"/>
      <c r="DRF1" s="87"/>
      <c r="DRG1" s="87"/>
      <c r="DRH1" s="87"/>
      <c r="DRI1" s="87"/>
      <c r="DRJ1" s="87"/>
      <c r="DRK1" s="87"/>
      <c r="DRL1" s="87"/>
      <c r="DRM1" s="87"/>
      <c r="DRN1" s="87"/>
      <c r="DRO1" s="87"/>
      <c r="DRP1" s="87"/>
      <c r="DRQ1" s="87"/>
      <c r="DRR1" s="87"/>
      <c r="DRS1" s="87"/>
      <c r="DRT1" s="87"/>
      <c r="DRU1" s="87"/>
      <c r="DRV1" s="87"/>
      <c r="DRW1" s="87"/>
      <c r="DRX1" s="87"/>
      <c r="DRY1" s="87"/>
      <c r="DRZ1" s="87"/>
      <c r="DSA1" s="87"/>
      <c r="DSB1" s="87"/>
      <c r="DSC1" s="87"/>
      <c r="DSD1" s="87"/>
      <c r="DSE1" s="87"/>
      <c r="DSF1" s="87"/>
      <c r="DSG1" s="87"/>
      <c r="DSH1" s="87"/>
      <c r="DSI1" s="87"/>
      <c r="DSJ1" s="87"/>
      <c r="DSK1" s="87"/>
      <c r="DSL1" s="87"/>
      <c r="DSM1" s="87"/>
      <c r="DSN1" s="87"/>
      <c r="DSO1" s="87"/>
      <c r="DSP1" s="87"/>
      <c r="DSQ1" s="87"/>
      <c r="DSR1" s="87"/>
      <c r="DSS1" s="87"/>
      <c r="DST1" s="87"/>
      <c r="DSU1" s="87"/>
      <c r="DSV1" s="87"/>
      <c r="DSW1" s="87"/>
      <c r="DSX1" s="87"/>
      <c r="DSY1" s="87"/>
      <c r="DSZ1" s="87"/>
      <c r="DTA1" s="87"/>
      <c r="DTB1" s="87"/>
      <c r="DTC1" s="87"/>
      <c r="DTD1" s="87"/>
      <c r="DTE1" s="87"/>
      <c r="DTF1" s="87"/>
      <c r="DTG1" s="87"/>
      <c r="DTH1" s="87"/>
      <c r="DTI1" s="87"/>
      <c r="DTJ1" s="87"/>
      <c r="DTK1" s="87"/>
      <c r="DTL1" s="87"/>
      <c r="DTM1" s="87"/>
      <c r="DTN1" s="87"/>
      <c r="DTO1" s="87"/>
      <c r="DTP1" s="87"/>
      <c r="DTQ1" s="87"/>
      <c r="DTR1" s="87"/>
      <c r="DTS1" s="87"/>
      <c r="DTT1" s="87"/>
      <c r="DTU1" s="87"/>
      <c r="DTV1" s="87"/>
      <c r="DTW1" s="87"/>
      <c r="DTX1" s="87"/>
      <c r="DTY1" s="87"/>
      <c r="DTZ1" s="87"/>
      <c r="DUA1" s="87"/>
      <c r="DUB1" s="87"/>
      <c r="DUC1" s="87"/>
      <c r="DUD1" s="87"/>
      <c r="DUE1" s="87"/>
      <c r="DUF1" s="87"/>
      <c r="DUG1" s="87"/>
      <c r="DUH1" s="87"/>
      <c r="DUI1" s="87"/>
      <c r="DUJ1" s="87"/>
      <c r="DUK1" s="87"/>
      <c r="DUL1" s="87"/>
      <c r="DUM1" s="87"/>
      <c r="DUN1" s="87"/>
      <c r="DUO1" s="87"/>
      <c r="DUP1" s="87"/>
      <c r="DUQ1" s="87"/>
      <c r="DUR1" s="87"/>
      <c r="DUS1" s="87"/>
      <c r="DUT1" s="87"/>
      <c r="DUU1" s="87"/>
      <c r="DUV1" s="87"/>
      <c r="DUW1" s="87"/>
      <c r="DUX1" s="87"/>
      <c r="DUY1" s="87"/>
      <c r="DUZ1" s="87"/>
      <c r="DVA1" s="87"/>
      <c r="DVB1" s="87"/>
      <c r="DVC1" s="87"/>
      <c r="DVD1" s="87"/>
      <c r="DVE1" s="87"/>
      <c r="DVF1" s="87"/>
      <c r="DVG1" s="87"/>
      <c r="DVH1" s="87"/>
      <c r="DVI1" s="87"/>
      <c r="DVJ1" s="87"/>
      <c r="DVK1" s="87"/>
      <c r="DVL1" s="87"/>
      <c r="DVM1" s="87"/>
      <c r="DVN1" s="87"/>
      <c r="DVO1" s="87"/>
      <c r="DVP1" s="87"/>
      <c r="DVQ1" s="87"/>
      <c r="DVR1" s="87"/>
      <c r="DVS1" s="87"/>
      <c r="DVT1" s="87"/>
      <c r="DVU1" s="87"/>
      <c r="DVV1" s="87"/>
      <c r="DVW1" s="87"/>
      <c r="DVX1" s="87"/>
      <c r="DVY1" s="87"/>
      <c r="DVZ1" s="87"/>
      <c r="DWA1" s="87"/>
      <c r="DWB1" s="87"/>
      <c r="DWC1" s="87"/>
      <c r="DWD1" s="87"/>
      <c r="DWE1" s="87"/>
      <c r="DWF1" s="87"/>
      <c r="DWG1" s="87"/>
      <c r="DWH1" s="87"/>
      <c r="DWI1" s="87"/>
      <c r="DWJ1" s="87"/>
      <c r="DWK1" s="87"/>
      <c r="DWL1" s="87"/>
      <c r="DWM1" s="87"/>
      <c r="DWN1" s="87"/>
      <c r="DWO1" s="87"/>
      <c r="DWP1" s="87"/>
      <c r="DWQ1" s="87"/>
      <c r="DWR1" s="87"/>
      <c r="DWS1" s="87"/>
      <c r="DWT1" s="87"/>
      <c r="DWU1" s="87"/>
      <c r="DWV1" s="87"/>
      <c r="DWW1" s="87"/>
      <c r="DWX1" s="87"/>
      <c r="DWY1" s="87"/>
      <c r="DWZ1" s="87"/>
      <c r="DXA1" s="87"/>
      <c r="DXB1" s="87"/>
      <c r="DXC1" s="87"/>
      <c r="DXD1" s="87"/>
      <c r="DXE1" s="87"/>
      <c r="DXF1" s="87"/>
      <c r="DXG1" s="87"/>
      <c r="DXH1" s="87"/>
      <c r="DXI1" s="87"/>
      <c r="DXJ1" s="87"/>
      <c r="DXK1" s="87"/>
      <c r="DXL1" s="87"/>
      <c r="DXM1" s="87"/>
      <c r="DXN1" s="87"/>
      <c r="DXO1" s="87"/>
      <c r="DXP1" s="87"/>
      <c r="DXQ1" s="87"/>
      <c r="DXR1" s="87"/>
      <c r="DXS1" s="87"/>
      <c r="DXT1" s="87"/>
      <c r="DXU1" s="87"/>
      <c r="DXV1" s="87"/>
      <c r="DXW1" s="87"/>
      <c r="DXX1" s="87"/>
      <c r="DXY1" s="87"/>
      <c r="DXZ1" s="87"/>
      <c r="DYA1" s="87"/>
      <c r="DYB1" s="87"/>
      <c r="DYC1" s="87"/>
      <c r="DYD1" s="87"/>
      <c r="DYE1" s="87"/>
      <c r="DYF1" s="87"/>
      <c r="DYG1" s="87"/>
      <c r="DYH1" s="87"/>
      <c r="DYI1" s="87"/>
      <c r="DYJ1" s="87"/>
      <c r="DYK1" s="87"/>
      <c r="DYL1" s="87"/>
      <c r="DYM1" s="87"/>
      <c r="DYN1" s="87"/>
      <c r="DYO1" s="87"/>
      <c r="DYP1" s="87"/>
      <c r="DYQ1" s="87"/>
      <c r="DYR1" s="87"/>
      <c r="DYS1" s="87"/>
      <c r="DYT1" s="87"/>
      <c r="DYU1" s="87"/>
      <c r="DYV1" s="87"/>
      <c r="DYW1" s="87"/>
      <c r="DYX1" s="87"/>
      <c r="DYY1" s="87"/>
      <c r="DYZ1" s="87"/>
      <c r="DZA1" s="87"/>
      <c r="DZB1" s="87"/>
      <c r="DZC1" s="87"/>
      <c r="DZD1" s="87"/>
      <c r="DZE1" s="87"/>
      <c r="DZF1" s="87"/>
      <c r="DZG1" s="87"/>
      <c r="DZH1" s="87"/>
      <c r="DZI1" s="87"/>
      <c r="DZJ1" s="87"/>
      <c r="DZK1" s="87"/>
      <c r="DZL1" s="87"/>
      <c r="DZM1" s="87"/>
      <c r="DZN1" s="87"/>
      <c r="DZO1" s="87"/>
      <c r="DZP1" s="87"/>
      <c r="DZQ1" s="87"/>
      <c r="DZR1" s="87"/>
      <c r="DZS1" s="87"/>
      <c r="DZT1" s="87"/>
      <c r="DZU1" s="87"/>
      <c r="DZV1" s="87"/>
      <c r="DZW1" s="87"/>
      <c r="DZX1" s="87"/>
      <c r="DZY1" s="87"/>
      <c r="DZZ1" s="87"/>
      <c r="EAA1" s="87"/>
      <c r="EAB1" s="87"/>
      <c r="EAC1" s="87"/>
      <c r="EAD1" s="87"/>
      <c r="EAE1" s="87"/>
      <c r="EAF1" s="87"/>
      <c r="EAG1" s="87"/>
      <c r="EAH1" s="87"/>
      <c r="EAI1" s="87"/>
      <c r="EAJ1" s="87"/>
      <c r="EAK1" s="87"/>
      <c r="EAL1" s="87"/>
      <c r="EAM1" s="87"/>
      <c r="EAN1" s="87"/>
      <c r="EAO1" s="87"/>
      <c r="EAP1" s="87"/>
      <c r="EAQ1" s="87"/>
      <c r="EAR1" s="87"/>
      <c r="EAS1" s="87"/>
      <c r="EAT1" s="87"/>
      <c r="EAU1" s="87"/>
      <c r="EAV1" s="87"/>
      <c r="EAW1" s="87"/>
      <c r="EAX1" s="87"/>
      <c r="EAY1" s="87"/>
      <c r="EAZ1" s="87"/>
      <c r="EBA1" s="87"/>
      <c r="EBB1" s="87"/>
      <c r="EBC1" s="87"/>
      <c r="EBD1" s="87"/>
      <c r="EBE1" s="87"/>
      <c r="EBF1" s="87"/>
      <c r="EBG1" s="87"/>
      <c r="EBH1" s="87"/>
      <c r="EBI1" s="87"/>
      <c r="EBJ1" s="87"/>
      <c r="EBK1" s="87"/>
      <c r="EBL1" s="87"/>
      <c r="EBM1" s="87"/>
      <c r="EBN1" s="87"/>
      <c r="EBO1" s="87"/>
      <c r="EBP1" s="87"/>
      <c r="EBQ1" s="87"/>
      <c r="EBR1" s="87"/>
      <c r="EBS1" s="87"/>
      <c r="EBT1" s="87"/>
      <c r="EBU1" s="87"/>
      <c r="EBV1" s="87"/>
      <c r="EBW1" s="87"/>
      <c r="EBX1" s="87"/>
      <c r="EBY1" s="87"/>
      <c r="EBZ1" s="87"/>
      <c r="ECA1" s="87"/>
      <c r="ECB1" s="87"/>
      <c r="ECC1" s="87"/>
      <c r="ECD1" s="87"/>
      <c r="ECE1" s="87"/>
      <c r="ECF1" s="87"/>
      <c r="ECG1" s="87"/>
      <c r="ECH1" s="87"/>
      <c r="ECI1" s="87"/>
      <c r="ECJ1" s="87"/>
      <c r="ECK1" s="87"/>
      <c r="ECL1" s="87"/>
      <c r="ECM1" s="87"/>
      <c r="ECN1" s="87"/>
      <c r="ECO1" s="87"/>
      <c r="ECP1" s="87"/>
      <c r="ECQ1" s="87"/>
      <c r="ECR1" s="87"/>
      <c r="ECS1" s="87"/>
      <c r="ECT1" s="87"/>
      <c r="ECU1" s="87"/>
      <c r="ECV1" s="87"/>
      <c r="ECW1" s="87"/>
      <c r="ECX1" s="87"/>
      <c r="ECY1" s="87"/>
      <c r="ECZ1" s="87"/>
      <c r="EDA1" s="87"/>
      <c r="EDB1" s="87"/>
      <c r="EDC1" s="87"/>
      <c r="EDD1" s="87"/>
      <c r="EDE1" s="87"/>
      <c r="EDF1" s="87"/>
      <c r="EDG1" s="87"/>
      <c r="EDH1" s="87"/>
      <c r="EDI1" s="87"/>
      <c r="EDJ1" s="87"/>
      <c r="EDK1" s="87"/>
      <c r="EDL1" s="87"/>
      <c r="EDM1" s="87"/>
      <c r="EDN1" s="87"/>
      <c r="EDO1" s="87"/>
      <c r="EDP1" s="87"/>
      <c r="EDQ1" s="87"/>
      <c r="EDR1" s="87"/>
      <c r="EDS1" s="87"/>
      <c r="EDT1" s="87"/>
      <c r="EDU1" s="87"/>
      <c r="EDV1" s="87"/>
      <c r="EDW1" s="87"/>
      <c r="EDX1" s="87"/>
      <c r="EDY1" s="87"/>
      <c r="EDZ1" s="87"/>
      <c r="EEA1" s="87"/>
      <c r="EEB1" s="87"/>
      <c r="EEC1" s="87"/>
      <c r="EED1" s="87"/>
      <c r="EEE1" s="87"/>
      <c r="EEF1" s="87"/>
      <c r="EEG1" s="87"/>
      <c r="EEH1" s="87"/>
      <c r="EEI1" s="87"/>
      <c r="EEJ1" s="87"/>
      <c r="EEK1" s="87"/>
      <c r="EEL1" s="87"/>
      <c r="EEM1" s="87"/>
      <c r="EEN1" s="87"/>
      <c r="EEO1" s="87"/>
      <c r="EEP1" s="87"/>
      <c r="EEQ1" s="87"/>
      <c r="EER1" s="87"/>
      <c r="EES1" s="87"/>
      <c r="EET1" s="87"/>
      <c r="EEU1" s="87"/>
      <c r="EEV1" s="87"/>
      <c r="EEW1" s="87"/>
      <c r="EEX1" s="87"/>
      <c r="EEY1" s="87"/>
      <c r="EEZ1" s="87"/>
      <c r="EFA1" s="87"/>
      <c r="EFB1" s="87"/>
      <c r="EFC1" s="87"/>
      <c r="EFD1" s="87"/>
      <c r="EFE1" s="87"/>
      <c r="EFF1" s="87"/>
      <c r="EFG1" s="87"/>
      <c r="EFH1" s="87"/>
      <c r="EFI1" s="87"/>
      <c r="EFJ1" s="87"/>
      <c r="EFK1" s="87"/>
      <c r="EFL1" s="87"/>
      <c r="EFM1" s="87"/>
      <c r="EFN1" s="87"/>
      <c r="EFO1" s="87"/>
      <c r="EFP1" s="87"/>
      <c r="EFQ1" s="87"/>
      <c r="EFR1" s="87"/>
      <c r="EFS1" s="87"/>
      <c r="EFT1" s="87"/>
      <c r="EFU1" s="87"/>
      <c r="EFV1" s="87"/>
      <c r="EFW1" s="87"/>
      <c r="EFX1" s="87"/>
      <c r="EFY1" s="87"/>
      <c r="EFZ1" s="87"/>
      <c r="EGA1" s="87"/>
      <c r="EGB1" s="87"/>
      <c r="EGC1" s="87"/>
      <c r="EGD1" s="87"/>
      <c r="EGE1" s="87"/>
      <c r="EGF1" s="87"/>
      <c r="EGG1" s="87"/>
      <c r="EGH1" s="87"/>
      <c r="EGI1" s="87"/>
      <c r="EGJ1" s="87"/>
      <c r="EGK1" s="87"/>
      <c r="EGL1" s="87"/>
      <c r="EGM1" s="87"/>
      <c r="EGN1" s="87"/>
      <c r="EGO1" s="87"/>
      <c r="EGP1" s="87"/>
      <c r="EGQ1" s="87"/>
      <c r="EGR1" s="87"/>
      <c r="EGS1" s="87"/>
      <c r="EGT1" s="87"/>
      <c r="EGU1" s="87"/>
      <c r="EGV1" s="87"/>
      <c r="EGW1" s="87"/>
      <c r="EGX1" s="87"/>
      <c r="EGY1" s="87"/>
      <c r="EGZ1" s="87"/>
      <c r="EHA1" s="87"/>
      <c r="EHB1" s="87"/>
      <c r="EHC1" s="87"/>
      <c r="EHD1" s="87"/>
      <c r="EHE1" s="87"/>
      <c r="EHF1" s="87"/>
      <c r="EHG1" s="87"/>
      <c r="EHH1" s="87"/>
      <c r="EHI1" s="87"/>
      <c r="EHJ1" s="87"/>
      <c r="EHK1" s="87"/>
      <c r="EHL1" s="87"/>
      <c r="EHM1" s="87"/>
      <c r="EHN1" s="87"/>
      <c r="EHO1" s="87"/>
      <c r="EHP1" s="87"/>
      <c r="EHQ1" s="87"/>
      <c r="EHR1" s="87"/>
      <c r="EHS1" s="87"/>
      <c r="EHT1" s="87"/>
      <c r="EHU1" s="87"/>
      <c r="EHV1" s="87"/>
      <c r="EHW1" s="87"/>
      <c r="EHX1" s="87"/>
      <c r="EHY1" s="87"/>
      <c r="EHZ1" s="87"/>
      <c r="EIA1" s="87"/>
      <c r="EIB1" s="87"/>
      <c r="EIC1" s="87"/>
      <c r="EID1" s="87"/>
      <c r="EIE1" s="87"/>
      <c r="EIF1" s="87"/>
      <c r="EIG1" s="87"/>
      <c r="EIH1" s="87"/>
      <c r="EII1" s="87"/>
      <c r="EIJ1" s="87"/>
      <c r="EIK1" s="87"/>
      <c r="EIL1" s="87"/>
      <c r="EIM1" s="87"/>
      <c r="EIN1" s="87"/>
      <c r="EIO1" s="87"/>
      <c r="EIP1" s="87"/>
      <c r="EIQ1" s="87"/>
      <c r="EIR1" s="87"/>
      <c r="EIS1" s="87"/>
      <c r="EIT1" s="87"/>
      <c r="EIU1" s="87"/>
      <c r="EIV1" s="87"/>
      <c r="EIW1" s="87"/>
      <c r="EIX1" s="87"/>
      <c r="EIY1" s="87"/>
      <c r="EIZ1" s="87"/>
      <c r="EJA1" s="87"/>
      <c r="EJB1" s="87"/>
      <c r="EJC1" s="87"/>
      <c r="EJD1" s="87"/>
      <c r="EJE1" s="87"/>
      <c r="EJF1" s="87"/>
      <c r="EJG1" s="87"/>
      <c r="EJH1" s="87"/>
      <c r="EJI1" s="87"/>
      <c r="EJJ1" s="87"/>
      <c r="EJK1" s="87"/>
      <c r="EJL1" s="87"/>
      <c r="EJM1" s="87"/>
      <c r="EJN1" s="87"/>
      <c r="EJO1" s="87"/>
      <c r="EJP1" s="87"/>
      <c r="EJQ1" s="87"/>
      <c r="EJR1" s="87"/>
      <c r="EJS1" s="87"/>
      <c r="EJT1" s="87"/>
      <c r="EJU1" s="87"/>
      <c r="EJV1" s="87"/>
      <c r="EJW1" s="87"/>
      <c r="EJX1" s="87"/>
      <c r="EJY1" s="87"/>
      <c r="EJZ1" s="87"/>
      <c r="EKA1" s="87"/>
      <c r="EKB1" s="87"/>
      <c r="EKC1" s="87"/>
      <c r="EKD1" s="87"/>
      <c r="EKE1" s="87"/>
      <c r="EKF1" s="87"/>
      <c r="EKG1" s="87"/>
      <c r="EKH1" s="87"/>
      <c r="EKI1" s="87"/>
      <c r="EKJ1" s="87"/>
      <c r="EKK1" s="87"/>
      <c r="EKL1" s="87"/>
      <c r="EKM1" s="87"/>
      <c r="EKN1" s="87"/>
      <c r="EKO1" s="87"/>
      <c r="EKP1" s="87"/>
      <c r="EKQ1" s="87"/>
      <c r="EKR1" s="87"/>
      <c r="EKS1" s="87"/>
      <c r="EKT1" s="87"/>
      <c r="EKU1" s="87"/>
      <c r="EKV1" s="87"/>
      <c r="EKW1" s="87"/>
      <c r="EKX1" s="87"/>
      <c r="EKY1" s="87"/>
      <c r="EKZ1" s="87"/>
      <c r="ELA1" s="87"/>
      <c r="ELB1" s="87"/>
      <c r="ELC1" s="87"/>
      <c r="ELD1" s="87"/>
      <c r="ELE1" s="87"/>
      <c r="ELF1" s="87"/>
      <c r="ELG1" s="87"/>
      <c r="ELH1" s="87"/>
      <c r="ELI1" s="87"/>
      <c r="ELJ1" s="87"/>
      <c r="ELK1" s="87"/>
      <c r="ELL1" s="87"/>
      <c r="ELM1" s="87"/>
      <c r="ELN1" s="87"/>
      <c r="ELO1" s="87"/>
      <c r="ELP1" s="87"/>
      <c r="ELQ1" s="87"/>
      <c r="ELR1" s="87"/>
      <c r="ELS1" s="87"/>
      <c r="ELT1" s="87"/>
      <c r="ELU1" s="87"/>
      <c r="ELV1" s="87"/>
      <c r="ELW1" s="87"/>
      <c r="ELX1" s="87"/>
      <c r="ELY1" s="87"/>
      <c r="ELZ1" s="87"/>
      <c r="EMA1" s="87"/>
      <c r="EMB1" s="87"/>
      <c r="EMC1" s="87"/>
      <c r="EMD1" s="87"/>
      <c r="EME1" s="87"/>
      <c r="EMF1" s="87"/>
      <c r="EMG1" s="87"/>
      <c r="EMH1" s="87"/>
      <c r="EMI1" s="87"/>
      <c r="EMJ1" s="87"/>
      <c r="EMK1" s="87"/>
      <c r="EML1" s="87"/>
      <c r="EMM1" s="87"/>
      <c r="EMN1" s="87"/>
      <c r="EMO1" s="87"/>
      <c r="EMP1" s="87"/>
      <c r="EMQ1" s="87"/>
      <c r="EMR1" s="87"/>
      <c r="EMS1" s="87"/>
      <c r="EMT1" s="87"/>
      <c r="EMU1" s="87"/>
      <c r="EMV1" s="87"/>
      <c r="EMW1" s="87"/>
      <c r="EMX1" s="87"/>
      <c r="EMY1" s="87"/>
      <c r="EMZ1" s="87"/>
      <c r="ENA1" s="87"/>
      <c r="ENB1" s="87"/>
      <c r="ENC1" s="87"/>
      <c r="END1" s="87"/>
      <c r="ENE1" s="87"/>
      <c r="ENF1" s="87"/>
      <c r="ENG1" s="87"/>
      <c r="ENH1" s="87"/>
      <c r="ENI1" s="87"/>
      <c r="ENJ1" s="87"/>
      <c r="ENK1" s="87"/>
      <c r="ENL1" s="87"/>
      <c r="ENM1" s="87"/>
      <c r="ENN1" s="87"/>
      <c r="ENO1" s="87"/>
      <c r="ENP1" s="87"/>
      <c r="ENQ1" s="87"/>
      <c r="ENR1" s="87"/>
      <c r="ENS1" s="87"/>
      <c r="ENT1" s="87"/>
      <c r="ENU1" s="87"/>
      <c r="ENV1" s="87"/>
      <c r="ENW1" s="87"/>
      <c r="ENX1" s="87"/>
      <c r="ENY1" s="87"/>
      <c r="ENZ1" s="87"/>
      <c r="EOA1" s="87"/>
      <c r="EOB1" s="87"/>
      <c r="EOC1" s="87"/>
      <c r="EOD1" s="87"/>
      <c r="EOE1" s="87"/>
      <c r="EOF1" s="87"/>
      <c r="EOG1" s="87"/>
      <c r="EOH1" s="87"/>
      <c r="EOI1" s="87"/>
      <c r="EOJ1" s="87"/>
      <c r="EOK1" s="87"/>
      <c r="EOL1" s="87"/>
      <c r="EOM1" s="87"/>
      <c r="EON1" s="87"/>
      <c r="EOO1" s="87"/>
      <c r="EOP1" s="87"/>
      <c r="EOQ1" s="87"/>
      <c r="EOR1" s="87"/>
      <c r="EOS1" s="87"/>
      <c r="EOT1" s="87"/>
      <c r="EOU1" s="87"/>
      <c r="EOV1" s="87"/>
      <c r="EOW1" s="87"/>
      <c r="EOX1" s="87"/>
      <c r="EOY1" s="87"/>
      <c r="EOZ1" s="87"/>
      <c r="EPA1" s="87"/>
      <c r="EPB1" s="87"/>
      <c r="EPC1" s="87"/>
      <c r="EPD1" s="87"/>
      <c r="EPE1" s="87"/>
      <c r="EPF1" s="87"/>
      <c r="EPG1" s="87"/>
      <c r="EPH1" s="87"/>
      <c r="EPI1" s="87"/>
      <c r="EPJ1" s="87"/>
      <c r="EPK1" s="87"/>
      <c r="EPL1" s="87"/>
      <c r="EPM1" s="87"/>
      <c r="EPN1" s="87"/>
      <c r="EPO1" s="87"/>
      <c r="EPP1" s="87"/>
      <c r="EPQ1" s="87"/>
      <c r="EPR1" s="87"/>
      <c r="EPS1" s="87"/>
      <c r="EPT1" s="87"/>
      <c r="EPU1" s="87"/>
      <c r="EPV1" s="87"/>
      <c r="EPW1" s="87"/>
      <c r="EPX1" s="87"/>
      <c r="EPY1" s="87"/>
      <c r="EPZ1" s="87"/>
      <c r="EQA1" s="87"/>
      <c r="EQB1" s="87"/>
      <c r="EQC1" s="87"/>
      <c r="EQD1" s="87"/>
      <c r="EQE1" s="87"/>
      <c r="EQF1" s="87"/>
      <c r="EQG1" s="87"/>
      <c r="EQH1" s="87"/>
      <c r="EQI1" s="87"/>
      <c r="EQJ1" s="87"/>
      <c r="EQK1" s="87"/>
      <c r="EQL1" s="87"/>
      <c r="EQM1" s="87"/>
      <c r="EQN1" s="87"/>
      <c r="EQO1" s="87"/>
      <c r="EQP1" s="87"/>
      <c r="EQQ1" s="87"/>
      <c r="EQR1" s="87"/>
      <c r="EQS1" s="87"/>
      <c r="EQT1" s="87"/>
      <c r="EQU1" s="87"/>
      <c r="EQV1" s="87"/>
      <c r="EQW1" s="87"/>
      <c r="EQX1" s="87"/>
      <c r="EQY1" s="87"/>
      <c r="EQZ1" s="87"/>
      <c r="ERA1" s="87"/>
      <c r="ERB1" s="87"/>
      <c r="ERC1" s="87"/>
      <c r="ERD1" s="87"/>
      <c r="ERE1" s="87"/>
      <c r="ERF1" s="87"/>
      <c r="ERG1" s="87"/>
      <c r="ERH1" s="87"/>
      <c r="ERI1" s="87"/>
      <c r="ERJ1" s="87"/>
      <c r="ERK1" s="87"/>
      <c r="ERL1" s="87"/>
      <c r="ERM1" s="87"/>
      <c r="ERN1" s="87"/>
      <c r="ERO1" s="87"/>
      <c r="ERP1" s="87"/>
      <c r="ERQ1" s="87"/>
      <c r="ERR1" s="87"/>
      <c r="ERS1" s="87"/>
      <c r="ERT1" s="87"/>
      <c r="ERU1" s="87"/>
      <c r="ERV1" s="87"/>
      <c r="ERW1" s="87"/>
      <c r="ERX1" s="87"/>
      <c r="ERY1" s="87"/>
      <c r="ERZ1" s="87"/>
      <c r="ESA1" s="87"/>
      <c r="ESB1" s="87"/>
      <c r="ESC1" s="87"/>
      <c r="ESD1" s="87"/>
      <c r="ESE1" s="87"/>
      <c r="ESF1" s="87"/>
      <c r="ESG1" s="87"/>
      <c r="ESH1" s="87"/>
      <c r="ESI1" s="87"/>
      <c r="ESJ1" s="87"/>
      <c r="ESK1" s="87"/>
      <c r="ESL1" s="87"/>
      <c r="ESM1" s="87"/>
      <c r="ESN1" s="87"/>
      <c r="ESO1" s="87"/>
      <c r="ESP1" s="87"/>
      <c r="ESQ1" s="87"/>
      <c r="ESR1" s="87"/>
      <c r="ESS1" s="87"/>
      <c r="EST1" s="87"/>
      <c r="ESU1" s="87"/>
      <c r="ESV1" s="87"/>
      <c r="ESW1" s="87"/>
      <c r="ESX1" s="87"/>
      <c r="ESY1" s="87"/>
      <c r="ESZ1" s="87"/>
      <c r="ETA1" s="87"/>
      <c r="ETB1" s="87"/>
      <c r="ETC1" s="87"/>
      <c r="ETD1" s="87"/>
      <c r="ETE1" s="87"/>
      <c r="ETF1" s="87"/>
      <c r="ETG1" s="87"/>
      <c r="ETH1" s="87"/>
      <c r="ETI1" s="87"/>
      <c r="ETJ1" s="87"/>
      <c r="ETK1" s="87"/>
      <c r="ETL1" s="87"/>
      <c r="ETM1" s="87"/>
      <c r="ETN1" s="87"/>
      <c r="ETO1" s="87"/>
      <c r="ETP1" s="87"/>
      <c r="ETQ1" s="87"/>
      <c r="ETR1" s="87"/>
      <c r="ETS1" s="87"/>
      <c r="ETT1" s="87"/>
      <c r="ETU1" s="87"/>
      <c r="ETV1" s="87"/>
      <c r="ETW1" s="87"/>
      <c r="ETX1" s="87"/>
      <c r="ETY1" s="87"/>
      <c r="ETZ1" s="87"/>
      <c r="EUA1" s="87"/>
      <c r="EUB1" s="87"/>
      <c r="EUC1" s="87"/>
      <c r="EUD1" s="87"/>
      <c r="EUE1" s="87"/>
      <c r="EUF1" s="87"/>
      <c r="EUG1" s="87"/>
      <c r="EUH1" s="87"/>
      <c r="EUI1" s="87"/>
      <c r="EUJ1" s="87"/>
      <c r="EUK1" s="87"/>
      <c r="EUL1" s="87"/>
      <c r="EUM1" s="87"/>
      <c r="EUN1" s="87"/>
      <c r="EUO1" s="87"/>
      <c r="EUP1" s="87"/>
      <c r="EUQ1" s="87"/>
      <c r="EUR1" s="87"/>
      <c r="EUS1" s="87"/>
      <c r="EUT1" s="87"/>
      <c r="EUU1" s="87"/>
      <c r="EUV1" s="87"/>
      <c r="EUW1" s="87"/>
      <c r="EUX1" s="87"/>
      <c r="EUY1" s="87"/>
      <c r="EUZ1" s="87"/>
      <c r="EVA1" s="87"/>
      <c r="EVB1" s="87"/>
      <c r="EVC1" s="87"/>
      <c r="EVD1" s="87"/>
      <c r="EVE1" s="87"/>
      <c r="EVF1" s="87"/>
      <c r="EVG1" s="87"/>
      <c r="EVH1" s="87"/>
      <c r="EVI1" s="87"/>
      <c r="EVJ1" s="87"/>
      <c r="EVK1" s="87"/>
      <c r="EVL1" s="87"/>
      <c r="EVM1" s="87"/>
      <c r="EVN1" s="87"/>
      <c r="EVO1" s="87"/>
      <c r="EVP1" s="87"/>
      <c r="EVQ1" s="87"/>
      <c r="EVR1" s="87"/>
      <c r="EVS1" s="87"/>
      <c r="EVT1" s="87"/>
      <c r="EVU1" s="87"/>
      <c r="EVV1" s="87"/>
      <c r="EVW1" s="87"/>
      <c r="EVX1" s="87"/>
      <c r="EVY1" s="87"/>
      <c r="EVZ1" s="87"/>
      <c r="EWA1" s="87"/>
      <c r="EWB1" s="87"/>
      <c r="EWC1" s="87"/>
      <c r="EWD1" s="87"/>
      <c r="EWE1" s="87"/>
      <c r="EWF1" s="87"/>
      <c r="EWG1" s="87"/>
      <c r="EWH1" s="87"/>
      <c r="EWI1" s="87"/>
      <c r="EWJ1" s="87"/>
      <c r="EWK1" s="87"/>
      <c r="EWL1" s="87"/>
      <c r="EWM1" s="87"/>
      <c r="EWN1" s="87"/>
      <c r="EWO1" s="87"/>
      <c r="EWP1" s="87"/>
      <c r="EWQ1" s="87"/>
      <c r="EWR1" s="87"/>
      <c r="EWS1" s="87"/>
      <c r="EWT1" s="87"/>
      <c r="EWU1" s="87"/>
      <c r="EWV1" s="87"/>
      <c r="EWW1" s="87"/>
      <c r="EWX1" s="87"/>
      <c r="EWY1" s="87"/>
      <c r="EWZ1" s="87"/>
      <c r="EXA1" s="87"/>
      <c r="EXB1" s="87"/>
      <c r="EXC1" s="87"/>
      <c r="EXD1" s="87"/>
      <c r="EXE1" s="87"/>
      <c r="EXF1" s="87"/>
      <c r="EXG1" s="87"/>
      <c r="EXH1" s="87"/>
      <c r="EXI1" s="87"/>
      <c r="EXJ1" s="87"/>
      <c r="EXK1" s="87"/>
      <c r="EXL1" s="87"/>
      <c r="EXM1" s="87"/>
      <c r="EXN1" s="87"/>
      <c r="EXO1" s="87"/>
      <c r="EXP1" s="87"/>
      <c r="EXQ1" s="87"/>
      <c r="EXR1" s="87"/>
      <c r="EXS1" s="87"/>
      <c r="EXT1" s="87"/>
      <c r="EXU1" s="87"/>
      <c r="EXV1" s="87"/>
      <c r="EXW1" s="87"/>
      <c r="EXX1" s="87"/>
      <c r="EXY1" s="87"/>
      <c r="EXZ1" s="87"/>
      <c r="EYA1" s="87"/>
      <c r="EYB1" s="87"/>
      <c r="EYC1" s="87"/>
      <c r="EYD1" s="87"/>
      <c r="EYE1" s="87"/>
      <c r="EYF1" s="87"/>
      <c r="EYG1" s="87"/>
      <c r="EYH1" s="87"/>
      <c r="EYI1" s="87"/>
      <c r="EYJ1" s="87"/>
      <c r="EYK1" s="87"/>
      <c r="EYL1" s="87"/>
      <c r="EYM1" s="87"/>
      <c r="EYN1" s="87"/>
      <c r="EYO1" s="87"/>
      <c r="EYP1" s="87"/>
      <c r="EYQ1" s="87"/>
      <c r="EYR1" s="87"/>
      <c r="EYS1" s="87"/>
      <c r="EYT1" s="87"/>
      <c r="EYU1" s="87"/>
      <c r="EYV1" s="87"/>
      <c r="EYW1" s="87"/>
      <c r="EYX1" s="87"/>
      <c r="EYY1" s="87"/>
      <c r="EYZ1" s="87"/>
      <c r="EZA1" s="87"/>
      <c r="EZB1" s="87"/>
      <c r="EZC1" s="87"/>
      <c r="EZD1" s="87"/>
      <c r="EZE1" s="87"/>
      <c r="EZF1" s="87"/>
      <c r="EZG1" s="87"/>
      <c r="EZH1" s="87"/>
      <c r="EZI1" s="87"/>
      <c r="EZJ1" s="87"/>
      <c r="EZK1" s="87"/>
      <c r="EZL1" s="87"/>
      <c r="EZM1" s="87"/>
      <c r="EZN1" s="87"/>
      <c r="EZO1" s="87"/>
      <c r="EZP1" s="87"/>
      <c r="EZQ1" s="87"/>
      <c r="EZR1" s="87"/>
      <c r="EZS1" s="87"/>
      <c r="EZT1" s="87"/>
      <c r="EZU1" s="87"/>
      <c r="EZV1" s="87"/>
      <c r="EZW1" s="87"/>
      <c r="EZX1" s="87"/>
      <c r="EZY1" s="87"/>
      <c r="EZZ1" s="87"/>
      <c r="FAA1" s="87"/>
      <c r="FAB1" s="87"/>
      <c r="FAC1" s="87"/>
      <c r="FAD1" s="87"/>
      <c r="FAE1" s="87"/>
      <c r="FAF1" s="87"/>
      <c r="FAG1" s="87"/>
      <c r="FAH1" s="87"/>
      <c r="FAI1" s="87"/>
      <c r="FAJ1" s="87"/>
      <c r="FAK1" s="87"/>
      <c r="FAL1" s="87"/>
      <c r="FAM1" s="87"/>
      <c r="FAN1" s="87"/>
      <c r="FAO1" s="87"/>
      <c r="FAP1" s="87"/>
      <c r="FAQ1" s="87"/>
      <c r="FAR1" s="87"/>
      <c r="FAS1" s="87"/>
      <c r="FAT1" s="87"/>
      <c r="FAU1" s="87"/>
      <c r="FAV1" s="87"/>
      <c r="FAW1" s="87"/>
      <c r="FAX1" s="87"/>
      <c r="FAY1" s="87"/>
      <c r="FAZ1" s="87"/>
      <c r="FBA1" s="87"/>
      <c r="FBB1" s="87"/>
      <c r="FBC1" s="87"/>
      <c r="FBD1" s="87"/>
      <c r="FBE1" s="87"/>
      <c r="FBF1" s="87"/>
      <c r="FBG1" s="87"/>
      <c r="FBH1" s="87"/>
      <c r="FBI1" s="87"/>
      <c r="FBJ1" s="87"/>
      <c r="FBK1" s="87"/>
      <c r="FBL1" s="87"/>
      <c r="FBM1" s="87"/>
      <c r="FBN1" s="87"/>
      <c r="FBO1" s="87"/>
      <c r="FBP1" s="87"/>
      <c r="FBQ1" s="87"/>
      <c r="FBR1" s="87"/>
      <c r="FBS1" s="87"/>
      <c r="FBT1" s="87"/>
      <c r="FBU1" s="87"/>
      <c r="FBV1" s="87"/>
      <c r="FBW1" s="87"/>
      <c r="FBX1" s="87"/>
      <c r="FBY1" s="87"/>
      <c r="FBZ1" s="87"/>
      <c r="FCA1" s="87"/>
      <c r="FCB1" s="87"/>
      <c r="FCC1" s="87"/>
      <c r="FCD1" s="87"/>
      <c r="FCE1" s="87"/>
      <c r="FCF1" s="87"/>
      <c r="FCG1" s="87"/>
      <c r="FCH1" s="87"/>
      <c r="FCI1" s="87"/>
      <c r="FCJ1" s="87"/>
      <c r="FCK1" s="87"/>
      <c r="FCL1" s="87"/>
      <c r="FCM1" s="87"/>
      <c r="FCN1" s="87"/>
      <c r="FCO1" s="87"/>
      <c r="FCP1" s="87"/>
      <c r="FCQ1" s="87"/>
      <c r="FCR1" s="87"/>
      <c r="FCS1" s="87"/>
      <c r="FCT1" s="87"/>
      <c r="FCU1" s="87"/>
      <c r="FCV1" s="87"/>
      <c r="FCW1" s="87"/>
      <c r="FCX1" s="87"/>
      <c r="FCY1" s="87"/>
      <c r="FCZ1" s="87"/>
      <c r="FDA1" s="87"/>
      <c r="FDB1" s="87"/>
      <c r="FDC1" s="87"/>
      <c r="FDD1" s="87"/>
      <c r="FDE1" s="87"/>
      <c r="FDF1" s="87"/>
      <c r="FDG1" s="87"/>
      <c r="FDH1" s="87"/>
      <c r="FDI1" s="87"/>
      <c r="FDJ1" s="87"/>
      <c r="FDK1" s="87"/>
      <c r="FDL1" s="87"/>
      <c r="FDM1" s="87"/>
      <c r="FDN1" s="87"/>
      <c r="FDO1" s="87"/>
      <c r="FDP1" s="87"/>
      <c r="FDQ1" s="87"/>
      <c r="FDR1" s="87"/>
      <c r="FDS1" s="87"/>
      <c r="FDT1" s="87"/>
      <c r="FDU1" s="87"/>
      <c r="FDV1" s="87"/>
      <c r="FDW1" s="87"/>
      <c r="FDX1" s="87"/>
      <c r="FDY1" s="87"/>
      <c r="FDZ1" s="87"/>
      <c r="FEA1" s="87"/>
      <c r="FEB1" s="87"/>
      <c r="FEC1" s="87"/>
      <c r="FED1" s="87"/>
      <c r="FEE1" s="87"/>
      <c r="FEF1" s="87"/>
      <c r="FEG1" s="87"/>
      <c r="FEH1" s="87"/>
      <c r="FEI1" s="87"/>
      <c r="FEJ1" s="87"/>
      <c r="FEK1" s="87"/>
      <c r="FEL1" s="87"/>
      <c r="FEM1" s="87"/>
      <c r="FEN1" s="87"/>
      <c r="FEO1" s="87"/>
      <c r="FEP1" s="87"/>
      <c r="FEQ1" s="87"/>
      <c r="FER1" s="87"/>
      <c r="FES1" s="87"/>
      <c r="FET1" s="87"/>
      <c r="FEU1" s="87"/>
      <c r="FEV1" s="87"/>
      <c r="FEW1" s="87"/>
      <c r="FEX1" s="87"/>
      <c r="FEY1" s="87"/>
      <c r="FEZ1" s="87"/>
      <c r="FFA1" s="87"/>
      <c r="FFB1" s="87"/>
      <c r="FFC1" s="87"/>
      <c r="FFD1" s="87"/>
      <c r="FFE1" s="87"/>
      <c r="FFF1" s="87"/>
      <c r="FFG1" s="87"/>
      <c r="FFH1" s="87"/>
      <c r="FFI1" s="87"/>
      <c r="FFJ1" s="87"/>
      <c r="FFK1" s="87"/>
      <c r="FFL1" s="87"/>
      <c r="FFM1" s="87"/>
      <c r="FFN1" s="87"/>
      <c r="FFO1" s="87"/>
      <c r="FFP1" s="87"/>
      <c r="FFQ1" s="87"/>
      <c r="FFR1" s="87"/>
      <c r="FFS1" s="87"/>
      <c r="FFT1" s="87"/>
      <c r="FFU1" s="87"/>
      <c r="FFV1" s="87"/>
      <c r="FFW1" s="87"/>
      <c r="FFX1" s="87"/>
      <c r="FFY1" s="87"/>
      <c r="FFZ1" s="87"/>
      <c r="FGA1" s="87"/>
      <c r="FGB1" s="87"/>
      <c r="FGC1" s="87"/>
      <c r="FGD1" s="87"/>
      <c r="FGE1" s="87"/>
      <c r="FGF1" s="87"/>
      <c r="FGG1" s="87"/>
      <c r="FGH1" s="87"/>
      <c r="FGI1" s="87"/>
      <c r="FGJ1" s="87"/>
      <c r="FGK1" s="87"/>
      <c r="FGL1" s="87"/>
      <c r="FGM1" s="87"/>
      <c r="FGN1" s="87"/>
      <c r="FGO1" s="87"/>
      <c r="FGP1" s="87"/>
      <c r="FGQ1" s="87"/>
      <c r="FGR1" s="87"/>
      <c r="FGS1" s="87"/>
      <c r="FGT1" s="87"/>
      <c r="FGU1" s="87"/>
      <c r="FGV1" s="87"/>
      <c r="FGW1" s="87"/>
      <c r="FGX1" s="87"/>
      <c r="FGY1" s="87"/>
      <c r="FGZ1" s="87"/>
      <c r="FHA1" s="87"/>
      <c r="FHB1" s="87"/>
      <c r="FHC1" s="87"/>
      <c r="FHD1" s="87"/>
      <c r="FHE1" s="87"/>
      <c r="FHF1" s="87"/>
      <c r="FHG1" s="87"/>
      <c r="FHH1" s="87"/>
      <c r="FHI1" s="87"/>
      <c r="FHJ1" s="87"/>
      <c r="FHK1" s="87"/>
      <c r="FHL1" s="87"/>
      <c r="FHM1" s="87"/>
      <c r="FHN1" s="87"/>
      <c r="FHO1" s="87"/>
      <c r="FHP1" s="87"/>
      <c r="FHQ1" s="87"/>
      <c r="FHR1" s="87"/>
      <c r="FHS1" s="87"/>
      <c r="FHT1" s="87"/>
      <c r="FHU1" s="87"/>
      <c r="FHV1" s="87"/>
      <c r="FHW1" s="87"/>
      <c r="FHX1" s="87"/>
      <c r="FHY1" s="87"/>
      <c r="FHZ1" s="87"/>
      <c r="FIA1" s="87"/>
      <c r="FIB1" s="87"/>
      <c r="FIC1" s="87"/>
      <c r="FID1" s="87"/>
      <c r="FIE1" s="87"/>
      <c r="FIF1" s="87"/>
      <c r="FIG1" s="87"/>
      <c r="FIH1" s="87"/>
      <c r="FII1" s="87"/>
      <c r="FIJ1" s="87"/>
      <c r="FIK1" s="87"/>
      <c r="FIL1" s="87"/>
      <c r="FIM1" s="87"/>
      <c r="FIN1" s="87"/>
      <c r="FIO1" s="87"/>
      <c r="FIP1" s="87"/>
      <c r="FIQ1" s="87"/>
      <c r="FIR1" s="87"/>
      <c r="FIS1" s="87"/>
      <c r="FIT1" s="87"/>
      <c r="FIU1" s="87"/>
      <c r="FIV1" s="87"/>
      <c r="FIW1" s="87"/>
      <c r="FIX1" s="87"/>
      <c r="FIY1" s="87"/>
      <c r="FIZ1" s="87"/>
      <c r="FJA1" s="87"/>
      <c r="FJB1" s="87"/>
      <c r="FJC1" s="87"/>
      <c r="FJD1" s="87"/>
      <c r="FJE1" s="87"/>
      <c r="FJF1" s="87"/>
      <c r="FJG1" s="87"/>
      <c r="FJH1" s="87"/>
      <c r="FJI1" s="87"/>
      <c r="FJJ1" s="87"/>
      <c r="FJK1" s="87"/>
      <c r="FJL1" s="87"/>
      <c r="FJM1" s="87"/>
      <c r="FJN1" s="87"/>
      <c r="FJO1" s="87"/>
      <c r="FJP1" s="87"/>
      <c r="FJQ1" s="87"/>
      <c r="FJR1" s="87"/>
      <c r="FJS1" s="87"/>
      <c r="FJT1" s="87"/>
      <c r="FJU1" s="87"/>
      <c r="FJV1" s="87"/>
      <c r="FJW1" s="87"/>
      <c r="FJX1" s="87"/>
      <c r="FJY1" s="87"/>
      <c r="FJZ1" s="87"/>
      <c r="FKA1" s="87"/>
      <c r="FKB1" s="87"/>
      <c r="FKC1" s="87"/>
      <c r="FKD1" s="87"/>
      <c r="FKE1" s="87"/>
      <c r="FKF1" s="87"/>
      <c r="FKG1" s="87"/>
      <c r="FKH1" s="87"/>
      <c r="FKI1" s="87"/>
      <c r="FKJ1" s="87"/>
      <c r="FKK1" s="87"/>
      <c r="FKL1" s="87"/>
      <c r="FKM1" s="87"/>
      <c r="FKN1" s="87"/>
      <c r="FKO1" s="87"/>
      <c r="FKP1" s="87"/>
      <c r="FKQ1" s="87"/>
      <c r="FKR1" s="87"/>
      <c r="FKS1" s="87"/>
      <c r="FKT1" s="87"/>
      <c r="FKU1" s="87"/>
      <c r="FKV1" s="87"/>
      <c r="FKW1" s="87"/>
      <c r="FKX1" s="87"/>
      <c r="FKY1" s="87"/>
      <c r="FKZ1" s="87"/>
      <c r="FLA1" s="87"/>
      <c r="FLB1" s="87"/>
      <c r="FLC1" s="87"/>
      <c r="FLD1" s="87"/>
      <c r="FLE1" s="87"/>
      <c r="FLF1" s="87"/>
      <c r="FLG1" s="87"/>
      <c r="FLH1" s="87"/>
      <c r="FLI1" s="87"/>
      <c r="FLJ1" s="87"/>
      <c r="FLK1" s="87"/>
      <c r="FLL1" s="87"/>
      <c r="FLM1" s="87"/>
      <c r="FLN1" s="87"/>
      <c r="FLO1" s="87"/>
      <c r="FLP1" s="87"/>
      <c r="FLQ1" s="87"/>
      <c r="FLR1" s="87"/>
      <c r="FLS1" s="87"/>
      <c r="FLT1" s="87"/>
      <c r="FLU1" s="87"/>
      <c r="FLV1" s="87"/>
      <c r="FLW1" s="87"/>
      <c r="FLX1" s="87"/>
      <c r="FLY1" s="87"/>
      <c r="FLZ1" s="87"/>
      <c r="FMA1" s="87"/>
      <c r="FMB1" s="87"/>
      <c r="FMC1" s="87"/>
      <c r="FMD1" s="87"/>
      <c r="FME1" s="87"/>
      <c r="FMF1" s="87"/>
      <c r="FMG1" s="87"/>
      <c r="FMH1" s="87"/>
      <c r="FMI1" s="87"/>
      <c r="FMJ1" s="87"/>
      <c r="FMK1" s="87"/>
      <c r="FML1" s="87"/>
      <c r="FMM1" s="87"/>
      <c r="FMN1" s="87"/>
      <c r="FMO1" s="87"/>
      <c r="FMP1" s="87"/>
      <c r="FMQ1" s="87"/>
      <c r="FMR1" s="87"/>
      <c r="FMS1" s="87"/>
      <c r="FMT1" s="87"/>
      <c r="FMU1" s="87"/>
      <c r="FMV1" s="87"/>
      <c r="FMW1" s="87"/>
      <c r="FMX1" s="87"/>
      <c r="FMY1" s="87"/>
      <c r="FMZ1" s="87"/>
      <c r="FNA1" s="87"/>
      <c r="FNB1" s="87"/>
      <c r="FNC1" s="87"/>
      <c r="FND1" s="87"/>
      <c r="FNE1" s="87"/>
      <c r="FNF1" s="87"/>
      <c r="FNG1" s="87"/>
      <c r="FNH1" s="87"/>
      <c r="FNI1" s="87"/>
      <c r="FNJ1" s="87"/>
      <c r="FNK1" s="87"/>
      <c r="FNL1" s="87"/>
      <c r="FNM1" s="87"/>
      <c r="FNN1" s="87"/>
      <c r="FNO1" s="87"/>
      <c r="FNP1" s="87"/>
      <c r="FNQ1" s="87"/>
      <c r="FNR1" s="87"/>
      <c r="FNS1" s="87"/>
      <c r="FNT1" s="87"/>
      <c r="FNU1" s="87"/>
      <c r="FNV1" s="87"/>
      <c r="FNW1" s="87"/>
      <c r="FNX1" s="87"/>
      <c r="FNY1" s="87"/>
      <c r="FNZ1" s="87"/>
      <c r="FOA1" s="87"/>
      <c r="FOB1" s="87"/>
      <c r="FOC1" s="87"/>
      <c r="FOD1" s="87"/>
      <c r="FOE1" s="87"/>
      <c r="FOF1" s="87"/>
      <c r="FOG1" s="87"/>
      <c r="FOH1" s="87"/>
      <c r="FOI1" s="87"/>
      <c r="FOJ1" s="87"/>
      <c r="FOK1" s="87"/>
      <c r="FOL1" s="87"/>
      <c r="FOM1" s="87"/>
      <c r="FON1" s="87"/>
      <c r="FOO1" s="87"/>
      <c r="FOP1" s="87"/>
      <c r="FOQ1" s="87"/>
      <c r="FOR1" s="87"/>
      <c r="FOS1" s="87"/>
      <c r="FOT1" s="87"/>
      <c r="FOU1" s="87"/>
      <c r="FOV1" s="87"/>
      <c r="FOW1" s="87"/>
      <c r="FOX1" s="87"/>
      <c r="FOY1" s="87"/>
      <c r="FOZ1" s="87"/>
      <c r="FPA1" s="87"/>
      <c r="FPB1" s="87"/>
      <c r="FPC1" s="87"/>
      <c r="FPD1" s="87"/>
      <c r="FPE1" s="87"/>
      <c r="FPF1" s="87"/>
      <c r="FPG1" s="87"/>
      <c r="FPH1" s="87"/>
      <c r="FPI1" s="87"/>
      <c r="FPJ1" s="87"/>
      <c r="FPK1" s="87"/>
      <c r="FPL1" s="87"/>
      <c r="FPM1" s="87"/>
      <c r="FPN1" s="87"/>
      <c r="FPO1" s="87"/>
      <c r="FPP1" s="87"/>
      <c r="FPQ1" s="87"/>
      <c r="FPR1" s="87"/>
      <c r="FPS1" s="87"/>
      <c r="FPT1" s="87"/>
      <c r="FPU1" s="87"/>
      <c r="FPV1" s="87"/>
      <c r="FPW1" s="87"/>
      <c r="FPX1" s="87"/>
      <c r="FPY1" s="87"/>
      <c r="FPZ1" s="87"/>
      <c r="FQA1" s="87"/>
      <c r="FQB1" s="87"/>
      <c r="FQC1" s="87"/>
      <c r="FQD1" s="87"/>
      <c r="FQE1" s="87"/>
      <c r="FQF1" s="87"/>
      <c r="FQG1" s="87"/>
      <c r="FQH1" s="87"/>
      <c r="FQI1" s="87"/>
      <c r="FQJ1" s="87"/>
      <c r="FQK1" s="87"/>
      <c r="FQL1" s="87"/>
      <c r="FQM1" s="87"/>
      <c r="FQN1" s="87"/>
      <c r="FQO1" s="87"/>
      <c r="FQP1" s="87"/>
      <c r="FQQ1" s="87"/>
      <c r="FQR1" s="87"/>
      <c r="FQS1" s="87"/>
      <c r="FQT1" s="87"/>
      <c r="FQU1" s="87"/>
      <c r="FQV1" s="87"/>
      <c r="FQW1" s="87"/>
      <c r="FQX1" s="87"/>
      <c r="FQY1" s="87"/>
      <c r="FQZ1" s="87"/>
      <c r="FRA1" s="87"/>
      <c r="FRB1" s="87"/>
      <c r="FRC1" s="87"/>
      <c r="FRD1" s="87"/>
      <c r="FRE1" s="87"/>
      <c r="FRF1" s="87"/>
      <c r="FRG1" s="87"/>
      <c r="FRH1" s="87"/>
      <c r="FRI1" s="87"/>
      <c r="FRJ1" s="87"/>
      <c r="FRK1" s="87"/>
      <c r="FRL1" s="87"/>
      <c r="FRM1" s="87"/>
      <c r="FRN1" s="87"/>
      <c r="FRO1" s="87"/>
      <c r="FRP1" s="87"/>
      <c r="FRQ1" s="87"/>
      <c r="FRR1" s="87"/>
      <c r="FRS1" s="87"/>
      <c r="FRT1" s="87"/>
      <c r="FRU1" s="87"/>
      <c r="FRV1" s="87"/>
      <c r="FRW1" s="87"/>
      <c r="FRX1" s="87"/>
      <c r="FRY1" s="87"/>
      <c r="FRZ1" s="87"/>
      <c r="FSA1" s="87"/>
      <c r="FSB1" s="87"/>
      <c r="FSC1" s="87"/>
      <c r="FSD1" s="87"/>
      <c r="FSE1" s="87"/>
      <c r="FSF1" s="87"/>
      <c r="FSG1" s="87"/>
      <c r="FSH1" s="87"/>
      <c r="FSI1" s="87"/>
      <c r="FSJ1" s="87"/>
      <c r="FSK1" s="87"/>
      <c r="FSL1" s="87"/>
      <c r="FSM1" s="87"/>
      <c r="FSN1" s="87"/>
      <c r="FSO1" s="87"/>
      <c r="FSP1" s="87"/>
      <c r="FSQ1" s="87"/>
      <c r="FSR1" s="87"/>
      <c r="FSS1" s="87"/>
      <c r="FST1" s="87"/>
      <c r="FSU1" s="87"/>
      <c r="FSV1" s="87"/>
      <c r="FSW1" s="87"/>
      <c r="FSX1" s="87"/>
      <c r="FSY1" s="87"/>
      <c r="FSZ1" s="87"/>
      <c r="FTA1" s="87"/>
      <c r="FTB1" s="87"/>
      <c r="FTC1" s="87"/>
      <c r="FTD1" s="87"/>
      <c r="FTE1" s="87"/>
      <c r="FTF1" s="87"/>
      <c r="FTG1" s="87"/>
      <c r="FTH1" s="87"/>
      <c r="FTI1" s="87"/>
      <c r="FTJ1" s="87"/>
      <c r="FTK1" s="87"/>
      <c r="FTL1" s="87"/>
      <c r="FTM1" s="87"/>
      <c r="FTN1" s="87"/>
      <c r="FTO1" s="87"/>
      <c r="FTP1" s="87"/>
      <c r="FTQ1" s="87"/>
      <c r="FTR1" s="87"/>
      <c r="FTS1" s="87"/>
      <c r="FTT1" s="87"/>
      <c r="FTU1" s="87"/>
      <c r="FTV1" s="87"/>
      <c r="FTW1" s="87"/>
      <c r="FTX1" s="87"/>
      <c r="FTY1" s="87"/>
      <c r="FTZ1" s="87"/>
      <c r="FUA1" s="87"/>
      <c r="FUB1" s="87"/>
      <c r="FUC1" s="87"/>
      <c r="FUD1" s="87"/>
      <c r="FUE1" s="87"/>
      <c r="FUF1" s="87"/>
      <c r="FUG1" s="87"/>
      <c r="FUH1" s="87"/>
      <c r="FUI1" s="87"/>
      <c r="FUJ1" s="87"/>
      <c r="FUK1" s="87"/>
      <c r="FUL1" s="87"/>
      <c r="FUM1" s="87"/>
      <c r="FUN1" s="87"/>
      <c r="FUO1" s="87"/>
      <c r="FUP1" s="87"/>
      <c r="FUQ1" s="87"/>
      <c r="FUR1" s="87"/>
      <c r="FUS1" s="87"/>
      <c r="FUT1" s="87"/>
      <c r="FUU1" s="87"/>
      <c r="FUV1" s="87"/>
      <c r="FUW1" s="87"/>
      <c r="FUX1" s="87"/>
      <c r="FUY1" s="87"/>
      <c r="FUZ1" s="87"/>
      <c r="FVA1" s="87"/>
      <c r="FVB1" s="87"/>
      <c r="FVC1" s="87"/>
      <c r="FVD1" s="87"/>
      <c r="FVE1" s="87"/>
      <c r="FVF1" s="87"/>
      <c r="FVG1" s="87"/>
      <c r="FVH1" s="87"/>
      <c r="FVI1" s="87"/>
      <c r="FVJ1" s="87"/>
      <c r="FVK1" s="87"/>
      <c r="FVL1" s="87"/>
      <c r="FVM1" s="87"/>
      <c r="FVN1" s="87"/>
      <c r="FVO1" s="87"/>
      <c r="FVP1" s="87"/>
      <c r="FVQ1" s="87"/>
      <c r="FVR1" s="87"/>
      <c r="FVS1" s="87"/>
      <c r="FVT1" s="87"/>
      <c r="FVU1" s="87"/>
      <c r="FVV1" s="87"/>
      <c r="FVW1" s="87"/>
      <c r="FVX1" s="87"/>
      <c r="FVY1" s="87"/>
      <c r="FVZ1" s="87"/>
      <c r="FWA1" s="87"/>
      <c r="FWB1" s="87"/>
      <c r="FWC1" s="87"/>
      <c r="FWD1" s="87"/>
      <c r="FWE1" s="87"/>
      <c r="FWF1" s="87"/>
      <c r="FWG1" s="87"/>
      <c r="FWH1" s="87"/>
      <c r="FWI1" s="87"/>
      <c r="FWJ1" s="87"/>
      <c r="FWK1" s="87"/>
      <c r="FWL1" s="87"/>
      <c r="FWM1" s="87"/>
      <c r="FWN1" s="87"/>
      <c r="FWO1" s="87"/>
      <c r="FWP1" s="87"/>
      <c r="FWQ1" s="87"/>
      <c r="FWR1" s="87"/>
      <c r="FWS1" s="87"/>
      <c r="FWT1" s="87"/>
      <c r="FWU1" s="87"/>
      <c r="FWV1" s="87"/>
      <c r="FWW1" s="87"/>
      <c r="FWX1" s="87"/>
      <c r="FWY1" s="87"/>
      <c r="FWZ1" s="87"/>
      <c r="FXA1" s="87"/>
      <c r="FXB1" s="87"/>
      <c r="FXC1" s="87"/>
      <c r="FXD1" s="87"/>
      <c r="FXE1" s="87"/>
      <c r="FXF1" s="87"/>
      <c r="FXG1" s="87"/>
      <c r="FXH1" s="87"/>
      <c r="FXI1" s="87"/>
      <c r="FXJ1" s="87"/>
      <c r="FXK1" s="87"/>
      <c r="FXL1" s="87"/>
      <c r="FXM1" s="87"/>
      <c r="FXN1" s="87"/>
      <c r="FXO1" s="87"/>
      <c r="FXP1" s="87"/>
      <c r="FXQ1" s="87"/>
      <c r="FXR1" s="87"/>
      <c r="FXS1" s="87"/>
      <c r="FXT1" s="87"/>
      <c r="FXU1" s="87"/>
      <c r="FXV1" s="87"/>
      <c r="FXW1" s="87"/>
      <c r="FXX1" s="87"/>
      <c r="FXY1" s="87"/>
      <c r="FXZ1" s="87"/>
      <c r="FYA1" s="87"/>
      <c r="FYB1" s="87"/>
      <c r="FYC1" s="87"/>
      <c r="FYD1" s="87"/>
      <c r="FYE1" s="87"/>
      <c r="FYF1" s="87"/>
      <c r="FYG1" s="87"/>
      <c r="FYH1" s="87"/>
      <c r="FYI1" s="87"/>
      <c r="FYJ1" s="87"/>
      <c r="FYK1" s="87"/>
      <c r="FYL1" s="87"/>
      <c r="FYM1" s="87"/>
      <c r="FYN1" s="87"/>
      <c r="FYO1" s="87"/>
      <c r="FYP1" s="87"/>
      <c r="FYQ1" s="87"/>
      <c r="FYR1" s="87"/>
      <c r="FYS1" s="87"/>
      <c r="FYT1" s="87"/>
      <c r="FYU1" s="87"/>
      <c r="FYV1" s="87"/>
      <c r="FYW1" s="87"/>
      <c r="FYX1" s="87"/>
      <c r="FYY1" s="87"/>
      <c r="FYZ1" s="87"/>
      <c r="FZA1" s="87"/>
      <c r="FZB1" s="87"/>
      <c r="FZC1" s="87"/>
      <c r="FZD1" s="87"/>
      <c r="FZE1" s="87"/>
      <c r="FZF1" s="87"/>
      <c r="FZG1" s="87"/>
      <c r="FZH1" s="87"/>
      <c r="FZI1" s="87"/>
      <c r="FZJ1" s="87"/>
      <c r="FZK1" s="87"/>
      <c r="FZL1" s="87"/>
      <c r="FZM1" s="87"/>
      <c r="FZN1" s="87"/>
      <c r="FZO1" s="87"/>
      <c r="FZP1" s="87"/>
      <c r="FZQ1" s="87"/>
      <c r="FZR1" s="87"/>
      <c r="FZS1" s="87"/>
      <c r="FZT1" s="87"/>
      <c r="FZU1" s="87"/>
      <c r="FZV1" s="87"/>
      <c r="FZW1" s="87"/>
      <c r="FZX1" s="87"/>
      <c r="FZY1" s="87"/>
      <c r="FZZ1" s="87"/>
      <c r="GAA1" s="87"/>
      <c r="GAB1" s="87"/>
      <c r="GAC1" s="87"/>
      <c r="GAD1" s="87"/>
      <c r="GAE1" s="87"/>
      <c r="GAF1" s="87"/>
      <c r="GAG1" s="87"/>
      <c r="GAH1" s="87"/>
      <c r="GAI1" s="87"/>
      <c r="GAJ1" s="87"/>
      <c r="GAK1" s="87"/>
      <c r="GAL1" s="87"/>
      <c r="GAM1" s="87"/>
      <c r="GAN1" s="87"/>
      <c r="GAO1" s="87"/>
      <c r="GAP1" s="87"/>
      <c r="GAQ1" s="87"/>
      <c r="GAR1" s="87"/>
      <c r="GAS1" s="87"/>
      <c r="GAT1" s="87"/>
      <c r="GAU1" s="87"/>
      <c r="GAV1" s="87"/>
      <c r="GAW1" s="87"/>
      <c r="GAX1" s="87"/>
      <c r="GAY1" s="87"/>
      <c r="GAZ1" s="87"/>
      <c r="GBA1" s="87"/>
      <c r="GBB1" s="87"/>
      <c r="GBC1" s="87"/>
      <c r="GBD1" s="87"/>
      <c r="GBE1" s="87"/>
      <c r="GBF1" s="87"/>
      <c r="GBG1" s="87"/>
      <c r="GBH1" s="87"/>
      <c r="GBI1" s="87"/>
      <c r="GBJ1" s="87"/>
      <c r="GBK1" s="87"/>
      <c r="GBL1" s="87"/>
      <c r="GBM1" s="87"/>
      <c r="GBN1" s="87"/>
      <c r="GBO1" s="87"/>
      <c r="GBP1" s="87"/>
      <c r="GBQ1" s="87"/>
      <c r="GBR1" s="87"/>
      <c r="GBS1" s="87"/>
      <c r="GBT1" s="87"/>
      <c r="GBU1" s="87"/>
      <c r="GBV1" s="87"/>
      <c r="GBW1" s="87"/>
      <c r="GBX1" s="87"/>
      <c r="GBY1" s="87"/>
      <c r="GBZ1" s="87"/>
      <c r="GCA1" s="87"/>
      <c r="GCB1" s="87"/>
      <c r="GCC1" s="87"/>
      <c r="GCD1" s="87"/>
      <c r="GCE1" s="87"/>
      <c r="GCF1" s="87"/>
      <c r="GCG1" s="87"/>
      <c r="GCH1" s="87"/>
      <c r="GCI1" s="87"/>
      <c r="GCJ1" s="87"/>
      <c r="GCK1" s="87"/>
      <c r="GCL1" s="87"/>
      <c r="GCM1" s="87"/>
      <c r="GCN1" s="87"/>
      <c r="GCO1" s="87"/>
      <c r="GCP1" s="87"/>
      <c r="GCQ1" s="87"/>
      <c r="GCR1" s="87"/>
      <c r="GCS1" s="87"/>
      <c r="GCT1" s="87"/>
      <c r="GCU1" s="87"/>
      <c r="GCV1" s="87"/>
      <c r="GCW1" s="87"/>
      <c r="GCX1" s="87"/>
      <c r="GCY1" s="87"/>
      <c r="GCZ1" s="87"/>
      <c r="GDA1" s="87"/>
      <c r="GDB1" s="87"/>
      <c r="GDC1" s="87"/>
      <c r="GDD1" s="87"/>
      <c r="GDE1" s="87"/>
      <c r="GDF1" s="87"/>
      <c r="GDG1" s="87"/>
      <c r="GDH1" s="87"/>
      <c r="GDI1" s="87"/>
      <c r="GDJ1" s="87"/>
      <c r="GDK1" s="87"/>
      <c r="GDL1" s="87"/>
      <c r="GDM1" s="87"/>
      <c r="GDN1" s="87"/>
      <c r="GDO1" s="87"/>
      <c r="GDP1" s="87"/>
      <c r="GDQ1" s="87"/>
      <c r="GDR1" s="87"/>
      <c r="GDS1" s="87"/>
      <c r="GDT1" s="87"/>
      <c r="GDU1" s="87"/>
      <c r="GDV1" s="87"/>
      <c r="GDW1" s="87"/>
      <c r="GDX1" s="87"/>
      <c r="GDY1" s="87"/>
      <c r="GDZ1" s="87"/>
      <c r="GEA1" s="87"/>
      <c r="GEB1" s="87"/>
      <c r="GEC1" s="87"/>
      <c r="GED1" s="87"/>
      <c r="GEE1" s="87"/>
      <c r="GEF1" s="87"/>
      <c r="GEG1" s="87"/>
      <c r="GEH1" s="87"/>
      <c r="GEI1" s="87"/>
      <c r="GEJ1" s="87"/>
      <c r="GEK1" s="87"/>
      <c r="GEL1" s="87"/>
      <c r="GEM1" s="87"/>
      <c r="GEN1" s="87"/>
      <c r="GEO1" s="87"/>
      <c r="GEP1" s="87"/>
      <c r="GEQ1" s="87"/>
      <c r="GER1" s="87"/>
      <c r="GES1" s="87"/>
      <c r="GET1" s="87"/>
      <c r="GEU1" s="87"/>
      <c r="GEV1" s="87"/>
      <c r="GEW1" s="87"/>
      <c r="GEX1" s="87"/>
      <c r="GEY1" s="87"/>
      <c r="GEZ1" s="87"/>
      <c r="GFA1" s="87"/>
      <c r="GFB1" s="87"/>
      <c r="GFC1" s="87"/>
      <c r="GFD1" s="87"/>
      <c r="GFE1" s="87"/>
      <c r="GFF1" s="87"/>
      <c r="GFG1" s="87"/>
      <c r="GFH1" s="87"/>
      <c r="GFI1" s="87"/>
      <c r="GFJ1" s="87"/>
      <c r="GFK1" s="87"/>
      <c r="GFL1" s="87"/>
      <c r="GFM1" s="87"/>
      <c r="GFN1" s="87"/>
      <c r="GFO1" s="87"/>
      <c r="GFP1" s="87"/>
      <c r="GFQ1" s="87"/>
      <c r="GFR1" s="87"/>
      <c r="GFS1" s="87"/>
      <c r="GFT1" s="87"/>
      <c r="GFU1" s="87"/>
      <c r="GFV1" s="87"/>
      <c r="GFW1" s="87"/>
      <c r="GFX1" s="87"/>
      <c r="GFY1" s="87"/>
      <c r="GFZ1" s="87"/>
      <c r="GGA1" s="87"/>
      <c r="GGB1" s="87"/>
      <c r="GGC1" s="87"/>
      <c r="GGD1" s="87"/>
      <c r="GGE1" s="87"/>
      <c r="GGF1" s="87"/>
      <c r="GGG1" s="87"/>
      <c r="GGH1" s="87"/>
      <c r="GGI1" s="87"/>
      <c r="GGJ1" s="87"/>
      <c r="GGK1" s="87"/>
      <c r="GGL1" s="87"/>
      <c r="GGM1" s="87"/>
      <c r="GGN1" s="87"/>
      <c r="GGO1" s="87"/>
      <c r="GGP1" s="87"/>
      <c r="GGQ1" s="87"/>
      <c r="GGR1" s="87"/>
      <c r="GGS1" s="87"/>
      <c r="GGT1" s="87"/>
      <c r="GGU1" s="87"/>
      <c r="GGV1" s="87"/>
      <c r="GGW1" s="87"/>
      <c r="GGX1" s="87"/>
      <c r="GGY1" s="87"/>
      <c r="GGZ1" s="87"/>
      <c r="GHA1" s="87"/>
      <c r="GHB1" s="87"/>
      <c r="GHC1" s="87"/>
      <c r="GHD1" s="87"/>
      <c r="GHE1" s="87"/>
      <c r="GHF1" s="87"/>
      <c r="GHG1" s="87"/>
      <c r="GHH1" s="87"/>
      <c r="GHI1" s="87"/>
      <c r="GHJ1" s="87"/>
      <c r="GHK1" s="87"/>
      <c r="GHL1" s="87"/>
      <c r="GHM1" s="87"/>
      <c r="GHN1" s="87"/>
      <c r="GHO1" s="87"/>
      <c r="GHP1" s="87"/>
      <c r="GHQ1" s="87"/>
      <c r="GHR1" s="87"/>
      <c r="GHS1" s="87"/>
      <c r="GHT1" s="87"/>
      <c r="GHU1" s="87"/>
      <c r="GHV1" s="87"/>
      <c r="GHW1" s="87"/>
      <c r="GHX1" s="87"/>
      <c r="GHY1" s="87"/>
      <c r="GHZ1" s="87"/>
      <c r="GIA1" s="87"/>
      <c r="GIB1" s="87"/>
      <c r="GIC1" s="87"/>
      <c r="GID1" s="87"/>
      <c r="GIE1" s="87"/>
      <c r="GIF1" s="87"/>
      <c r="GIG1" s="87"/>
      <c r="GIH1" s="87"/>
      <c r="GII1" s="87"/>
      <c r="GIJ1" s="87"/>
      <c r="GIK1" s="87"/>
      <c r="GIL1" s="87"/>
      <c r="GIM1" s="87"/>
      <c r="GIN1" s="87"/>
      <c r="GIO1" s="87"/>
      <c r="GIP1" s="87"/>
      <c r="GIQ1" s="87"/>
      <c r="GIR1" s="87"/>
      <c r="GIS1" s="87"/>
      <c r="GIT1" s="87"/>
      <c r="GIU1" s="87"/>
      <c r="GIV1" s="87"/>
      <c r="GIW1" s="87"/>
      <c r="GIX1" s="87"/>
      <c r="GIY1" s="87"/>
      <c r="GIZ1" s="87"/>
      <c r="GJA1" s="87"/>
      <c r="GJB1" s="87"/>
      <c r="GJC1" s="87"/>
      <c r="GJD1" s="87"/>
      <c r="GJE1" s="87"/>
      <c r="GJF1" s="87"/>
      <c r="GJG1" s="87"/>
      <c r="GJH1" s="87"/>
      <c r="GJI1" s="87"/>
      <c r="GJJ1" s="87"/>
      <c r="GJK1" s="87"/>
      <c r="GJL1" s="87"/>
      <c r="GJM1" s="87"/>
      <c r="GJN1" s="87"/>
      <c r="GJO1" s="87"/>
      <c r="GJP1" s="87"/>
      <c r="GJQ1" s="87"/>
      <c r="GJR1" s="87"/>
      <c r="GJS1" s="87"/>
      <c r="GJT1" s="87"/>
      <c r="GJU1" s="87"/>
      <c r="GJV1" s="87"/>
      <c r="GJW1" s="87"/>
      <c r="GJX1" s="87"/>
      <c r="GJY1" s="87"/>
      <c r="GJZ1" s="87"/>
      <c r="GKA1" s="87"/>
      <c r="GKB1" s="87"/>
      <c r="GKC1" s="87"/>
      <c r="GKD1" s="87"/>
      <c r="GKE1" s="87"/>
      <c r="GKF1" s="87"/>
      <c r="GKG1" s="87"/>
      <c r="GKH1" s="87"/>
      <c r="GKI1" s="87"/>
      <c r="GKJ1" s="87"/>
      <c r="GKK1" s="87"/>
      <c r="GKL1" s="87"/>
      <c r="GKM1" s="87"/>
      <c r="GKN1" s="87"/>
      <c r="GKO1" s="87"/>
      <c r="GKP1" s="87"/>
      <c r="GKQ1" s="87"/>
      <c r="GKR1" s="87"/>
      <c r="GKS1" s="87"/>
      <c r="GKT1" s="87"/>
      <c r="GKU1" s="87"/>
      <c r="GKV1" s="87"/>
      <c r="GKW1" s="87"/>
      <c r="GKX1" s="87"/>
      <c r="GKY1" s="87"/>
      <c r="GKZ1" s="87"/>
      <c r="GLA1" s="87"/>
      <c r="GLB1" s="87"/>
      <c r="GLC1" s="87"/>
      <c r="GLD1" s="87"/>
      <c r="GLE1" s="87"/>
      <c r="GLF1" s="87"/>
      <c r="GLG1" s="87"/>
      <c r="GLH1" s="87"/>
      <c r="GLI1" s="87"/>
      <c r="GLJ1" s="87"/>
      <c r="GLK1" s="87"/>
      <c r="GLL1" s="87"/>
      <c r="GLM1" s="87"/>
      <c r="GLN1" s="87"/>
      <c r="GLO1" s="87"/>
      <c r="GLP1" s="87"/>
      <c r="GLQ1" s="87"/>
      <c r="GLR1" s="87"/>
      <c r="GLS1" s="87"/>
      <c r="GLT1" s="87"/>
      <c r="GLU1" s="87"/>
      <c r="GLV1" s="87"/>
      <c r="GLW1" s="87"/>
      <c r="GLX1" s="87"/>
      <c r="GLY1" s="87"/>
      <c r="GLZ1" s="87"/>
      <c r="GMA1" s="87"/>
      <c r="GMB1" s="87"/>
      <c r="GMC1" s="87"/>
      <c r="GMD1" s="87"/>
      <c r="GME1" s="87"/>
      <c r="GMF1" s="87"/>
      <c r="GMG1" s="87"/>
      <c r="GMH1" s="87"/>
      <c r="GMI1" s="87"/>
      <c r="GMJ1" s="87"/>
      <c r="GMK1" s="87"/>
      <c r="GML1" s="87"/>
      <c r="GMM1" s="87"/>
      <c r="GMN1" s="87"/>
      <c r="GMO1" s="87"/>
      <c r="GMP1" s="87"/>
      <c r="GMQ1" s="87"/>
      <c r="GMR1" s="87"/>
      <c r="GMS1" s="87"/>
      <c r="GMT1" s="87"/>
      <c r="GMU1" s="87"/>
      <c r="GMV1" s="87"/>
      <c r="GMW1" s="87"/>
      <c r="GMX1" s="87"/>
      <c r="GMY1" s="87"/>
      <c r="GMZ1" s="87"/>
      <c r="GNA1" s="87"/>
      <c r="GNB1" s="87"/>
      <c r="GNC1" s="87"/>
      <c r="GND1" s="87"/>
      <c r="GNE1" s="87"/>
      <c r="GNF1" s="87"/>
      <c r="GNG1" s="87"/>
      <c r="GNH1" s="87"/>
      <c r="GNI1" s="87"/>
      <c r="GNJ1" s="87"/>
      <c r="GNK1" s="87"/>
      <c r="GNL1" s="87"/>
      <c r="GNM1" s="87"/>
      <c r="GNN1" s="87"/>
      <c r="GNO1" s="87"/>
      <c r="GNP1" s="87"/>
      <c r="GNQ1" s="87"/>
      <c r="GNR1" s="87"/>
      <c r="GNS1" s="87"/>
      <c r="GNT1" s="87"/>
      <c r="GNU1" s="87"/>
      <c r="GNV1" s="87"/>
      <c r="GNW1" s="87"/>
      <c r="GNX1" s="87"/>
      <c r="GNY1" s="87"/>
      <c r="GNZ1" s="87"/>
      <c r="GOA1" s="87"/>
      <c r="GOB1" s="87"/>
      <c r="GOC1" s="87"/>
      <c r="GOD1" s="87"/>
      <c r="GOE1" s="87"/>
      <c r="GOF1" s="87"/>
      <c r="GOG1" s="87"/>
      <c r="GOH1" s="87"/>
      <c r="GOI1" s="87"/>
      <c r="GOJ1" s="87"/>
      <c r="GOK1" s="87"/>
      <c r="GOL1" s="87"/>
      <c r="GOM1" s="87"/>
      <c r="GON1" s="87"/>
      <c r="GOO1" s="87"/>
      <c r="GOP1" s="87"/>
      <c r="GOQ1" s="87"/>
      <c r="GOR1" s="87"/>
      <c r="GOS1" s="87"/>
      <c r="GOT1" s="87"/>
      <c r="GOU1" s="87"/>
      <c r="GOV1" s="87"/>
      <c r="GOW1" s="87"/>
      <c r="GOX1" s="87"/>
      <c r="GOY1" s="87"/>
      <c r="GOZ1" s="87"/>
      <c r="GPA1" s="87"/>
      <c r="GPB1" s="87"/>
      <c r="GPC1" s="87"/>
      <c r="GPD1" s="87"/>
      <c r="GPE1" s="87"/>
      <c r="GPF1" s="87"/>
      <c r="GPG1" s="87"/>
      <c r="GPH1" s="87"/>
      <c r="GPI1" s="87"/>
      <c r="GPJ1" s="87"/>
      <c r="GPK1" s="87"/>
      <c r="GPL1" s="87"/>
      <c r="GPM1" s="87"/>
      <c r="GPN1" s="87"/>
      <c r="GPO1" s="87"/>
      <c r="GPP1" s="87"/>
      <c r="GPQ1" s="87"/>
      <c r="GPR1" s="87"/>
      <c r="GPS1" s="87"/>
      <c r="GPT1" s="87"/>
      <c r="GPU1" s="87"/>
      <c r="GPV1" s="87"/>
      <c r="GPW1" s="87"/>
      <c r="GPX1" s="87"/>
      <c r="GPY1" s="87"/>
      <c r="GPZ1" s="87"/>
      <c r="GQA1" s="87"/>
      <c r="GQB1" s="87"/>
      <c r="GQC1" s="87"/>
      <c r="GQD1" s="87"/>
      <c r="GQE1" s="87"/>
      <c r="GQF1" s="87"/>
      <c r="GQG1" s="87"/>
      <c r="GQH1" s="87"/>
      <c r="GQI1" s="87"/>
      <c r="GQJ1" s="87"/>
      <c r="GQK1" s="87"/>
      <c r="GQL1" s="87"/>
      <c r="GQM1" s="87"/>
      <c r="GQN1" s="87"/>
      <c r="GQO1" s="87"/>
      <c r="GQP1" s="87"/>
      <c r="GQQ1" s="87"/>
      <c r="GQR1" s="87"/>
      <c r="GQS1" s="87"/>
      <c r="GQT1" s="87"/>
      <c r="GQU1" s="87"/>
      <c r="GQV1" s="87"/>
      <c r="GQW1" s="87"/>
      <c r="GQX1" s="87"/>
      <c r="GQY1" s="87"/>
      <c r="GQZ1" s="87"/>
      <c r="GRA1" s="87"/>
      <c r="GRB1" s="87"/>
      <c r="GRC1" s="87"/>
      <c r="GRD1" s="87"/>
      <c r="GRE1" s="87"/>
      <c r="GRF1" s="87"/>
      <c r="GRG1" s="87"/>
      <c r="GRH1" s="87"/>
      <c r="GRI1" s="87"/>
      <c r="GRJ1" s="87"/>
      <c r="GRK1" s="87"/>
      <c r="GRL1" s="87"/>
      <c r="GRM1" s="87"/>
      <c r="GRN1" s="87"/>
      <c r="GRO1" s="87"/>
      <c r="GRP1" s="87"/>
      <c r="GRQ1" s="87"/>
      <c r="GRR1" s="87"/>
      <c r="GRS1" s="87"/>
      <c r="GRT1" s="87"/>
      <c r="GRU1" s="87"/>
      <c r="GRV1" s="87"/>
      <c r="GRW1" s="87"/>
      <c r="GRX1" s="87"/>
      <c r="GRY1" s="87"/>
      <c r="GRZ1" s="87"/>
      <c r="GSA1" s="87"/>
      <c r="GSB1" s="87"/>
      <c r="GSC1" s="87"/>
      <c r="GSD1" s="87"/>
      <c r="GSE1" s="87"/>
      <c r="GSF1" s="87"/>
      <c r="GSG1" s="87"/>
      <c r="GSH1" s="87"/>
      <c r="GSI1" s="87"/>
      <c r="GSJ1" s="87"/>
      <c r="GSK1" s="87"/>
      <c r="GSL1" s="87"/>
      <c r="GSM1" s="87"/>
      <c r="GSN1" s="87"/>
      <c r="GSO1" s="87"/>
      <c r="GSP1" s="87"/>
      <c r="GSQ1" s="87"/>
      <c r="GSR1" s="87"/>
      <c r="GSS1" s="87"/>
      <c r="GST1" s="87"/>
      <c r="GSU1" s="87"/>
      <c r="GSV1" s="87"/>
      <c r="GSW1" s="87"/>
      <c r="GSX1" s="87"/>
      <c r="GSY1" s="87"/>
      <c r="GSZ1" s="87"/>
      <c r="GTA1" s="87"/>
      <c r="GTB1" s="87"/>
      <c r="GTC1" s="87"/>
      <c r="GTD1" s="87"/>
      <c r="GTE1" s="87"/>
      <c r="GTF1" s="87"/>
      <c r="GTG1" s="87"/>
      <c r="GTH1" s="87"/>
      <c r="GTI1" s="87"/>
      <c r="GTJ1" s="87"/>
      <c r="GTK1" s="87"/>
      <c r="GTL1" s="87"/>
      <c r="GTM1" s="87"/>
      <c r="GTN1" s="87"/>
      <c r="GTO1" s="87"/>
      <c r="GTP1" s="87"/>
      <c r="GTQ1" s="87"/>
      <c r="GTR1" s="87"/>
      <c r="GTS1" s="87"/>
      <c r="GTT1" s="87"/>
      <c r="GTU1" s="87"/>
      <c r="GTV1" s="87"/>
      <c r="GTW1" s="87"/>
      <c r="GTX1" s="87"/>
      <c r="GTY1" s="87"/>
      <c r="GTZ1" s="87"/>
      <c r="GUA1" s="87"/>
      <c r="GUB1" s="87"/>
      <c r="GUC1" s="87"/>
      <c r="GUD1" s="87"/>
      <c r="GUE1" s="87"/>
      <c r="GUF1" s="87"/>
      <c r="GUG1" s="87"/>
      <c r="GUH1" s="87"/>
      <c r="GUI1" s="87"/>
      <c r="GUJ1" s="87"/>
      <c r="GUK1" s="87"/>
      <c r="GUL1" s="87"/>
      <c r="GUM1" s="87"/>
      <c r="GUN1" s="87"/>
      <c r="GUO1" s="87"/>
      <c r="GUP1" s="87"/>
      <c r="GUQ1" s="87"/>
      <c r="GUR1" s="87"/>
      <c r="GUS1" s="87"/>
      <c r="GUT1" s="87"/>
      <c r="GUU1" s="87"/>
      <c r="GUV1" s="87"/>
      <c r="GUW1" s="87"/>
      <c r="GUX1" s="87"/>
      <c r="GUY1" s="87"/>
      <c r="GUZ1" s="87"/>
      <c r="GVA1" s="87"/>
      <c r="GVB1" s="87"/>
      <c r="GVC1" s="87"/>
      <c r="GVD1" s="87"/>
      <c r="GVE1" s="87"/>
      <c r="GVF1" s="87"/>
      <c r="GVG1" s="87"/>
      <c r="GVH1" s="87"/>
      <c r="GVI1" s="87"/>
      <c r="GVJ1" s="87"/>
      <c r="GVK1" s="87"/>
      <c r="GVL1" s="87"/>
      <c r="GVM1" s="87"/>
      <c r="GVN1" s="87"/>
      <c r="GVO1" s="87"/>
      <c r="GVP1" s="87"/>
      <c r="GVQ1" s="87"/>
      <c r="GVR1" s="87"/>
      <c r="GVS1" s="87"/>
      <c r="GVT1" s="87"/>
      <c r="GVU1" s="87"/>
      <c r="GVV1" s="87"/>
      <c r="GVW1" s="87"/>
      <c r="GVX1" s="87"/>
      <c r="GVY1" s="87"/>
      <c r="GVZ1" s="87"/>
      <c r="GWA1" s="87"/>
      <c r="GWB1" s="87"/>
      <c r="GWC1" s="87"/>
      <c r="GWD1" s="87"/>
      <c r="GWE1" s="87"/>
      <c r="GWF1" s="87"/>
      <c r="GWG1" s="87"/>
      <c r="GWH1" s="87"/>
      <c r="GWI1" s="87"/>
      <c r="GWJ1" s="87"/>
      <c r="GWK1" s="87"/>
      <c r="GWL1" s="87"/>
      <c r="GWM1" s="87"/>
      <c r="GWN1" s="87"/>
      <c r="GWO1" s="87"/>
      <c r="GWP1" s="87"/>
      <c r="GWQ1" s="87"/>
      <c r="GWR1" s="87"/>
      <c r="GWS1" s="87"/>
      <c r="GWT1" s="87"/>
      <c r="GWU1" s="87"/>
      <c r="GWV1" s="87"/>
      <c r="GWW1" s="87"/>
      <c r="GWX1" s="87"/>
      <c r="GWY1" s="87"/>
      <c r="GWZ1" s="87"/>
      <c r="GXA1" s="87"/>
      <c r="GXB1" s="87"/>
      <c r="GXC1" s="87"/>
      <c r="GXD1" s="87"/>
      <c r="GXE1" s="87"/>
      <c r="GXF1" s="87"/>
      <c r="GXG1" s="87"/>
      <c r="GXH1" s="87"/>
      <c r="GXI1" s="87"/>
      <c r="GXJ1" s="87"/>
      <c r="GXK1" s="87"/>
      <c r="GXL1" s="87"/>
      <c r="GXM1" s="87"/>
      <c r="GXN1" s="87"/>
      <c r="GXO1" s="87"/>
      <c r="GXP1" s="87"/>
      <c r="GXQ1" s="87"/>
      <c r="GXR1" s="87"/>
      <c r="GXS1" s="87"/>
      <c r="GXT1" s="87"/>
      <c r="GXU1" s="87"/>
      <c r="GXV1" s="87"/>
      <c r="GXW1" s="87"/>
      <c r="GXX1" s="87"/>
      <c r="GXY1" s="87"/>
      <c r="GXZ1" s="87"/>
      <c r="GYA1" s="87"/>
      <c r="GYB1" s="87"/>
      <c r="GYC1" s="87"/>
      <c r="GYD1" s="87"/>
      <c r="GYE1" s="87"/>
      <c r="GYF1" s="87"/>
      <c r="GYG1" s="87"/>
      <c r="GYH1" s="87"/>
      <c r="GYI1" s="87"/>
      <c r="GYJ1" s="87"/>
      <c r="GYK1" s="87"/>
      <c r="GYL1" s="87"/>
      <c r="GYM1" s="87"/>
      <c r="GYN1" s="87"/>
      <c r="GYO1" s="87"/>
      <c r="GYP1" s="87"/>
      <c r="GYQ1" s="87"/>
      <c r="GYR1" s="87"/>
      <c r="GYS1" s="87"/>
      <c r="GYT1" s="87"/>
      <c r="GYU1" s="87"/>
      <c r="GYV1" s="87"/>
      <c r="GYW1" s="87"/>
      <c r="GYX1" s="87"/>
      <c r="GYY1" s="87"/>
      <c r="GYZ1" s="87"/>
      <c r="GZA1" s="87"/>
      <c r="GZB1" s="87"/>
      <c r="GZC1" s="87"/>
      <c r="GZD1" s="87"/>
      <c r="GZE1" s="87"/>
      <c r="GZF1" s="87"/>
      <c r="GZG1" s="87"/>
      <c r="GZH1" s="87"/>
      <c r="GZI1" s="87"/>
      <c r="GZJ1" s="87"/>
      <c r="GZK1" s="87"/>
      <c r="GZL1" s="87"/>
      <c r="GZM1" s="87"/>
      <c r="GZN1" s="87"/>
      <c r="GZO1" s="87"/>
      <c r="GZP1" s="87"/>
      <c r="GZQ1" s="87"/>
      <c r="GZR1" s="87"/>
      <c r="GZS1" s="87"/>
      <c r="GZT1" s="87"/>
      <c r="GZU1" s="87"/>
      <c r="GZV1" s="87"/>
      <c r="GZW1" s="87"/>
      <c r="GZX1" s="87"/>
      <c r="GZY1" s="87"/>
      <c r="GZZ1" s="87"/>
      <c r="HAA1" s="87"/>
      <c r="HAB1" s="87"/>
      <c r="HAC1" s="87"/>
      <c r="HAD1" s="87"/>
      <c r="HAE1" s="87"/>
      <c r="HAF1" s="87"/>
      <c r="HAG1" s="87"/>
      <c r="HAH1" s="87"/>
      <c r="HAI1" s="87"/>
      <c r="HAJ1" s="87"/>
      <c r="HAK1" s="87"/>
      <c r="HAL1" s="87"/>
      <c r="HAM1" s="87"/>
      <c r="HAN1" s="87"/>
      <c r="HAO1" s="87"/>
      <c r="HAP1" s="87"/>
      <c r="HAQ1" s="87"/>
      <c r="HAR1" s="87"/>
      <c r="HAS1" s="87"/>
      <c r="HAT1" s="87"/>
      <c r="HAU1" s="87"/>
      <c r="HAV1" s="87"/>
      <c r="HAW1" s="87"/>
      <c r="HAX1" s="87"/>
      <c r="HAY1" s="87"/>
      <c r="HAZ1" s="87"/>
      <c r="HBA1" s="87"/>
      <c r="HBB1" s="87"/>
      <c r="HBC1" s="87"/>
      <c r="HBD1" s="87"/>
      <c r="HBE1" s="87"/>
      <c r="HBF1" s="87"/>
      <c r="HBG1" s="87"/>
      <c r="HBH1" s="87"/>
      <c r="HBI1" s="87"/>
      <c r="HBJ1" s="87"/>
      <c r="HBK1" s="87"/>
      <c r="HBL1" s="87"/>
      <c r="HBM1" s="87"/>
      <c r="HBN1" s="87"/>
      <c r="HBO1" s="87"/>
      <c r="HBP1" s="87"/>
      <c r="HBQ1" s="87"/>
      <c r="HBR1" s="87"/>
      <c r="HBS1" s="87"/>
      <c r="HBT1" s="87"/>
      <c r="HBU1" s="87"/>
      <c r="HBV1" s="87"/>
      <c r="HBW1" s="87"/>
      <c r="HBX1" s="87"/>
      <c r="HBY1" s="87"/>
      <c r="HBZ1" s="87"/>
      <c r="HCA1" s="87"/>
      <c r="HCB1" s="87"/>
      <c r="HCC1" s="87"/>
      <c r="HCD1" s="87"/>
      <c r="HCE1" s="87"/>
      <c r="HCF1" s="87"/>
      <c r="HCG1" s="87"/>
      <c r="HCH1" s="87"/>
      <c r="HCI1" s="87"/>
      <c r="HCJ1" s="87"/>
      <c r="HCK1" s="87"/>
      <c r="HCL1" s="87"/>
      <c r="HCM1" s="87"/>
      <c r="HCN1" s="87"/>
      <c r="HCO1" s="87"/>
      <c r="HCP1" s="87"/>
      <c r="HCQ1" s="87"/>
      <c r="HCR1" s="87"/>
      <c r="HCS1" s="87"/>
      <c r="HCT1" s="87"/>
      <c r="HCU1" s="87"/>
      <c r="HCV1" s="87"/>
      <c r="HCW1" s="87"/>
      <c r="HCX1" s="87"/>
      <c r="HCY1" s="87"/>
      <c r="HCZ1" s="87"/>
      <c r="HDA1" s="87"/>
      <c r="HDB1" s="87"/>
      <c r="HDC1" s="87"/>
      <c r="HDD1" s="87"/>
      <c r="HDE1" s="87"/>
      <c r="HDF1" s="87"/>
      <c r="HDG1" s="87"/>
      <c r="HDH1" s="87"/>
      <c r="HDI1" s="87"/>
      <c r="HDJ1" s="87"/>
      <c r="HDK1" s="87"/>
      <c r="HDL1" s="87"/>
      <c r="HDM1" s="87"/>
      <c r="HDN1" s="87"/>
      <c r="HDO1" s="87"/>
      <c r="HDP1" s="87"/>
      <c r="HDQ1" s="87"/>
      <c r="HDR1" s="87"/>
      <c r="HDS1" s="87"/>
      <c r="HDT1" s="87"/>
      <c r="HDU1" s="87"/>
      <c r="HDV1" s="87"/>
      <c r="HDW1" s="87"/>
      <c r="HDX1" s="87"/>
      <c r="HDY1" s="87"/>
      <c r="HDZ1" s="87"/>
      <c r="HEA1" s="87"/>
      <c r="HEB1" s="87"/>
      <c r="HEC1" s="87"/>
      <c r="HED1" s="87"/>
      <c r="HEE1" s="87"/>
      <c r="HEF1" s="87"/>
      <c r="HEG1" s="87"/>
      <c r="HEH1" s="87"/>
      <c r="HEI1" s="87"/>
      <c r="HEJ1" s="87"/>
      <c r="HEK1" s="87"/>
      <c r="HEL1" s="87"/>
      <c r="HEM1" s="87"/>
      <c r="HEN1" s="87"/>
      <c r="HEO1" s="87"/>
      <c r="HEP1" s="87"/>
      <c r="HEQ1" s="87"/>
      <c r="HER1" s="87"/>
      <c r="HES1" s="87"/>
      <c r="HET1" s="87"/>
      <c r="HEU1" s="87"/>
      <c r="HEV1" s="87"/>
      <c r="HEW1" s="87"/>
      <c r="HEX1" s="87"/>
      <c r="HEY1" s="87"/>
      <c r="HEZ1" s="87"/>
      <c r="HFA1" s="87"/>
      <c r="HFB1" s="87"/>
      <c r="HFC1" s="87"/>
      <c r="HFD1" s="87"/>
      <c r="HFE1" s="87"/>
      <c r="HFF1" s="87"/>
      <c r="HFG1" s="87"/>
      <c r="HFH1" s="87"/>
      <c r="HFI1" s="87"/>
      <c r="HFJ1" s="87"/>
      <c r="HFK1" s="87"/>
      <c r="HFL1" s="87"/>
      <c r="HFM1" s="87"/>
      <c r="HFN1" s="87"/>
      <c r="HFO1" s="87"/>
      <c r="HFP1" s="87"/>
      <c r="HFQ1" s="87"/>
      <c r="HFR1" s="87"/>
      <c r="HFS1" s="87"/>
      <c r="HFT1" s="87"/>
      <c r="HFU1" s="87"/>
      <c r="HFV1" s="87"/>
      <c r="HFW1" s="87"/>
      <c r="HFX1" s="87"/>
      <c r="HFY1" s="87"/>
      <c r="HFZ1" s="87"/>
      <c r="HGA1" s="87"/>
      <c r="HGB1" s="87"/>
      <c r="HGC1" s="87"/>
      <c r="HGD1" s="87"/>
      <c r="HGE1" s="87"/>
      <c r="HGF1" s="87"/>
      <c r="HGG1" s="87"/>
      <c r="HGH1" s="87"/>
      <c r="HGI1" s="87"/>
      <c r="HGJ1" s="87"/>
      <c r="HGK1" s="87"/>
      <c r="HGL1" s="87"/>
      <c r="HGM1" s="87"/>
      <c r="HGN1" s="87"/>
      <c r="HGO1" s="87"/>
      <c r="HGP1" s="87"/>
      <c r="HGQ1" s="87"/>
      <c r="HGR1" s="87"/>
      <c r="HGS1" s="87"/>
      <c r="HGT1" s="87"/>
      <c r="HGU1" s="87"/>
      <c r="HGV1" s="87"/>
      <c r="HGW1" s="87"/>
      <c r="HGX1" s="87"/>
      <c r="HGY1" s="87"/>
      <c r="HGZ1" s="87"/>
      <c r="HHA1" s="87"/>
      <c r="HHB1" s="87"/>
      <c r="HHC1" s="87"/>
      <c r="HHD1" s="87"/>
      <c r="HHE1" s="87"/>
      <c r="HHF1" s="87"/>
      <c r="HHG1" s="87"/>
      <c r="HHH1" s="87"/>
      <c r="HHI1" s="87"/>
      <c r="HHJ1" s="87"/>
      <c r="HHK1" s="87"/>
      <c r="HHL1" s="87"/>
      <c r="HHM1" s="87"/>
      <c r="HHN1" s="87"/>
      <c r="HHO1" s="87"/>
      <c r="HHP1" s="87"/>
      <c r="HHQ1" s="87"/>
      <c r="HHR1" s="87"/>
      <c r="HHS1" s="87"/>
      <c r="HHT1" s="87"/>
      <c r="HHU1" s="87"/>
      <c r="HHV1" s="87"/>
      <c r="HHW1" s="87"/>
      <c r="HHX1" s="87"/>
      <c r="HHY1" s="87"/>
      <c r="HHZ1" s="87"/>
      <c r="HIA1" s="87"/>
      <c r="HIB1" s="87"/>
      <c r="HIC1" s="87"/>
      <c r="HID1" s="87"/>
      <c r="HIE1" s="87"/>
      <c r="HIF1" s="87"/>
      <c r="HIG1" s="87"/>
      <c r="HIH1" s="87"/>
      <c r="HII1" s="87"/>
      <c r="HIJ1" s="87"/>
      <c r="HIK1" s="87"/>
      <c r="HIL1" s="87"/>
      <c r="HIM1" s="87"/>
      <c r="HIN1" s="87"/>
      <c r="HIO1" s="87"/>
      <c r="HIP1" s="87"/>
      <c r="HIQ1" s="87"/>
      <c r="HIR1" s="87"/>
      <c r="HIS1" s="87"/>
      <c r="HIT1" s="87"/>
      <c r="HIU1" s="87"/>
      <c r="HIV1" s="87"/>
      <c r="HIW1" s="87"/>
      <c r="HIX1" s="87"/>
      <c r="HIY1" s="87"/>
      <c r="HIZ1" s="87"/>
      <c r="HJA1" s="87"/>
      <c r="HJB1" s="87"/>
      <c r="HJC1" s="87"/>
      <c r="HJD1" s="87"/>
      <c r="HJE1" s="87"/>
      <c r="HJF1" s="87"/>
      <c r="HJG1" s="87"/>
      <c r="HJH1" s="87"/>
      <c r="HJI1" s="87"/>
      <c r="HJJ1" s="87"/>
      <c r="HJK1" s="87"/>
      <c r="HJL1" s="87"/>
      <c r="HJM1" s="87"/>
      <c r="HJN1" s="87"/>
      <c r="HJO1" s="87"/>
      <c r="HJP1" s="87"/>
      <c r="HJQ1" s="87"/>
      <c r="HJR1" s="87"/>
      <c r="HJS1" s="87"/>
      <c r="HJT1" s="87"/>
      <c r="HJU1" s="87"/>
      <c r="HJV1" s="87"/>
      <c r="HJW1" s="87"/>
      <c r="HJX1" s="87"/>
      <c r="HJY1" s="87"/>
      <c r="HJZ1" s="87"/>
      <c r="HKA1" s="87"/>
      <c r="HKB1" s="87"/>
      <c r="HKC1" s="87"/>
      <c r="HKD1" s="87"/>
      <c r="HKE1" s="87"/>
      <c r="HKF1" s="87"/>
      <c r="HKG1" s="87"/>
      <c r="HKH1" s="87"/>
      <c r="HKI1" s="87"/>
      <c r="HKJ1" s="87"/>
      <c r="HKK1" s="87"/>
      <c r="HKL1" s="87"/>
      <c r="HKM1" s="87"/>
      <c r="HKN1" s="87"/>
      <c r="HKO1" s="87"/>
      <c r="HKP1" s="87"/>
      <c r="HKQ1" s="87"/>
      <c r="HKR1" s="87"/>
      <c r="HKS1" s="87"/>
      <c r="HKT1" s="87"/>
      <c r="HKU1" s="87"/>
      <c r="HKV1" s="87"/>
      <c r="HKW1" s="87"/>
      <c r="HKX1" s="87"/>
      <c r="HKY1" s="87"/>
      <c r="HKZ1" s="87"/>
      <c r="HLA1" s="87"/>
      <c r="HLB1" s="87"/>
      <c r="HLC1" s="87"/>
      <c r="HLD1" s="87"/>
      <c r="HLE1" s="87"/>
      <c r="HLF1" s="87"/>
      <c r="HLG1" s="87"/>
      <c r="HLH1" s="87"/>
      <c r="HLI1" s="87"/>
      <c r="HLJ1" s="87"/>
      <c r="HLK1" s="87"/>
      <c r="HLL1" s="87"/>
      <c r="HLM1" s="87"/>
      <c r="HLN1" s="87"/>
      <c r="HLO1" s="87"/>
      <c r="HLP1" s="87"/>
      <c r="HLQ1" s="87"/>
      <c r="HLR1" s="87"/>
      <c r="HLS1" s="87"/>
      <c r="HLT1" s="87"/>
      <c r="HLU1" s="87"/>
      <c r="HLV1" s="87"/>
      <c r="HLW1" s="87"/>
      <c r="HLX1" s="87"/>
      <c r="HLY1" s="87"/>
      <c r="HLZ1" s="87"/>
      <c r="HMA1" s="87"/>
      <c r="HMB1" s="87"/>
      <c r="HMC1" s="87"/>
      <c r="HMD1" s="87"/>
      <c r="HME1" s="87"/>
      <c r="HMF1" s="87"/>
      <c r="HMG1" s="87"/>
      <c r="HMH1" s="87"/>
      <c r="HMI1" s="87"/>
      <c r="HMJ1" s="87"/>
      <c r="HMK1" s="87"/>
      <c r="HML1" s="87"/>
      <c r="HMM1" s="87"/>
      <c r="HMN1" s="87"/>
      <c r="HMO1" s="87"/>
      <c r="HMP1" s="87"/>
      <c r="HMQ1" s="87"/>
      <c r="HMR1" s="87"/>
      <c r="HMS1" s="87"/>
      <c r="HMT1" s="87"/>
      <c r="HMU1" s="87"/>
      <c r="HMV1" s="87"/>
      <c r="HMW1" s="87"/>
      <c r="HMX1" s="87"/>
      <c r="HMY1" s="87"/>
      <c r="HMZ1" s="87"/>
      <c r="HNA1" s="87"/>
      <c r="HNB1" s="87"/>
      <c r="HNC1" s="87"/>
      <c r="HND1" s="87"/>
      <c r="HNE1" s="87"/>
      <c r="HNF1" s="87"/>
      <c r="HNG1" s="87"/>
      <c r="HNH1" s="87"/>
      <c r="HNI1" s="87"/>
      <c r="HNJ1" s="87"/>
      <c r="HNK1" s="87"/>
      <c r="HNL1" s="87"/>
      <c r="HNM1" s="87"/>
      <c r="HNN1" s="87"/>
      <c r="HNO1" s="87"/>
      <c r="HNP1" s="87"/>
      <c r="HNQ1" s="87"/>
      <c r="HNR1" s="87"/>
      <c r="HNS1" s="87"/>
      <c r="HNT1" s="87"/>
      <c r="HNU1" s="87"/>
      <c r="HNV1" s="87"/>
      <c r="HNW1" s="87"/>
      <c r="HNX1" s="87"/>
      <c r="HNY1" s="87"/>
      <c r="HNZ1" s="87"/>
      <c r="HOA1" s="87"/>
      <c r="HOB1" s="87"/>
      <c r="HOC1" s="87"/>
      <c r="HOD1" s="87"/>
      <c r="HOE1" s="87"/>
      <c r="HOF1" s="87"/>
      <c r="HOG1" s="87"/>
      <c r="HOH1" s="87"/>
      <c r="HOI1" s="87"/>
      <c r="HOJ1" s="87"/>
      <c r="HOK1" s="87"/>
      <c r="HOL1" s="87"/>
      <c r="HOM1" s="87"/>
      <c r="HON1" s="87"/>
      <c r="HOO1" s="87"/>
      <c r="HOP1" s="87"/>
      <c r="HOQ1" s="87"/>
      <c r="HOR1" s="87"/>
      <c r="HOS1" s="87"/>
      <c r="HOT1" s="87"/>
      <c r="HOU1" s="87"/>
      <c r="HOV1" s="87"/>
      <c r="HOW1" s="87"/>
      <c r="HOX1" s="87"/>
      <c r="HOY1" s="87"/>
      <c r="HOZ1" s="87"/>
      <c r="HPA1" s="87"/>
      <c r="HPB1" s="87"/>
      <c r="HPC1" s="87"/>
      <c r="HPD1" s="87"/>
      <c r="HPE1" s="87"/>
      <c r="HPF1" s="87"/>
      <c r="HPG1" s="87"/>
      <c r="HPH1" s="87"/>
      <c r="HPI1" s="87"/>
      <c r="HPJ1" s="87"/>
      <c r="HPK1" s="87"/>
      <c r="HPL1" s="87"/>
      <c r="HPM1" s="87"/>
      <c r="HPN1" s="87"/>
      <c r="HPO1" s="87"/>
      <c r="HPP1" s="87"/>
      <c r="HPQ1" s="87"/>
      <c r="HPR1" s="87"/>
      <c r="HPS1" s="87"/>
      <c r="HPT1" s="87"/>
      <c r="HPU1" s="87"/>
      <c r="HPV1" s="87"/>
      <c r="HPW1" s="87"/>
      <c r="HPX1" s="87"/>
      <c r="HPY1" s="87"/>
      <c r="HPZ1" s="87"/>
      <c r="HQA1" s="87"/>
      <c r="HQB1" s="87"/>
      <c r="HQC1" s="87"/>
      <c r="HQD1" s="87"/>
      <c r="HQE1" s="87"/>
      <c r="HQF1" s="87"/>
      <c r="HQG1" s="87"/>
      <c r="HQH1" s="87"/>
      <c r="HQI1" s="87"/>
      <c r="HQJ1" s="87"/>
      <c r="HQK1" s="87"/>
      <c r="HQL1" s="87"/>
      <c r="HQM1" s="87"/>
      <c r="HQN1" s="87"/>
      <c r="HQO1" s="87"/>
      <c r="HQP1" s="87"/>
      <c r="HQQ1" s="87"/>
      <c r="HQR1" s="87"/>
      <c r="HQS1" s="87"/>
      <c r="HQT1" s="87"/>
      <c r="HQU1" s="87"/>
      <c r="HQV1" s="87"/>
      <c r="HQW1" s="87"/>
      <c r="HQX1" s="87"/>
      <c r="HQY1" s="87"/>
      <c r="HQZ1" s="87"/>
      <c r="HRA1" s="87"/>
      <c r="HRB1" s="87"/>
      <c r="HRC1" s="87"/>
      <c r="HRD1" s="87"/>
      <c r="HRE1" s="87"/>
      <c r="HRF1" s="87"/>
      <c r="HRG1" s="87"/>
      <c r="HRH1" s="87"/>
      <c r="HRI1" s="87"/>
      <c r="HRJ1" s="87"/>
      <c r="HRK1" s="87"/>
      <c r="HRL1" s="87"/>
      <c r="HRM1" s="87"/>
      <c r="HRN1" s="87"/>
      <c r="HRO1" s="87"/>
      <c r="HRP1" s="87"/>
      <c r="HRQ1" s="87"/>
      <c r="HRR1" s="87"/>
      <c r="HRS1" s="87"/>
      <c r="HRT1" s="87"/>
      <c r="HRU1" s="87"/>
      <c r="HRV1" s="87"/>
      <c r="HRW1" s="87"/>
      <c r="HRX1" s="87"/>
      <c r="HRY1" s="87"/>
      <c r="HRZ1" s="87"/>
      <c r="HSA1" s="87"/>
      <c r="HSB1" s="87"/>
      <c r="HSC1" s="87"/>
      <c r="HSD1" s="87"/>
      <c r="HSE1" s="87"/>
      <c r="HSF1" s="87"/>
      <c r="HSG1" s="87"/>
      <c r="HSH1" s="87"/>
      <c r="HSI1" s="87"/>
      <c r="HSJ1" s="87"/>
      <c r="HSK1" s="87"/>
      <c r="HSL1" s="87"/>
      <c r="HSM1" s="87"/>
      <c r="HSN1" s="87"/>
      <c r="HSO1" s="87"/>
      <c r="HSP1" s="87"/>
      <c r="HSQ1" s="87"/>
      <c r="HSR1" s="87"/>
      <c r="HSS1" s="87"/>
      <c r="HST1" s="87"/>
      <c r="HSU1" s="87"/>
      <c r="HSV1" s="87"/>
      <c r="HSW1" s="87"/>
      <c r="HSX1" s="87"/>
      <c r="HSY1" s="87"/>
      <c r="HSZ1" s="87"/>
      <c r="HTA1" s="87"/>
      <c r="HTB1" s="87"/>
      <c r="HTC1" s="87"/>
      <c r="HTD1" s="87"/>
      <c r="HTE1" s="87"/>
      <c r="HTF1" s="87"/>
      <c r="HTG1" s="87"/>
      <c r="HTH1" s="87"/>
      <c r="HTI1" s="87"/>
      <c r="HTJ1" s="87"/>
      <c r="HTK1" s="87"/>
      <c r="HTL1" s="87"/>
      <c r="HTM1" s="87"/>
      <c r="HTN1" s="87"/>
      <c r="HTO1" s="87"/>
      <c r="HTP1" s="87"/>
      <c r="HTQ1" s="87"/>
      <c r="HTR1" s="87"/>
      <c r="HTS1" s="87"/>
      <c r="HTT1" s="87"/>
      <c r="HTU1" s="87"/>
      <c r="HTV1" s="87"/>
      <c r="HTW1" s="87"/>
      <c r="HTX1" s="87"/>
      <c r="HTY1" s="87"/>
      <c r="HTZ1" s="87"/>
      <c r="HUA1" s="87"/>
      <c r="HUB1" s="87"/>
      <c r="HUC1" s="87"/>
      <c r="HUD1" s="87"/>
      <c r="HUE1" s="87"/>
      <c r="HUF1" s="87"/>
      <c r="HUG1" s="87"/>
      <c r="HUH1" s="87"/>
      <c r="HUI1" s="87"/>
      <c r="HUJ1" s="87"/>
      <c r="HUK1" s="87"/>
      <c r="HUL1" s="87"/>
      <c r="HUM1" s="87"/>
      <c r="HUN1" s="87"/>
      <c r="HUO1" s="87"/>
      <c r="HUP1" s="87"/>
      <c r="HUQ1" s="87"/>
      <c r="HUR1" s="87"/>
      <c r="HUS1" s="87"/>
      <c r="HUT1" s="87"/>
      <c r="HUU1" s="87"/>
      <c r="HUV1" s="87"/>
      <c r="HUW1" s="87"/>
      <c r="HUX1" s="87"/>
      <c r="HUY1" s="87"/>
      <c r="HUZ1" s="87"/>
      <c r="HVA1" s="87"/>
      <c r="HVB1" s="87"/>
      <c r="HVC1" s="87"/>
      <c r="HVD1" s="87"/>
      <c r="HVE1" s="87"/>
      <c r="HVF1" s="87"/>
      <c r="HVG1" s="87"/>
      <c r="HVH1" s="87"/>
      <c r="HVI1" s="87"/>
      <c r="HVJ1" s="87"/>
      <c r="HVK1" s="87"/>
      <c r="HVL1" s="87"/>
      <c r="HVM1" s="87"/>
      <c r="HVN1" s="87"/>
      <c r="HVO1" s="87"/>
      <c r="HVP1" s="87"/>
      <c r="HVQ1" s="87"/>
      <c r="HVR1" s="87"/>
      <c r="HVS1" s="87"/>
      <c r="HVT1" s="87"/>
      <c r="HVU1" s="87"/>
      <c r="HVV1" s="87"/>
      <c r="HVW1" s="87"/>
      <c r="HVX1" s="87"/>
      <c r="HVY1" s="87"/>
      <c r="HVZ1" s="87"/>
      <c r="HWA1" s="87"/>
      <c r="HWB1" s="87"/>
      <c r="HWC1" s="87"/>
      <c r="HWD1" s="87"/>
      <c r="HWE1" s="87"/>
      <c r="HWF1" s="87"/>
      <c r="HWG1" s="87"/>
      <c r="HWH1" s="87"/>
      <c r="HWI1" s="87"/>
      <c r="HWJ1" s="87"/>
      <c r="HWK1" s="87"/>
      <c r="HWL1" s="87"/>
      <c r="HWM1" s="87"/>
      <c r="HWN1" s="87"/>
      <c r="HWO1" s="87"/>
      <c r="HWP1" s="87"/>
      <c r="HWQ1" s="87"/>
      <c r="HWR1" s="87"/>
      <c r="HWS1" s="87"/>
      <c r="HWT1" s="87"/>
      <c r="HWU1" s="87"/>
      <c r="HWV1" s="87"/>
      <c r="HWW1" s="87"/>
      <c r="HWX1" s="87"/>
      <c r="HWY1" s="87"/>
      <c r="HWZ1" s="87"/>
      <c r="HXA1" s="87"/>
      <c r="HXB1" s="87"/>
      <c r="HXC1" s="87"/>
      <c r="HXD1" s="87"/>
      <c r="HXE1" s="87"/>
      <c r="HXF1" s="87"/>
      <c r="HXG1" s="87"/>
      <c r="HXH1" s="87"/>
      <c r="HXI1" s="87"/>
      <c r="HXJ1" s="87"/>
      <c r="HXK1" s="87"/>
      <c r="HXL1" s="87"/>
      <c r="HXM1" s="87"/>
      <c r="HXN1" s="87"/>
      <c r="HXO1" s="87"/>
      <c r="HXP1" s="87"/>
      <c r="HXQ1" s="87"/>
      <c r="HXR1" s="87"/>
      <c r="HXS1" s="87"/>
      <c r="HXT1" s="87"/>
      <c r="HXU1" s="87"/>
      <c r="HXV1" s="87"/>
      <c r="HXW1" s="87"/>
      <c r="HXX1" s="87"/>
      <c r="HXY1" s="87"/>
      <c r="HXZ1" s="87"/>
      <c r="HYA1" s="87"/>
      <c r="HYB1" s="87"/>
      <c r="HYC1" s="87"/>
      <c r="HYD1" s="87"/>
      <c r="HYE1" s="87"/>
      <c r="HYF1" s="87"/>
      <c r="HYG1" s="87"/>
      <c r="HYH1" s="87"/>
      <c r="HYI1" s="87"/>
      <c r="HYJ1" s="87"/>
      <c r="HYK1" s="87"/>
      <c r="HYL1" s="87"/>
      <c r="HYM1" s="87"/>
      <c r="HYN1" s="87"/>
      <c r="HYO1" s="87"/>
      <c r="HYP1" s="87"/>
      <c r="HYQ1" s="87"/>
      <c r="HYR1" s="87"/>
      <c r="HYS1" s="87"/>
      <c r="HYT1" s="87"/>
      <c r="HYU1" s="87"/>
      <c r="HYV1" s="87"/>
      <c r="HYW1" s="87"/>
      <c r="HYX1" s="87"/>
      <c r="HYY1" s="87"/>
      <c r="HYZ1" s="87"/>
      <c r="HZA1" s="87"/>
      <c r="HZB1" s="87"/>
      <c r="HZC1" s="87"/>
      <c r="HZD1" s="87"/>
      <c r="HZE1" s="87"/>
      <c r="HZF1" s="87"/>
      <c r="HZG1" s="87"/>
      <c r="HZH1" s="87"/>
      <c r="HZI1" s="87"/>
      <c r="HZJ1" s="87"/>
      <c r="HZK1" s="87"/>
      <c r="HZL1" s="87"/>
      <c r="HZM1" s="87"/>
      <c r="HZN1" s="87"/>
      <c r="HZO1" s="87"/>
      <c r="HZP1" s="87"/>
      <c r="HZQ1" s="87"/>
      <c r="HZR1" s="87"/>
      <c r="HZS1" s="87"/>
      <c r="HZT1" s="87"/>
      <c r="HZU1" s="87"/>
      <c r="HZV1" s="87"/>
      <c r="HZW1" s="87"/>
      <c r="HZX1" s="87"/>
      <c r="HZY1" s="87"/>
      <c r="HZZ1" s="87"/>
      <c r="IAA1" s="87"/>
      <c r="IAB1" s="87"/>
      <c r="IAC1" s="87"/>
      <c r="IAD1" s="87"/>
      <c r="IAE1" s="87"/>
      <c r="IAF1" s="87"/>
      <c r="IAG1" s="87"/>
      <c r="IAH1" s="87"/>
      <c r="IAI1" s="87"/>
      <c r="IAJ1" s="87"/>
      <c r="IAK1" s="87"/>
      <c r="IAL1" s="87"/>
      <c r="IAM1" s="87"/>
      <c r="IAN1" s="87"/>
      <c r="IAO1" s="87"/>
      <c r="IAP1" s="87"/>
      <c r="IAQ1" s="87"/>
      <c r="IAR1" s="87"/>
      <c r="IAS1" s="87"/>
      <c r="IAT1" s="87"/>
      <c r="IAU1" s="87"/>
      <c r="IAV1" s="87"/>
      <c r="IAW1" s="87"/>
      <c r="IAX1" s="87"/>
      <c r="IAY1" s="87"/>
      <c r="IAZ1" s="87"/>
      <c r="IBA1" s="87"/>
      <c r="IBB1" s="87"/>
      <c r="IBC1" s="87"/>
      <c r="IBD1" s="87"/>
      <c r="IBE1" s="87"/>
      <c r="IBF1" s="87"/>
      <c r="IBG1" s="87"/>
      <c r="IBH1" s="87"/>
      <c r="IBI1" s="87"/>
      <c r="IBJ1" s="87"/>
      <c r="IBK1" s="87"/>
      <c r="IBL1" s="87"/>
      <c r="IBM1" s="87"/>
      <c r="IBN1" s="87"/>
      <c r="IBO1" s="87"/>
      <c r="IBP1" s="87"/>
      <c r="IBQ1" s="87"/>
      <c r="IBR1" s="87"/>
      <c r="IBS1" s="87"/>
      <c r="IBT1" s="87"/>
      <c r="IBU1" s="87"/>
      <c r="IBV1" s="87"/>
      <c r="IBW1" s="87"/>
      <c r="IBX1" s="87"/>
      <c r="IBY1" s="87"/>
      <c r="IBZ1" s="87"/>
      <c r="ICA1" s="87"/>
      <c r="ICB1" s="87"/>
      <c r="ICC1" s="87"/>
      <c r="ICD1" s="87"/>
      <c r="ICE1" s="87"/>
      <c r="ICF1" s="87"/>
      <c r="ICG1" s="87"/>
      <c r="ICH1" s="87"/>
      <c r="ICI1" s="87"/>
      <c r="ICJ1" s="87"/>
      <c r="ICK1" s="87"/>
      <c r="ICL1" s="87"/>
      <c r="ICM1" s="87"/>
      <c r="ICN1" s="87"/>
      <c r="ICO1" s="87"/>
      <c r="ICP1" s="87"/>
      <c r="ICQ1" s="87"/>
      <c r="ICR1" s="87"/>
      <c r="ICS1" s="87"/>
      <c r="ICT1" s="87"/>
      <c r="ICU1" s="87"/>
      <c r="ICV1" s="87"/>
      <c r="ICW1" s="87"/>
      <c r="ICX1" s="87"/>
      <c r="ICY1" s="87"/>
      <c r="ICZ1" s="87"/>
      <c r="IDA1" s="87"/>
      <c r="IDB1" s="87"/>
      <c r="IDC1" s="87"/>
      <c r="IDD1" s="87"/>
      <c r="IDE1" s="87"/>
      <c r="IDF1" s="87"/>
      <c r="IDG1" s="87"/>
      <c r="IDH1" s="87"/>
      <c r="IDI1" s="87"/>
      <c r="IDJ1" s="87"/>
      <c r="IDK1" s="87"/>
      <c r="IDL1" s="87"/>
      <c r="IDM1" s="87"/>
      <c r="IDN1" s="87"/>
      <c r="IDO1" s="87"/>
      <c r="IDP1" s="87"/>
      <c r="IDQ1" s="87"/>
      <c r="IDR1" s="87"/>
      <c r="IDS1" s="87"/>
      <c r="IDT1" s="87"/>
      <c r="IDU1" s="87"/>
      <c r="IDV1" s="87"/>
      <c r="IDW1" s="87"/>
      <c r="IDX1" s="87"/>
      <c r="IDY1" s="87"/>
      <c r="IDZ1" s="87"/>
      <c r="IEA1" s="87"/>
      <c r="IEB1" s="87"/>
      <c r="IEC1" s="87"/>
      <c r="IED1" s="87"/>
      <c r="IEE1" s="87"/>
      <c r="IEF1" s="87"/>
      <c r="IEG1" s="87"/>
      <c r="IEH1" s="87"/>
      <c r="IEI1" s="87"/>
      <c r="IEJ1" s="87"/>
      <c r="IEK1" s="87"/>
      <c r="IEL1" s="87"/>
      <c r="IEM1" s="87"/>
      <c r="IEN1" s="87"/>
      <c r="IEO1" s="87"/>
      <c r="IEP1" s="87"/>
      <c r="IEQ1" s="87"/>
      <c r="IER1" s="87"/>
      <c r="IES1" s="87"/>
      <c r="IET1" s="87"/>
      <c r="IEU1" s="87"/>
      <c r="IEV1" s="87"/>
      <c r="IEW1" s="87"/>
      <c r="IEX1" s="87"/>
      <c r="IEY1" s="87"/>
      <c r="IEZ1" s="87"/>
      <c r="IFA1" s="87"/>
      <c r="IFB1" s="87"/>
      <c r="IFC1" s="87"/>
      <c r="IFD1" s="87"/>
      <c r="IFE1" s="87"/>
      <c r="IFF1" s="87"/>
      <c r="IFG1" s="87"/>
      <c r="IFH1" s="87"/>
      <c r="IFI1" s="87"/>
      <c r="IFJ1" s="87"/>
      <c r="IFK1" s="87"/>
      <c r="IFL1" s="87"/>
      <c r="IFM1" s="87"/>
      <c r="IFN1" s="87"/>
      <c r="IFO1" s="87"/>
      <c r="IFP1" s="87"/>
      <c r="IFQ1" s="87"/>
      <c r="IFR1" s="87"/>
      <c r="IFS1" s="87"/>
      <c r="IFT1" s="87"/>
      <c r="IFU1" s="87"/>
      <c r="IFV1" s="87"/>
      <c r="IFW1" s="87"/>
      <c r="IFX1" s="87"/>
      <c r="IFY1" s="87"/>
      <c r="IFZ1" s="87"/>
      <c r="IGA1" s="87"/>
      <c r="IGB1" s="87"/>
      <c r="IGC1" s="87"/>
      <c r="IGD1" s="87"/>
      <c r="IGE1" s="87"/>
      <c r="IGF1" s="87"/>
      <c r="IGG1" s="87"/>
      <c r="IGH1" s="87"/>
      <c r="IGI1" s="87"/>
      <c r="IGJ1" s="87"/>
      <c r="IGK1" s="87"/>
      <c r="IGL1" s="87"/>
      <c r="IGM1" s="87"/>
      <c r="IGN1" s="87"/>
      <c r="IGO1" s="87"/>
      <c r="IGP1" s="87"/>
      <c r="IGQ1" s="87"/>
      <c r="IGR1" s="87"/>
      <c r="IGS1" s="87"/>
      <c r="IGT1" s="87"/>
      <c r="IGU1" s="87"/>
      <c r="IGV1" s="87"/>
      <c r="IGW1" s="87"/>
      <c r="IGX1" s="87"/>
      <c r="IGY1" s="87"/>
      <c r="IGZ1" s="87"/>
      <c r="IHA1" s="87"/>
      <c r="IHB1" s="87"/>
      <c r="IHC1" s="87"/>
      <c r="IHD1" s="87"/>
      <c r="IHE1" s="87"/>
      <c r="IHF1" s="87"/>
      <c r="IHG1" s="87"/>
      <c r="IHH1" s="87"/>
      <c r="IHI1" s="87"/>
      <c r="IHJ1" s="87"/>
      <c r="IHK1" s="87"/>
      <c r="IHL1" s="87"/>
      <c r="IHM1" s="87"/>
      <c r="IHN1" s="87"/>
      <c r="IHO1" s="87"/>
      <c r="IHP1" s="87"/>
      <c r="IHQ1" s="87"/>
      <c r="IHR1" s="87"/>
      <c r="IHS1" s="87"/>
      <c r="IHT1" s="87"/>
      <c r="IHU1" s="87"/>
      <c r="IHV1" s="87"/>
      <c r="IHW1" s="87"/>
      <c r="IHX1" s="87"/>
      <c r="IHY1" s="87"/>
      <c r="IHZ1" s="87"/>
      <c r="IIA1" s="87"/>
      <c r="IIB1" s="87"/>
      <c r="IIC1" s="87"/>
      <c r="IID1" s="87"/>
      <c r="IIE1" s="87"/>
      <c r="IIF1" s="87"/>
      <c r="IIG1" s="87"/>
      <c r="IIH1" s="87"/>
      <c r="III1" s="87"/>
      <c r="IIJ1" s="87"/>
      <c r="IIK1" s="87"/>
      <c r="IIL1" s="87"/>
      <c r="IIM1" s="87"/>
      <c r="IIN1" s="87"/>
      <c r="IIO1" s="87"/>
      <c r="IIP1" s="87"/>
      <c r="IIQ1" s="87"/>
      <c r="IIR1" s="87"/>
      <c r="IIS1" s="87"/>
      <c r="IIT1" s="87"/>
      <c r="IIU1" s="87"/>
      <c r="IIV1" s="87"/>
      <c r="IIW1" s="87"/>
      <c r="IIX1" s="87"/>
      <c r="IIY1" s="87"/>
      <c r="IIZ1" s="87"/>
      <c r="IJA1" s="87"/>
      <c r="IJB1" s="87"/>
      <c r="IJC1" s="87"/>
      <c r="IJD1" s="87"/>
      <c r="IJE1" s="87"/>
      <c r="IJF1" s="87"/>
      <c r="IJG1" s="87"/>
      <c r="IJH1" s="87"/>
      <c r="IJI1" s="87"/>
      <c r="IJJ1" s="87"/>
      <c r="IJK1" s="87"/>
      <c r="IJL1" s="87"/>
      <c r="IJM1" s="87"/>
      <c r="IJN1" s="87"/>
      <c r="IJO1" s="87"/>
      <c r="IJP1" s="87"/>
      <c r="IJQ1" s="87"/>
      <c r="IJR1" s="87"/>
      <c r="IJS1" s="87"/>
      <c r="IJT1" s="87"/>
      <c r="IJU1" s="87"/>
      <c r="IJV1" s="87"/>
      <c r="IJW1" s="87"/>
      <c r="IJX1" s="87"/>
      <c r="IJY1" s="87"/>
      <c r="IJZ1" s="87"/>
      <c r="IKA1" s="87"/>
      <c r="IKB1" s="87"/>
      <c r="IKC1" s="87"/>
      <c r="IKD1" s="87"/>
      <c r="IKE1" s="87"/>
      <c r="IKF1" s="87"/>
      <c r="IKG1" s="87"/>
      <c r="IKH1" s="87"/>
      <c r="IKI1" s="87"/>
      <c r="IKJ1" s="87"/>
      <c r="IKK1" s="87"/>
      <c r="IKL1" s="87"/>
      <c r="IKM1" s="87"/>
      <c r="IKN1" s="87"/>
      <c r="IKO1" s="87"/>
      <c r="IKP1" s="87"/>
      <c r="IKQ1" s="87"/>
      <c r="IKR1" s="87"/>
      <c r="IKS1" s="87"/>
      <c r="IKT1" s="87"/>
      <c r="IKU1" s="87"/>
      <c r="IKV1" s="87"/>
      <c r="IKW1" s="87"/>
      <c r="IKX1" s="87"/>
      <c r="IKY1" s="87"/>
      <c r="IKZ1" s="87"/>
      <c r="ILA1" s="87"/>
      <c r="ILB1" s="87"/>
      <c r="ILC1" s="87"/>
      <c r="ILD1" s="87"/>
      <c r="ILE1" s="87"/>
      <c r="ILF1" s="87"/>
      <c r="ILG1" s="87"/>
      <c r="ILH1" s="87"/>
      <c r="ILI1" s="87"/>
      <c r="ILJ1" s="87"/>
      <c r="ILK1" s="87"/>
      <c r="ILL1" s="87"/>
      <c r="ILM1" s="87"/>
      <c r="ILN1" s="87"/>
      <c r="ILO1" s="87"/>
      <c r="ILP1" s="87"/>
      <c r="ILQ1" s="87"/>
      <c r="ILR1" s="87"/>
      <c r="ILS1" s="87"/>
      <c r="ILT1" s="87"/>
      <c r="ILU1" s="87"/>
      <c r="ILV1" s="87"/>
      <c r="ILW1" s="87"/>
      <c r="ILX1" s="87"/>
      <c r="ILY1" s="87"/>
      <c r="ILZ1" s="87"/>
      <c r="IMA1" s="87"/>
      <c r="IMB1" s="87"/>
      <c r="IMC1" s="87"/>
      <c r="IMD1" s="87"/>
      <c r="IME1" s="87"/>
      <c r="IMF1" s="87"/>
      <c r="IMG1" s="87"/>
      <c r="IMH1" s="87"/>
      <c r="IMI1" s="87"/>
      <c r="IMJ1" s="87"/>
      <c r="IMK1" s="87"/>
      <c r="IML1" s="87"/>
      <c r="IMM1" s="87"/>
      <c r="IMN1" s="87"/>
      <c r="IMO1" s="87"/>
      <c r="IMP1" s="87"/>
      <c r="IMQ1" s="87"/>
      <c r="IMR1" s="87"/>
      <c r="IMS1" s="87"/>
      <c r="IMT1" s="87"/>
      <c r="IMU1" s="87"/>
      <c r="IMV1" s="87"/>
      <c r="IMW1" s="87"/>
      <c r="IMX1" s="87"/>
      <c r="IMY1" s="87"/>
      <c r="IMZ1" s="87"/>
      <c r="INA1" s="87"/>
      <c r="INB1" s="87"/>
      <c r="INC1" s="87"/>
      <c r="IND1" s="87"/>
      <c r="INE1" s="87"/>
      <c r="INF1" s="87"/>
      <c r="ING1" s="87"/>
      <c r="INH1" s="87"/>
      <c r="INI1" s="87"/>
      <c r="INJ1" s="87"/>
      <c r="INK1" s="87"/>
      <c r="INL1" s="87"/>
      <c r="INM1" s="87"/>
      <c r="INN1" s="87"/>
      <c r="INO1" s="87"/>
      <c r="INP1" s="87"/>
      <c r="INQ1" s="87"/>
      <c r="INR1" s="87"/>
      <c r="INS1" s="87"/>
      <c r="INT1" s="87"/>
      <c r="INU1" s="87"/>
      <c r="INV1" s="87"/>
      <c r="INW1" s="87"/>
      <c r="INX1" s="87"/>
      <c r="INY1" s="87"/>
      <c r="INZ1" s="87"/>
      <c r="IOA1" s="87"/>
      <c r="IOB1" s="87"/>
      <c r="IOC1" s="87"/>
      <c r="IOD1" s="87"/>
      <c r="IOE1" s="87"/>
      <c r="IOF1" s="87"/>
      <c r="IOG1" s="87"/>
      <c r="IOH1" s="87"/>
      <c r="IOI1" s="87"/>
      <c r="IOJ1" s="87"/>
      <c r="IOK1" s="87"/>
      <c r="IOL1" s="87"/>
      <c r="IOM1" s="87"/>
      <c r="ION1" s="87"/>
      <c r="IOO1" s="87"/>
      <c r="IOP1" s="87"/>
      <c r="IOQ1" s="87"/>
      <c r="IOR1" s="87"/>
      <c r="IOS1" s="87"/>
      <c r="IOT1" s="87"/>
      <c r="IOU1" s="87"/>
      <c r="IOV1" s="87"/>
      <c r="IOW1" s="87"/>
      <c r="IOX1" s="87"/>
      <c r="IOY1" s="87"/>
      <c r="IOZ1" s="87"/>
      <c r="IPA1" s="87"/>
      <c r="IPB1" s="87"/>
      <c r="IPC1" s="87"/>
      <c r="IPD1" s="87"/>
      <c r="IPE1" s="87"/>
      <c r="IPF1" s="87"/>
      <c r="IPG1" s="87"/>
      <c r="IPH1" s="87"/>
      <c r="IPI1" s="87"/>
      <c r="IPJ1" s="87"/>
      <c r="IPK1" s="87"/>
      <c r="IPL1" s="87"/>
      <c r="IPM1" s="87"/>
      <c r="IPN1" s="87"/>
      <c r="IPO1" s="87"/>
      <c r="IPP1" s="87"/>
      <c r="IPQ1" s="87"/>
      <c r="IPR1" s="87"/>
      <c r="IPS1" s="87"/>
      <c r="IPT1" s="87"/>
      <c r="IPU1" s="87"/>
      <c r="IPV1" s="87"/>
      <c r="IPW1" s="87"/>
      <c r="IPX1" s="87"/>
      <c r="IPY1" s="87"/>
      <c r="IPZ1" s="87"/>
      <c r="IQA1" s="87"/>
      <c r="IQB1" s="87"/>
      <c r="IQC1" s="87"/>
      <c r="IQD1" s="87"/>
      <c r="IQE1" s="87"/>
      <c r="IQF1" s="87"/>
      <c r="IQG1" s="87"/>
      <c r="IQH1" s="87"/>
      <c r="IQI1" s="87"/>
      <c r="IQJ1" s="87"/>
      <c r="IQK1" s="87"/>
      <c r="IQL1" s="87"/>
      <c r="IQM1" s="87"/>
      <c r="IQN1" s="87"/>
      <c r="IQO1" s="87"/>
      <c r="IQP1" s="87"/>
      <c r="IQQ1" s="87"/>
      <c r="IQR1" s="87"/>
      <c r="IQS1" s="87"/>
      <c r="IQT1" s="87"/>
      <c r="IQU1" s="87"/>
      <c r="IQV1" s="87"/>
      <c r="IQW1" s="87"/>
      <c r="IQX1" s="87"/>
      <c r="IQY1" s="87"/>
      <c r="IQZ1" s="87"/>
      <c r="IRA1" s="87"/>
      <c r="IRB1" s="87"/>
      <c r="IRC1" s="87"/>
      <c r="IRD1" s="87"/>
      <c r="IRE1" s="87"/>
      <c r="IRF1" s="87"/>
      <c r="IRG1" s="87"/>
      <c r="IRH1" s="87"/>
      <c r="IRI1" s="87"/>
      <c r="IRJ1" s="87"/>
      <c r="IRK1" s="87"/>
      <c r="IRL1" s="87"/>
      <c r="IRM1" s="87"/>
      <c r="IRN1" s="87"/>
      <c r="IRO1" s="87"/>
      <c r="IRP1" s="87"/>
      <c r="IRQ1" s="87"/>
      <c r="IRR1" s="87"/>
      <c r="IRS1" s="87"/>
      <c r="IRT1" s="87"/>
      <c r="IRU1" s="87"/>
      <c r="IRV1" s="87"/>
      <c r="IRW1" s="87"/>
      <c r="IRX1" s="87"/>
      <c r="IRY1" s="87"/>
      <c r="IRZ1" s="87"/>
      <c r="ISA1" s="87"/>
      <c r="ISB1" s="87"/>
      <c r="ISC1" s="87"/>
      <c r="ISD1" s="87"/>
      <c r="ISE1" s="87"/>
      <c r="ISF1" s="87"/>
      <c r="ISG1" s="87"/>
      <c r="ISH1" s="87"/>
      <c r="ISI1" s="87"/>
      <c r="ISJ1" s="87"/>
      <c r="ISK1" s="87"/>
      <c r="ISL1" s="87"/>
      <c r="ISM1" s="87"/>
      <c r="ISN1" s="87"/>
      <c r="ISO1" s="87"/>
      <c r="ISP1" s="87"/>
      <c r="ISQ1" s="87"/>
      <c r="ISR1" s="87"/>
      <c r="ISS1" s="87"/>
      <c r="IST1" s="87"/>
      <c r="ISU1" s="87"/>
      <c r="ISV1" s="87"/>
      <c r="ISW1" s="87"/>
      <c r="ISX1" s="87"/>
      <c r="ISY1" s="87"/>
      <c r="ISZ1" s="87"/>
      <c r="ITA1" s="87"/>
      <c r="ITB1" s="87"/>
      <c r="ITC1" s="87"/>
      <c r="ITD1" s="87"/>
      <c r="ITE1" s="87"/>
      <c r="ITF1" s="87"/>
      <c r="ITG1" s="87"/>
      <c r="ITH1" s="87"/>
      <c r="ITI1" s="87"/>
      <c r="ITJ1" s="87"/>
      <c r="ITK1" s="87"/>
      <c r="ITL1" s="87"/>
      <c r="ITM1" s="87"/>
      <c r="ITN1" s="87"/>
      <c r="ITO1" s="87"/>
      <c r="ITP1" s="87"/>
      <c r="ITQ1" s="87"/>
      <c r="ITR1" s="87"/>
      <c r="ITS1" s="87"/>
      <c r="ITT1" s="87"/>
      <c r="ITU1" s="87"/>
      <c r="ITV1" s="87"/>
      <c r="ITW1" s="87"/>
      <c r="ITX1" s="87"/>
      <c r="ITY1" s="87"/>
      <c r="ITZ1" s="87"/>
      <c r="IUA1" s="87"/>
      <c r="IUB1" s="87"/>
      <c r="IUC1" s="87"/>
      <c r="IUD1" s="87"/>
      <c r="IUE1" s="87"/>
      <c r="IUF1" s="87"/>
      <c r="IUG1" s="87"/>
      <c r="IUH1" s="87"/>
      <c r="IUI1" s="87"/>
      <c r="IUJ1" s="87"/>
      <c r="IUK1" s="87"/>
      <c r="IUL1" s="87"/>
      <c r="IUM1" s="87"/>
      <c r="IUN1" s="87"/>
      <c r="IUO1" s="87"/>
      <c r="IUP1" s="87"/>
      <c r="IUQ1" s="87"/>
      <c r="IUR1" s="87"/>
      <c r="IUS1" s="87"/>
      <c r="IUT1" s="87"/>
      <c r="IUU1" s="87"/>
      <c r="IUV1" s="87"/>
      <c r="IUW1" s="87"/>
      <c r="IUX1" s="87"/>
      <c r="IUY1" s="87"/>
      <c r="IUZ1" s="87"/>
      <c r="IVA1" s="87"/>
      <c r="IVB1" s="87"/>
      <c r="IVC1" s="87"/>
      <c r="IVD1" s="87"/>
      <c r="IVE1" s="87"/>
      <c r="IVF1" s="87"/>
      <c r="IVG1" s="87"/>
      <c r="IVH1" s="87"/>
      <c r="IVI1" s="87"/>
      <c r="IVJ1" s="87"/>
      <c r="IVK1" s="87"/>
      <c r="IVL1" s="87"/>
      <c r="IVM1" s="87"/>
      <c r="IVN1" s="87"/>
      <c r="IVO1" s="87"/>
      <c r="IVP1" s="87"/>
      <c r="IVQ1" s="87"/>
      <c r="IVR1" s="87"/>
      <c r="IVS1" s="87"/>
      <c r="IVT1" s="87"/>
      <c r="IVU1" s="87"/>
      <c r="IVV1" s="87"/>
      <c r="IVW1" s="87"/>
      <c r="IVX1" s="87"/>
      <c r="IVY1" s="87"/>
      <c r="IVZ1" s="87"/>
      <c r="IWA1" s="87"/>
      <c r="IWB1" s="87"/>
      <c r="IWC1" s="87"/>
      <c r="IWD1" s="87"/>
      <c r="IWE1" s="87"/>
      <c r="IWF1" s="87"/>
      <c r="IWG1" s="87"/>
      <c r="IWH1" s="87"/>
      <c r="IWI1" s="87"/>
      <c r="IWJ1" s="87"/>
      <c r="IWK1" s="87"/>
      <c r="IWL1" s="87"/>
      <c r="IWM1" s="87"/>
      <c r="IWN1" s="87"/>
      <c r="IWO1" s="87"/>
      <c r="IWP1" s="87"/>
      <c r="IWQ1" s="87"/>
      <c r="IWR1" s="87"/>
      <c r="IWS1" s="87"/>
      <c r="IWT1" s="87"/>
      <c r="IWU1" s="87"/>
      <c r="IWV1" s="87"/>
      <c r="IWW1" s="87"/>
      <c r="IWX1" s="87"/>
      <c r="IWY1" s="87"/>
      <c r="IWZ1" s="87"/>
      <c r="IXA1" s="87"/>
      <c r="IXB1" s="87"/>
      <c r="IXC1" s="87"/>
      <c r="IXD1" s="87"/>
      <c r="IXE1" s="87"/>
      <c r="IXF1" s="87"/>
      <c r="IXG1" s="87"/>
      <c r="IXH1" s="87"/>
      <c r="IXI1" s="87"/>
      <c r="IXJ1" s="87"/>
      <c r="IXK1" s="87"/>
      <c r="IXL1" s="87"/>
      <c r="IXM1" s="87"/>
      <c r="IXN1" s="87"/>
      <c r="IXO1" s="87"/>
      <c r="IXP1" s="87"/>
      <c r="IXQ1" s="87"/>
      <c r="IXR1" s="87"/>
      <c r="IXS1" s="87"/>
      <c r="IXT1" s="87"/>
      <c r="IXU1" s="87"/>
      <c r="IXV1" s="87"/>
      <c r="IXW1" s="87"/>
      <c r="IXX1" s="87"/>
      <c r="IXY1" s="87"/>
      <c r="IXZ1" s="87"/>
      <c r="IYA1" s="87"/>
      <c r="IYB1" s="87"/>
      <c r="IYC1" s="87"/>
      <c r="IYD1" s="87"/>
      <c r="IYE1" s="87"/>
      <c r="IYF1" s="87"/>
      <c r="IYG1" s="87"/>
      <c r="IYH1" s="87"/>
      <c r="IYI1" s="87"/>
      <c r="IYJ1" s="87"/>
      <c r="IYK1" s="87"/>
      <c r="IYL1" s="87"/>
      <c r="IYM1" s="87"/>
      <c r="IYN1" s="87"/>
      <c r="IYO1" s="87"/>
      <c r="IYP1" s="87"/>
      <c r="IYQ1" s="87"/>
      <c r="IYR1" s="87"/>
      <c r="IYS1" s="87"/>
      <c r="IYT1" s="87"/>
      <c r="IYU1" s="87"/>
      <c r="IYV1" s="87"/>
      <c r="IYW1" s="87"/>
      <c r="IYX1" s="87"/>
      <c r="IYY1" s="87"/>
      <c r="IYZ1" s="87"/>
      <c r="IZA1" s="87"/>
      <c r="IZB1" s="87"/>
      <c r="IZC1" s="87"/>
      <c r="IZD1" s="87"/>
      <c r="IZE1" s="87"/>
      <c r="IZF1" s="87"/>
      <c r="IZG1" s="87"/>
      <c r="IZH1" s="87"/>
      <c r="IZI1" s="87"/>
      <c r="IZJ1" s="87"/>
      <c r="IZK1" s="87"/>
      <c r="IZL1" s="87"/>
      <c r="IZM1" s="87"/>
      <c r="IZN1" s="87"/>
      <c r="IZO1" s="87"/>
      <c r="IZP1" s="87"/>
      <c r="IZQ1" s="87"/>
      <c r="IZR1" s="87"/>
      <c r="IZS1" s="87"/>
      <c r="IZT1" s="87"/>
      <c r="IZU1" s="87"/>
      <c r="IZV1" s="87"/>
      <c r="IZW1" s="87"/>
      <c r="IZX1" s="87"/>
      <c r="IZY1" s="87"/>
      <c r="IZZ1" s="87"/>
      <c r="JAA1" s="87"/>
      <c r="JAB1" s="87"/>
      <c r="JAC1" s="87"/>
      <c r="JAD1" s="87"/>
      <c r="JAE1" s="87"/>
      <c r="JAF1" s="87"/>
      <c r="JAG1" s="87"/>
      <c r="JAH1" s="87"/>
      <c r="JAI1" s="87"/>
      <c r="JAJ1" s="87"/>
      <c r="JAK1" s="87"/>
      <c r="JAL1" s="87"/>
      <c r="JAM1" s="87"/>
      <c r="JAN1" s="87"/>
      <c r="JAO1" s="87"/>
      <c r="JAP1" s="87"/>
      <c r="JAQ1" s="87"/>
      <c r="JAR1" s="87"/>
      <c r="JAS1" s="87"/>
      <c r="JAT1" s="87"/>
      <c r="JAU1" s="87"/>
      <c r="JAV1" s="87"/>
      <c r="JAW1" s="87"/>
      <c r="JAX1" s="87"/>
      <c r="JAY1" s="87"/>
      <c r="JAZ1" s="87"/>
      <c r="JBA1" s="87"/>
      <c r="JBB1" s="87"/>
      <c r="JBC1" s="87"/>
      <c r="JBD1" s="87"/>
      <c r="JBE1" s="87"/>
      <c r="JBF1" s="87"/>
      <c r="JBG1" s="87"/>
      <c r="JBH1" s="87"/>
      <c r="JBI1" s="87"/>
      <c r="JBJ1" s="87"/>
      <c r="JBK1" s="87"/>
      <c r="JBL1" s="87"/>
      <c r="JBM1" s="87"/>
      <c r="JBN1" s="87"/>
      <c r="JBO1" s="87"/>
      <c r="JBP1" s="87"/>
      <c r="JBQ1" s="87"/>
      <c r="JBR1" s="87"/>
      <c r="JBS1" s="87"/>
      <c r="JBT1" s="87"/>
      <c r="JBU1" s="87"/>
      <c r="JBV1" s="87"/>
      <c r="JBW1" s="87"/>
      <c r="JBX1" s="87"/>
      <c r="JBY1" s="87"/>
      <c r="JBZ1" s="87"/>
      <c r="JCA1" s="87"/>
      <c r="JCB1" s="87"/>
      <c r="JCC1" s="87"/>
      <c r="JCD1" s="87"/>
      <c r="JCE1" s="87"/>
      <c r="JCF1" s="87"/>
      <c r="JCG1" s="87"/>
      <c r="JCH1" s="87"/>
      <c r="JCI1" s="87"/>
      <c r="JCJ1" s="87"/>
      <c r="JCK1" s="87"/>
      <c r="JCL1" s="87"/>
      <c r="JCM1" s="87"/>
      <c r="JCN1" s="87"/>
      <c r="JCO1" s="87"/>
      <c r="JCP1" s="87"/>
      <c r="JCQ1" s="87"/>
      <c r="JCR1" s="87"/>
      <c r="JCS1" s="87"/>
      <c r="JCT1" s="87"/>
      <c r="JCU1" s="87"/>
      <c r="JCV1" s="87"/>
      <c r="JCW1" s="87"/>
      <c r="JCX1" s="87"/>
      <c r="JCY1" s="87"/>
      <c r="JCZ1" s="87"/>
      <c r="JDA1" s="87"/>
      <c r="JDB1" s="87"/>
      <c r="JDC1" s="87"/>
      <c r="JDD1" s="87"/>
      <c r="JDE1" s="87"/>
      <c r="JDF1" s="87"/>
      <c r="JDG1" s="87"/>
      <c r="JDH1" s="87"/>
      <c r="JDI1" s="87"/>
      <c r="JDJ1" s="87"/>
      <c r="JDK1" s="87"/>
      <c r="JDL1" s="87"/>
      <c r="JDM1" s="87"/>
      <c r="JDN1" s="87"/>
      <c r="JDO1" s="87"/>
      <c r="JDP1" s="87"/>
      <c r="JDQ1" s="87"/>
      <c r="JDR1" s="87"/>
      <c r="JDS1" s="87"/>
      <c r="JDT1" s="87"/>
      <c r="JDU1" s="87"/>
      <c r="JDV1" s="87"/>
      <c r="JDW1" s="87"/>
      <c r="JDX1" s="87"/>
      <c r="JDY1" s="87"/>
      <c r="JDZ1" s="87"/>
      <c r="JEA1" s="87"/>
      <c r="JEB1" s="87"/>
      <c r="JEC1" s="87"/>
      <c r="JED1" s="87"/>
      <c r="JEE1" s="87"/>
      <c r="JEF1" s="87"/>
      <c r="JEG1" s="87"/>
      <c r="JEH1" s="87"/>
      <c r="JEI1" s="87"/>
      <c r="JEJ1" s="87"/>
      <c r="JEK1" s="87"/>
      <c r="JEL1" s="87"/>
      <c r="JEM1" s="87"/>
      <c r="JEN1" s="87"/>
      <c r="JEO1" s="87"/>
      <c r="JEP1" s="87"/>
      <c r="JEQ1" s="87"/>
      <c r="JER1" s="87"/>
      <c r="JES1" s="87"/>
      <c r="JET1" s="87"/>
      <c r="JEU1" s="87"/>
      <c r="JEV1" s="87"/>
      <c r="JEW1" s="87"/>
      <c r="JEX1" s="87"/>
      <c r="JEY1" s="87"/>
      <c r="JEZ1" s="87"/>
      <c r="JFA1" s="87"/>
      <c r="JFB1" s="87"/>
      <c r="JFC1" s="87"/>
      <c r="JFD1" s="87"/>
      <c r="JFE1" s="87"/>
      <c r="JFF1" s="87"/>
      <c r="JFG1" s="87"/>
      <c r="JFH1" s="87"/>
      <c r="JFI1" s="87"/>
      <c r="JFJ1" s="87"/>
      <c r="JFK1" s="87"/>
      <c r="JFL1" s="87"/>
      <c r="JFM1" s="87"/>
      <c r="JFN1" s="87"/>
      <c r="JFO1" s="87"/>
      <c r="JFP1" s="87"/>
      <c r="JFQ1" s="87"/>
      <c r="JFR1" s="87"/>
      <c r="JFS1" s="87"/>
      <c r="JFT1" s="87"/>
      <c r="JFU1" s="87"/>
      <c r="JFV1" s="87"/>
      <c r="JFW1" s="87"/>
      <c r="JFX1" s="87"/>
      <c r="JFY1" s="87"/>
      <c r="JFZ1" s="87"/>
      <c r="JGA1" s="87"/>
      <c r="JGB1" s="87"/>
      <c r="JGC1" s="87"/>
      <c r="JGD1" s="87"/>
      <c r="JGE1" s="87"/>
      <c r="JGF1" s="87"/>
      <c r="JGG1" s="87"/>
      <c r="JGH1" s="87"/>
      <c r="JGI1" s="87"/>
      <c r="JGJ1" s="87"/>
      <c r="JGK1" s="87"/>
      <c r="JGL1" s="87"/>
      <c r="JGM1" s="87"/>
      <c r="JGN1" s="87"/>
      <c r="JGO1" s="87"/>
      <c r="JGP1" s="87"/>
      <c r="JGQ1" s="87"/>
      <c r="JGR1" s="87"/>
      <c r="JGS1" s="87"/>
      <c r="JGT1" s="87"/>
      <c r="JGU1" s="87"/>
      <c r="JGV1" s="87"/>
      <c r="JGW1" s="87"/>
      <c r="JGX1" s="87"/>
      <c r="JGY1" s="87"/>
      <c r="JGZ1" s="87"/>
      <c r="JHA1" s="87"/>
      <c r="JHB1" s="87"/>
      <c r="JHC1" s="87"/>
      <c r="JHD1" s="87"/>
      <c r="JHE1" s="87"/>
      <c r="JHF1" s="87"/>
      <c r="JHG1" s="87"/>
      <c r="JHH1" s="87"/>
      <c r="JHI1" s="87"/>
      <c r="JHJ1" s="87"/>
      <c r="JHK1" s="87"/>
      <c r="JHL1" s="87"/>
      <c r="JHM1" s="87"/>
      <c r="JHN1" s="87"/>
      <c r="JHO1" s="87"/>
      <c r="JHP1" s="87"/>
      <c r="JHQ1" s="87"/>
      <c r="JHR1" s="87"/>
      <c r="JHS1" s="87"/>
      <c r="JHT1" s="87"/>
      <c r="JHU1" s="87"/>
      <c r="JHV1" s="87"/>
      <c r="JHW1" s="87"/>
      <c r="JHX1" s="87"/>
      <c r="JHY1" s="87"/>
      <c r="JHZ1" s="87"/>
      <c r="JIA1" s="87"/>
      <c r="JIB1" s="87"/>
      <c r="JIC1" s="87"/>
      <c r="JID1" s="87"/>
      <c r="JIE1" s="87"/>
      <c r="JIF1" s="87"/>
      <c r="JIG1" s="87"/>
      <c r="JIH1" s="87"/>
      <c r="JII1" s="87"/>
      <c r="JIJ1" s="87"/>
      <c r="JIK1" s="87"/>
      <c r="JIL1" s="87"/>
      <c r="JIM1" s="87"/>
      <c r="JIN1" s="87"/>
      <c r="JIO1" s="87"/>
      <c r="JIP1" s="87"/>
      <c r="JIQ1" s="87"/>
      <c r="JIR1" s="87"/>
      <c r="JIS1" s="87"/>
      <c r="JIT1" s="87"/>
      <c r="JIU1" s="87"/>
      <c r="JIV1" s="87"/>
      <c r="JIW1" s="87"/>
      <c r="JIX1" s="87"/>
      <c r="JIY1" s="87"/>
      <c r="JIZ1" s="87"/>
      <c r="JJA1" s="87"/>
      <c r="JJB1" s="87"/>
      <c r="JJC1" s="87"/>
      <c r="JJD1" s="87"/>
      <c r="JJE1" s="87"/>
      <c r="JJF1" s="87"/>
      <c r="JJG1" s="87"/>
      <c r="JJH1" s="87"/>
      <c r="JJI1" s="87"/>
      <c r="JJJ1" s="87"/>
      <c r="JJK1" s="87"/>
      <c r="JJL1" s="87"/>
      <c r="JJM1" s="87"/>
      <c r="JJN1" s="87"/>
      <c r="JJO1" s="87"/>
      <c r="JJP1" s="87"/>
      <c r="JJQ1" s="87"/>
      <c r="JJR1" s="87"/>
      <c r="JJS1" s="87"/>
      <c r="JJT1" s="87"/>
      <c r="JJU1" s="87"/>
      <c r="JJV1" s="87"/>
      <c r="JJW1" s="87"/>
      <c r="JJX1" s="87"/>
      <c r="JJY1" s="87"/>
      <c r="JJZ1" s="87"/>
      <c r="JKA1" s="87"/>
      <c r="JKB1" s="87"/>
      <c r="JKC1" s="87"/>
      <c r="JKD1" s="87"/>
      <c r="JKE1" s="87"/>
      <c r="JKF1" s="87"/>
      <c r="JKG1" s="87"/>
      <c r="JKH1" s="87"/>
      <c r="JKI1" s="87"/>
      <c r="JKJ1" s="87"/>
      <c r="JKK1" s="87"/>
      <c r="JKL1" s="87"/>
      <c r="JKM1" s="87"/>
      <c r="JKN1" s="87"/>
      <c r="JKO1" s="87"/>
      <c r="JKP1" s="87"/>
      <c r="JKQ1" s="87"/>
      <c r="JKR1" s="87"/>
      <c r="JKS1" s="87"/>
      <c r="JKT1" s="87"/>
      <c r="JKU1" s="87"/>
      <c r="JKV1" s="87"/>
      <c r="JKW1" s="87"/>
      <c r="JKX1" s="87"/>
      <c r="JKY1" s="87"/>
      <c r="JKZ1" s="87"/>
      <c r="JLA1" s="87"/>
      <c r="JLB1" s="87"/>
      <c r="JLC1" s="87"/>
      <c r="JLD1" s="87"/>
      <c r="JLE1" s="87"/>
      <c r="JLF1" s="87"/>
      <c r="JLG1" s="87"/>
      <c r="JLH1" s="87"/>
      <c r="JLI1" s="87"/>
      <c r="JLJ1" s="87"/>
      <c r="JLK1" s="87"/>
      <c r="JLL1" s="87"/>
      <c r="JLM1" s="87"/>
      <c r="JLN1" s="87"/>
      <c r="JLO1" s="87"/>
      <c r="JLP1" s="87"/>
      <c r="JLQ1" s="87"/>
      <c r="JLR1" s="87"/>
      <c r="JLS1" s="87"/>
      <c r="JLT1" s="87"/>
      <c r="JLU1" s="87"/>
      <c r="JLV1" s="87"/>
      <c r="JLW1" s="87"/>
      <c r="JLX1" s="87"/>
      <c r="JLY1" s="87"/>
      <c r="JLZ1" s="87"/>
      <c r="JMA1" s="87"/>
      <c r="JMB1" s="87"/>
      <c r="JMC1" s="87"/>
      <c r="JMD1" s="87"/>
      <c r="JME1" s="87"/>
      <c r="JMF1" s="87"/>
      <c r="JMG1" s="87"/>
      <c r="JMH1" s="87"/>
      <c r="JMI1" s="87"/>
      <c r="JMJ1" s="87"/>
      <c r="JMK1" s="87"/>
      <c r="JML1" s="87"/>
      <c r="JMM1" s="87"/>
      <c r="JMN1" s="87"/>
      <c r="JMO1" s="87"/>
      <c r="JMP1" s="87"/>
      <c r="JMQ1" s="87"/>
      <c r="JMR1" s="87"/>
      <c r="JMS1" s="87"/>
      <c r="JMT1" s="87"/>
      <c r="JMU1" s="87"/>
      <c r="JMV1" s="87"/>
      <c r="JMW1" s="87"/>
      <c r="JMX1" s="87"/>
      <c r="JMY1" s="87"/>
      <c r="JMZ1" s="87"/>
      <c r="JNA1" s="87"/>
      <c r="JNB1" s="87"/>
      <c r="JNC1" s="87"/>
      <c r="JND1" s="87"/>
      <c r="JNE1" s="87"/>
      <c r="JNF1" s="87"/>
      <c r="JNG1" s="87"/>
      <c r="JNH1" s="87"/>
      <c r="JNI1" s="87"/>
      <c r="JNJ1" s="87"/>
      <c r="JNK1" s="87"/>
      <c r="JNL1" s="87"/>
      <c r="JNM1" s="87"/>
      <c r="JNN1" s="87"/>
      <c r="JNO1" s="87"/>
      <c r="JNP1" s="87"/>
      <c r="JNQ1" s="87"/>
      <c r="JNR1" s="87"/>
      <c r="JNS1" s="87"/>
      <c r="JNT1" s="87"/>
      <c r="JNU1" s="87"/>
      <c r="JNV1" s="87"/>
      <c r="JNW1" s="87"/>
      <c r="JNX1" s="87"/>
      <c r="JNY1" s="87"/>
      <c r="JNZ1" s="87"/>
      <c r="JOA1" s="87"/>
      <c r="JOB1" s="87"/>
      <c r="JOC1" s="87"/>
      <c r="JOD1" s="87"/>
      <c r="JOE1" s="87"/>
      <c r="JOF1" s="87"/>
      <c r="JOG1" s="87"/>
      <c r="JOH1" s="87"/>
      <c r="JOI1" s="87"/>
      <c r="JOJ1" s="87"/>
      <c r="JOK1" s="87"/>
      <c r="JOL1" s="87"/>
      <c r="JOM1" s="87"/>
      <c r="JON1" s="87"/>
      <c r="JOO1" s="87"/>
      <c r="JOP1" s="87"/>
      <c r="JOQ1" s="87"/>
      <c r="JOR1" s="87"/>
      <c r="JOS1" s="87"/>
      <c r="JOT1" s="87"/>
      <c r="JOU1" s="87"/>
      <c r="JOV1" s="87"/>
      <c r="JOW1" s="87"/>
      <c r="JOX1" s="87"/>
      <c r="JOY1" s="87"/>
      <c r="JOZ1" s="87"/>
      <c r="JPA1" s="87"/>
      <c r="JPB1" s="87"/>
      <c r="JPC1" s="87"/>
      <c r="JPD1" s="87"/>
      <c r="JPE1" s="87"/>
      <c r="JPF1" s="87"/>
      <c r="JPG1" s="87"/>
      <c r="JPH1" s="87"/>
      <c r="JPI1" s="87"/>
      <c r="JPJ1" s="87"/>
      <c r="JPK1" s="87"/>
      <c r="JPL1" s="87"/>
      <c r="JPM1" s="87"/>
      <c r="JPN1" s="87"/>
      <c r="JPO1" s="87"/>
      <c r="JPP1" s="87"/>
      <c r="JPQ1" s="87"/>
      <c r="JPR1" s="87"/>
      <c r="JPS1" s="87"/>
      <c r="JPT1" s="87"/>
      <c r="JPU1" s="87"/>
      <c r="JPV1" s="87"/>
      <c r="JPW1" s="87"/>
      <c r="JPX1" s="87"/>
      <c r="JPY1" s="87"/>
      <c r="JPZ1" s="87"/>
      <c r="JQA1" s="87"/>
      <c r="JQB1" s="87"/>
      <c r="JQC1" s="87"/>
      <c r="JQD1" s="87"/>
      <c r="JQE1" s="87"/>
      <c r="JQF1" s="87"/>
      <c r="JQG1" s="87"/>
      <c r="JQH1" s="87"/>
      <c r="JQI1" s="87"/>
      <c r="JQJ1" s="87"/>
      <c r="JQK1" s="87"/>
      <c r="JQL1" s="87"/>
      <c r="JQM1" s="87"/>
      <c r="JQN1" s="87"/>
      <c r="JQO1" s="87"/>
      <c r="JQP1" s="87"/>
      <c r="JQQ1" s="87"/>
      <c r="JQR1" s="87"/>
      <c r="JQS1" s="87"/>
      <c r="JQT1" s="87"/>
      <c r="JQU1" s="87"/>
      <c r="JQV1" s="87"/>
      <c r="JQW1" s="87"/>
      <c r="JQX1" s="87"/>
      <c r="JQY1" s="87"/>
      <c r="JQZ1" s="87"/>
      <c r="JRA1" s="87"/>
      <c r="JRB1" s="87"/>
      <c r="JRC1" s="87"/>
      <c r="JRD1" s="87"/>
      <c r="JRE1" s="87"/>
      <c r="JRF1" s="87"/>
      <c r="JRG1" s="87"/>
      <c r="JRH1" s="87"/>
      <c r="JRI1" s="87"/>
      <c r="JRJ1" s="87"/>
      <c r="JRK1" s="87"/>
      <c r="JRL1" s="87"/>
      <c r="JRM1" s="87"/>
      <c r="JRN1" s="87"/>
      <c r="JRO1" s="87"/>
      <c r="JRP1" s="87"/>
      <c r="JRQ1" s="87"/>
      <c r="JRR1" s="87"/>
      <c r="JRS1" s="87"/>
      <c r="JRT1" s="87"/>
      <c r="JRU1" s="87"/>
      <c r="JRV1" s="87"/>
      <c r="JRW1" s="87"/>
      <c r="JRX1" s="87"/>
      <c r="JRY1" s="87"/>
      <c r="JRZ1" s="87"/>
      <c r="JSA1" s="87"/>
      <c r="JSB1" s="87"/>
      <c r="JSC1" s="87"/>
      <c r="JSD1" s="87"/>
      <c r="JSE1" s="87"/>
      <c r="JSF1" s="87"/>
      <c r="JSG1" s="87"/>
      <c r="JSH1" s="87"/>
      <c r="JSI1" s="87"/>
      <c r="JSJ1" s="87"/>
      <c r="JSK1" s="87"/>
      <c r="JSL1" s="87"/>
      <c r="JSM1" s="87"/>
      <c r="JSN1" s="87"/>
      <c r="JSO1" s="87"/>
      <c r="JSP1" s="87"/>
      <c r="JSQ1" s="87"/>
      <c r="JSR1" s="87"/>
      <c r="JSS1" s="87"/>
      <c r="JST1" s="87"/>
      <c r="JSU1" s="87"/>
      <c r="JSV1" s="87"/>
      <c r="JSW1" s="87"/>
      <c r="JSX1" s="87"/>
      <c r="JSY1" s="87"/>
      <c r="JSZ1" s="87"/>
      <c r="JTA1" s="87"/>
      <c r="JTB1" s="87"/>
      <c r="JTC1" s="87"/>
      <c r="JTD1" s="87"/>
      <c r="JTE1" s="87"/>
      <c r="JTF1" s="87"/>
      <c r="JTG1" s="87"/>
      <c r="JTH1" s="87"/>
      <c r="JTI1" s="87"/>
      <c r="JTJ1" s="87"/>
      <c r="JTK1" s="87"/>
      <c r="JTL1" s="87"/>
      <c r="JTM1" s="87"/>
      <c r="JTN1" s="87"/>
      <c r="JTO1" s="87"/>
      <c r="JTP1" s="87"/>
      <c r="JTQ1" s="87"/>
      <c r="JTR1" s="87"/>
      <c r="JTS1" s="87"/>
      <c r="JTT1" s="87"/>
      <c r="JTU1" s="87"/>
      <c r="JTV1" s="87"/>
      <c r="JTW1" s="87"/>
      <c r="JTX1" s="87"/>
      <c r="JTY1" s="87"/>
      <c r="JTZ1" s="87"/>
      <c r="JUA1" s="87"/>
      <c r="JUB1" s="87"/>
      <c r="JUC1" s="87"/>
      <c r="JUD1" s="87"/>
      <c r="JUE1" s="87"/>
      <c r="JUF1" s="87"/>
      <c r="JUG1" s="87"/>
      <c r="JUH1" s="87"/>
      <c r="JUI1" s="87"/>
      <c r="JUJ1" s="87"/>
      <c r="JUK1" s="87"/>
      <c r="JUL1" s="87"/>
      <c r="JUM1" s="87"/>
      <c r="JUN1" s="87"/>
      <c r="JUO1" s="87"/>
      <c r="JUP1" s="87"/>
      <c r="JUQ1" s="87"/>
      <c r="JUR1" s="87"/>
      <c r="JUS1" s="87"/>
      <c r="JUT1" s="87"/>
      <c r="JUU1" s="87"/>
      <c r="JUV1" s="87"/>
      <c r="JUW1" s="87"/>
      <c r="JUX1" s="87"/>
      <c r="JUY1" s="87"/>
      <c r="JUZ1" s="87"/>
      <c r="JVA1" s="87"/>
      <c r="JVB1" s="87"/>
      <c r="JVC1" s="87"/>
      <c r="JVD1" s="87"/>
      <c r="JVE1" s="87"/>
      <c r="JVF1" s="87"/>
      <c r="JVG1" s="87"/>
      <c r="JVH1" s="87"/>
      <c r="JVI1" s="87"/>
      <c r="JVJ1" s="87"/>
      <c r="JVK1" s="87"/>
      <c r="JVL1" s="87"/>
      <c r="JVM1" s="87"/>
      <c r="JVN1" s="87"/>
      <c r="JVO1" s="87"/>
      <c r="JVP1" s="87"/>
      <c r="JVQ1" s="87"/>
      <c r="JVR1" s="87"/>
      <c r="JVS1" s="87"/>
      <c r="JVT1" s="87"/>
      <c r="JVU1" s="87"/>
      <c r="JVV1" s="87"/>
      <c r="JVW1" s="87"/>
      <c r="JVX1" s="87"/>
      <c r="JVY1" s="87"/>
      <c r="JVZ1" s="87"/>
      <c r="JWA1" s="87"/>
      <c r="JWB1" s="87"/>
      <c r="JWC1" s="87"/>
      <c r="JWD1" s="87"/>
      <c r="JWE1" s="87"/>
      <c r="JWF1" s="87"/>
      <c r="JWG1" s="87"/>
      <c r="JWH1" s="87"/>
      <c r="JWI1" s="87"/>
      <c r="JWJ1" s="87"/>
      <c r="JWK1" s="87"/>
      <c r="JWL1" s="87"/>
      <c r="JWM1" s="87"/>
      <c r="JWN1" s="87"/>
      <c r="JWO1" s="87"/>
      <c r="JWP1" s="87"/>
      <c r="JWQ1" s="87"/>
      <c r="JWR1" s="87"/>
      <c r="JWS1" s="87"/>
      <c r="JWT1" s="87"/>
      <c r="JWU1" s="87"/>
      <c r="JWV1" s="87"/>
      <c r="JWW1" s="87"/>
      <c r="JWX1" s="87"/>
      <c r="JWY1" s="87"/>
      <c r="JWZ1" s="87"/>
      <c r="JXA1" s="87"/>
      <c r="JXB1" s="87"/>
      <c r="JXC1" s="87"/>
      <c r="JXD1" s="87"/>
      <c r="JXE1" s="87"/>
      <c r="JXF1" s="87"/>
      <c r="JXG1" s="87"/>
      <c r="JXH1" s="87"/>
      <c r="JXI1" s="87"/>
      <c r="JXJ1" s="87"/>
      <c r="JXK1" s="87"/>
      <c r="JXL1" s="87"/>
      <c r="JXM1" s="87"/>
      <c r="JXN1" s="87"/>
      <c r="JXO1" s="87"/>
      <c r="JXP1" s="87"/>
      <c r="JXQ1" s="87"/>
      <c r="JXR1" s="87"/>
      <c r="JXS1" s="87"/>
      <c r="JXT1" s="87"/>
      <c r="JXU1" s="87"/>
      <c r="JXV1" s="87"/>
      <c r="JXW1" s="87"/>
      <c r="JXX1" s="87"/>
      <c r="JXY1" s="87"/>
      <c r="JXZ1" s="87"/>
      <c r="JYA1" s="87"/>
      <c r="JYB1" s="87"/>
      <c r="JYC1" s="87"/>
      <c r="JYD1" s="87"/>
      <c r="JYE1" s="87"/>
      <c r="JYF1" s="87"/>
      <c r="JYG1" s="87"/>
      <c r="JYH1" s="87"/>
      <c r="JYI1" s="87"/>
      <c r="JYJ1" s="87"/>
      <c r="JYK1" s="87"/>
      <c r="JYL1" s="87"/>
      <c r="JYM1" s="87"/>
      <c r="JYN1" s="87"/>
      <c r="JYO1" s="87"/>
      <c r="JYP1" s="87"/>
      <c r="JYQ1" s="87"/>
      <c r="JYR1" s="87"/>
      <c r="JYS1" s="87"/>
      <c r="JYT1" s="87"/>
      <c r="JYU1" s="87"/>
      <c r="JYV1" s="87"/>
      <c r="JYW1" s="87"/>
      <c r="JYX1" s="87"/>
      <c r="JYY1" s="87"/>
      <c r="JYZ1" s="87"/>
      <c r="JZA1" s="87"/>
      <c r="JZB1" s="87"/>
      <c r="JZC1" s="87"/>
      <c r="JZD1" s="87"/>
      <c r="JZE1" s="87"/>
      <c r="JZF1" s="87"/>
      <c r="JZG1" s="87"/>
      <c r="JZH1" s="87"/>
      <c r="JZI1" s="87"/>
      <c r="JZJ1" s="87"/>
      <c r="JZK1" s="87"/>
      <c r="JZL1" s="87"/>
      <c r="JZM1" s="87"/>
      <c r="JZN1" s="87"/>
      <c r="JZO1" s="87"/>
      <c r="JZP1" s="87"/>
      <c r="JZQ1" s="87"/>
      <c r="JZR1" s="87"/>
      <c r="JZS1" s="87"/>
      <c r="JZT1" s="87"/>
      <c r="JZU1" s="87"/>
      <c r="JZV1" s="87"/>
      <c r="JZW1" s="87"/>
      <c r="JZX1" s="87"/>
      <c r="JZY1" s="87"/>
      <c r="JZZ1" s="87"/>
      <c r="KAA1" s="87"/>
      <c r="KAB1" s="87"/>
      <c r="KAC1" s="87"/>
      <c r="KAD1" s="87"/>
      <c r="KAE1" s="87"/>
      <c r="KAF1" s="87"/>
      <c r="KAG1" s="87"/>
      <c r="KAH1" s="87"/>
      <c r="KAI1" s="87"/>
      <c r="KAJ1" s="87"/>
      <c r="KAK1" s="87"/>
      <c r="KAL1" s="87"/>
      <c r="KAM1" s="87"/>
      <c r="KAN1" s="87"/>
      <c r="KAO1" s="87"/>
      <c r="KAP1" s="87"/>
      <c r="KAQ1" s="87"/>
      <c r="KAR1" s="87"/>
      <c r="KAS1" s="87"/>
      <c r="KAT1" s="87"/>
      <c r="KAU1" s="87"/>
      <c r="KAV1" s="87"/>
      <c r="KAW1" s="87"/>
      <c r="KAX1" s="87"/>
      <c r="KAY1" s="87"/>
      <c r="KAZ1" s="87"/>
      <c r="KBA1" s="87"/>
      <c r="KBB1" s="87"/>
      <c r="KBC1" s="87"/>
      <c r="KBD1" s="87"/>
      <c r="KBE1" s="87"/>
      <c r="KBF1" s="87"/>
      <c r="KBG1" s="87"/>
      <c r="KBH1" s="87"/>
      <c r="KBI1" s="87"/>
      <c r="KBJ1" s="87"/>
      <c r="KBK1" s="87"/>
      <c r="KBL1" s="87"/>
      <c r="KBM1" s="87"/>
      <c r="KBN1" s="87"/>
      <c r="KBO1" s="87"/>
      <c r="KBP1" s="87"/>
      <c r="KBQ1" s="87"/>
      <c r="KBR1" s="87"/>
      <c r="KBS1" s="87"/>
      <c r="KBT1" s="87"/>
      <c r="KBU1" s="87"/>
      <c r="KBV1" s="87"/>
      <c r="KBW1" s="87"/>
      <c r="KBX1" s="87"/>
      <c r="KBY1" s="87"/>
      <c r="KBZ1" s="87"/>
      <c r="KCA1" s="87"/>
      <c r="KCB1" s="87"/>
      <c r="KCC1" s="87"/>
      <c r="KCD1" s="87"/>
      <c r="KCE1" s="87"/>
      <c r="KCF1" s="87"/>
      <c r="KCG1" s="87"/>
      <c r="KCH1" s="87"/>
      <c r="KCI1" s="87"/>
      <c r="KCJ1" s="87"/>
      <c r="KCK1" s="87"/>
      <c r="KCL1" s="87"/>
      <c r="KCM1" s="87"/>
      <c r="KCN1" s="87"/>
      <c r="KCO1" s="87"/>
      <c r="KCP1" s="87"/>
      <c r="KCQ1" s="87"/>
      <c r="KCR1" s="87"/>
      <c r="KCS1" s="87"/>
      <c r="KCT1" s="87"/>
      <c r="KCU1" s="87"/>
      <c r="KCV1" s="87"/>
      <c r="KCW1" s="87"/>
      <c r="KCX1" s="87"/>
      <c r="KCY1" s="87"/>
      <c r="KCZ1" s="87"/>
      <c r="KDA1" s="87"/>
      <c r="KDB1" s="87"/>
      <c r="KDC1" s="87"/>
      <c r="KDD1" s="87"/>
      <c r="KDE1" s="87"/>
      <c r="KDF1" s="87"/>
      <c r="KDG1" s="87"/>
      <c r="KDH1" s="87"/>
      <c r="KDI1" s="87"/>
      <c r="KDJ1" s="87"/>
      <c r="KDK1" s="87"/>
      <c r="KDL1" s="87"/>
      <c r="KDM1" s="87"/>
      <c r="KDN1" s="87"/>
      <c r="KDO1" s="87"/>
      <c r="KDP1" s="87"/>
      <c r="KDQ1" s="87"/>
      <c r="KDR1" s="87"/>
      <c r="KDS1" s="87"/>
      <c r="KDT1" s="87"/>
      <c r="KDU1" s="87"/>
      <c r="KDV1" s="87"/>
      <c r="KDW1" s="87"/>
      <c r="KDX1" s="87"/>
      <c r="KDY1" s="87"/>
      <c r="KDZ1" s="87"/>
      <c r="KEA1" s="87"/>
      <c r="KEB1" s="87"/>
      <c r="KEC1" s="87"/>
      <c r="KED1" s="87"/>
      <c r="KEE1" s="87"/>
      <c r="KEF1" s="87"/>
      <c r="KEG1" s="87"/>
      <c r="KEH1" s="87"/>
      <c r="KEI1" s="87"/>
      <c r="KEJ1" s="87"/>
      <c r="KEK1" s="87"/>
      <c r="KEL1" s="87"/>
      <c r="KEM1" s="87"/>
      <c r="KEN1" s="87"/>
      <c r="KEO1" s="87"/>
      <c r="KEP1" s="87"/>
      <c r="KEQ1" s="87"/>
      <c r="KER1" s="87"/>
      <c r="KES1" s="87"/>
      <c r="KET1" s="87"/>
      <c r="KEU1" s="87"/>
      <c r="KEV1" s="87"/>
      <c r="KEW1" s="87"/>
      <c r="KEX1" s="87"/>
      <c r="KEY1" s="87"/>
      <c r="KEZ1" s="87"/>
      <c r="KFA1" s="87"/>
      <c r="KFB1" s="87"/>
      <c r="KFC1" s="87"/>
      <c r="KFD1" s="87"/>
      <c r="KFE1" s="87"/>
      <c r="KFF1" s="87"/>
      <c r="KFG1" s="87"/>
      <c r="KFH1" s="87"/>
      <c r="KFI1" s="87"/>
      <c r="KFJ1" s="87"/>
      <c r="KFK1" s="87"/>
      <c r="KFL1" s="87"/>
      <c r="KFM1" s="87"/>
      <c r="KFN1" s="87"/>
      <c r="KFO1" s="87"/>
      <c r="KFP1" s="87"/>
      <c r="KFQ1" s="87"/>
      <c r="KFR1" s="87"/>
      <c r="KFS1" s="87"/>
      <c r="KFT1" s="87"/>
      <c r="KFU1" s="87"/>
      <c r="KFV1" s="87"/>
      <c r="KFW1" s="87"/>
      <c r="KFX1" s="87"/>
      <c r="KFY1" s="87"/>
      <c r="KFZ1" s="87"/>
      <c r="KGA1" s="87"/>
      <c r="KGB1" s="87"/>
      <c r="KGC1" s="87"/>
      <c r="KGD1" s="87"/>
      <c r="KGE1" s="87"/>
      <c r="KGF1" s="87"/>
      <c r="KGG1" s="87"/>
      <c r="KGH1" s="87"/>
      <c r="KGI1" s="87"/>
      <c r="KGJ1" s="87"/>
      <c r="KGK1" s="87"/>
      <c r="KGL1" s="87"/>
      <c r="KGM1" s="87"/>
      <c r="KGN1" s="87"/>
      <c r="KGO1" s="87"/>
      <c r="KGP1" s="87"/>
      <c r="KGQ1" s="87"/>
      <c r="KGR1" s="87"/>
      <c r="KGS1" s="87"/>
      <c r="KGT1" s="87"/>
      <c r="KGU1" s="87"/>
      <c r="KGV1" s="87"/>
      <c r="KGW1" s="87"/>
      <c r="KGX1" s="87"/>
      <c r="KGY1" s="87"/>
      <c r="KGZ1" s="87"/>
      <c r="KHA1" s="87"/>
      <c r="KHB1" s="87"/>
      <c r="KHC1" s="87"/>
      <c r="KHD1" s="87"/>
      <c r="KHE1" s="87"/>
      <c r="KHF1" s="87"/>
      <c r="KHG1" s="87"/>
      <c r="KHH1" s="87"/>
      <c r="KHI1" s="87"/>
      <c r="KHJ1" s="87"/>
      <c r="KHK1" s="87"/>
      <c r="KHL1" s="87"/>
      <c r="KHM1" s="87"/>
      <c r="KHN1" s="87"/>
      <c r="KHO1" s="87"/>
      <c r="KHP1" s="87"/>
      <c r="KHQ1" s="87"/>
      <c r="KHR1" s="87"/>
      <c r="KHS1" s="87"/>
      <c r="KHT1" s="87"/>
      <c r="KHU1" s="87"/>
      <c r="KHV1" s="87"/>
      <c r="KHW1" s="87"/>
      <c r="KHX1" s="87"/>
      <c r="KHY1" s="87"/>
      <c r="KHZ1" s="87"/>
      <c r="KIA1" s="87"/>
      <c r="KIB1" s="87"/>
      <c r="KIC1" s="87"/>
      <c r="KID1" s="87"/>
      <c r="KIE1" s="87"/>
      <c r="KIF1" s="87"/>
      <c r="KIG1" s="87"/>
      <c r="KIH1" s="87"/>
      <c r="KII1" s="87"/>
      <c r="KIJ1" s="87"/>
      <c r="KIK1" s="87"/>
      <c r="KIL1" s="87"/>
      <c r="KIM1" s="87"/>
      <c r="KIN1" s="87"/>
      <c r="KIO1" s="87"/>
      <c r="KIP1" s="87"/>
      <c r="KIQ1" s="87"/>
      <c r="KIR1" s="87"/>
      <c r="KIS1" s="87"/>
      <c r="KIT1" s="87"/>
      <c r="KIU1" s="87"/>
      <c r="KIV1" s="87"/>
      <c r="KIW1" s="87"/>
      <c r="KIX1" s="87"/>
      <c r="KIY1" s="87"/>
      <c r="KIZ1" s="87"/>
      <c r="KJA1" s="87"/>
      <c r="KJB1" s="87"/>
      <c r="KJC1" s="87"/>
      <c r="KJD1" s="87"/>
      <c r="KJE1" s="87"/>
      <c r="KJF1" s="87"/>
      <c r="KJG1" s="87"/>
      <c r="KJH1" s="87"/>
      <c r="KJI1" s="87"/>
      <c r="KJJ1" s="87"/>
      <c r="KJK1" s="87"/>
      <c r="KJL1" s="87"/>
      <c r="KJM1" s="87"/>
      <c r="KJN1" s="87"/>
      <c r="KJO1" s="87"/>
      <c r="KJP1" s="87"/>
      <c r="KJQ1" s="87"/>
      <c r="KJR1" s="87"/>
      <c r="KJS1" s="87"/>
      <c r="KJT1" s="87"/>
      <c r="KJU1" s="87"/>
      <c r="KJV1" s="87"/>
      <c r="KJW1" s="87"/>
      <c r="KJX1" s="87"/>
      <c r="KJY1" s="87"/>
      <c r="KJZ1" s="87"/>
      <c r="KKA1" s="87"/>
      <c r="KKB1" s="87"/>
      <c r="KKC1" s="87"/>
      <c r="KKD1" s="87"/>
      <c r="KKE1" s="87"/>
      <c r="KKF1" s="87"/>
      <c r="KKG1" s="87"/>
      <c r="KKH1" s="87"/>
      <c r="KKI1" s="87"/>
      <c r="KKJ1" s="87"/>
      <c r="KKK1" s="87"/>
      <c r="KKL1" s="87"/>
      <c r="KKM1" s="87"/>
      <c r="KKN1" s="87"/>
      <c r="KKO1" s="87"/>
      <c r="KKP1" s="87"/>
      <c r="KKQ1" s="87"/>
      <c r="KKR1" s="87"/>
      <c r="KKS1" s="87"/>
      <c r="KKT1" s="87"/>
      <c r="KKU1" s="87"/>
      <c r="KKV1" s="87"/>
      <c r="KKW1" s="87"/>
      <c r="KKX1" s="87"/>
      <c r="KKY1" s="87"/>
      <c r="KKZ1" s="87"/>
      <c r="KLA1" s="87"/>
      <c r="KLB1" s="87"/>
      <c r="KLC1" s="87"/>
      <c r="KLD1" s="87"/>
      <c r="KLE1" s="87"/>
      <c r="KLF1" s="87"/>
      <c r="KLG1" s="87"/>
      <c r="KLH1" s="87"/>
      <c r="KLI1" s="87"/>
      <c r="KLJ1" s="87"/>
      <c r="KLK1" s="87"/>
      <c r="KLL1" s="87"/>
      <c r="KLM1" s="87"/>
      <c r="KLN1" s="87"/>
      <c r="KLO1" s="87"/>
      <c r="KLP1" s="87"/>
      <c r="KLQ1" s="87"/>
      <c r="KLR1" s="87"/>
      <c r="KLS1" s="87"/>
      <c r="KLT1" s="87"/>
      <c r="KLU1" s="87"/>
      <c r="KLV1" s="87"/>
      <c r="KLW1" s="87"/>
      <c r="KLX1" s="87"/>
      <c r="KLY1" s="87"/>
      <c r="KLZ1" s="87"/>
      <c r="KMA1" s="87"/>
      <c r="KMB1" s="87"/>
      <c r="KMC1" s="87"/>
      <c r="KMD1" s="87"/>
      <c r="KME1" s="87"/>
      <c r="KMF1" s="87"/>
      <c r="KMG1" s="87"/>
      <c r="KMH1" s="87"/>
      <c r="KMI1" s="87"/>
      <c r="KMJ1" s="87"/>
      <c r="KMK1" s="87"/>
      <c r="KML1" s="87"/>
      <c r="KMM1" s="87"/>
      <c r="KMN1" s="87"/>
      <c r="KMO1" s="87"/>
      <c r="KMP1" s="87"/>
      <c r="KMQ1" s="87"/>
      <c r="KMR1" s="87"/>
      <c r="KMS1" s="87"/>
      <c r="KMT1" s="87"/>
      <c r="KMU1" s="87"/>
      <c r="KMV1" s="87"/>
      <c r="KMW1" s="87"/>
      <c r="KMX1" s="87"/>
      <c r="KMY1" s="87"/>
      <c r="KMZ1" s="87"/>
      <c r="KNA1" s="87"/>
      <c r="KNB1" s="87"/>
      <c r="KNC1" s="87"/>
      <c r="KND1" s="87"/>
      <c r="KNE1" s="87"/>
      <c r="KNF1" s="87"/>
      <c r="KNG1" s="87"/>
      <c r="KNH1" s="87"/>
      <c r="KNI1" s="87"/>
      <c r="KNJ1" s="87"/>
      <c r="KNK1" s="87"/>
      <c r="KNL1" s="87"/>
      <c r="KNM1" s="87"/>
      <c r="KNN1" s="87"/>
      <c r="KNO1" s="87"/>
      <c r="KNP1" s="87"/>
      <c r="KNQ1" s="87"/>
      <c r="KNR1" s="87"/>
      <c r="KNS1" s="87"/>
      <c r="KNT1" s="87"/>
      <c r="KNU1" s="87"/>
      <c r="KNV1" s="87"/>
      <c r="KNW1" s="87"/>
      <c r="KNX1" s="87"/>
      <c r="KNY1" s="87"/>
      <c r="KNZ1" s="87"/>
      <c r="KOA1" s="87"/>
      <c r="KOB1" s="87"/>
      <c r="KOC1" s="87"/>
      <c r="KOD1" s="87"/>
      <c r="KOE1" s="87"/>
      <c r="KOF1" s="87"/>
      <c r="KOG1" s="87"/>
      <c r="KOH1" s="87"/>
      <c r="KOI1" s="87"/>
      <c r="KOJ1" s="87"/>
      <c r="KOK1" s="87"/>
      <c r="KOL1" s="87"/>
      <c r="KOM1" s="87"/>
      <c r="KON1" s="87"/>
      <c r="KOO1" s="87"/>
      <c r="KOP1" s="87"/>
      <c r="KOQ1" s="87"/>
      <c r="KOR1" s="87"/>
      <c r="KOS1" s="87"/>
      <c r="KOT1" s="87"/>
      <c r="KOU1" s="87"/>
      <c r="KOV1" s="87"/>
      <c r="KOW1" s="87"/>
      <c r="KOX1" s="87"/>
      <c r="KOY1" s="87"/>
      <c r="KOZ1" s="87"/>
      <c r="KPA1" s="87"/>
      <c r="KPB1" s="87"/>
      <c r="KPC1" s="87"/>
      <c r="KPD1" s="87"/>
      <c r="KPE1" s="87"/>
      <c r="KPF1" s="87"/>
      <c r="KPG1" s="87"/>
      <c r="KPH1" s="87"/>
      <c r="KPI1" s="87"/>
      <c r="KPJ1" s="87"/>
      <c r="KPK1" s="87"/>
      <c r="KPL1" s="87"/>
      <c r="KPM1" s="87"/>
      <c r="KPN1" s="87"/>
      <c r="KPO1" s="87"/>
      <c r="KPP1" s="87"/>
      <c r="KPQ1" s="87"/>
      <c r="KPR1" s="87"/>
      <c r="KPS1" s="87"/>
      <c r="KPT1" s="87"/>
      <c r="KPU1" s="87"/>
      <c r="KPV1" s="87"/>
      <c r="KPW1" s="87"/>
      <c r="KPX1" s="87"/>
      <c r="KPY1" s="87"/>
      <c r="KPZ1" s="87"/>
      <c r="KQA1" s="87"/>
      <c r="KQB1" s="87"/>
      <c r="KQC1" s="87"/>
      <c r="KQD1" s="87"/>
      <c r="KQE1" s="87"/>
      <c r="KQF1" s="87"/>
      <c r="KQG1" s="87"/>
      <c r="KQH1" s="87"/>
      <c r="KQI1" s="87"/>
      <c r="KQJ1" s="87"/>
      <c r="KQK1" s="87"/>
      <c r="KQL1" s="87"/>
      <c r="KQM1" s="87"/>
      <c r="KQN1" s="87"/>
      <c r="KQO1" s="87"/>
      <c r="KQP1" s="87"/>
      <c r="KQQ1" s="87"/>
      <c r="KQR1" s="87"/>
      <c r="KQS1" s="87"/>
      <c r="KQT1" s="87"/>
      <c r="KQU1" s="87"/>
      <c r="KQV1" s="87"/>
      <c r="KQW1" s="87"/>
      <c r="KQX1" s="87"/>
      <c r="KQY1" s="87"/>
      <c r="KQZ1" s="87"/>
      <c r="KRA1" s="87"/>
      <c r="KRB1" s="87"/>
      <c r="KRC1" s="87"/>
      <c r="KRD1" s="87"/>
      <c r="KRE1" s="87"/>
      <c r="KRF1" s="87"/>
      <c r="KRG1" s="87"/>
      <c r="KRH1" s="87"/>
      <c r="KRI1" s="87"/>
      <c r="KRJ1" s="87"/>
      <c r="KRK1" s="87"/>
      <c r="KRL1" s="87"/>
      <c r="KRM1" s="87"/>
      <c r="KRN1" s="87"/>
      <c r="KRO1" s="87"/>
      <c r="KRP1" s="87"/>
      <c r="KRQ1" s="87"/>
      <c r="KRR1" s="87"/>
      <c r="KRS1" s="87"/>
      <c r="KRT1" s="87"/>
      <c r="KRU1" s="87"/>
      <c r="KRV1" s="87"/>
      <c r="KRW1" s="87"/>
      <c r="KRX1" s="87"/>
      <c r="KRY1" s="87"/>
      <c r="KRZ1" s="87"/>
      <c r="KSA1" s="87"/>
      <c r="KSB1" s="87"/>
      <c r="KSC1" s="87"/>
      <c r="KSD1" s="87"/>
      <c r="KSE1" s="87"/>
      <c r="KSF1" s="87"/>
      <c r="KSG1" s="87"/>
      <c r="KSH1" s="87"/>
      <c r="KSI1" s="87"/>
      <c r="KSJ1" s="87"/>
      <c r="KSK1" s="87"/>
      <c r="KSL1" s="87"/>
      <c r="KSM1" s="87"/>
      <c r="KSN1" s="87"/>
      <c r="KSO1" s="87"/>
      <c r="KSP1" s="87"/>
      <c r="KSQ1" s="87"/>
      <c r="KSR1" s="87"/>
      <c r="KSS1" s="87"/>
      <c r="KST1" s="87"/>
      <c r="KSU1" s="87"/>
      <c r="KSV1" s="87"/>
      <c r="KSW1" s="87"/>
      <c r="KSX1" s="87"/>
      <c r="KSY1" s="87"/>
      <c r="KSZ1" s="87"/>
      <c r="KTA1" s="87"/>
      <c r="KTB1" s="87"/>
      <c r="KTC1" s="87"/>
      <c r="KTD1" s="87"/>
      <c r="KTE1" s="87"/>
      <c r="KTF1" s="87"/>
      <c r="KTG1" s="87"/>
      <c r="KTH1" s="87"/>
      <c r="KTI1" s="87"/>
      <c r="KTJ1" s="87"/>
      <c r="KTK1" s="87"/>
      <c r="KTL1" s="87"/>
      <c r="KTM1" s="87"/>
      <c r="KTN1" s="87"/>
      <c r="KTO1" s="87"/>
      <c r="KTP1" s="87"/>
      <c r="KTQ1" s="87"/>
      <c r="KTR1" s="87"/>
      <c r="KTS1" s="87"/>
      <c r="KTT1" s="87"/>
      <c r="KTU1" s="87"/>
      <c r="KTV1" s="87"/>
      <c r="KTW1" s="87"/>
      <c r="KTX1" s="87"/>
      <c r="KTY1" s="87"/>
      <c r="KTZ1" s="87"/>
      <c r="KUA1" s="87"/>
      <c r="KUB1" s="87"/>
      <c r="KUC1" s="87"/>
      <c r="KUD1" s="87"/>
      <c r="KUE1" s="87"/>
      <c r="KUF1" s="87"/>
      <c r="KUG1" s="87"/>
      <c r="KUH1" s="87"/>
      <c r="KUI1" s="87"/>
      <c r="KUJ1" s="87"/>
      <c r="KUK1" s="87"/>
      <c r="KUL1" s="87"/>
      <c r="KUM1" s="87"/>
      <c r="KUN1" s="87"/>
      <c r="KUO1" s="87"/>
      <c r="KUP1" s="87"/>
      <c r="KUQ1" s="87"/>
      <c r="KUR1" s="87"/>
      <c r="KUS1" s="87"/>
      <c r="KUT1" s="87"/>
      <c r="KUU1" s="87"/>
      <c r="KUV1" s="87"/>
      <c r="KUW1" s="87"/>
      <c r="KUX1" s="87"/>
      <c r="KUY1" s="87"/>
      <c r="KUZ1" s="87"/>
      <c r="KVA1" s="87"/>
      <c r="KVB1" s="87"/>
      <c r="KVC1" s="87"/>
      <c r="KVD1" s="87"/>
      <c r="KVE1" s="87"/>
      <c r="KVF1" s="87"/>
      <c r="KVG1" s="87"/>
      <c r="KVH1" s="87"/>
      <c r="KVI1" s="87"/>
      <c r="KVJ1" s="87"/>
      <c r="KVK1" s="87"/>
      <c r="KVL1" s="87"/>
      <c r="KVM1" s="87"/>
      <c r="KVN1" s="87"/>
      <c r="KVO1" s="87"/>
      <c r="KVP1" s="87"/>
      <c r="KVQ1" s="87"/>
      <c r="KVR1" s="87"/>
      <c r="KVS1" s="87"/>
      <c r="KVT1" s="87"/>
      <c r="KVU1" s="87"/>
      <c r="KVV1" s="87"/>
      <c r="KVW1" s="87"/>
      <c r="KVX1" s="87"/>
      <c r="KVY1" s="87"/>
      <c r="KVZ1" s="87"/>
      <c r="KWA1" s="87"/>
      <c r="KWB1" s="87"/>
      <c r="KWC1" s="87"/>
      <c r="KWD1" s="87"/>
      <c r="KWE1" s="87"/>
      <c r="KWF1" s="87"/>
      <c r="KWG1" s="87"/>
      <c r="KWH1" s="87"/>
      <c r="KWI1" s="87"/>
      <c r="KWJ1" s="87"/>
      <c r="KWK1" s="87"/>
      <c r="KWL1" s="87"/>
      <c r="KWM1" s="87"/>
      <c r="KWN1" s="87"/>
      <c r="KWO1" s="87"/>
      <c r="KWP1" s="87"/>
      <c r="KWQ1" s="87"/>
      <c r="KWR1" s="87"/>
      <c r="KWS1" s="87"/>
      <c r="KWT1" s="87"/>
      <c r="KWU1" s="87"/>
      <c r="KWV1" s="87"/>
      <c r="KWW1" s="87"/>
      <c r="KWX1" s="87"/>
      <c r="KWY1" s="87"/>
      <c r="KWZ1" s="87"/>
      <c r="KXA1" s="87"/>
      <c r="KXB1" s="87"/>
      <c r="KXC1" s="87"/>
      <c r="KXD1" s="87"/>
      <c r="KXE1" s="87"/>
      <c r="KXF1" s="87"/>
      <c r="KXG1" s="87"/>
      <c r="KXH1" s="87"/>
      <c r="KXI1" s="87"/>
      <c r="KXJ1" s="87"/>
      <c r="KXK1" s="87"/>
      <c r="KXL1" s="87"/>
      <c r="KXM1" s="87"/>
      <c r="KXN1" s="87"/>
      <c r="KXO1" s="87"/>
      <c r="KXP1" s="87"/>
      <c r="KXQ1" s="87"/>
      <c r="KXR1" s="87"/>
      <c r="KXS1" s="87"/>
      <c r="KXT1" s="87"/>
      <c r="KXU1" s="87"/>
      <c r="KXV1" s="87"/>
      <c r="KXW1" s="87"/>
      <c r="KXX1" s="87"/>
      <c r="KXY1" s="87"/>
      <c r="KXZ1" s="87"/>
      <c r="KYA1" s="87"/>
      <c r="KYB1" s="87"/>
      <c r="KYC1" s="87"/>
      <c r="KYD1" s="87"/>
      <c r="KYE1" s="87"/>
      <c r="KYF1" s="87"/>
      <c r="KYG1" s="87"/>
      <c r="KYH1" s="87"/>
      <c r="KYI1" s="87"/>
      <c r="KYJ1" s="87"/>
      <c r="KYK1" s="87"/>
      <c r="KYL1" s="87"/>
      <c r="KYM1" s="87"/>
      <c r="KYN1" s="87"/>
      <c r="KYO1" s="87"/>
      <c r="KYP1" s="87"/>
      <c r="KYQ1" s="87"/>
      <c r="KYR1" s="87"/>
      <c r="KYS1" s="87"/>
      <c r="KYT1" s="87"/>
      <c r="KYU1" s="87"/>
      <c r="KYV1" s="87"/>
      <c r="KYW1" s="87"/>
      <c r="KYX1" s="87"/>
      <c r="KYY1" s="87"/>
      <c r="KYZ1" s="87"/>
      <c r="KZA1" s="87"/>
      <c r="KZB1" s="87"/>
      <c r="KZC1" s="87"/>
      <c r="KZD1" s="87"/>
      <c r="KZE1" s="87"/>
      <c r="KZF1" s="87"/>
      <c r="KZG1" s="87"/>
      <c r="KZH1" s="87"/>
      <c r="KZI1" s="87"/>
      <c r="KZJ1" s="87"/>
      <c r="KZK1" s="87"/>
      <c r="KZL1" s="87"/>
      <c r="KZM1" s="87"/>
      <c r="KZN1" s="87"/>
      <c r="KZO1" s="87"/>
      <c r="KZP1" s="87"/>
      <c r="KZQ1" s="87"/>
      <c r="KZR1" s="87"/>
      <c r="KZS1" s="87"/>
      <c r="KZT1" s="87"/>
      <c r="KZU1" s="87"/>
      <c r="KZV1" s="87"/>
      <c r="KZW1" s="87"/>
      <c r="KZX1" s="87"/>
      <c r="KZY1" s="87"/>
      <c r="KZZ1" s="87"/>
      <c r="LAA1" s="87"/>
      <c r="LAB1" s="87"/>
      <c r="LAC1" s="87"/>
      <c r="LAD1" s="87"/>
      <c r="LAE1" s="87"/>
      <c r="LAF1" s="87"/>
      <c r="LAG1" s="87"/>
      <c r="LAH1" s="87"/>
      <c r="LAI1" s="87"/>
      <c r="LAJ1" s="87"/>
      <c r="LAK1" s="87"/>
      <c r="LAL1" s="87"/>
      <c r="LAM1" s="87"/>
      <c r="LAN1" s="87"/>
      <c r="LAO1" s="87"/>
      <c r="LAP1" s="87"/>
      <c r="LAQ1" s="87"/>
      <c r="LAR1" s="87"/>
      <c r="LAS1" s="87"/>
      <c r="LAT1" s="87"/>
      <c r="LAU1" s="87"/>
      <c r="LAV1" s="87"/>
      <c r="LAW1" s="87"/>
      <c r="LAX1" s="87"/>
      <c r="LAY1" s="87"/>
      <c r="LAZ1" s="87"/>
      <c r="LBA1" s="87"/>
      <c r="LBB1" s="87"/>
      <c r="LBC1" s="87"/>
      <c r="LBD1" s="87"/>
      <c r="LBE1" s="87"/>
      <c r="LBF1" s="87"/>
      <c r="LBG1" s="87"/>
      <c r="LBH1" s="87"/>
      <c r="LBI1" s="87"/>
      <c r="LBJ1" s="87"/>
      <c r="LBK1" s="87"/>
      <c r="LBL1" s="87"/>
      <c r="LBM1" s="87"/>
      <c r="LBN1" s="87"/>
      <c r="LBO1" s="87"/>
      <c r="LBP1" s="87"/>
      <c r="LBQ1" s="87"/>
      <c r="LBR1" s="87"/>
      <c r="LBS1" s="87"/>
      <c r="LBT1" s="87"/>
      <c r="LBU1" s="87"/>
      <c r="LBV1" s="87"/>
      <c r="LBW1" s="87"/>
      <c r="LBX1" s="87"/>
      <c r="LBY1" s="87"/>
      <c r="LBZ1" s="87"/>
      <c r="LCA1" s="87"/>
      <c r="LCB1" s="87"/>
      <c r="LCC1" s="87"/>
      <c r="LCD1" s="87"/>
      <c r="LCE1" s="87"/>
      <c r="LCF1" s="87"/>
      <c r="LCG1" s="87"/>
      <c r="LCH1" s="87"/>
      <c r="LCI1" s="87"/>
      <c r="LCJ1" s="87"/>
      <c r="LCK1" s="87"/>
      <c r="LCL1" s="87"/>
      <c r="LCM1" s="87"/>
      <c r="LCN1" s="87"/>
      <c r="LCO1" s="87"/>
      <c r="LCP1" s="87"/>
      <c r="LCQ1" s="87"/>
      <c r="LCR1" s="87"/>
      <c r="LCS1" s="87"/>
      <c r="LCT1" s="87"/>
      <c r="LCU1" s="87"/>
      <c r="LCV1" s="87"/>
      <c r="LCW1" s="87"/>
      <c r="LCX1" s="87"/>
      <c r="LCY1" s="87"/>
      <c r="LCZ1" s="87"/>
      <c r="LDA1" s="87"/>
      <c r="LDB1" s="87"/>
      <c r="LDC1" s="87"/>
      <c r="LDD1" s="87"/>
      <c r="LDE1" s="87"/>
      <c r="LDF1" s="87"/>
      <c r="LDG1" s="87"/>
      <c r="LDH1" s="87"/>
      <c r="LDI1" s="87"/>
      <c r="LDJ1" s="87"/>
      <c r="LDK1" s="87"/>
      <c r="LDL1" s="87"/>
      <c r="LDM1" s="87"/>
      <c r="LDN1" s="87"/>
      <c r="LDO1" s="87"/>
      <c r="LDP1" s="87"/>
      <c r="LDQ1" s="87"/>
      <c r="LDR1" s="87"/>
      <c r="LDS1" s="87"/>
      <c r="LDT1" s="87"/>
      <c r="LDU1" s="87"/>
      <c r="LDV1" s="87"/>
      <c r="LDW1" s="87"/>
      <c r="LDX1" s="87"/>
      <c r="LDY1" s="87"/>
      <c r="LDZ1" s="87"/>
      <c r="LEA1" s="87"/>
      <c r="LEB1" s="87"/>
      <c r="LEC1" s="87"/>
      <c r="LED1" s="87"/>
      <c r="LEE1" s="87"/>
      <c r="LEF1" s="87"/>
      <c r="LEG1" s="87"/>
      <c r="LEH1" s="87"/>
      <c r="LEI1" s="87"/>
      <c r="LEJ1" s="87"/>
      <c r="LEK1" s="87"/>
      <c r="LEL1" s="87"/>
      <c r="LEM1" s="87"/>
      <c r="LEN1" s="87"/>
      <c r="LEO1" s="87"/>
      <c r="LEP1" s="87"/>
      <c r="LEQ1" s="87"/>
      <c r="LER1" s="87"/>
      <c r="LES1" s="87"/>
      <c r="LET1" s="87"/>
      <c r="LEU1" s="87"/>
      <c r="LEV1" s="87"/>
      <c r="LEW1" s="87"/>
      <c r="LEX1" s="87"/>
      <c r="LEY1" s="87"/>
      <c r="LEZ1" s="87"/>
      <c r="LFA1" s="87"/>
      <c r="LFB1" s="87"/>
      <c r="LFC1" s="87"/>
      <c r="LFD1" s="87"/>
      <c r="LFE1" s="87"/>
      <c r="LFF1" s="87"/>
      <c r="LFG1" s="87"/>
      <c r="LFH1" s="87"/>
      <c r="LFI1" s="87"/>
      <c r="LFJ1" s="87"/>
      <c r="LFK1" s="87"/>
      <c r="LFL1" s="87"/>
      <c r="LFM1" s="87"/>
      <c r="LFN1" s="87"/>
      <c r="LFO1" s="87"/>
      <c r="LFP1" s="87"/>
      <c r="LFQ1" s="87"/>
      <c r="LFR1" s="87"/>
      <c r="LFS1" s="87"/>
      <c r="LFT1" s="87"/>
      <c r="LFU1" s="87"/>
      <c r="LFV1" s="87"/>
      <c r="LFW1" s="87"/>
      <c r="LFX1" s="87"/>
      <c r="LFY1" s="87"/>
      <c r="LFZ1" s="87"/>
      <c r="LGA1" s="87"/>
      <c r="LGB1" s="87"/>
      <c r="LGC1" s="87"/>
      <c r="LGD1" s="87"/>
      <c r="LGE1" s="87"/>
      <c r="LGF1" s="87"/>
      <c r="LGG1" s="87"/>
      <c r="LGH1" s="87"/>
      <c r="LGI1" s="87"/>
      <c r="LGJ1" s="87"/>
      <c r="LGK1" s="87"/>
      <c r="LGL1" s="87"/>
      <c r="LGM1" s="87"/>
      <c r="LGN1" s="87"/>
      <c r="LGO1" s="87"/>
      <c r="LGP1" s="87"/>
      <c r="LGQ1" s="87"/>
      <c r="LGR1" s="87"/>
      <c r="LGS1" s="87"/>
      <c r="LGT1" s="87"/>
      <c r="LGU1" s="87"/>
      <c r="LGV1" s="87"/>
      <c r="LGW1" s="87"/>
      <c r="LGX1" s="87"/>
      <c r="LGY1" s="87"/>
      <c r="LGZ1" s="87"/>
      <c r="LHA1" s="87"/>
      <c r="LHB1" s="87"/>
      <c r="LHC1" s="87"/>
      <c r="LHD1" s="87"/>
      <c r="LHE1" s="87"/>
      <c r="LHF1" s="87"/>
      <c r="LHG1" s="87"/>
      <c r="LHH1" s="87"/>
      <c r="LHI1" s="87"/>
      <c r="LHJ1" s="87"/>
      <c r="LHK1" s="87"/>
      <c r="LHL1" s="87"/>
      <c r="LHM1" s="87"/>
      <c r="LHN1" s="87"/>
      <c r="LHO1" s="87"/>
      <c r="LHP1" s="87"/>
      <c r="LHQ1" s="87"/>
      <c r="LHR1" s="87"/>
      <c r="LHS1" s="87"/>
      <c r="LHT1" s="87"/>
      <c r="LHU1" s="87"/>
      <c r="LHV1" s="87"/>
      <c r="LHW1" s="87"/>
      <c r="LHX1" s="87"/>
      <c r="LHY1" s="87"/>
      <c r="LHZ1" s="87"/>
      <c r="LIA1" s="87"/>
      <c r="LIB1" s="87"/>
      <c r="LIC1" s="87"/>
      <c r="LID1" s="87"/>
      <c r="LIE1" s="87"/>
      <c r="LIF1" s="87"/>
      <c r="LIG1" s="87"/>
      <c r="LIH1" s="87"/>
      <c r="LII1" s="87"/>
      <c r="LIJ1" s="87"/>
      <c r="LIK1" s="87"/>
      <c r="LIL1" s="87"/>
      <c r="LIM1" s="87"/>
      <c r="LIN1" s="87"/>
      <c r="LIO1" s="87"/>
      <c r="LIP1" s="87"/>
      <c r="LIQ1" s="87"/>
      <c r="LIR1" s="87"/>
      <c r="LIS1" s="87"/>
      <c r="LIT1" s="87"/>
      <c r="LIU1" s="87"/>
      <c r="LIV1" s="87"/>
      <c r="LIW1" s="87"/>
      <c r="LIX1" s="87"/>
      <c r="LIY1" s="87"/>
      <c r="LIZ1" s="87"/>
      <c r="LJA1" s="87"/>
      <c r="LJB1" s="87"/>
      <c r="LJC1" s="87"/>
      <c r="LJD1" s="87"/>
      <c r="LJE1" s="87"/>
      <c r="LJF1" s="87"/>
      <c r="LJG1" s="87"/>
      <c r="LJH1" s="87"/>
      <c r="LJI1" s="87"/>
      <c r="LJJ1" s="87"/>
      <c r="LJK1" s="87"/>
      <c r="LJL1" s="87"/>
      <c r="LJM1" s="87"/>
      <c r="LJN1" s="87"/>
      <c r="LJO1" s="87"/>
      <c r="LJP1" s="87"/>
      <c r="LJQ1" s="87"/>
      <c r="LJR1" s="87"/>
      <c r="LJS1" s="87"/>
      <c r="LJT1" s="87"/>
      <c r="LJU1" s="87"/>
      <c r="LJV1" s="87"/>
      <c r="LJW1" s="87"/>
      <c r="LJX1" s="87"/>
      <c r="LJY1" s="87"/>
      <c r="LJZ1" s="87"/>
      <c r="LKA1" s="87"/>
      <c r="LKB1" s="87"/>
      <c r="LKC1" s="87"/>
      <c r="LKD1" s="87"/>
      <c r="LKE1" s="87"/>
      <c r="LKF1" s="87"/>
      <c r="LKG1" s="87"/>
      <c r="LKH1" s="87"/>
      <c r="LKI1" s="87"/>
      <c r="LKJ1" s="87"/>
      <c r="LKK1" s="87"/>
      <c r="LKL1" s="87"/>
      <c r="LKM1" s="87"/>
      <c r="LKN1" s="87"/>
      <c r="LKO1" s="87"/>
      <c r="LKP1" s="87"/>
      <c r="LKQ1" s="87"/>
      <c r="LKR1" s="87"/>
      <c r="LKS1" s="87"/>
      <c r="LKT1" s="87"/>
      <c r="LKU1" s="87"/>
      <c r="LKV1" s="87"/>
      <c r="LKW1" s="87"/>
      <c r="LKX1" s="87"/>
      <c r="LKY1" s="87"/>
      <c r="LKZ1" s="87"/>
      <c r="LLA1" s="87"/>
      <c r="LLB1" s="87"/>
      <c r="LLC1" s="87"/>
      <c r="LLD1" s="87"/>
      <c r="LLE1" s="87"/>
      <c r="LLF1" s="87"/>
      <c r="LLG1" s="87"/>
      <c r="LLH1" s="87"/>
      <c r="LLI1" s="87"/>
      <c r="LLJ1" s="87"/>
      <c r="LLK1" s="87"/>
      <c r="LLL1" s="87"/>
      <c r="LLM1" s="87"/>
      <c r="LLN1" s="87"/>
      <c r="LLO1" s="87"/>
      <c r="LLP1" s="87"/>
      <c r="LLQ1" s="87"/>
      <c r="LLR1" s="87"/>
      <c r="LLS1" s="87"/>
      <c r="LLT1" s="87"/>
      <c r="LLU1" s="87"/>
      <c r="LLV1" s="87"/>
      <c r="LLW1" s="87"/>
      <c r="LLX1" s="87"/>
      <c r="LLY1" s="87"/>
      <c r="LLZ1" s="87"/>
      <c r="LMA1" s="87"/>
      <c r="LMB1" s="87"/>
      <c r="LMC1" s="87"/>
      <c r="LMD1" s="87"/>
      <c r="LME1" s="87"/>
      <c r="LMF1" s="87"/>
      <c r="LMG1" s="87"/>
      <c r="LMH1" s="87"/>
      <c r="LMI1" s="87"/>
      <c r="LMJ1" s="87"/>
      <c r="LMK1" s="87"/>
      <c r="LML1" s="87"/>
      <c r="LMM1" s="87"/>
      <c r="LMN1" s="87"/>
      <c r="LMO1" s="87"/>
      <c r="LMP1" s="87"/>
      <c r="LMQ1" s="87"/>
      <c r="LMR1" s="87"/>
      <c r="LMS1" s="87"/>
      <c r="LMT1" s="87"/>
      <c r="LMU1" s="87"/>
      <c r="LMV1" s="87"/>
      <c r="LMW1" s="87"/>
      <c r="LMX1" s="87"/>
      <c r="LMY1" s="87"/>
      <c r="LMZ1" s="87"/>
      <c r="LNA1" s="87"/>
      <c r="LNB1" s="87"/>
      <c r="LNC1" s="87"/>
      <c r="LND1" s="87"/>
      <c r="LNE1" s="87"/>
      <c r="LNF1" s="87"/>
      <c r="LNG1" s="87"/>
      <c r="LNH1" s="87"/>
      <c r="LNI1" s="87"/>
      <c r="LNJ1" s="87"/>
      <c r="LNK1" s="87"/>
      <c r="LNL1" s="87"/>
      <c r="LNM1" s="87"/>
      <c r="LNN1" s="87"/>
      <c r="LNO1" s="87"/>
      <c r="LNP1" s="87"/>
      <c r="LNQ1" s="87"/>
      <c r="LNR1" s="87"/>
      <c r="LNS1" s="87"/>
      <c r="LNT1" s="87"/>
      <c r="LNU1" s="87"/>
      <c r="LNV1" s="87"/>
      <c r="LNW1" s="87"/>
      <c r="LNX1" s="87"/>
      <c r="LNY1" s="87"/>
      <c r="LNZ1" s="87"/>
      <c r="LOA1" s="87"/>
      <c r="LOB1" s="87"/>
      <c r="LOC1" s="87"/>
      <c r="LOD1" s="87"/>
      <c r="LOE1" s="87"/>
      <c r="LOF1" s="87"/>
      <c r="LOG1" s="87"/>
      <c r="LOH1" s="87"/>
      <c r="LOI1" s="87"/>
      <c r="LOJ1" s="87"/>
      <c r="LOK1" s="87"/>
      <c r="LOL1" s="87"/>
      <c r="LOM1" s="87"/>
      <c r="LON1" s="87"/>
      <c r="LOO1" s="87"/>
      <c r="LOP1" s="87"/>
      <c r="LOQ1" s="87"/>
      <c r="LOR1" s="87"/>
      <c r="LOS1" s="87"/>
      <c r="LOT1" s="87"/>
      <c r="LOU1" s="87"/>
      <c r="LOV1" s="87"/>
      <c r="LOW1" s="87"/>
      <c r="LOX1" s="87"/>
      <c r="LOY1" s="87"/>
      <c r="LOZ1" s="87"/>
      <c r="LPA1" s="87"/>
      <c r="LPB1" s="87"/>
      <c r="LPC1" s="87"/>
      <c r="LPD1" s="87"/>
      <c r="LPE1" s="87"/>
      <c r="LPF1" s="87"/>
      <c r="LPG1" s="87"/>
      <c r="LPH1" s="87"/>
      <c r="LPI1" s="87"/>
      <c r="LPJ1" s="87"/>
      <c r="LPK1" s="87"/>
      <c r="LPL1" s="87"/>
      <c r="LPM1" s="87"/>
      <c r="LPN1" s="87"/>
      <c r="LPO1" s="87"/>
      <c r="LPP1" s="87"/>
      <c r="LPQ1" s="87"/>
      <c r="LPR1" s="87"/>
      <c r="LPS1" s="87"/>
      <c r="LPT1" s="87"/>
      <c r="LPU1" s="87"/>
      <c r="LPV1" s="87"/>
      <c r="LPW1" s="87"/>
      <c r="LPX1" s="87"/>
      <c r="LPY1" s="87"/>
      <c r="LPZ1" s="87"/>
      <c r="LQA1" s="87"/>
      <c r="LQB1" s="87"/>
      <c r="LQC1" s="87"/>
      <c r="LQD1" s="87"/>
      <c r="LQE1" s="87"/>
      <c r="LQF1" s="87"/>
      <c r="LQG1" s="87"/>
      <c r="LQH1" s="87"/>
      <c r="LQI1" s="87"/>
      <c r="LQJ1" s="87"/>
      <c r="LQK1" s="87"/>
      <c r="LQL1" s="87"/>
      <c r="LQM1" s="87"/>
      <c r="LQN1" s="87"/>
      <c r="LQO1" s="87"/>
      <c r="LQP1" s="87"/>
      <c r="LQQ1" s="87"/>
      <c r="LQR1" s="87"/>
      <c r="LQS1" s="87"/>
      <c r="LQT1" s="87"/>
      <c r="LQU1" s="87"/>
      <c r="LQV1" s="87"/>
      <c r="LQW1" s="87"/>
      <c r="LQX1" s="87"/>
      <c r="LQY1" s="87"/>
      <c r="LQZ1" s="87"/>
      <c r="LRA1" s="87"/>
      <c r="LRB1" s="87"/>
      <c r="LRC1" s="87"/>
      <c r="LRD1" s="87"/>
      <c r="LRE1" s="87"/>
      <c r="LRF1" s="87"/>
      <c r="LRG1" s="87"/>
      <c r="LRH1" s="87"/>
      <c r="LRI1" s="87"/>
      <c r="LRJ1" s="87"/>
      <c r="LRK1" s="87"/>
      <c r="LRL1" s="87"/>
      <c r="LRM1" s="87"/>
      <c r="LRN1" s="87"/>
      <c r="LRO1" s="87"/>
      <c r="LRP1" s="87"/>
      <c r="LRQ1" s="87"/>
      <c r="LRR1" s="87"/>
      <c r="LRS1" s="87"/>
      <c r="LRT1" s="87"/>
      <c r="LRU1" s="87"/>
      <c r="LRV1" s="87"/>
      <c r="LRW1" s="87"/>
      <c r="LRX1" s="87"/>
      <c r="LRY1" s="87"/>
      <c r="LRZ1" s="87"/>
      <c r="LSA1" s="87"/>
      <c r="LSB1" s="87"/>
      <c r="LSC1" s="87"/>
      <c r="LSD1" s="87"/>
      <c r="LSE1" s="87"/>
      <c r="LSF1" s="87"/>
      <c r="LSG1" s="87"/>
      <c r="LSH1" s="87"/>
      <c r="LSI1" s="87"/>
      <c r="LSJ1" s="87"/>
      <c r="LSK1" s="87"/>
      <c r="LSL1" s="87"/>
      <c r="LSM1" s="87"/>
      <c r="LSN1" s="87"/>
      <c r="LSO1" s="87"/>
      <c r="LSP1" s="87"/>
      <c r="LSQ1" s="87"/>
      <c r="LSR1" s="87"/>
      <c r="LSS1" s="87"/>
      <c r="LST1" s="87"/>
      <c r="LSU1" s="87"/>
      <c r="LSV1" s="87"/>
      <c r="LSW1" s="87"/>
      <c r="LSX1" s="87"/>
      <c r="LSY1" s="87"/>
      <c r="LSZ1" s="87"/>
      <c r="LTA1" s="87"/>
      <c r="LTB1" s="87"/>
      <c r="LTC1" s="87"/>
      <c r="LTD1" s="87"/>
      <c r="LTE1" s="87"/>
      <c r="LTF1" s="87"/>
      <c r="LTG1" s="87"/>
      <c r="LTH1" s="87"/>
      <c r="LTI1" s="87"/>
      <c r="LTJ1" s="87"/>
      <c r="LTK1" s="87"/>
      <c r="LTL1" s="87"/>
      <c r="LTM1" s="87"/>
      <c r="LTN1" s="87"/>
      <c r="LTO1" s="87"/>
      <c r="LTP1" s="87"/>
      <c r="LTQ1" s="87"/>
      <c r="LTR1" s="87"/>
      <c r="LTS1" s="87"/>
      <c r="LTT1" s="87"/>
      <c r="LTU1" s="87"/>
      <c r="LTV1" s="87"/>
      <c r="LTW1" s="87"/>
      <c r="LTX1" s="87"/>
      <c r="LTY1" s="87"/>
      <c r="LTZ1" s="87"/>
      <c r="LUA1" s="87"/>
      <c r="LUB1" s="87"/>
      <c r="LUC1" s="87"/>
      <c r="LUD1" s="87"/>
      <c r="LUE1" s="87"/>
      <c r="LUF1" s="87"/>
      <c r="LUG1" s="87"/>
      <c r="LUH1" s="87"/>
      <c r="LUI1" s="87"/>
      <c r="LUJ1" s="87"/>
      <c r="LUK1" s="87"/>
      <c r="LUL1" s="87"/>
      <c r="LUM1" s="87"/>
      <c r="LUN1" s="87"/>
      <c r="LUO1" s="87"/>
      <c r="LUP1" s="87"/>
      <c r="LUQ1" s="87"/>
      <c r="LUR1" s="87"/>
      <c r="LUS1" s="87"/>
      <c r="LUT1" s="87"/>
      <c r="LUU1" s="87"/>
      <c r="LUV1" s="87"/>
      <c r="LUW1" s="87"/>
      <c r="LUX1" s="87"/>
      <c r="LUY1" s="87"/>
      <c r="LUZ1" s="87"/>
      <c r="LVA1" s="87"/>
      <c r="LVB1" s="87"/>
      <c r="LVC1" s="87"/>
      <c r="LVD1" s="87"/>
      <c r="LVE1" s="87"/>
      <c r="LVF1" s="87"/>
      <c r="LVG1" s="87"/>
      <c r="LVH1" s="87"/>
      <c r="LVI1" s="87"/>
      <c r="LVJ1" s="87"/>
      <c r="LVK1" s="87"/>
      <c r="LVL1" s="87"/>
      <c r="LVM1" s="87"/>
      <c r="LVN1" s="87"/>
      <c r="LVO1" s="87"/>
      <c r="LVP1" s="87"/>
      <c r="LVQ1" s="87"/>
      <c r="LVR1" s="87"/>
      <c r="LVS1" s="87"/>
      <c r="LVT1" s="87"/>
      <c r="LVU1" s="87"/>
      <c r="LVV1" s="87"/>
      <c r="LVW1" s="87"/>
      <c r="LVX1" s="87"/>
      <c r="LVY1" s="87"/>
      <c r="LVZ1" s="87"/>
      <c r="LWA1" s="87"/>
      <c r="LWB1" s="87"/>
      <c r="LWC1" s="87"/>
      <c r="LWD1" s="87"/>
      <c r="LWE1" s="87"/>
      <c r="LWF1" s="87"/>
      <c r="LWG1" s="87"/>
      <c r="LWH1" s="87"/>
      <c r="LWI1" s="87"/>
      <c r="LWJ1" s="87"/>
      <c r="LWK1" s="87"/>
      <c r="LWL1" s="87"/>
      <c r="LWM1" s="87"/>
      <c r="LWN1" s="87"/>
      <c r="LWO1" s="87"/>
      <c r="LWP1" s="87"/>
      <c r="LWQ1" s="87"/>
      <c r="LWR1" s="87"/>
      <c r="LWS1" s="87"/>
      <c r="LWT1" s="87"/>
      <c r="LWU1" s="87"/>
      <c r="LWV1" s="87"/>
      <c r="LWW1" s="87"/>
      <c r="LWX1" s="87"/>
      <c r="LWY1" s="87"/>
      <c r="LWZ1" s="87"/>
      <c r="LXA1" s="87"/>
      <c r="LXB1" s="87"/>
      <c r="LXC1" s="87"/>
      <c r="LXD1" s="87"/>
      <c r="LXE1" s="87"/>
      <c r="LXF1" s="87"/>
      <c r="LXG1" s="87"/>
      <c r="LXH1" s="87"/>
      <c r="LXI1" s="87"/>
      <c r="LXJ1" s="87"/>
      <c r="LXK1" s="87"/>
      <c r="LXL1" s="87"/>
      <c r="LXM1" s="87"/>
      <c r="LXN1" s="87"/>
      <c r="LXO1" s="87"/>
      <c r="LXP1" s="87"/>
      <c r="LXQ1" s="87"/>
      <c r="LXR1" s="87"/>
      <c r="LXS1" s="87"/>
      <c r="LXT1" s="87"/>
      <c r="LXU1" s="87"/>
      <c r="LXV1" s="87"/>
      <c r="LXW1" s="87"/>
      <c r="LXX1" s="87"/>
      <c r="LXY1" s="87"/>
      <c r="LXZ1" s="87"/>
      <c r="LYA1" s="87"/>
      <c r="LYB1" s="87"/>
      <c r="LYC1" s="87"/>
      <c r="LYD1" s="87"/>
      <c r="LYE1" s="87"/>
      <c r="LYF1" s="87"/>
      <c r="LYG1" s="87"/>
      <c r="LYH1" s="87"/>
      <c r="LYI1" s="87"/>
      <c r="LYJ1" s="87"/>
      <c r="LYK1" s="87"/>
      <c r="LYL1" s="87"/>
      <c r="LYM1" s="87"/>
      <c r="LYN1" s="87"/>
      <c r="LYO1" s="87"/>
      <c r="LYP1" s="87"/>
      <c r="LYQ1" s="87"/>
      <c r="LYR1" s="87"/>
      <c r="LYS1" s="87"/>
      <c r="LYT1" s="87"/>
      <c r="LYU1" s="87"/>
      <c r="LYV1" s="87"/>
      <c r="LYW1" s="87"/>
      <c r="LYX1" s="87"/>
      <c r="LYY1" s="87"/>
      <c r="LYZ1" s="87"/>
      <c r="LZA1" s="87"/>
      <c r="LZB1" s="87"/>
      <c r="LZC1" s="87"/>
      <c r="LZD1" s="87"/>
      <c r="LZE1" s="87"/>
      <c r="LZF1" s="87"/>
      <c r="LZG1" s="87"/>
      <c r="LZH1" s="87"/>
      <c r="LZI1" s="87"/>
      <c r="LZJ1" s="87"/>
      <c r="LZK1" s="87"/>
      <c r="LZL1" s="87"/>
      <c r="LZM1" s="87"/>
      <c r="LZN1" s="87"/>
      <c r="LZO1" s="87"/>
      <c r="LZP1" s="87"/>
      <c r="LZQ1" s="87"/>
      <c r="LZR1" s="87"/>
      <c r="LZS1" s="87"/>
      <c r="LZT1" s="87"/>
      <c r="LZU1" s="87"/>
      <c r="LZV1" s="87"/>
      <c r="LZW1" s="87"/>
      <c r="LZX1" s="87"/>
      <c r="LZY1" s="87"/>
      <c r="LZZ1" s="87"/>
      <c r="MAA1" s="87"/>
      <c r="MAB1" s="87"/>
      <c r="MAC1" s="87"/>
      <c r="MAD1" s="87"/>
      <c r="MAE1" s="87"/>
      <c r="MAF1" s="87"/>
      <c r="MAG1" s="87"/>
      <c r="MAH1" s="87"/>
      <c r="MAI1" s="87"/>
      <c r="MAJ1" s="87"/>
      <c r="MAK1" s="87"/>
      <c r="MAL1" s="87"/>
      <c r="MAM1" s="87"/>
      <c r="MAN1" s="87"/>
      <c r="MAO1" s="87"/>
      <c r="MAP1" s="87"/>
      <c r="MAQ1" s="87"/>
      <c r="MAR1" s="87"/>
      <c r="MAS1" s="87"/>
      <c r="MAT1" s="87"/>
      <c r="MAU1" s="87"/>
      <c r="MAV1" s="87"/>
      <c r="MAW1" s="87"/>
      <c r="MAX1" s="87"/>
      <c r="MAY1" s="87"/>
      <c r="MAZ1" s="87"/>
      <c r="MBA1" s="87"/>
      <c r="MBB1" s="87"/>
      <c r="MBC1" s="87"/>
      <c r="MBD1" s="87"/>
      <c r="MBE1" s="87"/>
      <c r="MBF1" s="87"/>
      <c r="MBG1" s="87"/>
      <c r="MBH1" s="87"/>
      <c r="MBI1" s="87"/>
      <c r="MBJ1" s="87"/>
      <c r="MBK1" s="87"/>
      <c r="MBL1" s="87"/>
      <c r="MBM1" s="87"/>
      <c r="MBN1" s="87"/>
      <c r="MBO1" s="87"/>
      <c r="MBP1" s="87"/>
      <c r="MBQ1" s="87"/>
      <c r="MBR1" s="87"/>
      <c r="MBS1" s="87"/>
      <c r="MBT1" s="87"/>
      <c r="MBU1" s="87"/>
      <c r="MBV1" s="87"/>
      <c r="MBW1" s="87"/>
      <c r="MBX1" s="87"/>
      <c r="MBY1" s="87"/>
      <c r="MBZ1" s="87"/>
      <c r="MCA1" s="87"/>
      <c r="MCB1" s="87"/>
      <c r="MCC1" s="87"/>
      <c r="MCD1" s="87"/>
      <c r="MCE1" s="87"/>
      <c r="MCF1" s="87"/>
      <c r="MCG1" s="87"/>
      <c r="MCH1" s="87"/>
      <c r="MCI1" s="87"/>
      <c r="MCJ1" s="87"/>
      <c r="MCK1" s="87"/>
      <c r="MCL1" s="87"/>
      <c r="MCM1" s="87"/>
      <c r="MCN1" s="87"/>
      <c r="MCO1" s="87"/>
      <c r="MCP1" s="87"/>
      <c r="MCQ1" s="87"/>
      <c r="MCR1" s="87"/>
      <c r="MCS1" s="87"/>
      <c r="MCT1" s="87"/>
      <c r="MCU1" s="87"/>
      <c r="MCV1" s="87"/>
      <c r="MCW1" s="87"/>
      <c r="MCX1" s="87"/>
      <c r="MCY1" s="87"/>
      <c r="MCZ1" s="87"/>
      <c r="MDA1" s="87"/>
      <c r="MDB1" s="87"/>
      <c r="MDC1" s="87"/>
      <c r="MDD1" s="87"/>
      <c r="MDE1" s="87"/>
      <c r="MDF1" s="87"/>
      <c r="MDG1" s="87"/>
      <c r="MDH1" s="87"/>
      <c r="MDI1" s="87"/>
      <c r="MDJ1" s="87"/>
      <c r="MDK1" s="87"/>
      <c r="MDL1" s="87"/>
      <c r="MDM1" s="87"/>
      <c r="MDN1" s="87"/>
      <c r="MDO1" s="87"/>
      <c r="MDP1" s="87"/>
      <c r="MDQ1" s="87"/>
      <c r="MDR1" s="87"/>
      <c r="MDS1" s="87"/>
      <c r="MDT1" s="87"/>
      <c r="MDU1" s="87"/>
      <c r="MDV1" s="87"/>
      <c r="MDW1" s="87"/>
      <c r="MDX1" s="87"/>
      <c r="MDY1" s="87"/>
      <c r="MDZ1" s="87"/>
      <c r="MEA1" s="87"/>
      <c r="MEB1" s="87"/>
      <c r="MEC1" s="87"/>
      <c r="MED1" s="87"/>
      <c r="MEE1" s="87"/>
      <c r="MEF1" s="87"/>
      <c r="MEG1" s="87"/>
      <c r="MEH1" s="87"/>
      <c r="MEI1" s="87"/>
      <c r="MEJ1" s="87"/>
      <c r="MEK1" s="87"/>
      <c r="MEL1" s="87"/>
      <c r="MEM1" s="87"/>
      <c r="MEN1" s="87"/>
      <c r="MEO1" s="87"/>
      <c r="MEP1" s="87"/>
      <c r="MEQ1" s="87"/>
      <c r="MER1" s="87"/>
      <c r="MES1" s="87"/>
      <c r="MET1" s="87"/>
      <c r="MEU1" s="87"/>
      <c r="MEV1" s="87"/>
      <c r="MEW1" s="87"/>
      <c r="MEX1" s="87"/>
      <c r="MEY1" s="87"/>
      <c r="MEZ1" s="87"/>
      <c r="MFA1" s="87"/>
      <c r="MFB1" s="87"/>
      <c r="MFC1" s="87"/>
      <c r="MFD1" s="87"/>
      <c r="MFE1" s="87"/>
      <c r="MFF1" s="87"/>
      <c r="MFG1" s="87"/>
      <c r="MFH1" s="87"/>
      <c r="MFI1" s="87"/>
      <c r="MFJ1" s="87"/>
      <c r="MFK1" s="87"/>
      <c r="MFL1" s="87"/>
      <c r="MFM1" s="87"/>
      <c r="MFN1" s="87"/>
      <c r="MFO1" s="87"/>
      <c r="MFP1" s="87"/>
      <c r="MFQ1" s="87"/>
      <c r="MFR1" s="87"/>
      <c r="MFS1" s="87"/>
      <c r="MFT1" s="87"/>
      <c r="MFU1" s="87"/>
      <c r="MFV1" s="87"/>
      <c r="MFW1" s="87"/>
      <c r="MFX1" s="87"/>
      <c r="MFY1" s="87"/>
      <c r="MFZ1" s="87"/>
      <c r="MGA1" s="87"/>
      <c r="MGB1" s="87"/>
      <c r="MGC1" s="87"/>
      <c r="MGD1" s="87"/>
      <c r="MGE1" s="87"/>
      <c r="MGF1" s="87"/>
      <c r="MGG1" s="87"/>
      <c r="MGH1" s="87"/>
      <c r="MGI1" s="87"/>
      <c r="MGJ1" s="87"/>
      <c r="MGK1" s="87"/>
      <c r="MGL1" s="87"/>
      <c r="MGM1" s="87"/>
      <c r="MGN1" s="87"/>
      <c r="MGO1" s="87"/>
      <c r="MGP1" s="87"/>
      <c r="MGQ1" s="87"/>
      <c r="MGR1" s="87"/>
      <c r="MGS1" s="87"/>
      <c r="MGT1" s="87"/>
      <c r="MGU1" s="87"/>
      <c r="MGV1" s="87"/>
      <c r="MGW1" s="87"/>
      <c r="MGX1" s="87"/>
      <c r="MGY1" s="87"/>
      <c r="MGZ1" s="87"/>
      <c r="MHA1" s="87"/>
      <c r="MHB1" s="87"/>
      <c r="MHC1" s="87"/>
      <c r="MHD1" s="87"/>
      <c r="MHE1" s="87"/>
      <c r="MHF1" s="87"/>
      <c r="MHG1" s="87"/>
      <c r="MHH1" s="87"/>
      <c r="MHI1" s="87"/>
      <c r="MHJ1" s="87"/>
      <c r="MHK1" s="87"/>
      <c r="MHL1" s="87"/>
      <c r="MHM1" s="87"/>
      <c r="MHN1" s="87"/>
      <c r="MHO1" s="87"/>
      <c r="MHP1" s="87"/>
      <c r="MHQ1" s="87"/>
      <c r="MHR1" s="87"/>
      <c r="MHS1" s="87"/>
      <c r="MHT1" s="87"/>
      <c r="MHU1" s="87"/>
      <c r="MHV1" s="87"/>
      <c r="MHW1" s="87"/>
      <c r="MHX1" s="87"/>
      <c r="MHY1" s="87"/>
      <c r="MHZ1" s="87"/>
      <c r="MIA1" s="87"/>
      <c r="MIB1" s="87"/>
      <c r="MIC1" s="87"/>
      <c r="MID1" s="87"/>
      <c r="MIE1" s="87"/>
      <c r="MIF1" s="87"/>
      <c r="MIG1" s="87"/>
      <c r="MIH1" s="87"/>
      <c r="MII1" s="87"/>
      <c r="MIJ1" s="87"/>
      <c r="MIK1" s="87"/>
      <c r="MIL1" s="87"/>
      <c r="MIM1" s="87"/>
      <c r="MIN1" s="87"/>
      <c r="MIO1" s="87"/>
      <c r="MIP1" s="87"/>
      <c r="MIQ1" s="87"/>
      <c r="MIR1" s="87"/>
      <c r="MIS1" s="87"/>
      <c r="MIT1" s="87"/>
      <c r="MIU1" s="87"/>
      <c r="MIV1" s="87"/>
      <c r="MIW1" s="87"/>
      <c r="MIX1" s="87"/>
      <c r="MIY1" s="87"/>
      <c r="MIZ1" s="87"/>
      <c r="MJA1" s="87"/>
      <c r="MJB1" s="87"/>
      <c r="MJC1" s="87"/>
      <c r="MJD1" s="87"/>
      <c r="MJE1" s="87"/>
      <c r="MJF1" s="87"/>
      <c r="MJG1" s="87"/>
      <c r="MJH1" s="87"/>
      <c r="MJI1" s="87"/>
      <c r="MJJ1" s="87"/>
      <c r="MJK1" s="87"/>
      <c r="MJL1" s="87"/>
      <c r="MJM1" s="87"/>
      <c r="MJN1" s="87"/>
      <c r="MJO1" s="87"/>
      <c r="MJP1" s="87"/>
      <c r="MJQ1" s="87"/>
      <c r="MJR1" s="87"/>
      <c r="MJS1" s="87"/>
      <c r="MJT1" s="87"/>
      <c r="MJU1" s="87"/>
      <c r="MJV1" s="87"/>
      <c r="MJW1" s="87"/>
      <c r="MJX1" s="87"/>
      <c r="MJY1" s="87"/>
      <c r="MJZ1" s="87"/>
      <c r="MKA1" s="87"/>
      <c r="MKB1" s="87"/>
      <c r="MKC1" s="87"/>
      <c r="MKD1" s="87"/>
      <c r="MKE1" s="87"/>
      <c r="MKF1" s="87"/>
      <c r="MKG1" s="87"/>
      <c r="MKH1" s="87"/>
      <c r="MKI1" s="87"/>
      <c r="MKJ1" s="87"/>
      <c r="MKK1" s="87"/>
      <c r="MKL1" s="87"/>
      <c r="MKM1" s="87"/>
      <c r="MKN1" s="87"/>
      <c r="MKO1" s="87"/>
      <c r="MKP1" s="87"/>
      <c r="MKQ1" s="87"/>
      <c r="MKR1" s="87"/>
      <c r="MKS1" s="87"/>
      <c r="MKT1" s="87"/>
      <c r="MKU1" s="87"/>
      <c r="MKV1" s="87"/>
      <c r="MKW1" s="87"/>
      <c r="MKX1" s="87"/>
      <c r="MKY1" s="87"/>
      <c r="MKZ1" s="87"/>
      <c r="MLA1" s="87"/>
      <c r="MLB1" s="87"/>
      <c r="MLC1" s="87"/>
      <c r="MLD1" s="87"/>
      <c r="MLE1" s="87"/>
      <c r="MLF1" s="87"/>
      <c r="MLG1" s="87"/>
      <c r="MLH1" s="87"/>
      <c r="MLI1" s="87"/>
      <c r="MLJ1" s="87"/>
      <c r="MLK1" s="87"/>
      <c r="MLL1" s="87"/>
      <c r="MLM1" s="87"/>
      <c r="MLN1" s="87"/>
      <c r="MLO1" s="87"/>
      <c r="MLP1" s="87"/>
      <c r="MLQ1" s="87"/>
      <c r="MLR1" s="87"/>
      <c r="MLS1" s="87"/>
      <c r="MLT1" s="87"/>
      <c r="MLU1" s="87"/>
      <c r="MLV1" s="87"/>
      <c r="MLW1" s="87"/>
      <c r="MLX1" s="87"/>
      <c r="MLY1" s="87"/>
      <c r="MLZ1" s="87"/>
      <c r="MMA1" s="87"/>
      <c r="MMB1" s="87"/>
      <c r="MMC1" s="87"/>
      <c r="MMD1" s="87"/>
      <c r="MME1" s="87"/>
      <c r="MMF1" s="87"/>
      <c r="MMG1" s="87"/>
      <c r="MMH1" s="87"/>
      <c r="MMI1" s="87"/>
      <c r="MMJ1" s="87"/>
      <c r="MMK1" s="87"/>
      <c r="MML1" s="87"/>
      <c r="MMM1" s="87"/>
      <c r="MMN1" s="87"/>
      <c r="MMO1" s="87"/>
      <c r="MMP1" s="87"/>
      <c r="MMQ1" s="87"/>
      <c r="MMR1" s="87"/>
      <c r="MMS1" s="87"/>
      <c r="MMT1" s="87"/>
      <c r="MMU1" s="87"/>
      <c r="MMV1" s="87"/>
      <c r="MMW1" s="87"/>
      <c r="MMX1" s="87"/>
      <c r="MMY1" s="87"/>
      <c r="MMZ1" s="87"/>
      <c r="MNA1" s="87"/>
      <c r="MNB1" s="87"/>
      <c r="MNC1" s="87"/>
      <c r="MND1" s="87"/>
      <c r="MNE1" s="87"/>
      <c r="MNF1" s="87"/>
      <c r="MNG1" s="87"/>
      <c r="MNH1" s="87"/>
      <c r="MNI1" s="87"/>
      <c r="MNJ1" s="87"/>
      <c r="MNK1" s="87"/>
      <c r="MNL1" s="87"/>
      <c r="MNM1" s="87"/>
      <c r="MNN1" s="87"/>
      <c r="MNO1" s="87"/>
      <c r="MNP1" s="87"/>
      <c r="MNQ1" s="87"/>
      <c r="MNR1" s="87"/>
      <c r="MNS1" s="87"/>
      <c r="MNT1" s="87"/>
      <c r="MNU1" s="87"/>
      <c r="MNV1" s="87"/>
      <c r="MNW1" s="87"/>
      <c r="MNX1" s="87"/>
      <c r="MNY1" s="87"/>
      <c r="MNZ1" s="87"/>
      <c r="MOA1" s="87"/>
      <c r="MOB1" s="87"/>
      <c r="MOC1" s="87"/>
      <c r="MOD1" s="87"/>
      <c r="MOE1" s="87"/>
      <c r="MOF1" s="87"/>
      <c r="MOG1" s="87"/>
      <c r="MOH1" s="87"/>
      <c r="MOI1" s="87"/>
      <c r="MOJ1" s="87"/>
      <c r="MOK1" s="87"/>
      <c r="MOL1" s="87"/>
      <c r="MOM1" s="87"/>
      <c r="MON1" s="87"/>
      <c r="MOO1" s="87"/>
      <c r="MOP1" s="87"/>
      <c r="MOQ1" s="87"/>
      <c r="MOR1" s="87"/>
      <c r="MOS1" s="87"/>
      <c r="MOT1" s="87"/>
      <c r="MOU1" s="87"/>
      <c r="MOV1" s="87"/>
      <c r="MOW1" s="87"/>
      <c r="MOX1" s="87"/>
      <c r="MOY1" s="87"/>
      <c r="MOZ1" s="87"/>
      <c r="MPA1" s="87"/>
      <c r="MPB1" s="87"/>
      <c r="MPC1" s="87"/>
      <c r="MPD1" s="87"/>
      <c r="MPE1" s="87"/>
      <c r="MPF1" s="87"/>
      <c r="MPG1" s="87"/>
      <c r="MPH1" s="87"/>
      <c r="MPI1" s="87"/>
      <c r="MPJ1" s="87"/>
      <c r="MPK1" s="87"/>
      <c r="MPL1" s="87"/>
      <c r="MPM1" s="87"/>
      <c r="MPN1" s="87"/>
      <c r="MPO1" s="87"/>
      <c r="MPP1" s="87"/>
      <c r="MPQ1" s="87"/>
      <c r="MPR1" s="87"/>
      <c r="MPS1" s="87"/>
      <c r="MPT1" s="87"/>
      <c r="MPU1" s="87"/>
      <c r="MPV1" s="87"/>
      <c r="MPW1" s="87"/>
      <c r="MPX1" s="87"/>
      <c r="MPY1" s="87"/>
      <c r="MPZ1" s="87"/>
      <c r="MQA1" s="87"/>
      <c r="MQB1" s="87"/>
      <c r="MQC1" s="87"/>
      <c r="MQD1" s="87"/>
      <c r="MQE1" s="87"/>
      <c r="MQF1" s="87"/>
      <c r="MQG1" s="87"/>
      <c r="MQH1" s="87"/>
      <c r="MQI1" s="87"/>
      <c r="MQJ1" s="87"/>
      <c r="MQK1" s="87"/>
      <c r="MQL1" s="87"/>
      <c r="MQM1" s="87"/>
      <c r="MQN1" s="87"/>
      <c r="MQO1" s="87"/>
      <c r="MQP1" s="87"/>
      <c r="MQQ1" s="87"/>
      <c r="MQR1" s="87"/>
      <c r="MQS1" s="87"/>
      <c r="MQT1" s="87"/>
      <c r="MQU1" s="87"/>
      <c r="MQV1" s="87"/>
      <c r="MQW1" s="87"/>
      <c r="MQX1" s="87"/>
      <c r="MQY1" s="87"/>
      <c r="MQZ1" s="87"/>
      <c r="MRA1" s="87"/>
      <c r="MRB1" s="87"/>
      <c r="MRC1" s="87"/>
      <c r="MRD1" s="87"/>
      <c r="MRE1" s="87"/>
      <c r="MRF1" s="87"/>
      <c r="MRG1" s="87"/>
      <c r="MRH1" s="87"/>
      <c r="MRI1" s="87"/>
      <c r="MRJ1" s="87"/>
      <c r="MRK1" s="87"/>
      <c r="MRL1" s="87"/>
      <c r="MRM1" s="87"/>
      <c r="MRN1" s="87"/>
      <c r="MRO1" s="87"/>
      <c r="MRP1" s="87"/>
      <c r="MRQ1" s="87"/>
      <c r="MRR1" s="87"/>
      <c r="MRS1" s="87"/>
      <c r="MRT1" s="87"/>
      <c r="MRU1" s="87"/>
      <c r="MRV1" s="87"/>
      <c r="MRW1" s="87"/>
      <c r="MRX1" s="87"/>
      <c r="MRY1" s="87"/>
      <c r="MRZ1" s="87"/>
      <c r="MSA1" s="87"/>
      <c r="MSB1" s="87"/>
      <c r="MSC1" s="87"/>
      <c r="MSD1" s="87"/>
      <c r="MSE1" s="87"/>
      <c r="MSF1" s="87"/>
      <c r="MSG1" s="87"/>
      <c r="MSH1" s="87"/>
      <c r="MSI1" s="87"/>
      <c r="MSJ1" s="87"/>
      <c r="MSK1" s="87"/>
      <c r="MSL1" s="87"/>
      <c r="MSM1" s="87"/>
      <c r="MSN1" s="87"/>
      <c r="MSO1" s="87"/>
      <c r="MSP1" s="87"/>
      <c r="MSQ1" s="87"/>
      <c r="MSR1" s="87"/>
      <c r="MSS1" s="87"/>
      <c r="MST1" s="87"/>
      <c r="MSU1" s="87"/>
      <c r="MSV1" s="87"/>
      <c r="MSW1" s="87"/>
      <c r="MSX1" s="87"/>
      <c r="MSY1" s="87"/>
      <c r="MSZ1" s="87"/>
      <c r="MTA1" s="87"/>
      <c r="MTB1" s="87"/>
      <c r="MTC1" s="87"/>
      <c r="MTD1" s="87"/>
      <c r="MTE1" s="87"/>
      <c r="MTF1" s="87"/>
      <c r="MTG1" s="87"/>
      <c r="MTH1" s="87"/>
      <c r="MTI1" s="87"/>
      <c r="MTJ1" s="87"/>
      <c r="MTK1" s="87"/>
      <c r="MTL1" s="87"/>
      <c r="MTM1" s="87"/>
      <c r="MTN1" s="87"/>
      <c r="MTO1" s="87"/>
      <c r="MTP1" s="87"/>
      <c r="MTQ1" s="87"/>
      <c r="MTR1" s="87"/>
      <c r="MTS1" s="87"/>
      <c r="MTT1" s="87"/>
      <c r="MTU1" s="87"/>
      <c r="MTV1" s="87"/>
      <c r="MTW1" s="87"/>
      <c r="MTX1" s="87"/>
      <c r="MTY1" s="87"/>
      <c r="MTZ1" s="87"/>
      <c r="MUA1" s="87"/>
      <c r="MUB1" s="87"/>
      <c r="MUC1" s="87"/>
      <c r="MUD1" s="87"/>
      <c r="MUE1" s="87"/>
      <c r="MUF1" s="87"/>
      <c r="MUG1" s="87"/>
      <c r="MUH1" s="87"/>
      <c r="MUI1" s="87"/>
      <c r="MUJ1" s="87"/>
      <c r="MUK1" s="87"/>
      <c r="MUL1" s="87"/>
      <c r="MUM1" s="87"/>
      <c r="MUN1" s="87"/>
      <c r="MUO1" s="87"/>
      <c r="MUP1" s="87"/>
      <c r="MUQ1" s="87"/>
      <c r="MUR1" s="87"/>
      <c r="MUS1" s="87"/>
      <c r="MUT1" s="87"/>
      <c r="MUU1" s="87"/>
      <c r="MUV1" s="87"/>
      <c r="MUW1" s="87"/>
      <c r="MUX1" s="87"/>
      <c r="MUY1" s="87"/>
      <c r="MUZ1" s="87"/>
      <c r="MVA1" s="87"/>
      <c r="MVB1" s="87"/>
      <c r="MVC1" s="87"/>
      <c r="MVD1" s="87"/>
      <c r="MVE1" s="87"/>
      <c r="MVF1" s="87"/>
      <c r="MVG1" s="87"/>
      <c r="MVH1" s="87"/>
      <c r="MVI1" s="87"/>
      <c r="MVJ1" s="87"/>
      <c r="MVK1" s="87"/>
      <c r="MVL1" s="87"/>
      <c r="MVM1" s="87"/>
      <c r="MVN1" s="87"/>
      <c r="MVO1" s="87"/>
      <c r="MVP1" s="87"/>
      <c r="MVQ1" s="87"/>
      <c r="MVR1" s="87"/>
      <c r="MVS1" s="87"/>
      <c r="MVT1" s="87"/>
      <c r="MVU1" s="87"/>
      <c r="MVV1" s="87"/>
      <c r="MVW1" s="87"/>
      <c r="MVX1" s="87"/>
      <c r="MVY1" s="87"/>
      <c r="MVZ1" s="87"/>
      <c r="MWA1" s="87"/>
      <c r="MWB1" s="87"/>
      <c r="MWC1" s="87"/>
      <c r="MWD1" s="87"/>
      <c r="MWE1" s="87"/>
      <c r="MWF1" s="87"/>
      <c r="MWG1" s="87"/>
      <c r="MWH1" s="87"/>
      <c r="MWI1" s="87"/>
      <c r="MWJ1" s="87"/>
      <c r="MWK1" s="87"/>
      <c r="MWL1" s="87"/>
      <c r="MWM1" s="87"/>
      <c r="MWN1" s="87"/>
      <c r="MWO1" s="87"/>
      <c r="MWP1" s="87"/>
      <c r="MWQ1" s="87"/>
      <c r="MWR1" s="87"/>
      <c r="MWS1" s="87"/>
      <c r="MWT1" s="87"/>
      <c r="MWU1" s="87"/>
      <c r="MWV1" s="87"/>
      <c r="MWW1" s="87"/>
      <c r="MWX1" s="87"/>
      <c r="MWY1" s="87"/>
      <c r="MWZ1" s="87"/>
      <c r="MXA1" s="87"/>
      <c r="MXB1" s="87"/>
      <c r="MXC1" s="87"/>
      <c r="MXD1" s="87"/>
      <c r="MXE1" s="87"/>
      <c r="MXF1" s="87"/>
      <c r="MXG1" s="87"/>
      <c r="MXH1" s="87"/>
      <c r="MXI1" s="87"/>
      <c r="MXJ1" s="87"/>
      <c r="MXK1" s="87"/>
      <c r="MXL1" s="87"/>
      <c r="MXM1" s="87"/>
      <c r="MXN1" s="87"/>
      <c r="MXO1" s="87"/>
      <c r="MXP1" s="87"/>
      <c r="MXQ1" s="87"/>
      <c r="MXR1" s="87"/>
      <c r="MXS1" s="87"/>
      <c r="MXT1" s="87"/>
      <c r="MXU1" s="87"/>
      <c r="MXV1" s="87"/>
      <c r="MXW1" s="87"/>
      <c r="MXX1" s="87"/>
      <c r="MXY1" s="87"/>
      <c r="MXZ1" s="87"/>
      <c r="MYA1" s="87"/>
      <c r="MYB1" s="87"/>
      <c r="MYC1" s="87"/>
      <c r="MYD1" s="87"/>
      <c r="MYE1" s="87"/>
      <c r="MYF1" s="87"/>
      <c r="MYG1" s="87"/>
      <c r="MYH1" s="87"/>
      <c r="MYI1" s="87"/>
      <c r="MYJ1" s="87"/>
      <c r="MYK1" s="87"/>
      <c r="MYL1" s="87"/>
      <c r="MYM1" s="87"/>
      <c r="MYN1" s="87"/>
      <c r="MYO1" s="87"/>
      <c r="MYP1" s="87"/>
      <c r="MYQ1" s="87"/>
      <c r="MYR1" s="87"/>
      <c r="MYS1" s="87"/>
      <c r="MYT1" s="87"/>
      <c r="MYU1" s="87"/>
      <c r="MYV1" s="87"/>
      <c r="MYW1" s="87"/>
      <c r="MYX1" s="87"/>
      <c r="MYY1" s="87"/>
      <c r="MYZ1" s="87"/>
      <c r="MZA1" s="87"/>
      <c r="MZB1" s="87"/>
      <c r="MZC1" s="87"/>
      <c r="MZD1" s="87"/>
      <c r="MZE1" s="87"/>
      <c r="MZF1" s="87"/>
      <c r="MZG1" s="87"/>
      <c r="MZH1" s="87"/>
      <c r="MZI1" s="87"/>
      <c r="MZJ1" s="87"/>
      <c r="MZK1" s="87"/>
      <c r="MZL1" s="87"/>
      <c r="MZM1" s="87"/>
      <c r="MZN1" s="87"/>
      <c r="MZO1" s="87"/>
      <c r="MZP1" s="87"/>
      <c r="MZQ1" s="87"/>
      <c r="MZR1" s="87"/>
      <c r="MZS1" s="87"/>
      <c r="MZT1" s="87"/>
      <c r="MZU1" s="87"/>
      <c r="MZV1" s="87"/>
      <c r="MZW1" s="87"/>
      <c r="MZX1" s="87"/>
      <c r="MZY1" s="87"/>
      <c r="MZZ1" s="87"/>
      <c r="NAA1" s="87"/>
      <c r="NAB1" s="87"/>
      <c r="NAC1" s="87"/>
      <c r="NAD1" s="87"/>
      <c r="NAE1" s="87"/>
      <c r="NAF1" s="87"/>
      <c r="NAG1" s="87"/>
      <c r="NAH1" s="87"/>
      <c r="NAI1" s="87"/>
      <c r="NAJ1" s="87"/>
      <c r="NAK1" s="87"/>
      <c r="NAL1" s="87"/>
      <c r="NAM1" s="87"/>
      <c r="NAN1" s="87"/>
      <c r="NAO1" s="87"/>
      <c r="NAP1" s="87"/>
      <c r="NAQ1" s="87"/>
      <c r="NAR1" s="87"/>
      <c r="NAS1" s="87"/>
      <c r="NAT1" s="87"/>
      <c r="NAU1" s="87"/>
      <c r="NAV1" s="87"/>
      <c r="NAW1" s="87"/>
      <c r="NAX1" s="87"/>
      <c r="NAY1" s="87"/>
      <c r="NAZ1" s="87"/>
      <c r="NBA1" s="87"/>
      <c r="NBB1" s="87"/>
      <c r="NBC1" s="87"/>
      <c r="NBD1" s="87"/>
      <c r="NBE1" s="87"/>
      <c r="NBF1" s="87"/>
      <c r="NBG1" s="87"/>
      <c r="NBH1" s="87"/>
      <c r="NBI1" s="87"/>
      <c r="NBJ1" s="87"/>
      <c r="NBK1" s="87"/>
      <c r="NBL1" s="87"/>
      <c r="NBM1" s="87"/>
      <c r="NBN1" s="87"/>
      <c r="NBO1" s="87"/>
      <c r="NBP1" s="87"/>
      <c r="NBQ1" s="87"/>
      <c r="NBR1" s="87"/>
      <c r="NBS1" s="87"/>
      <c r="NBT1" s="87"/>
      <c r="NBU1" s="87"/>
      <c r="NBV1" s="87"/>
      <c r="NBW1" s="87"/>
      <c r="NBX1" s="87"/>
      <c r="NBY1" s="87"/>
      <c r="NBZ1" s="87"/>
      <c r="NCA1" s="87"/>
      <c r="NCB1" s="87"/>
      <c r="NCC1" s="87"/>
      <c r="NCD1" s="87"/>
      <c r="NCE1" s="87"/>
      <c r="NCF1" s="87"/>
      <c r="NCG1" s="87"/>
      <c r="NCH1" s="87"/>
      <c r="NCI1" s="87"/>
      <c r="NCJ1" s="87"/>
      <c r="NCK1" s="87"/>
      <c r="NCL1" s="87"/>
      <c r="NCM1" s="87"/>
      <c r="NCN1" s="87"/>
      <c r="NCO1" s="87"/>
      <c r="NCP1" s="87"/>
      <c r="NCQ1" s="87"/>
      <c r="NCR1" s="87"/>
      <c r="NCS1" s="87"/>
      <c r="NCT1" s="87"/>
      <c r="NCU1" s="87"/>
      <c r="NCV1" s="87"/>
      <c r="NCW1" s="87"/>
      <c r="NCX1" s="87"/>
      <c r="NCY1" s="87"/>
      <c r="NCZ1" s="87"/>
      <c r="NDA1" s="87"/>
      <c r="NDB1" s="87"/>
      <c r="NDC1" s="87"/>
      <c r="NDD1" s="87"/>
      <c r="NDE1" s="87"/>
      <c r="NDF1" s="87"/>
      <c r="NDG1" s="87"/>
      <c r="NDH1" s="87"/>
      <c r="NDI1" s="87"/>
      <c r="NDJ1" s="87"/>
      <c r="NDK1" s="87"/>
      <c r="NDL1" s="87"/>
      <c r="NDM1" s="87"/>
      <c r="NDN1" s="87"/>
      <c r="NDO1" s="87"/>
      <c r="NDP1" s="87"/>
      <c r="NDQ1" s="87"/>
      <c r="NDR1" s="87"/>
      <c r="NDS1" s="87"/>
      <c r="NDT1" s="87"/>
      <c r="NDU1" s="87"/>
      <c r="NDV1" s="87"/>
      <c r="NDW1" s="87"/>
      <c r="NDX1" s="87"/>
      <c r="NDY1" s="87"/>
      <c r="NDZ1" s="87"/>
      <c r="NEA1" s="87"/>
      <c r="NEB1" s="87"/>
      <c r="NEC1" s="87"/>
      <c r="NED1" s="87"/>
      <c r="NEE1" s="87"/>
      <c r="NEF1" s="87"/>
      <c r="NEG1" s="87"/>
      <c r="NEH1" s="87"/>
      <c r="NEI1" s="87"/>
      <c r="NEJ1" s="87"/>
      <c r="NEK1" s="87"/>
      <c r="NEL1" s="87"/>
      <c r="NEM1" s="87"/>
      <c r="NEN1" s="87"/>
      <c r="NEO1" s="87"/>
      <c r="NEP1" s="87"/>
      <c r="NEQ1" s="87"/>
      <c r="NER1" s="87"/>
      <c r="NES1" s="87"/>
      <c r="NET1" s="87"/>
      <c r="NEU1" s="87"/>
      <c r="NEV1" s="87"/>
      <c r="NEW1" s="87"/>
      <c r="NEX1" s="87"/>
      <c r="NEY1" s="87"/>
      <c r="NEZ1" s="87"/>
      <c r="NFA1" s="87"/>
      <c r="NFB1" s="87"/>
      <c r="NFC1" s="87"/>
      <c r="NFD1" s="87"/>
      <c r="NFE1" s="87"/>
      <c r="NFF1" s="87"/>
      <c r="NFG1" s="87"/>
      <c r="NFH1" s="87"/>
      <c r="NFI1" s="87"/>
      <c r="NFJ1" s="87"/>
      <c r="NFK1" s="87"/>
      <c r="NFL1" s="87"/>
      <c r="NFM1" s="87"/>
      <c r="NFN1" s="87"/>
      <c r="NFO1" s="87"/>
      <c r="NFP1" s="87"/>
      <c r="NFQ1" s="87"/>
      <c r="NFR1" s="87"/>
      <c r="NFS1" s="87"/>
      <c r="NFT1" s="87"/>
      <c r="NFU1" s="87"/>
      <c r="NFV1" s="87"/>
      <c r="NFW1" s="87"/>
      <c r="NFX1" s="87"/>
      <c r="NFY1" s="87"/>
      <c r="NFZ1" s="87"/>
      <c r="NGA1" s="87"/>
      <c r="NGB1" s="87"/>
      <c r="NGC1" s="87"/>
      <c r="NGD1" s="87"/>
      <c r="NGE1" s="87"/>
      <c r="NGF1" s="87"/>
      <c r="NGG1" s="87"/>
      <c r="NGH1" s="87"/>
      <c r="NGI1" s="87"/>
      <c r="NGJ1" s="87"/>
      <c r="NGK1" s="87"/>
      <c r="NGL1" s="87"/>
      <c r="NGM1" s="87"/>
      <c r="NGN1" s="87"/>
      <c r="NGO1" s="87"/>
      <c r="NGP1" s="87"/>
      <c r="NGQ1" s="87"/>
      <c r="NGR1" s="87"/>
      <c r="NGS1" s="87"/>
      <c r="NGT1" s="87"/>
      <c r="NGU1" s="87"/>
      <c r="NGV1" s="87"/>
      <c r="NGW1" s="87"/>
      <c r="NGX1" s="87"/>
      <c r="NGY1" s="87"/>
      <c r="NGZ1" s="87"/>
      <c r="NHA1" s="87"/>
      <c r="NHB1" s="87"/>
      <c r="NHC1" s="87"/>
      <c r="NHD1" s="87"/>
      <c r="NHE1" s="87"/>
      <c r="NHF1" s="87"/>
      <c r="NHG1" s="87"/>
      <c r="NHH1" s="87"/>
      <c r="NHI1" s="87"/>
      <c r="NHJ1" s="87"/>
      <c r="NHK1" s="87"/>
      <c r="NHL1" s="87"/>
      <c r="NHM1" s="87"/>
      <c r="NHN1" s="87"/>
      <c r="NHO1" s="87"/>
      <c r="NHP1" s="87"/>
      <c r="NHQ1" s="87"/>
      <c r="NHR1" s="87"/>
      <c r="NHS1" s="87"/>
      <c r="NHT1" s="87"/>
      <c r="NHU1" s="87"/>
      <c r="NHV1" s="87"/>
      <c r="NHW1" s="87"/>
      <c r="NHX1" s="87"/>
      <c r="NHY1" s="87"/>
      <c r="NHZ1" s="87"/>
      <c r="NIA1" s="87"/>
      <c r="NIB1" s="87"/>
      <c r="NIC1" s="87"/>
      <c r="NID1" s="87"/>
      <c r="NIE1" s="87"/>
      <c r="NIF1" s="87"/>
      <c r="NIG1" s="87"/>
      <c r="NIH1" s="87"/>
      <c r="NII1" s="87"/>
      <c r="NIJ1" s="87"/>
      <c r="NIK1" s="87"/>
      <c r="NIL1" s="87"/>
      <c r="NIM1" s="87"/>
      <c r="NIN1" s="87"/>
      <c r="NIO1" s="87"/>
      <c r="NIP1" s="87"/>
      <c r="NIQ1" s="87"/>
      <c r="NIR1" s="87"/>
      <c r="NIS1" s="87"/>
      <c r="NIT1" s="87"/>
      <c r="NIU1" s="87"/>
      <c r="NIV1" s="87"/>
      <c r="NIW1" s="87"/>
      <c r="NIX1" s="87"/>
      <c r="NIY1" s="87"/>
      <c r="NIZ1" s="87"/>
      <c r="NJA1" s="87"/>
      <c r="NJB1" s="87"/>
      <c r="NJC1" s="87"/>
      <c r="NJD1" s="87"/>
      <c r="NJE1" s="87"/>
      <c r="NJF1" s="87"/>
      <c r="NJG1" s="87"/>
      <c r="NJH1" s="87"/>
      <c r="NJI1" s="87"/>
      <c r="NJJ1" s="87"/>
      <c r="NJK1" s="87"/>
      <c r="NJL1" s="87"/>
      <c r="NJM1" s="87"/>
      <c r="NJN1" s="87"/>
      <c r="NJO1" s="87"/>
      <c r="NJP1" s="87"/>
      <c r="NJQ1" s="87"/>
      <c r="NJR1" s="87"/>
      <c r="NJS1" s="87"/>
      <c r="NJT1" s="87"/>
      <c r="NJU1" s="87"/>
      <c r="NJV1" s="87"/>
      <c r="NJW1" s="87"/>
      <c r="NJX1" s="87"/>
      <c r="NJY1" s="87"/>
      <c r="NJZ1" s="87"/>
      <c r="NKA1" s="87"/>
      <c r="NKB1" s="87"/>
      <c r="NKC1" s="87"/>
      <c r="NKD1" s="87"/>
      <c r="NKE1" s="87"/>
      <c r="NKF1" s="87"/>
      <c r="NKG1" s="87"/>
      <c r="NKH1" s="87"/>
      <c r="NKI1" s="87"/>
      <c r="NKJ1" s="87"/>
      <c r="NKK1" s="87"/>
      <c r="NKL1" s="87"/>
      <c r="NKM1" s="87"/>
      <c r="NKN1" s="87"/>
      <c r="NKO1" s="87"/>
      <c r="NKP1" s="87"/>
      <c r="NKQ1" s="87"/>
      <c r="NKR1" s="87"/>
      <c r="NKS1" s="87"/>
      <c r="NKT1" s="87"/>
      <c r="NKU1" s="87"/>
      <c r="NKV1" s="87"/>
      <c r="NKW1" s="87"/>
      <c r="NKX1" s="87"/>
      <c r="NKY1" s="87"/>
      <c r="NKZ1" s="87"/>
      <c r="NLA1" s="87"/>
      <c r="NLB1" s="87"/>
      <c r="NLC1" s="87"/>
      <c r="NLD1" s="87"/>
      <c r="NLE1" s="87"/>
      <c r="NLF1" s="87"/>
      <c r="NLG1" s="87"/>
      <c r="NLH1" s="87"/>
      <c r="NLI1" s="87"/>
      <c r="NLJ1" s="87"/>
      <c r="NLK1" s="87"/>
      <c r="NLL1" s="87"/>
      <c r="NLM1" s="87"/>
      <c r="NLN1" s="87"/>
      <c r="NLO1" s="87"/>
      <c r="NLP1" s="87"/>
      <c r="NLQ1" s="87"/>
      <c r="NLR1" s="87"/>
      <c r="NLS1" s="87"/>
      <c r="NLT1" s="87"/>
      <c r="NLU1" s="87"/>
      <c r="NLV1" s="87"/>
      <c r="NLW1" s="87"/>
      <c r="NLX1" s="87"/>
      <c r="NLY1" s="87"/>
      <c r="NLZ1" s="87"/>
      <c r="NMA1" s="87"/>
      <c r="NMB1" s="87"/>
      <c r="NMC1" s="87"/>
      <c r="NMD1" s="87"/>
      <c r="NME1" s="87"/>
      <c r="NMF1" s="87"/>
      <c r="NMG1" s="87"/>
      <c r="NMH1" s="87"/>
      <c r="NMI1" s="87"/>
      <c r="NMJ1" s="87"/>
      <c r="NMK1" s="87"/>
      <c r="NML1" s="87"/>
      <c r="NMM1" s="87"/>
      <c r="NMN1" s="87"/>
      <c r="NMO1" s="87"/>
      <c r="NMP1" s="87"/>
      <c r="NMQ1" s="87"/>
      <c r="NMR1" s="87"/>
      <c r="NMS1" s="87"/>
      <c r="NMT1" s="87"/>
      <c r="NMU1" s="87"/>
      <c r="NMV1" s="87"/>
      <c r="NMW1" s="87"/>
      <c r="NMX1" s="87"/>
      <c r="NMY1" s="87"/>
      <c r="NMZ1" s="87"/>
      <c r="NNA1" s="87"/>
      <c r="NNB1" s="87"/>
      <c r="NNC1" s="87"/>
      <c r="NND1" s="87"/>
      <c r="NNE1" s="87"/>
      <c r="NNF1" s="87"/>
      <c r="NNG1" s="87"/>
      <c r="NNH1" s="87"/>
      <c r="NNI1" s="87"/>
      <c r="NNJ1" s="87"/>
      <c r="NNK1" s="87"/>
      <c r="NNL1" s="87"/>
      <c r="NNM1" s="87"/>
      <c r="NNN1" s="87"/>
      <c r="NNO1" s="87"/>
      <c r="NNP1" s="87"/>
      <c r="NNQ1" s="87"/>
      <c r="NNR1" s="87"/>
      <c r="NNS1" s="87"/>
      <c r="NNT1" s="87"/>
      <c r="NNU1" s="87"/>
      <c r="NNV1" s="87"/>
      <c r="NNW1" s="87"/>
      <c r="NNX1" s="87"/>
      <c r="NNY1" s="87"/>
      <c r="NNZ1" s="87"/>
      <c r="NOA1" s="87"/>
      <c r="NOB1" s="87"/>
      <c r="NOC1" s="87"/>
      <c r="NOD1" s="87"/>
      <c r="NOE1" s="87"/>
      <c r="NOF1" s="87"/>
      <c r="NOG1" s="87"/>
      <c r="NOH1" s="87"/>
      <c r="NOI1" s="87"/>
      <c r="NOJ1" s="87"/>
      <c r="NOK1" s="87"/>
      <c r="NOL1" s="87"/>
      <c r="NOM1" s="87"/>
      <c r="NON1" s="87"/>
      <c r="NOO1" s="87"/>
      <c r="NOP1" s="87"/>
      <c r="NOQ1" s="87"/>
      <c r="NOR1" s="87"/>
      <c r="NOS1" s="87"/>
      <c r="NOT1" s="87"/>
      <c r="NOU1" s="87"/>
      <c r="NOV1" s="87"/>
      <c r="NOW1" s="87"/>
      <c r="NOX1" s="87"/>
      <c r="NOY1" s="87"/>
      <c r="NOZ1" s="87"/>
      <c r="NPA1" s="87"/>
      <c r="NPB1" s="87"/>
      <c r="NPC1" s="87"/>
      <c r="NPD1" s="87"/>
      <c r="NPE1" s="87"/>
      <c r="NPF1" s="87"/>
      <c r="NPG1" s="87"/>
      <c r="NPH1" s="87"/>
      <c r="NPI1" s="87"/>
      <c r="NPJ1" s="87"/>
      <c r="NPK1" s="87"/>
      <c r="NPL1" s="87"/>
      <c r="NPM1" s="87"/>
      <c r="NPN1" s="87"/>
      <c r="NPO1" s="87"/>
      <c r="NPP1" s="87"/>
      <c r="NPQ1" s="87"/>
      <c r="NPR1" s="87"/>
      <c r="NPS1" s="87"/>
      <c r="NPT1" s="87"/>
      <c r="NPU1" s="87"/>
      <c r="NPV1" s="87"/>
      <c r="NPW1" s="87"/>
      <c r="NPX1" s="87"/>
      <c r="NPY1" s="87"/>
      <c r="NPZ1" s="87"/>
      <c r="NQA1" s="87"/>
      <c r="NQB1" s="87"/>
      <c r="NQC1" s="87"/>
      <c r="NQD1" s="87"/>
      <c r="NQE1" s="87"/>
      <c r="NQF1" s="87"/>
      <c r="NQG1" s="87"/>
      <c r="NQH1" s="87"/>
      <c r="NQI1" s="87"/>
      <c r="NQJ1" s="87"/>
      <c r="NQK1" s="87"/>
      <c r="NQL1" s="87"/>
      <c r="NQM1" s="87"/>
      <c r="NQN1" s="87"/>
      <c r="NQO1" s="87"/>
      <c r="NQP1" s="87"/>
      <c r="NQQ1" s="87"/>
      <c r="NQR1" s="87"/>
      <c r="NQS1" s="87"/>
      <c r="NQT1" s="87"/>
      <c r="NQU1" s="87"/>
      <c r="NQV1" s="87"/>
      <c r="NQW1" s="87"/>
      <c r="NQX1" s="87"/>
      <c r="NQY1" s="87"/>
      <c r="NQZ1" s="87"/>
      <c r="NRA1" s="87"/>
      <c r="NRB1" s="87"/>
      <c r="NRC1" s="87"/>
      <c r="NRD1" s="87"/>
      <c r="NRE1" s="87"/>
      <c r="NRF1" s="87"/>
      <c r="NRG1" s="87"/>
      <c r="NRH1" s="87"/>
      <c r="NRI1" s="87"/>
      <c r="NRJ1" s="87"/>
      <c r="NRK1" s="87"/>
      <c r="NRL1" s="87"/>
      <c r="NRM1" s="87"/>
      <c r="NRN1" s="87"/>
      <c r="NRO1" s="87"/>
      <c r="NRP1" s="87"/>
      <c r="NRQ1" s="87"/>
      <c r="NRR1" s="87"/>
      <c r="NRS1" s="87"/>
      <c r="NRT1" s="87"/>
      <c r="NRU1" s="87"/>
      <c r="NRV1" s="87"/>
      <c r="NRW1" s="87"/>
      <c r="NRX1" s="87"/>
      <c r="NRY1" s="87"/>
      <c r="NRZ1" s="87"/>
      <c r="NSA1" s="87"/>
      <c r="NSB1" s="87"/>
      <c r="NSC1" s="87"/>
      <c r="NSD1" s="87"/>
      <c r="NSE1" s="87"/>
      <c r="NSF1" s="87"/>
      <c r="NSG1" s="87"/>
      <c r="NSH1" s="87"/>
      <c r="NSI1" s="87"/>
      <c r="NSJ1" s="87"/>
      <c r="NSK1" s="87"/>
      <c r="NSL1" s="87"/>
      <c r="NSM1" s="87"/>
      <c r="NSN1" s="87"/>
      <c r="NSO1" s="87"/>
      <c r="NSP1" s="87"/>
      <c r="NSQ1" s="87"/>
      <c r="NSR1" s="87"/>
      <c r="NSS1" s="87"/>
      <c r="NST1" s="87"/>
      <c r="NSU1" s="87"/>
      <c r="NSV1" s="87"/>
      <c r="NSW1" s="87"/>
      <c r="NSX1" s="87"/>
      <c r="NSY1" s="87"/>
      <c r="NSZ1" s="87"/>
      <c r="NTA1" s="87"/>
      <c r="NTB1" s="87"/>
      <c r="NTC1" s="87"/>
      <c r="NTD1" s="87"/>
      <c r="NTE1" s="87"/>
      <c r="NTF1" s="87"/>
      <c r="NTG1" s="87"/>
      <c r="NTH1" s="87"/>
      <c r="NTI1" s="87"/>
      <c r="NTJ1" s="87"/>
      <c r="NTK1" s="87"/>
      <c r="NTL1" s="87"/>
      <c r="NTM1" s="87"/>
      <c r="NTN1" s="87"/>
      <c r="NTO1" s="87"/>
      <c r="NTP1" s="87"/>
      <c r="NTQ1" s="87"/>
      <c r="NTR1" s="87"/>
      <c r="NTS1" s="87"/>
      <c r="NTT1" s="87"/>
      <c r="NTU1" s="87"/>
      <c r="NTV1" s="87"/>
      <c r="NTW1" s="87"/>
      <c r="NTX1" s="87"/>
      <c r="NTY1" s="87"/>
      <c r="NTZ1" s="87"/>
      <c r="NUA1" s="87"/>
      <c r="NUB1" s="87"/>
      <c r="NUC1" s="87"/>
      <c r="NUD1" s="87"/>
      <c r="NUE1" s="87"/>
      <c r="NUF1" s="87"/>
      <c r="NUG1" s="87"/>
      <c r="NUH1" s="87"/>
      <c r="NUI1" s="87"/>
      <c r="NUJ1" s="87"/>
      <c r="NUK1" s="87"/>
      <c r="NUL1" s="87"/>
      <c r="NUM1" s="87"/>
      <c r="NUN1" s="87"/>
      <c r="NUO1" s="87"/>
      <c r="NUP1" s="87"/>
      <c r="NUQ1" s="87"/>
      <c r="NUR1" s="87"/>
      <c r="NUS1" s="87"/>
      <c r="NUT1" s="87"/>
      <c r="NUU1" s="87"/>
      <c r="NUV1" s="87"/>
      <c r="NUW1" s="87"/>
      <c r="NUX1" s="87"/>
      <c r="NUY1" s="87"/>
      <c r="NUZ1" s="87"/>
      <c r="NVA1" s="87"/>
      <c r="NVB1" s="87"/>
      <c r="NVC1" s="87"/>
      <c r="NVD1" s="87"/>
      <c r="NVE1" s="87"/>
      <c r="NVF1" s="87"/>
      <c r="NVG1" s="87"/>
      <c r="NVH1" s="87"/>
      <c r="NVI1" s="87"/>
      <c r="NVJ1" s="87"/>
      <c r="NVK1" s="87"/>
      <c r="NVL1" s="87"/>
      <c r="NVM1" s="87"/>
      <c r="NVN1" s="87"/>
      <c r="NVO1" s="87"/>
      <c r="NVP1" s="87"/>
      <c r="NVQ1" s="87"/>
      <c r="NVR1" s="87"/>
      <c r="NVS1" s="87"/>
      <c r="NVT1" s="87"/>
      <c r="NVU1" s="87"/>
      <c r="NVV1" s="87"/>
      <c r="NVW1" s="87"/>
      <c r="NVX1" s="87"/>
      <c r="NVY1" s="87"/>
      <c r="NVZ1" s="87"/>
      <c r="NWA1" s="87"/>
      <c r="NWB1" s="87"/>
      <c r="NWC1" s="87"/>
      <c r="NWD1" s="87"/>
      <c r="NWE1" s="87"/>
      <c r="NWF1" s="87"/>
      <c r="NWG1" s="87"/>
      <c r="NWH1" s="87"/>
      <c r="NWI1" s="87"/>
      <c r="NWJ1" s="87"/>
      <c r="NWK1" s="87"/>
      <c r="NWL1" s="87"/>
      <c r="NWM1" s="87"/>
      <c r="NWN1" s="87"/>
      <c r="NWO1" s="87"/>
      <c r="NWP1" s="87"/>
      <c r="NWQ1" s="87"/>
      <c r="NWR1" s="87"/>
      <c r="NWS1" s="87"/>
      <c r="NWT1" s="87"/>
      <c r="NWU1" s="87"/>
      <c r="NWV1" s="87"/>
      <c r="NWW1" s="87"/>
      <c r="NWX1" s="87"/>
      <c r="NWY1" s="87"/>
      <c r="NWZ1" s="87"/>
      <c r="NXA1" s="87"/>
      <c r="NXB1" s="87"/>
      <c r="NXC1" s="87"/>
      <c r="NXD1" s="87"/>
      <c r="NXE1" s="87"/>
      <c r="NXF1" s="87"/>
      <c r="NXG1" s="87"/>
      <c r="NXH1" s="87"/>
      <c r="NXI1" s="87"/>
      <c r="NXJ1" s="87"/>
      <c r="NXK1" s="87"/>
      <c r="NXL1" s="87"/>
      <c r="NXM1" s="87"/>
      <c r="NXN1" s="87"/>
      <c r="NXO1" s="87"/>
      <c r="NXP1" s="87"/>
      <c r="NXQ1" s="87"/>
      <c r="NXR1" s="87"/>
      <c r="NXS1" s="87"/>
      <c r="NXT1" s="87"/>
      <c r="NXU1" s="87"/>
      <c r="NXV1" s="87"/>
      <c r="NXW1" s="87"/>
      <c r="NXX1" s="87"/>
      <c r="NXY1" s="87"/>
      <c r="NXZ1" s="87"/>
      <c r="NYA1" s="87"/>
      <c r="NYB1" s="87"/>
      <c r="NYC1" s="87"/>
      <c r="NYD1" s="87"/>
      <c r="NYE1" s="87"/>
      <c r="NYF1" s="87"/>
      <c r="NYG1" s="87"/>
      <c r="NYH1" s="87"/>
      <c r="NYI1" s="87"/>
      <c r="NYJ1" s="87"/>
      <c r="NYK1" s="87"/>
      <c r="NYL1" s="87"/>
      <c r="NYM1" s="87"/>
      <c r="NYN1" s="87"/>
      <c r="NYO1" s="87"/>
      <c r="NYP1" s="87"/>
      <c r="NYQ1" s="87"/>
      <c r="NYR1" s="87"/>
      <c r="NYS1" s="87"/>
      <c r="NYT1" s="87"/>
      <c r="NYU1" s="87"/>
      <c r="NYV1" s="87"/>
      <c r="NYW1" s="87"/>
      <c r="NYX1" s="87"/>
      <c r="NYY1" s="87"/>
      <c r="NYZ1" s="87"/>
      <c r="NZA1" s="87"/>
      <c r="NZB1" s="87"/>
      <c r="NZC1" s="87"/>
      <c r="NZD1" s="87"/>
      <c r="NZE1" s="87"/>
      <c r="NZF1" s="87"/>
      <c r="NZG1" s="87"/>
      <c r="NZH1" s="87"/>
      <c r="NZI1" s="87"/>
      <c r="NZJ1" s="87"/>
      <c r="NZK1" s="87"/>
      <c r="NZL1" s="87"/>
      <c r="NZM1" s="87"/>
      <c r="NZN1" s="87"/>
      <c r="NZO1" s="87"/>
      <c r="NZP1" s="87"/>
      <c r="NZQ1" s="87"/>
      <c r="NZR1" s="87"/>
      <c r="NZS1" s="87"/>
      <c r="NZT1" s="87"/>
      <c r="NZU1" s="87"/>
      <c r="NZV1" s="87"/>
      <c r="NZW1" s="87"/>
      <c r="NZX1" s="87"/>
      <c r="NZY1" s="87"/>
      <c r="NZZ1" s="87"/>
      <c r="OAA1" s="87"/>
      <c r="OAB1" s="87"/>
      <c r="OAC1" s="87"/>
      <c r="OAD1" s="87"/>
      <c r="OAE1" s="87"/>
      <c r="OAF1" s="87"/>
      <c r="OAG1" s="87"/>
      <c r="OAH1" s="87"/>
      <c r="OAI1" s="87"/>
      <c r="OAJ1" s="87"/>
      <c r="OAK1" s="87"/>
      <c r="OAL1" s="87"/>
      <c r="OAM1" s="87"/>
      <c r="OAN1" s="87"/>
      <c r="OAO1" s="87"/>
      <c r="OAP1" s="87"/>
      <c r="OAQ1" s="87"/>
      <c r="OAR1" s="87"/>
      <c r="OAS1" s="87"/>
      <c r="OAT1" s="87"/>
      <c r="OAU1" s="87"/>
      <c r="OAV1" s="87"/>
      <c r="OAW1" s="87"/>
      <c r="OAX1" s="87"/>
      <c r="OAY1" s="87"/>
      <c r="OAZ1" s="87"/>
      <c r="OBA1" s="87"/>
      <c r="OBB1" s="87"/>
      <c r="OBC1" s="87"/>
      <c r="OBD1" s="87"/>
      <c r="OBE1" s="87"/>
      <c r="OBF1" s="87"/>
      <c r="OBG1" s="87"/>
      <c r="OBH1" s="87"/>
      <c r="OBI1" s="87"/>
      <c r="OBJ1" s="87"/>
      <c r="OBK1" s="87"/>
      <c r="OBL1" s="87"/>
      <c r="OBM1" s="87"/>
      <c r="OBN1" s="87"/>
      <c r="OBO1" s="87"/>
      <c r="OBP1" s="87"/>
      <c r="OBQ1" s="87"/>
      <c r="OBR1" s="87"/>
      <c r="OBS1" s="87"/>
      <c r="OBT1" s="87"/>
      <c r="OBU1" s="87"/>
      <c r="OBV1" s="87"/>
      <c r="OBW1" s="87"/>
      <c r="OBX1" s="87"/>
      <c r="OBY1" s="87"/>
      <c r="OBZ1" s="87"/>
      <c r="OCA1" s="87"/>
      <c r="OCB1" s="87"/>
      <c r="OCC1" s="87"/>
      <c r="OCD1" s="87"/>
      <c r="OCE1" s="87"/>
      <c r="OCF1" s="87"/>
      <c r="OCG1" s="87"/>
      <c r="OCH1" s="87"/>
      <c r="OCI1" s="87"/>
      <c r="OCJ1" s="87"/>
      <c r="OCK1" s="87"/>
      <c r="OCL1" s="87"/>
      <c r="OCM1" s="87"/>
      <c r="OCN1" s="87"/>
      <c r="OCO1" s="87"/>
      <c r="OCP1" s="87"/>
      <c r="OCQ1" s="87"/>
      <c r="OCR1" s="87"/>
      <c r="OCS1" s="87"/>
      <c r="OCT1" s="87"/>
      <c r="OCU1" s="87"/>
      <c r="OCV1" s="87"/>
      <c r="OCW1" s="87"/>
      <c r="OCX1" s="87"/>
      <c r="OCY1" s="87"/>
      <c r="OCZ1" s="87"/>
      <c r="ODA1" s="87"/>
      <c r="ODB1" s="87"/>
      <c r="ODC1" s="87"/>
      <c r="ODD1" s="87"/>
      <c r="ODE1" s="87"/>
      <c r="ODF1" s="87"/>
      <c r="ODG1" s="87"/>
      <c r="ODH1" s="87"/>
      <c r="ODI1" s="87"/>
      <c r="ODJ1" s="87"/>
      <c r="ODK1" s="87"/>
      <c r="ODL1" s="87"/>
      <c r="ODM1" s="87"/>
      <c r="ODN1" s="87"/>
      <c r="ODO1" s="87"/>
      <c r="ODP1" s="87"/>
      <c r="ODQ1" s="87"/>
      <c r="ODR1" s="87"/>
      <c r="ODS1" s="87"/>
      <c r="ODT1" s="87"/>
      <c r="ODU1" s="87"/>
      <c r="ODV1" s="87"/>
      <c r="ODW1" s="87"/>
      <c r="ODX1" s="87"/>
      <c r="ODY1" s="87"/>
      <c r="ODZ1" s="87"/>
      <c r="OEA1" s="87"/>
      <c r="OEB1" s="87"/>
      <c r="OEC1" s="87"/>
      <c r="OED1" s="87"/>
      <c r="OEE1" s="87"/>
      <c r="OEF1" s="87"/>
      <c r="OEG1" s="87"/>
      <c r="OEH1" s="87"/>
      <c r="OEI1" s="87"/>
      <c r="OEJ1" s="87"/>
      <c r="OEK1" s="87"/>
      <c r="OEL1" s="87"/>
      <c r="OEM1" s="87"/>
      <c r="OEN1" s="87"/>
      <c r="OEO1" s="87"/>
      <c r="OEP1" s="87"/>
      <c r="OEQ1" s="87"/>
      <c r="OER1" s="87"/>
      <c r="OES1" s="87"/>
      <c r="OET1" s="87"/>
      <c r="OEU1" s="87"/>
      <c r="OEV1" s="87"/>
      <c r="OEW1" s="87"/>
      <c r="OEX1" s="87"/>
      <c r="OEY1" s="87"/>
      <c r="OEZ1" s="87"/>
      <c r="OFA1" s="87"/>
      <c r="OFB1" s="87"/>
      <c r="OFC1" s="87"/>
      <c r="OFD1" s="87"/>
      <c r="OFE1" s="87"/>
      <c r="OFF1" s="87"/>
      <c r="OFG1" s="87"/>
      <c r="OFH1" s="87"/>
      <c r="OFI1" s="87"/>
      <c r="OFJ1" s="87"/>
      <c r="OFK1" s="87"/>
      <c r="OFL1" s="87"/>
      <c r="OFM1" s="87"/>
      <c r="OFN1" s="87"/>
      <c r="OFO1" s="87"/>
      <c r="OFP1" s="87"/>
      <c r="OFQ1" s="87"/>
      <c r="OFR1" s="87"/>
      <c r="OFS1" s="87"/>
      <c r="OFT1" s="87"/>
      <c r="OFU1" s="87"/>
      <c r="OFV1" s="87"/>
      <c r="OFW1" s="87"/>
      <c r="OFX1" s="87"/>
      <c r="OFY1" s="87"/>
      <c r="OFZ1" s="87"/>
      <c r="OGA1" s="87"/>
      <c r="OGB1" s="87"/>
      <c r="OGC1" s="87"/>
      <c r="OGD1" s="87"/>
      <c r="OGE1" s="87"/>
      <c r="OGF1" s="87"/>
      <c r="OGG1" s="87"/>
      <c r="OGH1" s="87"/>
      <c r="OGI1" s="87"/>
      <c r="OGJ1" s="87"/>
      <c r="OGK1" s="87"/>
      <c r="OGL1" s="87"/>
      <c r="OGM1" s="87"/>
      <c r="OGN1" s="87"/>
      <c r="OGO1" s="87"/>
      <c r="OGP1" s="87"/>
      <c r="OGQ1" s="87"/>
      <c r="OGR1" s="87"/>
      <c r="OGS1" s="87"/>
      <c r="OGT1" s="87"/>
      <c r="OGU1" s="87"/>
      <c r="OGV1" s="87"/>
      <c r="OGW1" s="87"/>
      <c r="OGX1" s="87"/>
      <c r="OGY1" s="87"/>
      <c r="OGZ1" s="87"/>
      <c r="OHA1" s="87"/>
      <c r="OHB1" s="87"/>
      <c r="OHC1" s="87"/>
      <c r="OHD1" s="87"/>
      <c r="OHE1" s="87"/>
      <c r="OHF1" s="87"/>
      <c r="OHG1" s="87"/>
      <c r="OHH1" s="87"/>
      <c r="OHI1" s="87"/>
      <c r="OHJ1" s="87"/>
      <c r="OHK1" s="87"/>
      <c r="OHL1" s="87"/>
      <c r="OHM1" s="87"/>
      <c r="OHN1" s="87"/>
      <c r="OHO1" s="87"/>
      <c r="OHP1" s="87"/>
      <c r="OHQ1" s="87"/>
      <c r="OHR1" s="87"/>
      <c r="OHS1" s="87"/>
      <c r="OHT1" s="87"/>
      <c r="OHU1" s="87"/>
      <c r="OHV1" s="87"/>
      <c r="OHW1" s="87"/>
      <c r="OHX1" s="87"/>
      <c r="OHY1" s="87"/>
      <c r="OHZ1" s="87"/>
      <c r="OIA1" s="87"/>
      <c r="OIB1" s="87"/>
      <c r="OIC1" s="87"/>
      <c r="OID1" s="87"/>
      <c r="OIE1" s="87"/>
      <c r="OIF1" s="87"/>
      <c r="OIG1" s="87"/>
      <c r="OIH1" s="87"/>
      <c r="OII1" s="87"/>
      <c r="OIJ1" s="87"/>
      <c r="OIK1" s="87"/>
      <c r="OIL1" s="87"/>
      <c r="OIM1" s="87"/>
      <c r="OIN1" s="87"/>
      <c r="OIO1" s="87"/>
      <c r="OIP1" s="87"/>
      <c r="OIQ1" s="87"/>
      <c r="OIR1" s="87"/>
      <c r="OIS1" s="87"/>
      <c r="OIT1" s="87"/>
      <c r="OIU1" s="87"/>
      <c r="OIV1" s="87"/>
      <c r="OIW1" s="87"/>
      <c r="OIX1" s="87"/>
      <c r="OIY1" s="87"/>
      <c r="OIZ1" s="87"/>
      <c r="OJA1" s="87"/>
      <c r="OJB1" s="87"/>
      <c r="OJC1" s="87"/>
      <c r="OJD1" s="87"/>
      <c r="OJE1" s="87"/>
      <c r="OJF1" s="87"/>
      <c r="OJG1" s="87"/>
      <c r="OJH1" s="87"/>
      <c r="OJI1" s="87"/>
      <c r="OJJ1" s="87"/>
      <c r="OJK1" s="87"/>
      <c r="OJL1" s="87"/>
      <c r="OJM1" s="87"/>
      <c r="OJN1" s="87"/>
      <c r="OJO1" s="87"/>
      <c r="OJP1" s="87"/>
      <c r="OJQ1" s="87"/>
      <c r="OJR1" s="87"/>
      <c r="OJS1" s="87"/>
      <c r="OJT1" s="87"/>
      <c r="OJU1" s="87"/>
      <c r="OJV1" s="87"/>
      <c r="OJW1" s="87"/>
      <c r="OJX1" s="87"/>
      <c r="OJY1" s="87"/>
      <c r="OJZ1" s="87"/>
      <c r="OKA1" s="87"/>
      <c r="OKB1" s="87"/>
      <c r="OKC1" s="87"/>
      <c r="OKD1" s="87"/>
      <c r="OKE1" s="87"/>
      <c r="OKF1" s="87"/>
      <c r="OKG1" s="87"/>
      <c r="OKH1" s="87"/>
      <c r="OKI1" s="87"/>
      <c r="OKJ1" s="87"/>
      <c r="OKK1" s="87"/>
      <c r="OKL1" s="87"/>
      <c r="OKM1" s="87"/>
      <c r="OKN1" s="87"/>
      <c r="OKO1" s="87"/>
      <c r="OKP1" s="87"/>
      <c r="OKQ1" s="87"/>
      <c r="OKR1" s="87"/>
      <c r="OKS1" s="87"/>
      <c r="OKT1" s="87"/>
      <c r="OKU1" s="87"/>
      <c r="OKV1" s="87"/>
      <c r="OKW1" s="87"/>
      <c r="OKX1" s="87"/>
      <c r="OKY1" s="87"/>
      <c r="OKZ1" s="87"/>
      <c r="OLA1" s="87"/>
      <c r="OLB1" s="87"/>
      <c r="OLC1" s="87"/>
      <c r="OLD1" s="87"/>
      <c r="OLE1" s="87"/>
      <c r="OLF1" s="87"/>
      <c r="OLG1" s="87"/>
      <c r="OLH1" s="87"/>
      <c r="OLI1" s="87"/>
      <c r="OLJ1" s="87"/>
      <c r="OLK1" s="87"/>
      <c r="OLL1" s="87"/>
      <c r="OLM1" s="87"/>
      <c r="OLN1" s="87"/>
      <c r="OLO1" s="87"/>
      <c r="OLP1" s="87"/>
      <c r="OLQ1" s="87"/>
      <c r="OLR1" s="87"/>
      <c r="OLS1" s="87"/>
      <c r="OLT1" s="87"/>
      <c r="OLU1" s="87"/>
      <c r="OLV1" s="87"/>
      <c r="OLW1" s="87"/>
      <c r="OLX1" s="87"/>
      <c r="OLY1" s="87"/>
      <c r="OLZ1" s="87"/>
      <c r="OMA1" s="87"/>
      <c r="OMB1" s="87"/>
      <c r="OMC1" s="87"/>
      <c r="OMD1" s="87"/>
      <c r="OME1" s="87"/>
      <c r="OMF1" s="87"/>
      <c r="OMG1" s="87"/>
      <c r="OMH1" s="87"/>
      <c r="OMI1" s="87"/>
      <c r="OMJ1" s="87"/>
      <c r="OMK1" s="87"/>
      <c r="OML1" s="87"/>
      <c r="OMM1" s="87"/>
      <c r="OMN1" s="87"/>
      <c r="OMO1" s="87"/>
      <c r="OMP1" s="87"/>
      <c r="OMQ1" s="87"/>
      <c r="OMR1" s="87"/>
      <c r="OMS1" s="87"/>
      <c r="OMT1" s="87"/>
      <c r="OMU1" s="87"/>
      <c r="OMV1" s="87"/>
      <c r="OMW1" s="87"/>
      <c r="OMX1" s="87"/>
      <c r="OMY1" s="87"/>
      <c r="OMZ1" s="87"/>
      <c r="ONA1" s="87"/>
      <c r="ONB1" s="87"/>
      <c r="ONC1" s="87"/>
      <c r="OND1" s="87"/>
      <c r="ONE1" s="87"/>
      <c r="ONF1" s="87"/>
      <c r="ONG1" s="87"/>
      <c r="ONH1" s="87"/>
      <c r="ONI1" s="87"/>
      <c r="ONJ1" s="87"/>
      <c r="ONK1" s="87"/>
      <c r="ONL1" s="87"/>
      <c r="ONM1" s="87"/>
      <c r="ONN1" s="87"/>
      <c r="ONO1" s="87"/>
      <c r="ONP1" s="87"/>
      <c r="ONQ1" s="87"/>
      <c r="ONR1" s="87"/>
      <c r="ONS1" s="87"/>
      <c r="ONT1" s="87"/>
      <c r="ONU1" s="87"/>
      <c r="ONV1" s="87"/>
      <c r="ONW1" s="87"/>
      <c r="ONX1" s="87"/>
      <c r="ONY1" s="87"/>
      <c r="ONZ1" s="87"/>
      <c r="OOA1" s="87"/>
      <c r="OOB1" s="87"/>
      <c r="OOC1" s="87"/>
      <c r="OOD1" s="87"/>
      <c r="OOE1" s="87"/>
      <c r="OOF1" s="87"/>
      <c r="OOG1" s="87"/>
      <c r="OOH1" s="87"/>
      <c r="OOI1" s="87"/>
      <c r="OOJ1" s="87"/>
      <c r="OOK1" s="87"/>
      <c r="OOL1" s="87"/>
      <c r="OOM1" s="87"/>
      <c r="OON1" s="87"/>
      <c r="OOO1" s="87"/>
      <c r="OOP1" s="87"/>
      <c r="OOQ1" s="87"/>
      <c r="OOR1" s="87"/>
      <c r="OOS1" s="87"/>
      <c r="OOT1" s="87"/>
      <c r="OOU1" s="87"/>
      <c r="OOV1" s="87"/>
      <c r="OOW1" s="87"/>
      <c r="OOX1" s="87"/>
      <c r="OOY1" s="87"/>
      <c r="OOZ1" s="87"/>
      <c r="OPA1" s="87"/>
      <c r="OPB1" s="87"/>
      <c r="OPC1" s="87"/>
      <c r="OPD1" s="87"/>
      <c r="OPE1" s="87"/>
      <c r="OPF1" s="87"/>
      <c r="OPG1" s="87"/>
      <c r="OPH1" s="87"/>
      <c r="OPI1" s="87"/>
      <c r="OPJ1" s="87"/>
      <c r="OPK1" s="87"/>
      <c r="OPL1" s="87"/>
      <c r="OPM1" s="87"/>
      <c r="OPN1" s="87"/>
      <c r="OPO1" s="87"/>
      <c r="OPP1" s="87"/>
      <c r="OPQ1" s="87"/>
      <c r="OPR1" s="87"/>
      <c r="OPS1" s="87"/>
      <c r="OPT1" s="87"/>
      <c r="OPU1" s="87"/>
      <c r="OPV1" s="87"/>
      <c r="OPW1" s="87"/>
      <c r="OPX1" s="87"/>
      <c r="OPY1" s="87"/>
      <c r="OPZ1" s="87"/>
      <c r="OQA1" s="87"/>
      <c r="OQB1" s="87"/>
      <c r="OQC1" s="87"/>
      <c r="OQD1" s="87"/>
      <c r="OQE1" s="87"/>
      <c r="OQF1" s="87"/>
      <c r="OQG1" s="87"/>
      <c r="OQH1" s="87"/>
      <c r="OQI1" s="87"/>
      <c r="OQJ1" s="87"/>
      <c r="OQK1" s="87"/>
      <c r="OQL1" s="87"/>
      <c r="OQM1" s="87"/>
      <c r="OQN1" s="87"/>
      <c r="OQO1" s="87"/>
      <c r="OQP1" s="87"/>
      <c r="OQQ1" s="87"/>
      <c r="OQR1" s="87"/>
      <c r="OQS1" s="87"/>
      <c r="OQT1" s="87"/>
      <c r="OQU1" s="87"/>
      <c r="OQV1" s="87"/>
      <c r="OQW1" s="87"/>
      <c r="OQX1" s="87"/>
      <c r="OQY1" s="87"/>
      <c r="OQZ1" s="87"/>
      <c r="ORA1" s="87"/>
      <c r="ORB1" s="87"/>
      <c r="ORC1" s="87"/>
      <c r="ORD1" s="87"/>
      <c r="ORE1" s="87"/>
      <c r="ORF1" s="87"/>
      <c r="ORG1" s="87"/>
      <c r="ORH1" s="87"/>
      <c r="ORI1" s="87"/>
      <c r="ORJ1" s="87"/>
      <c r="ORK1" s="87"/>
      <c r="ORL1" s="87"/>
      <c r="ORM1" s="87"/>
      <c r="ORN1" s="87"/>
      <c r="ORO1" s="87"/>
      <c r="ORP1" s="87"/>
      <c r="ORQ1" s="87"/>
      <c r="ORR1" s="87"/>
      <c r="ORS1" s="87"/>
      <c r="ORT1" s="87"/>
      <c r="ORU1" s="87"/>
      <c r="ORV1" s="87"/>
      <c r="ORW1" s="87"/>
      <c r="ORX1" s="87"/>
      <c r="ORY1" s="87"/>
      <c r="ORZ1" s="87"/>
      <c r="OSA1" s="87"/>
      <c r="OSB1" s="87"/>
      <c r="OSC1" s="87"/>
      <c r="OSD1" s="87"/>
      <c r="OSE1" s="87"/>
      <c r="OSF1" s="87"/>
      <c r="OSG1" s="87"/>
      <c r="OSH1" s="87"/>
      <c r="OSI1" s="87"/>
      <c r="OSJ1" s="87"/>
      <c r="OSK1" s="87"/>
      <c r="OSL1" s="87"/>
      <c r="OSM1" s="87"/>
      <c r="OSN1" s="87"/>
      <c r="OSO1" s="87"/>
      <c r="OSP1" s="87"/>
      <c r="OSQ1" s="87"/>
      <c r="OSR1" s="87"/>
      <c r="OSS1" s="87"/>
      <c r="OST1" s="87"/>
      <c r="OSU1" s="87"/>
      <c r="OSV1" s="87"/>
      <c r="OSW1" s="87"/>
      <c r="OSX1" s="87"/>
      <c r="OSY1" s="87"/>
      <c r="OSZ1" s="87"/>
      <c r="OTA1" s="87"/>
      <c r="OTB1" s="87"/>
      <c r="OTC1" s="87"/>
      <c r="OTD1" s="87"/>
      <c r="OTE1" s="87"/>
      <c r="OTF1" s="87"/>
      <c r="OTG1" s="87"/>
      <c r="OTH1" s="87"/>
      <c r="OTI1" s="87"/>
      <c r="OTJ1" s="87"/>
      <c r="OTK1" s="87"/>
      <c r="OTL1" s="87"/>
      <c r="OTM1" s="87"/>
      <c r="OTN1" s="87"/>
      <c r="OTO1" s="87"/>
      <c r="OTP1" s="87"/>
      <c r="OTQ1" s="87"/>
      <c r="OTR1" s="87"/>
      <c r="OTS1" s="87"/>
      <c r="OTT1" s="87"/>
      <c r="OTU1" s="87"/>
      <c r="OTV1" s="87"/>
      <c r="OTW1" s="87"/>
      <c r="OTX1" s="87"/>
      <c r="OTY1" s="87"/>
      <c r="OTZ1" s="87"/>
      <c r="OUA1" s="87"/>
      <c r="OUB1" s="87"/>
      <c r="OUC1" s="87"/>
      <c r="OUD1" s="87"/>
      <c r="OUE1" s="87"/>
      <c r="OUF1" s="87"/>
      <c r="OUG1" s="87"/>
      <c r="OUH1" s="87"/>
      <c r="OUI1" s="87"/>
      <c r="OUJ1" s="87"/>
      <c r="OUK1" s="87"/>
      <c r="OUL1" s="87"/>
      <c r="OUM1" s="87"/>
      <c r="OUN1" s="87"/>
      <c r="OUO1" s="87"/>
      <c r="OUP1" s="87"/>
      <c r="OUQ1" s="87"/>
      <c r="OUR1" s="87"/>
      <c r="OUS1" s="87"/>
      <c r="OUT1" s="87"/>
      <c r="OUU1" s="87"/>
      <c r="OUV1" s="87"/>
      <c r="OUW1" s="87"/>
      <c r="OUX1" s="87"/>
      <c r="OUY1" s="87"/>
      <c r="OUZ1" s="87"/>
      <c r="OVA1" s="87"/>
      <c r="OVB1" s="87"/>
      <c r="OVC1" s="87"/>
      <c r="OVD1" s="87"/>
      <c r="OVE1" s="87"/>
      <c r="OVF1" s="87"/>
      <c r="OVG1" s="87"/>
      <c r="OVH1" s="87"/>
      <c r="OVI1" s="87"/>
      <c r="OVJ1" s="87"/>
      <c r="OVK1" s="87"/>
      <c r="OVL1" s="87"/>
      <c r="OVM1" s="87"/>
      <c r="OVN1" s="87"/>
      <c r="OVO1" s="87"/>
      <c r="OVP1" s="87"/>
      <c r="OVQ1" s="87"/>
      <c r="OVR1" s="87"/>
      <c r="OVS1" s="87"/>
      <c r="OVT1" s="87"/>
      <c r="OVU1" s="87"/>
      <c r="OVV1" s="87"/>
      <c r="OVW1" s="87"/>
      <c r="OVX1" s="87"/>
      <c r="OVY1" s="87"/>
      <c r="OVZ1" s="87"/>
      <c r="OWA1" s="87"/>
      <c r="OWB1" s="87"/>
      <c r="OWC1" s="87"/>
      <c r="OWD1" s="87"/>
      <c r="OWE1" s="87"/>
      <c r="OWF1" s="87"/>
      <c r="OWG1" s="87"/>
      <c r="OWH1" s="87"/>
      <c r="OWI1" s="87"/>
      <c r="OWJ1" s="87"/>
      <c r="OWK1" s="87"/>
      <c r="OWL1" s="87"/>
      <c r="OWM1" s="87"/>
      <c r="OWN1" s="87"/>
      <c r="OWO1" s="87"/>
      <c r="OWP1" s="87"/>
      <c r="OWQ1" s="87"/>
      <c r="OWR1" s="87"/>
      <c r="OWS1" s="87"/>
      <c r="OWT1" s="87"/>
      <c r="OWU1" s="87"/>
      <c r="OWV1" s="87"/>
      <c r="OWW1" s="87"/>
      <c r="OWX1" s="87"/>
      <c r="OWY1" s="87"/>
      <c r="OWZ1" s="87"/>
      <c r="OXA1" s="87"/>
      <c r="OXB1" s="87"/>
      <c r="OXC1" s="87"/>
      <c r="OXD1" s="87"/>
      <c r="OXE1" s="87"/>
      <c r="OXF1" s="87"/>
      <c r="OXG1" s="87"/>
      <c r="OXH1" s="87"/>
      <c r="OXI1" s="87"/>
      <c r="OXJ1" s="87"/>
      <c r="OXK1" s="87"/>
      <c r="OXL1" s="87"/>
      <c r="OXM1" s="87"/>
      <c r="OXN1" s="87"/>
      <c r="OXO1" s="87"/>
      <c r="OXP1" s="87"/>
      <c r="OXQ1" s="87"/>
      <c r="OXR1" s="87"/>
      <c r="OXS1" s="87"/>
      <c r="OXT1" s="87"/>
      <c r="OXU1" s="87"/>
      <c r="OXV1" s="87"/>
      <c r="OXW1" s="87"/>
      <c r="OXX1" s="87"/>
      <c r="OXY1" s="87"/>
      <c r="OXZ1" s="87"/>
      <c r="OYA1" s="87"/>
      <c r="OYB1" s="87"/>
      <c r="OYC1" s="87"/>
      <c r="OYD1" s="87"/>
      <c r="OYE1" s="87"/>
      <c r="OYF1" s="87"/>
      <c r="OYG1" s="87"/>
      <c r="OYH1" s="87"/>
      <c r="OYI1" s="87"/>
      <c r="OYJ1" s="87"/>
      <c r="OYK1" s="87"/>
      <c r="OYL1" s="87"/>
      <c r="OYM1" s="87"/>
      <c r="OYN1" s="87"/>
      <c r="OYO1" s="87"/>
      <c r="OYP1" s="87"/>
      <c r="OYQ1" s="87"/>
      <c r="OYR1" s="87"/>
      <c r="OYS1" s="87"/>
      <c r="OYT1" s="87"/>
      <c r="OYU1" s="87"/>
      <c r="OYV1" s="87"/>
      <c r="OYW1" s="87"/>
      <c r="OYX1" s="87"/>
      <c r="OYY1" s="87"/>
      <c r="OYZ1" s="87"/>
      <c r="OZA1" s="87"/>
      <c r="OZB1" s="87"/>
      <c r="OZC1" s="87"/>
      <c r="OZD1" s="87"/>
      <c r="OZE1" s="87"/>
      <c r="OZF1" s="87"/>
      <c r="OZG1" s="87"/>
      <c r="OZH1" s="87"/>
      <c r="OZI1" s="87"/>
      <c r="OZJ1" s="87"/>
      <c r="OZK1" s="87"/>
      <c r="OZL1" s="87"/>
      <c r="OZM1" s="87"/>
      <c r="OZN1" s="87"/>
      <c r="OZO1" s="87"/>
      <c r="OZP1" s="87"/>
      <c r="OZQ1" s="87"/>
      <c r="OZR1" s="87"/>
      <c r="OZS1" s="87"/>
      <c r="OZT1" s="87"/>
      <c r="OZU1" s="87"/>
      <c r="OZV1" s="87"/>
      <c r="OZW1" s="87"/>
      <c r="OZX1" s="87"/>
      <c r="OZY1" s="87"/>
      <c r="OZZ1" s="87"/>
      <c r="PAA1" s="87"/>
      <c r="PAB1" s="87"/>
      <c r="PAC1" s="87"/>
      <c r="PAD1" s="87"/>
      <c r="PAE1" s="87"/>
      <c r="PAF1" s="87"/>
      <c r="PAG1" s="87"/>
      <c r="PAH1" s="87"/>
      <c r="PAI1" s="87"/>
      <c r="PAJ1" s="87"/>
      <c r="PAK1" s="87"/>
      <c r="PAL1" s="87"/>
      <c r="PAM1" s="87"/>
      <c r="PAN1" s="87"/>
      <c r="PAO1" s="87"/>
      <c r="PAP1" s="87"/>
      <c r="PAQ1" s="87"/>
      <c r="PAR1" s="87"/>
      <c r="PAS1" s="87"/>
      <c r="PAT1" s="87"/>
      <c r="PAU1" s="87"/>
      <c r="PAV1" s="87"/>
      <c r="PAW1" s="87"/>
      <c r="PAX1" s="87"/>
      <c r="PAY1" s="87"/>
      <c r="PAZ1" s="87"/>
      <c r="PBA1" s="87"/>
      <c r="PBB1" s="87"/>
      <c r="PBC1" s="87"/>
      <c r="PBD1" s="87"/>
      <c r="PBE1" s="87"/>
      <c r="PBF1" s="87"/>
      <c r="PBG1" s="87"/>
      <c r="PBH1" s="87"/>
      <c r="PBI1" s="87"/>
      <c r="PBJ1" s="87"/>
      <c r="PBK1" s="87"/>
      <c r="PBL1" s="87"/>
      <c r="PBM1" s="87"/>
      <c r="PBN1" s="87"/>
      <c r="PBO1" s="87"/>
      <c r="PBP1" s="87"/>
      <c r="PBQ1" s="87"/>
      <c r="PBR1" s="87"/>
      <c r="PBS1" s="87"/>
      <c r="PBT1" s="87"/>
      <c r="PBU1" s="87"/>
      <c r="PBV1" s="87"/>
      <c r="PBW1" s="87"/>
      <c r="PBX1" s="87"/>
      <c r="PBY1" s="87"/>
      <c r="PBZ1" s="87"/>
      <c r="PCA1" s="87"/>
      <c r="PCB1" s="87"/>
      <c r="PCC1" s="87"/>
      <c r="PCD1" s="87"/>
      <c r="PCE1" s="87"/>
      <c r="PCF1" s="87"/>
      <c r="PCG1" s="87"/>
      <c r="PCH1" s="87"/>
      <c r="PCI1" s="87"/>
      <c r="PCJ1" s="87"/>
      <c r="PCK1" s="87"/>
      <c r="PCL1" s="87"/>
      <c r="PCM1" s="87"/>
      <c r="PCN1" s="87"/>
      <c r="PCO1" s="87"/>
      <c r="PCP1" s="87"/>
      <c r="PCQ1" s="87"/>
      <c r="PCR1" s="87"/>
      <c r="PCS1" s="87"/>
      <c r="PCT1" s="87"/>
      <c r="PCU1" s="87"/>
      <c r="PCV1" s="87"/>
      <c r="PCW1" s="87"/>
      <c r="PCX1" s="87"/>
      <c r="PCY1" s="87"/>
      <c r="PCZ1" s="87"/>
      <c r="PDA1" s="87"/>
      <c r="PDB1" s="87"/>
      <c r="PDC1" s="87"/>
      <c r="PDD1" s="87"/>
      <c r="PDE1" s="87"/>
      <c r="PDF1" s="87"/>
      <c r="PDG1" s="87"/>
      <c r="PDH1" s="87"/>
      <c r="PDI1" s="87"/>
      <c r="PDJ1" s="87"/>
      <c r="PDK1" s="87"/>
      <c r="PDL1" s="87"/>
      <c r="PDM1" s="87"/>
      <c r="PDN1" s="87"/>
      <c r="PDO1" s="87"/>
      <c r="PDP1" s="87"/>
      <c r="PDQ1" s="87"/>
      <c r="PDR1" s="87"/>
      <c r="PDS1" s="87"/>
      <c r="PDT1" s="87"/>
      <c r="PDU1" s="87"/>
      <c r="PDV1" s="87"/>
      <c r="PDW1" s="87"/>
      <c r="PDX1" s="87"/>
      <c r="PDY1" s="87"/>
      <c r="PDZ1" s="87"/>
      <c r="PEA1" s="87"/>
      <c r="PEB1" s="87"/>
      <c r="PEC1" s="87"/>
      <c r="PED1" s="87"/>
      <c r="PEE1" s="87"/>
      <c r="PEF1" s="87"/>
      <c r="PEG1" s="87"/>
      <c r="PEH1" s="87"/>
      <c r="PEI1" s="87"/>
      <c r="PEJ1" s="87"/>
      <c r="PEK1" s="87"/>
      <c r="PEL1" s="87"/>
      <c r="PEM1" s="87"/>
      <c r="PEN1" s="87"/>
      <c r="PEO1" s="87"/>
      <c r="PEP1" s="87"/>
      <c r="PEQ1" s="87"/>
      <c r="PER1" s="87"/>
      <c r="PES1" s="87"/>
      <c r="PET1" s="87"/>
      <c r="PEU1" s="87"/>
      <c r="PEV1" s="87"/>
      <c r="PEW1" s="87"/>
      <c r="PEX1" s="87"/>
      <c r="PEY1" s="87"/>
      <c r="PEZ1" s="87"/>
      <c r="PFA1" s="87"/>
      <c r="PFB1" s="87"/>
      <c r="PFC1" s="87"/>
      <c r="PFD1" s="87"/>
      <c r="PFE1" s="87"/>
      <c r="PFF1" s="87"/>
      <c r="PFG1" s="87"/>
      <c r="PFH1" s="87"/>
      <c r="PFI1" s="87"/>
      <c r="PFJ1" s="87"/>
      <c r="PFK1" s="87"/>
      <c r="PFL1" s="87"/>
      <c r="PFM1" s="87"/>
      <c r="PFN1" s="87"/>
      <c r="PFO1" s="87"/>
      <c r="PFP1" s="87"/>
      <c r="PFQ1" s="87"/>
      <c r="PFR1" s="87"/>
      <c r="PFS1" s="87"/>
      <c r="PFT1" s="87"/>
      <c r="PFU1" s="87"/>
      <c r="PFV1" s="87"/>
      <c r="PFW1" s="87"/>
      <c r="PFX1" s="87"/>
      <c r="PFY1" s="87"/>
      <c r="PFZ1" s="87"/>
      <c r="PGA1" s="87"/>
      <c r="PGB1" s="87"/>
      <c r="PGC1" s="87"/>
      <c r="PGD1" s="87"/>
      <c r="PGE1" s="87"/>
      <c r="PGF1" s="87"/>
      <c r="PGG1" s="87"/>
      <c r="PGH1" s="87"/>
      <c r="PGI1" s="87"/>
      <c r="PGJ1" s="87"/>
      <c r="PGK1" s="87"/>
      <c r="PGL1" s="87"/>
      <c r="PGM1" s="87"/>
      <c r="PGN1" s="87"/>
      <c r="PGO1" s="87"/>
      <c r="PGP1" s="87"/>
      <c r="PGQ1" s="87"/>
      <c r="PGR1" s="87"/>
      <c r="PGS1" s="87"/>
      <c r="PGT1" s="87"/>
      <c r="PGU1" s="87"/>
      <c r="PGV1" s="87"/>
      <c r="PGW1" s="87"/>
      <c r="PGX1" s="87"/>
      <c r="PGY1" s="87"/>
      <c r="PGZ1" s="87"/>
      <c r="PHA1" s="87"/>
      <c r="PHB1" s="87"/>
      <c r="PHC1" s="87"/>
      <c r="PHD1" s="87"/>
      <c r="PHE1" s="87"/>
      <c r="PHF1" s="87"/>
      <c r="PHG1" s="87"/>
      <c r="PHH1" s="87"/>
      <c r="PHI1" s="87"/>
      <c r="PHJ1" s="87"/>
      <c r="PHK1" s="87"/>
      <c r="PHL1" s="87"/>
      <c r="PHM1" s="87"/>
      <c r="PHN1" s="87"/>
      <c r="PHO1" s="87"/>
      <c r="PHP1" s="87"/>
      <c r="PHQ1" s="87"/>
      <c r="PHR1" s="87"/>
      <c r="PHS1" s="87"/>
      <c r="PHT1" s="87"/>
      <c r="PHU1" s="87"/>
      <c r="PHV1" s="87"/>
      <c r="PHW1" s="87"/>
      <c r="PHX1" s="87"/>
      <c r="PHY1" s="87"/>
      <c r="PHZ1" s="87"/>
      <c r="PIA1" s="87"/>
      <c r="PIB1" s="87"/>
      <c r="PIC1" s="87"/>
      <c r="PID1" s="87"/>
      <c r="PIE1" s="87"/>
      <c r="PIF1" s="87"/>
      <c r="PIG1" s="87"/>
      <c r="PIH1" s="87"/>
      <c r="PII1" s="87"/>
      <c r="PIJ1" s="87"/>
      <c r="PIK1" s="87"/>
      <c r="PIL1" s="87"/>
      <c r="PIM1" s="87"/>
      <c r="PIN1" s="87"/>
      <c r="PIO1" s="87"/>
      <c r="PIP1" s="87"/>
      <c r="PIQ1" s="87"/>
      <c r="PIR1" s="87"/>
      <c r="PIS1" s="87"/>
      <c r="PIT1" s="87"/>
      <c r="PIU1" s="87"/>
      <c r="PIV1" s="87"/>
      <c r="PIW1" s="87"/>
      <c r="PIX1" s="87"/>
      <c r="PIY1" s="87"/>
      <c r="PIZ1" s="87"/>
      <c r="PJA1" s="87"/>
      <c r="PJB1" s="87"/>
      <c r="PJC1" s="87"/>
      <c r="PJD1" s="87"/>
      <c r="PJE1" s="87"/>
      <c r="PJF1" s="87"/>
      <c r="PJG1" s="87"/>
      <c r="PJH1" s="87"/>
      <c r="PJI1" s="87"/>
      <c r="PJJ1" s="87"/>
      <c r="PJK1" s="87"/>
      <c r="PJL1" s="87"/>
      <c r="PJM1" s="87"/>
      <c r="PJN1" s="87"/>
      <c r="PJO1" s="87"/>
      <c r="PJP1" s="87"/>
      <c r="PJQ1" s="87"/>
      <c r="PJR1" s="87"/>
      <c r="PJS1" s="87"/>
      <c r="PJT1" s="87"/>
      <c r="PJU1" s="87"/>
      <c r="PJV1" s="87"/>
      <c r="PJW1" s="87"/>
      <c r="PJX1" s="87"/>
      <c r="PJY1" s="87"/>
      <c r="PJZ1" s="87"/>
      <c r="PKA1" s="87"/>
      <c r="PKB1" s="87"/>
      <c r="PKC1" s="87"/>
      <c r="PKD1" s="87"/>
      <c r="PKE1" s="87"/>
      <c r="PKF1" s="87"/>
      <c r="PKG1" s="87"/>
      <c r="PKH1" s="87"/>
      <c r="PKI1" s="87"/>
      <c r="PKJ1" s="87"/>
      <c r="PKK1" s="87"/>
      <c r="PKL1" s="87"/>
      <c r="PKM1" s="87"/>
      <c r="PKN1" s="87"/>
      <c r="PKO1" s="87"/>
      <c r="PKP1" s="87"/>
      <c r="PKQ1" s="87"/>
      <c r="PKR1" s="87"/>
      <c r="PKS1" s="87"/>
      <c r="PKT1" s="87"/>
      <c r="PKU1" s="87"/>
      <c r="PKV1" s="87"/>
      <c r="PKW1" s="87"/>
      <c r="PKX1" s="87"/>
      <c r="PKY1" s="87"/>
      <c r="PKZ1" s="87"/>
      <c r="PLA1" s="87"/>
      <c r="PLB1" s="87"/>
      <c r="PLC1" s="87"/>
      <c r="PLD1" s="87"/>
      <c r="PLE1" s="87"/>
      <c r="PLF1" s="87"/>
      <c r="PLG1" s="87"/>
      <c r="PLH1" s="87"/>
      <c r="PLI1" s="87"/>
      <c r="PLJ1" s="87"/>
      <c r="PLK1" s="87"/>
      <c r="PLL1" s="87"/>
      <c r="PLM1" s="87"/>
      <c r="PLN1" s="87"/>
      <c r="PLO1" s="87"/>
      <c r="PLP1" s="87"/>
      <c r="PLQ1" s="87"/>
      <c r="PLR1" s="87"/>
      <c r="PLS1" s="87"/>
      <c r="PLT1" s="87"/>
      <c r="PLU1" s="87"/>
      <c r="PLV1" s="87"/>
      <c r="PLW1" s="87"/>
      <c r="PLX1" s="87"/>
      <c r="PLY1" s="87"/>
      <c r="PLZ1" s="87"/>
      <c r="PMA1" s="87"/>
      <c r="PMB1" s="87"/>
      <c r="PMC1" s="87"/>
      <c r="PMD1" s="87"/>
      <c r="PME1" s="87"/>
      <c r="PMF1" s="87"/>
      <c r="PMG1" s="87"/>
      <c r="PMH1" s="87"/>
      <c r="PMI1" s="87"/>
      <c r="PMJ1" s="87"/>
      <c r="PMK1" s="87"/>
      <c r="PML1" s="87"/>
      <c r="PMM1" s="87"/>
      <c r="PMN1" s="87"/>
      <c r="PMO1" s="87"/>
      <c r="PMP1" s="87"/>
      <c r="PMQ1" s="87"/>
      <c r="PMR1" s="87"/>
      <c r="PMS1" s="87"/>
      <c r="PMT1" s="87"/>
      <c r="PMU1" s="87"/>
      <c r="PMV1" s="87"/>
      <c r="PMW1" s="87"/>
      <c r="PMX1" s="87"/>
      <c r="PMY1" s="87"/>
      <c r="PMZ1" s="87"/>
      <c r="PNA1" s="87"/>
      <c r="PNB1" s="87"/>
      <c r="PNC1" s="87"/>
      <c r="PND1" s="87"/>
      <c r="PNE1" s="87"/>
      <c r="PNF1" s="87"/>
      <c r="PNG1" s="87"/>
      <c r="PNH1" s="87"/>
      <c r="PNI1" s="87"/>
      <c r="PNJ1" s="87"/>
      <c r="PNK1" s="87"/>
      <c r="PNL1" s="87"/>
      <c r="PNM1" s="87"/>
      <c r="PNN1" s="87"/>
      <c r="PNO1" s="87"/>
      <c r="PNP1" s="87"/>
      <c r="PNQ1" s="87"/>
      <c r="PNR1" s="87"/>
      <c r="PNS1" s="87"/>
      <c r="PNT1" s="87"/>
      <c r="PNU1" s="87"/>
      <c r="PNV1" s="87"/>
      <c r="PNW1" s="87"/>
      <c r="PNX1" s="87"/>
      <c r="PNY1" s="87"/>
      <c r="PNZ1" s="87"/>
      <c r="POA1" s="87"/>
      <c r="POB1" s="87"/>
      <c r="POC1" s="87"/>
      <c r="POD1" s="87"/>
      <c r="POE1" s="87"/>
      <c r="POF1" s="87"/>
      <c r="POG1" s="87"/>
      <c r="POH1" s="87"/>
      <c r="POI1" s="87"/>
      <c r="POJ1" s="87"/>
      <c r="POK1" s="87"/>
      <c r="POL1" s="87"/>
      <c r="POM1" s="87"/>
      <c r="PON1" s="87"/>
      <c r="POO1" s="87"/>
      <c r="POP1" s="87"/>
      <c r="POQ1" s="87"/>
      <c r="POR1" s="87"/>
      <c r="POS1" s="87"/>
      <c r="POT1" s="87"/>
      <c r="POU1" s="87"/>
      <c r="POV1" s="87"/>
      <c r="POW1" s="87"/>
      <c r="POX1" s="87"/>
      <c r="POY1" s="87"/>
      <c r="POZ1" s="87"/>
      <c r="PPA1" s="87"/>
      <c r="PPB1" s="87"/>
      <c r="PPC1" s="87"/>
      <c r="PPD1" s="87"/>
      <c r="PPE1" s="87"/>
      <c r="PPF1" s="87"/>
      <c r="PPG1" s="87"/>
      <c r="PPH1" s="87"/>
      <c r="PPI1" s="87"/>
      <c r="PPJ1" s="87"/>
      <c r="PPK1" s="87"/>
      <c r="PPL1" s="87"/>
      <c r="PPM1" s="87"/>
      <c r="PPN1" s="87"/>
      <c r="PPO1" s="87"/>
      <c r="PPP1" s="87"/>
      <c r="PPQ1" s="87"/>
      <c r="PPR1" s="87"/>
      <c r="PPS1" s="87"/>
      <c r="PPT1" s="87"/>
      <c r="PPU1" s="87"/>
      <c r="PPV1" s="87"/>
      <c r="PPW1" s="87"/>
      <c r="PPX1" s="87"/>
      <c r="PPY1" s="87"/>
      <c r="PPZ1" s="87"/>
      <c r="PQA1" s="87"/>
      <c r="PQB1" s="87"/>
      <c r="PQC1" s="87"/>
      <c r="PQD1" s="87"/>
      <c r="PQE1" s="87"/>
      <c r="PQF1" s="87"/>
      <c r="PQG1" s="87"/>
      <c r="PQH1" s="87"/>
      <c r="PQI1" s="87"/>
      <c r="PQJ1" s="87"/>
      <c r="PQK1" s="87"/>
      <c r="PQL1" s="87"/>
      <c r="PQM1" s="87"/>
      <c r="PQN1" s="87"/>
      <c r="PQO1" s="87"/>
      <c r="PQP1" s="87"/>
      <c r="PQQ1" s="87"/>
      <c r="PQR1" s="87"/>
      <c r="PQS1" s="87"/>
      <c r="PQT1" s="87"/>
      <c r="PQU1" s="87"/>
      <c r="PQV1" s="87"/>
      <c r="PQW1" s="87"/>
      <c r="PQX1" s="87"/>
      <c r="PQY1" s="87"/>
      <c r="PQZ1" s="87"/>
      <c r="PRA1" s="87"/>
      <c r="PRB1" s="87"/>
      <c r="PRC1" s="87"/>
      <c r="PRD1" s="87"/>
      <c r="PRE1" s="87"/>
      <c r="PRF1" s="87"/>
      <c r="PRG1" s="87"/>
      <c r="PRH1" s="87"/>
      <c r="PRI1" s="87"/>
      <c r="PRJ1" s="87"/>
      <c r="PRK1" s="87"/>
      <c r="PRL1" s="87"/>
      <c r="PRM1" s="87"/>
      <c r="PRN1" s="87"/>
      <c r="PRO1" s="87"/>
      <c r="PRP1" s="87"/>
      <c r="PRQ1" s="87"/>
      <c r="PRR1" s="87"/>
      <c r="PRS1" s="87"/>
      <c r="PRT1" s="87"/>
      <c r="PRU1" s="87"/>
      <c r="PRV1" s="87"/>
      <c r="PRW1" s="87"/>
      <c r="PRX1" s="87"/>
      <c r="PRY1" s="87"/>
      <c r="PRZ1" s="87"/>
      <c r="PSA1" s="87"/>
      <c r="PSB1" s="87"/>
      <c r="PSC1" s="87"/>
      <c r="PSD1" s="87"/>
      <c r="PSE1" s="87"/>
      <c r="PSF1" s="87"/>
      <c r="PSG1" s="87"/>
      <c r="PSH1" s="87"/>
      <c r="PSI1" s="87"/>
      <c r="PSJ1" s="87"/>
      <c r="PSK1" s="87"/>
      <c r="PSL1" s="87"/>
      <c r="PSM1" s="87"/>
      <c r="PSN1" s="87"/>
      <c r="PSO1" s="87"/>
      <c r="PSP1" s="87"/>
      <c r="PSQ1" s="87"/>
      <c r="PSR1" s="87"/>
      <c r="PSS1" s="87"/>
      <c r="PST1" s="87"/>
      <c r="PSU1" s="87"/>
      <c r="PSV1" s="87"/>
      <c r="PSW1" s="87"/>
      <c r="PSX1" s="87"/>
      <c r="PSY1" s="87"/>
      <c r="PSZ1" s="87"/>
      <c r="PTA1" s="87"/>
      <c r="PTB1" s="87"/>
      <c r="PTC1" s="87"/>
      <c r="PTD1" s="87"/>
      <c r="PTE1" s="87"/>
      <c r="PTF1" s="87"/>
      <c r="PTG1" s="87"/>
      <c r="PTH1" s="87"/>
      <c r="PTI1" s="87"/>
      <c r="PTJ1" s="87"/>
      <c r="PTK1" s="87"/>
      <c r="PTL1" s="87"/>
      <c r="PTM1" s="87"/>
      <c r="PTN1" s="87"/>
      <c r="PTO1" s="87"/>
      <c r="PTP1" s="87"/>
      <c r="PTQ1" s="87"/>
      <c r="PTR1" s="87"/>
      <c r="PTS1" s="87"/>
      <c r="PTT1" s="87"/>
      <c r="PTU1" s="87"/>
      <c r="PTV1" s="87"/>
      <c r="PTW1" s="87"/>
      <c r="PTX1" s="87"/>
      <c r="PTY1" s="87"/>
      <c r="PTZ1" s="87"/>
      <c r="PUA1" s="87"/>
      <c r="PUB1" s="87"/>
      <c r="PUC1" s="87"/>
      <c r="PUD1" s="87"/>
      <c r="PUE1" s="87"/>
      <c r="PUF1" s="87"/>
      <c r="PUG1" s="87"/>
      <c r="PUH1" s="87"/>
      <c r="PUI1" s="87"/>
      <c r="PUJ1" s="87"/>
      <c r="PUK1" s="87"/>
      <c r="PUL1" s="87"/>
      <c r="PUM1" s="87"/>
      <c r="PUN1" s="87"/>
      <c r="PUO1" s="87"/>
      <c r="PUP1" s="87"/>
      <c r="PUQ1" s="87"/>
      <c r="PUR1" s="87"/>
      <c r="PUS1" s="87"/>
      <c r="PUT1" s="87"/>
      <c r="PUU1" s="87"/>
      <c r="PUV1" s="87"/>
      <c r="PUW1" s="87"/>
      <c r="PUX1" s="87"/>
      <c r="PUY1" s="87"/>
      <c r="PUZ1" s="87"/>
      <c r="PVA1" s="87"/>
      <c r="PVB1" s="87"/>
      <c r="PVC1" s="87"/>
      <c r="PVD1" s="87"/>
      <c r="PVE1" s="87"/>
      <c r="PVF1" s="87"/>
      <c r="PVG1" s="87"/>
      <c r="PVH1" s="87"/>
      <c r="PVI1" s="87"/>
      <c r="PVJ1" s="87"/>
      <c r="PVK1" s="87"/>
      <c r="PVL1" s="87"/>
      <c r="PVM1" s="87"/>
      <c r="PVN1" s="87"/>
      <c r="PVO1" s="87"/>
      <c r="PVP1" s="87"/>
      <c r="PVQ1" s="87"/>
      <c r="PVR1" s="87"/>
      <c r="PVS1" s="87"/>
      <c r="PVT1" s="87"/>
      <c r="PVU1" s="87"/>
      <c r="PVV1" s="87"/>
      <c r="PVW1" s="87"/>
      <c r="PVX1" s="87"/>
      <c r="PVY1" s="87"/>
      <c r="PVZ1" s="87"/>
      <c r="PWA1" s="87"/>
      <c r="PWB1" s="87"/>
      <c r="PWC1" s="87"/>
      <c r="PWD1" s="87"/>
      <c r="PWE1" s="87"/>
      <c r="PWF1" s="87"/>
      <c r="PWG1" s="87"/>
      <c r="PWH1" s="87"/>
      <c r="PWI1" s="87"/>
      <c r="PWJ1" s="87"/>
      <c r="PWK1" s="87"/>
      <c r="PWL1" s="87"/>
      <c r="PWM1" s="87"/>
      <c r="PWN1" s="87"/>
      <c r="PWO1" s="87"/>
      <c r="PWP1" s="87"/>
      <c r="PWQ1" s="87"/>
      <c r="PWR1" s="87"/>
      <c r="PWS1" s="87"/>
      <c r="PWT1" s="87"/>
      <c r="PWU1" s="87"/>
      <c r="PWV1" s="87"/>
      <c r="PWW1" s="87"/>
      <c r="PWX1" s="87"/>
      <c r="PWY1" s="87"/>
      <c r="PWZ1" s="87"/>
      <c r="PXA1" s="87"/>
      <c r="PXB1" s="87"/>
      <c r="PXC1" s="87"/>
      <c r="PXD1" s="87"/>
      <c r="PXE1" s="87"/>
      <c r="PXF1" s="87"/>
      <c r="PXG1" s="87"/>
      <c r="PXH1" s="87"/>
      <c r="PXI1" s="87"/>
      <c r="PXJ1" s="87"/>
      <c r="PXK1" s="87"/>
      <c r="PXL1" s="87"/>
      <c r="PXM1" s="87"/>
      <c r="PXN1" s="87"/>
      <c r="PXO1" s="87"/>
      <c r="PXP1" s="87"/>
      <c r="PXQ1" s="87"/>
      <c r="PXR1" s="87"/>
      <c r="PXS1" s="87"/>
      <c r="PXT1" s="87"/>
      <c r="PXU1" s="87"/>
      <c r="PXV1" s="87"/>
      <c r="PXW1" s="87"/>
      <c r="PXX1" s="87"/>
      <c r="PXY1" s="87"/>
      <c r="PXZ1" s="87"/>
      <c r="PYA1" s="87"/>
      <c r="PYB1" s="87"/>
      <c r="PYC1" s="87"/>
      <c r="PYD1" s="87"/>
      <c r="PYE1" s="87"/>
      <c r="PYF1" s="87"/>
      <c r="PYG1" s="87"/>
      <c r="PYH1" s="87"/>
      <c r="PYI1" s="87"/>
      <c r="PYJ1" s="87"/>
      <c r="PYK1" s="87"/>
      <c r="PYL1" s="87"/>
      <c r="PYM1" s="87"/>
      <c r="PYN1" s="87"/>
      <c r="PYO1" s="87"/>
      <c r="PYP1" s="87"/>
      <c r="PYQ1" s="87"/>
      <c r="PYR1" s="87"/>
      <c r="PYS1" s="87"/>
      <c r="PYT1" s="87"/>
      <c r="PYU1" s="87"/>
      <c r="PYV1" s="87"/>
      <c r="PYW1" s="87"/>
      <c r="PYX1" s="87"/>
      <c r="PYY1" s="87"/>
      <c r="PYZ1" s="87"/>
      <c r="PZA1" s="87"/>
      <c r="PZB1" s="87"/>
      <c r="PZC1" s="87"/>
      <c r="PZD1" s="87"/>
      <c r="PZE1" s="87"/>
      <c r="PZF1" s="87"/>
      <c r="PZG1" s="87"/>
      <c r="PZH1" s="87"/>
      <c r="PZI1" s="87"/>
      <c r="PZJ1" s="87"/>
      <c r="PZK1" s="87"/>
      <c r="PZL1" s="87"/>
      <c r="PZM1" s="87"/>
      <c r="PZN1" s="87"/>
      <c r="PZO1" s="87"/>
      <c r="PZP1" s="87"/>
      <c r="PZQ1" s="87"/>
      <c r="PZR1" s="87"/>
      <c r="PZS1" s="87"/>
      <c r="PZT1" s="87"/>
      <c r="PZU1" s="87"/>
      <c r="PZV1" s="87"/>
      <c r="PZW1" s="87"/>
      <c r="PZX1" s="87"/>
      <c r="PZY1" s="87"/>
      <c r="PZZ1" s="87"/>
      <c r="QAA1" s="87"/>
      <c r="QAB1" s="87"/>
      <c r="QAC1" s="87"/>
      <c r="QAD1" s="87"/>
      <c r="QAE1" s="87"/>
      <c r="QAF1" s="87"/>
      <c r="QAG1" s="87"/>
      <c r="QAH1" s="87"/>
      <c r="QAI1" s="87"/>
      <c r="QAJ1" s="87"/>
      <c r="QAK1" s="87"/>
      <c r="QAL1" s="87"/>
      <c r="QAM1" s="87"/>
      <c r="QAN1" s="87"/>
      <c r="QAO1" s="87"/>
      <c r="QAP1" s="87"/>
      <c r="QAQ1" s="87"/>
      <c r="QAR1" s="87"/>
      <c r="QAS1" s="87"/>
      <c r="QAT1" s="87"/>
      <c r="QAU1" s="87"/>
      <c r="QAV1" s="87"/>
      <c r="QAW1" s="87"/>
      <c r="QAX1" s="87"/>
      <c r="QAY1" s="87"/>
      <c r="QAZ1" s="87"/>
      <c r="QBA1" s="87"/>
      <c r="QBB1" s="87"/>
      <c r="QBC1" s="87"/>
      <c r="QBD1" s="87"/>
      <c r="QBE1" s="87"/>
      <c r="QBF1" s="87"/>
      <c r="QBG1" s="87"/>
      <c r="QBH1" s="87"/>
      <c r="QBI1" s="87"/>
      <c r="QBJ1" s="87"/>
      <c r="QBK1" s="87"/>
      <c r="QBL1" s="87"/>
      <c r="QBM1" s="87"/>
      <c r="QBN1" s="87"/>
      <c r="QBO1" s="87"/>
      <c r="QBP1" s="87"/>
      <c r="QBQ1" s="87"/>
      <c r="QBR1" s="87"/>
      <c r="QBS1" s="87"/>
      <c r="QBT1" s="87"/>
      <c r="QBU1" s="87"/>
      <c r="QBV1" s="87"/>
      <c r="QBW1" s="87"/>
      <c r="QBX1" s="87"/>
      <c r="QBY1" s="87"/>
      <c r="QBZ1" s="87"/>
      <c r="QCA1" s="87"/>
      <c r="QCB1" s="87"/>
      <c r="QCC1" s="87"/>
      <c r="QCD1" s="87"/>
      <c r="QCE1" s="87"/>
      <c r="QCF1" s="87"/>
      <c r="QCG1" s="87"/>
      <c r="QCH1" s="87"/>
      <c r="QCI1" s="87"/>
      <c r="QCJ1" s="87"/>
      <c r="QCK1" s="87"/>
      <c r="QCL1" s="87"/>
      <c r="QCM1" s="87"/>
      <c r="QCN1" s="87"/>
      <c r="QCO1" s="87"/>
      <c r="QCP1" s="87"/>
      <c r="QCQ1" s="87"/>
      <c r="QCR1" s="87"/>
      <c r="QCS1" s="87"/>
      <c r="QCT1" s="87"/>
      <c r="QCU1" s="87"/>
      <c r="QCV1" s="87"/>
      <c r="QCW1" s="87"/>
      <c r="QCX1" s="87"/>
      <c r="QCY1" s="87"/>
      <c r="QCZ1" s="87"/>
      <c r="QDA1" s="87"/>
      <c r="QDB1" s="87"/>
      <c r="QDC1" s="87"/>
      <c r="QDD1" s="87"/>
      <c r="QDE1" s="87"/>
      <c r="QDF1" s="87"/>
      <c r="QDG1" s="87"/>
      <c r="QDH1" s="87"/>
      <c r="QDI1" s="87"/>
      <c r="QDJ1" s="87"/>
      <c r="QDK1" s="87"/>
      <c r="QDL1" s="87"/>
      <c r="QDM1" s="87"/>
      <c r="QDN1" s="87"/>
      <c r="QDO1" s="87"/>
      <c r="QDP1" s="87"/>
      <c r="QDQ1" s="87"/>
      <c r="QDR1" s="87"/>
      <c r="QDS1" s="87"/>
      <c r="QDT1" s="87"/>
      <c r="QDU1" s="87"/>
      <c r="QDV1" s="87"/>
      <c r="QDW1" s="87"/>
      <c r="QDX1" s="87"/>
      <c r="QDY1" s="87"/>
      <c r="QDZ1" s="87"/>
      <c r="QEA1" s="87"/>
      <c r="QEB1" s="87"/>
      <c r="QEC1" s="87"/>
      <c r="QED1" s="87"/>
      <c r="QEE1" s="87"/>
      <c r="QEF1" s="87"/>
      <c r="QEG1" s="87"/>
      <c r="QEH1" s="87"/>
      <c r="QEI1" s="87"/>
      <c r="QEJ1" s="87"/>
      <c r="QEK1" s="87"/>
      <c r="QEL1" s="87"/>
      <c r="QEM1" s="87"/>
      <c r="QEN1" s="87"/>
      <c r="QEO1" s="87"/>
      <c r="QEP1" s="87"/>
      <c r="QEQ1" s="87"/>
      <c r="QER1" s="87"/>
      <c r="QES1" s="87"/>
      <c r="QET1" s="87"/>
      <c r="QEU1" s="87"/>
      <c r="QEV1" s="87"/>
      <c r="QEW1" s="87"/>
      <c r="QEX1" s="87"/>
      <c r="QEY1" s="87"/>
      <c r="QEZ1" s="87"/>
      <c r="QFA1" s="87"/>
      <c r="QFB1" s="87"/>
      <c r="QFC1" s="87"/>
      <c r="QFD1" s="87"/>
      <c r="QFE1" s="87"/>
      <c r="QFF1" s="87"/>
      <c r="QFG1" s="87"/>
      <c r="QFH1" s="87"/>
      <c r="QFI1" s="87"/>
      <c r="QFJ1" s="87"/>
      <c r="QFK1" s="87"/>
      <c r="QFL1" s="87"/>
      <c r="QFM1" s="87"/>
      <c r="QFN1" s="87"/>
      <c r="QFO1" s="87"/>
      <c r="QFP1" s="87"/>
      <c r="QFQ1" s="87"/>
      <c r="QFR1" s="87"/>
      <c r="QFS1" s="87"/>
      <c r="QFT1" s="87"/>
      <c r="QFU1" s="87"/>
      <c r="QFV1" s="87"/>
      <c r="QFW1" s="87"/>
      <c r="QFX1" s="87"/>
      <c r="QFY1" s="87"/>
      <c r="QFZ1" s="87"/>
      <c r="QGA1" s="87"/>
      <c r="QGB1" s="87"/>
      <c r="QGC1" s="87"/>
      <c r="QGD1" s="87"/>
      <c r="QGE1" s="87"/>
      <c r="QGF1" s="87"/>
      <c r="QGG1" s="87"/>
      <c r="QGH1" s="87"/>
      <c r="QGI1" s="87"/>
      <c r="QGJ1" s="87"/>
      <c r="QGK1" s="87"/>
      <c r="QGL1" s="87"/>
      <c r="QGM1" s="87"/>
      <c r="QGN1" s="87"/>
      <c r="QGO1" s="87"/>
      <c r="QGP1" s="87"/>
      <c r="QGQ1" s="87"/>
      <c r="QGR1" s="87"/>
      <c r="QGS1" s="87"/>
      <c r="QGT1" s="87"/>
      <c r="QGU1" s="87"/>
      <c r="QGV1" s="87"/>
      <c r="QGW1" s="87"/>
      <c r="QGX1" s="87"/>
      <c r="QGY1" s="87"/>
      <c r="QGZ1" s="87"/>
      <c r="QHA1" s="87"/>
      <c r="QHB1" s="87"/>
      <c r="QHC1" s="87"/>
      <c r="QHD1" s="87"/>
      <c r="QHE1" s="87"/>
      <c r="QHF1" s="87"/>
      <c r="QHG1" s="87"/>
      <c r="QHH1" s="87"/>
      <c r="QHI1" s="87"/>
      <c r="QHJ1" s="87"/>
      <c r="QHK1" s="87"/>
      <c r="QHL1" s="87"/>
      <c r="QHM1" s="87"/>
      <c r="QHN1" s="87"/>
      <c r="QHO1" s="87"/>
      <c r="QHP1" s="87"/>
      <c r="QHQ1" s="87"/>
      <c r="QHR1" s="87"/>
      <c r="QHS1" s="87"/>
      <c r="QHT1" s="87"/>
      <c r="QHU1" s="87"/>
      <c r="QHV1" s="87"/>
      <c r="QHW1" s="87"/>
      <c r="QHX1" s="87"/>
      <c r="QHY1" s="87"/>
      <c r="QHZ1" s="87"/>
      <c r="QIA1" s="87"/>
      <c r="QIB1" s="87"/>
      <c r="QIC1" s="87"/>
      <c r="QID1" s="87"/>
      <c r="QIE1" s="87"/>
      <c r="QIF1" s="87"/>
      <c r="QIG1" s="87"/>
      <c r="QIH1" s="87"/>
      <c r="QII1" s="87"/>
      <c r="QIJ1" s="87"/>
      <c r="QIK1" s="87"/>
      <c r="QIL1" s="87"/>
      <c r="QIM1" s="87"/>
      <c r="QIN1" s="87"/>
      <c r="QIO1" s="87"/>
      <c r="QIP1" s="87"/>
      <c r="QIQ1" s="87"/>
      <c r="QIR1" s="87"/>
      <c r="QIS1" s="87"/>
      <c r="QIT1" s="87"/>
      <c r="QIU1" s="87"/>
      <c r="QIV1" s="87"/>
      <c r="QIW1" s="87"/>
      <c r="QIX1" s="87"/>
      <c r="QIY1" s="87"/>
      <c r="QIZ1" s="87"/>
      <c r="QJA1" s="87"/>
      <c r="QJB1" s="87"/>
      <c r="QJC1" s="87"/>
      <c r="QJD1" s="87"/>
      <c r="QJE1" s="87"/>
      <c r="QJF1" s="87"/>
      <c r="QJG1" s="87"/>
      <c r="QJH1" s="87"/>
      <c r="QJI1" s="87"/>
      <c r="QJJ1" s="87"/>
      <c r="QJK1" s="87"/>
      <c r="QJL1" s="87"/>
      <c r="QJM1" s="87"/>
      <c r="QJN1" s="87"/>
      <c r="QJO1" s="87"/>
      <c r="QJP1" s="87"/>
      <c r="QJQ1" s="87"/>
      <c r="QJR1" s="87"/>
      <c r="QJS1" s="87"/>
      <c r="QJT1" s="87"/>
      <c r="QJU1" s="87"/>
      <c r="QJV1" s="87"/>
      <c r="QJW1" s="87"/>
      <c r="QJX1" s="87"/>
      <c r="QJY1" s="87"/>
      <c r="QJZ1" s="87"/>
      <c r="QKA1" s="87"/>
      <c r="QKB1" s="87"/>
      <c r="QKC1" s="87"/>
      <c r="QKD1" s="87"/>
      <c r="QKE1" s="87"/>
      <c r="QKF1" s="87"/>
      <c r="QKG1" s="87"/>
      <c r="QKH1" s="87"/>
      <c r="QKI1" s="87"/>
      <c r="QKJ1" s="87"/>
      <c r="QKK1" s="87"/>
      <c r="QKL1" s="87"/>
      <c r="QKM1" s="87"/>
      <c r="QKN1" s="87"/>
      <c r="QKO1" s="87"/>
      <c r="QKP1" s="87"/>
      <c r="QKQ1" s="87"/>
      <c r="QKR1" s="87"/>
      <c r="QKS1" s="87"/>
      <c r="QKT1" s="87"/>
      <c r="QKU1" s="87"/>
      <c r="QKV1" s="87"/>
      <c r="QKW1" s="87"/>
      <c r="QKX1" s="87"/>
      <c r="QKY1" s="87"/>
      <c r="QKZ1" s="87"/>
      <c r="QLA1" s="87"/>
      <c r="QLB1" s="87"/>
      <c r="QLC1" s="87"/>
      <c r="QLD1" s="87"/>
      <c r="QLE1" s="87"/>
      <c r="QLF1" s="87"/>
      <c r="QLG1" s="87"/>
      <c r="QLH1" s="87"/>
      <c r="QLI1" s="87"/>
      <c r="QLJ1" s="87"/>
      <c r="QLK1" s="87"/>
      <c r="QLL1" s="87"/>
      <c r="QLM1" s="87"/>
      <c r="QLN1" s="87"/>
      <c r="QLO1" s="87"/>
      <c r="QLP1" s="87"/>
      <c r="QLQ1" s="87"/>
      <c r="QLR1" s="87"/>
      <c r="QLS1" s="87"/>
      <c r="QLT1" s="87"/>
      <c r="QLU1" s="87"/>
      <c r="QLV1" s="87"/>
      <c r="QLW1" s="87"/>
      <c r="QLX1" s="87"/>
      <c r="QLY1" s="87"/>
      <c r="QLZ1" s="87"/>
      <c r="QMA1" s="87"/>
      <c r="QMB1" s="87"/>
      <c r="QMC1" s="87"/>
      <c r="QMD1" s="87"/>
      <c r="QME1" s="87"/>
      <c r="QMF1" s="87"/>
      <c r="QMG1" s="87"/>
      <c r="QMH1" s="87"/>
      <c r="QMI1" s="87"/>
      <c r="QMJ1" s="87"/>
      <c r="QMK1" s="87"/>
      <c r="QML1" s="87"/>
      <c r="QMM1" s="87"/>
      <c r="QMN1" s="87"/>
      <c r="QMO1" s="87"/>
      <c r="QMP1" s="87"/>
      <c r="QMQ1" s="87"/>
      <c r="QMR1" s="87"/>
      <c r="QMS1" s="87"/>
      <c r="QMT1" s="87"/>
      <c r="QMU1" s="87"/>
      <c r="QMV1" s="87"/>
      <c r="QMW1" s="87"/>
      <c r="QMX1" s="87"/>
      <c r="QMY1" s="87"/>
      <c r="QMZ1" s="87"/>
      <c r="QNA1" s="87"/>
      <c r="QNB1" s="87"/>
      <c r="QNC1" s="87"/>
      <c r="QND1" s="87"/>
      <c r="QNE1" s="87"/>
      <c r="QNF1" s="87"/>
      <c r="QNG1" s="87"/>
      <c r="QNH1" s="87"/>
      <c r="QNI1" s="87"/>
      <c r="QNJ1" s="87"/>
      <c r="QNK1" s="87"/>
      <c r="QNL1" s="87"/>
      <c r="QNM1" s="87"/>
      <c r="QNN1" s="87"/>
      <c r="QNO1" s="87"/>
      <c r="QNP1" s="87"/>
      <c r="QNQ1" s="87"/>
      <c r="QNR1" s="87"/>
      <c r="QNS1" s="87"/>
      <c r="QNT1" s="87"/>
      <c r="QNU1" s="87"/>
      <c r="QNV1" s="87"/>
      <c r="QNW1" s="87"/>
      <c r="QNX1" s="87"/>
      <c r="QNY1" s="87"/>
      <c r="QNZ1" s="87"/>
      <c r="QOA1" s="87"/>
      <c r="QOB1" s="87"/>
      <c r="QOC1" s="87"/>
      <c r="QOD1" s="87"/>
      <c r="QOE1" s="87"/>
      <c r="QOF1" s="87"/>
      <c r="QOG1" s="87"/>
      <c r="QOH1" s="87"/>
      <c r="QOI1" s="87"/>
      <c r="QOJ1" s="87"/>
      <c r="QOK1" s="87"/>
      <c r="QOL1" s="87"/>
      <c r="QOM1" s="87"/>
      <c r="QON1" s="87"/>
      <c r="QOO1" s="87"/>
      <c r="QOP1" s="87"/>
      <c r="QOQ1" s="87"/>
      <c r="QOR1" s="87"/>
      <c r="QOS1" s="87"/>
      <c r="QOT1" s="87"/>
      <c r="QOU1" s="87"/>
      <c r="QOV1" s="87"/>
      <c r="QOW1" s="87"/>
      <c r="QOX1" s="87"/>
      <c r="QOY1" s="87"/>
      <c r="QOZ1" s="87"/>
      <c r="QPA1" s="87"/>
      <c r="QPB1" s="87"/>
      <c r="QPC1" s="87"/>
      <c r="QPD1" s="87"/>
      <c r="QPE1" s="87"/>
      <c r="QPF1" s="87"/>
      <c r="QPG1" s="87"/>
      <c r="QPH1" s="87"/>
      <c r="QPI1" s="87"/>
      <c r="QPJ1" s="87"/>
      <c r="QPK1" s="87"/>
      <c r="QPL1" s="87"/>
      <c r="QPM1" s="87"/>
      <c r="QPN1" s="87"/>
      <c r="QPO1" s="87"/>
      <c r="QPP1" s="87"/>
      <c r="QPQ1" s="87"/>
      <c r="QPR1" s="87"/>
      <c r="QPS1" s="87"/>
      <c r="QPT1" s="87"/>
      <c r="QPU1" s="87"/>
      <c r="QPV1" s="87"/>
      <c r="QPW1" s="87"/>
      <c r="QPX1" s="87"/>
      <c r="QPY1" s="87"/>
      <c r="QPZ1" s="87"/>
      <c r="QQA1" s="87"/>
      <c r="QQB1" s="87"/>
      <c r="QQC1" s="87"/>
      <c r="QQD1" s="87"/>
      <c r="QQE1" s="87"/>
      <c r="QQF1" s="87"/>
      <c r="QQG1" s="87"/>
      <c r="QQH1" s="87"/>
      <c r="QQI1" s="87"/>
      <c r="QQJ1" s="87"/>
      <c r="QQK1" s="87"/>
      <c r="QQL1" s="87"/>
      <c r="QQM1" s="87"/>
      <c r="QQN1" s="87"/>
      <c r="QQO1" s="87"/>
      <c r="QQP1" s="87"/>
      <c r="QQQ1" s="87"/>
      <c r="QQR1" s="87"/>
      <c r="QQS1" s="87"/>
      <c r="QQT1" s="87"/>
      <c r="QQU1" s="87"/>
      <c r="QQV1" s="87"/>
      <c r="QQW1" s="87"/>
      <c r="QQX1" s="87"/>
      <c r="QQY1" s="87"/>
      <c r="QQZ1" s="87"/>
      <c r="QRA1" s="87"/>
      <c r="QRB1" s="87"/>
      <c r="QRC1" s="87"/>
      <c r="QRD1" s="87"/>
      <c r="QRE1" s="87"/>
      <c r="QRF1" s="87"/>
      <c r="QRG1" s="87"/>
      <c r="QRH1" s="87"/>
      <c r="QRI1" s="87"/>
      <c r="QRJ1" s="87"/>
      <c r="QRK1" s="87"/>
      <c r="QRL1" s="87"/>
      <c r="QRM1" s="87"/>
      <c r="QRN1" s="87"/>
      <c r="QRO1" s="87"/>
      <c r="QRP1" s="87"/>
      <c r="QRQ1" s="87"/>
      <c r="QRR1" s="87"/>
      <c r="QRS1" s="87"/>
      <c r="QRT1" s="87"/>
      <c r="QRU1" s="87"/>
      <c r="QRV1" s="87"/>
      <c r="QRW1" s="87"/>
      <c r="QRX1" s="87"/>
      <c r="QRY1" s="87"/>
      <c r="QRZ1" s="87"/>
      <c r="QSA1" s="87"/>
      <c r="QSB1" s="87"/>
      <c r="QSC1" s="87"/>
      <c r="QSD1" s="87"/>
      <c r="QSE1" s="87"/>
      <c r="QSF1" s="87"/>
      <c r="QSG1" s="87"/>
      <c r="QSH1" s="87"/>
      <c r="QSI1" s="87"/>
      <c r="QSJ1" s="87"/>
      <c r="QSK1" s="87"/>
      <c r="QSL1" s="87"/>
      <c r="QSM1" s="87"/>
      <c r="QSN1" s="87"/>
      <c r="QSO1" s="87"/>
      <c r="QSP1" s="87"/>
      <c r="QSQ1" s="87"/>
      <c r="QSR1" s="87"/>
      <c r="QSS1" s="87"/>
      <c r="QST1" s="87"/>
      <c r="QSU1" s="87"/>
      <c r="QSV1" s="87"/>
      <c r="QSW1" s="87"/>
      <c r="QSX1" s="87"/>
      <c r="QSY1" s="87"/>
      <c r="QSZ1" s="87"/>
      <c r="QTA1" s="87"/>
      <c r="QTB1" s="87"/>
      <c r="QTC1" s="87"/>
      <c r="QTD1" s="87"/>
      <c r="QTE1" s="87"/>
      <c r="QTF1" s="87"/>
      <c r="QTG1" s="87"/>
      <c r="QTH1" s="87"/>
      <c r="QTI1" s="87"/>
      <c r="QTJ1" s="87"/>
      <c r="QTK1" s="87"/>
      <c r="QTL1" s="87"/>
      <c r="QTM1" s="87"/>
      <c r="QTN1" s="87"/>
      <c r="QTO1" s="87"/>
      <c r="QTP1" s="87"/>
      <c r="QTQ1" s="87"/>
      <c r="QTR1" s="87"/>
      <c r="QTS1" s="87"/>
      <c r="QTT1" s="87"/>
      <c r="QTU1" s="87"/>
      <c r="QTV1" s="87"/>
      <c r="QTW1" s="87"/>
      <c r="QTX1" s="87"/>
      <c r="QTY1" s="87"/>
      <c r="QTZ1" s="87"/>
      <c r="QUA1" s="87"/>
      <c r="QUB1" s="87"/>
      <c r="QUC1" s="87"/>
      <c r="QUD1" s="87"/>
      <c r="QUE1" s="87"/>
      <c r="QUF1" s="87"/>
      <c r="QUG1" s="87"/>
      <c r="QUH1" s="87"/>
      <c r="QUI1" s="87"/>
      <c r="QUJ1" s="87"/>
      <c r="QUK1" s="87"/>
      <c r="QUL1" s="87"/>
      <c r="QUM1" s="87"/>
      <c r="QUN1" s="87"/>
      <c r="QUO1" s="87"/>
      <c r="QUP1" s="87"/>
      <c r="QUQ1" s="87"/>
      <c r="QUR1" s="87"/>
      <c r="QUS1" s="87"/>
      <c r="QUT1" s="87"/>
      <c r="QUU1" s="87"/>
      <c r="QUV1" s="87"/>
      <c r="QUW1" s="87"/>
      <c r="QUX1" s="87"/>
      <c r="QUY1" s="87"/>
      <c r="QUZ1" s="87"/>
      <c r="QVA1" s="87"/>
      <c r="QVB1" s="87"/>
      <c r="QVC1" s="87"/>
      <c r="QVD1" s="87"/>
      <c r="QVE1" s="87"/>
      <c r="QVF1" s="87"/>
      <c r="QVG1" s="87"/>
      <c r="QVH1" s="87"/>
      <c r="QVI1" s="87"/>
      <c r="QVJ1" s="87"/>
      <c r="QVK1" s="87"/>
      <c r="QVL1" s="87"/>
      <c r="QVM1" s="87"/>
      <c r="QVN1" s="87"/>
      <c r="QVO1" s="87"/>
      <c r="QVP1" s="87"/>
      <c r="QVQ1" s="87"/>
      <c r="QVR1" s="87"/>
      <c r="QVS1" s="87"/>
      <c r="QVT1" s="87"/>
      <c r="QVU1" s="87"/>
      <c r="QVV1" s="87"/>
      <c r="QVW1" s="87"/>
      <c r="QVX1" s="87"/>
      <c r="QVY1" s="87"/>
      <c r="QVZ1" s="87"/>
      <c r="QWA1" s="87"/>
      <c r="QWB1" s="87"/>
      <c r="QWC1" s="87"/>
      <c r="QWD1" s="87"/>
      <c r="QWE1" s="87"/>
      <c r="QWF1" s="87"/>
      <c r="QWG1" s="87"/>
      <c r="QWH1" s="87"/>
      <c r="QWI1" s="87"/>
      <c r="QWJ1" s="87"/>
      <c r="QWK1" s="87"/>
      <c r="QWL1" s="87"/>
      <c r="QWM1" s="87"/>
      <c r="QWN1" s="87"/>
      <c r="QWO1" s="87"/>
      <c r="QWP1" s="87"/>
      <c r="QWQ1" s="87"/>
      <c r="QWR1" s="87"/>
      <c r="QWS1" s="87"/>
      <c r="QWT1" s="87"/>
      <c r="QWU1" s="87"/>
      <c r="QWV1" s="87"/>
      <c r="QWW1" s="87"/>
      <c r="QWX1" s="87"/>
      <c r="QWY1" s="87"/>
      <c r="QWZ1" s="87"/>
      <c r="QXA1" s="87"/>
      <c r="QXB1" s="87"/>
      <c r="QXC1" s="87"/>
      <c r="QXD1" s="87"/>
      <c r="QXE1" s="87"/>
      <c r="QXF1" s="87"/>
      <c r="QXG1" s="87"/>
      <c r="QXH1" s="87"/>
      <c r="QXI1" s="87"/>
      <c r="QXJ1" s="87"/>
      <c r="QXK1" s="87"/>
      <c r="QXL1" s="87"/>
      <c r="QXM1" s="87"/>
      <c r="QXN1" s="87"/>
      <c r="QXO1" s="87"/>
      <c r="QXP1" s="87"/>
      <c r="QXQ1" s="87"/>
      <c r="QXR1" s="87"/>
      <c r="QXS1" s="87"/>
      <c r="QXT1" s="87"/>
      <c r="QXU1" s="87"/>
      <c r="QXV1" s="87"/>
      <c r="QXW1" s="87"/>
      <c r="QXX1" s="87"/>
      <c r="QXY1" s="87"/>
      <c r="QXZ1" s="87"/>
      <c r="QYA1" s="87"/>
      <c r="QYB1" s="87"/>
      <c r="QYC1" s="87"/>
      <c r="QYD1" s="87"/>
      <c r="QYE1" s="87"/>
      <c r="QYF1" s="87"/>
      <c r="QYG1" s="87"/>
      <c r="QYH1" s="87"/>
      <c r="QYI1" s="87"/>
      <c r="QYJ1" s="87"/>
      <c r="QYK1" s="87"/>
      <c r="QYL1" s="87"/>
      <c r="QYM1" s="87"/>
      <c r="QYN1" s="87"/>
      <c r="QYO1" s="87"/>
      <c r="QYP1" s="87"/>
      <c r="QYQ1" s="87"/>
      <c r="QYR1" s="87"/>
      <c r="QYS1" s="87"/>
      <c r="QYT1" s="87"/>
      <c r="QYU1" s="87"/>
      <c r="QYV1" s="87"/>
      <c r="QYW1" s="87"/>
      <c r="QYX1" s="87"/>
      <c r="QYY1" s="87"/>
      <c r="QYZ1" s="87"/>
      <c r="QZA1" s="87"/>
      <c r="QZB1" s="87"/>
      <c r="QZC1" s="87"/>
      <c r="QZD1" s="87"/>
      <c r="QZE1" s="87"/>
      <c r="QZF1" s="87"/>
      <c r="QZG1" s="87"/>
      <c r="QZH1" s="87"/>
      <c r="QZI1" s="87"/>
      <c r="QZJ1" s="87"/>
      <c r="QZK1" s="87"/>
      <c r="QZL1" s="87"/>
      <c r="QZM1" s="87"/>
      <c r="QZN1" s="87"/>
      <c r="QZO1" s="87"/>
      <c r="QZP1" s="87"/>
      <c r="QZQ1" s="87"/>
      <c r="QZR1" s="87"/>
      <c r="QZS1" s="87"/>
      <c r="QZT1" s="87"/>
      <c r="QZU1" s="87"/>
      <c r="QZV1" s="87"/>
      <c r="QZW1" s="87"/>
      <c r="QZX1" s="87"/>
      <c r="QZY1" s="87"/>
      <c r="QZZ1" s="87"/>
      <c r="RAA1" s="87"/>
      <c r="RAB1" s="87"/>
      <c r="RAC1" s="87"/>
      <c r="RAD1" s="87"/>
      <c r="RAE1" s="87"/>
      <c r="RAF1" s="87"/>
      <c r="RAG1" s="87"/>
      <c r="RAH1" s="87"/>
      <c r="RAI1" s="87"/>
      <c r="RAJ1" s="87"/>
      <c r="RAK1" s="87"/>
      <c r="RAL1" s="87"/>
      <c r="RAM1" s="87"/>
      <c r="RAN1" s="87"/>
      <c r="RAO1" s="87"/>
      <c r="RAP1" s="87"/>
      <c r="RAQ1" s="87"/>
      <c r="RAR1" s="87"/>
      <c r="RAS1" s="87"/>
      <c r="RAT1" s="87"/>
      <c r="RAU1" s="87"/>
      <c r="RAV1" s="87"/>
      <c r="RAW1" s="87"/>
      <c r="RAX1" s="87"/>
      <c r="RAY1" s="87"/>
      <c r="RAZ1" s="87"/>
      <c r="RBA1" s="87"/>
      <c r="RBB1" s="87"/>
      <c r="RBC1" s="87"/>
      <c r="RBD1" s="87"/>
      <c r="RBE1" s="87"/>
      <c r="RBF1" s="87"/>
      <c r="RBG1" s="87"/>
      <c r="RBH1" s="87"/>
      <c r="RBI1" s="87"/>
      <c r="RBJ1" s="87"/>
      <c r="RBK1" s="87"/>
      <c r="RBL1" s="87"/>
      <c r="RBM1" s="87"/>
      <c r="RBN1" s="87"/>
      <c r="RBO1" s="87"/>
      <c r="RBP1" s="87"/>
      <c r="RBQ1" s="87"/>
      <c r="RBR1" s="87"/>
      <c r="RBS1" s="87"/>
      <c r="RBT1" s="87"/>
      <c r="RBU1" s="87"/>
      <c r="RBV1" s="87"/>
      <c r="RBW1" s="87"/>
      <c r="RBX1" s="87"/>
      <c r="RBY1" s="87"/>
      <c r="RBZ1" s="87"/>
      <c r="RCA1" s="87"/>
      <c r="RCB1" s="87"/>
      <c r="RCC1" s="87"/>
      <c r="RCD1" s="87"/>
      <c r="RCE1" s="87"/>
      <c r="RCF1" s="87"/>
      <c r="RCG1" s="87"/>
      <c r="RCH1" s="87"/>
      <c r="RCI1" s="87"/>
      <c r="RCJ1" s="87"/>
      <c r="RCK1" s="87"/>
      <c r="RCL1" s="87"/>
      <c r="RCM1" s="87"/>
      <c r="RCN1" s="87"/>
      <c r="RCO1" s="87"/>
      <c r="RCP1" s="87"/>
      <c r="RCQ1" s="87"/>
      <c r="RCR1" s="87"/>
      <c r="RCS1" s="87"/>
      <c r="RCT1" s="87"/>
      <c r="RCU1" s="87"/>
      <c r="RCV1" s="87"/>
      <c r="RCW1" s="87"/>
      <c r="RCX1" s="87"/>
      <c r="RCY1" s="87"/>
      <c r="RCZ1" s="87"/>
      <c r="RDA1" s="87"/>
      <c r="RDB1" s="87"/>
      <c r="RDC1" s="87"/>
      <c r="RDD1" s="87"/>
      <c r="RDE1" s="87"/>
      <c r="RDF1" s="87"/>
      <c r="RDG1" s="87"/>
      <c r="RDH1" s="87"/>
      <c r="RDI1" s="87"/>
      <c r="RDJ1" s="87"/>
      <c r="RDK1" s="87"/>
      <c r="RDL1" s="87"/>
      <c r="RDM1" s="87"/>
      <c r="RDN1" s="87"/>
      <c r="RDO1" s="87"/>
      <c r="RDP1" s="87"/>
      <c r="RDQ1" s="87"/>
      <c r="RDR1" s="87"/>
      <c r="RDS1" s="87"/>
      <c r="RDT1" s="87"/>
      <c r="RDU1" s="87"/>
      <c r="RDV1" s="87"/>
      <c r="RDW1" s="87"/>
      <c r="RDX1" s="87"/>
      <c r="RDY1" s="87"/>
      <c r="RDZ1" s="87"/>
      <c r="REA1" s="87"/>
      <c r="REB1" s="87"/>
      <c r="REC1" s="87"/>
      <c r="RED1" s="87"/>
      <c r="REE1" s="87"/>
      <c r="REF1" s="87"/>
      <c r="REG1" s="87"/>
      <c r="REH1" s="87"/>
      <c r="REI1" s="87"/>
      <c r="REJ1" s="87"/>
      <c r="REK1" s="87"/>
      <c r="REL1" s="87"/>
      <c r="REM1" s="87"/>
      <c r="REN1" s="87"/>
      <c r="REO1" s="87"/>
      <c r="REP1" s="87"/>
      <c r="REQ1" s="87"/>
      <c r="RER1" s="87"/>
      <c r="RES1" s="87"/>
      <c r="RET1" s="87"/>
      <c r="REU1" s="87"/>
      <c r="REV1" s="87"/>
      <c r="REW1" s="87"/>
      <c r="REX1" s="87"/>
      <c r="REY1" s="87"/>
      <c r="REZ1" s="87"/>
      <c r="RFA1" s="87"/>
      <c r="RFB1" s="87"/>
      <c r="RFC1" s="87"/>
      <c r="RFD1" s="87"/>
      <c r="RFE1" s="87"/>
      <c r="RFF1" s="87"/>
      <c r="RFG1" s="87"/>
      <c r="RFH1" s="87"/>
      <c r="RFI1" s="87"/>
      <c r="RFJ1" s="87"/>
      <c r="RFK1" s="87"/>
      <c r="RFL1" s="87"/>
      <c r="RFM1" s="87"/>
      <c r="RFN1" s="87"/>
      <c r="RFO1" s="87"/>
      <c r="RFP1" s="87"/>
      <c r="RFQ1" s="87"/>
      <c r="RFR1" s="87"/>
      <c r="RFS1" s="87"/>
      <c r="RFT1" s="87"/>
      <c r="RFU1" s="87"/>
      <c r="RFV1" s="87"/>
      <c r="RFW1" s="87"/>
      <c r="RFX1" s="87"/>
      <c r="RFY1" s="87"/>
      <c r="RFZ1" s="87"/>
      <c r="RGA1" s="87"/>
      <c r="RGB1" s="87"/>
      <c r="RGC1" s="87"/>
      <c r="RGD1" s="87"/>
      <c r="RGE1" s="87"/>
      <c r="RGF1" s="87"/>
      <c r="RGG1" s="87"/>
      <c r="RGH1" s="87"/>
      <c r="RGI1" s="87"/>
      <c r="RGJ1" s="87"/>
      <c r="RGK1" s="87"/>
      <c r="RGL1" s="87"/>
      <c r="RGM1" s="87"/>
      <c r="RGN1" s="87"/>
      <c r="RGO1" s="87"/>
      <c r="RGP1" s="87"/>
      <c r="RGQ1" s="87"/>
      <c r="RGR1" s="87"/>
      <c r="RGS1" s="87"/>
      <c r="RGT1" s="87"/>
      <c r="RGU1" s="87"/>
      <c r="RGV1" s="87"/>
      <c r="RGW1" s="87"/>
      <c r="RGX1" s="87"/>
      <c r="RGY1" s="87"/>
      <c r="RGZ1" s="87"/>
      <c r="RHA1" s="87"/>
      <c r="RHB1" s="87"/>
      <c r="RHC1" s="87"/>
      <c r="RHD1" s="87"/>
      <c r="RHE1" s="87"/>
      <c r="RHF1" s="87"/>
      <c r="RHG1" s="87"/>
      <c r="RHH1" s="87"/>
      <c r="RHI1" s="87"/>
      <c r="RHJ1" s="87"/>
      <c r="RHK1" s="87"/>
      <c r="RHL1" s="87"/>
      <c r="RHM1" s="87"/>
      <c r="RHN1" s="87"/>
      <c r="RHO1" s="87"/>
      <c r="RHP1" s="87"/>
      <c r="RHQ1" s="87"/>
      <c r="RHR1" s="87"/>
      <c r="RHS1" s="87"/>
      <c r="RHT1" s="87"/>
      <c r="RHU1" s="87"/>
      <c r="RHV1" s="87"/>
      <c r="RHW1" s="87"/>
      <c r="RHX1" s="87"/>
      <c r="RHY1" s="87"/>
      <c r="RHZ1" s="87"/>
      <c r="RIA1" s="87"/>
      <c r="RIB1" s="87"/>
      <c r="RIC1" s="87"/>
      <c r="RID1" s="87"/>
      <c r="RIE1" s="87"/>
      <c r="RIF1" s="87"/>
      <c r="RIG1" s="87"/>
      <c r="RIH1" s="87"/>
      <c r="RII1" s="87"/>
      <c r="RIJ1" s="87"/>
      <c r="RIK1" s="87"/>
      <c r="RIL1" s="87"/>
      <c r="RIM1" s="87"/>
      <c r="RIN1" s="87"/>
      <c r="RIO1" s="87"/>
      <c r="RIP1" s="87"/>
      <c r="RIQ1" s="87"/>
      <c r="RIR1" s="87"/>
      <c r="RIS1" s="87"/>
      <c r="RIT1" s="87"/>
      <c r="RIU1" s="87"/>
      <c r="RIV1" s="87"/>
      <c r="RIW1" s="87"/>
      <c r="RIX1" s="87"/>
      <c r="RIY1" s="87"/>
      <c r="RIZ1" s="87"/>
      <c r="RJA1" s="87"/>
      <c r="RJB1" s="87"/>
      <c r="RJC1" s="87"/>
      <c r="RJD1" s="87"/>
      <c r="RJE1" s="87"/>
      <c r="RJF1" s="87"/>
      <c r="RJG1" s="87"/>
      <c r="RJH1" s="87"/>
      <c r="RJI1" s="87"/>
      <c r="RJJ1" s="87"/>
      <c r="RJK1" s="87"/>
      <c r="RJL1" s="87"/>
      <c r="RJM1" s="87"/>
      <c r="RJN1" s="87"/>
      <c r="RJO1" s="87"/>
      <c r="RJP1" s="87"/>
      <c r="RJQ1" s="87"/>
      <c r="RJR1" s="87"/>
      <c r="RJS1" s="87"/>
      <c r="RJT1" s="87"/>
      <c r="RJU1" s="87"/>
      <c r="RJV1" s="87"/>
      <c r="RJW1" s="87"/>
      <c r="RJX1" s="87"/>
      <c r="RJY1" s="87"/>
      <c r="RJZ1" s="87"/>
      <c r="RKA1" s="87"/>
      <c r="RKB1" s="87"/>
      <c r="RKC1" s="87"/>
      <c r="RKD1" s="87"/>
      <c r="RKE1" s="87"/>
      <c r="RKF1" s="87"/>
      <c r="RKG1" s="87"/>
      <c r="RKH1" s="87"/>
      <c r="RKI1" s="87"/>
      <c r="RKJ1" s="87"/>
      <c r="RKK1" s="87"/>
      <c r="RKL1" s="87"/>
      <c r="RKM1" s="87"/>
      <c r="RKN1" s="87"/>
      <c r="RKO1" s="87"/>
      <c r="RKP1" s="87"/>
      <c r="RKQ1" s="87"/>
      <c r="RKR1" s="87"/>
      <c r="RKS1" s="87"/>
      <c r="RKT1" s="87"/>
      <c r="RKU1" s="87"/>
      <c r="RKV1" s="87"/>
      <c r="RKW1" s="87"/>
      <c r="RKX1" s="87"/>
      <c r="RKY1" s="87"/>
      <c r="RKZ1" s="87"/>
      <c r="RLA1" s="87"/>
      <c r="RLB1" s="87"/>
      <c r="RLC1" s="87"/>
      <c r="RLD1" s="87"/>
      <c r="RLE1" s="87"/>
      <c r="RLF1" s="87"/>
      <c r="RLG1" s="87"/>
      <c r="RLH1" s="87"/>
      <c r="RLI1" s="87"/>
      <c r="RLJ1" s="87"/>
      <c r="RLK1" s="87"/>
      <c r="RLL1" s="87"/>
      <c r="RLM1" s="87"/>
      <c r="RLN1" s="87"/>
      <c r="RLO1" s="87"/>
      <c r="RLP1" s="87"/>
      <c r="RLQ1" s="87"/>
      <c r="RLR1" s="87"/>
      <c r="RLS1" s="87"/>
      <c r="RLT1" s="87"/>
      <c r="RLU1" s="87"/>
      <c r="RLV1" s="87"/>
      <c r="RLW1" s="87"/>
      <c r="RLX1" s="87"/>
      <c r="RLY1" s="87"/>
      <c r="RLZ1" s="87"/>
      <c r="RMA1" s="87"/>
      <c r="RMB1" s="87"/>
      <c r="RMC1" s="87"/>
      <c r="RMD1" s="87"/>
      <c r="RME1" s="87"/>
      <c r="RMF1" s="87"/>
      <c r="RMG1" s="87"/>
      <c r="RMH1" s="87"/>
      <c r="RMI1" s="87"/>
      <c r="RMJ1" s="87"/>
      <c r="RMK1" s="87"/>
      <c r="RML1" s="87"/>
      <c r="RMM1" s="87"/>
      <c r="RMN1" s="87"/>
      <c r="RMO1" s="87"/>
      <c r="RMP1" s="87"/>
      <c r="RMQ1" s="87"/>
      <c r="RMR1" s="87"/>
      <c r="RMS1" s="87"/>
      <c r="RMT1" s="87"/>
      <c r="RMU1" s="87"/>
      <c r="RMV1" s="87"/>
      <c r="RMW1" s="87"/>
      <c r="RMX1" s="87"/>
      <c r="RMY1" s="87"/>
      <c r="RMZ1" s="87"/>
      <c r="RNA1" s="87"/>
      <c r="RNB1" s="87"/>
      <c r="RNC1" s="87"/>
      <c r="RND1" s="87"/>
      <c r="RNE1" s="87"/>
      <c r="RNF1" s="87"/>
      <c r="RNG1" s="87"/>
      <c r="RNH1" s="87"/>
      <c r="RNI1" s="87"/>
      <c r="RNJ1" s="87"/>
      <c r="RNK1" s="87"/>
      <c r="RNL1" s="87"/>
      <c r="RNM1" s="87"/>
      <c r="RNN1" s="87"/>
      <c r="RNO1" s="87"/>
      <c r="RNP1" s="87"/>
      <c r="RNQ1" s="87"/>
      <c r="RNR1" s="87"/>
      <c r="RNS1" s="87"/>
      <c r="RNT1" s="87"/>
      <c r="RNU1" s="87"/>
      <c r="RNV1" s="87"/>
      <c r="RNW1" s="87"/>
      <c r="RNX1" s="87"/>
      <c r="RNY1" s="87"/>
      <c r="RNZ1" s="87"/>
      <c r="ROA1" s="87"/>
      <c r="ROB1" s="87"/>
      <c r="ROC1" s="87"/>
      <c r="ROD1" s="87"/>
      <c r="ROE1" s="87"/>
      <c r="ROF1" s="87"/>
      <c r="ROG1" s="87"/>
      <c r="ROH1" s="87"/>
      <c r="ROI1" s="87"/>
      <c r="ROJ1" s="87"/>
      <c r="ROK1" s="87"/>
      <c r="ROL1" s="87"/>
      <c r="ROM1" s="87"/>
      <c r="RON1" s="87"/>
      <c r="ROO1" s="87"/>
      <c r="ROP1" s="87"/>
      <c r="ROQ1" s="87"/>
      <c r="ROR1" s="87"/>
      <c r="ROS1" s="87"/>
      <c r="ROT1" s="87"/>
      <c r="ROU1" s="87"/>
      <c r="ROV1" s="87"/>
      <c r="ROW1" s="87"/>
      <c r="ROX1" s="87"/>
      <c r="ROY1" s="87"/>
      <c r="ROZ1" s="87"/>
      <c r="RPA1" s="87"/>
      <c r="RPB1" s="87"/>
      <c r="RPC1" s="87"/>
      <c r="RPD1" s="87"/>
      <c r="RPE1" s="87"/>
      <c r="RPF1" s="87"/>
      <c r="RPG1" s="87"/>
      <c r="RPH1" s="87"/>
      <c r="RPI1" s="87"/>
      <c r="RPJ1" s="87"/>
      <c r="RPK1" s="87"/>
      <c r="RPL1" s="87"/>
      <c r="RPM1" s="87"/>
      <c r="RPN1" s="87"/>
      <c r="RPO1" s="87"/>
      <c r="RPP1" s="87"/>
      <c r="RPQ1" s="87"/>
      <c r="RPR1" s="87"/>
      <c r="RPS1" s="87"/>
      <c r="RPT1" s="87"/>
      <c r="RPU1" s="87"/>
      <c r="RPV1" s="87"/>
      <c r="RPW1" s="87"/>
      <c r="RPX1" s="87"/>
      <c r="RPY1" s="87"/>
      <c r="RPZ1" s="87"/>
      <c r="RQA1" s="87"/>
      <c r="RQB1" s="87"/>
      <c r="RQC1" s="87"/>
      <c r="RQD1" s="87"/>
      <c r="RQE1" s="87"/>
      <c r="RQF1" s="87"/>
      <c r="RQG1" s="87"/>
      <c r="RQH1" s="87"/>
      <c r="RQI1" s="87"/>
      <c r="RQJ1" s="87"/>
      <c r="RQK1" s="87"/>
      <c r="RQL1" s="87"/>
      <c r="RQM1" s="87"/>
      <c r="RQN1" s="87"/>
      <c r="RQO1" s="87"/>
      <c r="RQP1" s="87"/>
      <c r="RQQ1" s="87"/>
      <c r="RQR1" s="87"/>
      <c r="RQS1" s="87"/>
      <c r="RQT1" s="87"/>
      <c r="RQU1" s="87"/>
      <c r="RQV1" s="87"/>
      <c r="RQW1" s="87"/>
      <c r="RQX1" s="87"/>
      <c r="RQY1" s="87"/>
      <c r="RQZ1" s="87"/>
      <c r="RRA1" s="87"/>
      <c r="RRB1" s="87"/>
      <c r="RRC1" s="87"/>
      <c r="RRD1" s="87"/>
      <c r="RRE1" s="87"/>
      <c r="RRF1" s="87"/>
      <c r="RRG1" s="87"/>
      <c r="RRH1" s="87"/>
      <c r="RRI1" s="87"/>
      <c r="RRJ1" s="87"/>
      <c r="RRK1" s="87"/>
      <c r="RRL1" s="87"/>
      <c r="RRM1" s="87"/>
      <c r="RRN1" s="87"/>
      <c r="RRO1" s="87"/>
      <c r="RRP1" s="87"/>
      <c r="RRQ1" s="87"/>
      <c r="RRR1" s="87"/>
      <c r="RRS1" s="87"/>
      <c r="RRT1" s="87"/>
      <c r="RRU1" s="87"/>
      <c r="RRV1" s="87"/>
      <c r="RRW1" s="87"/>
      <c r="RRX1" s="87"/>
      <c r="RRY1" s="87"/>
      <c r="RRZ1" s="87"/>
      <c r="RSA1" s="87"/>
      <c r="RSB1" s="87"/>
      <c r="RSC1" s="87"/>
      <c r="RSD1" s="87"/>
      <c r="RSE1" s="87"/>
      <c r="RSF1" s="87"/>
      <c r="RSG1" s="87"/>
      <c r="RSH1" s="87"/>
      <c r="RSI1" s="87"/>
      <c r="RSJ1" s="87"/>
      <c r="RSK1" s="87"/>
      <c r="RSL1" s="87"/>
      <c r="RSM1" s="87"/>
      <c r="RSN1" s="87"/>
      <c r="RSO1" s="87"/>
      <c r="RSP1" s="87"/>
      <c r="RSQ1" s="87"/>
      <c r="RSR1" s="87"/>
      <c r="RSS1" s="87"/>
      <c r="RST1" s="87"/>
      <c r="RSU1" s="87"/>
      <c r="RSV1" s="87"/>
      <c r="RSW1" s="87"/>
      <c r="RSX1" s="87"/>
      <c r="RSY1" s="87"/>
      <c r="RSZ1" s="87"/>
      <c r="RTA1" s="87"/>
      <c r="RTB1" s="87"/>
      <c r="RTC1" s="87"/>
      <c r="RTD1" s="87"/>
      <c r="RTE1" s="87"/>
      <c r="RTF1" s="87"/>
      <c r="RTG1" s="87"/>
      <c r="RTH1" s="87"/>
      <c r="RTI1" s="87"/>
      <c r="RTJ1" s="87"/>
      <c r="RTK1" s="87"/>
      <c r="RTL1" s="87"/>
      <c r="RTM1" s="87"/>
      <c r="RTN1" s="87"/>
      <c r="RTO1" s="87"/>
      <c r="RTP1" s="87"/>
      <c r="RTQ1" s="87"/>
      <c r="RTR1" s="87"/>
      <c r="RTS1" s="87"/>
      <c r="RTT1" s="87"/>
      <c r="RTU1" s="87"/>
      <c r="RTV1" s="87"/>
      <c r="RTW1" s="87"/>
      <c r="RTX1" s="87"/>
      <c r="RTY1" s="87"/>
      <c r="RTZ1" s="87"/>
      <c r="RUA1" s="87"/>
      <c r="RUB1" s="87"/>
      <c r="RUC1" s="87"/>
      <c r="RUD1" s="87"/>
      <c r="RUE1" s="87"/>
      <c r="RUF1" s="87"/>
      <c r="RUG1" s="87"/>
      <c r="RUH1" s="87"/>
      <c r="RUI1" s="87"/>
      <c r="RUJ1" s="87"/>
      <c r="RUK1" s="87"/>
      <c r="RUL1" s="87"/>
      <c r="RUM1" s="87"/>
      <c r="RUN1" s="87"/>
      <c r="RUO1" s="87"/>
      <c r="RUP1" s="87"/>
      <c r="RUQ1" s="87"/>
      <c r="RUR1" s="87"/>
      <c r="RUS1" s="87"/>
      <c r="RUT1" s="87"/>
      <c r="RUU1" s="87"/>
      <c r="RUV1" s="87"/>
      <c r="RUW1" s="87"/>
      <c r="RUX1" s="87"/>
      <c r="RUY1" s="87"/>
      <c r="RUZ1" s="87"/>
      <c r="RVA1" s="87"/>
      <c r="RVB1" s="87"/>
      <c r="RVC1" s="87"/>
      <c r="RVD1" s="87"/>
      <c r="RVE1" s="87"/>
      <c r="RVF1" s="87"/>
      <c r="RVG1" s="87"/>
      <c r="RVH1" s="87"/>
      <c r="RVI1" s="87"/>
      <c r="RVJ1" s="87"/>
      <c r="RVK1" s="87"/>
      <c r="RVL1" s="87"/>
      <c r="RVM1" s="87"/>
      <c r="RVN1" s="87"/>
      <c r="RVO1" s="87"/>
      <c r="RVP1" s="87"/>
      <c r="RVQ1" s="87"/>
      <c r="RVR1" s="87"/>
      <c r="RVS1" s="87"/>
      <c r="RVT1" s="87"/>
      <c r="RVU1" s="87"/>
      <c r="RVV1" s="87"/>
      <c r="RVW1" s="87"/>
      <c r="RVX1" s="87"/>
      <c r="RVY1" s="87"/>
      <c r="RVZ1" s="87"/>
      <c r="RWA1" s="87"/>
      <c r="RWB1" s="87"/>
      <c r="RWC1" s="87"/>
      <c r="RWD1" s="87"/>
      <c r="RWE1" s="87"/>
      <c r="RWF1" s="87"/>
      <c r="RWG1" s="87"/>
      <c r="RWH1" s="87"/>
      <c r="RWI1" s="87"/>
      <c r="RWJ1" s="87"/>
      <c r="RWK1" s="87"/>
      <c r="RWL1" s="87"/>
      <c r="RWM1" s="87"/>
      <c r="RWN1" s="87"/>
      <c r="RWO1" s="87"/>
      <c r="RWP1" s="87"/>
      <c r="RWQ1" s="87"/>
      <c r="RWR1" s="87"/>
      <c r="RWS1" s="87"/>
      <c r="RWT1" s="87"/>
      <c r="RWU1" s="87"/>
      <c r="RWV1" s="87"/>
      <c r="RWW1" s="87"/>
      <c r="RWX1" s="87"/>
      <c r="RWY1" s="87"/>
      <c r="RWZ1" s="87"/>
      <c r="RXA1" s="87"/>
      <c r="RXB1" s="87"/>
      <c r="RXC1" s="87"/>
      <c r="RXD1" s="87"/>
      <c r="RXE1" s="87"/>
      <c r="RXF1" s="87"/>
      <c r="RXG1" s="87"/>
      <c r="RXH1" s="87"/>
      <c r="RXI1" s="87"/>
      <c r="RXJ1" s="87"/>
      <c r="RXK1" s="87"/>
      <c r="RXL1" s="87"/>
      <c r="RXM1" s="87"/>
      <c r="RXN1" s="87"/>
      <c r="RXO1" s="87"/>
      <c r="RXP1" s="87"/>
      <c r="RXQ1" s="87"/>
      <c r="RXR1" s="87"/>
      <c r="RXS1" s="87"/>
      <c r="RXT1" s="87"/>
      <c r="RXU1" s="87"/>
      <c r="RXV1" s="87"/>
      <c r="RXW1" s="87"/>
      <c r="RXX1" s="87"/>
      <c r="RXY1" s="87"/>
      <c r="RXZ1" s="87"/>
      <c r="RYA1" s="87"/>
      <c r="RYB1" s="87"/>
      <c r="RYC1" s="87"/>
      <c r="RYD1" s="87"/>
      <c r="RYE1" s="87"/>
      <c r="RYF1" s="87"/>
      <c r="RYG1" s="87"/>
      <c r="RYH1" s="87"/>
      <c r="RYI1" s="87"/>
      <c r="RYJ1" s="87"/>
      <c r="RYK1" s="87"/>
      <c r="RYL1" s="87"/>
      <c r="RYM1" s="87"/>
      <c r="RYN1" s="87"/>
      <c r="RYO1" s="87"/>
      <c r="RYP1" s="87"/>
      <c r="RYQ1" s="87"/>
      <c r="RYR1" s="87"/>
      <c r="RYS1" s="87"/>
      <c r="RYT1" s="87"/>
      <c r="RYU1" s="87"/>
      <c r="RYV1" s="87"/>
      <c r="RYW1" s="87"/>
      <c r="RYX1" s="87"/>
      <c r="RYY1" s="87"/>
      <c r="RYZ1" s="87"/>
      <c r="RZA1" s="87"/>
      <c r="RZB1" s="87"/>
      <c r="RZC1" s="87"/>
      <c r="RZD1" s="87"/>
      <c r="RZE1" s="87"/>
      <c r="RZF1" s="87"/>
      <c r="RZG1" s="87"/>
      <c r="RZH1" s="87"/>
      <c r="RZI1" s="87"/>
      <c r="RZJ1" s="87"/>
      <c r="RZK1" s="87"/>
      <c r="RZL1" s="87"/>
      <c r="RZM1" s="87"/>
      <c r="RZN1" s="87"/>
      <c r="RZO1" s="87"/>
      <c r="RZP1" s="87"/>
      <c r="RZQ1" s="87"/>
      <c r="RZR1" s="87"/>
      <c r="RZS1" s="87"/>
      <c r="RZT1" s="87"/>
      <c r="RZU1" s="87"/>
      <c r="RZV1" s="87"/>
      <c r="RZW1" s="87"/>
      <c r="RZX1" s="87"/>
      <c r="RZY1" s="87"/>
      <c r="RZZ1" s="87"/>
      <c r="SAA1" s="87"/>
      <c r="SAB1" s="87"/>
      <c r="SAC1" s="87"/>
      <c r="SAD1" s="87"/>
      <c r="SAE1" s="87"/>
      <c r="SAF1" s="87"/>
      <c r="SAG1" s="87"/>
      <c r="SAH1" s="87"/>
      <c r="SAI1" s="87"/>
      <c r="SAJ1" s="87"/>
      <c r="SAK1" s="87"/>
      <c r="SAL1" s="87"/>
      <c r="SAM1" s="87"/>
      <c r="SAN1" s="87"/>
      <c r="SAO1" s="87"/>
      <c r="SAP1" s="87"/>
      <c r="SAQ1" s="87"/>
      <c r="SAR1" s="87"/>
      <c r="SAS1" s="87"/>
      <c r="SAT1" s="87"/>
      <c r="SAU1" s="87"/>
      <c r="SAV1" s="87"/>
      <c r="SAW1" s="87"/>
      <c r="SAX1" s="87"/>
      <c r="SAY1" s="87"/>
      <c r="SAZ1" s="87"/>
      <c r="SBA1" s="87"/>
      <c r="SBB1" s="87"/>
      <c r="SBC1" s="87"/>
      <c r="SBD1" s="87"/>
      <c r="SBE1" s="87"/>
      <c r="SBF1" s="87"/>
      <c r="SBG1" s="87"/>
      <c r="SBH1" s="87"/>
      <c r="SBI1" s="87"/>
      <c r="SBJ1" s="87"/>
      <c r="SBK1" s="87"/>
      <c r="SBL1" s="87"/>
      <c r="SBM1" s="87"/>
      <c r="SBN1" s="87"/>
      <c r="SBO1" s="87"/>
      <c r="SBP1" s="87"/>
      <c r="SBQ1" s="87"/>
      <c r="SBR1" s="87"/>
      <c r="SBS1" s="87"/>
      <c r="SBT1" s="87"/>
      <c r="SBU1" s="87"/>
      <c r="SBV1" s="87"/>
      <c r="SBW1" s="87"/>
      <c r="SBX1" s="87"/>
      <c r="SBY1" s="87"/>
      <c r="SBZ1" s="87"/>
      <c r="SCA1" s="87"/>
      <c r="SCB1" s="87"/>
      <c r="SCC1" s="87"/>
      <c r="SCD1" s="87"/>
      <c r="SCE1" s="87"/>
      <c r="SCF1" s="87"/>
      <c r="SCG1" s="87"/>
      <c r="SCH1" s="87"/>
      <c r="SCI1" s="87"/>
      <c r="SCJ1" s="87"/>
      <c r="SCK1" s="87"/>
      <c r="SCL1" s="87"/>
      <c r="SCM1" s="87"/>
      <c r="SCN1" s="87"/>
      <c r="SCO1" s="87"/>
      <c r="SCP1" s="87"/>
      <c r="SCQ1" s="87"/>
      <c r="SCR1" s="87"/>
      <c r="SCS1" s="87"/>
      <c r="SCT1" s="87"/>
      <c r="SCU1" s="87"/>
      <c r="SCV1" s="87"/>
      <c r="SCW1" s="87"/>
      <c r="SCX1" s="87"/>
      <c r="SCY1" s="87"/>
      <c r="SCZ1" s="87"/>
      <c r="SDA1" s="87"/>
      <c r="SDB1" s="87"/>
      <c r="SDC1" s="87"/>
      <c r="SDD1" s="87"/>
      <c r="SDE1" s="87"/>
      <c r="SDF1" s="87"/>
      <c r="SDG1" s="87"/>
      <c r="SDH1" s="87"/>
      <c r="SDI1" s="87"/>
      <c r="SDJ1" s="87"/>
      <c r="SDK1" s="87"/>
      <c r="SDL1" s="87"/>
      <c r="SDM1" s="87"/>
      <c r="SDN1" s="87"/>
      <c r="SDO1" s="87"/>
      <c r="SDP1" s="87"/>
      <c r="SDQ1" s="87"/>
      <c r="SDR1" s="87"/>
      <c r="SDS1" s="87"/>
      <c r="SDT1" s="87"/>
      <c r="SDU1" s="87"/>
      <c r="SDV1" s="87"/>
      <c r="SDW1" s="87"/>
      <c r="SDX1" s="87"/>
      <c r="SDY1" s="87"/>
      <c r="SDZ1" s="87"/>
      <c r="SEA1" s="87"/>
      <c r="SEB1" s="87"/>
      <c r="SEC1" s="87"/>
      <c r="SED1" s="87"/>
      <c r="SEE1" s="87"/>
      <c r="SEF1" s="87"/>
      <c r="SEG1" s="87"/>
      <c r="SEH1" s="87"/>
      <c r="SEI1" s="87"/>
      <c r="SEJ1" s="87"/>
      <c r="SEK1" s="87"/>
      <c r="SEL1" s="87"/>
      <c r="SEM1" s="87"/>
      <c r="SEN1" s="87"/>
      <c r="SEO1" s="87"/>
      <c r="SEP1" s="87"/>
      <c r="SEQ1" s="87"/>
      <c r="SER1" s="87"/>
      <c r="SES1" s="87"/>
      <c r="SET1" s="87"/>
      <c r="SEU1" s="87"/>
      <c r="SEV1" s="87"/>
      <c r="SEW1" s="87"/>
      <c r="SEX1" s="87"/>
      <c r="SEY1" s="87"/>
      <c r="SEZ1" s="87"/>
      <c r="SFA1" s="87"/>
      <c r="SFB1" s="87"/>
      <c r="SFC1" s="87"/>
      <c r="SFD1" s="87"/>
      <c r="SFE1" s="87"/>
      <c r="SFF1" s="87"/>
      <c r="SFG1" s="87"/>
      <c r="SFH1" s="87"/>
      <c r="SFI1" s="87"/>
      <c r="SFJ1" s="87"/>
      <c r="SFK1" s="87"/>
      <c r="SFL1" s="87"/>
      <c r="SFM1" s="87"/>
      <c r="SFN1" s="87"/>
      <c r="SFO1" s="87"/>
      <c r="SFP1" s="87"/>
      <c r="SFQ1" s="87"/>
      <c r="SFR1" s="87"/>
      <c r="SFS1" s="87"/>
      <c r="SFT1" s="87"/>
      <c r="SFU1" s="87"/>
      <c r="SFV1" s="87"/>
      <c r="SFW1" s="87"/>
      <c r="SFX1" s="87"/>
      <c r="SFY1" s="87"/>
      <c r="SFZ1" s="87"/>
      <c r="SGA1" s="87"/>
      <c r="SGB1" s="87"/>
      <c r="SGC1" s="87"/>
      <c r="SGD1" s="87"/>
      <c r="SGE1" s="87"/>
      <c r="SGF1" s="87"/>
      <c r="SGG1" s="87"/>
      <c r="SGH1" s="87"/>
      <c r="SGI1" s="87"/>
      <c r="SGJ1" s="87"/>
      <c r="SGK1" s="87"/>
      <c r="SGL1" s="87"/>
      <c r="SGM1" s="87"/>
      <c r="SGN1" s="87"/>
      <c r="SGO1" s="87"/>
      <c r="SGP1" s="87"/>
      <c r="SGQ1" s="87"/>
      <c r="SGR1" s="87"/>
      <c r="SGS1" s="87"/>
      <c r="SGT1" s="87"/>
      <c r="SGU1" s="87"/>
      <c r="SGV1" s="87"/>
      <c r="SGW1" s="87"/>
      <c r="SGX1" s="87"/>
      <c r="SGY1" s="87"/>
      <c r="SGZ1" s="87"/>
      <c r="SHA1" s="87"/>
      <c r="SHB1" s="87"/>
      <c r="SHC1" s="87"/>
      <c r="SHD1" s="87"/>
      <c r="SHE1" s="87"/>
      <c r="SHF1" s="87"/>
      <c r="SHG1" s="87"/>
      <c r="SHH1" s="87"/>
      <c r="SHI1" s="87"/>
      <c r="SHJ1" s="87"/>
      <c r="SHK1" s="87"/>
      <c r="SHL1" s="87"/>
      <c r="SHM1" s="87"/>
      <c r="SHN1" s="87"/>
      <c r="SHO1" s="87"/>
      <c r="SHP1" s="87"/>
      <c r="SHQ1" s="87"/>
      <c r="SHR1" s="87"/>
      <c r="SHS1" s="87"/>
      <c r="SHT1" s="87"/>
      <c r="SHU1" s="87"/>
      <c r="SHV1" s="87"/>
      <c r="SHW1" s="87"/>
      <c r="SHX1" s="87"/>
      <c r="SHY1" s="87"/>
      <c r="SHZ1" s="87"/>
      <c r="SIA1" s="87"/>
      <c r="SIB1" s="87"/>
      <c r="SIC1" s="87"/>
      <c r="SID1" s="87"/>
      <c r="SIE1" s="87"/>
      <c r="SIF1" s="87"/>
      <c r="SIG1" s="87"/>
      <c r="SIH1" s="87"/>
      <c r="SII1" s="87"/>
      <c r="SIJ1" s="87"/>
      <c r="SIK1" s="87"/>
      <c r="SIL1" s="87"/>
      <c r="SIM1" s="87"/>
      <c r="SIN1" s="87"/>
      <c r="SIO1" s="87"/>
      <c r="SIP1" s="87"/>
      <c r="SIQ1" s="87"/>
      <c r="SIR1" s="87"/>
      <c r="SIS1" s="87"/>
      <c r="SIT1" s="87"/>
      <c r="SIU1" s="87"/>
      <c r="SIV1" s="87"/>
      <c r="SIW1" s="87"/>
      <c r="SIX1" s="87"/>
      <c r="SIY1" s="87"/>
      <c r="SIZ1" s="87"/>
      <c r="SJA1" s="87"/>
      <c r="SJB1" s="87"/>
      <c r="SJC1" s="87"/>
      <c r="SJD1" s="87"/>
      <c r="SJE1" s="87"/>
      <c r="SJF1" s="87"/>
      <c r="SJG1" s="87"/>
      <c r="SJH1" s="87"/>
      <c r="SJI1" s="87"/>
      <c r="SJJ1" s="87"/>
      <c r="SJK1" s="87"/>
      <c r="SJL1" s="87"/>
      <c r="SJM1" s="87"/>
      <c r="SJN1" s="87"/>
      <c r="SJO1" s="87"/>
      <c r="SJP1" s="87"/>
      <c r="SJQ1" s="87"/>
      <c r="SJR1" s="87"/>
      <c r="SJS1" s="87"/>
      <c r="SJT1" s="87"/>
      <c r="SJU1" s="87"/>
      <c r="SJV1" s="87"/>
      <c r="SJW1" s="87"/>
      <c r="SJX1" s="87"/>
      <c r="SJY1" s="87"/>
      <c r="SJZ1" s="87"/>
      <c r="SKA1" s="87"/>
      <c r="SKB1" s="87"/>
      <c r="SKC1" s="87"/>
      <c r="SKD1" s="87"/>
      <c r="SKE1" s="87"/>
      <c r="SKF1" s="87"/>
      <c r="SKG1" s="87"/>
      <c r="SKH1" s="87"/>
      <c r="SKI1" s="87"/>
      <c r="SKJ1" s="87"/>
      <c r="SKK1" s="87"/>
      <c r="SKL1" s="87"/>
      <c r="SKM1" s="87"/>
      <c r="SKN1" s="87"/>
      <c r="SKO1" s="87"/>
      <c r="SKP1" s="87"/>
      <c r="SKQ1" s="87"/>
      <c r="SKR1" s="87"/>
      <c r="SKS1" s="87"/>
      <c r="SKT1" s="87"/>
      <c r="SKU1" s="87"/>
      <c r="SKV1" s="87"/>
      <c r="SKW1" s="87"/>
      <c r="SKX1" s="87"/>
      <c r="SKY1" s="87"/>
      <c r="SKZ1" s="87"/>
      <c r="SLA1" s="87"/>
      <c r="SLB1" s="87"/>
      <c r="SLC1" s="87"/>
      <c r="SLD1" s="87"/>
      <c r="SLE1" s="87"/>
      <c r="SLF1" s="87"/>
      <c r="SLG1" s="87"/>
      <c r="SLH1" s="87"/>
      <c r="SLI1" s="87"/>
      <c r="SLJ1" s="87"/>
      <c r="SLK1" s="87"/>
      <c r="SLL1" s="87"/>
      <c r="SLM1" s="87"/>
      <c r="SLN1" s="87"/>
      <c r="SLO1" s="87"/>
      <c r="SLP1" s="87"/>
      <c r="SLQ1" s="87"/>
      <c r="SLR1" s="87"/>
      <c r="SLS1" s="87"/>
      <c r="SLT1" s="87"/>
      <c r="SLU1" s="87"/>
      <c r="SLV1" s="87"/>
      <c r="SLW1" s="87"/>
      <c r="SLX1" s="87"/>
      <c r="SLY1" s="87"/>
      <c r="SLZ1" s="87"/>
      <c r="SMA1" s="87"/>
      <c r="SMB1" s="87"/>
      <c r="SMC1" s="87"/>
      <c r="SMD1" s="87"/>
      <c r="SME1" s="87"/>
      <c r="SMF1" s="87"/>
      <c r="SMG1" s="87"/>
      <c r="SMH1" s="87"/>
      <c r="SMI1" s="87"/>
      <c r="SMJ1" s="87"/>
      <c r="SMK1" s="87"/>
      <c r="SML1" s="87"/>
      <c r="SMM1" s="87"/>
      <c r="SMN1" s="87"/>
      <c r="SMO1" s="87"/>
      <c r="SMP1" s="87"/>
      <c r="SMQ1" s="87"/>
      <c r="SMR1" s="87"/>
      <c r="SMS1" s="87"/>
      <c r="SMT1" s="87"/>
      <c r="SMU1" s="87"/>
      <c r="SMV1" s="87"/>
      <c r="SMW1" s="87"/>
      <c r="SMX1" s="87"/>
      <c r="SMY1" s="87"/>
      <c r="SMZ1" s="87"/>
      <c r="SNA1" s="87"/>
      <c r="SNB1" s="87"/>
      <c r="SNC1" s="87"/>
      <c r="SND1" s="87"/>
      <c r="SNE1" s="87"/>
      <c r="SNF1" s="87"/>
      <c r="SNG1" s="87"/>
      <c r="SNH1" s="87"/>
      <c r="SNI1" s="87"/>
      <c r="SNJ1" s="87"/>
      <c r="SNK1" s="87"/>
      <c r="SNL1" s="87"/>
      <c r="SNM1" s="87"/>
      <c r="SNN1" s="87"/>
      <c r="SNO1" s="87"/>
      <c r="SNP1" s="87"/>
      <c r="SNQ1" s="87"/>
      <c r="SNR1" s="87"/>
      <c r="SNS1" s="87"/>
      <c r="SNT1" s="87"/>
      <c r="SNU1" s="87"/>
      <c r="SNV1" s="87"/>
      <c r="SNW1" s="87"/>
      <c r="SNX1" s="87"/>
      <c r="SNY1" s="87"/>
      <c r="SNZ1" s="87"/>
      <c r="SOA1" s="87"/>
      <c r="SOB1" s="87"/>
      <c r="SOC1" s="87"/>
      <c r="SOD1" s="87"/>
      <c r="SOE1" s="87"/>
      <c r="SOF1" s="87"/>
      <c r="SOG1" s="87"/>
      <c r="SOH1" s="87"/>
      <c r="SOI1" s="87"/>
      <c r="SOJ1" s="87"/>
      <c r="SOK1" s="87"/>
      <c r="SOL1" s="87"/>
      <c r="SOM1" s="87"/>
      <c r="SON1" s="87"/>
      <c r="SOO1" s="87"/>
      <c r="SOP1" s="87"/>
      <c r="SOQ1" s="87"/>
      <c r="SOR1" s="87"/>
      <c r="SOS1" s="87"/>
      <c r="SOT1" s="87"/>
      <c r="SOU1" s="87"/>
      <c r="SOV1" s="87"/>
      <c r="SOW1" s="87"/>
      <c r="SOX1" s="87"/>
      <c r="SOY1" s="87"/>
      <c r="SOZ1" s="87"/>
      <c r="SPA1" s="87"/>
      <c r="SPB1" s="87"/>
      <c r="SPC1" s="87"/>
      <c r="SPD1" s="87"/>
      <c r="SPE1" s="87"/>
      <c r="SPF1" s="87"/>
      <c r="SPG1" s="87"/>
      <c r="SPH1" s="87"/>
      <c r="SPI1" s="87"/>
      <c r="SPJ1" s="87"/>
      <c r="SPK1" s="87"/>
      <c r="SPL1" s="87"/>
      <c r="SPM1" s="87"/>
      <c r="SPN1" s="87"/>
      <c r="SPO1" s="87"/>
      <c r="SPP1" s="87"/>
      <c r="SPQ1" s="87"/>
      <c r="SPR1" s="87"/>
      <c r="SPS1" s="87"/>
      <c r="SPT1" s="87"/>
      <c r="SPU1" s="87"/>
      <c r="SPV1" s="87"/>
      <c r="SPW1" s="87"/>
      <c r="SPX1" s="87"/>
      <c r="SPY1" s="87"/>
      <c r="SPZ1" s="87"/>
      <c r="SQA1" s="87"/>
      <c r="SQB1" s="87"/>
      <c r="SQC1" s="87"/>
      <c r="SQD1" s="87"/>
      <c r="SQE1" s="87"/>
      <c r="SQF1" s="87"/>
      <c r="SQG1" s="87"/>
      <c r="SQH1" s="87"/>
      <c r="SQI1" s="87"/>
      <c r="SQJ1" s="87"/>
      <c r="SQK1" s="87"/>
      <c r="SQL1" s="87"/>
      <c r="SQM1" s="87"/>
      <c r="SQN1" s="87"/>
      <c r="SQO1" s="87"/>
      <c r="SQP1" s="87"/>
      <c r="SQQ1" s="87"/>
      <c r="SQR1" s="87"/>
      <c r="SQS1" s="87"/>
      <c r="SQT1" s="87"/>
      <c r="SQU1" s="87"/>
      <c r="SQV1" s="87"/>
      <c r="SQW1" s="87"/>
      <c r="SQX1" s="87"/>
      <c r="SQY1" s="87"/>
      <c r="SQZ1" s="87"/>
      <c r="SRA1" s="87"/>
      <c r="SRB1" s="87"/>
      <c r="SRC1" s="87"/>
      <c r="SRD1" s="87"/>
      <c r="SRE1" s="87"/>
      <c r="SRF1" s="87"/>
      <c r="SRG1" s="87"/>
      <c r="SRH1" s="87"/>
      <c r="SRI1" s="87"/>
      <c r="SRJ1" s="87"/>
      <c r="SRK1" s="87"/>
      <c r="SRL1" s="87"/>
      <c r="SRM1" s="87"/>
      <c r="SRN1" s="87"/>
      <c r="SRO1" s="87"/>
      <c r="SRP1" s="87"/>
      <c r="SRQ1" s="87"/>
      <c r="SRR1" s="87"/>
      <c r="SRS1" s="87"/>
      <c r="SRT1" s="87"/>
      <c r="SRU1" s="87"/>
      <c r="SRV1" s="87"/>
      <c r="SRW1" s="87"/>
      <c r="SRX1" s="87"/>
      <c r="SRY1" s="87"/>
      <c r="SRZ1" s="87"/>
      <c r="SSA1" s="87"/>
      <c r="SSB1" s="87"/>
      <c r="SSC1" s="87"/>
      <c r="SSD1" s="87"/>
      <c r="SSE1" s="87"/>
      <c r="SSF1" s="87"/>
      <c r="SSG1" s="87"/>
      <c r="SSH1" s="87"/>
      <c r="SSI1" s="87"/>
      <c r="SSJ1" s="87"/>
      <c r="SSK1" s="87"/>
      <c r="SSL1" s="87"/>
      <c r="SSM1" s="87"/>
      <c r="SSN1" s="87"/>
      <c r="SSO1" s="87"/>
      <c r="SSP1" s="87"/>
      <c r="SSQ1" s="87"/>
      <c r="SSR1" s="87"/>
      <c r="SSS1" s="87"/>
      <c r="SST1" s="87"/>
      <c r="SSU1" s="87"/>
      <c r="SSV1" s="87"/>
      <c r="SSW1" s="87"/>
      <c r="SSX1" s="87"/>
      <c r="SSY1" s="87"/>
      <c r="SSZ1" s="87"/>
      <c r="STA1" s="87"/>
      <c r="STB1" s="87"/>
      <c r="STC1" s="87"/>
      <c r="STD1" s="87"/>
      <c r="STE1" s="87"/>
      <c r="STF1" s="87"/>
      <c r="STG1" s="87"/>
      <c r="STH1" s="87"/>
      <c r="STI1" s="87"/>
      <c r="STJ1" s="87"/>
      <c r="STK1" s="87"/>
      <c r="STL1" s="87"/>
      <c r="STM1" s="87"/>
      <c r="STN1" s="87"/>
      <c r="STO1" s="87"/>
      <c r="STP1" s="87"/>
      <c r="STQ1" s="87"/>
      <c r="STR1" s="87"/>
      <c r="STS1" s="87"/>
      <c r="STT1" s="87"/>
      <c r="STU1" s="87"/>
      <c r="STV1" s="87"/>
      <c r="STW1" s="87"/>
      <c r="STX1" s="87"/>
      <c r="STY1" s="87"/>
      <c r="STZ1" s="87"/>
      <c r="SUA1" s="87"/>
      <c r="SUB1" s="87"/>
      <c r="SUC1" s="87"/>
      <c r="SUD1" s="87"/>
      <c r="SUE1" s="87"/>
      <c r="SUF1" s="87"/>
      <c r="SUG1" s="87"/>
      <c r="SUH1" s="87"/>
      <c r="SUI1" s="87"/>
      <c r="SUJ1" s="87"/>
      <c r="SUK1" s="87"/>
      <c r="SUL1" s="87"/>
      <c r="SUM1" s="87"/>
      <c r="SUN1" s="87"/>
      <c r="SUO1" s="87"/>
      <c r="SUP1" s="87"/>
      <c r="SUQ1" s="87"/>
      <c r="SUR1" s="87"/>
      <c r="SUS1" s="87"/>
      <c r="SUT1" s="87"/>
      <c r="SUU1" s="87"/>
      <c r="SUV1" s="87"/>
      <c r="SUW1" s="87"/>
      <c r="SUX1" s="87"/>
      <c r="SUY1" s="87"/>
      <c r="SUZ1" s="87"/>
      <c r="SVA1" s="87"/>
      <c r="SVB1" s="87"/>
      <c r="SVC1" s="87"/>
      <c r="SVD1" s="87"/>
      <c r="SVE1" s="87"/>
      <c r="SVF1" s="87"/>
      <c r="SVG1" s="87"/>
      <c r="SVH1" s="87"/>
      <c r="SVI1" s="87"/>
      <c r="SVJ1" s="87"/>
      <c r="SVK1" s="87"/>
      <c r="SVL1" s="87"/>
      <c r="SVM1" s="87"/>
      <c r="SVN1" s="87"/>
      <c r="SVO1" s="87"/>
      <c r="SVP1" s="87"/>
      <c r="SVQ1" s="87"/>
      <c r="SVR1" s="87"/>
      <c r="SVS1" s="87"/>
      <c r="SVT1" s="87"/>
      <c r="SVU1" s="87"/>
      <c r="SVV1" s="87"/>
      <c r="SVW1" s="87"/>
      <c r="SVX1" s="87"/>
      <c r="SVY1" s="87"/>
      <c r="SVZ1" s="87"/>
      <c r="SWA1" s="87"/>
      <c r="SWB1" s="87"/>
      <c r="SWC1" s="87"/>
      <c r="SWD1" s="87"/>
      <c r="SWE1" s="87"/>
      <c r="SWF1" s="87"/>
      <c r="SWG1" s="87"/>
      <c r="SWH1" s="87"/>
      <c r="SWI1" s="87"/>
      <c r="SWJ1" s="87"/>
      <c r="SWK1" s="87"/>
      <c r="SWL1" s="87"/>
      <c r="SWM1" s="87"/>
      <c r="SWN1" s="87"/>
      <c r="SWO1" s="87"/>
      <c r="SWP1" s="87"/>
      <c r="SWQ1" s="87"/>
      <c r="SWR1" s="87"/>
      <c r="SWS1" s="87"/>
      <c r="SWT1" s="87"/>
      <c r="SWU1" s="87"/>
      <c r="SWV1" s="87"/>
      <c r="SWW1" s="87"/>
      <c r="SWX1" s="87"/>
      <c r="SWY1" s="87"/>
      <c r="SWZ1" s="87"/>
      <c r="SXA1" s="87"/>
      <c r="SXB1" s="87"/>
      <c r="SXC1" s="87"/>
      <c r="SXD1" s="87"/>
      <c r="SXE1" s="87"/>
      <c r="SXF1" s="87"/>
      <c r="SXG1" s="87"/>
      <c r="SXH1" s="87"/>
      <c r="SXI1" s="87"/>
      <c r="SXJ1" s="87"/>
      <c r="SXK1" s="87"/>
      <c r="SXL1" s="87"/>
      <c r="SXM1" s="87"/>
      <c r="SXN1" s="87"/>
      <c r="SXO1" s="87"/>
      <c r="SXP1" s="87"/>
      <c r="SXQ1" s="87"/>
      <c r="SXR1" s="87"/>
      <c r="SXS1" s="87"/>
      <c r="SXT1" s="87"/>
      <c r="SXU1" s="87"/>
      <c r="SXV1" s="87"/>
      <c r="SXW1" s="87"/>
      <c r="SXX1" s="87"/>
      <c r="SXY1" s="87"/>
      <c r="SXZ1" s="87"/>
      <c r="SYA1" s="87"/>
      <c r="SYB1" s="87"/>
      <c r="SYC1" s="87"/>
      <c r="SYD1" s="87"/>
      <c r="SYE1" s="87"/>
      <c r="SYF1" s="87"/>
      <c r="SYG1" s="87"/>
      <c r="SYH1" s="87"/>
      <c r="SYI1" s="87"/>
      <c r="SYJ1" s="87"/>
      <c r="SYK1" s="87"/>
      <c r="SYL1" s="87"/>
      <c r="SYM1" s="87"/>
      <c r="SYN1" s="87"/>
      <c r="SYO1" s="87"/>
      <c r="SYP1" s="87"/>
      <c r="SYQ1" s="87"/>
      <c r="SYR1" s="87"/>
      <c r="SYS1" s="87"/>
      <c r="SYT1" s="87"/>
      <c r="SYU1" s="87"/>
      <c r="SYV1" s="87"/>
      <c r="SYW1" s="87"/>
      <c r="SYX1" s="87"/>
      <c r="SYY1" s="87"/>
      <c r="SYZ1" s="87"/>
      <c r="SZA1" s="87"/>
      <c r="SZB1" s="87"/>
      <c r="SZC1" s="87"/>
      <c r="SZD1" s="87"/>
      <c r="SZE1" s="87"/>
      <c r="SZF1" s="87"/>
      <c r="SZG1" s="87"/>
      <c r="SZH1" s="87"/>
      <c r="SZI1" s="87"/>
      <c r="SZJ1" s="87"/>
      <c r="SZK1" s="87"/>
      <c r="SZL1" s="87"/>
      <c r="SZM1" s="87"/>
      <c r="SZN1" s="87"/>
      <c r="SZO1" s="87"/>
      <c r="SZP1" s="87"/>
      <c r="SZQ1" s="87"/>
      <c r="SZR1" s="87"/>
      <c r="SZS1" s="87"/>
      <c r="SZT1" s="87"/>
      <c r="SZU1" s="87"/>
      <c r="SZV1" s="87"/>
      <c r="SZW1" s="87"/>
      <c r="SZX1" s="87"/>
      <c r="SZY1" s="87"/>
      <c r="SZZ1" s="87"/>
      <c r="TAA1" s="87"/>
      <c r="TAB1" s="87"/>
      <c r="TAC1" s="87"/>
      <c r="TAD1" s="87"/>
      <c r="TAE1" s="87"/>
      <c r="TAF1" s="87"/>
      <c r="TAG1" s="87"/>
      <c r="TAH1" s="87"/>
      <c r="TAI1" s="87"/>
      <c r="TAJ1" s="87"/>
      <c r="TAK1" s="87"/>
      <c r="TAL1" s="87"/>
      <c r="TAM1" s="87"/>
      <c r="TAN1" s="87"/>
      <c r="TAO1" s="87"/>
      <c r="TAP1" s="87"/>
      <c r="TAQ1" s="87"/>
      <c r="TAR1" s="87"/>
      <c r="TAS1" s="87"/>
      <c r="TAT1" s="87"/>
      <c r="TAU1" s="87"/>
      <c r="TAV1" s="87"/>
      <c r="TAW1" s="87"/>
      <c r="TAX1" s="87"/>
      <c r="TAY1" s="87"/>
      <c r="TAZ1" s="87"/>
      <c r="TBA1" s="87"/>
      <c r="TBB1" s="87"/>
      <c r="TBC1" s="87"/>
      <c r="TBD1" s="87"/>
      <c r="TBE1" s="87"/>
      <c r="TBF1" s="87"/>
      <c r="TBG1" s="87"/>
      <c r="TBH1" s="87"/>
      <c r="TBI1" s="87"/>
      <c r="TBJ1" s="87"/>
      <c r="TBK1" s="87"/>
      <c r="TBL1" s="87"/>
      <c r="TBM1" s="87"/>
      <c r="TBN1" s="87"/>
      <c r="TBO1" s="87"/>
      <c r="TBP1" s="87"/>
      <c r="TBQ1" s="87"/>
      <c r="TBR1" s="87"/>
      <c r="TBS1" s="87"/>
      <c r="TBT1" s="87"/>
      <c r="TBU1" s="87"/>
      <c r="TBV1" s="87"/>
      <c r="TBW1" s="87"/>
      <c r="TBX1" s="87"/>
      <c r="TBY1" s="87"/>
      <c r="TBZ1" s="87"/>
      <c r="TCA1" s="87"/>
      <c r="TCB1" s="87"/>
      <c r="TCC1" s="87"/>
      <c r="TCD1" s="87"/>
      <c r="TCE1" s="87"/>
      <c r="TCF1" s="87"/>
      <c r="TCG1" s="87"/>
      <c r="TCH1" s="87"/>
      <c r="TCI1" s="87"/>
      <c r="TCJ1" s="87"/>
      <c r="TCK1" s="87"/>
      <c r="TCL1" s="87"/>
      <c r="TCM1" s="87"/>
      <c r="TCN1" s="87"/>
      <c r="TCO1" s="87"/>
      <c r="TCP1" s="87"/>
      <c r="TCQ1" s="87"/>
      <c r="TCR1" s="87"/>
      <c r="TCS1" s="87"/>
      <c r="TCT1" s="87"/>
      <c r="TCU1" s="87"/>
      <c r="TCV1" s="87"/>
      <c r="TCW1" s="87"/>
      <c r="TCX1" s="87"/>
      <c r="TCY1" s="87"/>
      <c r="TCZ1" s="87"/>
      <c r="TDA1" s="87"/>
      <c r="TDB1" s="87"/>
      <c r="TDC1" s="87"/>
      <c r="TDD1" s="87"/>
      <c r="TDE1" s="87"/>
      <c r="TDF1" s="87"/>
      <c r="TDG1" s="87"/>
      <c r="TDH1" s="87"/>
      <c r="TDI1" s="87"/>
      <c r="TDJ1" s="87"/>
      <c r="TDK1" s="87"/>
      <c r="TDL1" s="87"/>
      <c r="TDM1" s="87"/>
      <c r="TDN1" s="87"/>
      <c r="TDO1" s="87"/>
      <c r="TDP1" s="87"/>
      <c r="TDQ1" s="87"/>
      <c r="TDR1" s="87"/>
      <c r="TDS1" s="87"/>
      <c r="TDT1" s="87"/>
      <c r="TDU1" s="87"/>
      <c r="TDV1" s="87"/>
      <c r="TDW1" s="87"/>
      <c r="TDX1" s="87"/>
      <c r="TDY1" s="87"/>
      <c r="TDZ1" s="87"/>
      <c r="TEA1" s="87"/>
      <c r="TEB1" s="87"/>
      <c r="TEC1" s="87"/>
      <c r="TED1" s="87"/>
      <c r="TEE1" s="87"/>
      <c r="TEF1" s="87"/>
      <c r="TEG1" s="87"/>
      <c r="TEH1" s="87"/>
      <c r="TEI1" s="87"/>
      <c r="TEJ1" s="87"/>
      <c r="TEK1" s="87"/>
      <c r="TEL1" s="87"/>
      <c r="TEM1" s="87"/>
      <c r="TEN1" s="87"/>
      <c r="TEO1" s="87"/>
      <c r="TEP1" s="87"/>
      <c r="TEQ1" s="87"/>
      <c r="TER1" s="87"/>
      <c r="TES1" s="87"/>
      <c r="TET1" s="87"/>
      <c r="TEU1" s="87"/>
      <c r="TEV1" s="87"/>
      <c r="TEW1" s="87"/>
      <c r="TEX1" s="87"/>
      <c r="TEY1" s="87"/>
      <c r="TEZ1" s="87"/>
      <c r="TFA1" s="87"/>
      <c r="TFB1" s="87"/>
      <c r="TFC1" s="87"/>
      <c r="TFD1" s="87"/>
      <c r="TFE1" s="87"/>
      <c r="TFF1" s="87"/>
      <c r="TFG1" s="87"/>
      <c r="TFH1" s="87"/>
      <c r="TFI1" s="87"/>
      <c r="TFJ1" s="87"/>
      <c r="TFK1" s="87"/>
      <c r="TFL1" s="87"/>
      <c r="TFM1" s="87"/>
      <c r="TFN1" s="87"/>
      <c r="TFO1" s="87"/>
      <c r="TFP1" s="87"/>
      <c r="TFQ1" s="87"/>
      <c r="TFR1" s="87"/>
      <c r="TFS1" s="87"/>
      <c r="TFT1" s="87"/>
      <c r="TFU1" s="87"/>
      <c r="TFV1" s="87"/>
      <c r="TFW1" s="87"/>
      <c r="TFX1" s="87"/>
      <c r="TFY1" s="87"/>
      <c r="TFZ1" s="87"/>
      <c r="TGA1" s="87"/>
      <c r="TGB1" s="87"/>
      <c r="TGC1" s="87"/>
      <c r="TGD1" s="87"/>
      <c r="TGE1" s="87"/>
      <c r="TGF1" s="87"/>
      <c r="TGG1" s="87"/>
      <c r="TGH1" s="87"/>
      <c r="TGI1" s="87"/>
      <c r="TGJ1" s="87"/>
      <c r="TGK1" s="87"/>
      <c r="TGL1" s="87"/>
      <c r="TGM1" s="87"/>
      <c r="TGN1" s="87"/>
      <c r="TGO1" s="87"/>
      <c r="TGP1" s="87"/>
      <c r="TGQ1" s="87"/>
      <c r="TGR1" s="87"/>
      <c r="TGS1" s="87"/>
      <c r="TGT1" s="87"/>
      <c r="TGU1" s="87"/>
      <c r="TGV1" s="87"/>
      <c r="TGW1" s="87"/>
      <c r="TGX1" s="87"/>
      <c r="TGY1" s="87"/>
      <c r="TGZ1" s="87"/>
      <c r="THA1" s="87"/>
      <c r="THB1" s="87"/>
      <c r="THC1" s="87"/>
      <c r="THD1" s="87"/>
      <c r="THE1" s="87"/>
      <c r="THF1" s="87"/>
      <c r="THG1" s="87"/>
      <c r="THH1" s="87"/>
      <c r="THI1" s="87"/>
      <c r="THJ1" s="87"/>
      <c r="THK1" s="87"/>
      <c r="THL1" s="87"/>
      <c r="THM1" s="87"/>
      <c r="THN1" s="87"/>
      <c r="THO1" s="87"/>
      <c r="THP1" s="87"/>
      <c r="THQ1" s="87"/>
      <c r="THR1" s="87"/>
      <c r="THS1" s="87"/>
      <c r="THT1" s="87"/>
      <c r="THU1" s="87"/>
      <c r="THV1" s="87"/>
      <c r="THW1" s="87"/>
      <c r="THX1" s="87"/>
      <c r="THY1" s="87"/>
      <c r="THZ1" s="87"/>
      <c r="TIA1" s="87"/>
      <c r="TIB1" s="87"/>
      <c r="TIC1" s="87"/>
      <c r="TID1" s="87"/>
      <c r="TIE1" s="87"/>
      <c r="TIF1" s="87"/>
      <c r="TIG1" s="87"/>
      <c r="TIH1" s="87"/>
      <c r="TII1" s="87"/>
      <c r="TIJ1" s="87"/>
      <c r="TIK1" s="87"/>
      <c r="TIL1" s="87"/>
      <c r="TIM1" s="87"/>
      <c r="TIN1" s="87"/>
      <c r="TIO1" s="87"/>
      <c r="TIP1" s="87"/>
      <c r="TIQ1" s="87"/>
      <c r="TIR1" s="87"/>
      <c r="TIS1" s="87"/>
      <c r="TIT1" s="87"/>
      <c r="TIU1" s="87"/>
      <c r="TIV1" s="87"/>
      <c r="TIW1" s="87"/>
      <c r="TIX1" s="87"/>
      <c r="TIY1" s="87"/>
      <c r="TIZ1" s="87"/>
      <c r="TJA1" s="87"/>
      <c r="TJB1" s="87"/>
      <c r="TJC1" s="87"/>
      <c r="TJD1" s="87"/>
      <c r="TJE1" s="87"/>
      <c r="TJF1" s="87"/>
      <c r="TJG1" s="87"/>
      <c r="TJH1" s="87"/>
      <c r="TJI1" s="87"/>
      <c r="TJJ1" s="87"/>
      <c r="TJK1" s="87"/>
      <c r="TJL1" s="87"/>
      <c r="TJM1" s="87"/>
      <c r="TJN1" s="87"/>
      <c r="TJO1" s="87"/>
      <c r="TJP1" s="87"/>
      <c r="TJQ1" s="87"/>
      <c r="TJR1" s="87"/>
      <c r="TJS1" s="87"/>
      <c r="TJT1" s="87"/>
      <c r="TJU1" s="87"/>
      <c r="TJV1" s="87"/>
      <c r="TJW1" s="87"/>
      <c r="TJX1" s="87"/>
      <c r="TJY1" s="87"/>
      <c r="TJZ1" s="87"/>
      <c r="TKA1" s="87"/>
      <c r="TKB1" s="87"/>
      <c r="TKC1" s="87"/>
      <c r="TKD1" s="87"/>
      <c r="TKE1" s="87"/>
      <c r="TKF1" s="87"/>
      <c r="TKG1" s="87"/>
      <c r="TKH1" s="87"/>
      <c r="TKI1" s="87"/>
      <c r="TKJ1" s="87"/>
      <c r="TKK1" s="87"/>
      <c r="TKL1" s="87"/>
      <c r="TKM1" s="87"/>
      <c r="TKN1" s="87"/>
      <c r="TKO1" s="87"/>
      <c r="TKP1" s="87"/>
      <c r="TKQ1" s="87"/>
      <c r="TKR1" s="87"/>
      <c r="TKS1" s="87"/>
      <c r="TKT1" s="87"/>
      <c r="TKU1" s="87"/>
      <c r="TKV1" s="87"/>
      <c r="TKW1" s="87"/>
      <c r="TKX1" s="87"/>
      <c r="TKY1" s="87"/>
      <c r="TKZ1" s="87"/>
      <c r="TLA1" s="87"/>
      <c r="TLB1" s="87"/>
      <c r="TLC1" s="87"/>
      <c r="TLD1" s="87"/>
      <c r="TLE1" s="87"/>
      <c r="TLF1" s="87"/>
      <c r="TLG1" s="87"/>
      <c r="TLH1" s="87"/>
      <c r="TLI1" s="87"/>
      <c r="TLJ1" s="87"/>
      <c r="TLK1" s="87"/>
      <c r="TLL1" s="87"/>
      <c r="TLM1" s="87"/>
      <c r="TLN1" s="87"/>
      <c r="TLO1" s="87"/>
      <c r="TLP1" s="87"/>
      <c r="TLQ1" s="87"/>
      <c r="TLR1" s="87"/>
      <c r="TLS1" s="87"/>
      <c r="TLT1" s="87"/>
      <c r="TLU1" s="87"/>
      <c r="TLV1" s="87"/>
      <c r="TLW1" s="87"/>
      <c r="TLX1" s="87"/>
      <c r="TLY1" s="87"/>
      <c r="TLZ1" s="87"/>
      <c r="TMA1" s="87"/>
      <c r="TMB1" s="87"/>
      <c r="TMC1" s="87"/>
      <c r="TMD1" s="87"/>
      <c r="TME1" s="87"/>
      <c r="TMF1" s="87"/>
      <c r="TMG1" s="87"/>
      <c r="TMH1" s="87"/>
      <c r="TMI1" s="87"/>
      <c r="TMJ1" s="87"/>
      <c r="TMK1" s="87"/>
      <c r="TML1" s="87"/>
      <c r="TMM1" s="87"/>
      <c r="TMN1" s="87"/>
      <c r="TMO1" s="87"/>
      <c r="TMP1" s="87"/>
      <c r="TMQ1" s="87"/>
      <c r="TMR1" s="87"/>
      <c r="TMS1" s="87"/>
      <c r="TMT1" s="87"/>
      <c r="TMU1" s="87"/>
      <c r="TMV1" s="87"/>
      <c r="TMW1" s="87"/>
      <c r="TMX1" s="87"/>
      <c r="TMY1" s="87"/>
      <c r="TMZ1" s="87"/>
      <c r="TNA1" s="87"/>
      <c r="TNB1" s="87"/>
      <c r="TNC1" s="87"/>
      <c r="TND1" s="87"/>
      <c r="TNE1" s="87"/>
      <c r="TNF1" s="87"/>
      <c r="TNG1" s="87"/>
      <c r="TNH1" s="87"/>
      <c r="TNI1" s="87"/>
      <c r="TNJ1" s="87"/>
      <c r="TNK1" s="87"/>
      <c r="TNL1" s="87"/>
      <c r="TNM1" s="87"/>
      <c r="TNN1" s="87"/>
      <c r="TNO1" s="87"/>
      <c r="TNP1" s="87"/>
      <c r="TNQ1" s="87"/>
      <c r="TNR1" s="87"/>
      <c r="TNS1" s="87"/>
      <c r="TNT1" s="87"/>
      <c r="TNU1" s="87"/>
      <c r="TNV1" s="87"/>
      <c r="TNW1" s="87"/>
      <c r="TNX1" s="87"/>
      <c r="TNY1" s="87"/>
      <c r="TNZ1" s="87"/>
      <c r="TOA1" s="87"/>
      <c r="TOB1" s="87"/>
      <c r="TOC1" s="87"/>
      <c r="TOD1" s="87"/>
      <c r="TOE1" s="87"/>
      <c r="TOF1" s="87"/>
      <c r="TOG1" s="87"/>
      <c r="TOH1" s="87"/>
      <c r="TOI1" s="87"/>
      <c r="TOJ1" s="87"/>
      <c r="TOK1" s="87"/>
      <c r="TOL1" s="87"/>
      <c r="TOM1" s="87"/>
      <c r="TON1" s="87"/>
      <c r="TOO1" s="87"/>
      <c r="TOP1" s="87"/>
      <c r="TOQ1" s="87"/>
      <c r="TOR1" s="87"/>
      <c r="TOS1" s="87"/>
      <c r="TOT1" s="87"/>
      <c r="TOU1" s="87"/>
      <c r="TOV1" s="87"/>
      <c r="TOW1" s="87"/>
      <c r="TOX1" s="87"/>
      <c r="TOY1" s="87"/>
      <c r="TOZ1" s="87"/>
      <c r="TPA1" s="87"/>
      <c r="TPB1" s="87"/>
      <c r="TPC1" s="87"/>
      <c r="TPD1" s="87"/>
      <c r="TPE1" s="87"/>
      <c r="TPF1" s="87"/>
      <c r="TPG1" s="87"/>
      <c r="TPH1" s="87"/>
      <c r="TPI1" s="87"/>
      <c r="TPJ1" s="87"/>
      <c r="TPK1" s="87"/>
      <c r="TPL1" s="87"/>
      <c r="TPM1" s="87"/>
      <c r="TPN1" s="87"/>
      <c r="TPO1" s="87"/>
      <c r="TPP1" s="87"/>
      <c r="TPQ1" s="87"/>
      <c r="TPR1" s="87"/>
      <c r="TPS1" s="87"/>
      <c r="TPT1" s="87"/>
      <c r="TPU1" s="87"/>
      <c r="TPV1" s="87"/>
      <c r="TPW1" s="87"/>
      <c r="TPX1" s="87"/>
      <c r="TPY1" s="87"/>
      <c r="TPZ1" s="87"/>
      <c r="TQA1" s="87"/>
      <c r="TQB1" s="87"/>
      <c r="TQC1" s="87"/>
      <c r="TQD1" s="87"/>
      <c r="TQE1" s="87"/>
      <c r="TQF1" s="87"/>
      <c r="TQG1" s="87"/>
      <c r="TQH1" s="87"/>
      <c r="TQI1" s="87"/>
      <c r="TQJ1" s="87"/>
      <c r="TQK1" s="87"/>
      <c r="TQL1" s="87"/>
      <c r="TQM1" s="87"/>
      <c r="TQN1" s="87"/>
      <c r="TQO1" s="87"/>
      <c r="TQP1" s="87"/>
      <c r="TQQ1" s="87"/>
      <c r="TQR1" s="87"/>
      <c r="TQS1" s="87"/>
      <c r="TQT1" s="87"/>
      <c r="TQU1" s="87"/>
      <c r="TQV1" s="87"/>
      <c r="TQW1" s="87"/>
      <c r="TQX1" s="87"/>
      <c r="TQY1" s="87"/>
      <c r="TQZ1" s="87"/>
      <c r="TRA1" s="87"/>
      <c r="TRB1" s="87"/>
      <c r="TRC1" s="87"/>
      <c r="TRD1" s="87"/>
      <c r="TRE1" s="87"/>
      <c r="TRF1" s="87"/>
      <c r="TRG1" s="87"/>
      <c r="TRH1" s="87"/>
      <c r="TRI1" s="87"/>
      <c r="TRJ1" s="87"/>
      <c r="TRK1" s="87"/>
      <c r="TRL1" s="87"/>
      <c r="TRM1" s="87"/>
      <c r="TRN1" s="87"/>
      <c r="TRO1" s="87"/>
      <c r="TRP1" s="87"/>
      <c r="TRQ1" s="87"/>
      <c r="TRR1" s="87"/>
      <c r="TRS1" s="87"/>
      <c r="TRT1" s="87"/>
      <c r="TRU1" s="87"/>
      <c r="TRV1" s="87"/>
      <c r="TRW1" s="87"/>
      <c r="TRX1" s="87"/>
      <c r="TRY1" s="87"/>
      <c r="TRZ1" s="87"/>
      <c r="TSA1" s="87"/>
      <c r="TSB1" s="87"/>
      <c r="TSC1" s="87"/>
      <c r="TSD1" s="87"/>
      <c r="TSE1" s="87"/>
      <c r="TSF1" s="87"/>
      <c r="TSG1" s="87"/>
      <c r="TSH1" s="87"/>
      <c r="TSI1" s="87"/>
      <c r="TSJ1" s="87"/>
      <c r="TSK1" s="87"/>
      <c r="TSL1" s="87"/>
      <c r="TSM1" s="87"/>
      <c r="TSN1" s="87"/>
      <c r="TSO1" s="87"/>
      <c r="TSP1" s="87"/>
      <c r="TSQ1" s="87"/>
      <c r="TSR1" s="87"/>
      <c r="TSS1" s="87"/>
      <c r="TST1" s="87"/>
      <c r="TSU1" s="87"/>
      <c r="TSV1" s="87"/>
      <c r="TSW1" s="87"/>
      <c r="TSX1" s="87"/>
      <c r="TSY1" s="87"/>
      <c r="TSZ1" s="87"/>
      <c r="TTA1" s="87"/>
      <c r="TTB1" s="87"/>
      <c r="TTC1" s="87"/>
      <c r="TTD1" s="87"/>
      <c r="TTE1" s="87"/>
      <c r="TTF1" s="87"/>
      <c r="TTG1" s="87"/>
      <c r="TTH1" s="87"/>
      <c r="TTI1" s="87"/>
      <c r="TTJ1" s="87"/>
      <c r="TTK1" s="87"/>
      <c r="TTL1" s="87"/>
      <c r="TTM1" s="87"/>
      <c r="TTN1" s="87"/>
      <c r="TTO1" s="87"/>
      <c r="TTP1" s="87"/>
      <c r="TTQ1" s="87"/>
      <c r="TTR1" s="87"/>
      <c r="TTS1" s="87"/>
      <c r="TTT1" s="87"/>
      <c r="TTU1" s="87"/>
      <c r="TTV1" s="87"/>
      <c r="TTW1" s="87"/>
      <c r="TTX1" s="87"/>
      <c r="TTY1" s="87"/>
      <c r="TTZ1" s="87"/>
      <c r="TUA1" s="87"/>
      <c r="TUB1" s="87"/>
      <c r="TUC1" s="87"/>
      <c r="TUD1" s="87"/>
      <c r="TUE1" s="87"/>
      <c r="TUF1" s="87"/>
      <c r="TUG1" s="87"/>
      <c r="TUH1" s="87"/>
      <c r="TUI1" s="87"/>
      <c r="TUJ1" s="87"/>
      <c r="TUK1" s="87"/>
      <c r="TUL1" s="87"/>
      <c r="TUM1" s="87"/>
      <c r="TUN1" s="87"/>
      <c r="TUO1" s="87"/>
      <c r="TUP1" s="87"/>
      <c r="TUQ1" s="87"/>
      <c r="TUR1" s="87"/>
      <c r="TUS1" s="87"/>
      <c r="TUT1" s="87"/>
      <c r="TUU1" s="87"/>
      <c r="TUV1" s="87"/>
      <c r="TUW1" s="87"/>
      <c r="TUX1" s="87"/>
      <c r="TUY1" s="87"/>
      <c r="TUZ1" s="87"/>
      <c r="TVA1" s="87"/>
      <c r="TVB1" s="87"/>
      <c r="TVC1" s="87"/>
      <c r="TVD1" s="87"/>
      <c r="TVE1" s="87"/>
      <c r="TVF1" s="87"/>
      <c r="TVG1" s="87"/>
      <c r="TVH1" s="87"/>
      <c r="TVI1" s="87"/>
      <c r="TVJ1" s="87"/>
      <c r="TVK1" s="87"/>
      <c r="TVL1" s="87"/>
      <c r="TVM1" s="87"/>
      <c r="TVN1" s="87"/>
      <c r="TVO1" s="87"/>
      <c r="TVP1" s="87"/>
      <c r="TVQ1" s="87"/>
      <c r="TVR1" s="87"/>
      <c r="TVS1" s="87"/>
      <c r="TVT1" s="87"/>
      <c r="TVU1" s="87"/>
      <c r="TVV1" s="87"/>
      <c r="TVW1" s="87"/>
      <c r="TVX1" s="87"/>
      <c r="TVY1" s="87"/>
      <c r="TVZ1" s="87"/>
      <c r="TWA1" s="87"/>
      <c r="TWB1" s="87"/>
      <c r="TWC1" s="87"/>
      <c r="TWD1" s="87"/>
      <c r="TWE1" s="87"/>
      <c r="TWF1" s="87"/>
      <c r="TWG1" s="87"/>
      <c r="TWH1" s="87"/>
      <c r="TWI1" s="87"/>
      <c r="TWJ1" s="87"/>
      <c r="TWK1" s="87"/>
      <c r="TWL1" s="87"/>
      <c r="TWM1" s="87"/>
      <c r="TWN1" s="87"/>
      <c r="TWO1" s="87"/>
      <c r="TWP1" s="87"/>
      <c r="TWQ1" s="87"/>
      <c r="TWR1" s="87"/>
      <c r="TWS1" s="87"/>
      <c r="TWT1" s="87"/>
      <c r="TWU1" s="87"/>
      <c r="TWV1" s="87"/>
      <c r="TWW1" s="87"/>
      <c r="TWX1" s="87"/>
      <c r="TWY1" s="87"/>
      <c r="TWZ1" s="87"/>
      <c r="TXA1" s="87"/>
      <c r="TXB1" s="87"/>
      <c r="TXC1" s="87"/>
      <c r="TXD1" s="87"/>
      <c r="TXE1" s="87"/>
      <c r="TXF1" s="87"/>
      <c r="TXG1" s="87"/>
      <c r="TXH1" s="87"/>
      <c r="TXI1" s="87"/>
      <c r="TXJ1" s="87"/>
      <c r="TXK1" s="87"/>
      <c r="TXL1" s="87"/>
      <c r="TXM1" s="87"/>
      <c r="TXN1" s="87"/>
      <c r="TXO1" s="87"/>
      <c r="TXP1" s="87"/>
      <c r="TXQ1" s="87"/>
      <c r="TXR1" s="87"/>
      <c r="TXS1" s="87"/>
      <c r="TXT1" s="87"/>
      <c r="TXU1" s="87"/>
      <c r="TXV1" s="87"/>
      <c r="TXW1" s="87"/>
      <c r="TXX1" s="87"/>
      <c r="TXY1" s="87"/>
      <c r="TXZ1" s="87"/>
      <c r="TYA1" s="87"/>
      <c r="TYB1" s="87"/>
      <c r="TYC1" s="87"/>
      <c r="TYD1" s="87"/>
      <c r="TYE1" s="87"/>
      <c r="TYF1" s="87"/>
      <c r="TYG1" s="87"/>
      <c r="TYH1" s="87"/>
      <c r="TYI1" s="87"/>
      <c r="TYJ1" s="87"/>
      <c r="TYK1" s="87"/>
      <c r="TYL1" s="87"/>
      <c r="TYM1" s="87"/>
      <c r="TYN1" s="87"/>
      <c r="TYO1" s="87"/>
      <c r="TYP1" s="87"/>
      <c r="TYQ1" s="87"/>
      <c r="TYR1" s="87"/>
      <c r="TYS1" s="87"/>
      <c r="TYT1" s="87"/>
      <c r="TYU1" s="87"/>
      <c r="TYV1" s="87"/>
      <c r="TYW1" s="87"/>
      <c r="TYX1" s="87"/>
      <c r="TYY1" s="87"/>
      <c r="TYZ1" s="87"/>
      <c r="TZA1" s="87"/>
      <c r="TZB1" s="87"/>
      <c r="TZC1" s="87"/>
      <c r="TZD1" s="87"/>
      <c r="TZE1" s="87"/>
      <c r="TZF1" s="87"/>
      <c r="TZG1" s="87"/>
      <c r="TZH1" s="87"/>
      <c r="TZI1" s="87"/>
      <c r="TZJ1" s="87"/>
      <c r="TZK1" s="87"/>
      <c r="TZL1" s="87"/>
      <c r="TZM1" s="87"/>
      <c r="TZN1" s="87"/>
      <c r="TZO1" s="87"/>
      <c r="TZP1" s="87"/>
      <c r="TZQ1" s="87"/>
      <c r="TZR1" s="87"/>
      <c r="TZS1" s="87"/>
      <c r="TZT1" s="87"/>
      <c r="TZU1" s="87"/>
      <c r="TZV1" s="87"/>
      <c r="TZW1" s="87"/>
      <c r="TZX1" s="87"/>
      <c r="TZY1" s="87"/>
      <c r="TZZ1" s="87"/>
      <c r="UAA1" s="87"/>
      <c r="UAB1" s="87"/>
      <c r="UAC1" s="87"/>
      <c r="UAD1" s="87"/>
      <c r="UAE1" s="87"/>
      <c r="UAF1" s="87"/>
      <c r="UAG1" s="87"/>
      <c r="UAH1" s="87"/>
      <c r="UAI1" s="87"/>
      <c r="UAJ1" s="87"/>
      <c r="UAK1" s="87"/>
      <c r="UAL1" s="87"/>
      <c r="UAM1" s="87"/>
      <c r="UAN1" s="87"/>
      <c r="UAO1" s="87"/>
      <c r="UAP1" s="87"/>
      <c r="UAQ1" s="87"/>
      <c r="UAR1" s="87"/>
      <c r="UAS1" s="87"/>
      <c r="UAT1" s="87"/>
      <c r="UAU1" s="87"/>
      <c r="UAV1" s="87"/>
      <c r="UAW1" s="87"/>
      <c r="UAX1" s="87"/>
      <c r="UAY1" s="87"/>
      <c r="UAZ1" s="87"/>
      <c r="UBA1" s="87"/>
      <c r="UBB1" s="87"/>
      <c r="UBC1" s="87"/>
      <c r="UBD1" s="87"/>
      <c r="UBE1" s="87"/>
      <c r="UBF1" s="87"/>
      <c r="UBG1" s="87"/>
      <c r="UBH1" s="87"/>
      <c r="UBI1" s="87"/>
      <c r="UBJ1" s="87"/>
      <c r="UBK1" s="87"/>
      <c r="UBL1" s="87"/>
      <c r="UBM1" s="87"/>
      <c r="UBN1" s="87"/>
      <c r="UBO1" s="87"/>
      <c r="UBP1" s="87"/>
      <c r="UBQ1" s="87"/>
      <c r="UBR1" s="87"/>
      <c r="UBS1" s="87"/>
      <c r="UBT1" s="87"/>
      <c r="UBU1" s="87"/>
      <c r="UBV1" s="87"/>
      <c r="UBW1" s="87"/>
      <c r="UBX1" s="87"/>
      <c r="UBY1" s="87"/>
      <c r="UBZ1" s="87"/>
      <c r="UCA1" s="87"/>
      <c r="UCB1" s="87"/>
      <c r="UCC1" s="87"/>
      <c r="UCD1" s="87"/>
      <c r="UCE1" s="87"/>
      <c r="UCF1" s="87"/>
      <c r="UCG1" s="87"/>
      <c r="UCH1" s="87"/>
      <c r="UCI1" s="87"/>
      <c r="UCJ1" s="87"/>
      <c r="UCK1" s="87"/>
      <c r="UCL1" s="87"/>
      <c r="UCM1" s="87"/>
      <c r="UCN1" s="87"/>
      <c r="UCO1" s="87"/>
      <c r="UCP1" s="87"/>
      <c r="UCQ1" s="87"/>
      <c r="UCR1" s="87"/>
      <c r="UCS1" s="87"/>
      <c r="UCT1" s="87"/>
      <c r="UCU1" s="87"/>
      <c r="UCV1" s="87"/>
      <c r="UCW1" s="87"/>
      <c r="UCX1" s="87"/>
      <c r="UCY1" s="87"/>
      <c r="UCZ1" s="87"/>
      <c r="UDA1" s="87"/>
      <c r="UDB1" s="87"/>
      <c r="UDC1" s="87"/>
      <c r="UDD1" s="87"/>
      <c r="UDE1" s="87"/>
      <c r="UDF1" s="87"/>
      <c r="UDG1" s="87"/>
      <c r="UDH1" s="87"/>
      <c r="UDI1" s="87"/>
      <c r="UDJ1" s="87"/>
      <c r="UDK1" s="87"/>
      <c r="UDL1" s="87"/>
      <c r="UDM1" s="87"/>
      <c r="UDN1" s="87"/>
      <c r="UDO1" s="87"/>
      <c r="UDP1" s="87"/>
      <c r="UDQ1" s="87"/>
      <c r="UDR1" s="87"/>
      <c r="UDS1" s="87"/>
      <c r="UDT1" s="87"/>
      <c r="UDU1" s="87"/>
      <c r="UDV1" s="87"/>
      <c r="UDW1" s="87"/>
      <c r="UDX1" s="87"/>
      <c r="UDY1" s="87"/>
      <c r="UDZ1" s="87"/>
      <c r="UEA1" s="87"/>
      <c r="UEB1" s="87"/>
      <c r="UEC1" s="87"/>
      <c r="UED1" s="87"/>
      <c r="UEE1" s="87"/>
      <c r="UEF1" s="87"/>
      <c r="UEG1" s="87"/>
      <c r="UEH1" s="87"/>
      <c r="UEI1" s="87"/>
      <c r="UEJ1" s="87"/>
      <c r="UEK1" s="87"/>
      <c r="UEL1" s="87"/>
      <c r="UEM1" s="87"/>
      <c r="UEN1" s="87"/>
      <c r="UEO1" s="87"/>
      <c r="UEP1" s="87"/>
      <c r="UEQ1" s="87"/>
      <c r="UER1" s="87"/>
      <c r="UES1" s="87"/>
      <c r="UET1" s="87"/>
      <c r="UEU1" s="87"/>
      <c r="UEV1" s="87"/>
      <c r="UEW1" s="87"/>
      <c r="UEX1" s="87"/>
      <c r="UEY1" s="87"/>
      <c r="UEZ1" s="87"/>
      <c r="UFA1" s="87"/>
      <c r="UFB1" s="87"/>
      <c r="UFC1" s="87"/>
      <c r="UFD1" s="87"/>
      <c r="UFE1" s="87"/>
      <c r="UFF1" s="87"/>
      <c r="UFG1" s="87"/>
      <c r="UFH1" s="87"/>
      <c r="UFI1" s="87"/>
      <c r="UFJ1" s="87"/>
      <c r="UFK1" s="87"/>
      <c r="UFL1" s="87"/>
      <c r="UFM1" s="87"/>
      <c r="UFN1" s="87"/>
      <c r="UFO1" s="87"/>
      <c r="UFP1" s="87"/>
      <c r="UFQ1" s="87"/>
      <c r="UFR1" s="87"/>
      <c r="UFS1" s="87"/>
      <c r="UFT1" s="87"/>
      <c r="UFU1" s="87"/>
      <c r="UFV1" s="87"/>
      <c r="UFW1" s="87"/>
      <c r="UFX1" s="87"/>
      <c r="UFY1" s="87"/>
      <c r="UFZ1" s="87"/>
      <c r="UGA1" s="87"/>
      <c r="UGB1" s="87"/>
      <c r="UGC1" s="87"/>
      <c r="UGD1" s="87"/>
      <c r="UGE1" s="87"/>
      <c r="UGF1" s="87"/>
      <c r="UGG1" s="87"/>
      <c r="UGH1" s="87"/>
      <c r="UGI1" s="87"/>
      <c r="UGJ1" s="87"/>
      <c r="UGK1" s="87"/>
      <c r="UGL1" s="87"/>
      <c r="UGM1" s="87"/>
      <c r="UGN1" s="87"/>
      <c r="UGO1" s="87"/>
      <c r="UGP1" s="87"/>
      <c r="UGQ1" s="87"/>
      <c r="UGR1" s="87"/>
      <c r="UGS1" s="87"/>
      <c r="UGT1" s="87"/>
      <c r="UGU1" s="87"/>
      <c r="UGV1" s="87"/>
      <c r="UGW1" s="87"/>
      <c r="UGX1" s="87"/>
      <c r="UGY1" s="87"/>
      <c r="UGZ1" s="87"/>
      <c r="UHA1" s="87"/>
      <c r="UHB1" s="87"/>
      <c r="UHC1" s="87"/>
      <c r="UHD1" s="87"/>
      <c r="UHE1" s="87"/>
      <c r="UHF1" s="87"/>
      <c r="UHG1" s="87"/>
      <c r="UHH1" s="87"/>
      <c r="UHI1" s="87"/>
      <c r="UHJ1" s="87"/>
      <c r="UHK1" s="87"/>
      <c r="UHL1" s="87"/>
      <c r="UHM1" s="87"/>
      <c r="UHN1" s="87"/>
      <c r="UHO1" s="87"/>
      <c r="UHP1" s="87"/>
      <c r="UHQ1" s="87"/>
      <c r="UHR1" s="87"/>
      <c r="UHS1" s="87"/>
      <c r="UHT1" s="87"/>
      <c r="UHU1" s="87"/>
      <c r="UHV1" s="87"/>
      <c r="UHW1" s="87"/>
      <c r="UHX1" s="87"/>
      <c r="UHY1" s="87"/>
      <c r="UHZ1" s="87"/>
      <c r="UIA1" s="87"/>
      <c r="UIB1" s="87"/>
      <c r="UIC1" s="87"/>
      <c r="UID1" s="87"/>
      <c r="UIE1" s="87"/>
      <c r="UIF1" s="87"/>
      <c r="UIG1" s="87"/>
      <c r="UIH1" s="87"/>
      <c r="UII1" s="87"/>
      <c r="UIJ1" s="87"/>
      <c r="UIK1" s="87"/>
      <c r="UIL1" s="87"/>
      <c r="UIM1" s="87"/>
      <c r="UIN1" s="87"/>
      <c r="UIO1" s="87"/>
      <c r="UIP1" s="87"/>
      <c r="UIQ1" s="87"/>
      <c r="UIR1" s="87"/>
      <c r="UIS1" s="87"/>
      <c r="UIT1" s="87"/>
      <c r="UIU1" s="87"/>
      <c r="UIV1" s="87"/>
      <c r="UIW1" s="87"/>
      <c r="UIX1" s="87"/>
      <c r="UIY1" s="87"/>
      <c r="UIZ1" s="87"/>
      <c r="UJA1" s="87"/>
      <c r="UJB1" s="87"/>
      <c r="UJC1" s="87"/>
      <c r="UJD1" s="87"/>
      <c r="UJE1" s="87"/>
      <c r="UJF1" s="87"/>
      <c r="UJG1" s="87"/>
      <c r="UJH1" s="87"/>
      <c r="UJI1" s="87"/>
      <c r="UJJ1" s="87"/>
      <c r="UJK1" s="87"/>
      <c r="UJL1" s="87"/>
      <c r="UJM1" s="87"/>
      <c r="UJN1" s="87"/>
      <c r="UJO1" s="87"/>
      <c r="UJP1" s="87"/>
      <c r="UJQ1" s="87"/>
      <c r="UJR1" s="87"/>
      <c r="UJS1" s="87"/>
      <c r="UJT1" s="87"/>
      <c r="UJU1" s="87"/>
      <c r="UJV1" s="87"/>
      <c r="UJW1" s="87"/>
      <c r="UJX1" s="87"/>
      <c r="UJY1" s="87"/>
      <c r="UJZ1" s="87"/>
      <c r="UKA1" s="87"/>
      <c r="UKB1" s="87"/>
      <c r="UKC1" s="87"/>
      <c r="UKD1" s="87"/>
      <c r="UKE1" s="87"/>
      <c r="UKF1" s="87"/>
      <c r="UKG1" s="87"/>
      <c r="UKH1" s="87"/>
      <c r="UKI1" s="87"/>
      <c r="UKJ1" s="87"/>
      <c r="UKK1" s="87"/>
      <c r="UKL1" s="87"/>
      <c r="UKM1" s="87"/>
      <c r="UKN1" s="87"/>
      <c r="UKO1" s="87"/>
      <c r="UKP1" s="87"/>
      <c r="UKQ1" s="87"/>
      <c r="UKR1" s="87"/>
      <c r="UKS1" s="87"/>
      <c r="UKT1" s="87"/>
      <c r="UKU1" s="87"/>
      <c r="UKV1" s="87"/>
      <c r="UKW1" s="87"/>
      <c r="UKX1" s="87"/>
      <c r="UKY1" s="87"/>
      <c r="UKZ1" s="87"/>
      <c r="ULA1" s="87"/>
      <c r="ULB1" s="87"/>
      <c r="ULC1" s="87"/>
      <c r="ULD1" s="87"/>
      <c r="ULE1" s="87"/>
      <c r="ULF1" s="87"/>
      <c r="ULG1" s="87"/>
      <c r="ULH1" s="87"/>
      <c r="ULI1" s="87"/>
      <c r="ULJ1" s="87"/>
      <c r="ULK1" s="87"/>
      <c r="ULL1" s="87"/>
      <c r="ULM1" s="87"/>
      <c r="ULN1" s="87"/>
      <c r="ULO1" s="87"/>
      <c r="ULP1" s="87"/>
      <c r="ULQ1" s="87"/>
      <c r="ULR1" s="87"/>
      <c r="ULS1" s="87"/>
      <c r="ULT1" s="87"/>
      <c r="ULU1" s="87"/>
      <c r="ULV1" s="87"/>
      <c r="ULW1" s="87"/>
      <c r="ULX1" s="87"/>
      <c r="ULY1" s="87"/>
      <c r="ULZ1" s="87"/>
      <c r="UMA1" s="87"/>
      <c r="UMB1" s="87"/>
      <c r="UMC1" s="87"/>
      <c r="UMD1" s="87"/>
      <c r="UME1" s="87"/>
      <c r="UMF1" s="87"/>
      <c r="UMG1" s="87"/>
      <c r="UMH1" s="87"/>
      <c r="UMI1" s="87"/>
      <c r="UMJ1" s="87"/>
      <c r="UMK1" s="87"/>
      <c r="UML1" s="87"/>
      <c r="UMM1" s="87"/>
      <c r="UMN1" s="87"/>
      <c r="UMO1" s="87"/>
      <c r="UMP1" s="87"/>
      <c r="UMQ1" s="87"/>
      <c r="UMR1" s="87"/>
      <c r="UMS1" s="87"/>
      <c r="UMT1" s="87"/>
      <c r="UMU1" s="87"/>
      <c r="UMV1" s="87"/>
      <c r="UMW1" s="87"/>
      <c r="UMX1" s="87"/>
      <c r="UMY1" s="87"/>
      <c r="UMZ1" s="87"/>
      <c r="UNA1" s="87"/>
      <c r="UNB1" s="87"/>
      <c r="UNC1" s="87"/>
      <c r="UND1" s="87"/>
      <c r="UNE1" s="87"/>
      <c r="UNF1" s="87"/>
      <c r="UNG1" s="87"/>
      <c r="UNH1" s="87"/>
      <c r="UNI1" s="87"/>
      <c r="UNJ1" s="87"/>
      <c r="UNK1" s="87"/>
      <c r="UNL1" s="87"/>
      <c r="UNM1" s="87"/>
      <c r="UNN1" s="87"/>
      <c r="UNO1" s="87"/>
      <c r="UNP1" s="87"/>
      <c r="UNQ1" s="87"/>
      <c r="UNR1" s="87"/>
      <c r="UNS1" s="87"/>
      <c r="UNT1" s="87"/>
      <c r="UNU1" s="87"/>
      <c r="UNV1" s="87"/>
      <c r="UNW1" s="87"/>
      <c r="UNX1" s="87"/>
      <c r="UNY1" s="87"/>
      <c r="UNZ1" s="87"/>
      <c r="UOA1" s="87"/>
      <c r="UOB1" s="87"/>
      <c r="UOC1" s="87"/>
      <c r="UOD1" s="87"/>
      <c r="UOE1" s="87"/>
      <c r="UOF1" s="87"/>
      <c r="UOG1" s="87"/>
      <c r="UOH1" s="87"/>
      <c r="UOI1" s="87"/>
      <c r="UOJ1" s="87"/>
      <c r="UOK1" s="87"/>
      <c r="UOL1" s="87"/>
      <c r="UOM1" s="87"/>
      <c r="UON1" s="87"/>
      <c r="UOO1" s="87"/>
      <c r="UOP1" s="87"/>
      <c r="UOQ1" s="87"/>
      <c r="UOR1" s="87"/>
      <c r="UOS1" s="87"/>
      <c r="UOT1" s="87"/>
      <c r="UOU1" s="87"/>
      <c r="UOV1" s="87"/>
      <c r="UOW1" s="87"/>
      <c r="UOX1" s="87"/>
      <c r="UOY1" s="87"/>
      <c r="UOZ1" s="87"/>
      <c r="UPA1" s="87"/>
      <c r="UPB1" s="87"/>
      <c r="UPC1" s="87"/>
      <c r="UPD1" s="87"/>
      <c r="UPE1" s="87"/>
      <c r="UPF1" s="87"/>
      <c r="UPG1" s="87"/>
      <c r="UPH1" s="87"/>
      <c r="UPI1" s="87"/>
      <c r="UPJ1" s="87"/>
      <c r="UPK1" s="87"/>
      <c r="UPL1" s="87"/>
      <c r="UPM1" s="87"/>
      <c r="UPN1" s="87"/>
      <c r="UPO1" s="87"/>
      <c r="UPP1" s="87"/>
      <c r="UPQ1" s="87"/>
      <c r="UPR1" s="87"/>
      <c r="UPS1" s="87"/>
      <c r="UPT1" s="87"/>
      <c r="UPU1" s="87"/>
      <c r="UPV1" s="87"/>
      <c r="UPW1" s="87"/>
      <c r="UPX1" s="87"/>
      <c r="UPY1" s="87"/>
      <c r="UPZ1" s="87"/>
      <c r="UQA1" s="87"/>
      <c r="UQB1" s="87"/>
      <c r="UQC1" s="87"/>
      <c r="UQD1" s="87"/>
      <c r="UQE1" s="87"/>
      <c r="UQF1" s="87"/>
      <c r="UQG1" s="87"/>
      <c r="UQH1" s="87"/>
      <c r="UQI1" s="87"/>
      <c r="UQJ1" s="87"/>
      <c r="UQK1" s="87"/>
      <c r="UQL1" s="87"/>
      <c r="UQM1" s="87"/>
      <c r="UQN1" s="87"/>
      <c r="UQO1" s="87"/>
      <c r="UQP1" s="87"/>
      <c r="UQQ1" s="87"/>
      <c r="UQR1" s="87"/>
      <c r="UQS1" s="87"/>
      <c r="UQT1" s="87"/>
      <c r="UQU1" s="87"/>
      <c r="UQV1" s="87"/>
      <c r="UQW1" s="87"/>
      <c r="UQX1" s="87"/>
      <c r="UQY1" s="87"/>
      <c r="UQZ1" s="87"/>
      <c r="URA1" s="87"/>
      <c r="URB1" s="87"/>
      <c r="URC1" s="87"/>
      <c r="URD1" s="87"/>
      <c r="URE1" s="87"/>
      <c r="URF1" s="87"/>
      <c r="URG1" s="87"/>
      <c r="URH1" s="87"/>
      <c r="URI1" s="87"/>
      <c r="URJ1" s="87"/>
      <c r="URK1" s="87"/>
      <c r="URL1" s="87"/>
      <c r="URM1" s="87"/>
      <c r="URN1" s="87"/>
      <c r="URO1" s="87"/>
      <c r="URP1" s="87"/>
      <c r="URQ1" s="87"/>
      <c r="URR1" s="87"/>
      <c r="URS1" s="87"/>
      <c r="URT1" s="87"/>
      <c r="URU1" s="87"/>
      <c r="URV1" s="87"/>
      <c r="URW1" s="87"/>
      <c r="URX1" s="87"/>
      <c r="URY1" s="87"/>
      <c r="URZ1" s="87"/>
      <c r="USA1" s="87"/>
      <c r="USB1" s="87"/>
      <c r="USC1" s="87"/>
      <c r="USD1" s="87"/>
      <c r="USE1" s="87"/>
      <c r="USF1" s="87"/>
      <c r="USG1" s="87"/>
      <c r="USH1" s="87"/>
      <c r="USI1" s="87"/>
      <c r="USJ1" s="87"/>
      <c r="USK1" s="87"/>
      <c r="USL1" s="87"/>
      <c r="USM1" s="87"/>
      <c r="USN1" s="87"/>
      <c r="USO1" s="87"/>
      <c r="USP1" s="87"/>
      <c r="USQ1" s="87"/>
      <c r="USR1" s="87"/>
      <c r="USS1" s="87"/>
      <c r="UST1" s="87"/>
      <c r="USU1" s="87"/>
      <c r="USV1" s="87"/>
      <c r="USW1" s="87"/>
      <c r="USX1" s="87"/>
      <c r="USY1" s="87"/>
      <c r="USZ1" s="87"/>
      <c r="UTA1" s="87"/>
      <c r="UTB1" s="87"/>
      <c r="UTC1" s="87"/>
      <c r="UTD1" s="87"/>
      <c r="UTE1" s="87"/>
      <c r="UTF1" s="87"/>
      <c r="UTG1" s="87"/>
      <c r="UTH1" s="87"/>
      <c r="UTI1" s="87"/>
      <c r="UTJ1" s="87"/>
      <c r="UTK1" s="87"/>
      <c r="UTL1" s="87"/>
      <c r="UTM1" s="87"/>
      <c r="UTN1" s="87"/>
      <c r="UTO1" s="87"/>
      <c r="UTP1" s="87"/>
      <c r="UTQ1" s="87"/>
      <c r="UTR1" s="87"/>
      <c r="UTS1" s="87"/>
      <c r="UTT1" s="87"/>
      <c r="UTU1" s="87"/>
      <c r="UTV1" s="87"/>
      <c r="UTW1" s="87"/>
      <c r="UTX1" s="87"/>
      <c r="UTY1" s="87"/>
      <c r="UTZ1" s="87"/>
      <c r="UUA1" s="87"/>
      <c r="UUB1" s="87"/>
      <c r="UUC1" s="87"/>
      <c r="UUD1" s="87"/>
      <c r="UUE1" s="87"/>
      <c r="UUF1" s="87"/>
      <c r="UUG1" s="87"/>
      <c r="UUH1" s="87"/>
      <c r="UUI1" s="87"/>
      <c r="UUJ1" s="87"/>
      <c r="UUK1" s="87"/>
      <c r="UUL1" s="87"/>
      <c r="UUM1" s="87"/>
      <c r="UUN1" s="87"/>
      <c r="UUO1" s="87"/>
      <c r="UUP1" s="87"/>
      <c r="UUQ1" s="87"/>
      <c r="UUR1" s="87"/>
      <c r="UUS1" s="87"/>
      <c r="UUT1" s="87"/>
      <c r="UUU1" s="87"/>
      <c r="UUV1" s="87"/>
      <c r="UUW1" s="87"/>
      <c r="UUX1" s="87"/>
      <c r="UUY1" s="87"/>
      <c r="UUZ1" s="87"/>
      <c r="UVA1" s="87"/>
      <c r="UVB1" s="87"/>
      <c r="UVC1" s="87"/>
      <c r="UVD1" s="87"/>
      <c r="UVE1" s="87"/>
      <c r="UVF1" s="87"/>
      <c r="UVG1" s="87"/>
      <c r="UVH1" s="87"/>
      <c r="UVI1" s="87"/>
      <c r="UVJ1" s="87"/>
      <c r="UVK1" s="87"/>
      <c r="UVL1" s="87"/>
      <c r="UVM1" s="87"/>
      <c r="UVN1" s="87"/>
      <c r="UVO1" s="87"/>
      <c r="UVP1" s="87"/>
      <c r="UVQ1" s="87"/>
      <c r="UVR1" s="87"/>
      <c r="UVS1" s="87"/>
      <c r="UVT1" s="87"/>
      <c r="UVU1" s="87"/>
      <c r="UVV1" s="87"/>
      <c r="UVW1" s="87"/>
      <c r="UVX1" s="87"/>
      <c r="UVY1" s="87"/>
      <c r="UVZ1" s="87"/>
      <c r="UWA1" s="87"/>
      <c r="UWB1" s="87"/>
      <c r="UWC1" s="87"/>
      <c r="UWD1" s="87"/>
      <c r="UWE1" s="87"/>
      <c r="UWF1" s="87"/>
      <c r="UWG1" s="87"/>
      <c r="UWH1" s="87"/>
      <c r="UWI1" s="87"/>
      <c r="UWJ1" s="87"/>
      <c r="UWK1" s="87"/>
      <c r="UWL1" s="87"/>
      <c r="UWM1" s="87"/>
      <c r="UWN1" s="87"/>
      <c r="UWO1" s="87"/>
      <c r="UWP1" s="87"/>
      <c r="UWQ1" s="87"/>
      <c r="UWR1" s="87"/>
      <c r="UWS1" s="87"/>
      <c r="UWT1" s="87"/>
      <c r="UWU1" s="87"/>
      <c r="UWV1" s="87"/>
      <c r="UWW1" s="87"/>
      <c r="UWX1" s="87"/>
      <c r="UWY1" s="87"/>
      <c r="UWZ1" s="87"/>
      <c r="UXA1" s="87"/>
      <c r="UXB1" s="87"/>
      <c r="UXC1" s="87"/>
      <c r="UXD1" s="87"/>
      <c r="UXE1" s="87"/>
      <c r="UXF1" s="87"/>
      <c r="UXG1" s="87"/>
      <c r="UXH1" s="87"/>
      <c r="UXI1" s="87"/>
      <c r="UXJ1" s="87"/>
      <c r="UXK1" s="87"/>
      <c r="UXL1" s="87"/>
      <c r="UXM1" s="87"/>
      <c r="UXN1" s="87"/>
      <c r="UXO1" s="87"/>
      <c r="UXP1" s="87"/>
      <c r="UXQ1" s="87"/>
      <c r="UXR1" s="87"/>
      <c r="UXS1" s="87"/>
      <c r="UXT1" s="87"/>
      <c r="UXU1" s="87"/>
      <c r="UXV1" s="87"/>
      <c r="UXW1" s="87"/>
      <c r="UXX1" s="87"/>
      <c r="UXY1" s="87"/>
      <c r="UXZ1" s="87"/>
      <c r="UYA1" s="87"/>
      <c r="UYB1" s="87"/>
      <c r="UYC1" s="87"/>
      <c r="UYD1" s="87"/>
      <c r="UYE1" s="87"/>
      <c r="UYF1" s="87"/>
      <c r="UYG1" s="87"/>
      <c r="UYH1" s="87"/>
      <c r="UYI1" s="87"/>
      <c r="UYJ1" s="87"/>
      <c r="UYK1" s="87"/>
      <c r="UYL1" s="87"/>
      <c r="UYM1" s="87"/>
      <c r="UYN1" s="87"/>
      <c r="UYO1" s="87"/>
      <c r="UYP1" s="87"/>
      <c r="UYQ1" s="87"/>
      <c r="UYR1" s="87"/>
      <c r="UYS1" s="87"/>
      <c r="UYT1" s="87"/>
      <c r="UYU1" s="87"/>
      <c r="UYV1" s="87"/>
      <c r="UYW1" s="87"/>
      <c r="UYX1" s="87"/>
      <c r="UYY1" s="87"/>
      <c r="UYZ1" s="87"/>
      <c r="UZA1" s="87"/>
      <c r="UZB1" s="87"/>
      <c r="UZC1" s="87"/>
      <c r="UZD1" s="87"/>
      <c r="UZE1" s="87"/>
      <c r="UZF1" s="87"/>
      <c r="UZG1" s="87"/>
      <c r="UZH1" s="87"/>
      <c r="UZI1" s="87"/>
      <c r="UZJ1" s="87"/>
      <c r="UZK1" s="87"/>
      <c r="UZL1" s="87"/>
      <c r="UZM1" s="87"/>
      <c r="UZN1" s="87"/>
      <c r="UZO1" s="87"/>
      <c r="UZP1" s="87"/>
      <c r="UZQ1" s="87"/>
      <c r="UZR1" s="87"/>
      <c r="UZS1" s="87"/>
      <c r="UZT1" s="87"/>
      <c r="UZU1" s="87"/>
      <c r="UZV1" s="87"/>
      <c r="UZW1" s="87"/>
      <c r="UZX1" s="87"/>
      <c r="UZY1" s="87"/>
      <c r="UZZ1" s="87"/>
      <c r="VAA1" s="87"/>
      <c r="VAB1" s="87"/>
      <c r="VAC1" s="87"/>
      <c r="VAD1" s="87"/>
      <c r="VAE1" s="87"/>
      <c r="VAF1" s="87"/>
      <c r="VAG1" s="87"/>
      <c r="VAH1" s="87"/>
      <c r="VAI1" s="87"/>
      <c r="VAJ1" s="87"/>
      <c r="VAK1" s="87"/>
      <c r="VAL1" s="87"/>
      <c r="VAM1" s="87"/>
      <c r="VAN1" s="87"/>
      <c r="VAO1" s="87"/>
      <c r="VAP1" s="87"/>
      <c r="VAQ1" s="87"/>
      <c r="VAR1" s="87"/>
      <c r="VAS1" s="87"/>
      <c r="VAT1" s="87"/>
      <c r="VAU1" s="87"/>
      <c r="VAV1" s="87"/>
      <c r="VAW1" s="87"/>
      <c r="VAX1" s="87"/>
      <c r="VAY1" s="87"/>
      <c r="VAZ1" s="87"/>
      <c r="VBA1" s="87"/>
      <c r="VBB1" s="87"/>
      <c r="VBC1" s="87"/>
      <c r="VBD1" s="87"/>
      <c r="VBE1" s="87"/>
      <c r="VBF1" s="87"/>
      <c r="VBG1" s="87"/>
      <c r="VBH1" s="87"/>
      <c r="VBI1" s="87"/>
      <c r="VBJ1" s="87"/>
      <c r="VBK1" s="87"/>
      <c r="VBL1" s="87"/>
      <c r="VBM1" s="87"/>
      <c r="VBN1" s="87"/>
      <c r="VBO1" s="87"/>
      <c r="VBP1" s="87"/>
      <c r="VBQ1" s="87"/>
      <c r="VBR1" s="87"/>
      <c r="VBS1" s="87"/>
      <c r="VBT1" s="87"/>
      <c r="VBU1" s="87"/>
      <c r="VBV1" s="87"/>
      <c r="VBW1" s="87"/>
      <c r="VBX1" s="87"/>
      <c r="VBY1" s="87"/>
      <c r="VBZ1" s="87"/>
      <c r="VCA1" s="87"/>
      <c r="VCB1" s="87"/>
      <c r="VCC1" s="87"/>
      <c r="VCD1" s="87"/>
      <c r="VCE1" s="87"/>
      <c r="VCF1" s="87"/>
      <c r="VCG1" s="87"/>
      <c r="VCH1" s="87"/>
      <c r="VCI1" s="87"/>
      <c r="VCJ1" s="87"/>
      <c r="VCK1" s="87"/>
      <c r="VCL1" s="87"/>
      <c r="VCM1" s="87"/>
      <c r="VCN1" s="87"/>
      <c r="VCO1" s="87"/>
      <c r="VCP1" s="87"/>
      <c r="VCQ1" s="87"/>
      <c r="VCR1" s="87"/>
      <c r="VCS1" s="87"/>
      <c r="VCT1" s="87"/>
      <c r="VCU1" s="87"/>
      <c r="VCV1" s="87"/>
      <c r="VCW1" s="87"/>
      <c r="VCX1" s="87"/>
      <c r="VCY1" s="87"/>
      <c r="VCZ1" s="87"/>
      <c r="VDA1" s="87"/>
      <c r="VDB1" s="87"/>
      <c r="VDC1" s="87"/>
      <c r="VDD1" s="87"/>
      <c r="VDE1" s="87"/>
      <c r="VDF1" s="87"/>
      <c r="VDG1" s="87"/>
      <c r="VDH1" s="87"/>
      <c r="VDI1" s="87"/>
      <c r="VDJ1" s="87"/>
      <c r="VDK1" s="87"/>
      <c r="VDL1" s="87"/>
      <c r="VDM1" s="87"/>
      <c r="VDN1" s="87"/>
      <c r="VDO1" s="87"/>
      <c r="VDP1" s="87"/>
      <c r="VDQ1" s="87"/>
      <c r="VDR1" s="87"/>
      <c r="VDS1" s="87"/>
      <c r="VDT1" s="87"/>
      <c r="VDU1" s="87"/>
      <c r="VDV1" s="87"/>
      <c r="VDW1" s="87"/>
      <c r="VDX1" s="87"/>
      <c r="VDY1" s="87"/>
      <c r="VDZ1" s="87"/>
      <c r="VEA1" s="87"/>
      <c r="VEB1" s="87"/>
      <c r="VEC1" s="87"/>
      <c r="VED1" s="87"/>
      <c r="VEE1" s="87"/>
      <c r="VEF1" s="87"/>
      <c r="VEG1" s="87"/>
      <c r="VEH1" s="87"/>
      <c r="VEI1" s="87"/>
      <c r="VEJ1" s="87"/>
      <c r="VEK1" s="87"/>
      <c r="VEL1" s="87"/>
      <c r="VEM1" s="87"/>
      <c r="VEN1" s="87"/>
      <c r="VEO1" s="87"/>
      <c r="VEP1" s="87"/>
      <c r="VEQ1" s="87"/>
      <c r="VER1" s="87"/>
      <c r="VES1" s="87"/>
      <c r="VET1" s="87"/>
      <c r="VEU1" s="87"/>
      <c r="VEV1" s="87"/>
      <c r="VEW1" s="87"/>
      <c r="VEX1" s="87"/>
      <c r="VEY1" s="87"/>
      <c r="VEZ1" s="87"/>
      <c r="VFA1" s="87"/>
      <c r="VFB1" s="87"/>
      <c r="VFC1" s="87"/>
      <c r="VFD1" s="87"/>
      <c r="VFE1" s="87"/>
      <c r="VFF1" s="87"/>
      <c r="VFG1" s="87"/>
      <c r="VFH1" s="87"/>
      <c r="VFI1" s="87"/>
      <c r="VFJ1" s="87"/>
      <c r="VFK1" s="87"/>
      <c r="VFL1" s="87"/>
      <c r="VFM1" s="87"/>
      <c r="VFN1" s="87"/>
      <c r="VFO1" s="87"/>
      <c r="VFP1" s="87"/>
      <c r="VFQ1" s="87"/>
      <c r="VFR1" s="87"/>
      <c r="VFS1" s="87"/>
      <c r="VFT1" s="87"/>
      <c r="VFU1" s="87"/>
      <c r="VFV1" s="87"/>
      <c r="VFW1" s="87"/>
      <c r="VFX1" s="87"/>
      <c r="VFY1" s="87"/>
      <c r="VFZ1" s="87"/>
      <c r="VGA1" s="87"/>
      <c r="VGB1" s="87"/>
      <c r="VGC1" s="87"/>
      <c r="VGD1" s="87"/>
      <c r="VGE1" s="87"/>
      <c r="VGF1" s="87"/>
      <c r="VGG1" s="87"/>
      <c r="VGH1" s="87"/>
      <c r="VGI1" s="87"/>
      <c r="VGJ1" s="87"/>
      <c r="VGK1" s="87"/>
      <c r="VGL1" s="87"/>
      <c r="VGM1" s="87"/>
      <c r="VGN1" s="87"/>
      <c r="VGO1" s="87"/>
      <c r="VGP1" s="87"/>
      <c r="VGQ1" s="87"/>
      <c r="VGR1" s="87"/>
      <c r="VGS1" s="87"/>
      <c r="VGT1" s="87"/>
      <c r="VGU1" s="87"/>
      <c r="VGV1" s="87"/>
      <c r="VGW1" s="87"/>
      <c r="VGX1" s="87"/>
      <c r="VGY1" s="87"/>
      <c r="VGZ1" s="87"/>
      <c r="VHA1" s="87"/>
      <c r="VHB1" s="87"/>
      <c r="VHC1" s="87"/>
      <c r="VHD1" s="87"/>
      <c r="VHE1" s="87"/>
      <c r="VHF1" s="87"/>
      <c r="VHG1" s="87"/>
      <c r="VHH1" s="87"/>
      <c r="VHI1" s="87"/>
      <c r="VHJ1" s="87"/>
      <c r="VHK1" s="87"/>
      <c r="VHL1" s="87"/>
      <c r="VHM1" s="87"/>
      <c r="VHN1" s="87"/>
      <c r="VHO1" s="87"/>
      <c r="VHP1" s="87"/>
      <c r="VHQ1" s="87"/>
      <c r="VHR1" s="87"/>
      <c r="VHS1" s="87"/>
      <c r="VHT1" s="87"/>
      <c r="VHU1" s="87"/>
      <c r="VHV1" s="87"/>
      <c r="VHW1" s="87"/>
      <c r="VHX1" s="87"/>
      <c r="VHY1" s="87"/>
      <c r="VHZ1" s="87"/>
      <c r="VIA1" s="87"/>
      <c r="VIB1" s="87"/>
      <c r="VIC1" s="87"/>
      <c r="VID1" s="87"/>
      <c r="VIE1" s="87"/>
      <c r="VIF1" s="87"/>
      <c r="VIG1" s="87"/>
      <c r="VIH1" s="87"/>
      <c r="VII1" s="87"/>
      <c r="VIJ1" s="87"/>
      <c r="VIK1" s="87"/>
      <c r="VIL1" s="87"/>
      <c r="VIM1" s="87"/>
      <c r="VIN1" s="87"/>
      <c r="VIO1" s="87"/>
      <c r="VIP1" s="87"/>
      <c r="VIQ1" s="87"/>
      <c r="VIR1" s="87"/>
      <c r="VIS1" s="87"/>
      <c r="VIT1" s="87"/>
      <c r="VIU1" s="87"/>
      <c r="VIV1" s="87"/>
      <c r="VIW1" s="87"/>
      <c r="VIX1" s="87"/>
      <c r="VIY1" s="87"/>
      <c r="VIZ1" s="87"/>
      <c r="VJA1" s="87"/>
      <c r="VJB1" s="87"/>
      <c r="VJC1" s="87"/>
      <c r="VJD1" s="87"/>
      <c r="VJE1" s="87"/>
      <c r="VJF1" s="87"/>
      <c r="VJG1" s="87"/>
      <c r="VJH1" s="87"/>
      <c r="VJI1" s="87"/>
      <c r="VJJ1" s="87"/>
      <c r="VJK1" s="87"/>
      <c r="VJL1" s="87"/>
      <c r="VJM1" s="87"/>
      <c r="VJN1" s="87"/>
      <c r="VJO1" s="87"/>
      <c r="VJP1" s="87"/>
      <c r="VJQ1" s="87"/>
      <c r="VJR1" s="87"/>
      <c r="VJS1" s="87"/>
      <c r="VJT1" s="87"/>
      <c r="VJU1" s="87"/>
      <c r="VJV1" s="87"/>
      <c r="VJW1" s="87"/>
      <c r="VJX1" s="87"/>
      <c r="VJY1" s="87"/>
      <c r="VJZ1" s="87"/>
      <c r="VKA1" s="87"/>
      <c r="VKB1" s="87"/>
      <c r="VKC1" s="87"/>
      <c r="VKD1" s="87"/>
      <c r="VKE1" s="87"/>
      <c r="VKF1" s="87"/>
      <c r="VKG1" s="87"/>
      <c r="VKH1" s="87"/>
      <c r="VKI1" s="87"/>
      <c r="VKJ1" s="87"/>
      <c r="VKK1" s="87"/>
      <c r="VKL1" s="87"/>
      <c r="VKM1" s="87"/>
      <c r="VKN1" s="87"/>
      <c r="VKO1" s="87"/>
      <c r="VKP1" s="87"/>
      <c r="VKQ1" s="87"/>
      <c r="VKR1" s="87"/>
      <c r="VKS1" s="87"/>
      <c r="VKT1" s="87"/>
      <c r="VKU1" s="87"/>
      <c r="VKV1" s="87"/>
      <c r="VKW1" s="87"/>
      <c r="VKX1" s="87"/>
      <c r="VKY1" s="87"/>
      <c r="VKZ1" s="87"/>
      <c r="VLA1" s="87"/>
      <c r="VLB1" s="87"/>
      <c r="VLC1" s="87"/>
      <c r="VLD1" s="87"/>
      <c r="VLE1" s="87"/>
      <c r="VLF1" s="87"/>
      <c r="VLG1" s="87"/>
      <c r="VLH1" s="87"/>
      <c r="VLI1" s="87"/>
      <c r="VLJ1" s="87"/>
      <c r="VLK1" s="87"/>
      <c r="VLL1" s="87"/>
      <c r="VLM1" s="87"/>
      <c r="VLN1" s="87"/>
      <c r="VLO1" s="87"/>
      <c r="VLP1" s="87"/>
      <c r="VLQ1" s="87"/>
      <c r="VLR1" s="87"/>
      <c r="VLS1" s="87"/>
      <c r="VLT1" s="87"/>
      <c r="VLU1" s="87"/>
      <c r="VLV1" s="87"/>
      <c r="VLW1" s="87"/>
      <c r="VLX1" s="87"/>
      <c r="VLY1" s="87"/>
      <c r="VLZ1" s="87"/>
      <c r="VMA1" s="87"/>
      <c r="VMB1" s="87"/>
      <c r="VMC1" s="87"/>
      <c r="VMD1" s="87"/>
      <c r="VME1" s="87"/>
      <c r="VMF1" s="87"/>
      <c r="VMG1" s="87"/>
      <c r="VMH1" s="87"/>
      <c r="VMI1" s="87"/>
      <c r="VMJ1" s="87"/>
      <c r="VMK1" s="87"/>
      <c r="VML1" s="87"/>
      <c r="VMM1" s="87"/>
      <c r="VMN1" s="87"/>
      <c r="VMO1" s="87"/>
      <c r="VMP1" s="87"/>
      <c r="VMQ1" s="87"/>
      <c r="VMR1" s="87"/>
      <c r="VMS1" s="87"/>
      <c r="VMT1" s="87"/>
      <c r="VMU1" s="87"/>
      <c r="VMV1" s="87"/>
      <c r="VMW1" s="87"/>
      <c r="VMX1" s="87"/>
      <c r="VMY1" s="87"/>
      <c r="VMZ1" s="87"/>
      <c r="VNA1" s="87"/>
      <c r="VNB1" s="87"/>
      <c r="VNC1" s="87"/>
      <c r="VND1" s="87"/>
      <c r="VNE1" s="87"/>
      <c r="VNF1" s="87"/>
      <c r="VNG1" s="87"/>
      <c r="VNH1" s="87"/>
      <c r="VNI1" s="87"/>
      <c r="VNJ1" s="87"/>
      <c r="VNK1" s="87"/>
      <c r="VNL1" s="87"/>
      <c r="VNM1" s="87"/>
      <c r="VNN1" s="87"/>
      <c r="VNO1" s="87"/>
      <c r="VNP1" s="87"/>
      <c r="VNQ1" s="87"/>
      <c r="VNR1" s="87"/>
      <c r="VNS1" s="87"/>
      <c r="VNT1" s="87"/>
      <c r="VNU1" s="87"/>
      <c r="VNV1" s="87"/>
      <c r="VNW1" s="87"/>
      <c r="VNX1" s="87"/>
      <c r="VNY1" s="87"/>
      <c r="VNZ1" s="87"/>
      <c r="VOA1" s="87"/>
      <c r="VOB1" s="87"/>
      <c r="VOC1" s="87"/>
      <c r="VOD1" s="87"/>
      <c r="VOE1" s="87"/>
      <c r="VOF1" s="87"/>
      <c r="VOG1" s="87"/>
      <c r="VOH1" s="87"/>
      <c r="VOI1" s="87"/>
      <c r="VOJ1" s="87"/>
      <c r="VOK1" s="87"/>
      <c r="VOL1" s="87"/>
      <c r="VOM1" s="87"/>
      <c r="VON1" s="87"/>
      <c r="VOO1" s="87"/>
      <c r="VOP1" s="87"/>
      <c r="VOQ1" s="87"/>
      <c r="VOR1" s="87"/>
      <c r="VOS1" s="87"/>
      <c r="VOT1" s="87"/>
      <c r="VOU1" s="87"/>
      <c r="VOV1" s="87"/>
      <c r="VOW1" s="87"/>
      <c r="VOX1" s="87"/>
      <c r="VOY1" s="87"/>
      <c r="VOZ1" s="87"/>
      <c r="VPA1" s="87"/>
      <c r="VPB1" s="87"/>
      <c r="VPC1" s="87"/>
      <c r="VPD1" s="87"/>
      <c r="VPE1" s="87"/>
      <c r="VPF1" s="87"/>
      <c r="VPG1" s="87"/>
      <c r="VPH1" s="87"/>
      <c r="VPI1" s="87"/>
      <c r="VPJ1" s="87"/>
      <c r="VPK1" s="87"/>
      <c r="VPL1" s="87"/>
      <c r="VPM1" s="87"/>
      <c r="VPN1" s="87"/>
      <c r="VPO1" s="87"/>
      <c r="VPP1" s="87"/>
      <c r="VPQ1" s="87"/>
      <c r="VPR1" s="87"/>
      <c r="VPS1" s="87"/>
      <c r="VPT1" s="87"/>
      <c r="VPU1" s="87"/>
      <c r="VPV1" s="87"/>
      <c r="VPW1" s="87"/>
      <c r="VPX1" s="87"/>
      <c r="VPY1" s="87"/>
      <c r="VPZ1" s="87"/>
      <c r="VQA1" s="87"/>
      <c r="VQB1" s="87"/>
      <c r="VQC1" s="87"/>
      <c r="VQD1" s="87"/>
      <c r="VQE1" s="87"/>
      <c r="VQF1" s="87"/>
      <c r="VQG1" s="87"/>
      <c r="VQH1" s="87"/>
      <c r="VQI1" s="87"/>
      <c r="VQJ1" s="87"/>
      <c r="VQK1" s="87"/>
      <c r="VQL1" s="87"/>
      <c r="VQM1" s="87"/>
      <c r="VQN1" s="87"/>
      <c r="VQO1" s="87"/>
      <c r="VQP1" s="87"/>
      <c r="VQQ1" s="87"/>
      <c r="VQR1" s="87"/>
      <c r="VQS1" s="87"/>
      <c r="VQT1" s="87"/>
      <c r="VQU1" s="87"/>
      <c r="VQV1" s="87"/>
      <c r="VQW1" s="87"/>
      <c r="VQX1" s="87"/>
      <c r="VQY1" s="87"/>
      <c r="VQZ1" s="87"/>
      <c r="VRA1" s="87"/>
      <c r="VRB1" s="87"/>
      <c r="VRC1" s="87"/>
      <c r="VRD1" s="87"/>
      <c r="VRE1" s="87"/>
      <c r="VRF1" s="87"/>
      <c r="VRG1" s="87"/>
      <c r="VRH1" s="87"/>
      <c r="VRI1" s="87"/>
      <c r="VRJ1" s="87"/>
      <c r="VRK1" s="87"/>
      <c r="VRL1" s="87"/>
      <c r="VRM1" s="87"/>
      <c r="VRN1" s="87"/>
      <c r="VRO1" s="87"/>
      <c r="VRP1" s="87"/>
      <c r="VRQ1" s="87"/>
      <c r="VRR1" s="87"/>
      <c r="VRS1" s="87"/>
      <c r="VRT1" s="87"/>
      <c r="VRU1" s="87"/>
      <c r="VRV1" s="87"/>
      <c r="VRW1" s="87"/>
      <c r="VRX1" s="87"/>
      <c r="VRY1" s="87"/>
      <c r="VRZ1" s="87"/>
      <c r="VSA1" s="87"/>
      <c r="VSB1" s="87"/>
      <c r="VSC1" s="87"/>
      <c r="VSD1" s="87"/>
      <c r="VSE1" s="87"/>
      <c r="VSF1" s="87"/>
      <c r="VSG1" s="87"/>
      <c r="VSH1" s="87"/>
      <c r="VSI1" s="87"/>
      <c r="VSJ1" s="87"/>
      <c r="VSK1" s="87"/>
      <c r="VSL1" s="87"/>
      <c r="VSM1" s="87"/>
      <c r="VSN1" s="87"/>
      <c r="VSO1" s="87"/>
      <c r="VSP1" s="87"/>
      <c r="VSQ1" s="87"/>
      <c r="VSR1" s="87"/>
      <c r="VSS1" s="87"/>
      <c r="VST1" s="87"/>
      <c r="VSU1" s="87"/>
      <c r="VSV1" s="87"/>
      <c r="VSW1" s="87"/>
      <c r="VSX1" s="87"/>
      <c r="VSY1" s="87"/>
      <c r="VSZ1" s="87"/>
      <c r="VTA1" s="87"/>
      <c r="VTB1" s="87"/>
      <c r="VTC1" s="87"/>
      <c r="VTD1" s="87"/>
      <c r="VTE1" s="87"/>
      <c r="VTF1" s="87"/>
      <c r="VTG1" s="87"/>
      <c r="VTH1" s="87"/>
      <c r="VTI1" s="87"/>
      <c r="VTJ1" s="87"/>
      <c r="VTK1" s="87"/>
      <c r="VTL1" s="87"/>
      <c r="VTM1" s="87"/>
      <c r="VTN1" s="87"/>
      <c r="VTO1" s="87"/>
      <c r="VTP1" s="87"/>
      <c r="VTQ1" s="87"/>
      <c r="VTR1" s="87"/>
      <c r="VTS1" s="87"/>
      <c r="VTT1" s="87"/>
      <c r="VTU1" s="87"/>
      <c r="VTV1" s="87"/>
      <c r="VTW1" s="87"/>
      <c r="VTX1" s="87"/>
      <c r="VTY1" s="87"/>
      <c r="VTZ1" s="87"/>
      <c r="VUA1" s="87"/>
      <c r="VUB1" s="87"/>
      <c r="VUC1" s="87"/>
      <c r="VUD1" s="87"/>
      <c r="VUE1" s="87"/>
      <c r="VUF1" s="87"/>
      <c r="VUG1" s="87"/>
      <c r="VUH1" s="87"/>
      <c r="VUI1" s="87"/>
      <c r="VUJ1" s="87"/>
      <c r="VUK1" s="87"/>
      <c r="VUL1" s="87"/>
      <c r="VUM1" s="87"/>
      <c r="VUN1" s="87"/>
      <c r="VUO1" s="87"/>
      <c r="VUP1" s="87"/>
      <c r="VUQ1" s="87"/>
      <c r="VUR1" s="87"/>
      <c r="VUS1" s="87"/>
      <c r="VUT1" s="87"/>
      <c r="VUU1" s="87"/>
      <c r="VUV1" s="87"/>
      <c r="VUW1" s="87"/>
      <c r="VUX1" s="87"/>
      <c r="VUY1" s="87"/>
      <c r="VUZ1" s="87"/>
      <c r="VVA1" s="87"/>
      <c r="VVB1" s="87"/>
      <c r="VVC1" s="87"/>
      <c r="VVD1" s="87"/>
      <c r="VVE1" s="87"/>
      <c r="VVF1" s="87"/>
      <c r="VVG1" s="87"/>
      <c r="VVH1" s="87"/>
      <c r="VVI1" s="87"/>
      <c r="VVJ1" s="87"/>
      <c r="VVK1" s="87"/>
      <c r="VVL1" s="87"/>
      <c r="VVM1" s="87"/>
      <c r="VVN1" s="87"/>
      <c r="VVO1" s="87"/>
      <c r="VVP1" s="87"/>
      <c r="VVQ1" s="87"/>
      <c r="VVR1" s="87"/>
      <c r="VVS1" s="87"/>
      <c r="VVT1" s="87"/>
      <c r="VVU1" s="87"/>
      <c r="VVV1" s="87"/>
      <c r="VVW1" s="87"/>
      <c r="VVX1" s="87"/>
      <c r="VVY1" s="87"/>
      <c r="VVZ1" s="87"/>
      <c r="VWA1" s="87"/>
      <c r="VWB1" s="87"/>
      <c r="VWC1" s="87"/>
      <c r="VWD1" s="87"/>
      <c r="VWE1" s="87"/>
      <c r="VWF1" s="87"/>
      <c r="VWG1" s="87"/>
      <c r="VWH1" s="87"/>
      <c r="VWI1" s="87"/>
      <c r="VWJ1" s="87"/>
      <c r="VWK1" s="87"/>
      <c r="VWL1" s="87"/>
      <c r="VWM1" s="87"/>
      <c r="VWN1" s="87"/>
      <c r="VWO1" s="87"/>
      <c r="VWP1" s="87"/>
      <c r="VWQ1" s="87"/>
      <c r="VWR1" s="87"/>
      <c r="VWS1" s="87"/>
      <c r="VWT1" s="87"/>
      <c r="VWU1" s="87"/>
      <c r="VWV1" s="87"/>
      <c r="VWW1" s="87"/>
      <c r="VWX1" s="87"/>
      <c r="VWY1" s="87"/>
      <c r="VWZ1" s="87"/>
      <c r="VXA1" s="87"/>
      <c r="VXB1" s="87"/>
      <c r="VXC1" s="87"/>
      <c r="VXD1" s="87"/>
      <c r="VXE1" s="87"/>
      <c r="VXF1" s="87"/>
      <c r="VXG1" s="87"/>
      <c r="VXH1" s="87"/>
      <c r="VXI1" s="87"/>
      <c r="VXJ1" s="87"/>
      <c r="VXK1" s="87"/>
      <c r="VXL1" s="87"/>
      <c r="VXM1" s="87"/>
      <c r="VXN1" s="87"/>
      <c r="VXO1" s="87"/>
      <c r="VXP1" s="87"/>
      <c r="VXQ1" s="87"/>
      <c r="VXR1" s="87"/>
      <c r="VXS1" s="87"/>
      <c r="VXT1" s="87"/>
      <c r="VXU1" s="87"/>
      <c r="VXV1" s="87"/>
      <c r="VXW1" s="87"/>
      <c r="VXX1" s="87"/>
      <c r="VXY1" s="87"/>
      <c r="VXZ1" s="87"/>
      <c r="VYA1" s="87"/>
      <c r="VYB1" s="87"/>
      <c r="VYC1" s="87"/>
      <c r="VYD1" s="87"/>
      <c r="VYE1" s="87"/>
      <c r="VYF1" s="87"/>
      <c r="VYG1" s="87"/>
      <c r="VYH1" s="87"/>
      <c r="VYI1" s="87"/>
      <c r="VYJ1" s="87"/>
      <c r="VYK1" s="87"/>
      <c r="VYL1" s="87"/>
      <c r="VYM1" s="87"/>
      <c r="VYN1" s="87"/>
      <c r="VYO1" s="87"/>
      <c r="VYP1" s="87"/>
      <c r="VYQ1" s="87"/>
      <c r="VYR1" s="87"/>
      <c r="VYS1" s="87"/>
      <c r="VYT1" s="87"/>
      <c r="VYU1" s="87"/>
      <c r="VYV1" s="87"/>
      <c r="VYW1" s="87"/>
      <c r="VYX1" s="87"/>
      <c r="VYY1" s="87"/>
      <c r="VYZ1" s="87"/>
      <c r="VZA1" s="87"/>
      <c r="VZB1" s="87"/>
      <c r="VZC1" s="87"/>
      <c r="VZD1" s="87"/>
      <c r="VZE1" s="87"/>
      <c r="VZF1" s="87"/>
      <c r="VZG1" s="87"/>
      <c r="VZH1" s="87"/>
      <c r="VZI1" s="87"/>
      <c r="VZJ1" s="87"/>
      <c r="VZK1" s="87"/>
      <c r="VZL1" s="87"/>
      <c r="VZM1" s="87"/>
      <c r="VZN1" s="87"/>
      <c r="VZO1" s="87"/>
      <c r="VZP1" s="87"/>
      <c r="VZQ1" s="87"/>
      <c r="VZR1" s="87"/>
      <c r="VZS1" s="87"/>
      <c r="VZT1" s="87"/>
      <c r="VZU1" s="87"/>
      <c r="VZV1" s="87"/>
      <c r="VZW1" s="87"/>
      <c r="VZX1" s="87"/>
      <c r="VZY1" s="87"/>
      <c r="VZZ1" s="87"/>
      <c r="WAA1" s="87"/>
      <c r="WAB1" s="87"/>
      <c r="WAC1" s="87"/>
      <c r="WAD1" s="87"/>
      <c r="WAE1" s="87"/>
      <c r="WAF1" s="87"/>
      <c r="WAG1" s="87"/>
      <c r="WAH1" s="87"/>
      <c r="WAI1" s="87"/>
      <c r="WAJ1" s="87"/>
      <c r="WAK1" s="87"/>
      <c r="WAL1" s="87"/>
      <c r="WAM1" s="87"/>
      <c r="WAN1" s="87"/>
      <c r="WAO1" s="87"/>
      <c r="WAP1" s="87"/>
      <c r="WAQ1" s="87"/>
      <c r="WAR1" s="87"/>
      <c r="WAS1" s="87"/>
      <c r="WAT1" s="87"/>
      <c r="WAU1" s="87"/>
      <c r="WAV1" s="87"/>
      <c r="WAW1" s="87"/>
      <c r="WAX1" s="87"/>
      <c r="WAY1" s="87"/>
      <c r="WAZ1" s="87"/>
      <c r="WBA1" s="87"/>
      <c r="WBB1" s="87"/>
      <c r="WBC1" s="87"/>
      <c r="WBD1" s="87"/>
      <c r="WBE1" s="87"/>
      <c r="WBF1" s="87"/>
      <c r="WBG1" s="87"/>
      <c r="WBH1" s="87"/>
      <c r="WBI1" s="87"/>
      <c r="WBJ1" s="87"/>
      <c r="WBK1" s="87"/>
      <c r="WBL1" s="87"/>
      <c r="WBM1" s="87"/>
      <c r="WBN1" s="87"/>
      <c r="WBO1" s="87"/>
      <c r="WBP1" s="87"/>
      <c r="WBQ1" s="87"/>
      <c r="WBR1" s="87"/>
      <c r="WBS1" s="87"/>
      <c r="WBT1" s="87"/>
      <c r="WBU1" s="87"/>
      <c r="WBV1" s="87"/>
      <c r="WBW1" s="87"/>
      <c r="WBX1" s="87"/>
      <c r="WBY1" s="87"/>
      <c r="WBZ1" s="87"/>
      <c r="WCA1" s="87"/>
      <c r="WCB1" s="87"/>
      <c r="WCC1" s="87"/>
      <c r="WCD1" s="87"/>
      <c r="WCE1" s="87"/>
      <c r="WCF1" s="87"/>
      <c r="WCG1" s="87"/>
      <c r="WCH1" s="87"/>
      <c r="WCI1" s="87"/>
      <c r="WCJ1" s="87"/>
      <c r="WCK1" s="87"/>
      <c r="WCL1" s="87"/>
      <c r="WCM1" s="87"/>
      <c r="WCN1" s="87"/>
      <c r="WCO1" s="87"/>
      <c r="WCP1" s="87"/>
      <c r="WCQ1" s="87"/>
      <c r="WCR1" s="87"/>
      <c r="WCS1" s="87"/>
      <c r="WCT1" s="87"/>
      <c r="WCU1" s="87"/>
      <c r="WCV1" s="87"/>
      <c r="WCW1" s="87"/>
      <c r="WCX1" s="87"/>
      <c r="WCY1" s="87"/>
      <c r="WCZ1" s="87"/>
      <c r="WDA1" s="87"/>
      <c r="WDB1" s="87"/>
      <c r="WDC1" s="87"/>
      <c r="WDD1" s="87"/>
      <c r="WDE1" s="87"/>
      <c r="WDF1" s="87"/>
      <c r="WDG1" s="87"/>
      <c r="WDH1" s="87"/>
      <c r="WDI1" s="87"/>
      <c r="WDJ1" s="87"/>
      <c r="WDK1" s="87"/>
      <c r="WDL1" s="87"/>
      <c r="WDM1" s="87"/>
      <c r="WDN1" s="87"/>
      <c r="WDO1" s="87"/>
      <c r="WDP1" s="87"/>
      <c r="WDQ1" s="87"/>
      <c r="WDR1" s="87"/>
      <c r="WDS1" s="87"/>
      <c r="WDT1" s="87"/>
      <c r="WDU1" s="87"/>
      <c r="WDV1" s="87"/>
      <c r="WDW1" s="87"/>
      <c r="WDX1" s="87"/>
      <c r="WDY1" s="87"/>
      <c r="WDZ1" s="87"/>
      <c r="WEA1" s="87"/>
      <c r="WEB1" s="87"/>
      <c r="WEC1" s="87"/>
      <c r="WED1" s="87"/>
      <c r="WEE1" s="87"/>
      <c r="WEF1" s="87"/>
      <c r="WEG1" s="87"/>
      <c r="WEH1" s="87"/>
      <c r="WEI1" s="87"/>
      <c r="WEJ1" s="87"/>
      <c r="WEK1" s="87"/>
      <c r="WEL1" s="87"/>
      <c r="WEM1" s="87"/>
      <c r="WEN1" s="87"/>
      <c r="WEO1" s="87"/>
      <c r="WEP1" s="87"/>
      <c r="WEQ1" s="87"/>
      <c r="WER1" s="87"/>
      <c r="WES1" s="87"/>
      <c r="WET1" s="87"/>
      <c r="WEU1" s="87"/>
      <c r="WEV1" s="87"/>
      <c r="WEW1" s="87"/>
      <c r="WEX1" s="87"/>
      <c r="WEY1" s="87"/>
      <c r="WEZ1" s="87"/>
      <c r="WFA1" s="87"/>
      <c r="WFB1" s="87"/>
      <c r="WFC1" s="87"/>
      <c r="WFD1" s="87"/>
      <c r="WFE1" s="87"/>
      <c r="WFF1" s="87"/>
      <c r="WFG1" s="87"/>
      <c r="WFH1" s="87"/>
      <c r="WFI1" s="87"/>
      <c r="WFJ1" s="87"/>
      <c r="WFK1" s="87"/>
      <c r="WFL1" s="87"/>
      <c r="WFM1" s="87"/>
      <c r="WFN1" s="87"/>
      <c r="WFO1" s="87"/>
      <c r="WFP1" s="87"/>
      <c r="WFQ1" s="87"/>
      <c r="WFR1" s="87"/>
      <c r="WFS1" s="87"/>
      <c r="WFT1" s="87"/>
      <c r="WFU1" s="87"/>
      <c r="WFV1" s="87"/>
      <c r="WFW1" s="87"/>
      <c r="WFX1" s="87"/>
      <c r="WFY1" s="87"/>
      <c r="WFZ1" s="87"/>
      <c r="WGA1" s="87"/>
      <c r="WGB1" s="87"/>
      <c r="WGC1" s="87"/>
      <c r="WGD1" s="87"/>
      <c r="WGE1" s="87"/>
      <c r="WGF1" s="87"/>
      <c r="WGG1" s="87"/>
      <c r="WGH1" s="87"/>
      <c r="WGI1" s="87"/>
      <c r="WGJ1" s="87"/>
      <c r="WGK1" s="87"/>
      <c r="WGL1" s="87"/>
      <c r="WGM1" s="87"/>
      <c r="WGN1" s="87"/>
      <c r="WGO1" s="87"/>
      <c r="WGP1" s="87"/>
      <c r="WGQ1" s="87"/>
      <c r="WGR1" s="87"/>
      <c r="WGS1" s="87"/>
      <c r="WGT1" s="87"/>
      <c r="WGU1" s="87"/>
      <c r="WGV1" s="87"/>
      <c r="WGW1" s="87"/>
      <c r="WGX1" s="87"/>
      <c r="WGY1" s="87"/>
      <c r="WGZ1" s="87"/>
      <c r="WHA1" s="87"/>
      <c r="WHB1" s="87"/>
      <c r="WHC1" s="87"/>
      <c r="WHD1" s="87"/>
      <c r="WHE1" s="87"/>
      <c r="WHF1" s="87"/>
      <c r="WHG1" s="87"/>
      <c r="WHH1" s="87"/>
      <c r="WHI1" s="87"/>
      <c r="WHJ1" s="87"/>
      <c r="WHK1" s="87"/>
      <c r="WHL1" s="87"/>
      <c r="WHM1" s="87"/>
      <c r="WHN1" s="87"/>
      <c r="WHO1" s="87"/>
      <c r="WHP1" s="87"/>
      <c r="WHQ1" s="87"/>
      <c r="WHR1" s="87"/>
      <c r="WHS1" s="87"/>
      <c r="WHT1" s="87"/>
      <c r="WHU1" s="87"/>
      <c r="WHV1" s="87"/>
      <c r="WHW1" s="87"/>
      <c r="WHX1" s="87"/>
      <c r="WHY1" s="87"/>
      <c r="WHZ1" s="87"/>
      <c r="WIA1" s="87"/>
      <c r="WIB1" s="87"/>
      <c r="WIC1" s="87"/>
      <c r="WID1" s="87"/>
      <c r="WIE1" s="87"/>
      <c r="WIF1" s="87"/>
      <c r="WIG1" s="87"/>
      <c r="WIH1" s="87"/>
      <c r="WII1" s="87"/>
      <c r="WIJ1" s="87"/>
      <c r="WIK1" s="87"/>
      <c r="WIL1" s="87"/>
      <c r="WIM1" s="87"/>
      <c r="WIN1" s="87"/>
      <c r="WIO1" s="87"/>
      <c r="WIP1" s="87"/>
      <c r="WIQ1" s="87"/>
      <c r="WIR1" s="87"/>
      <c r="WIS1" s="87"/>
      <c r="WIT1" s="87"/>
      <c r="WIU1" s="87"/>
      <c r="WIV1" s="87"/>
      <c r="WIW1" s="87"/>
      <c r="WIX1" s="87"/>
      <c r="WIY1" s="87"/>
      <c r="WIZ1" s="87"/>
      <c r="WJA1" s="87"/>
      <c r="WJB1" s="87"/>
      <c r="WJC1" s="87"/>
      <c r="WJD1" s="87"/>
      <c r="WJE1" s="87"/>
      <c r="WJF1" s="87"/>
      <c r="WJG1" s="87"/>
      <c r="WJH1" s="87"/>
      <c r="WJI1" s="87"/>
      <c r="WJJ1" s="87"/>
      <c r="WJK1" s="87"/>
      <c r="WJL1" s="87"/>
      <c r="WJM1" s="87"/>
      <c r="WJN1" s="87"/>
      <c r="WJO1" s="87"/>
      <c r="WJP1" s="87"/>
      <c r="WJQ1" s="87"/>
      <c r="WJR1" s="87"/>
      <c r="WJS1" s="87"/>
      <c r="WJT1" s="87"/>
      <c r="WJU1" s="87"/>
      <c r="WJV1" s="87"/>
      <c r="WJW1" s="87"/>
      <c r="WJX1" s="87"/>
      <c r="WJY1" s="87"/>
      <c r="WJZ1" s="87"/>
      <c r="WKA1" s="87"/>
      <c r="WKB1" s="87"/>
      <c r="WKC1" s="87"/>
      <c r="WKD1" s="87"/>
      <c r="WKE1" s="87"/>
      <c r="WKF1" s="87"/>
      <c r="WKG1" s="87"/>
      <c r="WKH1" s="87"/>
      <c r="WKI1" s="87"/>
      <c r="WKJ1" s="87"/>
      <c r="WKK1" s="87"/>
      <c r="WKL1" s="87"/>
      <c r="WKM1" s="87"/>
      <c r="WKN1" s="87"/>
      <c r="WKO1" s="87"/>
      <c r="WKP1" s="87"/>
      <c r="WKQ1" s="87"/>
      <c r="WKR1" s="87"/>
      <c r="WKS1" s="87"/>
      <c r="WKT1" s="87"/>
      <c r="WKU1" s="87"/>
      <c r="WKV1" s="87"/>
      <c r="WKW1" s="87"/>
      <c r="WKX1" s="87"/>
      <c r="WKY1" s="87"/>
      <c r="WKZ1" s="87"/>
      <c r="WLA1" s="87"/>
      <c r="WLB1" s="87"/>
      <c r="WLC1" s="87"/>
      <c r="WLD1" s="87"/>
      <c r="WLE1" s="87"/>
      <c r="WLF1" s="87"/>
      <c r="WLG1" s="87"/>
      <c r="WLH1" s="87"/>
      <c r="WLI1" s="87"/>
      <c r="WLJ1" s="87"/>
      <c r="WLK1" s="87"/>
      <c r="WLL1" s="87"/>
      <c r="WLM1" s="87"/>
      <c r="WLN1" s="87"/>
      <c r="WLO1" s="87"/>
      <c r="WLP1" s="87"/>
      <c r="WLQ1" s="87"/>
      <c r="WLR1" s="87"/>
      <c r="WLS1" s="87"/>
      <c r="WLT1" s="87"/>
      <c r="WLU1" s="87"/>
      <c r="WLV1" s="87"/>
      <c r="WLW1" s="87"/>
      <c r="WLX1" s="87"/>
      <c r="WLY1" s="87"/>
      <c r="WLZ1" s="87"/>
      <c r="WMA1" s="87"/>
      <c r="WMB1" s="87"/>
      <c r="WMC1" s="87"/>
      <c r="WMD1" s="87"/>
      <c r="WME1" s="87"/>
      <c r="WMF1" s="87"/>
      <c r="WMG1" s="87"/>
      <c r="WMH1" s="87"/>
      <c r="WMI1" s="87"/>
      <c r="WMJ1" s="87"/>
      <c r="WMK1" s="87"/>
      <c r="WML1" s="87"/>
      <c r="WMM1" s="87"/>
      <c r="WMN1" s="87"/>
      <c r="WMO1" s="87"/>
      <c r="WMP1" s="87"/>
      <c r="WMQ1" s="87"/>
      <c r="WMR1" s="87"/>
      <c r="WMS1" s="87"/>
      <c r="WMT1" s="87"/>
      <c r="WMU1" s="87"/>
      <c r="WMV1" s="87"/>
      <c r="WMW1" s="87"/>
      <c r="WMX1" s="87"/>
      <c r="WMY1" s="87"/>
      <c r="WMZ1" s="87"/>
      <c r="WNA1" s="87"/>
      <c r="WNB1" s="87"/>
      <c r="WNC1" s="87"/>
      <c r="WND1" s="87"/>
      <c r="WNE1" s="87"/>
      <c r="WNF1" s="87"/>
      <c r="WNG1" s="87"/>
      <c r="WNH1" s="87"/>
      <c r="WNI1" s="87"/>
      <c r="WNJ1" s="87"/>
      <c r="WNK1" s="87"/>
      <c r="WNL1" s="87"/>
      <c r="WNM1" s="87"/>
      <c r="WNN1" s="87"/>
      <c r="WNO1" s="87"/>
      <c r="WNP1" s="87"/>
      <c r="WNQ1" s="87"/>
      <c r="WNR1" s="87"/>
      <c r="WNS1" s="87"/>
      <c r="WNT1" s="87"/>
      <c r="WNU1" s="87"/>
      <c r="WNV1" s="87"/>
      <c r="WNW1" s="87"/>
      <c r="WNX1" s="87"/>
      <c r="WNY1" s="87"/>
      <c r="WNZ1" s="87"/>
      <c r="WOA1" s="87"/>
      <c r="WOB1" s="87"/>
      <c r="WOC1" s="87"/>
      <c r="WOD1" s="87"/>
      <c r="WOE1" s="87"/>
      <c r="WOF1" s="87"/>
      <c r="WOG1" s="87"/>
      <c r="WOH1" s="87"/>
      <c r="WOI1" s="87"/>
      <c r="WOJ1" s="87"/>
      <c r="WOK1" s="87"/>
      <c r="WOL1" s="87"/>
      <c r="WOM1" s="87"/>
      <c r="WON1" s="87"/>
      <c r="WOO1" s="87"/>
      <c r="WOP1" s="87"/>
      <c r="WOQ1" s="87"/>
      <c r="WOR1" s="87"/>
      <c r="WOS1" s="87"/>
      <c r="WOT1" s="87"/>
      <c r="WOU1" s="87"/>
      <c r="WOV1" s="87"/>
      <c r="WOW1" s="87"/>
      <c r="WOX1" s="87"/>
      <c r="WOY1" s="87"/>
      <c r="WOZ1" s="87"/>
      <c r="WPA1" s="87"/>
      <c r="WPB1" s="87"/>
      <c r="WPC1" s="87"/>
      <c r="WPD1" s="87"/>
      <c r="WPE1" s="87"/>
      <c r="WPF1" s="87"/>
      <c r="WPG1" s="87"/>
      <c r="WPH1" s="87"/>
      <c r="WPI1" s="87"/>
      <c r="WPJ1" s="87"/>
      <c r="WPK1" s="87"/>
      <c r="WPL1" s="87"/>
      <c r="WPM1" s="87"/>
      <c r="WPN1" s="87"/>
      <c r="WPO1" s="87"/>
      <c r="WPP1" s="87"/>
      <c r="WPQ1" s="87"/>
      <c r="WPR1" s="87"/>
      <c r="WPS1" s="87"/>
      <c r="WPT1" s="87"/>
      <c r="WPU1" s="87"/>
      <c r="WPV1" s="87"/>
      <c r="WPW1" s="87"/>
      <c r="WPX1" s="87"/>
      <c r="WPY1" s="87"/>
      <c r="WPZ1" s="87"/>
      <c r="WQA1" s="87"/>
      <c r="WQB1" s="87"/>
      <c r="WQC1" s="87"/>
      <c r="WQD1" s="87"/>
      <c r="WQE1" s="87"/>
      <c r="WQF1" s="87"/>
      <c r="WQG1" s="87"/>
      <c r="WQH1" s="87"/>
      <c r="WQI1" s="87"/>
      <c r="WQJ1" s="87"/>
      <c r="WQK1" s="87"/>
      <c r="WQL1" s="87"/>
      <c r="WQM1" s="87"/>
      <c r="WQN1" s="87"/>
      <c r="WQO1" s="87"/>
      <c r="WQP1" s="87"/>
      <c r="WQQ1" s="87"/>
      <c r="WQR1" s="87"/>
      <c r="WQS1" s="87"/>
      <c r="WQT1" s="87"/>
      <c r="WQU1" s="87"/>
      <c r="WQV1" s="87"/>
      <c r="WQW1" s="87"/>
      <c r="WQX1" s="87"/>
      <c r="WQY1" s="87"/>
      <c r="WQZ1" s="87"/>
      <c r="WRA1" s="87"/>
      <c r="WRB1" s="87"/>
      <c r="WRC1" s="87"/>
      <c r="WRD1" s="87"/>
      <c r="WRE1" s="87"/>
      <c r="WRF1" s="87"/>
      <c r="WRG1" s="87"/>
      <c r="WRH1" s="87"/>
      <c r="WRI1" s="87"/>
      <c r="WRJ1" s="87"/>
      <c r="WRK1" s="87"/>
      <c r="WRL1" s="87"/>
      <c r="WRM1" s="87"/>
      <c r="WRN1" s="87"/>
      <c r="WRO1" s="87"/>
      <c r="WRP1" s="87"/>
      <c r="WRQ1" s="87"/>
      <c r="WRR1" s="87"/>
      <c r="WRS1" s="87"/>
      <c r="WRT1" s="87"/>
      <c r="WRU1" s="87"/>
      <c r="WRV1" s="87"/>
      <c r="WRW1" s="87"/>
      <c r="WRX1" s="87"/>
      <c r="WRY1" s="87"/>
      <c r="WRZ1" s="87"/>
      <c r="WSA1" s="87"/>
      <c r="WSB1" s="87"/>
      <c r="WSC1" s="87"/>
      <c r="WSD1" s="87"/>
      <c r="WSE1" s="87"/>
      <c r="WSF1" s="87"/>
      <c r="WSG1" s="87"/>
      <c r="WSH1" s="87"/>
      <c r="WSI1" s="87"/>
      <c r="WSJ1" s="87"/>
      <c r="WSK1" s="87"/>
      <c r="WSL1" s="87"/>
      <c r="WSM1" s="87"/>
      <c r="WSN1" s="87"/>
      <c r="WSO1" s="87"/>
      <c r="WSP1" s="87"/>
      <c r="WSQ1" s="87"/>
      <c r="WSR1" s="87"/>
      <c r="WSS1" s="87"/>
      <c r="WST1" s="87"/>
      <c r="WSU1" s="87"/>
      <c r="WSV1" s="87"/>
      <c r="WSW1" s="87"/>
      <c r="WSX1" s="87"/>
      <c r="WSY1" s="87"/>
      <c r="WSZ1" s="87"/>
      <c r="WTA1" s="87"/>
      <c r="WTB1" s="87"/>
      <c r="WTC1" s="87"/>
      <c r="WTD1" s="87"/>
      <c r="WTE1" s="87"/>
      <c r="WTF1" s="87"/>
      <c r="WTG1" s="87"/>
      <c r="WTH1" s="87"/>
      <c r="WTI1" s="87"/>
      <c r="WTJ1" s="87"/>
      <c r="WTK1" s="87"/>
      <c r="WTL1" s="87"/>
      <c r="WTM1" s="87"/>
      <c r="WTN1" s="87"/>
      <c r="WTO1" s="87"/>
      <c r="WTP1" s="87"/>
      <c r="WTQ1" s="87"/>
      <c r="WTR1" s="87"/>
      <c r="WTS1" s="87"/>
      <c r="WTT1" s="87"/>
      <c r="WTU1" s="87"/>
      <c r="WTV1" s="87"/>
      <c r="WTW1" s="87"/>
      <c r="WTX1" s="87"/>
      <c r="WTY1" s="87"/>
      <c r="WTZ1" s="87"/>
      <c r="WUA1" s="87"/>
      <c r="WUB1" s="87"/>
      <c r="WUC1" s="87"/>
      <c r="WUD1" s="87"/>
      <c r="WUE1" s="87"/>
      <c r="WUF1" s="87"/>
      <c r="WUG1" s="87"/>
      <c r="WUH1" s="87"/>
      <c r="WUI1" s="87"/>
      <c r="WUJ1" s="87"/>
      <c r="WUK1" s="87"/>
      <c r="WUL1" s="87"/>
      <c r="WUM1" s="87"/>
      <c r="WUN1" s="87"/>
      <c r="WUO1" s="87"/>
      <c r="WUP1" s="87"/>
      <c r="WUQ1" s="87"/>
      <c r="WUR1" s="87"/>
      <c r="WUS1" s="87"/>
      <c r="WUT1" s="87"/>
      <c r="WUU1" s="87"/>
      <c r="WUV1" s="87"/>
      <c r="WUW1" s="87"/>
      <c r="WUX1" s="87"/>
      <c r="WUY1" s="87"/>
      <c r="WUZ1" s="87"/>
      <c r="WVA1" s="87"/>
      <c r="WVB1" s="87"/>
      <c r="WVC1" s="87"/>
      <c r="WVD1" s="87"/>
      <c r="WVE1" s="87"/>
      <c r="WVF1" s="87"/>
      <c r="WVG1" s="87"/>
      <c r="WVH1" s="87"/>
      <c r="WVI1" s="87"/>
      <c r="WVJ1" s="87"/>
      <c r="WVK1" s="87"/>
      <c r="WVL1" s="87"/>
      <c r="WVM1" s="87"/>
      <c r="WVN1" s="87"/>
      <c r="WVO1" s="87"/>
      <c r="WVP1" s="87"/>
      <c r="WVQ1" s="87"/>
      <c r="WVR1" s="87"/>
      <c r="WVS1" s="87"/>
      <c r="WVT1" s="87"/>
      <c r="WVU1" s="87"/>
      <c r="WVV1" s="87"/>
      <c r="WVW1" s="87"/>
      <c r="WVX1" s="87"/>
      <c r="WVY1" s="87"/>
      <c r="WVZ1" s="87"/>
      <c r="WWA1" s="87"/>
      <c r="WWB1" s="87"/>
      <c r="WWC1" s="87"/>
      <c r="WWD1" s="87"/>
      <c r="WWE1" s="87"/>
      <c r="WWF1" s="87"/>
      <c r="WWG1" s="87"/>
      <c r="WWH1" s="87"/>
      <c r="WWI1" s="87"/>
      <c r="WWJ1" s="87"/>
      <c r="WWK1" s="87"/>
      <c r="WWL1" s="87"/>
      <c r="WWM1" s="87"/>
      <c r="WWN1" s="87"/>
      <c r="WWO1" s="87"/>
      <c r="WWP1" s="87"/>
      <c r="WWQ1" s="87"/>
      <c r="WWR1" s="87"/>
      <c r="WWS1" s="87"/>
      <c r="WWT1" s="87"/>
      <c r="WWU1" s="87"/>
      <c r="WWV1" s="87"/>
      <c r="WWW1" s="87"/>
      <c r="WWX1" s="87"/>
      <c r="WWY1" s="87"/>
      <c r="WWZ1" s="87"/>
      <c r="WXA1" s="87"/>
      <c r="WXB1" s="87"/>
      <c r="WXC1" s="87"/>
      <c r="WXD1" s="87"/>
      <c r="WXE1" s="87"/>
      <c r="WXF1" s="87"/>
      <c r="WXG1" s="87"/>
      <c r="WXH1" s="87"/>
      <c r="WXI1" s="87"/>
      <c r="WXJ1" s="87"/>
      <c r="WXK1" s="87"/>
      <c r="WXL1" s="87"/>
      <c r="WXM1" s="87"/>
      <c r="WXN1" s="87"/>
      <c r="WXO1" s="87"/>
      <c r="WXP1" s="87"/>
      <c r="WXQ1" s="87"/>
      <c r="WXR1" s="87"/>
      <c r="WXS1" s="87"/>
      <c r="WXT1" s="87"/>
      <c r="WXU1" s="87"/>
      <c r="WXV1" s="87"/>
      <c r="WXW1" s="87"/>
      <c r="WXX1" s="87"/>
      <c r="WXY1" s="87"/>
      <c r="WXZ1" s="87"/>
      <c r="WYA1" s="87"/>
      <c r="WYB1" s="87"/>
      <c r="WYC1" s="87"/>
      <c r="WYD1" s="87"/>
      <c r="WYE1" s="87"/>
      <c r="WYF1" s="87"/>
      <c r="WYG1" s="87"/>
      <c r="WYH1" s="87"/>
      <c r="WYI1" s="87"/>
      <c r="WYJ1" s="87"/>
      <c r="WYK1" s="87"/>
      <c r="WYL1" s="87"/>
      <c r="WYM1" s="87"/>
      <c r="WYN1" s="87"/>
      <c r="WYO1" s="87"/>
      <c r="WYP1" s="87"/>
      <c r="WYQ1" s="87"/>
      <c r="WYR1" s="87"/>
      <c r="WYS1" s="87"/>
      <c r="WYT1" s="87"/>
      <c r="WYU1" s="87"/>
      <c r="WYV1" s="87"/>
      <c r="WYW1" s="87"/>
      <c r="WYX1" s="87"/>
      <c r="WYY1" s="87"/>
      <c r="WYZ1" s="87"/>
      <c r="WZA1" s="87"/>
      <c r="WZB1" s="87"/>
      <c r="WZC1" s="87"/>
      <c r="WZD1" s="87"/>
      <c r="WZE1" s="87"/>
      <c r="WZF1" s="87"/>
      <c r="WZG1" s="87"/>
      <c r="WZH1" s="87"/>
      <c r="WZI1" s="87"/>
      <c r="WZJ1" s="87"/>
      <c r="WZK1" s="87"/>
      <c r="WZL1" s="87"/>
      <c r="WZM1" s="87"/>
      <c r="WZN1" s="87"/>
      <c r="WZO1" s="87"/>
      <c r="WZP1" s="87"/>
      <c r="WZQ1" s="87"/>
      <c r="WZR1" s="87"/>
      <c r="WZS1" s="87"/>
      <c r="WZT1" s="87"/>
      <c r="WZU1" s="87"/>
      <c r="WZV1" s="87"/>
      <c r="WZW1" s="87"/>
      <c r="WZX1" s="87"/>
      <c r="WZY1" s="87"/>
      <c r="WZZ1" s="87"/>
      <c r="XAA1" s="87"/>
      <c r="XAB1" s="87"/>
      <c r="XAC1" s="87"/>
      <c r="XAD1" s="87"/>
      <c r="XAE1" s="87"/>
      <c r="XAF1" s="87"/>
      <c r="XAG1" s="87"/>
      <c r="XAH1" s="87"/>
      <c r="XAI1" s="87"/>
      <c r="XAJ1" s="87"/>
      <c r="XAK1" s="87"/>
      <c r="XAL1" s="87"/>
      <c r="XAM1" s="87"/>
      <c r="XAN1" s="87"/>
      <c r="XAO1" s="87"/>
      <c r="XAP1" s="87"/>
      <c r="XAQ1" s="87"/>
      <c r="XAR1" s="87"/>
      <c r="XAS1" s="87"/>
      <c r="XAT1" s="87"/>
      <c r="XAU1" s="87"/>
      <c r="XAV1" s="87"/>
      <c r="XAW1" s="87"/>
      <c r="XAX1" s="87"/>
      <c r="XAY1" s="87"/>
      <c r="XAZ1" s="87"/>
      <c r="XBA1" s="87"/>
      <c r="XBB1" s="87"/>
      <c r="XBC1" s="87"/>
      <c r="XBD1" s="87"/>
      <c r="XBE1" s="87"/>
      <c r="XBF1" s="87"/>
      <c r="XBG1" s="87"/>
      <c r="XBH1" s="87"/>
      <c r="XBI1" s="87"/>
      <c r="XBJ1" s="87"/>
      <c r="XBK1" s="87"/>
      <c r="XBL1" s="87"/>
      <c r="XBM1" s="87"/>
      <c r="XBN1" s="87"/>
      <c r="XBO1" s="87"/>
      <c r="XBP1" s="87"/>
      <c r="XBQ1" s="87"/>
      <c r="XBR1" s="87"/>
      <c r="XBS1" s="87"/>
      <c r="XBT1" s="87"/>
      <c r="XBU1" s="87"/>
      <c r="XBV1" s="87"/>
      <c r="XBW1" s="87"/>
      <c r="XBX1" s="87"/>
      <c r="XBY1" s="87"/>
      <c r="XBZ1" s="87"/>
      <c r="XCA1" s="87"/>
      <c r="XCB1" s="87"/>
      <c r="XCC1" s="87"/>
      <c r="XCD1" s="87"/>
      <c r="XCE1" s="87"/>
      <c r="XCF1" s="87"/>
      <c r="XCG1" s="87"/>
      <c r="XCH1" s="87"/>
      <c r="XCI1" s="87"/>
      <c r="XCJ1" s="87"/>
      <c r="XCK1" s="87"/>
      <c r="XCL1" s="87"/>
      <c r="XCM1" s="87"/>
      <c r="XCN1" s="87"/>
      <c r="XCO1" s="87"/>
      <c r="XCP1" s="87"/>
      <c r="XCQ1" s="87"/>
      <c r="XCR1" s="87"/>
      <c r="XCS1" s="87"/>
      <c r="XCT1" s="87"/>
      <c r="XCU1" s="87"/>
      <c r="XCV1" s="87"/>
      <c r="XCW1" s="87"/>
      <c r="XCX1" s="87"/>
      <c r="XCY1" s="87"/>
      <c r="XCZ1" s="87"/>
      <c r="XDA1" s="87"/>
      <c r="XDB1" s="87"/>
      <c r="XDC1" s="87"/>
      <c r="XDD1" s="87"/>
      <c r="XDE1" s="87"/>
      <c r="XDF1" s="87"/>
      <c r="XDG1" s="87"/>
      <c r="XDH1" s="87"/>
      <c r="XDI1" s="87"/>
      <c r="XDJ1" s="87"/>
      <c r="XDK1" s="87"/>
      <c r="XDL1" s="87"/>
      <c r="XDM1" s="87"/>
      <c r="XDN1" s="87"/>
      <c r="XDO1" s="87"/>
      <c r="XDP1" s="87"/>
      <c r="XDQ1" s="87"/>
      <c r="XDR1" s="87"/>
      <c r="XDS1" s="87"/>
      <c r="XDT1" s="87"/>
      <c r="XDU1" s="87"/>
      <c r="XDV1" s="87"/>
      <c r="XDW1" s="87"/>
      <c r="XDX1" s="87"/>
      <c r="XDY1" s="87"/>
      <c r="XDZ1" s="87"/>
      <c r="XEA1" s="87"/>
      <c r="XEB1" s="87"/>
      <c r="XEC1" s="87"/>
      <c r="XED1" s="87"/>
      <c r="XEE1" s="87"/>
      <c r="XEF1" s="87"/>
      <c r="XEG1" s="87"/>
      <c r="XEH1" s="87"/>
      <c r="XEI1" s="87"/>
      <c r="XEJ1" s="87"/>
      <c r="XEK1" s="87"/>
    </row>
    <row r="2" spans="1:16365" x14ac:dyDescent="0.25">
      <c r="A2" t="str">
        <f t="shared" ref="A2:A33" si="0">I2&amp;"-"&amp;J2</f>
        <v>2022-1</v>
      </c>
      <c r="B2" s="1">
        <f t="shared" ref="B2:B33" si="1">N2</f>
        <v>44564</v>
      </c>
      <c r="C2" t="str">
        <f t="shared" ref="C2:C33" si="2">M2&amp;"/"&amp;O2</f>
        <v>6234885951/Hutchison Drei Austria GmbH, Brünner Straße 52, 1210 Wien, Österreich</v>
      </c>
      <c r="D2" t="str">
        <f t="shared" ref="D2:D33" si="3">K2</f>
        <v>Ausgaben</v>
      </c>
      <c r="E2" t="str">
        <f t="shared" ref="E2:E33" si="4">L2</f>
        <v>Telefon/Internet</v>
      </c>
      <c r="F2" s="117">
        <f t="shared" ref="F2:F33" si="5">Z2</f>
        <v>18</v>
      </c>
      <c r="G2" t="str">
        <f t="shared" ref="G2:G33" si="6">U2&amp;"%"</f>
        <v>20%</v>
      </c>
      <c r="I2" s="53">
        <v>2022</v>
      </c>
      <c r="J2" s="53">
        <v>1</v>
      </c>
      <c r="K2" s="71" t="s">
        <v>105</v>
      </c>
      <c r="L2" t="s">
        <v>703</v>
      </c>
      <c r="M2" s="9" t="s">
        <v>1644</v>
      </c>
      <c r="N2" s="1">
        <v>44564</v>
      </c>
      <c r="O2" t="s">
        <v>34</v>
      </c>
      <c r="Q2" s="76"/>
      <c r="R2" t="b">
        <v>0</v>
      </c>
      <c r="S2" s="48">
        <v>15</v>
      </c>
      <c r="T2" s="72">
        <v>1</v>
      </c>
      <c r="U2">
        <v>20</v>
      </c>
      <c r="V2" s="31">
        <v>3</v>
      </c>
      <c r="W2" s="31">
        <v>3</v>
      </c>
      <c r="X2" s="33">
        <v>15</v>
      </c>
      <c r="Y2" s="29">
        <v>18</v>
      </c>
      <c r="Z2" s="29">
        <v>18</v>
      </c>
      <c r="AA2" s="35">
        <v>44696</v>
      </c>
      <c r="AB2" s="27"/>
      <c r="AC2" s="27"/>
      <c r="AD2" s="58">
        <v>15</v>
      </c>
      <c r="AE2" s="31">
        <v>0</v>
      </c>
      <c r="AF2" t="b">
        <v>0</v>
      </c>
      <c r="AG2" s="78">
        <v>-15</v>
      </c>
    </row>
    <row r="3" spans="1:16365" x14ac:dyDescent="0.25">
      <c r="A3" t="str">
        <f t="shared" si="0"/>
        <v>2022-2</v>
      </c>
      <c r="B3" s="1">
        <f t="shared" si="1"/>
        <v>44564</v>
      </c>
      <c r="C3" t="str">
        <f t="shared" si="2"/>
        <v>4041935102/Google Ireland Ltd, Gordon House, Barrow Street, Dublin 4, Ireland; VAT number: IE 6388047V</v>
      </c>
      <c r="D3" t="str">
        <f t="shared" si="3"/>
        <v>Ausgaben</v>
      </c>
      <c r="E3" t="str">
        <f t="shared" si="4"/>
        <v>sonstige Betriebsausgaben</v>
      </c>
      <c r="F3" s="117">
        <f t="shared" si="5"/>
        <v>10.4</v>
      </c>
      <c r="G3" t="str">
        <f t="shared" si="6"/>
        <v>0%</v>
      </c>
      <c r="I3" s="53">
        <v>2022</v>
      </c>
      <c r="J3" s="53">
        <v>2</v>
      </c>
      <c r="K3" s="71" t="s">
        <v>105</v>
      </c>
      <c r="L3" t="s">
        <v>705</v>
      </c>
      <c r="M3" s="9" t="s">
        <v>1645</v>
      </c>
      <c r="N3" s="1">
        <v>44564</v>
      </c>
      <c r="O3" t="s">
        <v>1404</v>
      </c>
      <c r="Q3" s="76"/>
      <c r="R3" t="b">
        <v>0</v>
      </c>
      <c r="S3" s="109">
        <v>10.4</v>
      </c>
      <c r="T3" s="72">
        <v>1</v>
      </c>
      <c r="U3">
        <v>0</v>
      </c>
      <c r="V3" s="31">
        <v>0</v>
      </c>
      <c r="W3" s="31">
        <v>0</v>
      </c>
      <c r="X3" s="33">
        <v>10.4</v>
      </c>
      <c r="Y3" s="29">
        <v>10.4</v>
      </c>
      <c r="Z3" s="29">
        <v>10.4</v>
      </c>
      <c r="AA3" s="35">
        <v>44696</v>
      </c>
      <c r="AB3" s="27"/>
      <c r="AC3" s="27">
        <v>20</v>
      </c>
      <c r="AD3" s="58">
        <v>10.4</v>
      </c>
      <c r="AE3" s="31">
        <v>2.08</v>
      </c>
      <c r="AF3" t="b">
        <v>0</v>
      </c>
      <c r="AG3" s="78">
        <v>-10.4</v>
      </c>
    </row>
    <row r="4" spans="1:16365" x14ac:dyDescent="0.25">
      <c r="A4" t="str">
        <f t="shared" si="0"/>
        <v>2022-3</v>
      </c>
      <c r="B4" s="1">
        <f t="shared" si="1"/>
        <v>44565</v>
      </c>
      <c r="C4" t="str">
        <f t="shared" si="2"/>
        <v>12021034/DCF - Digital Coding Factory GmbH, Bauernfeldgasse 4/12 1090 Wien</v>
      </c>
      <c r="D4" t="str">
        <f t="shared" si="3"/>
        <v>Einnahmen</v>
      </c>
      <c r="E4" t="str">
        <f t="shared" si="4"/>
        <v>Waren-/Leistungserlöse</v>
      </c>
      <c r="F4" s="117">
        <f t="shared" si="5"/>
        <v>17.928000000000001</v>
      </c>
      <c r="G4" t="str">
        <f t="shared" si="6"/>
        <v>20%</v>
      </c>
      <c r="I4" s="53">
        <v>2022</v>
      </c>
      <c r="J4" s="53">
        <v>3</v>
      </c>
      <c r="K4" s="71" t="s">
        <v>708</v>
      </c>
      <c r="L4" t="s">
        <v>709</v>
      </c>
      <c r="M4" s="9" t="s">
        <v>1646</v>
      </c>
      <c r="N4" s="1">
        <v>44565</v>
      </c>
      <c r="O4" t="s">
        <v>1266</v>
      </c>
      <c r="Q4" s="76"/>
      <c r="R4" t="b">
        <v>0</v>
      </c>
      <c r="S4" s="48">
        <v>14.94</v>
      </c>
      <c r="T4" s="72">
        <v>1</v>
      </c>
      <c r="U4">
        <v>20</v>
      </c>
      <c r="V4" s="31">
        <v>2.988</v>
      </c>
      <c r="W4" s="31">
        <v>2.988</v>
      </c>
      <c r="X4" s="33">
        <v>14.94</v>
      </c>
      <c r="Y4" s="29">
        <v>17.928000000000001</v>
      </c>
      <c r="Z4" s="29">
        <v>17.928000000000001</v>
      </c>
      <c r="AA4" s="35">
        <v>44696</v>
      </c>
      <c r="AB4" s="27"/>
      <c r="AC4" s="27"/>
      <c r="AD4" s="58">
        <v>14.94</v>
      </c>
      <c r="AE4" s="31">
        <v>0</v>
      </c>
      <c r="AF4" t="b">
        <v>0</v>
      </c>
      <c r="AG4" s="78">
        <v>14.94</v>
      </c>
    </row>
    <row r="5" spans="1:16365" x14ac:dyDescent="0.25">
      <c r="A5" t="str">
        <f t="shared" si="0"/>
        <v>2022-4</v>
      </c>
      <c r="B5" s="1">
        <f t="shared" si="1"/>
        <v>44564</v>
      </c>
      <c r="C5" t="str">
        <f t="shared" si="2"/>
        <v>/Bontus Immobilienverwaltung GmbH, 1010 Wien, Franz Josefs Kai 65</v>
      </c>
      <c r="D5" t="str">
        <f t="shared" si="3"/>
        <v>Ausgaben</v>
      </c>
      <c r="E5" t="str">
        <f t="shared" si="4"/>
        <v>Miet- und Pachtaufwand, Leasing</v>
      </c>
      <c r="F5" s="117">
        <f t="shared" si="5"/>
        <v>574.43000000000006</v>
      </c>
      <c r="G5" t="str">
        <f t="shared" si="6"/>
        <v>20%</v>
      </c>
      <c r="I5" s="53">
        <v>2022</v>
      </c>
      <c r="J5" s="53">
        <v>4</v>
      </c>
      <c r="K5" s="71" t="s">
        <v>105</v>
      </c>
      <c r="L5" t="s">
        <v>691</v>
      </c>
      <c r="M5" s="9"/>
      <c r="N5" s="1">
        <v>44564</v>
      </c>
      <c r="O5" t="s">
        <v>1113</v>
      </c>
      <c r="Q5" s="76"/>
      <c r="R5" t="b">
        <v>0</v>
      </c>
      <c r="S5" s="90">
        <v>478.69166666666666</v>
      </c>
      <c r="T5" s="72">
        <v>1</v>
      </c>
      <c r="U5">
        <v>20</v>
      </c>
      <c r="V5" s="31">
        <v>95.738333333333344</v>
      </c>
      <c r="W5" s="31">
        <v>95.738333333333344</v>
      </c>
      <c r="X5" s="33">
        <v>478.69166666666666</v>
      </c>
      <c r="Y5" s="29">
        <v>574.43000000000006</v>
      </c>
      <c r="Z5" s="29">
        <v>574.43000000000006</v>
      </c>
      <c r="AA5" s="35">
        <v>44696</v>
      </c>
      <c r="AB5" s="27"/>
      <c r="AC5" s="27"/>
      <c r="AD5" s="58">
        <v>478.69166666666666</v>
      </c>
      <c r="AE5" s="31">
        <v>0</v>
      </c>
      <c r="AF5" t="b">
        <v>0</v>
      </c>
      <c r="AG5" s="78">
        <v>-478.69166666666666</v>
      </c>
    </row>
    <row r="6" spans="1:16365" x14ac:dyDescent="0.25">
      <c r="A6" t="str">
        <f t="shared" si="0"/>
        <v>2022-5</v>
      </c>
      <c r="B6" s="1">
        <f t="shared" si="1"/>
        <v>44566</v>
      </c>
      <c r="C6" t="str">
        <f t="shared" si="2"/>
        <v>12021033/H. Jaros e.U., Kohlmarkt 16/2/2/15a, 1010 Wien</v>
      </c>
      <c r="D6" t="str">
        <f t="shared" si="3"/>
        <v>Einnahmen</v>
      </c>
      <c r="E6" t="str">
        <f t="shared" si="4"/>
        <v>Waren-/Leistungserlöse</v>
      </c>
      <c r="F6" s="117">
        <f t="shared" si="5"/>
        <v>105</v>
      </c>
      <c r="G6" t="str">
        <f t="shared" si="6"/>
        <v>20%</v>
      </c>
      <c r="I6" s="53">
        <v>2022</v>
      </c>
      <c r="J6" s="53">
        <v>5</v>
      </c>
      <c r="K6" s="71" t="s">
        <v>708</v>
      </c>
      <c r="L6" t="s">
        <v>709</v>
      </c>
      <c r="M6" s="9" t="s">
        <v>1647</v>
      </c>
      <c r="N6" s="1">
        <v>44566</v>
      </c>
      <c r="O6" t="s">
        <v>923</v>
      </c>
      <c r="Q6" s="76"/>
      <c r="R6" t="b">
        <v>0</v>
      </c>
      <c r="S6" s="48">
        <v>87.5</v>
      </c>
      <c r="T6" s="72">
        <v>1</v>
      </c>
      <c r="U6">
        <v>20</v>
      </c>
      <c r="V6" s="31">
        <v>17.5</v>
      </c>
      <c r="W6" s="31">
        <v>17.5</v>
      </c>
      <c r="X6" s="33">
        <v>87.5</v>
      </c>
      <c r="Y6" s="29">
        <v>105</v>
      </c>
      <c r="Z6" s="29">
        <v>105</v>
      </c>
      <c r="AA6" s="35">
        <v>44696</v>
      </c>
      <c r="AB6" s="27"/>
      <c r="AC6" s="27"/>
      <c r="AD6" s="58">
        <v>87.5</v>
      </c>
      <c r="AE6" s="31">
        <v>0</v>
      </c>
      <c r="AF6" t="b">
        <v>0</v>
      </c>
      <c r="AG6" s="78">
        <v>87.5</v>
      </c>
    </row>
    <row r="7" spans="1:16365" x14ac:dyDescent="0.25">
      <c r="A7" t="str">
        <f t="shared" si="0"/>
        <v>2022-6</v>
      </c>
      <c r="B7" s="1">
        <f t="shared" si="1"/>
        <v>44566</v>
      </c>
      <c r="C7" t="str">
        <f t="shared" si="2"/>
        <v>HKA/20-01-58835/Techem Messtechnik GmbH; Abnehmernummer 501686-0003-11-</v>
      </c>
      <c r="D7" t="str">
        <f t="shared" si="3"/>
        <v>Ausgaben</v>
      </c>
      <c r="E7" t="str">
        <f t="shared" si="4"/>
        <v>Miet- und Pachtaufwand, Leasing</v>
      </c>
      <c r="F7" s="117">
        <f t="shared" si="5"/>
        <v>88.8</v>
      </c>
      <c r="G7" t="str">
        <f t="shared" si="6"/>
        <v>20%</v>
      </c>
      <c r="I7" s="53">
        <v>2022</v>
      </c>
      <c r="J7" s="53">
        <v>6</v>
      </c>
      <c r="K7" s="71" t="s">
        <v>105</v>
      </c>
      <c r="L7" t="s">
        <v>691</v>
      </c>
      <c r="M7" s="139" t="s">
        <v>1566</v>
      </c>
      <c r="N7" s="1">
        <v>44566</v>
      </c>
      <c r="O7" t="s">
        <v>1558</v>
      </c>
      <c r="Q7" s="76"/>
      <c r="R7" t="b">
        <v>0</v>
      </c>
      <c r="S7" s="109">
        <v>74</v>
      </c>
      <c r="T7" s="72">
        <v>1</v>
      </c>
      <c r="U7">
        <v>20</v>
      </c>
      <c r="V7" s="31">
        <v>14.8</v>
      </c>
      <c r="W7" s="31">
        <v>14.8</v>
      </c>
      <c r="X7" s="33">
        <v>74</v>
      </c>
      <c r="Y7" s="29">
        <v>88.8</v>
      </c>
      <c r="Z7" s="29">
        <v>88.8</v>
      </c>
      <c r="AA7" s="35">
        <v>44696</v>
      </c>
      <c r="AB7" s="27"/>
      <c r="AC7" s="27"/>
      <c r="AD7" s="58">
        <v>74</v>
      </c>
      <c r="AE7" s="31">
        <v>0</v>
      </c>
      <c r="AF7" t="b">
        <v>0</v>
      </c>
      <c r="AG7" s="78">
        <v>-74</v>
      </c>
    </row>
    <row r="8" spans="1:16365" x14ac:dyDescent="0.25">
      <c r="A8" t="str">
        <f t="shared" si="0"/>
        <v>2022-7</v>
      </c>
      <c r="B8" s="1">
        <f t="shared" si="1"/>
        <v>44568</v>
      </c>
      <c r="C8" t="str">
        <f t="shared" si="2"/>
        <v>R0014890736/Hetzner Online GmbH</v>
      </c>
      <c r="D8" t="str">
        <f t="shared" si="3"/>
        <v>Ausgaben</v>
      </c>
      <c r="E8" t="str">
        <f t="shared" si="4"/>
        <v>sonstige Betriebsausgaben</v>
      </c>
      <c r="F8" s="117">
        <f t="shared" si="5"/>
        <v>2.4900000000000002</v>
      </c>
      <c r="G8" t="str">
        <f t="shared" si="6"/>
        <v>0%</v>
      </c>
      <c r="I8" s="53">
        <v>2022</v>
      </c>
      <c r="J8" s="53">
        <v>7</v>
      </c>
      <c r="K8" s="71" t="s">
        <v>105</v>
      </c>
      <c r="L8" t="s">
        <v>705</v>
      </c>
      <c r="M8" s="6" t="s">
        <v>1648</v>
      </c>
      <c r="N8" s="1">
        <v>44568</v>
      </c>
      <c r="O8" t="s">
        <v>927</v>
      </c>
      <c r="Q8" s="76" t="s">
        <v>958</v>
      </c>
      <c r="R8" t="b">
        <v>0</v>
      </c>
      <c r="S8" s="48">
        <v>2.4900000000000002</v>
      </c>
      <c r="T8" s="72">
        <v>1</v>
      </c>
      <c r="U8">
        <v>0</v>
      </c>
      <c r="V8" s="31">
        <v>0</v>
      </c>
      <c r="W8" s="31">
        <v>0</v>
      </c>
      <c r="X8" s="33">
        <v>2.4900000000000002</v>
      </c>
      <c r="Y8" s="29">
        <v>2.4900000000000002</v>
      </c>
      <c r="Z8" s="29">
        <v>2.4900000000000002</v>
      </c>
      <c r="AA8" s="35">
        <v>44696</v>
      </c>
      <c r="AB8" s="27"/>
      <c r="AC8" s="27">
        <v>20</v>
      </c>
      <c r="AD8" s="58">
        <v>2.4900000000000002</v>
      </c>
      <c r="AE8" s="31">
        <v>0.49800000000000005</v>
      </c>
      <c r="AF8" t="b">
        <v>0</v>
      </c>
      <c r="AG8" s="78">
        <v>-2.4900000000000002</v>
      </c>
    </row>
    <row r="9" spans="1:16365" x14ac:dyDescent="0.25">
      <c r="A9" t="str">
        <f t="shared" si="0"/>
        <v>2022-8</v>
      </c>
      <c r="B9" s="1">
        <f t="shared" si="1"/>
        <v>44568</v>
      </c>
      <c r="C9" t="str">
        <f t="shared" si="2"/>
        <v>60793/100/2021/easy green energy GmbH &amp; Co KG</v>
      </c>
      <c r="D9" t="str">
        <f t="shared" si="3"/>
        <v>Ausgaben</v>
      </c>
      <c r="E9" t="str">
        <f t="shared" si="4"/>
        <v>sonstige Betriebsausgaben</v>
      </c>
      <c r="F9" s="117">
        <f t="shared" si="5"/>
        <v>3</v>
      </c>
      <c r="G9" t="str">
        <f t="shared" si="6"/>
        <v>20%</v>
      </c>
      <c r="I9" s="53">
        <v>2022</v>
      </c>
      <c r="J9" s="53">
        <v>8</v>
      </c>
      <c r="K9" s="71" t="s">
        <v>105</v>
      </c>
      <c r="L9" t="s">
        <v>705</v>
      </c>
      <c r="M9" s="139" t="s">
        <v>1505</v>
      </c>
      <c r="N9" s="1">
        <v>44568</v>
      </c>
      <c r="O9" t="s">
        <v>1364</v>
      </c>
      <c r="Q9" s="76"/>
      <c r="R9" t="b">
        <v>0</v>
      </c>
      <c r="S9" s="48">
        <v>2.5</v>
      </c>
      <c r="T9" s="72">
        <v>1</v>
      </c>
      <c r="U9">
        <v>20</v>
      </c>
      <c r="V9" s="31">
        <v>0.5</v>
      </c>
      <c r="W9" s="31">
        <v>0.5</v>
      </c>
      <c r="X9" s="33">
        <v>2.5</v>
      </c>
      <c r="Y9" s="29">
        <v>3</v>
      </c>
      <c r="Z9" s="29">
        <v>3</v>
      </c>
      <c r="AA9" s="35">
        <v>44696</v>
      </c>
      <c r="AB9" s="27"/>
      <c r="AC9" s="27"/>
      <c r="AD9" s="58">
        <v>2.5</v>
      </c>
      <c r="AE9" s="31">
        <v>0</v>
      </c>
      <c r="AF9" t="b">
        <v>0</v>
      </c>
      <c r="AG9" s="78">
        <v>-2.5</v>
      </c>
    </row>
    <row r="10" spans="1:16365" x14ac:dyDescent="0.25">
      <c r="A10" t="str">
        <f t="shared" si="0"/>
        <v>2022-9</v>
      </c>
      <c r="B10" s="1">
        <f t="shared" si="1"/>
        <v>44568</v>
      </c>
      <c r="C10" t="str">
        <f t="shared" si="2"/>
        <v>12021035/Schick Küchendesign e.U. Alexander Schick, Linzerstraße 247, 1140 Wien</v>
      </c>
      <c r="D10" t="str">
        <f t="shared" si="3"/>
        <v>Einnahmen</v>
      </c>
      <c r="E10" t="str">
        <f t="shared" si="4"/>
        <v>Waren-/Leistungserlöse</v>
      </c>
      <c r="F10" s="117">
        <f t="shared" si="5"/>
        <v>538.20000000000005</v>
      </c>
      <c r="G10" t="str">
        <f t="shared" si="6"/>
        <v>20%</v>
      </c>
      <c r="I10" s="53">
        <v>2022</v>
      </c>
      <c r="J10" s="53">
        <v>9</v>
      </c>
      <c r="K10" s="71" t="s">
        <v>708</v>
      </c>
      <c r="L10" t="s">
        <v>709</v>
      </c>
      <c r="M10">
        <v>12021035</v>
      </c>
      <c r="N10" s="1">
        <v>44568</v>
      </c>
      <c r="O10" t="s">
        <v>983</v>
      </c>
      <c r="Q10" s="76"/>
      <c r="R10" t="b">
        <v>0</v>
      </c>
      <c r="S10" s="48">
        <v>448.5</v>
      </c>
      <c r="T10" s="72">
        <v>1</v>
      </c>
      <c r="U10">
        <v>20</v>
      </c>
      <c r="V10" s="31">
        <v>89.7</v>
      </c>
      <c r="W10" s="31">
        <v>89.7</v>
      </c>
      <c r="X10" s="33">
        <v>448.5</v>
      </c>
      <c r="Y10" s="29">
        <v>538.20000000000005</v>
      </c>
      <c r="Z10" s="29">
        <v>538.20000000000005</v>
      </c>
      <c r="AA10" s="35">
        <v>44696</v>
      </c>
      <c r="AB10" s="27"/>
      <c r="AC10" s="27"/>
      <c r="AD10" s="58">
        <v>448.5</v>
      </c>
      <c r="AE10" s="31">
        <v>0</v>
      </c>
      <c r="AF10" t="b">
        <v>0</v>
      </c>
      <c r="AG10" s="78">
        <v>448.5</v>
      </c>
    </row>
    <row r="11" spans="1:16365" x14ac:dyDescent="0.25">
      <c r="A11" t="str">
        <f t="shared" si="0"/>
        <v>2022-10</v>
      </c>
      <c r="B11" s="1">
        <f t="shared" si="1"/>
        <v>44571</v>
      </c>
      <c r="C11" t="str">
        <f t="shared" si="2"/>
        <v>220008996902/Wiener Netze GmbH, Erdbergstraße 236, 1110 Wien, Postfach 422; Jahresabrechnung vom 17.12.20: GUTSCHRIFT</v>
      </c>
      <c r="D11" t="str">
        <f t="shared" si="3"/>
        <v>Ausgaben</v>
      </c>
      <c r="E11" t="str">
        <f t="shared" si="4"/>
        <v>sonstige Betriebsausgaben</v>
      </c>
      <c r="F11" s="117">
        <f t="shared" si="5"/>
        <v>9.8159999999999989</v>
      </c>
      <c r="G11" t="str">
        <f t="shared" si="6"/>
        <v>20%</v>
      </c>
      <c r="I11" s="53">
        <v>2022</v>
      </c>
      <c r="J11" s="53">
        <v>10</v>
      </c>
      <c r="K11" s="71" t="s">
        <v>105</v>
      </c>
      <c r="L11" t="s">
        <v>705</v>
      </c>
      <c r="M11" s="139" t="s">
        <v>1649</v>
      </c>
      <c r="N11" s="1">
        <v>44571</v>
      </c>
      <c r="O11" t="s">
        <v>1466</v>
      </c>
      <c r="Q11" s="76"/>
      <c r="R11" t="b">
        <v>0</v>
      </c>
      <c r="S11" s="48">
        <v>8.18</v>
      </c>
      <c r="T11" s="72">
        <v>1</v>
      </c>
      <c r="U11">
        <v>20</v>
      </c>
      <c r="V11" s="31">
        <v>1.6359999999999999</v>
      </c>
      <c r="W11" s="31">
        <v>1.6359999999999999</v>
      </c>
      <c r="X11" s="33">
        <v>8.18</v>
      </c>
      <c r="Y11" s="29">
        <v>9.8159999999999989</v>
      </c>
      <c r="Z11" s="29">
        <v>9.8159999999999989</v>
      </c>
      <c r="AA11" s="35">
        <v>44696</v>
      </c>
      <c r="AB11" s="27"/>
      <c r="AC11" s="27"/>
      <c r="AD11" s="58">
        <v>8.18</v>
      </c>
      <c r="AE11" s="31">
        <v>0</v>
      </c>
      <c r="AF11" t="b">
        <v>0</v>
      </c>
      <c r="AG11" s="78">
        <v>-8.18</v>
      </c>
    </row>
    <row r="12" spans="1:16365" x14ac:dyDescent="0.25">
      <c r="A12" t="str">
        <f t="shared" si="0"/>
        <v>2022-11</v>
      </c>
      <c r="B12" s="1">
        <f t="shared" si="1"/>
        <v>44574</v>
      </c>
      <c r="C12" t="str">
        <f t="shared" si="2"/>
        <v>R00014950471/Hetzner Online GmbH</v>
      </c>
      <c r="D12" t="str">
        <f t="shared" si="3"/>
        <v>Ausgaben</v>
      </c>
      <c r="E12" t="str">
        <f t="shared" si="4"/>
        <v>sonstige Betriebsausgaben</v>
      </c>
      <c r="F12" s="117">
        <f t="shared" si="5"/>
        <v>47.776499999999999</v>
      </c>
      <c r="G12" t="str">
        <f t="shared" si="6"/>
        <v>0%</v>
      </c>
      <c r="I12" s="53">
        <v>2022</v>
      </c>
      <c r="J12" s="53">
        <v>11</v>
      </c>
      <c r="K12" s="71" t="s">
        <v>105</v>
      </c>
      <c r="L12" t="s">
        <v>705</v>
      </c>
      <c r="M12" s="9" t="s">
        <v>1650</v>
      </c>
      <c r="N12" s="1">
        <v>44574</v>
      </c>
      <c r="O12" t="s">
        <v>927</v>
      </c>
      <c r="Q12" s="76"/>
      <c r="R12" t="b">
        <v>0</v>
      </c>
      <c r="S12" s="48">
        <v>47.776499999999999</v>
      </c>
      <c r="T12" s="72">
        <v>1</v>
      </c>
      <c r="U12">
        <v>0</v>
      </c>
      <c r="V12" s="31">
        <v>0</v>
      </c>
      <c r="W12" s="31">
        <v>0</v>
      </c>
      <c r="X12" s="33">
        <v>47.776499999999999</v>
      </c>
      <c r="Y12" s="29">
        <v>47.776499999999999</v>
      </c>
      <c r="Z12" s="29">
        <v>47.776499999999999</v>
      </c>
      <c r="AA12" s="35">
        <v>44696</v>
      </c>
      <c r="AB12" s="27"/>
      <c r="AC12" s="27">
        <v>20</v>
      </c>
      <c r="AD12" s="58">
        <v>47.776499999999999</v>
      </c>
      <c r="AE12" s="31">
        <v>9.5553000000000008</v>
      </c>
      <c r="AF12" t="b">
        <v>0</v>
      </c>
      <c r="AG12" s="78">
        <v>-47.776499999999999</v>
      </c>
    </row>
    <row r="13" spans="1:16365" x14ac:dyDescent="0.25">
      <c r="A13" t="str">
        <f t="shared" si="0"/>
        <v>2022-12</v>
      </c>
      <c r="B13" s="1">
        <f t="shared" si="1"/>
        <v>44574</v>
      </c>
      <c r="C13" t="str">
        <f t="shared" si="2"/>
        <v>168041072/Hays Österreich GmbH, Bahnhof City Wien West , Europaplatz 3/5, 1150 Wien</v>
      </c>
      <c r="D13" t="str">
        <f t="shared" si="3"/>
        <v>Einnahmen</v>
      </c>
      <c r="E13" t="str">
        <f t="shared" si="4"/>
        <v>Waren-/Leistungserlöse</v>
      </c>
      <c r="F13" s="117">
        <f t="shared" si="5"/>
        <v>4797</v>
      </c>
      <c r="G13" t="str">
        <f t="shared" si="6"/>
        <v>20%</v>
      </c>
      <c r="I13" s="53">
        <v>2022</v>
      </c>
      <c r="J13" s="53">
        <v>12</v>
      </c>
      <c r="K13" s="71" t="s">
        <v>708</v>
      </c>
      <c r="L13" t="s">
        <v>709</v>
      </c>
      <c r="M13" s="9" t="s">
        <v>1651</v>
      </c>
      <c r="N13" s="1">
        <v>44574</v>
      </c>
      <c r="O13" t="s">
        <v>1652</v>
      </c>
      <c r="Q13" s="76"/>
      <c r="R13" t="b">
        <v>0</v>
      </c>
      <c r="S13" s="48">
        <v>3997.5</v>
      </c>
      <c r="T13" s="72">
        <v>1</v>
      </c>
      <c r="U13">
        <v>20</v>
      </c>
      <c r="V13" s="31">
        <v>799.5</v>
      </c>
      <c r="W13" s="31">
        <v>799.5</v>
      </c>
      <c r="X13" s="33">
        <v>3997.5</v>
      </c>
      <c r="Y13" s="29">
        <v>4797</v>
      </c>
      <c r="Z13" s="29">
        <v>4797</v>
      </c>
      <c r="AA13" s="35">
        <v>44696</v>
      </c>
      <c r="AB13" s="27"/>
      <c r="AC13" s="27">
        <v>20</v>
      </c>
      <c r="AD13" s="58">
        <v>3997.5</v>
      </c>
      <c r="AE13" s="31">
        <v>959.40000000000009</v>
      </c>
      <c r="AF13" t="b">
        <v>1</v>
      </c>
      <c r="AG13" s="78">
        <v>3997.5</v>
      </c>
    </row>
    <row r="14" spans="1:16365" x14ac:dyDescent="0.25">
      <c r="A14" t="str">
        <f t="shared" si="0"/>
        <v>2022-13</v>
      </c>
      <c r="B14" s="1">
        <f t="shared" si="1"/>
        <v>44575</v>
      </c>
      <c r="C14" t="str">
        <f t="shared" si="2"/>
        <v>siehe Jahresabrechnung/easy green energy GmbH &amp; Co KG</v>
      </c>
      <c r="D14" t="str">
        <f t="shared" si="3"/>
        <v>Ausgaben</v>
      </c>
      <c r="E14" t="str">
        <f t="shared" si="4"/>
        <v>sonstige Betriebsausgaben</v>
      </c>
      <c r="F14" s="117">
        <f t="shared" si="5"/>
        <v>9.0399999999999991</v>
      </c>
      <c r="G14" t="str">
        <f t="shared" si="6"/>
        <v>20%</v>
      </c>
      <c r="I14" s="53">
        <v>2022</v>
      </c>
      <c r="J14" s="53">
        <v>13</v>
      </c>
      <c r="K14" s="71" t="s">
        <v>105</v>
      </c>
      <c r="L14" t="s">
        <v>705</v>
      </c>
      <c r="M14" s="153" t="s">
        <v>1698</v>
      </c>
      <c r="N14" s="1">
        <v>44575</v>
      </c>
      <c r="O14" t="s">
        <v>1364</v>
      </c>
      <c r="Q14" s="76"/>
      <c r="R14" t="b">
        <v>0</v>
      </c>
      <c r="S14" s="90">
        <v>7.5333333333333332</v>
      </c>
      <c r="T14" s="72">
        <v>1</v>
      </c>
      <c r="U14">
        <v>20</v>
      </c>
      <c r="V14" s="31">
        <v>1.5066666666666666</v>
      </c>
      <c r="W14" s="31">
        <v>1.5066666666666666</v>
      </c>
      <c r="X14" s="33">
        <v>7.5333333333333332</v>
      </c>
      <c r="Y14" s="29">
        <v>9.0399999999999991</v>
      </c>
      <c r="Z14" s="29">
        <v>9.0399999999999991</v>
      </c>
      <c r="AA14" s="35">
        <v>44696</v>
      </c>
      <c r="AB14" s="27"/>
      <c r="AC14" s="27"/>
      <c r="AD14" s="58">
        <v>7.5333333333333332</v>
      </c>
      <c r="AE14" s="31">
        <v>0</v>
      </c>
      <c r="AF14" t="b">
        <v>0</v>
      </c>
      <c r="AG14" s="78">
        <v>-7.5333333333333332</v>
      </c>
    </row>
    <row r="15" spans="1:16365" x14ac:dyDescent="0.25">
      <c r="A15" t="str">
        <f t="shared" si="0"/>
        <v>2022-14</v>
      </c>
      <c r="B15" s="1">
        <f t="shared" si="1"/>
        <v>44575</v>
      </c>
      <c r="C15" t="str">
        <f t="shared" si="2"/>
        <v>kein Beleg wie immer/Aon Austria GmbH UBIT Haftpflicht</v>
      </c>
      <c r="D15" t="str">
        <f t="shared" si="3"/>
        <v>Ausgaben</v>
      </c>
      <c r="E15" t="str">
        <f t="shared" si="4"/>
        <v>sonstige Betriebsausgaben</v>
      </c>
      <c r="F15" s="117">
        <f t="shared" si="5"/>
        <v>265.08</v>
      </c>
      <c r="G15" t="str">
        <f t="shared" si="6"/>
        <v>0%</v>
      </c>
      <c r="I15" s="53">
        <v>2022</v>
      </c>
      <c r="J15" s="53">
        <v>14</v>
      </c>
      <c r="K15" s="71" t="s">
        <v>105</v>
      </c>
      <c r="L15" t="s">
        <v>705</v>
      </c>
      <c r="M15" s="9" t="s">
        <v>1655</v>
      </c>
      <c r="N15" s="1">
        <v>44575</v>
      </c>
      <c r="O15" t="s">
        <v>1653</v>
      </c>
      <c r="Q15" s="76"/>
      <c r="R15" t="b">
        <v>0</v>
      </c>
      <c r="S15" s="48">
        <v>265.08</v>
      </c>
      <c r="T15" s="72">
        <v>1</v>
      </c>
      <c r="U15">
        <v>0</v>
      </c>
      <c r="V15" s="31">
        <v>0</v>
      </c>
      <c r="W15" s="31">
        <v>0</v>
      </c>
      <c r="X15" s="33">
        <v>265.08</v>
      </c>
      <c r="Y15" s="29">
        <v>265.08</v>
      </c>
      <c r="Z15" s="29">
        <v>265.08</v>
      </c>
      <c r="AA15" s="35">
        <v>44696</v>
      </c>
      <c r="AB15" s="27"/>
      <c r="AC15" s="27"/>
      <c r="AD15" s="58">
        <v>265.08</v>
      </c>
      <c r="AE15" s="31">
        <v>0</v>
      </c>
      <c r="AF15" t="b">
        <v>0</v>
      </c>
      <c r="AG15" s="78">
        <v>-265.08</v>
      </c>
    </row>
    <row r="16" spans="1:16365" x14ac:dyDescent="0.25">
      <c r="A16" t="str">
        <f t="shared" si="0"/>
        <v>2022-15</v>
      </c>
      <c r="B16" s="1">
        <f t="shared" si="1"/>
        <v>44582</v>
      </c>
      <c r="C16" t="str">
        <f t="shared" si="2"/>
        <v>E0600GXXZJ/Microsoft Ireland Operations Ltd. One Microsoft Place, South County, Business Park, Leopardstown, Dublin 18, D18 P521, Ireland</v>
      </c>
      <c r="D16" t="str">
        <f t="shared" si="3"/>
        <v>Ausgaben</v>
      </c>
      <c r="E16" t="str">
        <f t="shared" si="4"/>
        <v>sonstige Betriebsausgaben</v>
      </c>
      <c r="F16" s="117">
        <f t="shared" si="5"/>
        <v>10.5</v>
      </c>
      <c r="G16" t="str">
        <f t="shared" si="6"/>
        <v>0%</v>
      </c>
      <c r="I16" s="53">
        <v>2022</v>
      </c>
      <c r="J16" s="53">
        <v>15</v>
      </c>
      <c r="K16" s="71" t="s">
        <v>105</v>
      </c>
      <c r="L16" t="s">
        <v>705</v>
      </c>
      <c r="M16" s="6" t="s">
        <v>1619</v>
      </c>
      <c r="N16" s="1">
        <v>44582</v>
      </c>
      <c r="O16" t="s">
        <v>1032</v>
      </c>
      <c r="Q16" s="76"/>
      <c r="R16" t="b">
        <v>0</v>
      </c>
      <c r="S16" s="48">
        <v>10.5</v>
      </c>
      <c r="T16" s="72">
        <v>1</v>
      </c>
      <c r="U16">
        <v>0</v>
      </c>
      <c r="V16" s="31">
        <v>0</v>
      </c>
      <c r="W16" s="31">
        <v>0</v>
      </c>
      <c r="X16" s="33">
        <v>10.5</v>
      </c>
      <c r="Y16" s="29">
        <v>10.5</v>
      </c>
      <c r="Z16" s="29">
        <v>10.5</v>
      </c>
      <c r="AA16" s="35">
        <v>44696</v>
      </c>
      <c r="AB16" s="27"/>
      <c r="AC16" s="27">
        <v>20</v>
      </c>
      <c r="AD16" s="58">
        <v>10.5</v>
      </c>
      <c r="AE16" s="31">
        <v>2.1</v>
      </c>
      <c r="AF16" t="b">
        <v>0</v>
      </c>
      <c r="AG16" s="78">
        <v>-10.5</v>
      </c>
    </row>
    <row r="17" spans="1:33" x14ac:dyDescent="0.25">
      <c r="A17" t="str">
        <f t="shared" si="0"/>
        <v>2022-16</v>
      </c>
      <c r="B17" s="1">
        <f t="shared" si="1"/>
        <v>44585</v>
      </c>
      <c r="C17" t="str">
        <f t="shared" si="2"/>
        <v>901209161221/Magenta: T-Mobile Austria GmbH, A-1120 Wien, PF 47</v>
      </c>
      <c r="D17" t="str">
        <f t="shared" si="3"/>
        <v>Ausgaben</v>
      </c>
      <c r="E17" t="str">
        <f t="shared" si="4"/>
        <v>Telefon/Internet</v>
      </c>
      <c r="F17" s="117">
        <f t="shared" si="5"/>
        <v>38.304000000000002</v>
      </c>
      <c r="G17" t="str">
        <f t="shared" si="6"/>
        <v>20%</v>
      </c>
      <c r="I17" s="53">
        <v>2022</v>
      </c>
      <c r="J17" s="53">
        <v>16</v>
      </c>
      <c r="K17" s="71" t="s">
        <v>105</v>
      </c>
      <c r="L17" t="s">
        <v>703</v>
      </c>
      <c r="M17" s="131" t="s">
        <v>1618</v>
      </c>
      <c r="N17" s="1">
        <v>44585</v>
      </c>
      <c r="O17" t="s">
        <v>1148</v>
      </c>
      <c r="Q17" s="76"/>
      <c r="R17" t="b">
        <v>0</v>
      </c>
      <c r="S17" s="48">
        <v>31.92</v>
      </c>
      <c r="T17" s="72">
        <v>1</v>
      </c>
      <c r="U17">
        <v>20</v>
      </c>
      <c r="V17" s="31">
        <v>6.3840000000000012</v>
      </c>
      <c r="W17" s="31">
        <v>6.3840000000000012</v>
      </c>
      <c r="X17" s="33">
        <v>31.92</v>
      </c>
      <c r="Y17" s="29">
        <v>38.304000000000002</v>
      </c>
      <c r="Z17" s="29">
        <v>38.304000000000002</v>
      </c>
      <c r="AA17" s="35">
        <v>44696</v>
      </c>
      <c r="AB17" s="27"/>
      <c r="AC17" s="27"/>
      <c r="AD17" s="58">
        <v>31.92</v>
      </c>
      <c r="AE17" s="31">
        <v>0</v>
      </c>
      <c r="AF17" t="b">
        <v>0</v>
      </c>
      <c r="AG17" s="78">
        <v>-31.92</v>
      </c>
    </row>
    <row r="18" spans="1:33" x14ac:dyDescent="0.25">
      <c r="A18" t="str">
        <f t="shared" si="0"/>
        <v>2022-17</v>
      </c>
      <c r="B18" s="1">
        <f t="shared" si="1"/>
        <v>44585</v>
      </c>
      <c r="C18" t="str">
        <f t="shared" si="2"/>
        <v>12021036/Musikschule Bad Vöslau, Hauptstraße 14, 2540 Bad Vöslau</v>
      </c>
      <c r="D18" t="str">
        <f t="shared" si="3"/>
        <v>Einnahmen</v>
      </c>
      <c r="E18" t="str">
        <f t="shared" si="4"/>
        <v>Waren-/Leistungserlöse</v>
      </c>
      <c r="F18" s="117">
        <f t="shared" si="5"/>
        <v>110.532</v>
      </c>
      <c r="G18" t="str">
        <f t="shared" si="6"/>
        <v>20%</v>
      </c>
      <c r="I18" s="53">
        <v>2022</v>
      </c>
      <c r="J18" s="53">
        <v>17</v>
      </c>
      <c r="K18" s="71" t="s">
        <v>708</v>
      </c>
      <c r="L18" t="s">
        <v>709</v>
      </c>
      <c r="M18" s="6">
        <v>12021036</v>
      </c>
      <c r="N18" s="1">
        <v>44585</v>
      </c>
      <c r="O18" t="s">
        <v>1384</v>
      </c>
      <c r="Q18" s="76"/>
      <c r="R18" t="b">
        <v>0</v>
      </c>
      <c r="S18" s="48">
        <v>92.11</v>
      </c>
      <c r="T18" s="72">
        <v>1</v>
      </c>
      <c r="U18">
        <v>20</v>
      </c>
      <c r="V18" s="31">
        <v>18.422000000000001</v>
      </c>
      <c r="W18" s="31">
        <v>18.422000000000001</v>
      </c>
      <c r="X18" s="33">
        <v>92.11</v>
      </c>
      <c r="Y18" s="29">
        <v>110.532</v>
      </c>
      <c r="Z18" s="29">
        <v>110.532</v>
      </c>
      <c r="AA18" s="35">
        <v>44696</v>
      </c>
      <c r="AB18" s="27"/>
      <c r="AC18" s="27"/>
      <c r="AD18" s="58">
        <v>92.11</v>
      </c>
      <c r="AE18" s="31">
        <v>0</v>
      </c>
      <c r="AF18" t="b">
        <v>0</v>
      </c>
      <c r="AG18" s="78">
        <v>92.11</v>
      </c>
    </row>
    <row r="19" spans="1:33" x14ac:dyDescent="0.25">
      <c r="A19" t="str">
        <f t="shared" si="0"/>
        <v>2022-18</v>
      </c>
      <c r="B19" s="1">
        <f t="shared" si="1"/>
        <v>44587</v>
      </c>
      <c r="C19" t="str">
        <f t="shared" si="2"/>
        <v>RE1081302/easyname GmbH, Fernkorngasse 10/3/501, A-1100 Wien</v>
      </c>
      <c r="D19" t="str">
        <f t="shared" si="3"/>
        <v>Ausgaben</v>
      </c>
      <c r="E19" t="str">
        <f t="shared" si="4"/>
        <v>sonstige Betriebsausgaben</v>
      </c>
      <c r="F19" s="117">
        <f t="shared" si="5"/>
        <v>24.9</v>
      </c>
      <c r="G19" t="str">
        <f t="shared" si="6"/>
        <v>20%</v>
      </c>
      <c r="I19" s="53">
        <v>2022</v>
      </c>
      <c r="J19" s="53">
        <v>18</v>
      </c>
      <c r="K19" s="71" t="s">
        <v>105</v>
      </c>
      <c r="L19" t="s">
        <v>705</v>
      </c>
      <c r="M19" s="9" t="s">
        <v>1654</v>
      </c>
      <c r="N19" s="1">
        <v>44587</v>
      </c>
      <c r="O19" t="s">
        <v>941</v>
      </c>
      <c r="Q19" s="76"/>
      <c r="R19" t="b">
        <v>0</v>
      </c>
      <c r="S19" s="48">
        <v>20.75</v>
      </c>
      <c r="T19" s="72">
        <v>1</v>
      </c>
      <c r="U19">
        <v>20</v>
      </c>
      <c r="V19" s="31">
        <v>4.1500000000000004</v>
      </c>
      <c r="W19" s="31">
        <v>4.1500000000000004</v>
      </c>
      <c r="X19" s="33">
        <v>20.75</v>
      </c>
      <c r="Y19" s="29">
        <v>24.9</v>
      </c>
      <c r="Z19" s="29">
        <v>24.9</v>
      </c>
      <c r="AA19" s="35">
        <v>44696</v>
      </c>
      <c r="AB19" s="27"/>
      <c r="AC19" s="27"/>
      <c r="AD19" s="58">
        <v>20.75</v>
      </c>
      <c r="AE19" s="31">
        <v>0</v>
      </c>
      <c r="AF19" t="b">
        <v>0</v>
      </c>
      <c r="AG19" s="78">
        <v>-20.75</v>
      </c>
    </row>
    <row r="20" spans="1:33" x14ac:dyDescent="0.25">
      <c r="A20" t="str">
        <f t="shared" si="0"/>
        <v>2022-19</v>
      </c>
      <c r="B20" s="1">
        <f t="shared" si="1"/>
        <v>44593</v>
      </c>
      <c r="C20" t="str">
        <f t="shared" si="2"/>
        <v>862295/Lemon Technologies GmbH, Unterweißenbach 181, 7330 Feldbach</v>
      </c>
      <c r="D20" t="str">
        <f t="shared" si="3"/>
        <v>Ausgaben</v>
      </c>
      <c r="E20" t="str">
        <f t="shared" si="4"/>
        <v>Waren, Rohstoffe, Hilfsstoffe</v>
      </c>
      <c r="F20" s="117">
        <f t="shared" si="5"/>
        <v>59.88000000000001</v>
      </c>
      <c r="G20" t="str">
        <f t="shared" si="6"/>
        <v>20%</v>
      </c>
      <c r="I20" s="53">
        <v>2022</v>
      </c>
      <c r="J20" s="53">
        <v>19</v>
      </c>
      <c r="K20" s="71" t="s">
        <v>105</v>
      </c>
      <c r="L20" t="s">
        <v>683</v>
      </c>
      <c r="M20" s="9" t="s">
        <v>1696</v>
      </c>
      <c r="N20" s="1">
        <v>44593</v>
      </c>
      <c r="O20" t="s">
        <v>1697</v>
      </c>
      <c r="Q20" s="76"/>
      <c r="R20" t="b">
        <v>0</v>
      </c>
      <c r="S20" s="109">
        <v>49.900000000000006</v>
      </c>
      <c r="T20" s="72">
        <v>1</v>
      </c>
      <c r="U20">
        <v>20</v>
      </c>
      <c r="V20" s="31">
        <v>9.98</v>
      </c>
      <c r="W20" s="31">
        <v>9.98</v>
      </c>
      <c r="X20" s="33">
        <v>49.900000000000006</v>
      </c>
      <c r="Y20" s="29">
        <v>59.88000000000001</v>
      </c>
      <c r="Z20" s="29">
        <v>59.88000000000001</v>
      </c>
      <c r="AA20" s="35">
        <v>44696</v>
      </c>
      <c r="AB20" s="27"/>
      <c r="AC20" s="27"/>
      <c r="AD20" s="58">
        <v>49.900000000000006</v>
      </c>
      <c r="AE20" s="31">
        <v>0</v>
      </c>
      <c r="AF20" t="b">
        <v>0</v>
      </c>
      <c r="AG20" s="78">
        <v>-49.900000000000006</v>
      </c>
    </row>
    <row r="21" spans="1:33" x14ac:dyDescent="0.25">
      <c r="A21" t="str">
        <f t="shared" si="0"/>
        <v>2022-20</v>
      </c>
      <c r="B21" s="1">
        <f t="shared" si="1"/>
        <v>44593</v>
      </c>
      <c r="C21" t="str">
        <f t="shared" si="2"/>
        <v>/Bontus Immobilienverwaltung GmbH, 1010 Wien, Franz Josefs Kai 65</v>
      </c>
      <c r="D21" t="str">
        <f t="shared" si="3"/>
        <v>Ausgaben</v>
      </c>
      <c r="E21" t="str">
        <f t="shared" si="4"/>
        <v>Miet- und Pachtaufwand, Leasing</v>
      </c>
      <c r="F21" s="117">
        <f t="shared" si="5"/>
        <v>574.43000000000006</v>
      </c>
      <c r="G21" t="str">
        <f t="shared" si="6"/>
        <v>20%</v>
      </c>
      <c r="I21" s="53">
        <v>2022</v>
      </c>
      <c r="J21" s="53">
        <v>20</v>
      </c>
      <c r="K21" s="71" t="s">
        <v>105</v>
      </c>
      <c r="L21" t="s">
        <v>691</v>
      </c>
      <c r="M21" s="9"/>
      <c r="N21" s="1">
        <v>44593</v>
      </c>
      <c r="O21" t="s">
        <v>1113</v>
      </c>
      <c r="Q21" s="76"/>
      <c r="R21" t="b">
        <v>0</v>
      </c>
      <c r="S21" s="109">
        <v>478.69166666666666</v>
      </c>
      <c r="T21" s="72">
        <v>1</v>
      </c>
      <c r="U21">
        <v>20</v>
      </c>
      <c r="V21" s="31">
        <v>95.738333333333344</v>
      </c>
      <c r="W21" s="31">
        <v>95.738333333333344</v>
      </c>
      <c r="X21" s="33">
        <v>478.69166666666666</v>
      </c>
      <c r="Y21" s="29">
        <v>574.43000000000006</v>
      </c>
      <c r="Z21" s="29">
        <v>574.43000000000006</v>
      </c>
      <c r="AA21" s="35">
        <v>44696</v>
      </c>
      <c r="AB21" s="27"/>
      <c r="AC21" s="27"/>
      <c r="AD21" s="58">
        <v>478.69166666666666</v>
      </c>
      <c r="AE21" s="31">
        <v>0</v>
      </c>
      <c r="AF21" t="b">
        <v>0</v>
      </c>
      <c r="AG21" s="78">
        <v>-478.69166666666666</v>
      </c>
    </row>
    <row r="22" spans="1:33" x14ac:dyDescent="0.25">
      <c r="A22" t="str">
        <f t="shared" si="0"/>
        <v>2022-21</v>
      </c>
      <c r="B22" s="1">
        <f t="shared" si="1"/>
        <v>44593</v>
      </c>
      <c r="C22" t="str">
        <f t="shared" si="2"/>
        <v>6236617303/Hutchison Drei Austria GmbH, Brünner Straße 52, 1210 Wien, Österreich</v>
      </c>
      <c r="D22" t="str">
        <f t="shared" si="3"/>
        <v>Ausgaben</v>
      </c>
      <c r="E22" t="str">
        <f t="shared" si="4"/>
        <v>Telefon/Internet</v>
      </c>
      <c r="F22" s="117">
        <f t="shared" si="5"/>
        <v>18</v>
      </c>
      <c r="G22" t="str">
        <f t="shared" si="6"/>
        <v>20%</v>
      </c>
      <c r="I22" s="53">
        <v>2022</v>
      </c>
      <c r="J22" s="53">
        <v>21</v>
      </c>
      <c r="K22" s="71" t="s">
        <v>105</v>
      </c>
      <c r="L22" t="s">
        <v>703</v>
      </c>
      <c r="M22" s="9" t="s">
        <v>1656</v>
      </c>
      <c r="N22" s="1">
        <v>44593</v>
      </c>
      <c r="O22" t="s">
        <v>34</v>
      </c>
      <c r="Q22" s="76"/>
      <c r="R22" t="b">
        <v>0</v>
      </c>
      <c r="S22" s="48">
        <v>15</v>
      </c>
      <c r="T22" s="72">
        <v>1</v>
      </c>
      <c r="U22">
        <v>20</v>
      </c>
      <c r="V22" s="31">
        <v>3</v>
      </c>
      <c r="W22" s="31">
        <v>3</v>
      </c>
      <c r="X22" s="33">
        <v>15</v>
      </c>
      <c r="Y22" s="29">
        <v>18</v>
      </c>
      <c r="Z22" s="29">
        <v>18</v>
      </c>
      <c r="AA22" s="35">
        <v>44696</v>
      </c>
      <c r="AB22" s="27"/>
      <c r="AC22" s="27"/>
      <c r="AD22" s="58">
        <v>15</v>
      </c>
      <c r="AE22" s="31">
        <v>0</v>
      </c>
      <c r="AF22" t="b">
        <v>0</v>
      </c>
      <c r="AG22" s="78">
        <v>-15</v>
      </c>
    </row>
    <row r="23" spans="1:33" x14ac:dyDescent="0.25">
      <c r="A23" t="str">
        <f t="shared" si="0"/>
        <v>2022-22</v>
      </c>
      <c r="B23" s="1">
        <f t="shared" si="1"/>
        <v>44594</v>
      </c>
      <c r="C23" t="str">
        <f t="shared" si="2"/>
        <v>4293000000024389/car2go Österreich GmbH, Hintere Zollamtstraße 9, 1030 Wien</v>
      </c>
      <c r="D23" t="str">
        <f t="shared" si="3"/>
        <v>Ausgaben</v>
      </c>
      <c r="E23" t="str">
        <f t="shared" si="4"/>
        <v>Reise- und Fahrtspesen inkl. Kilometergeld und Diäten</v>
      </c>
      <c r="F23" s="117">
        <f t="shared" si="5"/>
        <v>55.475999999999999</v>
      </c>
      <c r="G23" t="str">
        <f t="shared" si="6"/>
        <v>20%</v>
      </c>
      <c r="I23" s="53">
        <v>2022</v>
      </c>
      <c r="J23" s="53">
        <v>22</v>
      </c>
      <c r="K23" s="71" t="s">
        <v>105</v>
      </c>
      <c r="L23" t="s">
        <v>689</v>
      </c>
      <c r="M23" s="131" t="s">
        <v>1657</v>
      </c>
      <c r="N23" s="1">
        <v>44594</v>
      </c>
      <c r="O23" t="s">
        <v>974</v>
      </c>
      <c r="Q23" s="76"/>
      <c r="R23" t="b">
        <v>0</v>
      </c>
      <c r="S23" s="48">
        <v>46.23</v>
      </c>
      <c r="T23" s="72">
        <v>1</v>
      </c>
      <c r="U23">
        <v>20</v>
      </c>
      <c r="V23" s="31">
        <v>9.2459999999999987</v>
      </c>
      <c r="W23" s="31">
        <v>9.2459999999999987</v>
      </c>
      <c r="X23" s="33">
        <v>46.23</v>
      </c>
      <c r="Y23" s="29">
        <v>55.475999999999999</v>
      </c>
      <c r="Z23" s="29">
        <v>55.475999999999999</v>
      </c>
      <c r="AA23" s="35">
        <v>44696</v>
      </c>
      <c r="AB23" s="27"/>
      <c r="AC23" s="27"/>
      <c r="AD23" s="58">
        <v>46.23</v>
      </c>
      <c r="AE23" s="31">
        <v>0</v>
      </c>
      <c r="AF23" t="b">
        <v>0</v>
      </c>
      <c r="AG23" s="78">
        <v>-46.23</v>
      </c>
    </row>
    <row r="24" spans="1:33" x14ac:dyDescent="0.25">
      <c r="A24" t="str">
        <f t="shared" si="0"/>
        <v>2022-23</v>
      </c>
      <c r="B24" s="1">
        <f t="shared" si="1"/>
        <v>44594</v>
      </c>
      <c r="C24" t="str">
        <f t="shared" si="2"/>
        <v>4060424772/Google Ireland Ltd, Gordon House, Barrow Street, Dublin 4, Ireland; VAT number: IE 6388047V</v>
      </c>
      <c r="D24" t="str">
        <f t="shared" si="3"/>
        <v>Ausgaben</v>
      </c>
      <c r="E24" t="str">
        <f t="shared" si="4"/>
        <v>sonstige Betriebsausgaben</v>
      </c>
      <c r="F24" s="117">
        <f t="shared" si="5"/>
        <v>10.4</v>
      </c>
      <c r="G24" t="str">
        <f t="shared" si="6"/>
        <v>0%</v>
      </c>
      <c r="I24" s="53">
        <v>2022</v>
      </c>
      <c r="J24" s="53">
        <v>23</v>
      </c>
      <c r="K24" s="71" t="s">
        <v>105</v>
      </c>
      <c r="L24" t="s">
        <v>705</v>
      </c>
      <c r="M24" s="9" t="s">
        <v>1658</v>
      </c>
      <c r="N24" s="1">
        <v>44594</v>
      </c>
      <c r="O24" t="s">
        <v>1404</v>
      </c>
      <c r="Q24" s="76"/>
      <c r="R24" t="b">
        <v>0</v>
      </c>
      <c r="S24" s="109">
        <v>10.4</v>
      </c>
      <c r="T24" s="72">
        <v>1</v>
      </c>
      <c r="U24">
        <v>0</v>
      </c>
      <c r="V24" s="31">
        <v>0</v>
      </c>
      <c r="W24" s="31">
        <v>0</v>
      </c>
      <c r="X24" s="33">
        <v>10.4</v>
      </c>
      <c r="Y24" s="29">
        <v>10.4</v>
      </c>
      <c r="Z24" s="29">
        <v>10.4</v>
      </c>
      <c r="AA24" s="35">
        <v>44696</v>
      </c>
      <c r="AB24" s="27"/>
      <c r="AC24" s="27">
        <v>20</v>
      </c>
      <c r="AD24" s="58">
        <v>10.4</v>
      </c>
      <c r="AE24" s="31">
        <v>2.08</v>
      </c>
      <c r="AF24" t="b">
        <v>0</v>
      </c>
      <c r="AG24" s="78">
        <v>-10.4</v>
      </c>
    </row>
    <row r="25" spans="1:33" x14ac:dyDescent="0.25">
      <c r="A25" t="str">
        <f t="shared" si="0"/>
        <v>2022-24</v>
      </c>
      <c r="B25" s="1">
        <f t="shared" si="1"/>
        <v>44595</v>
      </c>
      <c r="C25" t="str">
        <f t="shared" si="2"/>
        <v>siehe Jahresabrechnung/easy green energy GmbH &amp; Co KG</v>
      </c>
      <c r="D25" t="str">
        <f t="shared" si="3"/>
        <v>Ausgaben</v>
      </c>
      <c r="E25" t="str">
        <f t="shared" si="4"/>
        <v>sonstige Betriebsausgaben</v>
      </c>
      <c r="F25" s="117">
        <f t="shared" si="5"/>
        <v>3</v>
      </c>
      <c r="G25" t="str">
        <f t="shared" si="6"/>
        <v>20%</v>
      </c>
      <c r="I25" s="53">
        <v>2022</v>
      </c>
      <c r="J25" s="53">
        <v>24</v>
      </c>
      <c r="K25" s="71" t="s">
        <v>105</v>
      </c>
      <c r="L25" t="s">
        <v>705</v>
      </c>
      <c r="M25" s="153" t="s">
        <v>1698</v>
      </c>
      <c r="N25" s="1">
        <v>44595</v>
      </c>
      <c r="O25" t="s">
        <v>1364</v>
      </c>
      <c r="Q25" s="76"/>
      <c r="R25" t="b">
        <v>0</v>
      </c>
      <c r="S25" s="48">
        <v>2.5</v>
      </c>
      <c r="T25" s="72">
        <v>1</v>
      </c>
      <c r="U25">
        <v>20</v>
      </c>
      <c r="V25" s="31">
        <v>0.5</v>
      </c>
      <c r="W25" s="31">
        <v>0.5</v>
      </c>
      <c r="X25" s="33">
        <v>2.5</v>
      </c>
      <c r="Y25" s="29">
        <v>3</v>
      </c>
      <c r="Z25" s="29">
        <v>3</v>
      </c>
      <c r="AA25" s="35">
        <v>44696</v>
      </c>
      <c r="AB25" s="27"/>
      <c r="AC25" s="27"/>
      <c r="AD25" s="58">
        <v>2.5</v>
      </c>
      <c r="AE25" s="31">
        <v>0</v>
      </c>
      <c r="AF25" t="b">
        <v>0</v>
      </c>
      <c r="AG25" s="78">
        <v>-2.5</v>
      </c>
    </row>
    <row r="26" spans="1:33" x14ac:dyDescent="0.25">
      <c r="A26" t="str">
        <f t="shared" si="0"/>
        <v>2022-25</v>
      </c>
      <c r="B26" s="1">
        <f t="shared" si="1"/>
        <v>44596</v>
      </c>
      <c r="C26" t="str">
        <f t="shared" si="2"/>
        <v>168041268/Hays Österreich GmbH, Bahnhof City Wien West , Europaplatz 3/5, 1150 Wien</v>
      </c>
      <c r="D26" t="str">
        <f t="shared" si="3"/>
        <v>Einnahmen</v>
      </c>
      <c r="E26" t="str">
        <f t="shared" si="4"/>
        <v>Waren-/Leistungserlöse</v>
      </c>
      <c r="F26" s="117">
        <f t="shared" si="5"/>
        <v>9446.4</v>
      </c>
      <c r="G26" t="str">
        <f t="shared" si="6"/>
        <v>20%</v>
      </c>
      <c r="I26" s="53">
        <v>2022</v>
      </c>
      <c r="J26" s="53">
        <v>25</v>
      </c>
      <c r="K26" s="71" t="s">
        <v>708</v>
      </c>
      <c r="L26" t="s">
        <v>709</v>
      </c>
      <c r="M26">
        <v>168041268</v>
      </c>
      <c r="N26" s="1">
        <v>44596</v>
      </c>
      <c r="O26" t="s">
        <v>1652</v>
      </c>
      <c r="Q26" s="76"/>
      <c r="R26" t="b">
        <v>0</v>
      </c>
      <c r="S26" s="48">
        <v>7872</v>
      </c>
      <c r="T26" s="72">
        <v>1</v>
      </c>
      <c r="U26">
        <v>20</v>
      </c>
      <c r="V26" s="31">
        <v>1574.4</v>
      </c>
      <c r="W26" s="31">
        <v>1574.4</v>
      </c>
      <c r="X26" s="33">
        <v>7872</v>
      </c>
      <c r="Y26" s="29">
        <v>9446.4</v>
      </c>
      <c r="Z26" s="29">
        <v>9446.4</v>
      </c>
      <c r="AA26" s="35">
        <v>44696</v>
      </c>
      <c r="AB26" s="27"/>
      <c r="AC26" s="27">
        <v>20</v>
      </c>
      <c r="AD26" s="58">
        <v>7872</v>
      </c>
      <c r="AE26" s="31">
        <v>1889.28</v>
      </c>
      <c r="AF26" t="b">
        <v>1</v>
      </c>
      <c r="AG26" s="78">
        <v>7872</v>
      </c>
    </row>
    <row r="27" spans="1:33" x14ac:dyDescent="0.25">
      <c r="A27" t="str">
        <f t="shared" si="0"/>
        <v>2022-26</v>
      </c>
      <c r="B27" s="1">
        <f t="shared" si="1"/>
        <v>44598</v>
      </c>
      <c r="C27" t="str">
        <f t="shared" si="2"/>
        <v>R0015102312/Hetzner Online GmbH</v>
      </c>
      <c r="D27" t="str">
        <f t="shared" si="3"/>
        <v>Ausgaben</v>
      </c>
      <c r="E27" t="str">
        <f t="shared" si="4"/>
        <v>sonstige Betriebsausgaben</v>
      </c>
      <c r="F27" s="117">
        <f t="shared" si="5"/>
        <v>2.4900000000000002</v>
      </c>
      <c r="G27" t="str">
        <f t="shared" si="6"/>
        <v>0%</v>
      </c>
      <c r="I27" s="53">
        <v>2022</v>
      </c>
      <c r="J27" s="53">
        <v>26</v>
      </c>
      <c r="K27" s="71" t="s">
        <v>105</v>
      </c>
      <c r="L27" t="s">
        <v>705</v>
      </c>
      <c r="M27" s="6" t="s">
        <v>1659</v>
      </c>
      <c r="N27" s="1">
        <v>44598</v>
      </c>
      <c r="O27" t="s">
        <v>927</v>
      </c>
      <c r="Q27" s="76" t="s">
        <v>958</v>
      </c>
      <c r="R27" t="b">
        <v>0</v>
      </c>
      <c r="S27" s="48">
        <v>2.4900000000000002</v>
      </c>
      <c r="T27" s="72">
        <v>1</v>
      </c>
      <c r="U27">
        <v>0</v>
      </c>
      <c r="V27" s="31">
        <v>0</v>
      </c>
      <c r="W27" s="31">
        <v>0</v>
      </c>
      <c r="X27" s="33">
        <v>2.4900000000000002</v>
      </c>
      <c r="Y27" s="29">
        <v>2.4900000000000002</v>
      </c>
      <c r="Z27" s="29">
        <v>2.4900000000000002</v>
      </c>
      <c r="AA27" s="35">
        <v>44696</v>
      </c>
      <c r="AB27" s="27"/>
      <c r="AC27" s="27">
        <v>20</v>
      </c>
      <c r="AD27" s="58">
        <v>2.4900000000000002</v>
      </c>
      <c r="AE27" s="31">
        <v>0.49800000000000005</v>
      </c>
      <c r="AF27" t="b">
        <v>0</v>
      </c>
      <c r="AG27" s="78">
        <v>-2.4900000000000002</v>
      </c>
    </row>
    <row r="28" spans="1:33" x14ac:dyDescent="0.25">
      <c r="A28" t="str">
        <f t="shared" si="0"/>
        <v>2022-27</v>
      </c>
      <c r="B28" s="1">
        <f t="shared" si="1"/>
        <v>44599</v>
      </c>
      <c r="C28" t="str">
        <f t="shared" si="2"/>
        <v>HKA/20-01-58835/Techem Messtechnik GmbH; Abnehmernummer 501686-0003-11-</v>
      </c>
      <c r="D28" t="str">
        <f t="shared" si="3"/>
        <v>Ausgaben</v>
      </c>
      <c r="E28" t="str">
        <f t="shared" si="4"/>
        <v>Miet- und Pachtaufwand, Leasing</v>
      </c>
      <c r="F28" s="117">
        <f t="shared" si="5"/>
        <v>88.8</v>
      </c>
      <c r="G28" t="str">
        <f t="shared" si="6"/>
        <v>20%</v>
      </c>
      <c r="I28" s="53">
        <v>2022</v>
      </c>
      <c r="J28" s="53">
        <v>27</v>
      </c>
      <c r="K28" s="71" t="s">
        <v>105</v>
      </c>
      <c r="L28" t="s">
        <v>691</v>
      </c>
      <c r="M28" s="139" t="s">
        <v>1566</v>
      </c>
      <c r="N28" s="1">
        <v>44599</v>
      </c>
      <c r="O28" t="s">
        <v>1558</v>
      </c>
      <c r="Q28" s="76"/>
      <c r="R28" t="b">
        <v>0</v>
      </c>
      <c r="S28" s="109">
        <v>74</v>
      </c>
      <c r="T28" s="72">
        <v>1</v>
      </c>
      <c r="U28">
        <v>20</v>
      </c>
      <c r="V28" s="31">
        <v>14.8</v>
      </c>
      <c r="W28" s="31">
        <v>14.8</v>
      </c>
      <c r="X28" s="33">
        <v>74</v>
      </c>
      <c r="Y28" s="29">
        <v>88.8</v>
      </c>
      <c r="Z28" s="29">
        <v>88.8</v>
      </c>
      <c r="AA28" s="35">
        <v>44696</v>
      </c>
      <c r="AB28" s="27"/>
      <c r="AC28" s="27"/>
      <c r="AD28" s="58">
        <v>74</v>
      </c>
      <c r="AE28" s="31">
        <v>0</v>
      </c>
      <c r="AF28" t="b">
        <v>0</v>
      </c>
      <c r="AG28" s="78">
        <v>-74</v>
      </c>
    </row>
    <row r="29" spans="1:33" x14ac:dyDescent="0.25">
      <c r="A29" t="str">
        <f t="shared" si="0"/>
        <v>2022-28</v>
      </c>
      <c r="B29" s="1">
        <f t="shared" si="1"/>
        <v>44602</v>
      </c>
      <c r="C29" t="str">
        <f t="shared" si="2"/>
        <v>220008996902/Wiener Netze GmbH, Erdbergstraße 236, 1110 Wien, Postfach 422; Jahresabrechnung vom 17.12.20: GUTSCHRIFT</v>
      </c>
      <c r="D29" t="str">
        <f t="shared" si="3"/>
        <v>Ausgaben</v>
      </c>
      <c r="E29" t="str">
        <f t="shared" si="4"/>
        <v>sonstige Betriebsausgaben</v>
      </c>
      <c r="F29" s="117">
        <f t="shared" si="5"/>
        <v>13.2</v>
      </c>
      <c r="G29" t="str">
        <f t="shared" si="6"/>
        <v>20%</v>
      </c>
      <c r="I29" s="53">
        <v>2022</v>
      </c>
      <c r="J29" s="53">
        <v>28</v>
      </c>
      <c r="K29" s="71" t="s">
        <v>105</v>
      </c>
      <c r="L29" t="s">
        <v>705</v>
      </c>
      <c r="M29" s="139" t="s">
        <v>1649</v>
      </c>
      <c r="N29" s="1">
        <v>44602</v>
      </c>
      <c r="O29" t="s">
        <v>1466</v>
      </c>
      <c r="Q29" s="76"/>
      <c r="R29" t="b">
        <v>0</v>
      </c>
      <c r="S29" s="48">
        <v>11</v>
      </c>
      <c r="T29" s="72">
        <v>1</v>
      </c>
      <c r="U29">
        <v>20</v>
      </c>
      <c r="V29" s="31">
        <v>2.2000000000000002</v>
      </c>
      <c r="W29" s="31">
        <v>2.2000000000000002</v>
      </c>
      <c r="X29" s="33">
        <v>11</v>
      </c>
      <c r="Y29" s="29">
        <v>13.2</v>
      </c>
      <c r="Z29" s="29">
        <v>13.2</v>
      </c>
      <c r="AA29" s="35">
        <v>44696</v>
      </c>
      <c r="AB29" s="27"/>
      <c r="AC29" s="27"/>
      <c r="AD29" s="58">
        <v>11</v>
      </c>
      <c r="AE29" s="31">
        <v>0</v>
      </c>
      <c r="AF29" t="b">
        <v>0</v>
      </c>
      <c r="AG29" s="78">
        <v>-11</v>
      </c>
    </row>
    <row r="30" spans="1:33" x14ac:dyDescent="0.25">
      <c r="A30" t="str">
        <f t="shared" si="0"/>
        <v>2022-29</v>
      </c>
      <c r="B30" s="1">
        <f t="shared" si="1"/>
        <v>44603</v>
      </c>
      <c r="C30" t="str">
        <f t="shared" si="2"/>
        <v>R00014950471/Hetzner Online GmbH</v>
      </c>
      <c r="D30" t="str">
        <f t="shared" si="3"/>
        <v>Ausgaben</v>
      </c>
      <c r="E30" t="str">
        <f t="shared" si="4"/>
        <v>sonstige Betriebsausgaben</v>
      </c>
      <c r="F30" s="117">
        <f t="shared" si="5"/>
        <v>47.776499999999999</v>
      </c>
      <c r="G30" t="str">
        <f t="shared" si="6"/>
        <v>0%</v>
      </c>
      <c r="I30" s="53">
        <v>2022</v>
      </c>
      <c r="J30" s="53">
        <v>29</v>
      </c>
      <c r="K30" s="71" t="s">
        <v>105</v>
      </c>
      <c r="L30" t="s">
        <v>705</v>
      </c>
      <c r="M30" s="9" t="s">
        <v>1650</v>
      </c>
      <c r="N30" s="1">
        <v>44603</v>
      </c>
      <c r="O30" t="s">
        <v>927</v>
      </c>
      <c r="Q30" s="76"/>
      <c r="R30" t="b">
        <v>0</v>
      </c>
      <c r="S30" s="48">
        <v>47.776499999999999</v>
      </c>
      <c r="T30" s="72">
        <v>1</v>
      </c>
      <c r="U30">
        <v>0</v>
      </c>
      <c r="V30" s="31">
        <v>0</v>
      </c>
      <c r="W30" s="31">
        <v>0</v>
      </c>
      <c r="X30" s="33">
        <v>47.776499999999999</v>
      </c>
      <c r="Y30" s="29">
        <v>47.776499999999999</v>
      </c>
      <c r="Z30" s="29">
        <v>47.776499999999999</v>
      </c>
      <c r="AA30" s="35">
        <v>44696</v>
      </c>
      <c r="AB30" s="27"/>
      <c r="AC30" s="27">
        <v>20</v>
      </c>
      <c r="AD30" s="58">
        <v>47.776499999999999</v>
      </c>
      <c r="AE30" s="31">
        <v>9.5553000000000008</v>
      </c>
      <c r="AF30" t="b">
        <v>0</v>
      </c>
      <c r="AG30" s="78">
        <v>-47.776499999999999</v>
      </c>
    </row>
    <row r="31" spans="1:33" x14ac:dyDescent="0.25">
      <c r="A31" t="str">
        <f t="shared" si="0"/>
        <v>2022-30</v>
      </c>
      <c r="B31" s="1">
        <f t="shared" si="1"/>
        <v>44608</v>
      </c>
      <c r="C31" t="str">
        <f t="shared" si="2"/>
        <v>12022002/DCF - Digital Coding Factory GmbH, Bauernfeldgasse 4/12 1090 Wien</v>
      </c>
      <c r="D31" t="str">
        <f t="shared" si="3"/>
        <v>Einnahmen</v>
      </c>
      <c r="E31" t="str">
        <f t="shared" si="4"/>
        <v>Waren-/Leistungserlöse</v>
      </c>
      <c r="F31" s="117">
        <f t="shared" si="5"/>
        <v>2.9880000000000004</v>
      </c>
      <c r="G31" t="str">
        <f t="shared" si="6"/>
        <v>20%</v>
      </c>
      <c r="I31" s="53">
        <v>2022</v>
      </c>
      <c r="J31" s="53">
        <v>30</v>
      </c>
      <c r="K31" s="71" t="s">
        <v>708</v>
      </c>
      <c r="L31" t="s">
        <v>709</v>
      </c>
      <c r="M31" s="9" t="s">
        <v>1660</v>
      </c>
      <c r="N31" s="1">
        <v>44608</v>
      </c>
      <c r="O31" t="s">
        <v>1266</v>
      </c>
      <c r="Q31" s="76"/>
      <c r="R31" t="b">
        <v>0</v>
      </c>
      <c r="S31" s="48">
        <v>2.4900000000000002</v>
      </c>
      <c r="T31" s="72">
        <v>1</v>
      </c>
      <c r="U31">
        <v>20</v>
      </c>
      <c r="V31" s="31">
        <v>0.49800000000000005</v>
      </c>
      <c r="W31" s="31">
        <v>0.49800000000000005</v>
      </c>
      <c r="X31" s="33">
        <v>2.4900000000000002</v>
      </c>
      <c r="Y31" s="29">
        <v>2.9880000000000004</v>
      </c>
      <c r="Z31" s="29">
        <v>2.9880000000000004</v>
      </c>
      <c r="AA31" s="35">
        <v>44696</v>
      </c>
      <c r="AB31" s="27"/>
      <c r="AC31" s="27"/>
      <c r="AD31" s="58">
        <v>2.4900000000000002</v>
      </c>
      <c r="AE31" s="31">
        <v>0</v>
      </c>
      <c r="AF31" t="b">
        <v>0</v>
      </c>
      <c r="AG31" s="78">
        <v>2.4900000000000002</v>
      </c>
    </row>
    <row r="32" spans="1:33" x14ac:dyDescent="0.25">
      <c r="A32" t="str">
        <f t="shared" si="0"/>
        <v>2022-31</v>
      </c>
      <c r="B32" s="1">
        <f t="shared" si="1"/>
        <v>44613</v>
      </c>
      <c r="C32" t="str">
        <f t="shared" si="2"/>
        <v>E0600HALL6/Microsoft Ireland Operations Ltd. One Microsoft Place, South County, Business Park, Leopardstown, Dublin 18, D18 P521, Ireland</v>
      </c>
      <c r="D32" t="str">
        <f t="shared" si="3"/>
        <v>Ausgaben</v>
      </c>
      <c r="E32" t="str">
        <f t="shared" si="4"/>
        <v>sonstige Betriebsausgaben</v>
      </c>
      <c r="F32" s="117">
        <f t="shared" si="5"/>
        <v>10.5</v>
      </c>
      <c r="G32" t="str">
        <f t="shared" si="6"/>
        <v>0%</v>
      </c>
      <c r="I32" s="53">
        <v>2022</v>
      </c>
      <c r="J32" s="53">
        <v>31</v>
      </c>
      <c r="K32" s="71" t="s">
        <v>105</v>
      </c>
      <c r="L32" t="s">
        <v>705</v>
      </c>
      <c r="M32" s="6" t="s">
        <v>1661</v>
      </c>
      <c r="N32" s="1">
        <v>44613</v>
      </c>
      <c r="O32" t="s">
        <v>1032</v>
      </c>
      <c r="Q32" s="76"/>
      <c r="R32" t="b">
        <v>0</v>
      </c>
      <c r="S32" s="48">
        <v>10.5</v>
      </c>
      <c r="T32" s="72">
        <v>1</v>
      </c>
      <c r="U32">
        <v>0</v>
      </c>
      <c r="V32" s="31">
        <v>0</v>
      </c>
      <c r="W32" s="31">
        <v>0</v>
      </c>
      <c r="X32" s="33">
        <v>10.5</v>
      </c>
      <c r="Y32" s="29">
        <v>10.5</v>
      </c>
      <c r="Z32" s="29">
        <v>10.5</v>
      </c>
      <c r="AA32" s="35">
        <v>44696</v>
      </c>
      <c r="AB32" s="27"/>
      <c r="AC32" s="27">
        <v>20</v>
      </c>
      <c r="AD32" s="58">
        <v>10.5</v>
      </c>
      <c r="AE32" s="31">
        <v>2.1</v>
      </c>
      <c r="AF32" t="b">
        <v>0</v>
      </c>
      <c r="AG32" s="78">
        <v>-10.5</v>
      </c>
    </row>
    <row r="33" spans="1:33" x14ac:dyDescent="0.25">
      <c r="A33" t="str">
        <f t="shared" si="0"/>
        <v>2022-32</v>
      </c>
      <c r="B33" s="1">
        <f t="shared" si="1"/>
        <v>44613</v>
      </c>
      <c r="C33" t="str">
        <f t="shared" si="2"/>
        <v>901188460222/Magenta: T-Mobile Austria GmbH, A-1120 Wien, PF 47</v>
      </c>
      <c r="D33" t="str">
        <f t="shared" si="3"/>
        <v>Ausgaben</v>
      </c>
      <c r="E33" t="str">
        <f t="shared" si="4"/>
        <v>Telefon/Internet</v>
      </c>
      <c r="F33" s="117">
        <f t="shared" si="5"/>
        <v>38.304000000000002</v>
      </c>
      <c r="G33" t="str">
        <f t="shared" si="6"/>
        <v>20%</v>
      </c>
      <c r="I33" s="53">
        <v>2022</v>
      </c>
      <c r="J33" s="53">
        <v>32</v>
      </c>
      <c r="K33" s="71" t="s">
        <v>105</v>
      </c>
      <c r="L33" t="s">
        <v>703</v>
      </c>
      <c r="M33" s="131" t="s">
        <v>1662</v>
      </c>
      <c r="N33" s="1">
        <v>44613</v>
      </c>
      <c r="O33" t="s">
        <v>1148</v>
      </c>
      <c r="Q33" s="76"/>
      <c r="R33" t="b">
        <v>0</v>
      </c>
      <c r="S33" s="48">
        <v>31.92</v>
      </c>
      <c r="T33" s="72">
        <v>1</v>
      </c>
      <c r="U33">
        <v>20</v>
      </c>
      <c r="V33" s="31">
        <v>6.3840000000000012</v>
      </c>
      <c r="W33" s="31">
        <v>6.3840000000000012</v>
      </c>
      <c r="X33" s="33">
        <v>31.92</v>
      </c>
      <c r="Y33" s="29">
        <v>38.304000000000002</v>
      </c>
      <c r="Z33" s="29">
        <v>38.304000000000002</v>
      </c>
      <c r="AA33" s="35">
        <v>44696</v>
      </c>
      <c r="AB33" s="27"/>
      <c r="AC33" s="27"/>
      <c r="AD33" s="58">
        <v>31.92</v>
      </c>
      <c r="AE33" s="31">
        <v>0</v>
      </c>
      <c r="AF33" t="b">
        <v>0</v>
      </c>
      <c r="AG33" s="78">
        <v>-31.92</v>
      </c>
    </row>
    <row r="34" spans="1:33" x14ac:dyDescent="0.25">
      <c r="A34" t="str">
        <f t="shared" ref="A34:A65" si="7">I34&amp;"-"&amp;J34</f>
        <v>2022-33</v>
      </c>
      <c r="B34" s="1">
        <f t="shared" ref="B34:B65" si="8">N34</f>
        <v>44615</v>
      </c>
      <c r="C34" t="str">
        <f t="shared" ref="C34:C65" si="9">M34&amp;"/"&amp;O34</f>
        <v>11561270283/Sozialversicherung der gewerblichen Wirtshaft</v>
      </c>
      <c r="D34" t="str">
        <f t="shared" ref="D34:D65" si="10">K34</f>
        <v>Ausgaben</v>
      </c>
      <c r="E34" t="str">
        <f t="shared" ref="E34:E65" si="11">L34</f>
        <v>Pflichversicherungsbeiträge</v>
      </c>
      <c r="F34" s="117">
        <f t="shared" ref="F34:F65" si="12">Z34</f>
        <v>1191.5999999999999</v>
      </c>
      <c r="G34" t="str">
        <f t="shared" ref="G34:G65" si="13">U34&amp;"%"</f>
        <v>0%</v>
      </c>
      <c r="I34" s="53">
        <v>2022</v>
      </c>
      <c r="J34" s="53">
        <v>33</v>
      </c>
      <c r="K34" s="71" t="s">
        <v>105</v>
      </c>
      <c r="L34" t="s">
        <v>695</v>
      </c>
      <c r="M34" s="9">
        <v>11561270283</v>
      </c>
      <c r="N34" s="1">
        <v>44615</v>
      </c>
      <c r="O34" t="s">
        <v>952</v>
      </c>
      <c r="Q34" s="76"/>
      <c r="R34" t="b">
        <v>0</v>
      </c>
      <c r="S34" s="48">
        <v>1191.5999999999999</v>
      </c>
      <c r="T34" s="72">
        <v>1</v>
      </c>
      <c r="U34">
        <v>0</v>
      </c>
      <c r="V34" s="31">
        <v>0</v>
      </c>
      <c r="W34" s="31">
        <v>0</v>
      </c>
      <c r="X34" s="33">
        <v>1191.5999999999999</v>
      </c>
      <c r="Y34" s="29">
        <v>1191.5999999999999</v>
      </c>
      <c r="Z34" s="29">
        <v>1191.5999999999999</v>
      </c>
      <c r="AA34" s="35">
        <v>44696</v>
      </c>
      <c r="AB34" s="27"/>
      <c r="AC34" s="27"/>
      <c r="AD34" s="58">
        <v>1191.5999999999999</v>
      </c>
      <c r="AE34" s="31">
        <v>0</v>
      </c>
      <c r="AF34" t="b">
        <v>0</v>
      </c>
      <c r="AG34" s="78">
        <v>-1191.5999999999999</v>
      </c>
    </row>
    <row r="35" spans="1:33" x14ac:dyDescent="0.25">
      <c r="A35" t="str">
        <f t="shared" si="7"/>
        <v>2022-34</v>
      </c>
      <c r="B35" s="1">
        <f t="shared" si="8"/>
        <v>44615</v>
      </c>
      <c r="C35" t="str">
        <f t="shared" si="9"/>
        <v>BELEG FEHLT/Lemon Technologies GmbH, Unterweißenbach 181, 7330 Feldbach: Bildschirm</v>
      </c>
      <c r="D35" t="str">
        <f t="shared" si="10"/>
        <v>Ausgaben</v>
      </c>
      <c r="E35" t="str">
        <f t="shared" si="11"/>
        <v>Waren, Rohstoffe, Hilfsstoffe</v>
      </c>
      <c r="F35" s="117">
        <f t="shared" si="12"/>
        <v>674.91</v>
      </c>
      <c r="G35" t="str">
        <f t="shared" si="13"/>
        <v>20%</v>
      </c>
      <c r="I35" s="53">
        <v>2022</v>
      </c>
      <c r="J35" s="53">
        <v>34</v>
      </c>
      <c r="K35" s="71" t="s">
        <v>105</v>
      </c>
      <c r="L35" t="s">
        <v>683</v>
      </c>
      <c r="M35" s="61" t="s">
        <v>1064</v>
      </c>
      <c r="N35" s="1">
        <v>44615</v>
      </c>
      <c r="O35" t="s">
        <v>1238</v>
      </c>
      <c r="Q35" s="76"/>
      <c r="R35" t="b">
        <v>0</v>
      </c>
      <c r="S35" s="90">
        <v>562.42499999999995</v>
      </c>
      <c r="T35" s="72">
        <v>1</v>
      </c>
      <c r="U35">
        <v>20</v>
      </c>
      <c r="V35" s="31">
        <v>112.485</v>
      </c>
      <c r="W35" s="31">
        <v>112.485</v>
      </c>
      <c r="X35" s="33">
        <v>562.42499999999995</v>
      </c>
      <c r="Y35" s="29">
        <v>674.91</v>
      </c>
      <c r="Z35" s="29">
        <v>674.91</v>
      </c>
      <c r="AA35" s="35">
        <v>44696</v>
      </c>
      <c r="AB35" s="27"/>
      <c r="AC35" s="27"/>
      <c r="AD35" s="58">
        <v>562.42499999999995</v>
      </c>
      <c r="AE35" s="31">
        <v>0</v>
      </c>
      <c r="AF35" t="b">
        <v>0</v>
      </c>
      <c r="AG35" s="78">
        <v>-562.42499999999995</v>
      </c>
    </row>
    <row r="36" spans="1:33" x14ac:dyDescent="0.25">
      <c r="A36" t="str">
        <f t="shared" si="7"/>
        <v>2022-35</v>
      </c>
      <c r="B36" s="1">
        <f t="shared" si="8"/>
        <v>44619</v>
      </c>
      <c r="C36" t="str">
        <f t="shared" si="9"/>
        <v>R22339190/e-tec electronic GmbH, Atterseestra0e 121, 4850 Timelkam</v>
      </c>
      <c r="D36" t="str">
        <f t="shared" si="10"/>
        <v>Ausgaben</v>
      </c>
      <c r="E36" t="str">
        <f t="shared" si="11"/>
        <v>sonstige Betriebsausgaben</v>
      </c>
      <c r="F36" s="117">
        <f t="shared" si="12"/>
        <v>890.35</v>
      </c>
      <c r="G36" t="str">
        <f t="shared" si="13"/>
        <v>20%</v>
      </c>
      <c r="I36" s="53">
        <v>2022</v>
      </c>
      <c r="J36" s="53">
        <v>35</v>
      </c>
      <c r="K36" s="71" t="s">
        <v>105</v>
      </c>
      <c r="L36" t="s">
        <v>705</v>
      </c>
      <c r="M36" s="139" t="s">
        <v>1664</v>
      </c>
      <c r="N36" s="1">
        <v>44619</v>
      </c>
      <c r="O36" t="s">
        <v>1663</v>
      </c>
      <c r="Q36" s="76"/>
      <c r="R36" t="b">
        <v>0</v>
      </c>
      <c r="S36" s="90">
        <v>741.95833333333337</v>
      </c>
      <c r="T36" s="72">
        <v>1</v>
      </c>
      <c r="U36">
        <v>20</v>
      </c>
      <c r="V36" s="31">
        <v>148.39166666666668</v>
      </c>
      <c r="W36" s="31">
        <v>148.39166666666668</v>
      </c>
      <c r="X36" s="33">
        <v>741.95833333333337</v>
      </c>
      <c r="Y36" s="29">
        <v>890.35</v>
      </c>
      <c r="Z36" s="29">
        <v>890.35</v>
      </c>
      <c r="AA36" s="35">
        <v>44696</v>
      </c>
      <c r="AB36" s="27"/>
      <c r="AC36" s="27"/>
      <c r="AD36" s="58">
        <v>741.95833333333337</v>
      </c>
      <c r="AE36" s="31">
        <v>0</v>
      </c>
      <c r="AF36" t="b">
        <v>0</v>
      </c>
      <c r="AG36" s="78">
        <v>-741.95833333333337</v>
      </c>
    </row>
    <row r="37" spans="1:33" x14ac:dyDescent="0.25">
      <c r="A37" t="str">
        <f t="shared" si="7"/>
        <v>2022-36</v>
      </c>
      <c r="B37" s="1">
        <f t="shared" si="8"/>
        <v>44621</v>
      </c>
      <c r="C37" t="str">
        <f t="shared" si="9"/>
        <v>/Bontus Immobilienverwaltung GmbH, 1010 Wien, Franz Josefs Kai 65</v>
      </c>
      <c r="D37" t="str">
        <f t="shared" si="10"/>
        <v>Ausgaben</v>
      </c>
      <c r="E37" t="str">
        <f t="shared" si="11"/>
        <v>Miet- und Pachtaufwand, Leasing</v>
      </c>
      <c r="F37" s="117">
        <f t="shared" si="12"/>
        <v>574.43000000000006</v>
      </c>
      <c r="G37" t="str">
        <f t="shared" si="13"/>
        <v>20%</v>
      </c>
      <c r="I37" s="53">
        <v>2022</v>
      </c>
      <c r="J37" s="53">
        <v>36</v>
      </c>
      <c r="K37" s="71" t="s">
        <v>105</v>
      </c>
      <c r="L37" t="s">
        <v>691</v>
      </c>
      <c r="M37" s="9"/>
      <c r="N37" s="1">
        <v>44621</v>
      </c>
      <c r="O37" t="s">
        <v>1113</v>
      </c>
      <c r="Q37" s="76"/>
      <c r="R37" t="b">
        <v>0</v>
      </c>
      <c r="S37" s="109">
        <v>478.69166666666666</v>
      </c>
      <c r="T37" s="72">
        <v>1</v>
      </c>
      <c r="U37">
        <v>20</v>
      </c>
      <c r="V37" s="31">
        <v>95.738333333333344</v>
      </c>
      <c r="W37" s="31">
        <v>95.738333333333344</v>
      </c>
      <c r="X37" s="33">
        <v>478.69166666666666</v>
      </c>
      <c r="Y37" s="29">
        <v>574.43000000000006</v>
      </c>
      <c r="Z37" s="29">
        <v>574.43000000000006</v>
      </c>
      <c r="AA37" s="35">
        <v>44696</v>
      </c>
      <c r="AB37" s="27"/>
      <c r="AC37" s="27"/>
      <c r="AD37" s="58">
        <v>478.69166666666666</v>
      </c>
      <c r="AE37" s="31">
        <v>0</v>
      </c>
      <c r="AF37" t="b">
        <v>0</v>
      </c>
      <c r="AG37" s="78">
        <v>-478.69166666666666</v>
      </c>
    </row>
    <row r="38" spans="1:33" x14ac:dyDescent="0.25">
      <c r="A38" t="str">
        <f t="shared" si="7"/>
        <v>2022-37</v>
      </c>
      <c r="B38" s="1">
        <f t="shared" si="8"/>
        <v>44622</v>
      </c>
      <c r="C38" t="str">
        <f t="shared" si="9"/>
        <v>4293000000024831/car2go Österreich GmbH, Hintere Zollamtstraße 9, 1030 Wien</v>
      </c>
      <c r="D38" t="str">
        <f t="shared" si="10"/>
        <v>Ausgaben</v>
      </c>
      <c r="E38" t="str">
        <f t="shared" si="11"/>
        <v>Reise- und Fahrtspesen inkl. Kilometergeld und Diäten</v>
      </c>
      <c r="F38" s="117">
        <f t="shared" si="12"/>
        <v>53.256</v>
      </c>
      <c r="G38" t="str">
        <f t="shared" si="13"/>
        <v>20%</v>
      </c>
      <c r="I38" s="53">
        <v>2022</v>
      </c>
      <c r="J38" s="53">
        <v>37</v>
      </c>
      <c r="K38" s="71" t="s">
        <v>105</v>
      </c>
      <c r="L38" t="s">
        <v>689</v>
      </c>
      <c r="M38" s="131" t="s">
        <v>1665</v>
      </c>
      <c r="N38" s="1">
        <v>44622</v>
      </c>
      <c r="O38" t="s">
        <v>974</v>
      </c>
      <c r="Q38" s="76"/>
      <c r="R38" t="b">
        <v>0</v>
      </c>
      <c r="S38" s="48">
        <v>44.38</v>
      </c>
      <c r="T38" s="72">
        <v>1</v>
      </c>
      <c r="U38">
        <v>20</v>
      </c>
      <c r="V38" s="31">
        <v>8.8759999999999994</v>
      </c>
      <c r="W38" s="31">
        <v>8.8759999999999994</v>
      </c>
      <c r="X38" s="33">
        <v>44.38</v>
      </c>
      <c r="Y38" s="29">
        <v>53.256</v>
      </c>
      <c r="Z38" s="29">
        <v>53.256</v>
      </c>
      <c r="AA38" s="35">
        <v>44696</v>
      </c>
      <c r="AB38" s="27"/>
      <c r="AC38" s="27"/>
      <c r="AD38" s="58">
        <v>44.38</v>
      </c>
      <c r="AE38" s="31">
        <v>0</v>
      </c>
      <c r="AF38" t="b">
        <v>0</v>
      </c>
      <c r="AG38" s="78">
        <v>-44.38</v>
      </c>
    </row>
    <row r="39" spans="1:33" x14ac:dyDescent="0.25">
      <c r="A39" t="str">
        <f t="shared" si="7"/>
        <v>2022-38</v>
      </c>
      <c r="B39" s="1">
        <f t="shared" si="8"/>
        <v>44623</v>
      </c>
      <c r="C39" t="str">
        <f t="shared" si="9"/>
        <v>siehe Jahresabrechnung/easy green energy GmbH &amp; Co KG</v>
      </c>
      <c r="D39" t="str">
        <f t="shared" si="10"/>
        <v>Ausgaben</v>
      </c>
      <c r="E39" t="str">
        <f t="shared" si="11"/>
        <v>sonstige Betriebsausgaben</v>
      </c>
      <c r="F39" s="117">
        <f t="shared" si="12"/>
        <v>3</v>
      </c>
      <c r="G39" t="str">
        <f t="shared" si="13"/>
        <v>20%</v>
      </c>
      <c r="I39" s="53">
        <v>2022</v>
      </c>
      <c r="J39" s="53">
        <v>38</v>
      </c>
      <c r="K39" s="71" t="s">
        <v>105</v>
      </c>
      <c r="L39" t="s">
        <v>705</v>
      </c>
      <c r="M39" s="153" t="s">
        <v>1698</v>
      </c>
      <c r="N39" s="1">
        <v>44623</v>
      </c>
      <c r="O39" t="s">
        <v>1364</v>
      </c>
      <c r="Q39" s="76"/>
      <c r="R39" t="b">
        <v>0</v>
      </c>
      <c r="S39" s="90">
        <v>2.5</v>
      </c>
      <c r="T39" s="72">
        <v>1</v>
      </c>
      <c r="U39">
        <v>20</v>
      </c>
      <c r="V39" s="31">
        <v>0.5</v>
      </c>
      <c r="W39" s="31">
        <v>0.5</v>
      </c>
      <c r="X39" s="33">
        <v>2.5</v>
      </c>
      <c r="Y39" s="29">
        <v>3</v>
      </c>
      <c r="Z39" s="29">
        <v>3</v>
      </c>
      <c r="AA39" s="35">
        <v>44696</v>
      </c>
      <c r="AB39" s="27"/>
      <c r="AC39" s="27"/>
      <c r="AD39" s="58">
        <v>2.5</v>
      </c>
      <c r="AE39" s="31">
        <v>0</v>
      </c>
      <c r="AF39" t="b">
        <v>0</v>
      </c>
      <c r="AG39" s="78">
        <v>-2.5</v>
      </c>
    </row>
    <row r="40" spans="1:33" x14ac:dyDescent="0.25">
      <c r="A40" t="str">
        <f t="shared" si="7"/>
        <v>2022-39</v>
      </c>
      <c r="B40" s="1">
        <f t="shared" si="8"/>
        <v>44623</v>
      </c>
      <c r="C40" t="str">
        <f t="shared" si="9"/>
        <v>4076656399/Google Ireland Ltd, Gordon House, Barrow Street, Dublin 4, Ireland; VAT number: IE 6388047V</v>
      </c>
      <c r="D40" t="str">
        <f t="shared" si="10"/>
        <v>Ausgaben</v>
      </c>
      <c r="E40" t="str">
        <f t="shared" si="11"/>
        <v>sonstige Betriebsausgaben</v>
      </c>
      <c r="F40" s="117">
        <f t="shared" si="12"/>
        <v>10.4</v>
      </c>
      <c r="G40" t="str">
        <f t="shared" si="13"/>
        <v>0%</v>
      </c>
      <c r="I40" s="53">
        <v>2022</v>
      </c>
      <c r="J40" s="53">
        <v>39</v>
      </c>
      <c r="K40" s="71" t="s">
        <v>105</v>
      </c>
      <c r="L40" t="s">
        <v>705</v>
      </c>
      <c r="M40" s="9" t="s">
        <v>1666</v>
      </c>
      <c r="N40" s="1">
        <v>44623</v>
      </c>
      <c r="O40" t="s">
        <v>1404</v>
      </c>
      <c r="Q40" s="76"/>
      <c r="R40" t="b">
        <v>0</v>
      </c>
      <c r="S40" s="109">
        <v>10.4</v>
      </c>
      <c r="T40" s="72">
        <v>1</v>
      </c>
      <c r="U40">
        <v>0</v>
      </c>
      <c r="V40" s="31">
        <v>0</v>
      </c>
      <c r="W40" s="31">
        <v>0</v>
      </c>
      <c r="X40" s="33">
        <v>10.4</v>
      </c>
      <c r="Y40" s="29">
        <v>10.4</v>
      </c>
      <c r="Z40" s="29">
        <v>10.4</v>
      </c>
      <c r="AA40" s="35">
        <v>44696</v>
      </c>
      <c r="AB40" s="27"/>
      <c r="AC40" s="27">
        <v>20</v>
      </c>
      <c r="AD40" s="58">
        <v>10.4</v>
      </c>
      <c r="AE40" s="31">
        <v>2.08</v>
      </c>
      <c r="AF40" t="b">
        <v>0</v>
      </c>
      <c r="AG40" s="78">
        <v>-10.4</v>
      </c>
    </row>
    <row r="41" spans="1:33" x14ac:dyDescent="0.25">
      <c r="A41" t="str">
        <f t="shared" si="7"/>
        <v>2022-40</v>
      </c>
      <c r="B41" s="1">
        <f t="shared" si="8"/>
        <v>44624</v>
      </c>
      <c r="C41" t="str">
        <f t="shared" si="9"/>
        <v>HKA/20-01-58835/Techem Messtechnik GmbH; Abnehmernummer 501686-0003-11-</v>
      </c>
      <c r="D41" t="str">
        <f t="shared" si="10"/>
        <v>Ausgaben</v>
      </c>
      <c r="E41" t="str">
        <f t="shared" si="11"/>
        <v>Miet- und Pachtaufwand, Leasing</v>
      </c>
      <c r="F41" s="117">
        <f t="shared" si="12"/>
        <v>147.12</v>
      </c>
      <c r="G41" t="str">
        <f t="shared" si="13"/>
        <v>20%</v>
      </c>
      <c r="I41" s="53">
        <v>2022</v>
      </c>
      <c r="J41" s="53">
        <v>40</v>
      </c>
      <c r="K41" s="71" t="s">
        <v>105</v>
      </c>
      <c r="L41" t="s">
        <v>691</v>
      </c>
      <c r="M41" s="139" t="s">
        <v>1566</v>
      </c>
      <c r="N41" s="1">
        <v>44624</v>
      </c>
      <c r="O41" t="s">
        <v>1558</v>
      </c>
      <c r="Q41" s="76"/>
      <c r="R41" t="b">
        <v>0</v>
      </c>
      <c r="S41" s="109">
        <v>122.6</v>
      </c>
      <c r="T41" s="72">
        <v>1</v>
      </c>
      <c r="U41">
        <v>20</v>
      </c>
      <c r="V41" s="31">
        <v>24.52</v>
      </c>
      <c r="W41" s="31">
        <v>24.52</v>
      </c>
      <c r="X41" s="33">
        <v>122.6</v>
      </c>
      <c r="Y41" s="29">
        <v>147.12</v>
      </c>
      <c r="Z41" s="29">
        <v>147.12</v>
      </c>
      <c r="AA41" s="35">
        <v>44696</v>
      </c>
      <c r="AB41" s="27"/>
      <c r="AC41" s="27"/>
      <c r="AD41" s="58">
        <v>122.6</v>
      </c>
      <c r="AE41" s="31">
        <v>0</v>
      </c>
      <c r="AF41" t="b">
        <v>0</v>
      </c>
      <c r="AG41" s="78">
        <v>-122.6</v>
      </c>
    </row>
    <row r="42" spans="1:33" x14ac:dyDescent="0.25">
      <c r="A42" t="str">
        <f t="shared" si="7"/>
        <v>2022-41</v>
      </c>
      <c r="B42" s="1">
        <f t="shared" si="8"/>
        <v>44625</v>
      </c>
      <c r="C42" t="str">
        <f t="shared" si="9"/>
        <v>/Wirtschaftskammer Wien Grundumlagen, Straße der Wiener Wirtschaft 1, 1020 Wien: GU UBIT</v>
      </c>
      <c r="D42" t="str">
        <f t="shared" si="10"/>
        <v>Ausgaben</v>
      </c>
      <c r="E42" t="str">
        <f t="shared" si="11"/>
        <v>sonstige Betriebsausgaben</v>
      </c>
      <c r="F42" s="117">
        <f t="shared" si="12"/>
        <v>65</v>
      </c>
      <c r="G42" t="str">
        <f t="shared" si="13"/>
        <v>0%</v>
      </c>
      <c r="I42" s="53">
        <v>2022</v>
      </c>
      <c r="J42" s="53">
        <v>41</v>
      </c>
      <c r="K42" s="71" t="s">
        <v>105</v>
      </c>
      <c r="L42" t="s">
        <v>705</v>
      </c>
      <c r="M42" s="61"/>
      <c r="N42" s="1">
        <v>44625</v>
      </c>
      <c r="O42" t="s">
        <v>1021</v>
      </c>
      <c r="Q42" s="76"/>
      <c r="R42" t="b">
        <v>0</v>
      </c>
      <c r="S42" s="48">
        <v>65</v>
      </c>
      <c r="T42" s="72">
        <v>1</v>
      </c>
      <c r="U42">
        <v>0</v>
      </c>
      <c r="V42" s="31">
        <v>0</v>
      </c>
      <c r="W42" s="31">
        <v>0</v>
      </c>
      <c r="X42" s="33">
        <v>65</v>
      </c>
      <c r="Y42" s="29">
        <v>65</v>
      </c>
      <c r="Z42" s="29">
        <v>65</v>
      </c>
      <c r="AA42" s="35">
        <v>44696</v>
      </c>
      <c r="AB42" s="27"/>
      <c r="AC42" s="27"/>
      <c r="AD42" s="58">
        <v>65</v>
      </c>
      <c r="AE42" s="31">
        <v>0</v>
      </c>
      <c r="AF42" t="b">
        <v>0</v>
      </c>
      <c r="AG42" s="78">
        <v>-65</v>
      </c>
    </row>
    <row r="43" spans="1:33" x14ac:dyDescent="0.25">
      <c r="A43" t="str">
        <f t="shared" si="7"/>
        <v>2022-42</v>
      </c>
      <c r="B43" s="1">
        <f t="shared" si="8"/>
        <v>44628</v>
      </c>
      <c r="C43" t="str">
        <f t="shared" si="9"/>
        <v>/Hutchison Drei Austria GmbH, Brünner Straße 52, 1210 Wien, Österreich</v>
      </c>
      <c r="D43" t="str">
        <f t="shared" si="10"/>
        <v>Ausgaben</v>
      </c>
      <c r="E43" t="str">
        <f t="shared" si="11"/>
        <v>Telefon/Internet</v>
      </c>
      <c r="F43" s="117">
        <f t="shared" si="12"/>
        <v>18</v>
      </c>
      <c r="G43" t="str">
        <f t="shared" si="13"/>
        <v>20%</v>
      </c>
      <c r="I43" s="53">
        <v>2022</v>
      </c>
      <c r="J43" s="53">
        <v>42</v>
      </c>
      <c r="K43" s="71" t="s">
        <v>105</v>
      </c>
      <c r="L43" t="s">
        <v>703</v>
      </c>
      <c r="M43" s="9"/>
      <c r="N43" s="1">
        <v>44628</v>
      </c>
      <c r="O43" t="s">
        <v>34</v>
      </c>
      <c r="Q43" s="76"/>
      <c r="R43" t="b">
        <v>0</v>
      </c>
      <c r="S43" s="48">
        <v>15</v>
      </c>
      <c r="T43" s="72">
        <v>1</v>
      </c>
      <c r="U43">
        <v>20</v>
      </c>
      <c r="V43" s="31">
        <v>3</v>
      </c>
      <c r="W43" s="31">
        <v>3</v>
      </c>
      <c r="X43" s="33">
        <v>15</v>
      </c>
      <c r="Y43" s="29">
        <v>18</v>
      </c>
      <c r="Z43" s="29">
        <v>18</v>
      </c>
      <c r="AA43" s="35">
        <v>44696</v>
      </c>
      <c r="AB43" s="27"/>
      <c r="AC43" s="27"/>
      <c r="AD43" s="58">
        <v>15</v>
      </c>
      <c r="AE43" s="31">
        <v>0</v>
      </c>
      <c r="AF43" t="b">
        <v>0</v>
      </c>
      <c r="AG43" s="78">
        <v>-15</v>
      </c>
    </row>
    <row r="44" spans="1:33" x14ac:dyDescent="0.25">
      <c r="A44" t="str">
        <f t="shared" si="7"/>
        <v>2022-43</v>
      </c>
      <c r="B44" s="1">
        <f t="shared" si="8"/>
        <v>44602</v>
      </c>
      <c r="C44" t="str">
        <f t="shared" si="9"/>
        <v>220008996902/Wiener Netze GmbH, Erdbergstraße 236, 1110 Wien, Postfach 422; Jahresabrechnung vom 17.12.20: GUTSCHRIFT</v>
      </c>
      <c r="D44" t="str">
        <f t="shared" si="10"/>
        <v>Ausgaben</v>
      </c>
      <c r="E44" t="str">
        <f t="shared" si="11"/>
        <v>sonstige Betriebsausgaben</v>
      </c>
      <c r="F44" s="117">
        <f t="shared" si="12"/>
        <v>13.2</v>
      </c>
      <c r="G44" t="str">
        <f t="shared" si="13"/>
        <v>20%</v>
      </c>
      <c r="I44" s="53">
        <v>2022</v>
      </c>
      <c r="J44" s="53">
        <v>43</v>
      </c>
      <c r="K44" s="71" t="s">
        <v>105</v>
      </c>
      <c r="L44" t="s">
        <v>705</v>
      </c>
      <c r="M44" s="139" t="s">
        <v>1649</v>
      </c>
      <c r="N44" s="1">
        <v>44602</v>
      </c>
      <c r="O44" t="s">
        <v>1466</v>
      </c>
      <c r="Q44" s="76"/>
      <c r="R44" t="b">
        <v>0</v>
      </c>
      <c r="S44" s="48">
        <v>11</v>
      </c>
      <c r="T44" s="72">
        <v>1</v>
      </c>
      <c r="U44">
        <v>20</v>
      </c>
      <c r="V44" s="31">
        <v>2.2000000000000002</v>
      </c>
      <c r="W44" s="31">
        <v>2.2000000000000002</v>
      </c>
      <c r="X44" s="33">
        <v>11</v>
      </c>
      <c r="Y44" s="29">
        <v>13.2</v>
      </c>
      <c r="Z44" s="29">
        <v>13.2</v>
      </c>
      <c r="AA44" s="35">
        <v>44696</v>
      </c>
      <c r="AB44" s="27"/>
      <c r="AC44" s="27"/>
      <c r="AD44" s="58">
        <v>11</v>
      </c>
      <c r="AE44" s="31">
        <v>0</v>
      </c>
      <c r="AF44" t="b">
        <v>0</v>
      </c>
      <c r="AG44" s="78">
        <v>-11</v>
      </c>
    </row>
    <row r="45" spans="1:33" x14ac:dyDescent="0.25">
      <c r="A45" t="str">
        <f t="shared" si="7"/>
        <v>2022-44</v>
      </c>
      <c r="B45" s="1">
        <f t="shared" si="8"/>
        <v>44631</v>
      </c>
      <c r="C45" t="str">
        <f t="shared" si="9"/>
        <v>/Hetzner Online GmbH</v>
      </c>
      <c r="D45" t="str">
        <f t="shared" si="10"/>
        <v>Ausgaben</v>
      </c>
      <c r="E45" t="str">
        <f t="shared" si="11"/>
        <v>sonstige Betriebsausgaben</v>
      </c>
      <c r="F45" s="117">
        <f t="shared" si="12"/>
        <v>47.776499999999999</v>
      </c>
      <c r="G45" t="str">
        <f t="shared" si="13"/>
        <v>0%</v>
      </c>
      <c r="I45" s="53">
        <v>2022</v>
      </c>
      <c r="J45" s="53">
        <v>44</v>
      </c>
      <c r="K45" s="71" t="s">
        <v>105</v>
      </c>
      <c r="L45" t="s">
        <v>705</v>
      </c>
      <c r="M45" s="9"/>
      <c r="N45" s="1">
        <v>44631</v>
      </c>
      <c r="O45" t="s">
        <v>927</v>
      </c>
      <c r="Q45" s="76"/>
      <c r="R45" t="b">
        <v>0</v>
      </c>
      <c r="S45" s="48">
        <v>47.776499999999999</v>
      </c>
      <c r="T45" s="72">
        <v>1</v>
      </c>
      <c r="U45">
        <v>0</v>
      </c>
      <c r="V45" s="31">
        <v>0</v>
      </c>
      <c r="W45" s="31">
        <v>0</v>
      </c>
      <c r="X45" s="33">
        <v>47.776499999999999</v>
      </c>
      <c r="Y45" s="29">
        <v>47.776499999999999</v>
      </c>
      <c r="Z45" s="29">
        <v>47.776499999999999</v>
      </c>
      <c r="AA45" s="35">
        <v>44696</v>
      </c>
      <c r="AB45" s="27"/>
      <c r="AC45" s="27">
        <v>20</v>
      </c>
      <c r="AD45" s="58">
        <v>47.776499999999999</v>
      </c>
      <c r="AE45" s="31">
        <v>9.5553000000000008</v>
      </c>
      <c r="AF45" t="b">
        <v>0</v>
      </c>
      <c r="AG45" s="78">
        <v>-47.776499999999999</v>
      </c>
    </row>
    <row r="46" spans="1:33" x14ac:dyDescent="0.25">
      <c r="A46" t="str">
        <f t="shared" si="7"/>
        <v>2022-45</v>
      </c>
      <c r="B46" s="1">
        <f t="shared" si="8"/>
        <v>44637</v>
      </c>
      <c r="C46" t="str">
        <f t="shared" si="9"/>
        <v>168041268/Hays Österreich GmbH, Bahnhof City Wien West , Europaplatz 3/5, 1150 Wien</v>
      </c>
      <c r="D46" t="str">
        <f t="shared" si="10"/>
        <v>Einnahmen</v>
      </c>
      <c r="E46" t="str">
        <f t="shared" si="11"/>
        <v>Waren-/Leistungserlöse</v>
      </c>
      <c r="F46" s="117">
        <f t="shared" si="12"/>
        <v>14268</v>
      </c>
      <c r="G46" t="str">
        <f t="shared" si="13"/>
        <v>20%</v>
      </c>
      <c r="I46" s="53">
        <v>2022</v>
      </c>
      <c r="J46" s="53">
        <v>45</v>
      </c>
      <c r="K46" s="71" t="s">
        <v>708</v>
      </c>
      <c r="L46" t="s">
        <v>709</v>
      </c>
      <c r="M46">
        <v>168041268</v>
      </c>
      <c r="N46" s="1">
        <v>44637</v>
      </c>
      <c r="O46" t="s">
        <v>1652</v>
      </c>
      <c r="Q46" s="76"/>
      <c r="R46" t="b">
        <v>0</v>
      </c>
      <c r="S46" s="48">
        <v>11890</v>
      </c>
      <c r="T46" s="72">
        <v>1</v>
      </c>
      <c r="U46">
        <v>20</v>
      </c>
      <c r="V46" s="31">
        <v>2378</v>
      </c>
      <c r="W46" s="31">
        <v>2378</v>
      </c>
      <c r="X46" s="33">
        <v>11890</v>
      </c>
      <c r="Y46" s="29">
        <v>14268</v>
      </c>
      <c r="Z46" s="29">
        <v>14268</v>
      </c>
      <c r="AA46" s="35">
        <v>44696</v>
      </c>
      <c r="AB46" s="27"/>
      <c r="AC46" s="27">
        <v>20</v>
      </c>
      <c r="AD46" s="58">
        <v>11890</v>
      </c>
      <c r="AE46" s="31">
        <v>2853.6000000000004</v>
      </c>
      <c r="AF46" t="b">
        <v>1</v>
      </c>
      <c r="AG46" s="78">
        <v>11890</v>
      </c>
    </row>
    <row r="47" spans="1:33" x14ac:dyDescent="0.25">
      <c r="A47" t="str">
        <f t="shared" si="7"/>
        <v>2022-46</v>
      </c>
      <c r="B47" s="1">
        <f t="shared" si="8"/>
        <v>44641</v>
      </c>
      <c r="C47" t="str">
        <f t="shared" si="9"/>
        <v>/Microsoft Ireland Operations Ltd. One Microsoft Place, South County, Business Park, Leopardstown, Dublin 18, D18 P521, Ireland</v>
      </c>
      <c r="D47" t="str">
        <f t="shared" si="10"/>
        <v>Ausgaben</v>
      </c>
      <c r="E47" t="str">
        <f t="shared" si="11"/>
        <v>sonstige Betriebsausgaben</v>
      </c>
      <c r="F47" s="117">
        <f t="shared" si="12"/>
        <v>10.5</v>
      </c>
      <c r="G47" t="str">
        <f t="shared" si="13"/>
        <v>0%</v>
      </c>
      <c r="I47" s="53">
        <v>2022</v>
      </c>
      <c r="J47" s="53">
        <v>46</v>
      </c>
      <c r="K47" s="71" t="s">
        <v>105</v>
      </c>
      <c r="L47" t="s">
        <v>705</v>
      </c>
      <c r="M47" s="6"/>
      <c r="N47" s="1">
        <v>44641</v>
      </c>
      <c r="O47" t="s">
        <v>1032</v>
      </c>
      <c r="Q47" s="76"/>
      <c r="R47" t="b">
        <v>0</v>
      </c>
      <c r="S47" s="48">
        <v>10.5</v>
      </c>
      <c r="T47" s="72">
        <v>1</v>
      </c>
      <c r="U47">
        <v>0</v>
      </c>
      <c r="V47" s="31">
        <v>0</v>
      </c>
      <c r="W47" s="31">
        <v>0</v>
      </c>
      <c r="X47" s="33">
        <v>10.5</v>
      </c>
      <c r="Y47" s="29">
        <v>10.5</v>
      </c>
      <c r="Z47" s="29">
        <v>10.5</v>
      </c>
      <c r="AA47" s="35">
        <v>44696</v>
      </c>
      <c r="AB47" s="27"/>
      <c r="AC47" s="27">
        <v>20</v>
      </c>
      <c r="AD47" s="58">
        <v>10.5</v>
      </c>
      <c r="AE47" s="31">
        <v>2.1</v>
      </c>
      <c r="AF47" t="b">
        <v>0</v>
      </c>
      <c r="AG47" s="78">
        <v>-10.5</v>
      </c>
    </row>
    <row r="48" spans="1:33" x14ac:dyDescent="0.25">
      <c r="A48" t="str">
        <f t="shared" si="7"/>
        <v>2022-47</v>
      </c>
      <c r="B48" s="1">
        <f t="shared" si="8"/>
        <v>44641</v>
      </c>
      <c r="C48" t="str">
        <f t="shared" si="9"/>
        <v>/Magenta: T-Mobile Austria GmbH, A-1120 Wien, PF 47</v>
      </c>
      <c r="D48" t="str">
        <f t="shared" si="10"/>
        <v>Ausgaben</v>
      </c>
      <c r="E48" t="str">
        <f t="shared" si="11"/>
        <v>Telefon/Internet</v>
      </c>
      <c r="F48" s="117">
        <f t="shared" si="12"/>
        <v>38.304000000000002</v>
      </c>
      <c r="G48" t="str">
        <f t="shared" si="13"/>
        <v>20%</v>
      </c>
      <c r="I48" s="53">
        <v>2022</v>
      </c>
      <c r="J48" s="53">
        <v>47</v>
      </c>
      <c r="K48" s="71" t="s">
        <v>105</v>
      </c>
      <c r="L48" t="s">
        <v>703</v>
      </c>
      <c r="M48" s="131"/>
      <c r="N48" s="1">
        <v>44641</v>
      </c>
      <c r="O48" t="s">
        <v>1148</v>
      </c>
      <c r="Q48" s="76"/>
      <c r="R48" t="b">
        <v>0</v>
      </c>
      <c r="S48" s="48">
        <v>31.92</v>
      </c>
      <c r="T48" s="72">
        <v>1</v>
      </c>
      <c r="U48">
        <v>20</v>
      </c>
      <c r="V48" s="31">
        <v>6.3840000000000012</v>
      </c>
      <c r="W48" s="31">
        <v>6.3840000000000012</v>
      </c>
      <c r="X48" s="33">
        <v>31.92</v>
      </c>
      <c r="Y48" s="29">
        <v>38.304000000000002</v>
      </c>
      <c r="Z48" s="29">
        <v>38.304000000000002</v>
      </c>
      <c r="AA48" s="35">
        <v>44696</v>
      </c>
      <c r="AB48" s="27"/>
      <c r="AC48" s="27"/>
      <c r="AD48" s="58">
        <v>31.92</v>
      </c>
      <c r="AE48" s="31">
        <v>0</v>
      </c>
      <c r="AF48" t="b">
        <v>0</v>
      </c>
      <c r="AG48" s="78">
        <v>-31.92</v>
      </c>
    </row>
    <row r="49" spans="1:33" x14ac:dyDescent="0.25">
      <c r="A49" t="str">
        <f t="shared" si="7"/>
        <v>2022-48</v>
      </c>
      <c r="B49" s="1">
        <f t="shared" si="8"/>
        <v>44644</v>
      </c>
      <c r="C49" t="str">
        <f t="shared" si="9"/>
        <v>/easyname GmbH, Fernkorngasse 10/3/501, A-1100 Wien</v>
      </c>
      <c r="D49" t="str">
        <f t="shared" si="10"/>
        <v>Ausgaben</v>
      </c>
      <c r="E49" t="str">
        <f t="shared" si="11"/>
        <v>sonstige Betriebsausgaben</v>
      </c>
      <c r="F49" s="117">
        <f t="shared" si="12"/>
        <v>18.899999999999999</v>
      </c>
      <c r="G49" t="str">
        <f t="shared" si="13"/>
        <v>20%</v>
      </c>
      <c r="I49" s="53">
        <v>2022</v>
      </c>
      <c r="J49" s="53">
        <v>48</v>
      </c>
      <c r="K49" s="71" t="s">
        <v>105</v>
      </c>
      <c r="L49" t="s">
        <v>705</v>
      </c>
      <c r="M49" s="9"/>
      <c r="N49" s="1">
        <v>44644</v>
      </c>
      <c r="O49" t="s">
        <v>941</v>
      </c>
      <c r="Q49" s="76"/>
      <c r="R49" t="b">
        <v>0</v>
      </c>
      <c r="S49" s="48">
        <v>15.75</v>
      </c>
      <c r="T49" s="72">
        <v>1</v>
      </c>
      <c r="U49">
        <v>20</v>
      </c>
      <c r="V49" s="31">
        <v>3.15</v>
      </c>
      <c r="W49" s="31">
        <v>3.15</v>
      </c>
      <c r="X49" s="33">
        <v>15.75</v>
      </c>
      <c r="Y49" s="29">
        <v>18.899999999999999</v>
      </c>
      <c r="Z49" s="29">
        <v>18.899999999999999</v>
      </c>
      <c r="AA49" s="35">
        <v>44696</v>
      </c>
      <c r="AB49" s="27"/>
      <c r="AC49" s="27"/>
      <c r="AD49" s="58">
        <v>15.75</v>
      </c>
      <c r="AE49" s="31">
        <v>0</v>
      </c>
      <c r="AF49" t="b">
        <v>0</v>
      </c>
      <c r="AG49" s="78">
        <v>-15.75</v>
      </c>
    </row>
    <row r="50" spans="1:33" x14ac:dyDescent="0.25">
      <c r="A50" t="str">
        <f t="shared" si="7"/>
        <v>2022-49</v>
      </c>
      <c r="B50" s="1">
        <f t="shared" si="8"/>
        <v>44648</v>
      </c>
      <c r="C50" t="str">
        <f t="shared" si="9"/>
        <v>2022121/3W Steuerkanzlei, Roter Hof 1a, 1080 Wien</v>
      </c>
      <c r="D50" t="str">
        <f t="shared" si="10"/>
        <v>Ausgaben</v>
      </c>
      <c r="E50" t="str">
        <f t="shared" si="11"/>
        <v>sonstige Betriebsausgaben</v>
      </c>
      <c r="F50" s="117">
        <f t="shared" si="12"/>
        <v>633</v>
      </c>
      <c r="G50" t="str">
        <f t="shared" si="13"/>
        <v>20%</v>
      </c>
      <c r="I50" s="53">
        <v>2022</v>
      </c>
      <c r="J50" s="53">
        <v>49</v>
      </c>
      <c r="K50" s="71" t="s">
        <v>105</v>
      </c>
      <c r="L50" t="s">
        <v>705</v>
      </c>
      <c r="M50" s="9" t="s">
        <v>1667</v>
      </c>
      <c r="N50" s="1">
        <v>44648</v>
      </c>
      <c r="O50" t="s">
        <v>1027</v>
      </c>
      <c r="Q50" s="76"/>
      <c r="R50" t="b">
        <v>0</v>
      </c>
      <c r="S50" s="48">
        <v>527.5</v>
      </c>
      <c r="T50" s="72">
        <v>1</v>
      </c>
      <c r="U50">
        <v>20</v>
      </c>
      <c r="V50" s="31">
        <v>105.5</v>
      </c>
      <c r="W50" s="31">
        <v>105.5</v>
      </c>
      <c r="X50" s="33">
        <v>527.5</v>
      </c>
      <c r="Y50" s="29">
        <v>633</v>
      </c>
      <c r="Z50" s="29">
        <v>633</v>
      </c>
      <c r="AA50" s="35">
        <v>44696</v>
      </c>
      <c r="AB50" s="27"/>
      <c r="AC50" s="27"/>
      <c r="AD50" s="58">
        <v>527.5</v>
      </c>
      <c r="AE50" s="31">
        <v>0</v>
      </c>
      <c r="AF50" t="b">
        <v>0</v>
      </c>
      <c r="AG50" s="78">
        <v>-527.5</v>
      </c>
    </row>
    <row r="51" spans="1:33" x14ac:dyDescent="0.25">
      <c r="A51" t="str">
        <f t="shared" si="7"/>
        <v>2022-50</v>
      </c>
      <c r="B51" s="1">
        <f t="shared" si="8"/>
        <v>44648</v>
      </c>
      <c r="C51" t="str">
        <f t="shared" si="9"/>
        <v>2022120/3W Steuerkanzlei, Roter Hof 1a, 1080 Wien</v>
      </c>
      <c r="D51" t="str">
        <f t="shared" si="10"/>
        <v>Ausgaben</v>
      </c>
      <c r="E51" t="str">
        <f t="shared" si="11"/>
        <v>sonstige Betriebsausgaben</v>
      </c>
      <c r="F51" s="117">
        <f t="shared" si="12"/>
        <v>549</v>
      </c>
      <c r="G51" t="str">
        <f t="shared" si="13"/>
        <v>20%</v>
      </c>
      <c r="I51" s="53">
        <v>2022</v>
      </c>
      <c r="J51" s="53">
        <v>50</v>
      </c>
      <c r="K51" s="71" t="s">
        <v>105</v>
      </c>
      <c r="L51" t="s">
        <v>705</v>
      </c>
      <c r="M51" s="9" t="s">
        <v>1668</v>
      </c>
      <c r="N51" s="1">
        <v>44648</v>
      </c>
      <c r="O51" t="s">
        <v>1027</v>
      </c>
      <c r="Q51" s="76"/>
      <c r="R51" t="b">
        <v>0</v>
      </c>
      <c r="S51" s="48">
        <v>457.5</v>
      </c>
      <c r="T51" s="72">
        <v>1</v>
      </c>
      <c r="U51">
        <v>20</v>
      </c>
      <c r="V51" s="31">
        <v>91.5</v>
      </c>
      <c r="W51" s="31">
        <v>91.5</v>
      </c>
      <c r="X51" s="33">
        <v>457.5</v>
      </c>
      <c r="Y51" s="29">
        <v>549</v>
      </c>
      <c r="Z51" s="29">
        <v>549</v>
      </c>
      <c r="AA51" s="35">
        <v>44696</v>
      </c>
      <c r="AB51" s="27"/>
      <c r="AC51" s="27"/>
      <c r="AD51" s="58">
        <v>457.5</v>
      </c>
      <c r="AE51" s="31">
        <v>0</v>
      </c>
      <c r="AF51" t="b">
        <v>0</v>
      </c>
      <c r="AG51" s="78">
        <v>-457.5</v>
      </c>
    </row>
    <row r="52" spans="1:33" x14ac:dyDescent="0.25">
      <c r="A52" t="str">
        <f t="shared" si="7"/>
        <v>2022-51</v>
      </c>
      <c r="B52" s="1">
        <f t="shared" si="8"/>
        <v>44652</v>
      </c>
      <c r="C52" t="str">
        <f t="shared" si="9"/>
        <v>12022006/ZT DI Dr. Arno Kolbitsch, Gütleweg 1, 6822 Satteins</v>
      </c>
      <c r="D52" t="str">
        <f t="shared" si="10"/>
        <v>Einnahmen</v>
      </c>
      <c r="E52" t="str">
        <f t="shared" si="11"/>
        <v>Waren-/Leistungserlöse</v>
      </c>
      <c r="F52" s="117">
        <f t="shared" si="12"/>
        <v>3402.5039999999999</v>
      </c>
      <c r="G52" t="str">
        <f t="shared" si="13"/>
        <v>20%</v>
      </c>
      <c r="I52" s="53">
        <v>2022</v>
      </c>
      <c r="J52" s="53">
        <v>51</v>
      </c>
      <c r="K52" s="71" t="s">
        <v>708</v>
      </c>
      <c r="L52" t="s">
        <v>709</v>
      </c>
      <c r="M52" s="6">
        <v>12022006</v>
      </c>
      <c r="N52" s="1">
        <v>44652</v>
      </c>
      <c r="O52" t="s">
        <v>1038</v>
      </c>
      <c r="Q52" s="76"/>
      <c r="R52" t="b">
        <v>0</v>
      </c>
      <c r="S52" s="48">
        <v>2835.42</v>
      </c>
      <c r="T52" s="72">
        <v>1</v>
      </c>
      <c r="U52">
        <v>20</v>
      </c>
      <c r="V52" s="31">
        <v>567.08400000000006</v>
      </c>
      <c r="W52" s="31">
        <v>567.08400000000006</v>
      </c>
      <c r="X52" s="33">
        <v>2835.42</v>
      </c>
      <c r="Y52" s="29">
        <v>3402.5039999999999</v>
      </c>
      <c r="Z52" s="29">
        <v>3402.5039999999999</v>
      </c>
      <c r="AA52" s="35">
        <v>44788</v>
      </c>
      <c r="AB52" s="27"/>
      <c r="AC52" s="27"/>
      <c r="AD52" s="58">
        <v>2835.42</v>
      </c>
      <c r="AE52" s="31">
        <v>0</v>
      </c>
      <c r="AF52" t="b">
        <v>0</v>
      </c>
      <c r="AG52" s="78">
        <v>2835.42</v>
      </c>
    </row>
    <row r="53" spans="1:33" x14ac:dyDescent="0.25">
      <c r="A53" t="str">
        <f t="shared" si="7"/>
        <v>2022-52</v>
      </c>
      <c r="B53" s="1">
        <f t="shared" si="8"/>
        <v>44652</v>
      </c>
      <c r="C53" t="str">
        <f t="shared" si="9"/>
        <v>/Bontus Immobilienverwaltung GmbH, 1010 Wien, Franz Josefs Kai 65</v>
      </c>
      <c r="D53" t="str">
        <f t="shared" si="10"/>
        <v>Ausgaben</v>
      </c>
      <c r="E53" t="str">
        <f t="shared" si="11"/>
        <v>Miet- und Pachtaufwand, Leasing</v>
      </c>
      <c r="F53" s="117">
        <f t="shared" si="12"/>
        <v>574.43000000000006</v>
      </c>
      <c r="G53" t="str">
        <f t="shared" si="13"/>
        <v>20%</v>
      </c>
      <c r="I53" s="53">
        <v>2022</v>
      </c>
      <c r="J53" s="53">
        <v>52</v>
      </c>
      <c r="K53" s="71" t="s">
        <v>105</v>
      </c>
      <c r="L53" t="s">
        <v>691</v>
      </c>
      <c r="M53" s="9"/>
      <c r="N53" s="1">
        <v>44652</v>
      </c>
      <c r="O53" t="s">
        <v>1113</v>
      </c>
      <c r="Q53" s="76"/>
      <c r="R53" t="b">
        <v>0</v>
      </c>
      <c r="S53" s="90">
        <v>478.69166666666666</v>
      </c>
      <c r="T53" s="72">
        <v>1</v>
      </c>
      <c r="U53">
        <v>20</v>
      </c>
      <c r="V53" s="31">
        <v>95.738333333333344</v>
      </c>
      <c r="W53" s="31">
        <v>95.738333333333344</v>
      </c>
      <c r="X53" s="33">
        <v>478.69166666666666</v>
      </c>
      <c r="Y53" s="29">
        <v>574.43000000000006</v>
      </c>
      <c r="Z53" s="29">
        <v>574.43000000000006</v>
      </c>
      <c r="AA53" s="35">
        <v>44788</v>
      </c>
      <c r="AB53" s="27"/>
      <c r="AC53" s="27"/>
      <c r="AD53" s="58">
        <v>478.69166666666666</v>
      </c>
      <c r="AE53" s="31">
        <v>0</v>
      </c>
      <c r="AF53" t="b">
        <v>0</v>
      </c>
      <c r="AG53" s="78">
        <v>-478.69166666666666</v>
      </c>
    </row>
    <row r="54" spans="1:33" x14ac:dyDescent="0.25">
      <c r="A54" t="str">
        <f t="shared" si="7"/>
        <v>2022-53</v>
      </c>
      <c r="B54" s="1">
        <f t="shared" si="8"/>
        <v>44652</v>
      </c>
      <c r="C54" t="str">
        <f t="shared" si="9"/>
        <v>/Hutchison Drei Austria GmbH, Brünner Straße 52, 1210 Wien, Österreich</v>
      </c>
      <c r="D54" t="str">
        <f t="shared" si="10"/>
        <v>Ausgaben</v>
      </c>
      <c r="E54" t="str">
        <f t="shared" si="11"/>
        <v>Telefon/Internet</v>
      </c>
      <c r="F54" s="117">
        <f t="shared" si="12"/>
        <v>18</v>
      </c>
      <c r="G54" t="str">
        <f t="shared" si="13"/>
        <v>20%</v>
      </c>
      <c r="I54" s="53">
        <v>2022</v>
      </c>
      <c r="J54" s="53">
        <v>53</v>
      </c>
      <c r="K54" s="71" t="s">
        <v>105</v>
      </c>
      <c r="L54" t="s">
        <v>703</v>
      </c>
      <c r="M54" s="9"/>
      <c r="N54" s="1">
        <v>44652</v>
      </c>
      <c r="O54" t="s">
        <v>34</v>
      </c>
      <c r="Q54" s="76"/>
      <c r="R54" t="b">
        <v>0</v>
      </c>
      <c r="S54" s="48">
        <v>15</v>
      </c>
      <c r="T54" s="72">
        <v>1</v>
      </c>
      <c r="U54">
        <v>20</v>
      </c>
      <c r="V54" s="31">
        <v>3</v>
      </c>
      <c r="W54" s="31">
        <v>3</v>
      </c>
      <c r="X54" s="33">
        <v>15</v>
      </c>
      <c r="Y54" s="29">
        <v>18</v>
      </c>
      <c r="Z54" s="29">
        <v>18</v>
      </c>
      <c r="AA54" s="35">
        <v>44788</v>
      </c>
      <c r="AB54" s="27"/>
      <c r="AC54" s="27"/>
      <c r="AD54" s="58">
        <v>15</v>
      </c>
      <c r="AE54" s="31">
        <v>0</v>
      </c>
      <c r="AF54" t="b">
        <v>0</v>
      </c>
      <c r="AG54" s="78">
        <v>-15</v>
      </c>
    </row>
    <row r="55" spans="1:33" x14ac:dyDescent="0.25">
      <c r="A55" t="str">
        <f t="shared" si="7"/>
        <v>2022-54</v>
      </c>
      <c r="B55" s="1">
        <f t="shared" si="8"/>
        <v>44652</v>
      </c>
      <c r="C55" t="str">
        <f t="shared" si="9"/>
        <v>/Kolbitsch Engineering &amp; Consulting KNr 45</v>
      </c>
      <c r="D55" t="str">
        <f t="shared" si="10"/>
        <v>Einnahmen</v>
      </c>
      <c r="E55" t="str">
        <f t="shared" si="11"/>
        <v>Waren-/Leistungserlöse</v>
      </c>
      <c r="F55" s="117">
        <f t="shared" si="12"/>
        <v>219.6</v>
      </c>
      <c r="G55" t="str">
        <f t="shared" si="13"/>
        <v>20%</v>
      </c>
      <c r="I55" s="53">
        <v>2022</v>
      </c>
      <c r="J55" s="53">
        <v>54</v>
      </c>
      <c r="K55" s="71" t="s">
        <v>708</v>
      </c>
      <c r="L55" t="s">
        <v>709</v>
      </c>
      <c r="M55" s="9"/>
      <c r="N55" s="1">
        <v>44652</v>
      </c>
      <c r="O55" t="s">
        <v>1513</v>
      </c>
      <c r="Q55" s="76"/>
      <c r="R55" t="b">
        <v>0</v>
      </c>
      <c r="S55" s="48">
        <v>183</v>
      </c>
      <c r="T55" s="72">
        <v>1</v>
      </c>
      <c r="U55">
        <v>20</v>
      </c>
      <c r="V55" s="31">
        <v>36.6</v>
      </c>
      <c r="W55" s="31">
        <v>36.6</v>
      </c>
      <c r="X55" s="33">
        <v>183</v>
      </c>
      <c r="Y55" s="29">
        <v>219.6</v>
      </c>
      <c r="Z55" s="29">
        <v>219.6</v>
      </c>
      <c r="AA55" s="35">
        <v>44788</v>
      </c>
      <c r="AB55" s="27"/>
      <c r="AC55" s="27"/>
      <c r="AD55" s="58">
        <v>183</v>
      </c>
      <c r="AE55" s="31">
        <v>0</v>
      </c>
      <c r="AF55" t="b">
        <v>0</v>
      </c>
      <c r="AG55" s="78">
        <v>183</v>
      </c>
    </row>
    <row r="56" spans="1:33" x14ac:dyDescent="0.25">
      <c r="A56" t="str">
        <f t="shared" si="7"/>
        <v>2022-55</v>
      </c>
      <c r="B56" s="1">
        <f t="shared" si="8"/>
        <v>44655</v>
      </c>
      <c r="C56" t="str">
        <f t="shared" si="9"/>
        <v>/Google Ireland Ltd, Gordon House, Barrow Street, Dublin 4, Ireland; VAT number: IE 6388047V</v>
      </c>
      <c r="D56" t="str">
        <f t="shared" si="10"/>
        <v>Ausgaben</v>
      </c>
      <c r="E56" t="str">
        <f t="shared" si="11"/>
        <v>sonstige Betriebsausgaben</v>
      </c>
      <c r="F56" s="117">
        <f t="shared" si="12"/>
        <v>10.4</v>
      </c>
      <c r="G56" t="str">
        <f t="shared" si="13"/>
        <v>0%</v>
      </c>
      <c r="I56" s="53">
        <v>2022</v>
      </c>
      <c r="J56" s="53">
        <v>55</v>
      </c>
      <c r="K56" s="71" t="s">
        <v>105</v>
      </c>
      <c r="L56" t="s">
        <v>705</v>
      </c>
      <c r="M56" s="9"/>
      <c r="N56" s="1">
        <v>44655</v>
      </c>
      <c r="O56" t="s">
        <v>1404</v>
      </c>
      <c r="Q56" s="76"/>
      <c r="R56" t="b">
        <v>0</v>
      </c>
      <c r="S56" s="109">
        <v>10.4</v>
      </c>
      <c r="T56" s="72">
        <v>1</v>
      </c>
      <c r="U56">
        <v>0</v>
      </c>
      <c r="V56" s="31">
        <v>0</v>
      </c>
      <c r="W56" s="31">
        <v>0</v>
      </c>
      <c r="X56" s="33">
        <v>10.4</v>
      </c>
      <c r="Y56" s="29">
        <v>10.4</v>
      </c>
      <c r="Z56" s="29">
        <v>10.4</v>
      </c>
      <c r="AA56" s="35">
        <v>44788</v>
      </c>
      <c r="AB56" s="27"/>
      <c r="AC56" s="27">
        <v>20</v>
      </c>
      <c r="AD56" s="58">
        <v>10.4</v>
      </c>
      <c r="AE56" s="31">
        <v>2.08</v>
      </c>
      <c r="AF56" t="b">
        <v>0</v>
      </c>
      <c r="AG56" s="78">
        <v>-10.4</v>
      </c>
    </row>
    <row r="57" spans="1:33" x14ac:dyDescent="0.25">
      <c r="A57" t="str">
        <f t="shared" si="7"/>
        <v>2022-56</v>
      </c>
      <c r="B57" s="1">
        <f t="shared" si="8"/>
        <v>44655</v>
      </c>
      <c r="C57" t="str">
        <f t="shared" si="9"/>
        <v>201112204022ALB-00CV2QPBMX40/Wiener Linien GmbH &amp; Co KG</v>
      </c>
      <c r="D57" t="str">
        <f t="shared" si="10"/>
        <v>Ausgaben</v>
      </c>
      <c r="E57" t="str">
        <f t="shared" si="11"/>
        <v>Reise- und Fahrtspesen inkl. Kilometergeld und Diäten</v>
      </c>
      <c r="F57" s="117">
        <f t="shared" si="12"/>
        <v>40.799999999999997</v>
      </c>
      <c r="G57" t="str">
        <f t="shared" si="13"/>
        <v>0%</v>
      </c>
      <c r="I57" s="53">
        <v>2022</v>
      </c>
      <c r="J57" s="53">
        <v>56</v>
      </c>
      <c r="K57" s="71" t="s">
        <v>105</v>
      </c>
      <c r="L57" t="s">
        <v>689</v>
      </c>
      <c r="M57" s="9" t="s">
        <v>1669</v>
      </c>
      <c r="N57" s="1">
        <v>44655</v>
      </c>
      <c r="O57" t="s">
        <v>962</v>
      </c>
      <c r="Q57" s="76"/>
      <c r="R57" t="b">
        <v>0</v>
      </c>
      <c r="S57" s="48">
        <v>40.799999999999997</v>
      </c>
      <c r="T57" s="72">
        <v>1</v>
      </c>
      <c r="U57">
        <v>0</v>
      </c>
      <c r="V57" s="31">
        <v>0</v>
      </c>
      <c r="W57" s="31">
        <v>0</v>
      </c>
      <c r="X57" s="33">
        <v>40.799999999999997</v>
      </c>
      <c r="Y57" s="29">
        <v>40.799999999999997</v>
      </c>
      <c r="Z57" s="29">
        <v>40.799999999999997</v>
      </c>
      <c r="AA57" s="35">
        <v>44788</v>
      </c>
      <c r="AB57" s="27"/>
      <c r="AC57" s="27"/>
      <c r="AD57" s="58">
        <v>40.799999999999997</v>
      </c>
      <c r="AE57" s="31">
        <v>0</v>
      </c>
      <c r="AF57" t="b">
        <v>0</v>
      </c>
      <c r="AG57" s="78">
        <v>-40.799999999999997</v>
      </c>
    </row>
    <row r="58" spans="1:33" x14ac:dyDescent="0.25">
      <c r="A58" t="str">
        <f t="shared" si="7"/>
        <v>2022-57</v>
      </c>
      <c r="B58" s="1">
        <f t="shared" si="8"/>
        <v>44655</v>
      </c>
      <c r="C58" t="str">
        <f t="shared" si="9"/>
        <v>/car2go Österreich GmbH, Hintere Zollamtstraße 9, 1030 Wien</v>
      </c>
      <c r="D58" t="str">
        <f t="shared" si="10"/>
        <v>Ausgaben</v>
      </c>
      <c r="E58" t="str">
        <f t="shared" si="11"/>
        <v>Reise- und Fahrtspesen inkl. Kilometergeld und Diäten</v>
      </c>
      <c r="F58" s="117">
        <f t="shared" si="12"/>
        <v>24.036000000000001</v>
      </c>
      <c r="G58" t="str">
        <f t="shared" si="13"/>
        <v>20%</v>
      </c>
      <c r="I58" s="53">
        <v>2022</v>
      </c>
      <c r="J58" s="53">
        <v>57</v>
      </c>
      <c r="K58" s="71" t="s">
        <v>105</v>
      </c>
      <c r="L58" t="s">
        <v>689</v>
      </c>
      <c r="M58" s="131"/>
      <c r="N58" s="1">
        <v>44655</v>
      </c>
      <c r="O58" t="s">
        <v>974</v>
      </c>
      <c r="Q58" s="76"/>
      <c r="R58" t="b">
        <v>0</v>
      </c>
      <c r="S58" s="48">
        <v>20.03</v>
      </c>
      <c r="T58" s="72">
        <v>1</v>
      </c>
      <c r="U58">
        <v>20</v>
      </c>
      <c r="V58" s="31">
        <v>4.0060000000000002</v>
      </c>
      <c r="W58" s="31">
        <v>4.0060000000000002</v>
      </c>
      <c r="X58" s="33">
        <v>20.03</v>
      </c>
      <c r="Y58" s="29">
        <v>24.036000000000001</v>
      </c>
      <c r="Z58" s="29">
        <v>24.036000000000001</v>
      </c>
      <c r="AA58" s="35">
        <v>44788</v>
      </c>
      <c r="AB58" s="27"/>
      <c r="AC58" s="27"/>
      <c r="AD58" s="58">
        <v>20.03</v>
      </c>
      <c r="AE58" s="31">
        <v>0</v>
      </c>
      <c r="AF58" t="b">
        <v>0</v>
      </c>
      <c r="AG58" s="78">
        <v>-20.03</v>
      </c>
    </row>
    <row r="59" spans="1:33" x14ac:dyDescent="0.25">
      <c r="A59" t="str">
        <f t="shared" si="7"/>
        <v>2022-58</v>
      </c>
      <c r="B59" s="1">
        <f t="shared" si="8"/>
        <v>44656</v>
      </c>
      <c r="C59" t="str">
        <f t="shared" si="9"/>
        <v>siehe Jahresabrechnung/go green energy GmbH &amp; Co KG</v>
      </c>
      <c r="D59" t="str">
        <f t="shared" si="10"/>
        <v>Ausgaben</v>
      </c>
      <c r="E59" t="str">
        <f t="shared" si="11"/>
        <v>sonstige Betriebsausgaben</v>
      </c>
      <c r="F59" s="117">
        <f t="shared" si="12"/>
        <v>3</v>
      </c>
      <c r="G59" t="str">
        <f t="shared" si="13"/>
        <v>20%</v>
      </c>
      <c r="I59" s="53">
        <v>2022</v>
      </c>
      <c r="J59" s="53">
        <v>58</v>
      </c>
      <c r="K59" s="71" t="s">
        <v>105</v>
      </c>
      <c r="L59" t="s">
        <v>705</v>
      </c>
      <c r="M59" s="153" t="s">
        <v>1698</v>
      </c>
      <c r="N59" s="1">
        <v>44656</v>
      </c>
      <c r="O59" t="s">
        <v>1670</v>
      </c>
      <c r="Q59" s="76"/>
      <c r="R59" t="b">
        <v>0</v>
      </c>
      <c r="S59" s="109">
        <v>2.5</v>
      </c>
      <c r="T59" s="72">
        <v>1</v>
      </c>
      <c r="U59">
        <v>20</v>
      </c>
      <c r="V59" s="31">
        <v>0.5</v>
      </c>
      <c r="W59" s="31">
        <v>0.5</v>
      </c>
      <c r="X59" s="33">
        <v>2.5</v>
      </c>
      <c r="Y59" s="29">
        <v>3</v>
      </c>
      <c r="Z59" s="29">
        <v>3</v>
      </c>
      <c r="AA59" s="35">
        <v>44788</v>
      </c>
      <c r="AB59" s="27"/>
      <c r="AC59" s="27"/>
      <c r="AD59" s="58">
        <v>2.5</v>
      </c>
      <c r="AE59" s="31">
        <v>0</v>
      </c>
      <c r="AF59" t="b">
        <v>0</v>
      </c>
      <c r="AG59" s="78">
        <v>-2.5</v>
      </c>
    </row>
    <row r="60" spans="1:33" x14ac:dyDescent="0.25">
      <c r="A60" t="str">
        <f t="shared" si="7"/>
        <v>2022-59</v>
      </c>
      <c r="B60" s="1">
        <f t="shared" si="8"/>
        <v>44656</v>
      </c>
      <c r="C60" t="str">
        <f t="shared" si="9"/>
        <v>/Techem Messtechnik GmbH; Abnehmernummer 501686-0003-11-</v>
      </c>
      <c r="D60" t="str">
        <f t="shared" si="10"/>
        <v>Ausgaben</v>
      </c>
      <c r="E60" t="str">
        <f t="shared" si="11"/>
        <v>Miet- und Pachtaufwand, Leasing</v>
      </c>
      <c r="F60" s="117">
        <f t="shared" si="12"/>
        <v>147.12</v>
      </c>
      <c r="G60" t="str">
        <f t="shared" si="13"/>
        <v>20%</v>
      </c>
      <c r="I60" s="53">
        <v>2022</v>
      </c>
      <c r="J60" s="53">
        <v>59</v>
      </c>
      <c r="K60" s="71" t="s">
        <v>105</v>
      </c>
      <c r="L60" t="s">
        <v>691</v>
      </c>
      <c r="M60" s="139"/>
      <c r="N60" s="1">
        <v>44656</v>
      </c>
      <c r="O60" t="s">
        <v>1558</v>
      </c>
      <c r="Q60" s="76"/>
      <c r="R60" t="b">
        <v>0</v>
      </c>
      <c r="S60" s="109">
        <v>122.6</v>
      </c>
      <c r="T60" s="72">
        <v>1</v>
      </c>
      <c r="U60">
        <v>20</v>
      </c>
      <c r="V60" s="31">
        <v>24.52</v>
      </c>
      <c r="W60" s="31">
        <v>24.52</v>
      </c>
      <c r="X60" s="33">
        <v>122.6</v>
      </c>
      <c r="Y60" s="29">
        <v>147.12</v>
      </c>
      <c r="Z60" s="29">
        <v>147.12</v>
      </c>
      <c r="AA60" s="35">
        <v>44788</v>
      </c>
      <c r="AB60" s="27"/>
      <c r="AC60" s="27"/>
      <c r="AD60" s="58">
        <v>122.6</v>
      </c>
      <c r="AE60" s="31">
        <v>0</v>
      </c>
      <c r="AF60" t="b">
        <v>0</v>
      </c>
      <c r="AG60" s="78">
        <v>-122.6</v>
      </c>
    </row>
    <row r="61" spans="1:33" x14ac:dyDescent="0.25">
      <c r="A61" t="str">
        <f t="shared" si="7"/>
        <v>2022-60</v>
      </c>
      <c r="B61" s="1">
        <f t="shared" si="8"/>
        <v>44657</v>
      </c>
      <c r="C61" t="str">
        <f t="shared" si="9"/>
        <v>12022004/Paperholic all bout paper e.U.</v>
      </c>
      <c r="D61" t="str">
        <f t="shared" si="10"/>
        <v>Einnahmen</v>
      </c>
      <c r="E61" t="str">
        <f t="shared" si="11"/>
        <v>Waren-/Leistungserlöse</v>
      </c>
      <c r="F61" s="117">
        <f t="shared" si="12"/>
        <v>324</v>
      </c>
      <c r="G61" t="str">
        <f t="shared" si="13"/>
        <v>20%</v>
      </c>
      <c r="I61" s="53">
        <v>2022</v>
      </c>
      <c r="J61" s="53">
        <v>60</v>
      </c>
      <c r="K61" s="71" t="s">
        <v>708</v>
      </c>
      <c r="L61" t="s">
        <v>709</v>
      </c>
      <c r="M61">
        <v>12022004</v>
      </c>
      <c r="N61" s="1">
        <v>44657</v>
      </c>
      <c r="O61" t="s">
        <v>1388</v>
      </c>
      <c r="Q61" s="76"/>
      <c r="R61" t="b">
        <v>0</v>
      </c>
      <c r="S61" s="48">
        <v>270</v>
      </c>
      <c r="T61" s="72">
        <v>1</v>
      </c>
      <c r="U61">
        <v>20</v>
      </c>
      <c r="V61" s="31">
        <v>54</v>
      </c>
      <c r="W61" s="31">
        <v>54</v>
      </c>
      <c r="X61" s="33">
        <v>270</v>
      </c>
      <c r="Y61" s="29">
        <v>324</v>
      </c>
      <c r="Z61" s="29">
        <v>324</v>
      </c>
      <c r="AA61" s="35">
        <v>44788</v>
      </c>
      <c r="AB61" s="27"/>
      <c r="AC61" s="27"/>
      <c r="AD61" s="58">
        <v>270</v>
      </c>
      <c r="AE61" s="31">
        <v>0</v>
      </c>
      <c r="AF61" t="b">
        <v>0</v>
      </c>
      <c r="AG61" s="78">
        <v>270</v>
      </c>
    </row>
    <row r="62" spans="1:33" x14ac:dyDescent="0.25">
      <c r="A62" t="str">
        <f t="shared" si="7"/>
        <v>2022-61</v>
      </c>
      <c r="B62" s="1">
        <f t="shared" si="8"/>
        <v>44662</v>
      </c>
      <c r="C62" t="str">
        <f t="shared" si="9"/>
        <v>12022005/Schick Küchendesign e.U. Alexander Schick, Linzerstraße 247, 1140 Wien</v>
      </c>
      <c r="D62" t="str">
        <f t="shared" si="10"/>
        <v>Einnahmen</v>
      </c>
      <c r="E62" t="str">
        <f t="shared" si="11"/>
        <v>Waren-/Leistungserlöse</v>
      </c>
      <c r="F62" s="117">
        <f t="shared" si="12"/>
        <v>624</v>
      </c>
      <c r="G62" t="str">
        <f t="shared" si="13"/>
        <v>20%</v>
      </c>
      <c r="I62" s="53">
        <v>2022</v>
      </c>
      <c r="J62" s="53">
        <v>61</v>
      </c>
      <c r="K62" s="71" t="s">
        <v>708</v>
      </c>
      <c r="L62" t="s">
        <v>709</v>
      </c>
      <c r="M62">
        <v>12022005</v>
      </c>
      <c r="N62" s="1">
        <v>44662</v>
      </c>
      <c r="O62" t="s">
        <v>983</v>
      </c>
      <c r="Q62" s="76"/>
      <c r="R62" t="b">
        <v>0</v>
      </c>
      <c r="S62" s="48">
        <v>520</v>
      </c>
      <c r="T62" s="72">
        <v>1</v>
      </c>
      <c r="U62">
        <v>20</v>
      </c>
      <c r="V62" s="31">
        <v>104</v>
      </c>
      <c r="W62" s="31">
        <v>104</v>
      </c>
      <c r="X62" s="33">
        <v>520</v>
      </c>
      <c r="Y62" s="29">
        <v>624</v>
      </c>
      <c r="Z62" s="29">
        <v>624</v>
      </c>
      <c r="AA62" s="35">
        <v>44788</v>
      </c>
      <c r="AB62" s="27"/>
      <c r="AC62" s="27"/>
      <c r="AD62" s="58">
        <v>520</v>
      </c>
      <c r="AE62" s="31">
        <v>0</v>
      </c>
      <c r="AF62" t="b">
        <v>0</v>
      </c>
      <c r="AG62" s="78">
        <v>520</v>
      </c>
    </row>
    <row r="63" spans="1:33" x14ac:dyDescent="0.25">
      <c r="A63" t="str">
        <f t="shared" si="7"/>
        <v>2022-62</v>
      </c>
      <c r="B63" s="1">
        <f t="shared" si="8"/>
        <v>44662</v>
      </c>
      <c r="C63" t="str">
        <f t="shared" si="9"/>
        <v>220008996902/Wiener Netze GmbH, Erdbergstraße 236, 1110 Wien, Postfach 422; Jahresabrechnung vom 17.12.20: GUTSCHRIFT</v>
      </c>
      <c r="D63" t="str">
        <f t="shared" si="10"/>
        <v>Ausgaben</v>
      </c>
      <c r="E63" t="str">
        <f t="shared" si="11"/>
        <v>sonstige Betriebsausgaben</v>
      </c>
      <c r="F63" s="117">
        <f t="shared" si="12"/>
        <v>13.2</v>
      </c>
      <c r="G63" t="str">
        <f t="shared" si="13"/>
        <v>20%</v>
      </c>
      <c r="I63" s="53">
        <v>2022</v>
      </c>
      <c r="J63" s="53">
        <v>62</v>
      </c>
      <c r="K63" s="71" t="s">
        <v>105</v>
      </c>
      <c r="L63" t="s">
        <v>705</v>
      </c>
      <c r="M63" s="139" t="s">
        <v>1649</v>
      </c>
      <c r="N63" s="1">
        <v>44662</v>
      </c>
      <c r="O63" t="s">
        <v>1466</v>
      </c>
      <c r="Q63" s="76"/>
      <c r="R63" t="b">
        <v>0</v>
      </c>
      <c r="S63" s="48">
        <v>11</v>
      </c>
      <c r="T63" s="72">
        <v>1</v>
      </c>
      <c r="U63">
        <v>20</v>
      </c>
      <c r="V63" s="31">
        <v>2.2000000000000002</v>
      </c>
      <c r="W63" s="31">
        <v>2.2000000000000002</v>
      </c>
      <c r="X63" s="33">
        <v>11</v>
      </c>
      <c r="Y63" s="29">
        <v>13.2</v>
      </c>
      <c r="Z63" s="29">
        <v>13.2</v>
      </c>
      <c r="AA63" s="35">
        <v>44788</v>
      </c>
      <c r="AB63" s="27"/>
      <c r="AC63" s="27"/>
      <c r="AD63" s="58">
        <v>11</v>
      </c>
      <c r="AE63" s="31">
        <v>0</v>
      </c>
      <c r="AF63" t="b">
        <v>0</v>
      </c>
      <c r="AG63" s="78">
        <v>-11</v>
      </c>
    </row>
    <row r="64" spans="1:33" x14ac:dyDescent="0.25">
      <c r="A64" t="str">
        <f t="shared" si="7"/>
        <v>2022-63</v>
      </c>
      <c r="B64" s="1">
        <f t="shared" si="8"/>
        <v>44664</v>
      </c>
      <c r="C64" t="str">
        <f t="shared" si="9"/>
        <v>/Hetzner Online GmbH</v>
      </c>
      <c r="D64" t="str">
        <f t="shared" si="10"/>
        <v>Ausgaben</v>
      </c>
      <c r="E64" t="str">
        <f t="shared" si="11"/>
        <v>sonstige Betriebsausgaben</v>
      </c>
      <c r="F64" s="117">
        <f t="shared" si="12"/>
        <v>47.776499999999999</v>
      </c>
      <c r="G64" t="str">
        <f t="shared" si="13"/>
        <v>0%</v>
      </c>
      <c r="I64" s="53">
        <v>2022</v>
      </c>
      <c r="J64" s="53">
        <v>63</v>
      </c>
      <c r="K64" s="71" t="s">
        <v>105</v>
      </c>
      <c r="L64" t="s">
        <v>705</v>
      </c>
      <c r="M64" s="9"/>
      <c r="N64" s="1">
        <v>44664</v>
      </c>
      <c r="O64" t="s">
        <v>927</v>
      </c>
      <c r="Q64" s="76"/>
      <c r="R64" t="b">
        <v>0</v>
      </c>
      <c r="S64" s="48">
        <v>47.776499999999999</v>
      </c>
      <c r="T64" s="72">
        <v>1</v>
      </c>
      <c r="U64">
        <v>0</v>
      </c>
      <c r="V64" s="31">
        <v>0</v>
      </c>
      <c r="W64" s="31">
        <v>0</v>
      </c>
      <c r="X64" s="33">
        <v>47.776499999999999</v>
      </c>
      <c r="Y64" s="29">
        <v>47.776499999999999</v>
      </c>
      <c r="Z64" s="29">
        <v>47.776499999999999</v>
      </c>
      <c r="AA64" s="35">
        <v>44788</v>
      </c>
      <c r="AB64" s="27"/>
      <c r="AC64" s="27">
        <v>20</v>
      </c>
      <c r="AD64" s="58">
        <v>47.776499999999999</v>
      </c>
      <c r="AE64" s="31">
        <v>9.5553000000000008</v>
      </c>
      <c r="AF64" t="b">
        <v>0</v>
      </c>
      <c r="AG64" s="78">
        <v>-47.776499999999999</v>
      </c>
    </row>
    <row r="65" spans="1:33" x14ac:dyDescent="0.25">
      <c r="A65" t="str">
        <f t="shared" si="7"/>
        <v>2022-64</v>
      </c>
      <c r="B65" s="1">
        <f t="shared" si="8"/>
        <v>44665</v>
      </c>
      <c r="C65" t="str">
        <f t="shared" si="9"/>
        <v>168042508/Hays Österreich GmbH, Bahnhof City Wien West , Europaplatz 3/5, 1150 Wien</v>
      </c>
      <c r="D65" t="str">
        <f t="shared" si="10"/>
        <v>Einnahmen</v>
      </c>
      <c r="E65" t="str">
        <f t="shared" si="11"/>
        <v>Waren-/Leistungserlöse</v>
      </c>
      <c r="F65" s="117">
        <f t="shared" si="12"/>
        <v>18179.400000000001</v>
      </c>
      <c r="G65" t="str">
        <f t="shared" si="13"/>
        <v>20%</v>
      </c>
      <c r="I65" s="53">
        <v>2022</v>
      </c>
      <c r="J65" s="53">
        <v>64</v>
      </c>
      <c r="K65" s="71" t="s">
        <v>708</v>
      </c>
      <c r="L65" t="s">
        <v>709</v>
      </c>
      <c r="M65">
        <v>168042508</v>
      </c>
      <c r="N65" s="1">
        <v>44665</v>
      </c>
      <c r="O65" t="s">
        <v>1652</v>
      </c>
      <c r="Q65" s="76"/>
      <c r="R65" t="b">
        <v>0</v>
      </c>
      <c r="S65" s="48">
        <v>15149.5</v>
      </c>
      <c r="T65" s="72">
        <v>1</v>
      </c>
      <c r="U65">
        <v>20</v>
      </c>
      <c r="V65" s="31">
        <v>3029.9</v>
      </c>
      <c r="W65" s="31">
        <v>3029.9</v>
      </c>
      <c r="X65" s="33">
        <v>15149.5</v>
      </c>
      <c r="Y65" s="29">
        <v>18179.400000000001</v>
      </c>
      <c r="Z65" s="29">
        <v>18179.400000000001</v>
      </c>
      <c r="AA65" s="35">
        <v>44788</v>
      </c>
      <c r="AB65" s="27"/>
      <c r="AC65" s="27">
        <v>20</v>
      </c>
      <c r="AD65" s="58">
        <v>15149.5</v>
      </c>
      <c r="AE65" s="31">
        <v>3635.8800000000006</v>
      </c>
      <c r="AF65" t="b">
        <v>1</v>
      </c>
      <c r="AG65" s="78">
        <v>15149.5</v>
      </c>
    </row>
    <row r="66" spans="1:33" x14ac:dyDescent="0.25">
      <c r="A66" t="str">
        <f t="shared" ref="A66:A97" si="14">I66&amp;"-"&amp;J66</f>
        <v>2022-65</v>
      </c>
      <c r="B66" s="1">
        <f t="shared" ref="B66:B97" si="15">N66</f>
        <v>44671</v>
      </c>
      <c r="C66" t="str">
        <f t="shared" ref="C66:C97" si="16">M66&amp;"/"&amp;O66</f>
        <v>/Microsoft Ireland Operations Ltd. One Microsoft Place, South County, Business Park, Leopardstown, Dublin 18, D18 P521, Ireland</v>
      </c>
      <c r="D66" t="str">
        <f t="shared" ref="D66:D97" si="17">K66</f>
        <v>Ausgaben</v>
      </c>
      <c r="E66" t="str">
        <f t="shared" ref="E66:E97" si="18">L66</f>
        <v>sonstige Betriebsausgaben</v>
      </c>
      <c r="F66" s="117">
        <f t="shared" ref="F66:F97" si="19">Z66</f>
        <v>10.5</v>
      </c>
      <c r="G66" t="str">
        <f t="shared" ref="G66:G97" si="20">U66&amp;"%"</f>
        <v>0%</v>
      </c>
      <c r="I66" s="53">
        <v>2022</v>
      </c>
      <c r="J66" s="53">
        <v>65</v>
      </c>
      <c r="K66" s="71" t="s">
        <v>105</v>
      </c>
      <c r="L66" t="s">
        <v>705</v>
      </c>
      <c r="M66" s="6"/>
      <c r="N66" s="1">
        <v>44671</v>
      </c>
      <c r="O66" t="s">
        <v>1032</v>
      </c>
      <c r="Q66" s="76"/>
      <c r="R66" t="b">
        <v>0</v>
      </c>
      <c r="S66" s="48">
        <v>10.5</v>
      </c>
      <c r="T66" s="72">
        <v>1</v>
      </c>
      <c r="U66">
        <v>0</v>
      </c>
      <c r="V66" s="31">
        <v>0</v>
      </c>
      <c r="W66" s="31">
        <v>0</v>
      </c>
      <c r="X66" s="33">
        <v>10.5</v>
      </c>
      <c r="Y66" s="29">
        <v>10.5</v>
      </c>
      <c r="Z66" s="29">
        <v>10.5</v>
      </c>
      <c r="AA66" s="35">
        <v>44788</v>
      </c>
      <c r="AB66" s="27"/>
      <c r="AC66" s="27">
        <v>20</v>
      </c>
      <c r="AD66" s="58">
        <v>10.5</v>
      </c>
      <c r="AE66" s="31">
        <v>2.1</v>
      </c>
      <c r="AF66" t="b">
        <v>0</v>
      </c>
      <c r="AG66" s="78">
        <v>-10.5</v>
      </c>
    </row>
    <row r="67" spans="1:33" x14ac:dyDescent="0.25">
      <c r="A67" t="str">
        <f t="shared" si="14"/>
        <v>2022-66</v>
      </c>
      <c r="B67" s="1">
        <f t="shared" si="15"/>
        <v>44671</v>
      </c>
      <c r="C67" t="str">
        <f t="shared" si="16"/>
        <v>/Magenta: T-Mobile Austria GmbH, A-1120 Wien, PF 47</v>
      </c>
      <c r="D67" t="str">
        <f t="shared" si="17"/>
        <v>Ausgaben</v>
      </c>
      <c r="E67" t="str">
        <f t="shared" si="18"/>
        <v>Telefon/Internet</v>
      </c>
      <c r="F67" s="117">
        <f t="shared" si="19"/>
        <v>38.304000000000002</v>
      </c>
      <c r="G67" t="str">
        <f t="shared" si="20"/>
        <v>20%</v>
      </c>
      <c r="I67" s="53">
        <v>2022</v>
      </c>
      <c r="J67" s="53">
        <v>66</v>
      </c>
      <c r="K67" s="71" t="s">
        <v>105</v>
      </c>
      <c r="L67" t="s">
        <v>703</v>
      </c>
      <c r="M67" s="131"/>
      <c r="N67" s="1">
        <v>44671</v>
      </c>
      <c r="O67" t="s">
        <v>1148</v>
      </c>
      <c r="Q67" s="76"/>
      <c r="R67" t="b">
        <v>0</v>
      </c>
      <c r="S67" s="48">
        <v>31.92</v>
      </c>
      <c r="T67" s="72">
        <v>1</v>
      </c>
      <c r="U67">
        <v>20</v>
      </c>
      <c r="V67" s="31">
        <v>6.3840000000000012</v>
      </c>
      <c r="W67" s="31">
        <v>6.3840000000000012</v>
      </c>
      <c r="X67" s="33">
        <v>31.92</v>
      </c>
      <c r="Y67" s="29">
        <v>38.304000000000002</v>
      </c>
      <c r="Z67" s="29">
        <v>38.304000000000002</v>
      </c>
      <c r="AA67" s="35">
        <v>44788</v>
      </c>
      <c r="AB67" s="27"/>
      <c r="AC67" s="27"/>
      <c r="AD67" s="58">
        <v>31.92</v>
      </c>
      <c r="AE67" s="31">
        <v>0</v>
      </c>
      <c r="AF67" t="b">
        <v>0</v>
      </c>
      <c r="AG67" s="78">
        <v>-31.92</v>
      </c>
    </row>
    <row r="68" spans="1:33" x14ac:dyDescent="0.25">
      <c r="A68" t="str">
        <f t="shared" si="14"/>
        <v>2022-67</v>
      </c>
      <c r="B68" s="1">
        <f t="shared" si="15"/>
        <v>44676</v>
      </c>
      <c r="C68" t="str">
        <f t="shared" si="16"/>
        <v>Gutschrift/e-tec electronic GmbH, Atterseestra0e 121, 4850 Timelkam</v>
      </c>
      <c r="D68" t="str">
        <f t="shared" si="17"/>
        <v>Ausgaben</v>
      </c>
      <c r="E68" t="str">
        <f t="shared" si="18"/>
        <v>sonstige Betriebsausgaben</v>
      </c>
      <c r="F68" s="117">
        <f t="shared" si="19"/>
        <v>-5.65</v>
      </c>
      <c r="G68" t="str">
        <f t="shared" si="20"/>
        <v>20%</v>
      </c>
      <c r="I68" s="53">
        <v>2022</v>
      </c>
      <c r="J68" s="53">
        <v>67</v>
      </c>
      <c r="K68" s="71" t="s">
        <v>105</v>
      </c>
      <c r="L68" t="s">
        <v>705</v>
      </c>
      <c r="M68" s="139" t="s">
        <v>1671</v>
      </c>
      <c r="N68" s="1">
        <v>44676</v>
      </c>
      <c r="O68" t="s">
        <v>1663</v>
      </c>
      <c r="Q68" s="76"/>
      <c r="R68" t="b">
        <v>0</v>
      </c>
      <c r="S68" s="109">
        <v>-4.7083333333333339</v>
      </c>
      <c r="T68" s="72">
        <v>1</v>
      </c>
      <c r="U68">
        <v>20</v>
      </c>
      <c r="V68" s="31">
        <v>-0.94166666666666687</v>
      </c>
      <c r="W68" s="31">
        <v>-0.94166666666666687</v>
      </c>
      <c r="X68" s="33">
        <v>-4.7083333333333339</v>
      </c>
      <c r="Y68" s="29">
        <v>-5.65</v>
      </c>
      <c r="Z68" s="29">
        <v>-5.65</v>
      </c>
      <c r="AA68" s="35">
        <v>44788</v>
      </c>
      <c r="AB68" s="27"/>
      <c r="AC68" s="27"/>
      <c r="AD68" s="58">
        <v>-4.7083333333333339</v>
      </c>
      <c r="AE68" s="31">
        <v>0</v>
      </c>
      <c r="AF68" t="b">
        <v>0</v>
      </c>
      <c r="AG68" s="78">
        <v>4.7083333333333339</v>
      </c>
    </row>
    <row r="69" spans="1:33" x14ac:dyDescent="0.25">
      <c r="A69" t="str">
        <f t="shared" si="14"/>
        <v>2022-68</v>
      </c>
      <c r="B69" s="1">
        <f t="shared" si="15"/>
        <v>44678</v>
      </c>
      <c r="C69" t="str">
        <f t="shared" si="16"/>
        <v>R01371239/TeamViewer Germany GmbH, Jahnstr. 30, 73037 Göppingen, Deutschland</v>
      </c>
      <c r="D69" t="str">
        <f t="shared" si="17"/>
        <v>Ausgaben</v>
      </c>
      <c r="E69" t="str">
        <f t="shared" si="18"/>
        <v>sonstige Betriebsausgaben</v>
      </c>
      <c r="F69" s="117">
        <f t="shared" si="19"/>
        <v>334.8</v>
      </c>
      <c r="G69" t="str">
        <f t="shared" si="20"/>
        <v>0%</v>
      </c>
      <c r="I69" s="53">
        <v>2022</v>
      </c>
      <c r="J69" s="53">
        <v>68</v>
      </c>
      <c r="K69" s="71" t="s">
        <v>105</v>
      </c>
      <c r="L69" t="s">
        <v>705</v>
      </c>
      <c r="M69" s="9" t="s">
        <v>1672</v>
      </c>
      <c r="N69" s="1">
        <v>44678</v>
      </c>
      <c r="O69" t="s">
        <v>1315</v>
      </c>
      <c r="Q69" s="76"/>
      <c r="R69" t="b">
        <v>0</v>
      </c>
      <c r="S69" s="48">
        <v>334.8</v>
      </c>
      <c r="T69" s="72">
        <v>1</v>
      </c>
      <c r="U69">
        <v>0</v>
      </c>
      <c r="V69" s="31">
        <v>0</v>
      </c>
      <c r="W69" s="31">
        <v>0</v>
      </c>
      <c r="X69" s="33">
        <v>334.8</v>
      </c>
      <c r="Y69" s="29">
        <v>334.8</v>
      </c>
      <c r="Z69" s="29">
        <v>334.8</v>
      </c>
      <c r="AA69" s="35">
        <v>44788</v>
      </c>
      <c r="AB69" s="27"/>
      <c r="AC69" s="27">
        <v>20</v>
      </c>
      <c r="AD69" s="58">
        <v>334.8</v>
      </c>
      <c r="AE69" s="31">
        <v>66.960000000000008</v>
      </c>
      <c r="AF69" t="b">
        <v>0</v>
      </c>
      <c r="AG69" s="78">
        <v>-334.8</v>
      </c>
    </row>
    <row r="70" spans="1:33" x14ac:dyDescent="0.25">
      <c r="A70" t="str">
        <f t="shared" si="14"/>
        <v>2022-69</v>
      </c>
      <c r="B70" s="1">
        <f t="shared" si="15"/>
        <v>44680</v>
      </c>
      <c r="C70" t="str">
        <f t="shared" si="16"/>
        <v>/Amazon EU S. à r.l., 38 avenue John F. Kennedy, L-1855 Luxembourg: HJEU: DVI-HDMI, Logitech Maus</v>
      </c>
      <c r="D70" t="str">
        <f t="shared" si="17"/>
        <v>Ausgaben</v>
      </c>
      <c r="E70" t="str">
        <f t="shared" si="18"/>
        <v>sonstige Betriebsausgaben</v>
      </c>
      <c r="F70" s="117">
        <f t="shared" si="19"/>
        <v>576.26400000000001</v>
      </c>
      <c r="G70" t="str">
        <f t="shared" si="20"/>
        <v>20%</v>
      </c>
      <c r="I70" s="53">
        <v>2022</v>
      </c>
      <c r="J70" s="53">
        <v>69</v>
      </c>
      <c r="K70" s="71" t="s">
        <v>105</v>
      </c>
      <c r="L70" t="s">
        <v>705</v>
      </c>
      <c r="M70" s="6"/>
      <c r="N70" s="1">
        <v>44680</v>
      </c>
      <c r="O70" t="s">
        <v>981</v>
      </c>
      <c r="Q70" s="76"/>
      <c r="R70" t="b">
        <v>0</v>
      </c>
      <c r="S70" s="48">
        <v>480.22</v>
      </c>
      <c r="T70" s="72">
        <v>1</v>
      </c>
      <c r="U70">
        <v>20</v>
      </c>
      <c r="V70" s="31">
        <v>96.044000000000011</v>
      </c>
      <c r="W70" s="31">
        <v>96.044000000000011</v>
      </c>
      <c r="X70" s="33">
        <v>480.22</v>
      </c>
      <c r="Y70" s="29">
        <v>576.26400000000001</v>
      </c>
      <c r="Z70" s="29">
        <v>576.26400000000001</v>
      </c>
      <c r="AA70" s="35">
        <v>44788</v>
      </c>
      <c r="AB70" s="27"/>
      <c r="AC70" s="27"/>
      <c r="AD70" s="58">
        <v>480.22</v>
      </c>
      <c r="AE70" s="31">
        <v>0</v>
      </c>
      <c r="AF70" t="b">
        <v>0</v>
      </c>
      <c r="AG70" s="78">
        <v>-480.22</v>
      </c>
    </row>
    <row r="71" spans="1:33" x14ac:dyDescent="0.25">
      <c r="A71" t="str">
        <f t="shared" si="14"/>
        <v>2022-70</v>
      </c>
      <c r="B71" s="1">
        <f t="shared" si="15"/>
        <v>44683</v>
      </c>
      <c r="C71" t="str">
        <f t="shared" si="16"/>
        <v>/Amazon EU S. à r.l., 38 avenue John F. Kennedy, L-1855 Luxembourg: HJEU: DVI-HDMI, Logitech Maus</v>
      </c>
      <c r="D71" t="str">
        <f t="shared" si="17"/>
        <v>Ausgaben</v>
      </c>
      <c r="E71" t="str">
        <f t="shared" si="18"/>
        <v>sonstige Betriebsausgaben</v>
      </c>
      <c r="F71" s="117">
        <f t="shared" si="19"/>
        <v>35.507999999999996</v>
      </c>
      <c r="G71" t="str">
        <f t="shared" si="20"/>
        <v>20%</v>
      </c>
      <c r="I71" s="53">
        <v>2022</v>
      </c>
      <c r="J71" s="53">
        <v>70</v>
      </c>
      <c r="K71" s="71" t="s">
        <v>105</v>
      </c>
      <c r="L71" t="s">
        <v>705</v>
      </c>
      <c r="M71" s="6"/>
      <c r="N71" s="1">
        <v>44683</v>
      </c>
      <c r="O71" t="s">
        <v>981</v>
      </c>
      <c r="Q71" s="76"/>
      <c r="R71" t="b">
        <v>0</v>
      </c>
      <c r="S71" s="48">
        <v>29.59</v>
      </c>
      <c r="T71" s="72">
        <v>1</v>
      </c>
      <c r="U71">
        <v>20</v>
      </c>
      <c r="V71" s="31">
        <v>5.9179999999999993</v>
      </c>
      <c r="W71" s="31">
        <v>5.9179999999999993</v>
      </c>
      <c r="X71" s="33">
        <v>29.59</v>
      </c>
      <c r="Y71" s="29">
        <v>35.507999999999996</v>
      </c>
      <c r="Z71" s="29">
        <v>35.507999999999996</v>
      </c>
      <c r="AA71" s="35">
        <v>44788</v>
      </c>
      <c r="AB71" s="27"/>
      <c r="AC71" s="27"/>
      <c r="AD71" s="58">
        <v>29.59</v>
      </c>
      <c r="AE71" s="31">
        <v>0</v>
      </c>
      <c r="AF71" t="b">
        <v>0</v>
      </c>
      <c r="AG71" s="78">
        <v>-29.59</v>
      </c>
    </row>
    <row r="72" spans="1:33" x14ac:dyDescent="0.25">
      <c r="A72" t="str">
        <f t="shared" si="14"/>
        <v>2022-71</v>
      </c>
      <c r="B72" s="1">
        <f t="shared" si="15"/>
        <v>44683</v>
      </c>
      <c r="C72" t="str">
        <f t="shared" si="16"/>
        <v>/Bontus Immobilienverwaltung GmbH, 1010 Wien, Franz Josefs Kai 65</v>
      </c>
      <c r="D72" t="str">
        <f t="shared" si="17"/>
        <v>Ausgaben</v>
      </c>
      <c r="E72" t="str">
        <f t="shared" si="18"/>
        <v>Miet- und Pachtaufwand, Leasing</v>
      </c>
      <c r="F72" s="117">
        <f t="shared" si="19"/>
        <v>574.43000000000006</v>
      </c>
      <c r="G72" t="str">
        <f t="shared" si="20"/>
        <v>20%</v>
      </c>
      <c r="I72" s="53">
        <v>2022</v>
      </c>
      <c r="J72" s="53">
        <v>71</v>
      </c>
      <c r="K72" s="71" t="s">
        <v>105</v>
      </c>
      <c r="L72" t="s">
        <v>691</v>
      </c>
      <c r="M72" s="9"/>
      <c r="N72" s="1">
        <v>44683</v>
      </c>
      <c r="O72" t="s">
        <v>1113</v>
      </c>
      <c r="Q72" s="76"/>
      <c r="R72" t="b">
        <v>0</v>
      </c>
      <c r="S72" s="90">
        <v>478.69166666666666</v>
      </c>
      <c r="T72" s="72">
        <v>1</v>
      </c>
      <c r="U72">
        <v>20</v>
      </c>
      <c r="V72" s="31">
        <v>95.738333333333344</v>
      </c>
      <c r="W72" s="31">
        <v>95.738333333333344</v>
      </c>
      <c r="X72" s="33">
        <v>478.69166666666666</v>
      </c>
      <c r="Y72" s="29">
        <v>574.43000000000006</v>
      </c>
      <c r="Z72" s="29">
        <v>574.43000000000006</v>
      </c>
      <c r="AA72" s="35">
        <v>44788</v>
      </c>
      <c r="AB72" s="27"/>
      <c r="AC72" s="27"/>
      <c r="AD72" s="58">
        <v>478.69166666666666</v>
      </c>
      <c r="AE72" s="31">
        <v>0</v>
      </c>
      <c r="AF72" t="b">
        <v>0</v>
      </c>
      <c r="AG72" s="78">
        <v>-478.69166666666666</v>
      </c>
    </row>
    <row r="73" spans="1:33" x14ac:dyDescent="0.25">
      <c r="A73" t="str">
        <f t="shared" si="14"/>
        <v>2022-72</v>
      </c>
      <c r="B73" s="1">
        <f t="shared" si="15"/>
        <v>44683</v>
      </c>
      <c r="C73" t="str">
        <f t="shared" si="16"/>
        <v>/car2go Österreich GmbH, Hintere Zollamtstraße 9, 1030 Wien</v>
      </c>
      <c r="D73" t="str">
        <f t="shared" si="17"/>
        <v>Ausgaben</v>
      </c>
      <c r="E73" t="str">
        <f t="shared" si="18"/>
        <v>Reise- und Fahrtspesen inkl. Kilometergeld und Diäten</v>
      </c>
      <c r="F73" s="117">
        <f t="shared" si="19"/>
        <v>36.155999999999999</v>
      </c>
      <c r="G73" t="str">
        <f t="shared" si="20"/>
        <v>20%</v>
      </c>
      <c r="I73" s="53">
        <v>2022</v>
      </c>
      <c r="J73" s="53">
        <v>72</v>
      </c>
      <c r="K73" s="71" t="s">
        <v>105</v>
      </c>
      <c r="L73" t="s">
        <v>689</v>
      </c>
      <c r="M73" s="131"/>
      <c r="N73" s="1">
        <v>44683</v>
      </c>
      <c r="O73" t="s">
        <v>974</v>
      </c>
      <c r="Q73" s="76"/>
      <c r="R73" t="b">
        <v>0</v>
      </c>
      <c r="S73" s="48">
        <v>30.13</v>
      </c>
      <c r="T73" s="72">
        <v>1</v>
      </c>
      <c r="U73">
        <v>20</v>
      </c>
      <c r="V73" s="31">
        <v>6.0259999999999998</v>
      </c>
      <c r="W73" s="31">
        <v>6.0259999999999998</v>
      </c>
      <c r="X73" s="33">
        <v>30.13</v>
      </c>
      <c r="Y73" s="29">
        <v>36.155999999999999</v>
      </c>
      <c r="Z73" s="29">
        <v>36.155999999999999</v>
      </c>
      <c r="AA73" s="35">
        <v>44788</v>
      </c>
      <c r="AB73" s="27"/>
      <c r="AC73" s="27"/>
      <c r="AD73" s="58">
        <v>30.13</v>
      </c>
      <c r="AE73" s="31">
        <v>0</v>
      </c>
      <c r="AF73" t="b">
        <v>0</v>
      </c>
      <c r="AG73" s="78">
        <v>-30.13</v>
      </c>
    </row>
    <row r="74" spans="1:33" x14ac:dyDescent="0.25">
      <c r="A74" t="str">
        <f t="shared" si="14"/>
        <v>2022-73</v>
      </c>
      <c r="B74" s="1">
        <f t="shared" si="15"/>
        <v>44685</v>
      </c>
      <c r="C74" t="str">
        <f t="shared" si="16"/>
        <v>/Google Ireland Ltd, Gordon House, Barrow Street, Dublin 4, Ireland; VAT number: IE 6388047V</v>
      </c>
      <c r="D74" t="str">
        <f t="shared" si="17"/>
        <v>Ausgaben</v>
      </c>
      <c r="E74" t="str">
        <f t="shared" si="18"/>
        <v>sonstige Betriebsausgaben</v>
      </c>
      <c r="F74" s="117">
        <f t="shared" si="19"/>
        <v>10.33</v>
      </c>
      <c r="G74" t="str">
        <f t="shared" si="20"/>
        <v>0%</v>
      </c>
      <c r="I74" s="53">
        <v>2022</v>
      </c>
      <c r="J74" s="53">
        <v>73</v>
      </c>
      <c r="K74" s="71" t="s">
        <v>105</v>
      </c>
      <c r="L74" t="s">
        <v>705</v>
      </c>
      <c r="M74" s="9"/>
      <c r="N74" s="1">
        <v>44685</v>
      </c>
      <c r="O74" t="s">
        <v>1404</v>
      </c>
      <c r="Q74" s="76"/>
      <c r="R74" t="b">
        <v>0</v>
      </c>
      <c r="S74" s="109">
        <v>10.33</v>
      </c>
      <c r="T74" s="72">
        <v>1</v>
      </c>
      <c r="U74">
        <v>0</v>
      </c>
      <c r="V74" s="31">
        <v>0</v>
      </c>
      <c r="W74" s="31">
        <v>0</v>
      </c>
      <c r="X74" s="33">
        <v>10.33</v>
      </c>
      <c r="Y74" s="29">
        <v>10.33</v>
      </c>
      <c r="Z74" s="29">
        <v>10.33</v>
      </c>
      <c r="AA74" s="35">
        <v>44788</v>
      </c>
      <c r="AB74" s="27"/>
      <c r="AC74" s="27">
        <v>20</v>
      </c>
      <c r="AD74" s="58">
        <v>10.33</v>
      </c>
      <c r="AE74" s="31">
        <v>2.0660000000000003</v>
      </c>
      <c r="AF74" t="b">
        <v>0</v>
      </c>
      <c r="AG74" s="78">
        <v>-10.33</v>
      </c>
    </row>
    <row r="75" spans="1:33" x14ac:dyDescent="0.25">
      <c r="A75" t="str">
        <f t="shared" si="14"/>
        <v>2022-74</v>
      </c>
      <c r="B75" s="1">
        <f t="shared" si="15"/>
        <v>44685</v>
      </c>
      <c r="C75" t="str">
        <f t="shared" si="16"/>
        <v>/Hutchison Drei Austria GmbH, Brünner Straße 52, 1210 Wien, Österreich</v>
      </c>
      <c r="D75" t="str">
        <f t="shared" si="17"/>
        <v>Ausgaben</v>
      </c>
      <c r="E75" t="str">
        <f t="shared" si="18"/>
        <v>Telefon/Internet</v>
      </c>
      <c r="F75" s="117">
        <f t="shared" si="19"/>
        <v>18</v>
      </c>
      <c r="G75" t="str">
        <f t="shared" si="20"/>
        <v>20%</v>
      </c>
      <c r="I75" s="53">
        <v>2022</v>
      </c>
      <c r="J75" s="53">
        <v>74</v>
      </c>
      <c r="K75" s="71" t="s">
        <v>105</v>
      </c>
      <c r="L75" t="s">
        <v>703</v>
      </c>
      <c r="M75" s="9"/>
      <c r="N75" s="1">
        <v>44685</v>
      </c>
      <c r="O75" t="s">
        <v>34</v>
      </c>
      <c r="Q75" s="76"/>
      <c r="R75" t="b">
        <v>0</v>
      </c>
      <c r="S75" s="48">
        <v>15</v>
      </c>
      <c r="T75" s="72">
        <v>1</v>
      </c>
      <c r="U75">
        <v>20</v>
      </c>
      <c r="V75" s="31">
        <v>3</v>
      </c>
      <c r="W75" s="31">
        <v>3</v>
      </c>
      <c r="X75" s="33">
        <v>15</v>
      </c>
      <c r="Y75" s="29">
        <v>18</v>
      </c>
      <c r="Z75" s="29">
        <v>18</v>
      </c>
      <c r="AA75" s="35">
        <v>44788</v>
      </c>
      <c r="AB75" s="27"/>
      <c r="AC75" s="27"/>
      <c r="AD75" s="58">
        <v>15</v>
      </c>
      <c r="AE75" s="31">
        <v>0</v>
      </c>
      <c r="AF75" t="b">
        <v>0</v>
      </c>
      <c r="AG75" s="78">
        <v>-15</v>
      </c>
    </row>
    <row r="76" spans="1:33" x14ac:dyDescent="0.25">
      <c r="A76" t="str">
        <f t="shared" si="14"/>
        <v>2022-75</v>
      </c>
      <c r="B76" s="1">
        <f t="shared" si="15"/>
        <v>44685</v>
      </c>
      <c r="C76" t="str">
        <f t="shared" si="16"/>
        <v>201112204022ALB-00CV2QPBMX40/Wiener Linien GmbH &amp; Co KG</v>
      </c>
      <c r="D76" t="str">
        <f t="shared" si="17"/>
        <v>Ausgaben</v>
      </c>
      <c r="E76" t="str">
        <f t="shared" si="18"/>
        <v>Reise- und Fahrtspesen inkl. Kilometergeld und Diäten</v>
      </c>
      <c r="F76" s="117">
        <f t="shared" si="19"/>
        <v>365</v>
      </c>
      <c r="G76" t="str">
        <f t="shared" si="20"/>
        <v>0%</v>
      </c>
      <c r="I76" s="53">
        <v>2022</v>
      </c>
      <c r="J76" s="53">
        <v>75</v>
      </c>
      <c r="K76" s="71" t="s">
        <v>105</v>
      </c>
      <c r="L76" t="s">
        <v>689</v>
      </c>
      <c r="M76" s="9" t="s">
        <v>1669</v>
      </c>
      <c r="N76" s="1">
        <v>44685</v>
      </c>
      <c r="O76" t="s">
        <v>962</v>
      </c>
      <c r="Q76" s="76"/>
      <c r="R76" t="b">
        <v>0</v>
      </c>
      <c r="S76" s="48">
        <v>365</v>
      </c>
      <c r="T76" s="72">
        <v>1</v>
      </c>
      <c r="U76">
        <v>0</v>
      </c>
      <c r="V76" s="31">
        <v>0</v>
      </c>
      <c r="W76" s="31">
        <v>0</v>
      </c>
      <c r="X76" s="33">
        <v>365</v>
      </c>
      <c r="Y76" s="29">
        <v>365</v>
      </c>
      <c r="Z76" s="29">
        <v>365</v>
      </c>
      <c r="AA76" s="35">
        <v>44788</v>
      </c>
      <c r="AB76" s="27"/>
      <c r="AC76" s="27"/>
      <c r="AD76" s="58">
        <v>365</v>
      </c>
      <c r="AE76" s="31">
        <v>0</v>
      </c>
      <c r="AF76" t="b">
        <v>0</v>
      </c>
      <c r="AG76" s="78">
        <v>-365</v>
      </c>
    </row>
    <row r="77" spans="1:33" x14ac:dyDescent="0.25">
      <c r="A77" t="str">
        <f t="shared" si="14"/>
        <v>2022-76</v>
      </c>
      <c r="B77" s="1">
        <f t="shared" si="15"/>
        <v>44685</v>
      </c>
      <c r="C77" t="str">
        <f t="shared" si="16"/>
        <v>siehe Jahresabrechnung/go green energy GmbH &amp; Co KG</v>
      </c>
      <c r="D77" t="str">
        <f t="shared" si="17"/>
        <v>Ausgaben</v>
      </c>
      <c r="E77" t="str">
        <f t="shared" si="18"/>
        <v>sonstige Betriebsausgaben</v>
      </c>
      <c r="F77" s="117">
        <f t="shared" si="19"/>
        <v>3</v>
      </c>
      <c r="G77" t="str">
        <f t="shared" si="20"/>
        <v>20%</v>
      </c>
      <c r="I77" s="53">
        <v>2022</v>
      </c>
      <c r="J77" s="53">
        <v>76</v>
      </c>
      <c r="K77" s="71" t="s">
        <v>105</v>
      </c>
      <c r="L77" t="s">
        <v>705</v>
      </c>
      <c r="M77" s="153" t="s">
        <v>1698</v>
      </c>
      <c r="N77" s="1">
        <v>44685</v>
      </c>
      <c r="O77" t="s">
        <v>1670</v>
      </c>
      <c r="Q77" s="76"/>
      <c r="R77" t="b">
        <v>0</v>
      </c>
      <c r="S77" s="109">
        <v>2.5</v>
      </c>
      <c r="T77" s="72">
        <v>1</v>
      </c>
      <c r="U77">
        <v>20</v>
      </c>
      <c r="V77" s="31">
        <v>0.5</v>
      </c>
      <c r="W77" s="31">
        <v>0.5</v>
      </c>
      <c r="X77" s="33">
        <v>2.5</v>
      </c>
      <c r="Y77" s="29">
        <v>3</v>
      </c>
      <c r="Z77" s="29">
        <v>3</v>
      </c>
      <c r="AA77" s="35">
        <v>44788</v>
      </c>
      <c r="AB77" s="27"/>
      <c r="AC77" s="27"/>
      <c r="AD77" s="58">
        <v>2.5</v>
      </c>
      <c r="AE77" s="31">
        <v>0</v>
      </c>
      <c r="AF77" t="b">
        <v>0</v>
      </c>
      <c r="AG77" s="78">
        <v>-2.5</v>
      </c>
    </row>
    <row r="78" spans="1:33" x14ac:dyDescent="0.25">
      <c r="A78" t="str">
        <f t="shared" si="14"/>
        <v>2022-77</v>
      </c>
      <c r="B78" s="1">
        <f t="shared" si="15"/>
        <v>44686</v>
      </c>
      <c r="C78" t="str">
        <f t="shared" si="16"/>
        <v>/Techem Messtechnik GmbH; Abnehmernummer 501686-0003-11-</v>
      </c>
      <c r="D78" t="str">
        <f t="shared" si="17"/>
        <v>Ausgaben</v>
      </c>
      <c r="E78" t="str">
        <f t="shared" si="18"/>
        <v>Miet- und Pachtaufwand, Leasing</v>
      </c>
      <c r="F78" s="117">
        <f t="shared" si="19"/>
        <v>147.12</v>
      </c>
      <c r="G78" t="str">
        <f t="shared" si="20"/>
        <v>20%</v>
      </c>
      <c r="I78" s="53">
        <v>2022</v>
      </c>
      <c r="J78" s="53">
        <v>77</v>
      </c>
      <c r="K78" s="71" t="s">
        <v>105</v>
      </c>
      <c r="L78" t="s">
        <v>691</v>
      </c>
      <c r="M78" s="139"/>
      <c r="N78" s="1">
        <v>44686</v>
      </c>
      <c r="O78" t="s">
        <v>1558</v>
      </c>
      <c r="Q78" s="76"/>
      <c r="R78" t="b">
        <v>0</v>
      </c>
      <c r="S78" s="109">
        <v>122.6</v>
      </c>
      <c r="T78" s="72">
        <v>1</v>
      </c>
      <c r="U78">
        <v>20</v>
      </c>
      <c r="V78" s="31">
        <v>24.52</v>
      </c>
      <c r="W78" s="31">
        <v>24.52</v>
      </c>
      <c r="X78" s="33">
        <v>122.6</v>
      </c>
      <c r="Y78" s="29">
        <v>147.12</v>
      </c>
      <c r="Z78" s="29">
        <v>147.12</v>
      </c>
      <c r="AA78" s="35">
        <v>44788</v>
      </c>
      <c r="AB78" s="27"/>
      <c r="AC78" s="27"/>
      <c r="AD78" s="58">
        <v>122.6</v>
      </c>
      <c r="AE78" s="31">
        <v>0</v>
      </c>
      <c r="AF78" t="b">
        <v>0</v>
      </c>
      <c r="AG78" s="78">
        <v>-122.6</v>
      </c>
    </row>
    <row r="79" spans="1:33" x14ac:dyDescent="0.25">
      <c r="A79" t="str">
        <f t="shared" si="14"/>
        <v>2022-78</v>
      </c>
      <c r="B79" s="1">
        <f t="shared" si="15"/>
        <v>44691</v>
      </c>
      <c r="C79" t="str">
        <f t="shared" si="16"/>
        <v>220008996902/Wiener Netze GmbH, Erdbergstraße 236, 1110 Wien, Postfach 422; Jahresabrechnung vom 17.12.20: GUTSCHRIFT</v>
      </c>
      <c r="D79" t="str">
        <f t="shared" si="17"/>
        <v>Ausgaben</v>
      </c>
      <c r="E79" t="str">
        <f t="shared" si="18"/>
        <v>sonstige Betriebsausgaben</v>
      </c>
      <c r="F79" s="117">
        <f t="shared" si="19"/>
        <v>13.2</v>
      </c>
      <c r="G79" t="str">
        <f t="shared" si="20"/>
        <v>20%</v>
      </c>
      <c r="I79" s="53">
        <v>2022</v>
      </c>
      <c r="J79" s="53">
        <v>78</v>
      </c>
      <c r="K79" s="71" t="s">
        <v>105</v>
      </c>
      <c r="L79" t="s">
        <v>705</v>
      </c>
      <c r="M79" s="139" t="s">
        <v>1649</v>
      </c>
      <c r="N79" s="1">
        <v>44691</v>
      </c>
      <c r="O79" t="s">
        <v>1466</v>
      </c>
      <c r="Q79" s="76"/>
      <c r="R79" t="b">
        <v>0</v>
      </c>
      <c r="S79" s="48">
        <v>11</v>
      </c>
      <c r="T79" s="72">
        <v>1</v>
      </c>
      <c r="U79">
        <v>20</v>
      </c>
      <c r="V79" s="31">
        <v>2.2000000000000002</v>
      </c>
      <c r="W79" s="31">
        <v>2.2000000000000002</v>
      </c>
      <c r="X79" s="33">
        <v>11</v>
      </c>
      <c r="Y79" s="29">
        <v>13.2</v>
      </c>
      <c r="Z79" s="29">
        <v>13.2</v>
      </c>
      <c r="AA79" s="35">
        <v>44788</v>
      </c>
      <c r="AB79" s="27"/>
      <c r="AC79" s="27"/>
      <c r="AD79" s="58">
        <v>11</v>
      </c>
      <c r="AE79" s="31">
        <v>0</v>
      </c>
      <c r="AF79" t="b">
        <v>0</v>
      </c>
      <c r="AG79" s="78">
        <v>-11</v>
      </c>
    </row>
    <row r="80" spans="1:33" x14ac:dyDescent="0.25">
      <c r="A80" t="str">
        <f t="shared" si="14"/>
        <v>2022-79</v>
      </c>
      <c r="B80" s="1">
        <f t="shared" si="15"/>
        <v>44693</v>
      </c>
      <c r="C80" t="str">
        <f t="shared" si="16"/>
        <v>/Hetzner Online GmbH</v>
      </c>
      <c r="D80" t="str">
        <f t="shared" si="17"/>
        <v>Ausgaben</v>
      </c>
      <c r="E80" t="str">
        <f t="shared" si="18"/>
        <v>sonstige Betriebsausgaben</v>
      </c>
      <c r="F80" s="117">
        <f t="shared" si="19"/>
        <v>47.776499999999999</v>
      </c>
      <c r="G80" t="str">
        <f t="shared" si="20"/>
        <v>0%</v>
      </c>
      <c r="I80" s="53">
        <v>2022</v>
      </c>
      <c r="J80" s="53">
        <v>79</v>
      </c>
      <c r="K80" s="71" t="s">
        <v>105</v>
      </c>
      <c r="L80" t="s">
        <v>705</v>
      </c>
      <c r="M80" s="9"/>
      <c r="N80" s="1">
        <v>44693</v>
      </c>
      <c r="O80" t="s">
        <v>927</v>
      </c>
      <c r="Q80" s="76"/>
      <c r="R80" t="b">
        <v>0</v>
      </c>
      <c r="S80" s="48">
        <v>47.776499999999999</v>
      </c>
      <c r="T80" s="72">
        <v>1</v>
      </c>
      <c r="U80">
        <v>0</v>
      </c>
      <c r="V80" s="31">
        <v>0</v>
      </c>
      <c r="W80" s="31">
        <v>0</v>
      </c>
      <c r="X80" s="33">
        <v>47.776499999999999</v>
      </c>
      <c r="Y80" s="29">
        <v>47.776499999999999</v>
      </c>
      <c r="Z80" s="29">
        <v>47.776499999999999</v>
      </c>
      <c r="AA80" s="35">
        <v>44788</v>
      </c>
      <c r="AB80" s="27"/>
      <c r="AC80" s="27">
        <v>20</v>
      </c>
      <c r="AD80" s="58">
        <v>47.776499999999999</v>
      </c>
      <c r="AE80" s="31">
        <v>9.5553000000000008</v>
      </c>
      <c r="AF80" t="b">
        <v>0</v>
      </c>
      <c r="AG80" s="78">
        <v>-47.776499999999999</v>
      </c>
    </row>
    <row r="81" spans="1:33" x14ac:dyDescent="0.25">
      <c r="A81" t="str">
        <f t="shared" si="14"/>
        <v>2022-80</v>
      </c>
      <c r="B81" s="1">
        <f t="shared" si="15"/>
        <v>44694</v>
      </c>
      <c r="C81" t="str">
        <f t="shared" si="16"/>
        <v>168043041+168042941/Hays Österreich GmbH, Bahnhof City Wien West , Europaplatz 3/5, 1150 Wien</v>
      </c>
      <c r="D81" t="str">
        <f t="shared" si="17"/>
        <v>Einnahmen</v>
      </c>
      <c r="E81" t="str">
        <f t="shared" si="18"/>
        <v>Waren-/Leistungserlöse</v>
      </c>
      <c r="F81" s="117">
        <f t="shared" si="19"/>
        <v>20639.400000000001</v>
      </c>
      <c r="G81" t="str">
        <f t="shared" si="20"/>
        <v>20%</v>
      </c>
      <c r="I81" s="53">
        <v>2022</v>
      </c>
      <c r="J81" s="53">
        <v>80</v>
      </c>
      <c r="K81" s="71" t="s">
        <v>708</v>
      </c>
      <c r="L81" t="s">
        <v>709</v>
      </c>
      <c r="M81" t="s">
        <v>1673</v>
      </c>
      <c r="N81" s="1">
        <v>44694</v>
      </c>
      <c r="O81" t="s">
        <v>1652</v>
      </c>
      <c r="Q81" s="76"/>
      <c r="R81" t="b">
        <v>0</v>
      </c>
      <c r="S81" s="48">
        <v>17199.5</v>
      </c>
      <c r="T81" s="72">
        <v>1</v>
      </c>
      <c r="U81">
        <v>20</v>
      </c>
      <c r="V81" s="31">
        <v>3439.9</v>
      </c>
      <c r="W81" s="31">
        <v>3439.9</v>
      </c>
      <c r="X81" s="33">
        <v>17199.5</v>
      </c>
      <c r="Y81" s="29">
        <v>20639.400000000001</v>
      </c>
      <c r="Z81" s="29">
        <v>20639.400000000001</v>
      </c>
      <c r="AA81" s="35">
        <v>44788</v>
      </c>
      <c r="AB81" s="27"/>
      <c r="AC81" s="27">
        <v>20</v>
      </c>
      <c r="AD81" s="58">
        <v>17199.5</v>
      </c>
      <c r="AE81" s="31">
        <v>4127.88</v>
      </c>
      <c r="AF81" t="b">
        <v>1</v>
      </c>
      <c r="AG81" s="78">
        <v>17199.5</v>
      </c>
    </row>
    <row r="82" spans="1:33" x14ac:dyDescent="0.25">
      <c r="A82" t="str">
        <f t="shared" si="14"/>
        <v>2022-81</v>
      </c>
      <c r="B82" s="1">
        <f t="shared" si="15"/>
        <v>44697</v>
      </c>
      <c r="C82" t="str">
        <f t="shared" si="16"/>
        <v>/Google Ireland Ltd, Gordon House, Barrow Street, Dublin 4, Ireland; VAT number: IE 6388047V</v>
      </c>
      <c r="D82" t="str">
        <f t="shared" si="17"/>
        <v>Ausgaben</v>
      </c>
      <c r="E82" t="str">
        <f t="shared" si="18"/>
        <v>sonstige Betriebsausgaben</v>
      </c>
      <c r="F82" s="117">
        <f t="shared" si="19"/>
        <v>0.49</v>
      </c>
      <c r="G82" t="str">
        <f t="shared" si="20"/>
        <v>0%</v>
      </c>
      <c r="I82" s="53">
        <v>2022</v>
      </c>
      <c r="J82" s="53">
        <v>81</v>
      </c>
      <c r="K82" s="71" t="s">
        <v>105</v>
      </c>
      <c r="L82" t="s">
        <v>705</v>
      </c>
      <c r="M82" s="9"/>
      <c r="N82" s="1">
        <v>44697</v>
      </c>
      <c r="O82" t="s">
        <v>1404</v>
      </c>
      <c r="Q82" s="76"/>
      <c r="R82" t="b">
        <v>0</v>
      </c>
      <c r="S82" s="109">
        <v>0.49</v>
      </c>
      <c r="T82" s="72">
        <v>1</v>
      </c>
      <c r="U82">
        <v>0</v>
      </c>
      <c r="V82" s="31">
        <v>0</v>
      </c>
      <c r="W82" s="31">
        <v>0</v>
      </c>
      <c r="X82" s="33">
        <v>0.49</v>
      </c>
      <c r="Y82" s="29">
        <v>0.49</v>
      </c>
      <c r="Z82" s="29">
        <v>0.49</v>
      </c>
      <c r="AA82" s="35">
        <v>44788</v>
      </c>
      <c r="AB82" s="27"/>
      <c r="AC82" s="27">
        <v>20</v>
      </c>
      <c r="AD82" s="58">
        <v>0.49</v>
      </c>
      <c r="AE82" s="31">
        <v>9.8000000000000004E-2</v>
      </c>
      <c r="AF82" t="b">
        <v>0</v>
      </c>
      <c r="AG82" s="78">
        <v>-0.49</v>
      </c>
    </row>
    <row r="83" spans="1:33" x14ac:dyDescent="0.25">
      <c r="A83" t="str">
        <f t="shared" si="14"/>
        <v>2022-82</v>
      </c>
      <c r="B83" s="1">
        <f t="shared" si="15"/>
        <v>44704</v>
      </c>
      <c r="C83" t="str">
        <f t="shared" si="16"/>
        <v>/Microsoft Ireland Operations Ltd. One Microsoft Place, South County, Business Park, Leopardstown, Dublin 18, D18 P521, Ireland</v>
      </c>
      <c r="D83" t="str">
        <f t="shared" si="17"/>
        <v>Ausgaben</v>
      </c>
      <c r="E83" t="str">
        <f t="shared" si="18"/>
        <v>sonstige Betriebsausgaben</v>
      </c>
      <c r="F83" s="117">
        <f t="shared" si="19"/>
        <v>10.5</v>
      </c>
      <c r="G83" t="str">
        <f t="shared" si="20"/>
        <v>0%</v>
      </c>
      <c r="I83" s="53">
        <v>2022</v>
      </c>
      <c r="J83" s="53">
        <v>82</v>
      </c>
      <c r="K83" s="71" t="s">
        <v>105</v>
      </c>
      <c r="L83" t="s">
        <v>705</v>
      </c>
      <c r="M83" s="6"/>
      <c r="N83" s="1">
        <v>44704</v>
      </c>
      <c r="O83" t="s">
        <v>1032</v>
      </c>
      <c r="Q83" s="76"/>
      <c r="R83" t="b">
        <v>0</v>
      </c>
      <c r="S83" s="48">
        <v>10.5</v>
      </c>
      <c r="T83" s="72">
        <v>1</v>
      </c>
      <c r="U83">
        <v>0</v>
      </c>
      <c r="V83" s="31">
        <v>0</v>
      </c>
      <c r="W83" s="31">
        <v>0</v>
      </c>
      <c r="X83" s="33">
        <v>10.5</v>
      </c>
      <c r="Y83" s="29">
        <v>10.5</v>
      </c>
      <c r="Z83" s="29">
        <v>10.5</v>
      </c>
      <c r="AA83" s="35">
        <v>44788</v>
      </c>
      <c r="AB83" s="27"/>
      <c r="AC83" s="27">
        <v>20</v>
      </c>
      <c r="AD83" s="58">
        <v>10.5</v>
      </c>
      <c r="AE83" s="31">
        <v>2.1</v>
      </c>
      <c r="AF83" t="b">
        <v>0</v>
      </c>
      <c r="AG83" s="78">
        <v>-10.5</v>
      </c>
    </row>
    <row r="84" spans="1:33" x14ac:dyDescent="0.25">
      <c r="A84" t="str">
        <f t="shared" si="14"/>
        <v>2022-83</v>
      </c>
      <c r="B84" s="1">
        <f t="shared" si="15"/>
        <v>44705</v>
      </c>
      <c r="C84" t="str">
        <f t="shared" si="16"/>
        <v>/Magenta: T-Mobile Austria GmbH, A-1120 Wien, PF 47</v>
      </c>
      <c r="D84" t="str">
        <f t="shared" si="17"/>
        <v>Ausgaben</v>
      </c>
      <c r="E84" t="str">
        <f t="shared" si="18"/>
        <v>Telefon/Internet</v>
      </c>
      <c r="F84" s="117">
        <f t="shared" si="19"/>
        <v>38.304000000000002</v>
      </c>
      <c r="G84" t="str">
        <f t="shared" si="20"/>
        <v>20%</v>
      </c>
      <c r="I84" s="53">
        <v>2022</v>
      </c>
      <c r="J84" s="53">
        <v>83</v>
      </c>
      <c r="K84" s="71" t="s">
        <v>105</v>
      </c>
      <c r="L84" t="s">
        <v>703</v>
      </c>
      <c r="M84" s="131"/>
      <c r="N84" s="1">
        <v>44705</v>
      </c>
      <c r="O84" t="s">
        <v>1148</v>
      </c>
      <c r="Q84" s="76"/>
      <c r="R84" t="b">
        <v>0</v>
      </c>
      <c r="S84" s="48">
        <v>31.92</v>
      </c>
      <c r="T84" s="72">
        <v>1</v>
      </c>
      <c r="U84">
        <v>20</v>
      </c>
      <c r="V84" s="31">
        <v>6.3840000000000012</v>
      </c>
      <c r="W84" s="31">
        <v>6.3840000000000012</v>
      </c>
      <c r="X84" s="33">
        <v>31.92</v>
      </c>
      <c r="Y84" s="29">
        <v>38.304000000000002</v>
      </c>
      <c r="Z84" s="29">
        <v>38.304000000000002</v>
      </c>
      <c r="AA84" s="35">
        <v>44788</v>
      </c>
      <c r="AB84" s="27"/>
      <c r="AC84" s="27"/>
      <c r="AD84" s="58">
        <v>31.92</v>
      </c>
      <c r="AE84" s="31">
        <v>0</v>
      </c>
      <c r="AF84" t="b">
        <v>0</v>
      </c>
      <c r="AG84" s="78">
        <v>-31.92</v>
      </c>
    </row>
    <row r="85" spans="1:33" x14ac:dyDescent="0.25">
      <c r="A85" t="str">
        <f t="shared" si="14"/>
        <v>2022-84</v>
      </c>
      <c r="B85" s="1">
        <f t="shared" si="15"/>
        <v>44711</v>
      </c>
      <c r="C85" t="str">
        <f t="shared" si="16"/>
        <v>11561270283/Sozialversicherung der gewerblichen Wirtshaft</v>
      </c>
      <c r="D85" t="str">
        <f t="shared" si="17"/>
        <v>Ausgaben</v>
      </c>
      <c r="E85" t="str">
        <f t="shared" si="18"/>
        <v>Pflichversicherungsbeiträge</v>
      </c>
      <c r="F85" s="117">
        <f t="shared" si="19"/>
        <v>5684.7</v>
      </c>
      <c r="G85" t="str">
        <f t="shared" si="20"/>
        <v>0%</v>
      </c>
      <c r="I85" s="53">
        <v>2022</v>
      </c>
      <c r="J85" s="53">
        <v>84</v>
      </c>
      <c r="K85" s="71" t="s">
        <v>105</v>
      </c>
      <c r="L85" t="s">
        <v>695</v>
      </c>
      <c r="M85" s="9">
        <v>11561270283</v>
      </c>
      <c r="N85" s="1">
        <v>44711</v>
      </c>
      <c r="O85" t="s">
        <v>952</v>
      </c>
      <c r="Q85" s="76"/>
      <c r="R85" t="b">
        <v>0</v>
      </c>
      <c r="S85" s="48">
        <v>5684.7</v>
      </c>
      <c r="T85" s="72">
        <v>1</v>
      </c>
      <c r="U85">
        <v>0</v>
      </c>
      <c r="V85" s="31">
        <v>0</v>
      </c>
      <c r="W85" s="31">
        <v>0</v>
      </c>
      <c r="X85" s="33">
        <v>5684.7</v>
      </c>
      <c r="Y85" s="29">
        <v>5684.7</v>
      </c>
      <c r="Z85" s="29">
        <v>5684.7</v>
      </c>
      <c r="AA85" s="35">
        <v>44788</v>
      </c>
      <c r="AB85" s="27"/>
      <c r="AC85" s="27"/>
      <c r="AD85" s="58">
        <v>5684.7</v>
      </c>
      <c r="AE85" s="31">
        <v>0</v>
      </c>
      <c r="AF85" t="b">
        <v>0</v>
      </c>
      <c r="AG85" s="78">
        <v>-5684.7</v>
      </c>
    </row>
    <row r="86" spans="1:33" x14ac:dyDescent="0.25">
      <c r="A86" t="str">
        <f t="shared" si="14"/>
        <v>2022-85</v>
      </c>
      <c r="B86" s="1">
        <f t="shared" si="15"/>
        <v>44713</v>
      </c>
      <c r="C86" t="str">
        <f t="shared" si="16"/>
        <v>/Bontus Immobilienverwaltung GmbH, 1010 Wien, Franz Josefs Kai 65</v>
      </c>
      <c r="D86" t="str">
        <f t="shared" si="17"/>
        <v>Ausgaben</v>
      </c>
      <c r="E86" t="str">
        <f t="shared" si="18"/>
        <v>Miet- und Pachtaufwand, Leasing</v>
      </c>
      <c r="F86" s="117">
        <f t="shared" si="19"/>
        <v>586.63</v>
      </c>
      <c r="G86" t="str">
        <f t="shared" si="20"/>
        <v>20%</v>
      </c>
      <c r="I86" s="53">
        <v>2022</v>
      </c>
      <c r="J86" s="53">
        <v>85</v>
      </c>
      <c r="K86" s="71" t="s">
        <v>105</v>
      </c>
      <c r="L86" t="s">
        <v>691</v>
      </c>
      <c r="M86" s="9"/>
      <c r="N86" s="1">
        <v>44713</v>
      </c>
      <c r="O86" t="s">
        <v>1113</v>
      </c>
      <c r="Q86" s="76"/>
      <c r="R86" t="b">
        <v>0</v>
      </c>
      <c r="S86" s="109">
        <v>488.85833333333335</v>
      </c>
      <c r="T86" s="72">
        <v>1</v>
      </c>
      <c r="U86">
        <v>20</v>
      </c>
      <c r="V86" s="31">
        <v>97.771666666666675</v>
      </c>
      <c r="W86" s="31">
        <v>97.771666666666675</v>
      </c>
      <c r="X86" s="33">
        <v>488.85833333333335</v>
      </c>
      <c r="Y86" s="29">
        <v>586.63</v>
      </c>
      <c r="Z86" s="29">
        <v>586.63</v>
      </c>
      <c r="AA86" s="35">
        <v>44788</v>
      </c>
      <c r="AB86" s="27"/>
      <c r="AC86" s="27"/>
      <c r="AD86" s="58">
        <v>488.85833333333335</v>
      </c>
      <c r="AE86" s="31">
        <v>0</v>
      </c>
      <c r="AF86" t="b">
        <v>0</v>
      </c>
      <c r="AG86" s="78">
        <v>-488.85833333333335</v>
      </c>
    </row>
    <row r="87" spans="1:33" x14ac:dyDescent="0.25">
      <c r="A87" t="str">
        <f t="shared" si="14"/>
        <v>2022-86</v>
      </c>
      <c r="B87" s="1">
        <f t="shared" si="15"/>
        <v>44714</v>
      </c>
      <c r="C87" t="str">
        <f t="shared" si="16"/>
        <v>/car2go Österreich GmbH, Hintere Zollamtstraße 9, 1030 Wien</v>
      </c>
      <c r="D87" t="str">
        <f t="shared" si="17"/>
        <v>Ausgaben</v>
      </c>
      <c r="E87" t="str">
        <f t="shared" si="18"/>
        <v>Reise- und Fahrtspesen inkl. Kilometergeld und Diäten</v>
      </c>
      <c r="F87" s="117">
        <f t="shared" si="19"/>
        <v>7.8840000000000003</v>
      </c>
      <c r="G87" t="str">
        <f t="shared" si="20"/>
        <v>20%</v>
      </c>
      <c r="I87" s="53">
        <v>2022</v>
      </c>
      <c r="J87" s="53">
        <v>86</v>
      </c>
      <c r="K87" s="71" t="s">
        <v>105</v>
      </c>
      <c r="L87" t="s">
        <v>689</v>
      </c>
      <c r="M87" s="131"/>
      <c r="N87" s="1">
        <v>44714</v>
      </c>
      <c r="O87" t="s">
        <v>974</v>
      </c>
      <c r="Q87" s="76"/>
      <c r="R87" t="b">
        <v>0</v>
      </c>
      <c r="S87" s="48">
        <v>6.57</v>
      </c>
      <c r="T87" s="72">
        <v>1</v>
      </c>
      <c r="U87">
        <v>20</v>
      </c>
      <c r="V87" s="31">
        <v>1.3140000000000001</v>
      </c>
      <c r="W87" s="31">
        <v>1.3140000000000001</v>
      </c>
      <c r="X87" s="33">
        <v>6.57</v>
      </c>
      <c r="Y87" s="29">
        <v>7.8840000000000003</v>
      </c>
      <c r="Z87" s="29">
        <v>7.8840000000000003</v>
      </c>
      <c r="AA87" s="35">
        <v>44788</v>
      </c>
      <c r="AB87" s="27"/>
      <c r="AC87" s="27"/>
      <c r="AD87" s="58">
        <v>6.57</v>
      </c>
      <c r="AE87" s="31">
        <v>0</v>
      </c>
      <c r="AF87" t="b">
        <v>0</v>
      </c>
      <c r="AG87" s="78">
        <v>-6.57</v>
      </c>
    </row>
    <row r="88" spans="1:33" x14ac:dyDescent="0.25">
      <c r="A88" t="str">
        <f t="shared" si="14"/>
        <v>2022-87</v>
      </c>
      <c r="B88" s="1">
        <f t="shared" si="15"/>
        <v>44715</v>
      </c>
      <c r="C88" t="str">
        <f t="shared" si="16"/>
        <v>/Google Ireland Ltd, Gordon House, Barrow Street, Dublin 4, Ireland; VAT number: IE 6388047V</v>
      </c>
      <c r="D88" t="str">
        <f t="shared" si="17"/>
        <v>Ausgaben</v>
      </c>
      <c r="E88" t="str">
        <f t="shared" si="18"/>
        <v>sonstige Betriebsausgaben</v>
      </c>
      <c r="F88" s="117">
        <f t="shared" si="19"/>
        <v>9.36</v>
      </c>
      <c r="G88" t="str">
        <f t="shared" si="20"/>
        <v>0%</v>
      </c>
      <c r="I88" s="53">
        <v>2022</v>
      </c>
      <c r="J88" s="53">
        <v>87</v>
      </c>
      <c r="K88" s="71" t="s">
        <v>105</v>
      </c>
      <c r="L88" t="s">
        <v>705</v>
      </c>
      <c r="M88" s="9"/>
      <c r="N88" s="1">
        <v>44715</v>
      </c>
      <c r="O88" t="s">
        <v>1404</v>
      </c>
      <c r="Q88" s="76"/>
      <c r="R88" t="b">
        <v>0</v>
      </c>
      <c r="S88" s="109">
        <v>9.36</v>
      </c>
      <c r="T88" s="72">
        <v>1</v>
      </c>
      <c r="U88">
        <v>0</v>
      </c>
      <c r="V88" s="31">
        <v>0</v>
      </c>
      <c r="W88" s="31">
        <v>0</v>
      </c>
      <c r="X88" s="33">
        <v>9.36</v>
      </c>
      <c r="Y88" s="29">
        <v>9.36</v>
      </c>
      <c r="Z88" s="29">
        <v>9.36</v>
      </c>
      <c r="AA88" s="35">
        <v>44788</v>
      </c>
      <c r="AB88" s="27"/>
      <c r="AC88" s="27">
        <v>20</v>
      </c>
      <c r="AD88" s="58">
        <v>9.36</v>
      </c>
      <c r="AE88" s="31">
        <v>1.8719999999999999</v>
      </c>
      <c r="AF88" t="b">
        <v>0</v>
      </c>
      <c r="AG88" s="78">
        <v>-9.36</v>
      </c>
    </row>
    <row r="89" spans="1:33" x14ac:dyDescent="0.25">
      <c r="A89" t="str">
        <f t="shared" si="14"/>
        <v>2022-88</v>
      </c>
      <c r="B89" s="1">
        <f t="shared" si="15"/>
        <v>44715</v>
      </c>
      <c r="C89" t="str">
        <f t="shared" si="16"/>
        <v>siehe Jahresabrechnung/go green energy GmbH &amp; Co KG</v>
      </c>
      <c r="D89" t="str">
        <f t="shared" si="17"/>
        <v>Ausgaben</v>
      </c>
      <c r="E89" t="str">
        <f t="shared" si="18"/>
        <v>sonstige Betriebsausgaben</v>
      </c>
      <c r="F89" s="117">
        <f t="shared" si="19"/>
        <v>3</v>
      </c>
      <c r="G89" t="str">
        <f t="shared" si="20"/>
        <v>20%</v>
      </c>
      <c r="I89" s="53">
        <v>2022</v>
      </c>
      <c r="J89" s="53">
        <v>88</v>
      </c>
      <c r="K89" s="71" t="s">
        <v>105</v>
      </c>
      <c r="L89" t="s">
        <v>705</v>
      </c>
      <c r="M89" s="153" t="s">
        <v>1698</v>
      </c>
      <c r="N89" s="1">
        <v>44715</v>
      </c>
      <c r="O89" t="s">
        <v>1670</v>
      </c>
      <c r="Q89" s="76"/>
      <c r="R89" t="b">
        <v>0</v>
      </c>
      <c r="S89" s="109">
        <v>2.5</v>
      </c>
      <c r="T89" s="72">
        <v>1</v>
      </c>
      <c r="U89">
        <v>20</v>
      </c>
      <c r="V89" s="31">
        <v>0.5</v>
      </c>
      <c r="W89" s="31">
        <v>0.5</v>
      </c>
      <c r="X89" s="33">
        <v>2.5</v>
      </c>
      <c r="Y89" s="29">
        <v>3</v>
      </c>
      <c r="Z89" s="29">
        <v>3</v>
      </c>
      <c r="AA89" s="35">
        <v>44788</v>
      </c>
      <c r="AB89" s="27"/>
      <c r="AC89" s="27"/>
      <c r="AD89" s="58">
        <v>2.5</v>
      </c>
      <c r="AE89" s="31">
        <v>0</v>
      </c>
      <c r="AF89" t="b">
        <v>0</v>
      </c>
      <c r="AG89" s="78">
        <v>-2.5</v>
      </c>
    </row>
    <row r="90" spans="1:33" x14ac:dyDescent="0.25">
      <c r="A90" t="str">
        <f t="shared" si="14"/>
        <v>2022-89</v>
      </c>
      <c r="B90" s="1">
        <f t="shared" si="15"/>
        <v>44719</v>
      </c>
      <c r="C90" t="str">
        <f t="shared" si="16"/>
        <v>/Techem Messtechnik GmbH; Abnehmernummer 501686-0003-11-</v>
      </c>
      <c r="D90" t="str">
        <f t="shared" si="17"/>
        <v>Ausgaben</v>
      </c>
      <c r="E90" t="str">
        <f t="shared" si="18"/>
        <v>Miet- und Pachtaufwand, Leasing</v>
      </c>
      <c r="F90" s="117">
        <f t="shared" si="19"/>
        <v>147.12</v>
      </c>
      <c r="G90" t="str">
        <f t="shared" si="20"/>
        <v>20%</v>
      </c>
      <c r="I90" s="53">
        <v>2022</v>
      </c>
      <c r="J90" s="53">
        <v>89</v>
      </c>
      <c r="K90" s="71" t="s">
        <v>105</v>
      </c>
      <c r="L90" t="s">
        <v>691</v>
      </c>
      <c r="M90" s="139"/>
      <c r="N90" s="1">
        <v>44719</v>
      </c>
      <c r="O90" t="s">
        <v>1558</v>
      </c>
      <c r="Q90" s="76"/>
      <c r="R90" t="b">
        <v>0</v>
      </c>
      <c r="S90" s="109">
        <v>122.6</v>
      </c>
      <c r="T90" s="72">
        <v>1</v>
      </c>
      <c r="U90">
        <v>20</v>
      </c>
      <c r="V90" s="31">
        <v>24.52</v>
      </c>
      <c r="W90" s="31">
        <v>24.52</v>
      </c>
      <c r="X90" s="33">
        <v>122.6</v>
      </c>
      <c r="Y90" s="29">
        <v>147.12</v>
      </c>
      <c r="Z90" s="29">
        <v>147.12</v>
      </c>
      <c r="AA90" s="35">
        <v>44788</v>
      </c>
      <c r="AB90" s="27"/>
      <c r="AC90" s="27"/>
      <c r="AD90" s="58">
        <v>122.6</v>
      </c>
      <c r="AE90" s="31">
        <v>0</v>
      </c>
      <c r="AF90" t="b">
        <v>0</v>
      </c>
      <c r="AG90" s="78">
        <v>-122.6</v>
      </c>
    </row>
    <row r="91" spans="1:33" x14ac:dyDescent="0.25">
      <c r="A91" t="str">
        <f t="shared" si="14"/>
        <v>2022-90</v>
      </c>
      <c r="B91" s="1">
        <f t="shared" si="15"/>
        <v>44720</v>
      </c>
      <c r="C91" t="str">
        <f t="shared" si="16"/>
        <v>/Hutchison Drei Austria GmbH, Brünner Straße 52, 1210 Wien, Österreich</v>
      </c>
      <c r="D91" t="str">
        <f t="shared" si="17"/>
        <v>Ausgaben</v>
      </c>
      <c r="E91" t="str">
        <f t="shared" si="18"/>
        <v>Telefon/Internet</v>
      </c>
      <c r="F91" s="117">
        <f t="shared" si="19"/>
        <v>18</v>
      </c>
      <c r="G91" t="str">
        <f t="shared" si="20"/>
        <v>20%</v>
      </c>
      <c r="I91" s="53">
        <v>2022</v>
      </c>
      <c r="J91" s="53">
        <v>90</v>
      </c>
      <c r="K91" s="71" t="s">
        <v>105</v>
      </c>
      <c r="L91" t="s">
        <v>703</v>
      </c>
      <c r="M91" s="9"/>
      <c r="N91" s="1">
        <v>44720</v>
      </c>
      <c r="O91" t="s">
        <v>34</v>
      </c>
      <c r="Q91" s="76"/>
      <c r="R91" t="b">
        <v>0</v>
      </c>
      <c r="S91" s="48">
        <v>15</v>
      </c>
      <c r="T91" s="72">
        <v>1</v>
      </c>
      <c r="U91">
        <v>20</v>
      </c>
      <c r="V91" s="31">
        <v>3</v>
      </c>
      <c r="W91" s="31">
        <v>3</v>
      </c>
      <c r="X91" s="33">
        <v>15</v>
      </c>
      <c r="Y91" s="29">
        <v>18</v>
      </c>
      <c r="Z91" s="29">
        <v>18</v>
      </c>
      <c r="AA91" s="35">
        <v>44788</v>
      </c>
      <c r="AB91" s="27"/>
      <c r="AC91" s="27"/>
      <c r="AD91" s="58">
        <v>15</v>
      </c>
      <c r="AE91" s="31">
        <v>0</v>
      </c>
      <c r="AF91" t="b">
        <v>0</v>
      </c>
      <c r="AG91" s="78">
        <v>-15</v>
      </c>
    </row>
    <row r="92" spans="1:33" x14ac:dyDescent="0.25">
      <c r="A92" t="str">
        <f t="shared" si="14"/>
        <v>2022-91</v>
      </c>
      <c r="B92" s="1">
        <f t="shared" si="15"/>
        <v>44721</v>
      </c>
      <c r="C92" t="str">
        <f t="shared" si="16"/>
        <v>/Techem Messtechnik GmbH; Abnehmernummer 501686-0003-11-</v>
      </c>
      <c r="D92" t="str">
        <f t="shared" si="17"/>
        <v>Ausgaben</v>
      </c>
      <c r="E92" t="str">
        <f t="shared" si="18"/>
        <v>Miet- und Pachtaufwand, Leasing</v>
      </c>
      <c r="F92" s="117">
        <f t="shared" si="19"/>
        <v>-10.71</v>
      </c>
      <c r="G92" t="str">
        <f t="shared" si="20"/>
        <v>20%</v>
      </c>
      <c r="I92" s="53">
        <v>2022</v>
      </c>
      <c r="J92" s="53">
        <v>91</v>
      </c>
      <c r="K92" s="71" t="s">
        <v>105</v>
      </c>
      <c r="L92" t="s">
        <v>691</v>
      </c>
      <c r="M92" s="139"/>
      <c r="N92" s="1">
        <v>44721</v>
      </c>
      <c r="O92" t="s">
        <v>1558</v>
      </c>
      <c r="Q92" s="76"/>
      <c r="R92" t="b">
        <v>0</v>
      </c>
      <c r="S92" s="109">
        <v>-8.9250000000000007</v>
      </c>
      <c r="T92" s="72">
        <v>1</v>
      </c>
      <c r="U92">
        <v>20</v>
      </c>
      <c r="V92" s="31">
        <v>-1.7849999999999999</v>
      </c>
      <c r="W92" s="31">
        <v>-1.7849999999999999</v>
      </c>
      <c r="X92" s="33">
        <v>-8.9250000000000007</v>
      </c>
      <c r="Y92" s="29">
        <v>-10.71</v>
      </c>
      <c r="Z92" s="29">
        <v>-10.71</v>
      </c>
      <c r="AA92" s="35">
        <v>44788</v>
      </c>
      <c r="AB92" s="27"/>
      <c r="AC92" s="27"/>
      <c r="AD92" s="58">
        <v>-8.9250000000000007</v>
      </c>
      <c r="AE92" s="31">
        <v>0</v>
      </c>
      <c r="AF92" t="b">
        <v>0</v>
      </c>
      <c r="AG92" s="78">
        <v>8.9250000000000007</v>
      </c>
    </row>
    <row r="93" spans="1:33" x14ac:dyDescent="0.25">
      <c r="A93" t="str">
        <f t="shared" si="14"/>
        <v>2022-92</v>
      </c>
      <c r="B93" s="1">
        <f t="shared" si="15"/>
        <v>44722</v>
      </c>
      <c r="C93" t="str">
        <f t="shared" si="16"/>
        <v>220008996902/Wiener Netze GmbH, Erdbergstraße 236, 1110 Wien, Postfach 422; Jahresabrechnung vom 17.12.20: GUTSCHRIFT</v>
      </c>
      <c r="D93" t="str">
        <f t="shared" si="17"/>
        <v>Ausgaben</v>
      </c>
      <c r="E93" t="str">
        <f t="shared" si="18"/>
        <v>sonstige Betriebsausgaben</v>
      </c>
      <c r="F93" s="117">
        <f t="shared" si="19"/>
        <v>13.2</v>
      </c>
      <c r="G93" t="str">
        <f t="shared" si="20"/>
        <v>20%</v>
      </c>
      <c r="I93" s="53">
        <v>2022</v>
      </c>
      <c r="J93" s="53">
        <v>92</v>
      </c>
      <c r="K93" s="71" t="s">
        <v>105</v>
      </c>
      <c r="L93" t="s">
        <v>705</v>
      </c>
      <c r="M93" s="139" t="s">
        <v>1649</v>
      </c>
      <c r="N93" s="1">
        <v>44722</v>
      </c>
      <c r="O93" t="s">
        <v>1466</v>
      </c>
      <c r="Q93" s="76"/>
      <c r="R93" t="b">
        <v>0</v>
      </c>
      <c r="S93" s="48">
        <v>11</v>
      </c>
      <c r="T93" s="72">
        <v>1</v>
      </c>
      <c r="U93">
        <v>20</v>
      </c>
      <c r="V93" s="31">
        <v>2.2000000000000002</v>
      </c>
      <c r="W93" s="31">
        <v>2.2000000000000002</v>
      </c>
      <c r="X93" s="33">
        <v>11</v>
      </c>
      <c r="Y93" s="29">
        <v>13.2</v>
      </c>
      <c r="Z93" s="29">
        <v>13.2</v>
      </c>
      <c r="AA93" s="35">
        <v>44788</v>
      </c>
      <c r="AB93" s="27"/>
      <c r="AC93" s="27"/>
      <c r="AD93" s="58">
        <v>11</v>
      </c>
      <c r="AE93" s="31">
        <v>0</v>
      </c>
      <c r="AF93" t="b">
        <v>0</v>
      </c>
      <c r="AG93" s="78">
        <v>-11</v>
      </c>
    </row>
    <row r="94" spans="1:33" x14ac:dyDescent="0.25">
      <c r="A94" t="str">
        <f t="shared" si="14"/>
        <v>2022-93</v>
      </c>
      <c r="B94" s="1">
        <f t="shared" si="15"/>
        <v>44725</v>
      </c>
      <c r="C94" t="str">
        <f t="shared" si="16"/>
        <v>/Woocommerce.com, 17 Shelley Road, Salt River, Cape Town 7625, South Africa</v>
      </c>
      <c r="D94" t="str">
        <f t="shared" si="17"/>
        <v>Ausgaben</v>
      </c>
      <c r="E94" t="str">
        <f t="shared" si="18"/>
        <v>sonstige Betriebsausgaben</v>
      </c>
      <c r="F94" s="117">
        <f t="shared" si="19"/>
        <v>27.75</v>
      </c>
      <c r="G94" t="str">
        <f t="shared" si="20"/>
        <v>0%</v>
      </c>
      <c r="I94" s="53">
        <v>2022</v>
      </c>
      <c r="J94" s="53">
        <v>93</v>
      </c>
      <c r="K94" s="71" t="s">
        <v>105</v>
      </c>
      <c r="L94" t="s">
        <v>705</v>
      </c>
      <c r="M94" s="9"/>
      <c r="N94" s="1">
        <v>44725</v>
      </c>
      <c r="O94" t="s">
        <v>1368</v>
      </c>
      <c r="Q94" s="76"/>
      <c r="R94" t="b">
        <v>0</v>
      </c>
      <c r="S94" s="48">
        <v>27.75</v>
      </c>
      <c r="T94" s="72">
        <v>1</v>
      </c>
      <c r="U94">
        <v>0</v>
      </c>
      <c r="V94" s="31">
        <v>0</v>
      </c>
      <c r="W94" s="31">
        <v>0</v>
      </c>
      <c r="X94" s="33">
        <v>27.75</v>
      </c>
      <c r="Y94" s="29">
        <v>27.75</v>
      </c>
      <c r="Z94" s="29">
        <v>27.75</v>
      </c>
      <c r="AA94" s="35">
        <v>44788</v>
      </c>
      <c r="AB94" s="27"/>
      <c r="AC94" s="27">
        <v>20</v>
      </c>
      <c r="AD94" s="58">
        <v>27.75</v>
      </c>
      <c r="AE94" s="31">
        <v>5.5500000000000007</v>
      </c>
      <c r="AF94" t="b">
        <v>0</v>
      </c>
      <c r="AG94" s="78">
        <v>-27.75</v>
      </c>
    </row>
    <row r="95" spans="1:33" x14ac:dyDescent="0.25">
      <c r="A95" t="str">
        <f t="shared" si="14"/>
        <v>2022-94</v>
      </c>
      <c r="B95" s="1">
        <f t="shared" si="15"/>
        <v>44725</v>
      </c>
      <c r="C95" t="str">
        <f t="shared" si="16"/>
        <v>/Hetzner Online GmbH</v>
      </c>
      <c r="D95" t="str">
        <f t="shared" si="17"/>
        <v>Ausgaben</v>
      </c>
      <c r="E95" t="str">
        <f t="shared" si="18"/>
        <v>sonstige Betriebsausgaben</v>
      </c>
      <c r="F95" s="117">
        <f t="shared" si="19"/>
        <v>47.776499999999999</v>
      </c>
      <c r="G95" t="str">
        <f t="shared" si="20"/>
        <v>0%</v>
      </c>
      <c r="I95" s="53">
        <v>2022</v>
      </c>
      <c r="J95" s="53">
        <v>94</v>
      </c>
      <c r="K95" s="71" t="s">
        <v>105</v>
      </c>
      <c r="L95" t="s">
        <v>705</v>
      </c>
      <c r="M95" s="9"/>
      <c r="N95" s="1">
        <v>44725</v>
      </c>
      <c r="O95" t="s">
        <v>927</v>
      </c>
      <c r="Q95" s="76"/>
      <c r="R95" t="b">
        <v>0</v>
      </c>
      <c r="S95" s="48">
        <v>47.776499999999999</v>
      </c>
      <c r="T95" s="72">
        <v>1</v>
      </c>
      <c r="U95">
        <v>0</v>
      </c>
      <c r="V95" s="31">
        <v>0</v>
      </c>
      <c r="W95" s="31">
        <v>0</v>
      </c>
      <c r="X95" s="33">
        <v>47.776499999999999</v>
      </c>
      <c r="Y95" s="29">
        <v>47.776499999999999</v>
      </c>
      <c r="Z95" s="29">
        <v>47.776499999999999</v>
      </c>
      <c r="AA95" s="35">
        <v>44788</v>
      </c>
      <c r="AB95" s="27"/>
      <c r="AC95" s="27">
        <v>20</v>
      </c>
      <c r="AD95" s="58">
        <v>47.776499999999999</v>
      </c>
      <c r="AE95" s="31">
        <v>9.5553000000000008</v>
      </c>
      <c r="AF95" t="b">
        <v>0</v>
      </c>
      <c r="AG95" s="78">
        <v>-47.776499999999999</v>
      </c>
    </row>
    <row r="96" spans="1:33" x14ac:dyDescent="0.25">
      <c r="A96" t="str">
        <f t="shared" si="14"/>
        <v>2022-95</v>
      </c>
      <c r="B96" s="1">
        <f t="shared" si="15"/>
        <v>44728</v>
      </c>
      <c r="C96" t="str">
        <f t="shared" si="16"/>
        <v>/Google Ireland Ltd, Gordon House, Barrow Street, Dublin 4, Ireland; VAT number: IE 6388047V</v>
      </c>
      <c r="D96" t="str">
        <f t="shared" si="17"/>
        <v>Ausgaben</v>
      </c>
      <c r="E96" t="str">
        <f t="shared" si="18"/>
        <v>sonstige Betriebsausgaben</v>
      </c>
      <c r="F96" s="117">
        <f t="shared" si="19"/>
        <v>19.989999999999998</v>
      </c>
      <c r="G96" t="str">
        <f t="shared" si="20"/>
        <v>0%</v>
      </c>
      <c r="I96" s="53">
        <v>2022</v>
      </c>
      <c r="J96" s="53">
        <v>95</v>
      </c>
      <c r="K96" s="71" t="s">
        <v>105</v>
      </c>
      <c r="L96" t="s">
        <v>705</v>
      </c>
      <c r="M96" s="9"/>
      <c r="N96" s="1">
        <v>44728</v>
      </c>
      <c r="O96" t="s">
        <v>1404</v>
      </c>
      <c r="Q96" s="76"/>
      <c r="R96" t="b">
        <v>0</v>
      </c>
      <c r="S96" s="109">
        <v>19.989999999999998</v>
      </c>
      <c r="T96" s="72">
        <v>1</v>
      </c>
      <c r="U96">
        <v>0</v>
      </c>
      <c r="V96" s="31">
        <v>0</v>
      </c>
      <c r="W96" s="31">
        <v>0</v>
      </c>
      <c r="X96" s="33">
        <v>19.989999999999998</v>
      </c>
      <c r="Y96" s="29">
        <v>19.989999999999998</v>
      </c>
      <c r="Z96" s="29">
        <v>19.989999999999998</v>
      </c>
      <c r="AA96" s="35">
        <v>44788</v>
      </c>
      <c r="AB96" s="27"/>
      <c r="AC96" s="27">
        <v>20</v>
      </c>
      <c r="AD96" s="58">
        <v>19.989999999999998</v>
      </c>
      <c r="AE96" s="31">
        <v>3.9979999999999998</v>
      </c>
      <c r="AF96" t="b">
        <v>0</v>
      </c>
      <c r="AG96" s="78">
        <v>-19.989999999999998</v>
      </c>
    </row>
    <row r="97" spans="1:33" x14ac:dyDescent="0.25">
      <c r="A97" t="str">
        <f t="shared" si="14"/>
        <v>2022-96</v>
      </c>
      <c r="B97" s="1">
        <f t="shared" si="15"/>
        <v>44729</v>
      </c>
      <c r="C97" t="str">
        <f t="shared" si="16"/>
        <v>168043527/Hays Österreich GmbH, Bahnhof City Wien West , Europaplatz 3/5, 1150 Wien</v>
      </c>
      <c r="D97" t="str">
        <f t="shared" si="17"/>
        <v>Einnahmen</v>
      </c>
      <c r="E97" t="str">
        <f t="shared" si="18"/>
        <v>Waren-/Leistungserlöse</v>
      </c>
      <c r="F97" s="117">
        <f t="shared" si="19"/>
        <v>14292.6</v>
      </c>
      <c r="G97" t="str">
        <f t="shared" si="20"/>
        <v>20%</v>
      </c>
      <c r="I97" s="53">
        <v>2022</v>
      </c>
      <c r="J97" s="53">
        <v>96</v>
      </c>
      <c r="K97" s="71" t="s">
        <v>708</v>
      </c>
      <c r="L97" t="s">
        <v>709</v>
      </c>
      <c r="M97">
        <v>168043527</v>
      </c>
      <c r="N97" s="1">
        <v>44729</v>
      </c>
      <c r="O97" t="s">
        <v>1652</v>
      </c>
      <c r="Q97" s="76"/>
      <c r="R97" t="b">
        <v>0</v>
      </c>
      <c r="S97" s="48">
        <v>11910.5</v>
      </c>
      <c r="T97" s="72">
        <v>1</v>
      </c>
      <c r="U97">
        <v>20</v>
      </c>
      <c r="V97" s="31">
        <v>2382.1</v>
      </c>
      <c r="W97" s="31">
        <v>2382.1</v>
      </c>
      <c r="X97" s="33">
        <v>11910.5</v>
      </c>
      <c r="Y97" s="29">
        <v>14292.6</v>
      </c>
      <c r="Z97" s="29">
        <v>14292.6</v>
      </c>
      <c r="AA97" s="35">
        <v>44788</v>
      </c>
      <c r="AB97" s="27"/>
      <c r="AC97" s="27">
        <v>20</v>
      </c>
      <c r="AD97" s="58">
        <v>11910.5</v>
      </c>
      <c r="AE97" s="31">
        <v>2858.5200000000004</v>
      </c>
      <c r="AF97" t="b">
        <v>1</v>
      </c>
      <c r="AG97" s="78">
        <v>11910.5</v>
      </c>
    </row>
    <row r="98" spans="1:33" x14ac:dyDescent="0.25">
      <c r="A98" t="str">
        <f t="shared" ref="A98:A129" si="21">I98&amp;"-"&amp;J98</f>
        <v>2022-97</v>
      </c>
      <c r="B98" s="1">
        <f t="shared" ref="B98:B129" si="22">N98</f>
        <v>44732</v>
      </c>
      <c r="C98" t="str">
        <f t="shared" ref="C98:C129" si="23">M98&amp;"/"&amp;O98</f>
        <v>/Microsoft Ireland Operations Ltd. One Microsoft Place, South County, Business Park, Leopardstown, Dublin 18, D18 P521, Ireland</v>
      </c>
      <c r="D98" t="str">
        <f t="shared" ref="D98:D129" si="24">K98</f>
        <v>Ausgaben</v>
      </c>
      <c r="E98" t="str">
        <f t="shared" ref="E98:E129" si="25">L98</f>
        <v>sonstige Betriebsausgaben</v>
      </c>
      <c r="F98" s="117">
        <f t="shared" ref="F98:F129" si="26">Z98</f>
        <v>10.5</v>
      </c>
      <c r="G98" t="str">
        <f t="shared" ref="G98:G129" si="27">U98&amp;"%"</f>
        <v>0%</v>
      </c>
      <c r="I98" s="53">
        <v>2022</v>
      </c>
      <c r="J98" s="53">
        <v>97</v>
      </c>
      <c r="K98" s="71" t="s">
        <v>105</v>
      </c>
      <c r="L98" t="s">
        <v>705</v>
      </c>
      <c r="M98" s="6"/>
      <c r="N98" s="1">
        <v>44732</v>
      </c>
      <c r="O98" t="s">
        <v>1032</v>
      </c>
      <c r="Q98" s="76"/>
      <c r="R98" t="b">
        <v>0</v>
      </c>
      <c r="S98" s="48">
        <v>10.5</v>
      </c>
      <c r="T98" s="72">
        <v>1</v>
      </c>
      <c r="U98">
        <v>0</v>
      </c>
      <c r="V98" s="31">
        <v>0</v>
      </c>
      <c r="W98" s="31">
        <v>0</v>
      </c>
      <c r="X98" s="33">
        <v>10.5</v>
      </c>
      <c r="Y98" s="29">
        <v>10.5</v>
      </c>
      <c r="Z98" s="29">
        <v>10.5</v>
      </c>
      <c r="AA98" s="35">
        <v>44788</v>
      </c>
      <c r="AB98" s="27"/>
      <c r="AC98" s="27">
        <v>20</v>
      </c>
      <c r="AD98" s="58">
        <v>10.5</v>
      </c>
      <c r="AE98" s="31">
        <v>2.1</v>
      </c>
      <c r="AF98" t="b">
        <v>0</v>
      </c>
      <c r="AG98" s="78">
        <v>-10.5</v>
      </c>
    </row>
    <row r="99" spans="1:33" x14ac:dyDescent="0.25">
      <c r="A99" t="str">
        <f t="shared" si="21"/>
        <v>2022-98</v>
      </c>
      <c r="B99" s="1">
        <f t="shared" si="22"/>
        <v>44733</v>
      </c>
      <c r="C99" t="str">
        <f t="shared" si="23"/>
        <v>BELEG FEHLT/Microsoft Ireland Operations Ltd. One Microsoft Place, South County, Business Park, Leopardstown, Dublin 18, D18 P521, Ireland</v>
      </c>
      <c r="D99" t="str">
        <f t="shared" si="24"/>
        <v>Ausgaben</v>
      </c>
      <c r="E99" t="str">
        <f t="shared" si="25"/>
        <v>sonstige Betriebsausgaben</v>
      </c>
      <c r="F99" s="117">
        <f t="shared" si="26"/>
        <v>69</v>
      </c>
      <c r="G99" t="str">
        <f t="shared" si="27"/>
        <v>0%</v>
      </c>
      <c r="I99" s="53">
        <v>2022</v>
      </c>
      <c r="J99" s="53">
        <v>98</v>
      </c>
      <c r="K99" s="71" t="s">
        <v>105</v>
      </c>
      <c r="L99" t="s">
        <v>705</v>
      </c>
      <c r="M99" s="61" t="s">
        <v>1064</v>
      </c>
      <c r="N99" s="1">
        <v>44733</v>
      </c>
      <c r="O99" t="s">
        <v>1032</v>
      </c>
      <c r="Q99" s="76"/>
      <c r="R99" t="b">
        <v>0</v>
      </c>
      <c r="S99" s="48">
        <v>69</v>
      </c>
      <c r="T99" s="72">
        <v>1</v>
      </c>
      <c r="U99">
        <v>0</v>
      </c>
      <c r="V99" s="31">
        <v>0</v>
      </c>
      <c r="W99" s="31">
        <v>0</v>
      </c>
      <c r="X99" s="33">
        <v>69</v>
      </c>
      <c r="Y99" s="29">
        <v>69</v>
      </c>
      <c r="Z99" s="29">
        <v>69</v>
      </c>
      <c r="AA99" s="35">
        <v>44788</v>
      </c>
      <c r="AB99" s="27"/>
      <c r="AC99" s="27">
        <v>20</v>
      </c>
      <c r="AD99" s="58">
        <v>69</v>
      </c>
      <c r="AE99" s="31">
        <v>13.8</v>
      </c>
      <c r="AF99" t="b">
        <v>0</v>
      </c>
      <c r="AG99" s="78">
        <v>-69</v>
      </c>
    </row>
    <row r="100" spans="1:33" x14ac:dyDescent="0.25">
      <c r="A100" t="str">
        <f t="shared" si="21"/>
        <v>2022-99</v>
      </c>
      <c r="B100" s="1">
        <f t="shared" si="22"/>
        <v>44734</v>
      </c>
      <c r="C100" t="str">
        <f t="shared" si="23"/>
        <v>/Magenta: T-Mobile Austria GmbH, A-1120 Wien, PF 47</v>
      </c>
      <c r="D100" t="str">
        <f t="shared" si="24"/>
        <v>Ausgaben</v>
      </c>
      <c r="E100" t="str">
        <f t="shared" si="25"/>
        <v>Telefon/Internet</v>
      </c>
      <c r="F100" s="117">
        <f t="shared" si="26"/>
        <v>38.304000000000002</v>
      </c>
      <c r="G100" t="str">
        <f t="shared" si="27"/>
        <v>20%</v>
      </c>
      <c r="I100" s="53">
        <v>2022</v>
      </c>
      <c r="J100" s="53">
        <v>99</v>
      </c>
      <c r="K100" s="71" t="s">
        <v>105</v>
      </c>
      <c r="L100" t="s">
        <v>703</v>
      </c>
      <c r="M100" s="131"/>
      <c r="N100" s="1">
        <v>44734</v>
      </c>
      <c r="O100" t="s">
        <v>1148</v>
      </c>
      <c r="Q100" s="76"/>
      <c r="R100" t="b">
        <v>0</v>
      </c>
      <c r="S100" s="48">
        <v>31.92</v>
      </c>
      <c r="T100" s="72">
        <v>1</v>
      </c>
      <c r="U100">
        <v>20</v>
      </c>
      <c r="V100" s="31">
        <v>6.3840000000000012</v>
      </c>
      <c r="W100" s="31">
        <v>6.3840000000000012</v>
      </c>
      <c r="X100" s="33">
        <v>31.92</v>
      </c>
      <c r="Y100" s="29">
        <v>38.304000000000002</v>
      </c>
      <c r="Z100" s="29">
        <v>38.304000000000002</v>
      </c>
      <c r="AA100" s="35">
        <v>44788</v>
      </c>
      <c r="AB100" s="27"/>
      <c r="AC100" s="27"/>
      <c r="AD100" s="58">
        <v>31.92</v>
      </c>
      <c r="AE100" s="31">
        <v>0</v>
      </c>
      <c r="AF100" t="b">
        <v>0</v>
      </c>
      <c r="AG100" s="78">
        <v>-31.92</v>
      </c>
    </row>
    <row r="101" spans="1:33" x14ac:dyDescent="0.25">
      <c r="A101" t="str">
        <f t="shared" si="21"/>
        <v>2022-100</v>
      </c>
      <c r="B101" s="1">
        <f t="shared" si="22"/>
        <v>44743</v>
      </c>
      <c r="C101" t="str">
        <f t="shared" si="23"/>
        <v>/Bontus Immobilienverwaltung GmbH, 1010 Wien, Franz Josefs Kai 65</v>
      </c>
      <c r="D101" t="str">
        <f t="shared" si="24"/>
        <v>Ausgaben</v>
      </c>
      <c r="E101" t="str">
        <f t="shared" si="25"/>
        <v>Miet- und Pachtaufwand, Leasing</v>
      </c>
      <c r="F101" s="117">
        <f t="shared" si="26"/>
        <v>595.73</v>
      </c>
      <c r="G101" t="str">
        <f t="shared" si="27"/>
        <v>20%</v>
      </c>
      <c r="I101" s="53">
        <v>2022</v>
      </c>
      <c r="J101" s="53">
        <v>100</v>
      </c>
      <c r="K101" s="71" t="s">
        <v>105</v>
      </c>
      <c r="L101" t="s">
        <v>691</v>
      </c>
      <c r="M101" s="9"/>
      <c r="N101" s="1">
        <v>44743</v>
      </c>
      <c r="O101" t="s">
        <v>1113</v>
      </c>
      <c r="Q101" s="76"/>
      <c r="R101" t="b">
        <v>0</v>
      </c>
      <c r="S101" s="109">
        <v>496.44166666666672</v>
      </c>
      <c r="T101" s="72">
        <v>1</v>
      </c>
      <c r="U101">
        <v>20</v>
      </c>
      <c r="V101" s="31">
        <v>99.288333333333341</v>
      </c>
      <c r="W101" s="31">
        <v>99.288333333333341</v>
      </c>
      <c r="X101" s="33">
        <v>496.44166666666672</v>
      </c>
      <c r="Y101" s="29">
        <v>595.73</v>
      </c>
      <c r="Z101" s="29">
        <v>595.73</v>
      </c>
      <c r="AA101" s="35">
        <v>44880</v>
      </c>
      <c r="AB101" s="27"/>
      <c r="AC101" s="27"/>
      <c r="AD101" s="58">
        <v>496.44166666666672</v>
      </c>
      <c r="AE101" s="31">
        <v>0</v>
      </c>
      <c r="AF101" t="b">
        <v>0</v>
      </c>
      <c r="AG101" s="78">
        <v>-496.44166666666672</v>
      </c>
    </row>
    <row r="102" spans="1:33" x14ac:dyDescent="0.25">
      <c r="A102" t="str">
        <f t="shared" si="21"/>
        <v>2022-101</v>
      </c>
      <c r="B102" s="1">
        <f t="shared" si="22"/>
        <v>44743</v>
      </c>
      <c r="C102" t="str">
        <f t="shared" si="23"/>
        <v>/Amazon EU S. à r.l., 38 avenue John F. Kennedy, L-1855 Luxembourg: HJEU: DVI-HDMI, Logitech Maus</v>
      </c>
      <c r="D102" t="str">
        <f t="shared" si="24"/>
        <v>Ausgaben</v>
      </c>
      <c r="E102" t="str">
        <f t="shared" si="25"/>
        <v>sonstige Betriebsausgaben</v>
      </c>
      <c r="F102" s="117">
        <f t="shared" si="26"/>
        <v>15.61</v>
      </c>
      <c r="G102" t="str">
        <f t="shared" si="27"/>
        <v>0%</v>
      </c>
      <c r="I102" s="53">
        <v>2022</v>
      </c>
      <c r="J102" s="53">
        <v>101</v>
      </c>
      <c r="K102" s="71" t="s">
        <v>105</v>
      </c>
      <c r="L102" t="s">
        <v>705</v>
      </c>
      <c r="M102" s="6"/>
      <c r="N102" s="1">
        <v>44743</v>
      </c>
      <c r="O102" t="s">
        <v>981</v>
      </c>
      <c r="Q102" s="76"/>
      <c r="R102" t="b">
        <v>0</v>
      </c>
      <c r="S102" s="48">
        <v>15.61</v>
      </c>
      <c r="T102" s="72">
        <v>1</v>
      </c>
      <c r="U102">
        <v>0</v>
      </c>
      <c r="V102" s="31">
        <v>0</v>
      </c>
      <c r="W102" s="31">
        <v>0</v>
      </c>
      <c r="X102" s="33">
        <v>15.61</v>
      </c>
      <c r="Y102" s="29">
        <v>15.61</v>
      </c>
      <c r="Z102" s="29">
        <v>15.61</v>
      </c>
      <c r="AA102" s="35">
        <v>44880</v>
      </c>
      <c r="AB102" s="27"/>
      <c r="AC102" s="27">
        <v>20</v>
      </c>
      <c r="AD102" s="58">
        <v>15.61</v>
      </c>
      <c r="AE102" s="31">
        <v>3.1219999999999999</v>
      </c>
      <c r="AF102" t="b">
        <v>0</v>
      </c>
      <c r="AG102" s="78">
        <v>-15.61</v>
      </c>
    </row>
    <row r="103" spans="1:33" x14ac:dyDescent="0.25">
      <c r="A103" t="str">
        <f t="shared" si="21"/>
        <v>2022-102</v>
      </c>
      <c r="B103" s="1">
        <f t="shared" si="22"/>
        <v>44746</v>
      </c>
      <c r="C103" t="str">
        <f t="shared" si="23"/>
        <v>/car2go Österreich GmbH, Hintere Zollamtstraße 9, 1030 Wien</v>
      </c>
      <c r="D103" t="str">
        <f t="shared" si="24"/>
        <v>Ausgaben</v>
      </c>
      <c r="E103" t="str">
        <f t="shared" si="25"/>
        <v>Reise- und Fahrtspesen inkl. Kilometergeld und Diäten</v>
      </c>
      <c r="F103" s="117">
        <f t="shared" si="26"/>
        <v>17.376000000000001</v>
      </c>
      <c r="G103" t="str">
        <f t="shared" si="27"/>
        <v>20%</v>
      </c>
      <c r="I103" s="53">
        <v>2022</v>
      </c>
      <c r="J103" s="53">
        <v>102</v>
      </c>
      <c r="K103" s="71" t="s">
        <v>105</v>
      </c>
      <c r="L103" t="s">
        <v>689</v>
      </c>
      <c r="M103" s="131"/>
      <c r="N103" s="1">
        <v>44746</v>
      </c>
      <c r="O103" t="s">
        <v>974</v>
      </c>
      <c r="Q103" s="76"/>
      <c r="R103" t="b">
        <v>0</v>
      </c>
      <c r="S103" s="48">
        <v>14.48</v>
      </c>
      <c r="T103" s="72">
        <v>1</v>
      </c>
      <c r="U103">
        <v>20</v>
      </c>
      <c r="V103" s="31">
        <v>2.8960000000000004</v>
      </c>
      <c r="W103" s="31">
        <v>2.8960000000000004</v>
      </c>
      <c r="X103" s="33">
        <v>14.48</v>
      </c>
      <c r="Y103" s="29">
        <v>17.376000000000001</v>
      </c>
      <c r="Z103" s="29">
        <v>17.376000000000001</v>
      </c>
      <c r="AA103" s="35">
        <v>44880</v>
      </c>
      <c r="AB103" s="27"/>
      <c r="AC103" s="27"/>
      <c r="AD103" s="58">
        <v>14.48</v>
      </c>
      <c r="AE103" s="31">
        <v>0</v>
      </c>
      <c r="AF103" t="b">
        <v>0</v>
      </c>
      <c r="AG103" s="78">
        <v>-14.48</v>
      </c>
    </row>
    <row r="104" spans="1:33" x14ac:dyDescent="0.25">
      <c r="A104" t="str">
        <f t="shared" si="21"/>
        <v>2022-103</v>
      </c>
      <c r="B104" s="1">
        <f t="shared" si="22"/>
        <v>44746</v>
      </c>
      <c r="C104" t="str">
        <f t="shared" si="23"/>
        <v>/Google Ireland Ltd, Gordon House, Barrow Street, Dublin 4, Ireland; VAT number: IE 6388047V</v>
      </c>
      <c r="D104" t="str">
        <f t="shared" si="24"/>
        <v>Ausgaben</v>
      </c>
      <c r="E104" t="str">
        <f t="shared" si="25"/>
        <v>sonstige Betriebsausgaben</v>
      </c>
      <c r="F104" s="117">
        <f t="shared" si="26"/>
        <v>9.36</v>
      </c>
      <c r="G104" t="str">
        <f t="shared" si="27"/>
        <v>0%</v>
      </c>
      <c r="I104" s="53">
        <v>2022</v>
      </c>
      <c r="J104" s="53">
        <v>103</v>
      </c>
      <c r="K104" s="71" t="s">
        <v>105</v>
      </c>
      <c r="L104" t="s">
        <v>705</v>
      </c>
      <c r="M104" s="9"/>
      <c r="N104" s="1">
        <v>44746</v>
      </c>
      <c r="O104" t="s">
        <v>1404</v>
      </c>
      <c r="Q104" s="76"/>
      <c r="R104" t="b">
        <v>0</v>
      </c>
      <c r="S104" s="109">
        <v>9.36</v>
      </c>
      <c r="T104" s="72">
        <v>1</v>
      </c>
      <c r="U104">
        <v>0</v>
      </c>
      <c r="V104" s="31">
        <v>0</v>
      </c>
      <c r="W104" s="31">
        <v>0</v>
      </c>
      <c r="X104" s="33">
        <v>9.36</v>
      </c>
      <c r="Y104" s="29">
        <v>9.36</v>
      </c>
      <c r="Z104" s="29">
        <v>9.36</v>
      </c>
      <c r="AA104" s="35">
        <v>44880</v>
      </c>
      <c r="AB104" s="27"/>
      <c r="AC104" s="27">
        <v>20</v>
      </c>
      <c r="AD104" s="58">
        <v>9.36</v>
      </c>
      <c r="AE104" s="31">
        <v>1.8719999999999999</v>
      </c>
      <c r="AF104" t="b">
        <v>0</v>
      </c>
      <c r="AG104" s="78">
        <v>-9.36</v>
      </c>
    </row>
    <row r="105" spans="1:33" x14ac:dyDescent="0.25">
      <c r="A105" t="str">
        <f t="shared" si="21"/>
        <v>2022-104</v>
      </c>
      <c r="B105" s="1">
        <f t="shared" si="22"/>
        <v>44746</v>
      </c>
      <c r="C105" t="str">
        <f t="shared" si="23"/>
        <v>12022012/ZT DI Dr. Arno Kolbitsch, Gütleweg 1, 6822 Satteins</v>
      </c>
      <c r="D105" t="str">
        <f t="shared" si="24"/>
        <v>Einnahmen</v>
      </c>
      <c r="E105" t="str">
        <f t="shared" si="25"/>
        <v>Waren-/Leistungserlöse</v>
      </c>
      <c r="F105" s="117">
        <f t="shared" si="26"/>
        <v>2000.76</v>
      </c>
      <c r="G105" t="str">
        <f t="shared" si="27"/>
        <v>20%</v>
      </c>
      <c r="I105" s="53">
        <v>2022</v>
      </c>
      <c r="J105" s="53">
        <v>104</v>
      </c>
      <c r="K105" s="71" t="s">
        <v>708</v>
      </c>
      <c r="L105" t="s">
        <v>709</v>
      </c>
      <c r="M105" s="6">
        <v>12022012</v>
      </c>
      <c r="N105" s="1">
        <v>44746</v>
      </c>
      <c r="O105" t="s">
        <v>1038</v>
      </c>
      <c r="Q105" s="76"/>
      <c r="R105" t="b">
        <v>0</v>
      </c>
      <c r="S105" s="48">
        <v>1667.3</v>
      </c>
      <c r="T105" s="72">
        <v>1</v>
      </c>
      <c r="U105">
        <v>20</v>
      </c>
      <c r="V105" s="31">
        <v>333.46</v>
      </c>
      <c r="W105" s="31">
        <v>333.46</v>
      </c>
      <c r="X105" s="33">
        <v>1667.3</v>
      </c>
      <c r="Y105" s="29">
        <v>2000.76</v>
      </c>
      <c r="Z105" s="29">
        <v>2000.76</v>
      </c>
      <c r="AA105" s="35">
        <v>44880</v>
      </c>
      <c r="AB105" s="27"/>
      <c r="AC105" s="27"/>
      <c r="AD105" s="58">
        <v>1667.3</v>
      </c>
      <c r="AE105" s="31">
        <v>0</v>
      </c>
      <c r="AF105" t="b">
        <v>0</v>
      </c>
      <c r="AG105" s="78">
        <v>1667.3</v>
      </c>
    </row>
    <row r="106" spans="1:33" x14ac:dyDescent="0.25">
      <c r="A106" t="str">
        <f t="shared" si="21"/>
        <v>2022-105</v>
      </c>
      <c r="B106" s="1">
        <f t="shared" si="22"/>
        <v>44746</v>
      </c>
      <c r="C106" t="str">
        <f t="shared" si="23"/>
        <v>12022014/Kolbitsch Engineering &amp; Consulting KNr 45</v>
      </c>
      <c r="D106" t="str">
        <f t="shared" si="24"/>
        <v>Einnahmen</v>
      </c>
      <c r="E106" t="str">
        <f t="shared" si="25"/>
        <v>Waren-/Leistungserlöse</v>
      </c>
      <c r="F106" s="117">
        <f t="shared" si="26"/>
        <v>109.8</v>
      </c>
      <c r="G106" t="str">
        <f t="shared" si="27"/>
        <v>20%</v>
      </c>
      <c r="I106" s="53">
        <v>2022</v>
      </c>
      <c r="J106" s="53">
        <v>105</v>
      </c>
      <c r="K106" s="71" t="s">
        <v>708</v>
      </c>
      <c r="L106" t="s">
        <v>709</v>
      </c>
      <c r="M106" s="9" t="s">
        <v>1674</v>
      </c>
      <c r="N106" s="1">
        <v>44746</v>
      </c>
      <c r="O106" t="s">
        <v>1513</v>
      </c>
      <c r="Q106" s="76"/>
      <c r="R106" t="b">
        <v>0</v>
      </c>
      <c r="S106" s="48">
        <v>91.5</v>
      </c>
      <c r="T106" s="72">
        <v>1</v>
      </c>
      <c r="U106">
        <v>20</v>
      </c>
      <c r="V106" s="31">
        <v>18.3</v>
      </c>
      <c r="W106" s="31">
        <v>18.3</v>
      </c>
      <c r="X106" s="33">
        <v>91.5</v>
      </c>
      <c r="Y106" s="29">
        <v>109.8</v>
      </c>
      <c r="Z106" s="29">
        <v>109.8</v>
      </c>
      <c r="AA106" s="35">
        <v>44880</v>
      </c>
      <c r="AB106" s="27"/>
      <c r="AC106" s="27"/>
      <c r="AD106" s="58">
        <v>91.5</v>
      </c>
      <c r="AE106" s="31">
        <v>0</v>
      </c>
      <c r="AF106" t="b">
        <v>0</v>
      </c>
      <c r="AG106" s="78">
        <v>91.5</v>
      </c>
    </row>
    <row r="107" spans="1:33" x14ac:dyDescent="0.25">
      <c r="A107" t="str">
        <f t="shared" si="21"/>
        <v>2022-106</v>
      </c>
      <c r="B107" s="1">
        <f t="shared" si="22"/>
        <v>44747</v>
      </c>
      <c r="C107" t="str">
        <f t="shared" si="23"/>
        <v>siehe Jahresabrechnung/go green energy GmbH &amp; Co KG</v>
      </c>
      <c r="D107" t="str">
        <f t="shared" si="24"/>
        <v>Ausgaben</v>
      </c>
      <c r="E107" t="str">
        <f t="shared" si="25"/>
        <v>sonstige Betriebsausgaben</v>
      </c>
      <c r="F107" s="117">
        <f t="shared" si="26"/>
        <v>3</v>
      </c>
      <c r="G107" t="str">
        <f t="shared" si="27"/>
        <v>20%</v>
      </c>
      <c r="I107" s="53">
        <v>2022</v>
      </c>
      <c r="J107" s="53">
        <v>106</v>
      </c>
      <c r="K107" s="71" t="s">
        <v>105</v>
      </c>
      <c r="L107" t="s">
        <v>705</v>
      </c>
      <c r="M107" s="153" t="s">
        <v>1698</v>
      </c>
      <c r="N107" s="1">
        <v>44747</v>
      </c>
      <c r="O107" t="s">
        <v>1670</v>
      </c>
      <c r="Q107" s="76"/>
      <c r="R107" t="b">
        <v>0</v>
      </c>
      <c r="S107" s="109">
        <v>2.5</v>
      </c>
      <c r="T107" s="72">
        <v>1</v>
      </c>
      <c r="U107">
        <v>20</v>
      </c>
      <c r="V107" s="31">
        <v>0.5</v>
      </c>
      <c r="W107" s="31">
        <v>0.5</v>
      </c>
      <c r="X107" s="33">
        <v>2.5</v>
      </c>
      <c r="Y107" s="29">
        <v>3</v>
      </c>
      <c r="Z107" s="29">
        <v>3</v>
      </c>
      <c r="AA107" s="35">
        <v>44880</v>
      </c>
      <c r="AB107" s="27"/>
      <c r="AC107" s="27"/>
      <c r="AD107" s="58">
        <v>2.5</v>
      </c>
      <c r="AE107" s="31">
        <v>0</v>
      </c>
      <c r="AF107" t="b">
        <v>0</v>
      </c>
      <c r="AG107" s="78">
        <v>-2.5</v>
      </c>
    </row>
    <row r="108" spans="1:33" x14ac:dyDescent="0.25">
      <c r="A108" t="str">
        <f t="shared" si="21"/>
        <v>2022-107</v>
      </c>
      <c r="B108" s="1">
        <f t="shared" si="22"/>
        <v>44747</v>
      </c>
      <c r="C108" t="str">
        <f t="shared" si="23"/>
        <v>/Hutchison Drei Austria GmbH, Brünner Straße 52, 1210 Wien, Österreich</v>
      </c>
      <c r="D108" t="str">
        <f t="shared" si="24"/>
        <v>Ausgaben</v>
      </c>
      <c r="E108" t="str">
        <f t="shared" si="25"/>
        <v>Telefon/Internet</v>
      </c>
      <c r="F108" s="117">
        <f t="shared" si="26"/>
        <v>18</v>
      </c>
      <c r="G108" t="str">
        <f t="shared" si="27"/>
        <v>20%</v>
      </c>
      <c r="I108" s="53">
        <v>2022</v>
      </c>
      <c r="J108" s="53">
        <v>107</v>
      </c>
      <c r="K108" s="71" t="s">
        <v>105</v>
      </c>
      <c r="L108" t="s">
        <v>703</v>
      </c>
      <c r="M108" s="9"/>
      <c r="N108" s="1">
        <v>44747</v>
      </c>
      <c r="O108" t="s">
        <v>34</v>
      </c>
      <c r="Q108" s="76"/>
      <c r="R108" t="b">
        <v>0</v>
      </c>
      <c r="S108" s="48">
        <v>15</v>
      </c>
      <c r="T108" s="72">
        <v>1</v>
      </c>
      <c r="U108">
        <v>20</v>
      </c>
      <c r="V108" s="31">
        <v>3</v>
      </c>
      <c r="W108" s="31">
        <v>3</v>
      </c>
      <c r="X108" s="33">
        <v>15</v>
      </c>
      <c r="Y108" s="29">
        <v>18</v>
      </c>
      <c r="Z108" s="29">
        <v>18</v>
      </c>
      <c r="AA108" s="35">
        <v>44880</v>
      </c>
      <c r="AB108" s="27"/>
      <c r="AC108" s="27"/>
      <c r="AD108" s="58">
        <v>15</v>
      </c>
      <c r="AE108" s="31">
        <v>0</v>
      </c>
      <c r="AF108" t="b">
        <v>0</v>
      </c>
      <c r="AG108" s="78">
        <v>-15</v>
      </c>
    </row>
    <row r="109" spans="1:33" x14ac:dyDescent="0.25">
      <c r="A109" t="str">
        <f t="shared" si="21"/>
        <v>2022-108</v>
      </c>
      <c r="B109" s="1">
        <f t="shared" si="22"/>
        <v>44748</v>
      </c>
      <c r="C109" t="str">
        <f t="shared" si="23"/>
        <v>/Techem Messtechnik GmbH; Abnehmernummer 501686-0003-11-</v>
      </c>
      <c r="D109" t="str">
        <f t="shared" si="24"/>
        <v>Ausgaben</v>
      </c>
      <c r="E109" t="str">
        <f t="shared" si="25"/>
        <v>Miet- und Pachtaufwand, Leasing</v>
      </c>
      <c r="F109" s="117">
        <f t="shared" si="26"/>
        <v>147.12</v>
      </c>
      <c r="G109" t="str">
        <f t="shared" si="27"/>
        <v>20%</v>
      </c>
      <c r="I109" s="53">
        <v>2022</v>
      </c>
      <c r="J109" s="53">
        <v>108</v>
      </c>
      <c r="K109" s="71" t="s">
        <v>105</v>
      </c>
      <c r="L109" t="s">
        <v>691</v>
      </c>
      <c r="M109" s="139"/>
      <c r="N109" s="1">
        <v>44748</v>
      </c>
      <c r="O109" t="s">
        <v>1558</v>
      </c>
      <c r="Q109" s="76"/>
      <c r="R109" t="b">
        <v>0</v>
      </c>
      <c r="S109" s="109">
        <v>122.6</v>
      </c>
      <c r="T109" s="72">
        <v>1</v>
      </c>
      <c r="U109">
        <v>20</v>
      </c>
      <c r="V109" s="31">
        <v>24.52</v>
      </c>
      <c r="W109" s="31">
        <v>24.52</v>
      </c>
      <c r="X109" s="33">
        <v>122.6</v>
      </c>
      <c r="Y109" s="29">
        <v>147.12</v>
      </c>
      <c r="Z109" s="29">
        <v>147.12</v>
      </c>
      <c r="AA109" s="35">
        <v>44880</v>
      </c>
      <c r="AB109" s="27"/>
      <c r="AC109" s="27"/>
      <c r="AD109" s="58">
        <v>122.6</v>
      </c>
      <c r="AE109" s="31">
        <v>0</v>
      </c>
      <c r="AF109" t="b">
        <v>0</v>
      </c>
      <c r="AG109" s="78">
        <v>-122.6</v>
      </c>
    </row>
    <row r="110" spans="1:33" x14ac:dyDescent="0.25">
      <c r="A110" t="str">
        <f t="shared" si="21"/>
        <v>2022-109</v>
      </c>
      <c r="B110" s="1">
        <f t="shared" si="22"/>
        <v>44753</v>
      </c>
      <c r="C110" t="str">
        <f t="shared" si="23"/>
        <v>220008996902/Wiener Netze GmbH, Erdbergstraße 236, 1110 Wien, Postfach 422; Jahresabrechnung vom 17.12.20: GUTSCHRIFT</v>
      </c>
      <c r="D110" t="str">
        <f t="shared" si="24"/>
        <v>Ausgaben</v>
      </c>
      <c r="E110" t="str">
        <f t="shared" si="25"/>
        <v>sonstige Betriebsausgaben</v>
      </c>
      <c r="F110" s="117">
        <f t="shared" si="26"/>
        <v>13.2</v>
      </c>
      <c r="G110" t="str">
        <f t="shared" si="27"/>
        <v>20%</v>
      </c>
      <c r="I110" s="53">
        <v>2022</v>
      </c>
      <c r="J110" s="53">
        <v>109</v>
      </c>
      <c r="K110" s="71" t="s">
        <v>105</v>
      </c>
      <c r="L110" t="s">
        <v>705</v>
      </c>
      <c r="M110" s="139" t="s">
        <v>1649</v>
      </c>
      <c r="N110" s="1">
        <v>44753</v>
      </c>
      <c r="O110" t="s">
        <v>1466</v>
      </c>
      <c r="Q110" s="76"/>
      <c r="R110" t="b">
        <v>0</v>
      </c>
      <c r="S110" s="48">
        <v>11</v>
      </c>
      <c r="T110" s="72">
        <v>1</v>
      </c>
      <c r="U110">
        <v>20</v>
      </c>
      <c r="V110" s="31">
        <v>2.2000000000000002</v>
      </c>
      <c r="W110" s="31">
        <v>2.2000000000000002</v>
      </c>
      <c r="X110" s="33">
        <v>11</v>
      </c>
      <c r="Y110" s="29">
        <v>13.2</v>
      </c>
      <c r="Z110" s="29">
        <v>13.2</v>
      </c>
      <c r="AA110" s="35">
        <v>44880</v>
      </c>
      <c r="AB110" s="27"/>
      <c r="AC110" s="27"/>
      <c r="AD110" s="58">
        <v>11</v>
      </c>
      <c r="AE110" s="31">
        <v>0</v>
      </c>
      <c r="AF110" t="b">
        <v>0</v>
      </c>
      <c r="AG110" s="78">
        <v>-11</v>
      </c>
    </row>
    <row r="111" spans="1:33" x14ac:dyDescent="0.25">
      <c r="A111" t="str">
        <f t="shared" si="21"/>
        <v>2022-110</v>
      </c>
      <c r="B111" s="1">
        <f t="shared" si="22"/>
        <v>44755</v>
      </c>
      <c r="C111" t="str">
        <f t="shared" si="23"/>
        <v>/Hetzner Online GmbH</v>
      </c>
      <c r="D111" t="str">
        <f t="shared" si="24"/>
        <v>Ausgaben</v>
      </c>
      <c r="E111" t="str">
        <f t="shared" si="25"/>
        <v>sonstige Betriebsausgaben</v>
      </c>
      <c r="F111" s="117">
        <f t="shared" si="26"/>
        <v>47.776499999999999</v>
      </c>
      <c r="G111" t="str">
        <f t="shared" si="27"/>
        <v>0%</v>
      </c>
      <c r="I111" s="53">
        <v>2022</v>
      </c>
      <c r="J111" s="53">
        <v>110</v>
      </c>
      <c r="K111" s="71" t="s">
        <v>105</v>
      </c>
      <c r="L111" t="s">
        <v>705</v>
      </c>
      <c r="M111" s="9"/>
      <c r="N111" s="1">
        <v>44755</v>
      </c>
      <c r="O111" t="s">
        <v>927</v>
      </c>
      <c r="Q111" s="76"/>
      <c r="R111" t="b">
        <v>0</v>
      </c>
      <c r="S111" s="48">
        <v>47.776499999999999</v>
      </c>
      <c r="T111" s="72">
        <v>1</v>
      </c>
      <c r="U111">
        <v>0</v>
      </c>
      <c r="V111" s="31">
        <v>0</v>
      </c>
      <c r="W111" s="31">
        <v>0</v>
      </c>
      <c r="X111" s="33">
        <v>47.776499999999999</v>
      </c>
      <c r="Y111" s="29">
        <v>47.776499999999999</v>
      </c>
      <c r="Z111" s="29">
        <v>47.776499999999999</v>
      </c>
      <c r="AA111" s="35">
        <v>44880</v>
      </c>
      <c r="AB111" s="27"/>
      <c r="AC111" s="27">
        <v>20</v>
      </c>
      <c r="AD111" s="58">
        <v>47.776499999999999</v>
      </c>
      <c r="AE111" s="31">
        <v>9.5553000000000008</v>
      </c>
      <c r="AF111" t="b">
        <v>0</v>
      </c>
      <c r="AG111" s="78">
        <v>-47.776499999999999</v>
      </c>
    </row>
    <row r="112" spans="1:33" x14ac:dyDescent="0.25">
      <c r="A112" t="str">
        <f t="shared" si="21"/>
        <v>2022-111</v>
      </c>
      <c r="B112" s="1">
        <f t="shared" si="22"/>
        <v>44756</v>
      </c>
      <c r="C112" t="str">
        <f t="shared" si="23"/>
        <v>168043885/Hays Österreich GmbH, Bahnhof City Wien West , Europaplatz 3/5, 1150 Wien</v>
      </c>
      <c r="D112" t="str">
        <f t="shared" si="24"/>
        <v>Einnahmen</v>
      </c>
      <c r="E112" t="str">
        <f t="shared" si="25"/>
        <v>Waren-/Leistungserlöse</v>
      </c>
      <c r="F112" s="117">
        <f t="shared" si="26"/>
        <v>16285.2</v>
      </c>
      <c r="G112" t="str">
        <f t="shared" si="27"/>
        <v>20%</v>
      </c>
      <c r="I112" s="53">
        <v>2022</v>
      </c>
      <c r="J112" s="53">
        <v>111</v>
      </c>
      <c r="K112" s="71" t="s">
        <v>708</v>
      </c>
      <c r="L112" t="s">
        <v>709</v>
      </c>
      <c r="M112">
        <v>168043885</v>
      </c>
      <c r="N112" s="1">
        <v>44756</v>
      </c>
      <c r="O112" t="s">
        <v>1652</v>
      </c>
      <c r="Q112" s="76"/>
      <c r="R112" t="b">
        <v>0</v>
      </c>
      <c r="S112" s="48">
        <v>13571</v>
      </c>
      <c r="T112" s="72">
        <v>1</v>
      </c>
      <c r="U112">
        <v>20</v>
      </c>
      <c r="V112" s="31">
        <v>2714.2</v>
      </c>
      <c r="W112" s="31">
        <v>2714.2</v>
      </c>
      <c r="X112" s="33">
        <v>13571</v>
      </c>
      <c r="Y112" s="29">
        <v>16285.2</v>
      </c>
      <c r="Z112" s="29">
        <v>16285.2</v>
      </c>
      <c r="AA112" s="35">
        <v>44880</v>
      </c>
      <c r="AB112" s="27"/>
      <c r="AC112" s="27">
        <v>20</v>
      </c>
      <c r="AD112" s="58">
        <v>13571</v>
      </c>
      <c r="AE112" s="31">
        <v>3257.0400000000004</v>
      </c>
      <c r="AF112" t="b">
        <v>1</v>
      </c>
      <c r="AG112" s="78">
        <v>13571</v>
      </c>
    </row>
    <row r="113" spans="1:33" x14ac:dyDescent="0.25">
      <c r="A113" t="str">
        <f t="shared" si="21"/>
        <v>2022-112</v>
      </c>
      <c r="B113" s="1">
        <f t="shared" si="22"/>
        <v>44757</v>
      </c>
      <c r="C113" t="str">
        <f t="shared" si="23"/>
        <v>12022015/Schick Küchendesign e.U. Alexander Schick, Linzerstraße 247, 1140 Wien</v>
      </c>
      <c r="D113" t="str">
        <f t="shared" si="24"/>
        <v>Einnahmen</v>
      </c>
      <c r="E113" t="str">
        <f t="shared" si="25"/>
        <v>Waren-/Leistungserlöse</v>
      </c>
      <c r="F113" s="117">
        <f t="shared" si="26"/>
        <v>288</v>
      </c>
      <c r="G113" t="str">
        <f t="shared" si="27"/>
        <v>20%</v>
      </c>
      <c r="I113" s="53">
        <v>2022</v>
      </c>
      <c r="J113" s="53">
        <v>112</v>
      </c>
      <c r="K113" s="71" t="s">
        <v>708</v>
      </c>
      <c r="L113" t="s">
        <v>709</v>
      </c>
      <c r="M113">
        <v>12022015</v>
      </c>
      <c r="N113" s="1">
        <v>44757</v>
      </c>
      <c r="O113" t="s">
        <v>983</v>
      </c>
      <c r="Q113" s="76"/>
      <c r="R113" t="b">
        <v>0</v>
      </c>
      <c r="S113" s="48">
        <v>240</v>
      </c>
      <c r="T113" s="72">
        <v>1</v>
      </c>
      <c r="U113">
        <v>20</v>
      </c>
      <c r="V113" s="31">
        <v>48</v>
      </c>
      <c r="W113" s="31">
        <v>48</v>
      </c>
      <c r="X113" s="33">
        <v>240</v>
      </c>
      <c r="Y113" s="29">
        <v>288</v>
      </c>
      <c r="Z113" s="29">
        <v>288</v>
      </c>
      <c r="AA113" s="35">
        <v>44880</v>
      </c>
      <c r="AB113" s="27"/>
      <c r="AC113" s="27"/>
      <c r="AD113" s="58">
        <v>240</v>
      </c>
      <c r="AE113" s="31">
        <v>0</v>
      </c>
      <c r="AF113" t="b">
        <v>0</v>
      </c>
      <c r="AG113" s="78">
        <v>240</v>
      </c>
    </row>
    <row r="114" spans="1:33" x14ac:dyDescent="0.25">
      <c r="A114" t="str">
        <f t="shared" si="21"/>
        <v>2022-113</v>
      </c>
      <c r="B114" s="1">
        <f t="shared" si="22"/>
        <v>44762</v>
      </c>
      <c r="C114" t="str">
        <f t="shared" si="23"/>
        <v>/Magenta: T-Mobile Austria GmbH, A-1120 Wien, PF 47</v>
      </c>
      <c r="D114" t="str">
        <f t="shared" si="24"/>
        <v>Ausgaben</v>
      </c>
      <c r="E114" t="str">
        <f t="shared" si="25"/>
        <v>Telefon/Internet</v>
      </c>
      <c r="F114" s="117">
        <f t="shared" si="26"/>
        <v>38.304000000000002</v>
      </c>
      <c r="G114" t="str">
        <f t="shared" si="27"/>
        <v>20%</v>
      </c>
      <c r="I114" s="53">
        <v>2022</v>
      </c>
      <c r="J114" s="53">
        <v>113</v>
      </c>
      <c r="K114" s="71" t="s">
        <v>105</v>
      </c>
      <c r="L114" t="s">
        <v>703</v>
      </c>
      <c r="M114" s="131"/>
      <c r="N114" s="1">
        <v>44762</v>
      </c>
      <c r="O114" t="s">
        <v>1148</v>
      </c>
      <c r="Q114" s="76"/>
      <c r="R114" t="b">
        <v>0</v>
      </c>
      <c r="S114" s="48">
        <v>31.92</v>
      </c>
      <c r="T114" s="72">
        <v>1</v>
      </c>
      <c r="U114">
        <v>20</v>
      </c>
      <c r="V114" s="31">
        <v>6.3840000000000012</v>
      </c>
      <c r="W114" s="31">
        <v>6.3840000000000012</v>
      </c>
      <c r="X114" s="33">
        <v>31.92</v>
      </c>
      <c r="Y114" s="29">
        <v>38.304000000000002</v>
      </c>
      <c r="Z114" s="29">
        <v>38.304000000000002</v>
      </c>
      <c r="AA114" s="35">
        <v>44880</v>
      </c>
      <c r="AB114" s="27"/>
      <c r="AC114" s="27"/>
      <c r="AD114" s="58">
        <v>31.92</v>
      </c>
      <c r="AE114" s="31">
        <v>0</v>
      </c>
      <c r="AF114" t="b">
        <v>0</v>
      </c>
      <c r="AG114" s="78">
        <v>-31.92</v>
      </c>
    </row>
    <row r="115" spans="1:33" x14ac:dyDescent="0.25">
      <c r="A115" t="str">
        <f t="shared" si="21"/>
        <v>2022-114</v>
      </c>
      <c r="B115" s="1">
        <f t="shared" si="22"/>
        <v>44762</v>
      </c>
      <c r="C115" t="str">
        <f t="shared" si="23"/>
        <v>/Microsoft Ireland Operations Ltd. One Microsoft Place, South County, Business Park, Leopardstown, Dublin 18, D18 P521, Ireland</v>
      </c>
      <c r="D115" t="str">
        <f t="shared" si="24"/>
        <v>Ausgaben</v>
      </c>
      <c r="E115" t="str">
        <f t="shared" si="25"/>
        <v>sonstige Betriebsausgaben</v>
      </c>
      <c r="F115" s="117">
        <f t="shared" si="26"/>
        <v>10.5</v>
      </c>
      <c r="G115" t="str">
        <f t="shared" si="27"/>
        <v>0%</v>
      </c>
      <c r="I115" s="53">
        <v>2022</v>
      </c>
      <c r="J115" s="53">
        <v>114</v>
      </c>
      <c r="K115" s="71" t="s">
        <v>105</v>
      </c>
      <c r="L115" t="s">
        <v>705</v>
      </c>
      <c r="M115" s="6"/>
      <c r="N115" s="1">
        <v>44762</v>
      </c>
      <c r="O115" t="s">
        <v>1032</v>
      </c>
      <c r="Q115" s="76"/>
      <c r="R115" t="b">
        <v>0</v>
      </c>
      <c r="S115" s="48">
        <v>10.5</v>
      </c>
      <c r="T115" s="72">
        <v>1</v>
      </c>
      <c r="U115">
        <v>0</v>
      </c>
      <c r="V115" s="31">
        <v>0</v>
      </c>
      <c r="W115" s="31">
        <v>0</v>
      </c>
      <c r="X115" s="33">
        <v>10.5</v>
      </c>
      <c r="Y115" s="29">
        <v>10.5</v>
      </c>
      <c r="Z115" s="29">
        <v>10.5</v>
      </c>
      <c r="AA115" s="35">
        <v>44880</v>
      </c>
      <c r="AB115" s="27"/>
      <c r="AC115" s="27">
        <v>20</v>
      </c>
      <c r="AD115" s="58">
        <v>10.5</v>
      </c>
      <c r="AE115" s="31">
        <v>2.1</v>
      </c>
      <c r="AF115" t="b">
        <v>0</v>
      </c>
      <c r="AG115" s="78">
        <v>-10.5</v>
      </c>
    </row>
    <row r="116" spans="1:33" x14ac:dyDescent="0.25">
      <c r="A116" t="str">
        <f t="shared" si="21"/>
        <v>2022-115</v>
      </c>
      <c r="B116" s="1">
        <f t="shared" si="22"/>
        <v>44764</v>
      </c>
      <c r="C116" t="str">
        <f t="shared" si="23"/>
        <v>/Google Ireland Ltd, Gordon House, Barrow Street, Dublin 4, Ireland; VAT number: IE 6388047V</v>
      </c>
      <c r="D116" t="str">
        <f t="shared" si="24"/>
        <v>Ausgaben</v>
      </c>
      <c r="E116" t="str">
        <f t="shared" si="25"/>
        <v>sonstige Betriebsausgaben</v>
      </c>
      <c r="F116" s="117">
        <f t="shared" si="26"/>
        <v>-0.33</v>
      </c>
      <c r="G116" t="str">
        <f t="shared" si="27"/>
        <v>0%</v>
      </c>
      <c r="I116" s="53">
        <v>2022</v>
      </c>
      <c r="J116" s="53">
        <v>115</v>
      </c>
      <c r="K116" s="71" t="s">
        <v>105</v>
      </c>
      <c r="L116" t="s">
        <v>705</v>
      </c>
      <c r="M116" s="9"/>
      <c r="N116" s="1">
        <v>44764</v>
      </c>
      <c r="O116" t="s">
        <v>1404</v>
      </c>
      <c r="Q116" s="76"/>
      <c r="R116" t="b">
        <v>0</v>
      </c>
      <c r="S116" s="109">
        <v>-0.33</v>
      </c>
      <c r="T116" s="72">
        <v>1</v>
      </c>
      <c r="U116">
        <v>0</v>
      </c>
      <c r="V116" s="31">
        <v>0</v>
      </c>
      <c r="W116" s="31">
        <v>0</v>
      </c>
      <c r="X116" s="33">
        <v>-0.33</v>
      </c>
      <c r="Y116" s="29">
        <v>-0.33</v>
      </c>
      <c r="Z116" s="29">
        <v>-0.33</v>
      </c>
      <c r="AA116" s="35">
        <v>44880</v>
      </c>
      <c r="AB116" s="27"/>
      <c r="AC116" s="27">
        <v>20</v>
      </c>
      <c r="AD116" s="58">
        <v>-0.33</v>
      </c>
      <c r="AE116" s="31">
        <v>-6.6000000000000003E-2</v>
      </c>
      <c r="AF116" t="b">
        <v>0</v>
      </c>
      <c r="AG116" s="78">
        <v>0.33</v>
      </c>
    </row>
    <row r="117" spans="1:33" x14ac:dyDescent="0.25">
      <c r="A117" t="str">
        <f t="shared" si="21"/>
        <v>2022-116</v>
      </c>
      <c r="B117" s="1">
        <f t="shared" si="22"/>
        <v>44768</v>
      </c>
      <c r="C117" t="str">
        <f t="shared" si="23"/>
        <v>DS-ASE-INV-AT-2022-23811775/Amazon EU S. à r.l., 38 avenue John F. Kennedy, L-1855 Luxembourg: HJEU: DVI-HDMI, Logitech Maus</v>
      </c>
      <c r="D117" t="str">
        <f t="shared" si="24"/>
        <v>Ausgaben</v>
      </c>
      <c r="E117" t="str">
        <f t="shared" si="25"/>
        <v>Büromaterial</v>
      </c>
      <c r="F117" s="117">
        <f t="shared" si="26"/>
        <v>31.728000000000002</v>
      </c>
      <c r="G117" t="str">
        <f t="shared" si="27"/>
        <v>20%</v>
      </c>
      <c r="I117" s="53">
        <v>2022</v>
      </c>
      <c r="J117" s="53">
        <v>116</v>
      </c>
      <c r="K117" s="71" t="s">
        <v>105</v>
      </c>
      <c r="L117" t="s">
        <v>339</v>
      </c>
      <c r="M117" s="9" t="s">
        <v>1680</v>
      </c>
      <c r="N117" s="1">
        <v>44768</v>
      </c>
      <c r="O117" t="s">
        <v>981</v>
      </c>
      <c r="Q117" s="76"/>
      <c r="R117" t="b">
        <v>0</v>
      </c>
      <c r="S117" s="109">
        <v>26.44</v>
      </c>
      <c r="T117" s="72">
        <v>1</v>
      </c>
      <c r="U117">
        <v>20</v>
      </c>
      <c r="V117" s="31">
        <v>5.2880000000000003</v>
      </c>
      <c r="W117" s="31">
        <v>5.2880000000000003</v>
      </c>
      <c r="X117" s="33">
        <v>26.44</v>
      </c>
      <c r="Y117" s="29">
        <v>31.728000000000002</v>
      </c>
      <c r="Z117" s="29">
        <v>31.728000000000002</v>
      </c>
      <c r="AA117" s="35">
        <v>44880</v>
      </c>
      <c r="AB117" s="27"/>
      <c r="AC117" s="27"/>
      <c r="AD117" s="58">
        <v>26.44</v>
      </c>
      <c r="AE117" s="31">
        <v>0</v>
      </c>
      <c r="AF117" t="b">
        <v>0</v>
      </c>
      <c r="AG117" s="78">
        <v>-26.44</v>
      </c>
    </row>
    <row r="118" spans="1:33" x14ac:dyDescent="0.25">
      <c r="A118" t="str">
        <f t="shared" si="21"/>
        <v>2022-117</v>
      </c>
      <c r="B118" s="1">
        <f t="shared" si="22"/>
        <v>44768</v>
      </c>
      <c r="C118" t="str">
        <f t="shared" si="23"/>
        <v>/Lemon Technologies GmbH, Unterweißenbach 181, 7330 Feldbach: Bildschirm</v>
      </c>
      <c r="D118" t="str">
        <f t="shared" si="24"/>
        <v>Ausgaben</v>
      </c>
      <c r="E118" t="str">
        <f t="shared" si="25"/>
        <v>Waren, Rohstoffe, Hilfsstoffe</v>
      </c>
      <c r="F118" s="117">
        <f t="shared" si="26"/>
        <v>221.47200000000001</v>
      </c>
      <c r="G118" t="str">
        <f t="shared" si="27"/>
        <v>20%</v>
      </c>
      <c r="I118" s="53">
        <v>2022</v>
      </c>
      <c r="J118" s="53">
        <v>117</v>
      </c>
      <c r="K118" s="71" t="s">
        <v>105</v>
      </c>
      <c r="L118" t="s">
        <v>683</v>
      </c>
      <c r="M118" s="9"/>
      <c r="N118" s="1">
        <v>44768</v>
      </c>
      <c r="O118" t="s">
        <v>1238</v>
      </c>
      <c r="Q118" s="76"/>
      <c r="R118" t="b">
        <v>0</v>
      </c>
      <c r="S118" s="48">
        <v>184.56</v>
      </c>
      <c r="T118" s="72">
        <v>1</v>
      </c>
      <c r="U118">
        <v>20</v>
      </c>
      <c r="V118" s="31">
        <v>36.911999999999999</v>
      </c>
      <c r="W118" s="31">
        <v>36.911999999999999</v>
      </c>
      <c r="X118" s="33">
        <v>184.56</v>
      </c>
      <c r="Y118" s="29">
        <v>221.47200000000001</v>
      </c>
      <c r="Z118" s="29">
        <v>221.47200000000001</v>
      </c>
      <c r="AA118" s="35">
        <v>44880</v>
      </c>
      <c r="AB118" s="27"/>
      <c r="AC118" s="27"/>
      <c r="AD118" s="58">
        <v>184.56</v>
      </c>
      <c r="AE118" s="31">
        <v>0</v>
      </c>
      <c r="AF118" t="b">
        <v>0</v>
      </c>
      <c r="AG118" s="78">
        <v>-184.56</v>
      </c>
    </row>
    <row r="119" spans="1:33" x14ac:dyDescent="0.25">
      <c r="A119" t="str">
        <f t="shared" si="21"/>
        <v>2022-118</v>
      </c>
      <c r="B119" s="1">
        <f t="shared" si="22"/>
        <v>44770</v>
      </c>
      <c r="C119" t="str">
        <f t="shared" si="23"/>
        <v>12022013/Paperholic all bout paper e.U.</v>
      </c>
      <c r="D119" t="str">
        <f t="shared" si="24"/>
        <v>Einnahmen</v>
      </c>
      <c r="E119" t="str">
        <f t="shared" si="25"/>
        <v>Waren-/Leistungserlöse</v>
      </c>
      <c r="F119" s="117">
        <f t="shared" si="26"/>
        <v>33.299999999999997</v>
      </c>
      <c r="G119" t="str">
        <f t="shared" si="27"/>
        <v>20%</v>
      </c>
      <c r="I119" s="53">
        <v>2022</v>
      </c>
      <c r="J119" s="53">
        <v>118</v>
      </c>
      <c r="K119" s="71" t="s">
        <v>708</v>
      </c>
      <c r="L119" t="s">
        <v>709</v>
      </c>
      <c r="M119">
        <v>12022013</v>
      </c>
      <c r="N119" s="1">
        <v>44770</v>
      </c>
      <c r="O119" t="s">
        <v>1388</v>
      </c>
      <c r="Q119" s="76"/>
      <c r="R119" t="b">
        <v>0</v>
      </c>
      <c r="S119" s="48">
        <v>27.75</v>
      </c>
      <c r="T119" s="72">
        <v>1</v>
      </c>
      <c r="U119">
        <v>20</v>
      </c>
      <c r="V119" s="31">
        <v>5.55</v>
      </c>
      <c r="W119" s="31">
        <v>5.55</v>
      </c>
      <c r="X119" s="33">
        <v>27.75</v>
      </c>
      <c r="Y119" s="29">
        <v>33.299999999999997</v>
      </c>
      <c r="Z119" s="29">
        <v>33.299999999999997</v>
      </c>
      <c r="AA119" s="35">
        <v>44880</v>
      </c>
      <c r="AB119" s="27"/>
      <c r="AC119" s="27"/>
      <c r="AD119" s="58">
        <v>27.75</v>
      </c>
      <c r="AE119" s="31">
        <v>0</v>
      </c>
      <c r="AF119" t="b">
        <v>0</v>
      </c>
      <c r="AG119" s="78">
        <v>27.75</v>
      </c>
    </row>
    <row r="120" spans="1:33" x14ac:dyDescent="0.25">
      <c r="A120" t="str">
        <f t="shared" si="21"/>
        <v>2022-119</v>
      </c>
      <c r="B120" s="1">
        <f t="shared" si="22"/>
        <v>44774</v>
      </c>
      <c r="C120" t="str">
        <f t="shared" si="23"/>
        <v>/Bontus Immobilienverwaltung GmbH, 1010 Wien, Franz Josefs Kai 65</v>
      </c>
      <c r="D120" t="str">
        <f t="shared" si="24"/>
        <v>Ausgaben</v>
      </c>
      <c r="E120" t="str">
        <f t="shared" si="25"/>
        <v>Miet- und Pachtaufwand, Leasing</v>
      </c>
      <c r="F120" s="117">
        <f t="shared" si="26"/>
        <v>153.75</v>
      </c>
      <c r="G120" t="str">
        <f t="shared" si="27"/>
        <v>20%</v>
      </c>
      <c r="I120" s="53">
        <v>2022</v>
      </c>
      <c r="J120" s="53">
        <v>119</v>
      </c>
      <c r="K120" s="71" t="s">
        <v>105</v>
      </c>
      <c r="L120" t="s">
        <v>691</v>
      </c>
      <c r="M120" s="9"/>
      <c r="N120" s="1">
        <v>44774</v>
      </c>
      <c r="O120" t="s">
        <v>1113</v>
      </c>
      <c r="Q120" s="76"/>
      <c r="R120" t="b">
        <v>0</v>
      </c>
      <c r="S120" s="109">
        <v>128.125</v>
      </c>
      <c r="T120" s="72">
        <v>1</v>
      </c>
      <c r="U120">
        <v>20</v>
      </c>
      <c r="V120" s="31">
        <v>25.625</v>
      </c>
      <c r="W120" s="31">
        <v>25.625</v>
      </c>
      <c r="X120" s="33">
        <v>128.125</v>
      </c>
      <c r="Y120" s="29">
        <v>153.75</v>
      </c>
      <c r="Z120" s="29">
        <v>153.75</v>
      </c>
      <c r="AA120" s="35">
        <v>44880</v>
      </c>
      <c r="AB120" s="27"/>
      <c r="AC120" s="27"/>
      <c r="AD120" s="58">
        <v>128.125</v>
      </c>
      <c r="AE120" s="31">
        <v>0</v>
      </c>
      <c r="AF120" t="b">
        <v>0</v>
      </c>
      <c r="AG120" s="78">
        <v>-128.125</v>
      </c>
    </row>
    <row r="121" spans="1:33" x14ac:dyDescent="0.25">
      <c r="A121" t="str">
        <f t="shared" si="21"/>
        <v>2022-120</v>
      </c>
      <c r="B121" s="1">
        <f t="shared" si="22"/>
        <v>44775</v>
      </c>
      <c r="C121" t="str">
        <f t="shared" si="23"/>
        <v>6246969218/Hutchison Drei Austria GmbH, Brünner Straße 52, 1210 Wien, Österreich</v>
      </c>
      <c r="D121" t="str">
        <f t="shared" si="24"/>
        <v>Ausgaben</v>
      </c>
      <c r="E121" t="str">
        <f t="shared" si="25"/>
        <v>Telefon/Internet</v>
      </c>
      <c r="F121" s="117">
        <f t="shared" si="26"/>
        <v>18</v>
      </c>
      <c r="G121" t="str">
        <f t="shared" si="27"/>
        <v>20%</v>
      </c>
      <c r="I121" s="53">
        <v>2022</v>
      </c>
      <c r="J121" s="53">
        <v>120</v>
      </c>
      <c r="K121" s="71" t="s">
        <v>105</v>
      </c>
      <c r="L121" t="s">
        <v>703</v>
      </c>
      <c r="M121" s="9" t="s">
        <v>1681</v>
      </c>
      <c r="N121" s="1">
        <v>44775</v>
      </c>
      <c r="O121" t="s">
        <v>34</v>
      </c>
      <c r="Q121" s="76"/>
      <c r="R121" t="b">
        <v>0</v>
      </c>
      <c r="S121" s="48">
        <v>15</v>
      </c>
      <c r="T121" s="72">
        <v>1</v>
      </c>
      <c r="U121">
        <v>20</v>
      </c>
      <c r="V121" s="31">
        <v>3</v>
      </c>
      <c r="W121" s="31">
        <v>3</v>
      </c>
      <c r="X121" s="33">
        <v>15</v>
      </c>
      <c r="Y121" s="29">
        <v>18</v>
      </c>
      <c r="Z121" s="29">
        <v>18</v>
      </c>
      <c r="AA121" s="35">
        <v>44880</v>
      </c>
      <c r="AB121" s="27"/>
      <c r="AC121" s="27"/>
      <c r="AD121" s="58">
        <v>15</v>
      </c>
      <c r="AE121" s="31">
        <v>0</v>
      </c>
      <c r="AF121" t="b">
        <v>0</v>
      </c>
      <c r="AG121" s="78">
        <v>-15</v>
      </c>
    </row>
    <row r="122" spans="1:33" x14ac:dyDescent="0.25">
      <c r="A122" t="str">
        <f t="shared" si="21"/>
        <v>2022-121</v>
      </c>
      <c r="B122" s="1">
        <f t="shared" si="22"/>
        <v>44776</v>
      </c>
      <c r="C122" t="str">
        <f t="shared" si="23"/>
        <v>4322957079/Google Ireland Ltd, Gordon House, Barrow Street, Dublin 4, Ireland; VAT number: IE 6388047V</v>
      </c>
      <c r="D122" t="str">
        <f t="shared" si="24"/>
        <v>Ausgaben</v>
      </c>
      <c r="E122" t="str">
        <f t="shared" si="25"/>
        <v>sonstige Betriebsausgaben</v>
      </c>
      <c r="F122" s="117">
        <f t="shared" si="26"/>
        <v>9.36</v>
      </c>
      <c r="G122" t="str">
        <f t="shared" si="27"/>
        <v>0%</v>
      </c>
      <c r="I122" s="53">
        <v>2022</v>
      </c>
      <c r="J122" s="53">
        <v>121</v>
      </c>
      <c r="K122" s="71" t="s">
        <v>105</v>
      </c>
      <c r="L122" t="s">
        <v>705</v>
      </c>
      <c r="M122" s="9" t="s">
        <v>1682</v>
      </c>
      <c r="N122" s="1">
        <v>44776</v>
      </c>
      <c r="O122" t="s">
        <v>1404</v>
      </c>
      <c r="Q122" s="76"/>
      <c r="R122" t="b">
        <v>0</v>
      </c>
      <c r="S122" s="109">
        <v>9.36</v>
      </c>
      <c r="T122" s="72">
        <v>1</v>
      </c>
      <c r="U122">
        <v>0</v>
      </c>
      <c r="V122" s="31">
        <v>0</v>
      </c>
      <c r="W122" s="31">
        <v>0</v>
      </c>
      <c r="X122" s="33">
        <v>9.36</v>
      </c>
      <c r="Y122" s="29">
        <v>9.36</v>
      </c>
      <c r="Z122" s="29">
        <v>9.36</v>
      </c>
      <c r="AA122" s="35">
        <v>44880</v>
      </c>
      <c r="AB122" s="27"/>
      <c r="AC122" s="27">
        <v>20</v>
      </c>
      <c r="AD122" s="58">
        <v>9.36</v>
      </c>
      <c r="AE122" s="31">
        <v>1.8719999999999999</v>
      </c>
      <c r="AF122" t="b">
        <v>0</v>
      </c>
      <c r="AG122" s="78">
        <v>-9.36</v>
      </c>
    </row>
    <row r="123" spans="1:33" x14ac:dyDescent="0.25">
      <c r="A123" t="str">
        <f t="shared" si="21"/>
        <v>2022-122</v>
      </c>
      <c r="B123" s="1">
        <f t="shared" si="22"/>
        <v>44776</v>
      </c>
      <c r="C123" t="str">
        <f t="shared" si="23"/>
        <v>siehe Jahresabrechnung/go green energy GmbH &amp; Co KG</v>
      </c>
      <c r="D123" t="str">
        <f t="shared" si="24"/>
        <v>Ausgaben</v>
      </c>
      <c r="E123" t="str">
        <f t="shared" si="25"/>
        <v>sonstige Betriebsausgaben</v>
      </c>
      <c r="F123" s="117">
        <f t="shared" si="26"/>
        <v>3</v>
      </c>
      <c r="G123" t="str">
        <f t="shared" si="27"/>
        <v>20%</v>
      </c>
      <c r="I123" s="53">
        <v>2022</v>
      </c>
      <c r="J123" s="53">
        <v>122</v>
      </c>
      <c r="K123" s="71" t="s">
        <v>105</v>
      </c>
      <c r="L123" t="s">
        <v>705</v>
      </c>
      <c r="M123" s="153" t="s">
        <v>1698</v>
      </c>
      <c r="N123" s="1">
        <v>44776</v>
      </c>
      <c r="O123" t="s">
        <v>1670</v>
      </c>
      <c r="Q123" s="76"/>
      <c r="R123" t="b">
        <v>0</v>
      </c>
      <c r="S123" s="109">
        <v>2.5</v>
      </c>
      <c r="T123" s="72">
        <v>1</v>
      </c>
      <c r="U123">
        <v>20</v>
      </c>
      <c r="V123" s="31">
        <v>0.5</v>
      </c>
      <c r="W123" s="31">
        <v>0.5</v>
      </c>
      <c r="X123" s="33">
        <v>2.5</v>
      </c>
      <c r="Y123" s="29">
        <v>3</v>
      </c>
      <c r="Z123" s="29">
        <v>3</v>
      </c>
      <c r="AA123" s="35">
        <v>44880</v>
      </c>
      <c r="AB123" s="27"/>
      <c r="AC123" s="27"/>
      <c r="AD123" s="58">
        <v>2.5</v>
      </c>
      <c r="AE123" s="31">
        <v>0</v>
      </c>
      <c r="AF123" t="b">
        <v>0</v>
      </c>
      <c r="AG123" s="78">
        <v>-2.5</v>
      </c>
    </row>
    <row r="124" spans="1:33" x14ac:dyDescent="0.25">
      <c r="A124" t="str">
        <f t="shared" si="21"/>
        <v>2022-123</v>
      </c>
      <c r="B124" s="1">
        <f t="shared" si="22"/>
        <v>44778</v>
      </c>
      <c r="C124" t="str">
        <f t="shared" si="23"/>
        <v>BELEG FEHLT/Techem Messtechnik GmbH; Abnehmernummer 501686-0003-11-</v>
      </c>
      <c r="D124" t="str">
        <f t="shared" si="24"/>
        <v>Ausgaben</v>
      </c>
      <c r="E124" t="str">
        <f t="shared" si="25"/>
        <v>Miet- und Pachtaufwand, Leasing</v>
      </c>
      <c r="F124" s="117">
        <f t="shared" si="26"/>
        <v>147.12</v>
      </c>
      <c r="G124" t="str">
        <f t="shared" si="27"/>
        <v>20%</v>
      </c>
      <c r="I124" s="53">
        <v>2022</v>
      </c>
      <c r="J124" s="53">
        <v>123</v>
      </c>
      <c r="K124" s="71" t="s">
        <v>105</v>
      </c>
      <c r="L124" t="s">
        <v>691</v>
      </c>
      <c r="M124" s="61" t="s">
        <v>1064</v>
      </c>
      <c r="N124" s="1">
        <v>44778</v>
      </c>
      <c r="O124" t="s">
        <v>1558</v>
      </c>
      <c r="Q124" s="76"/>
      <c r="R124" t="b">
        <v>0</v>
      </c>
      <c r="S124" s="109">
        <v>122.6</v>
      </c>
      <c r="T124" s="72">
        <v>1</v>
      </c>
      <c r="U124">
        <v>20</v>
      </c>
      <c r="V124" s="31">
        <v>24.52</v>
      </c>
      <c r="W124" s="31">
        <v>24.52</v>
      </c>
      <c r="X124" s="33">
        <v>122.6</v>
      </c>
      <c r="Y124" s="29">
        <v>147.12</v>
      </c>
      <c r="Z124" s="29">
        <v>147.12</v>
      </c>
      <c r="AA124" s="35">
        <v>44880</v>
      </c>
      <c r="AB124" s="27"/>
      <c r="AC124" s="27"/>
      <c r="AD124" s="58">
        <v>122.6</v>
      </c>
      <c r="AE124" s="31">
        <v>0</v>
      </c>
      <c r="AF124" t="b">
        <v>0</v>
      </c>
      <c r="AG124" s="78">
        <v>-122.6</v>
      </c>
    </row>
    <row r="125" spans="1:33" x14ac:dyDescent="0.25">
      <c r="A125" t="str">
        <f t="shared" si="21"/>
        <v>2022-124</v>
      </c>
      <c r="B125" s="1">
        <f t="shared" si="22"/>
        <v>44783</v>
      </c>
      <c r="C125" t="str">
        <f t="shared" si="23"/>
        <v>BELEG FEHLT/Wiener Netze GmbH, Erdbergstraße 236, 1110 Wien, Postfach 422; Jahresabrechnung vom 17.12.20: GUTSCHRIFT</v>
      </c>
      <c r="D125" t="str">
        <f t="shared" si="24"/>
        <v>Ausgaben</v>
      </c>
      <c r="E125" t="str">
        <f t="shared" si="25"/>
        <v>sonstige Betriebsausgaben</v>
      </c>
      <c r="F125" s="117">
        <f t="shared" si="26"/>
        <v>13.2</v>
      </c>
      <c r="G125" t="str">
        <f t="shared" si="27"/>
        <v>20%</v>
      </c>
      <c r="I125" s="53">
        <v>2022</v>
      </c>
      <c r="J125" s="53">
        <v>124</v>
      </c>
      <c r="K125" s="71" t="s">
        <v>105</v>
      </c>
      <c r="L125" t="s">
        <v>705</v>
      </c>
      <c r="M125" s="61" t="s">
        <v>1064</v>
      </c>
      <c r="N125" s="1">
        <v>44783</v>
      </c>
      <c r="O125" t="s">
        <v>1466</v>
      </c>
      <c r="Q125" s="76"/>
      <c r="R125" t="b">
        <v>0</v>
      </c>
      <c r="S125" s="48">
        <v>11</v>
      </c>
      <c r="T125" s="72">
        <v>1</v>
      </c>
      <c r="U125">
        <v>20</v>
      </c>
      <c r="V125" s="31">
        <v>2.2000000000000002</v>
      </c>
      <c r="W125" s="31">
        <v>2.2000000000000002</v>
      </c>
      <c r="X125" s="33">
        <v>11</v>
      </c>
      <c r="Y125" s="29">
        <v>13.2</v>
      </c>
      <c r="Z125" s="29">
        <v>13.2</v>
      </c>
      <c r="AA125" s="35">
        <v>44880</v>
      </c>
      <c r="AB125" s="27"/>
      <c r="AC125" s="27"/>
      <c r="AD125" s="58">
        <v>11</v>
      </c>
      <c r="AE125" s="31">
        <v>0</v>
      </c>
      <c r="AF125" t="b">
        <v>0</v>
      </c>
      <c r="AG125" s="78">
        <v>-11</v>
      </c>
    </row>
    <row r="126" spans="1:33" x14ac:dyDescent="0.25">
      <c r="A126" t="str">
        <f t="shared" si="21"/>
        <v>2022-125</v>
      </c>
      <c r="B126" s="1">
        <f t="shared" si="22"/>
        <v>44784</v>
      </c>
      <c r="C126" t="str">
        <f t="shared" si="23"/>
        <v>R0016545608/Hetzner Online GmbH</v>
      </c>
      <c r="D126" t="str">
        <f t="shared" si="24"/>
        <v>Ausgaben</v>
      </c>
      <c r="E126" t="str">
        <f t="shared" si="25"/>
        <v>sonstige Betriebsausgaben</v>
      </c>
      <c r="F126" s="117">
        <f t="shared" si="26"/>
        <v>47.776499999999999</v>
      </c>
      <c r="G126" t="str">
        <f t="shared" si="27"/>
        <v>0%</v>
      </c>
      <c r="I126" s="53">
        <v>2022</v>
      </c>
      <c r="J126" s="53">
        <v>125</v>
      </c>
      <c r="K126" s="71" t="s">
        <v>105</v>
      </c>
      <c r="L126" t="s">
        <v>705</v>
      </c>
      <c r="M126" s="9" t="s">
        <v>1683</v>
      </c>
      <c r="N126" s="1">
        <v>44784</v>
      </c>
      <c r="O126" t="s">
        <v>927</v>
      </c>
      <c r="Q126" s="76"/>
      <c r="R126" t="b">
        <v>0</v>
      </c>
      <c r="S126" s="48">
        <v>47.776499999999999</v>
      </c>
      <c r="T126" s="72">
        <v>1</v>
      </c>
      <c r="U126">
        <v>0</v>
      </c>
      <c r="V126" s="31">
        <v>0</v>
      </c>
      <c r="W126" s="31">
        <v>0</v>
      </c>
      <c r="X126" s="33">
        <v>47.776499999999999</v>
      </c>
      <c r="Y126" s="29">
        <v>47.776499999999999</v>
      </c>
      <c r="Z126" s="29">
        <v>47.776499999999999</v>
      </c>
      <c r="AA126" s="35">
        <v>44880</v>
      </c>
      <c r="AB126" s="27"/>
      <c r="AC126" s="27">
        <v>20</v>
      </c>
      <c r="AD126" s="58">
        <v>47.776499999999999</v>
      </c>
      <c r="AE126" s="31">
        <v>9.5553000000000008</v>
      </c>
      <c r="AF126" t="b">
        <v>0</v>
      </c>
      <c r="AG126" s="78">
        <v>-47.776499999999999</v>
      </c>
    </row>
    <row r="127" spans="1:33" x14ac:dyDescent="0.25">
      <c r="A127" t="str">
        <f t="shared" si="21"/>
        <v>2022-126</v>
      </c>
      <c r="B127" s="1">
        <f t="shared" si="22"/>
        <v>44790</v>
      </c>
      <c r="C127" t="str">
        <f t="shared" si="23"/>
        <v>168044680/Hays Österreich GmbH, Bahnhof City Wien West , Europaplatz 3/5, 1150 Wien</v>
      </c>
      <c r="D127" t="str">
        <f t="shared" si="24"/>
        <v>Einnahmen</v>
      </c>
      <c r="E127" t="str">
        <f t="shared" si="25"/>
        <v>Waren-/Leistungserlöse</v>
      </c>
      <c r="F127" s="117">
        <f t="shared" si="26"/>
        <v>18351.599999999999</v>
      </c>
      <c r="G127" t="str">
        <f t="shared" si="27"/>
        <v>20%</v>
      </c>
      <c r="I127" s="53">
        <v>2022</v>
      </c>
      <c r="J127" s="53">
        <v>126</v>
      </c>
      <c r="K127" s="71" t="s">
        <v>708</v>
      </c>
      <c r="L127" t="s">
        <v>709</v>
      </c>
      <c r="M127">
        <v>168044680</v>
      </c>
      <c r="N127" s="1">
        <v>44790</v>
      </c>
      <c r="O127" t="s">
        <v>1652</v>
      </c>
      <c r="Q127" s="76"/>
      <c r="R127" t="b">
        <v>0</v>
      </c>
      <c r="S127" s="48">
        <v>15293</v>
      </c>
      <c r="T127" s="72">
        <v>1</v>
      </c>
      <c r="U127">
        <v>20</v>
      </c>
      <c r="V127" s="31">
        <v>3058.6</v>
      </c>
      <c r="W127" s="31">
        <v>3058.6</v>
      </c>
      <c r="X127" s="33">
        <v>15293</v>
      </c>
      <c r="Y127" s="29">
        <v>18351.599999999999</v>
      </c>
      <c r="Z127" s="29">
        <v>18351.599999999999</v>
      </c>
      <c r="AA127" s="35">
        <v>44880</v>
      </c>
      <c r="AB127" s="27"/>
      <c r="AC127" s="27">
        <v>20</v>
      </c>
      <c r="AD127" s="58">
        <v>15293</v>
      </c>
      <c r="AE127" s="31">
        <v>3670.3199999999997</v>
      </c>
      <c r="AF127" t="b">
        <v>1</v>
      </c>
      <c r="AG127" s="78">
        <v>15293</v>
      </c>
    </row>
    <row r="128" spans="1:33" x14ac:dyDescent="0.25">
      <c r="A128" t="str">
        <f t="shared" si="21"/>
        <v>2022-127</v>
      </c>
      <c r="B128" s="1">
        <f t="shared" si="22"/>
        <v>44790</v>
      </c>
      <c r="C128" t="str">
        <f t="shared" si="23"/>
        <v>DS-ASE-INV-AT-2022-26414264/Amazon EU S. à r.l., 38 avenue John F. Kennedy, L-1855 Luxembourg: HJEU: DVI-HDMI, Logitech Maus</v>
      </c>
      <c r="D128" t="str">
        <f t="shared" si="24"/>
        <v>Ausgaben</v>
      </c>
      <c r="E128" t="str">
        <f t="shared" si="25"/>
        <v>Büromaterial</v>
      </c>
      <c r="F128" s="117">
        <f t="shared" si="26"/>
        <v>35.484000000000002</v>
      </c>
      <c r="G128" t="str">
        <f t="shared" si="27"/>
        <v>20%</v>
      </c>
      <c r="I128" s="53">
        <v>2022</v>
      </c>
      <c r="J128" s="53">
        <v>127</v>
      </c>
      <c r="K128" s="71" t="s">
        <v>105</v>
      </c>
      <c r="L128" t="s">
        <v>339</v>
      </c>
      <c r="M128" s="9" t="s">
        <v>1684</v>
      </c>
      <c r="N128" s="1">
        <v>44790</v>
      </c>
      <c r="O128" t="s">
        <v>981</v>
      </c>
      <c r="Q128" s="76"/>
      <c r="R128" t="b">
        <v>0</v>
      </c>
      <c r="S128" s="109">
        <v>29.57</v>
      </c>
      <c r="T128" s="72">
        <v>1</v>
      </c>
      <c r="U128">
        <v>20</v>
      </c>
      <c r="V128" s="31">
        <v>5.9139999999999997</v>
      </c>
      <c r="W128" s="31">
        <v>5.9139999999999997</v>
      </c>
      <c r="X128" s="33">
        <v>29.57</v>
      </c>
      <c r="Y128" s="29">
        <v>35.484000000000002</v>
      </c>
      <c r="Z128" s="29">
        <v>35.484000000000002</v>
      </c>
      <c r="AA128" s="35">
        <v>44880</v>
      </c>
      <c r="AB128" s="27"/>
      <c r="AC128" s="27"/>
      <c r="AD128" s="58">
        <v>29.57</v>
      </c>
      <c r="AE128" s="31">
        <v>0</v>
      </c>
      <c r="AF128" t="b">
        <v>0</v>
      </c>
      <c r="AG128" s="78">
        <v>-29.57</v>
      </c>
    </row>
    <row r="129" spans="1:33" x14ac:dyDescent="0.25">
      <c r="A129" t="str">
        <f t="shared" si="21"/>
        <v>2022-128</v>
      </c>
      <c r="B129" s="1">
        <f t="shared" si="22"/>
        <v>44790</v>
      </c>
      <c r="C129" t="str">
        <f t="shared" si="23"/>
        <v>13616363/Primus Office Products Handelsgesmbh,&amp; Co. KG, Margaretengürtel 44, 1050 Wien</v>
      </c>
      <c r="D129" t="str">
        <f t="shared" si="24"/>
        <v>Ausgaben</v>
      </c>
      <c r="E129" t="str">
        <f t="shared" si="25"/>
        <v>Waren, Rohstoffe, Hilfsstoffe</v>
      </c>
      <c r="F129" s="117">
        <f t="shared" si="26"/>
        <v>417</v>
      </c>
      <c r="G129" t="str">
        <f t="shared" si="27"/>
        <v>20%</v>
      </c>
      <c r="I129" s="53">
        <v>2022</v>
      </c>
      <c r="J129" s="53">
        <v>128</v>
      </c>
      <c r="K129" s="71" t="s">
        <v>105</v>
      </c>
      <c r="L129" t="s">
        <v>683</v>
      </c>
      <c r="M129" s="9" t="s">
        <v>1685</v>
      </c>
      <c r="N129" s="1">
        <v>44790</v>
      </c>
      <c r="O129" t="s">
        <v>1099</v>
      </c>
      <c r="Q129" s="76" t="s">
        <v>958</v>
      </c>
      <c r="R129" t="b">
        <v>0</v>
      </c>
      <c r="S129" s="48">
        <v>347.5</v>
      </c>
      <c r="T129" s="72">
        <v>1</v>
      </c>
      <c r="U129">
        <v>20</v>
      </c>
      <c r="V129" s="31">
        <v>69.5</v>
      </c>
      <c r="W129" s="31">
        <v>69.5</v>
      </c>
      <c r="X129" s="33">
        <v>347.5</v>
      </c>
      <c r="Y129" s="29">
        <v>417</v>
      </c>
      <c r="Z129" s="29">
        <v>417</v>
      </c>
      <c r="AA129" s="35">
        <v>44880</v>
      </c>
      <c r="AB129" s="27"/>
      <c r="AC129" s="27"/>
      <c r="AD129" s="58">
        <v>347.5</v>
      </c>
      <c r="AE129" s="31">
        <v>0</v>
      </c>
      <c r="AF129" t="b">
        <v>0</v>
      </c>
      <c r="AG129" s="78">
        <v>-347.5</v>
      </c>
    </row>
    <row r="130" spans="1:33" x14ac:dyDescent="0.25">
      <c r="A130" t="str">
        <f t="shared" ref="A130:A161" si="28">I130&amp;"-"&amp;J130</f>
        <v>2022-129</v>
      </c>
      <c r="B130" s="1">
        <f t="shared" ref="B130:B161" si="29">N130</f>
        <v>44792</v>
      </c>
      <c r="C130" t="str">
        <f t="shared" ref="C130:C161" si="30">M130&amp;"/"&amp;O130</f>
        <v>901173800822/Magenta: T-Mobile Austria GmbH, A-1120 Wien, PF 47</v>
      </c>
      <c r="D130" t="str">
        <f t="shared" ref="D130:D161" si="31">K130</f>
        <v>Ausgaben</v>
      </c>
      <c r="E130" t="str">
        <f t="shared" ref="E130:E161" si="32">L130</f>
        <v>Telefon/Internet</v>
      </c>
      <c r="F130" s="117">
        <f t="shared" ref="F130:F161" si="33">Z130</f>
        <v>38.304000000000002</v>
      </c>
      <c r="G130" t="str">
        <f t="shared" ref="G130:G161" si="34">U130&amp;"%"</f>
        <v>20%</v>
      </c>
      <c r="I130" s="53">
        <v>2022</v>
      </c>
      <c r="J130" s="53">
        <v>129</v>
      </c>
      <c r="K130" s="71" t="s">
        <v>105</v>
      </c>
      <c r="L130" t="s">
        <v>703</v>
      </c>
      <c r="M130" s="131" t="s">
        <v>1686</v>
      </c>
      <c r="N130" s="1">
        <v>44792</v>
      </c>
      <c r="O130" t="s">
        <v>1148</v>
      </c>
      <c r="Q130" s="76"/>
      <c r="R130" t="b">
        <v>0</v>
      </c>
      <c r="S130" s="48">
        <v>31.92</v>
      </c>
      <c r="T130" s="72">
        <v>1</v>
      </c>
      <c r="U130">
        <v>20</v>
      </c>
      <c r="V130" s="31">
        <v>6.3840000000000012</v>
      </c>
      <c r="W130" s="31">
        <v>6.3840000000000012</v>
      </c>
      <c r="X130" s="33">
        <v>31.92</v>
      </c>
      <c r="Y130" s="29">
        <v>38.304000000000002</v>
      </c>
      <c r="Z130" s="29">
        <v>38.304000000000002</v>
      </c>
      <c r="AA130" s="35">
        <v>44880</v>
      </c>
      <c r="AB130" s="27"/>
      <c r="AC130" s="27"/>
      <c r="AD130" s="58">
        <v>31.92</v>
      </c>
      <c r="AE130" s="31">
        <v>0</v>
      </c>
      <c r="AF130" t="b">
        <v>0</v>
      </c>
      <c r="AG130" s="78">
        <v>-31.92</v>
      </c>
    </row>
    <row r="131" spans="1:33" x14ac:dyDescent="0.25">
      <c r="A131" t="str">
        <f t="shared" si="28"/>
        <v>2022-130</v>
      </c>
      <c r="B131" s="1">
        <f t="shared" si="29"/>
        <v>44793</v>
      </c>
      <c r="C131" t="str">
        <f t="shared" si="30"/>
        <v>E0600JIOEA/Microsoft Ireland Operations Ltd. One Microsoft Place, South County, Business Park, Leopardstown, Dublin 18, D18 P521, Ireland</v>
      </c>
      <c r="D131" t="str">
        <f t="shared" si="31"/>
        <v>Ausgaben</v>
      </c>
      <c r="E131" t="str">
        <f t="shared" si="32"/>
        <v>sonstige Betriebsausgaben</v>
      </c>
      <c r="F131" s="117">
        <f t="shared" si="33"/>
        <v>10.5</v>
      </c>
      <c r="G131" t="str">
        <f t="shared" si="34"/>
        <v>0%</v>
      </c>
      <c r="I131" s="53">
        <v>2022</v>
      </c>
      <c r="J131" s="53">
        <v>130</v>
      </c>
      <c r="K131" s="71" t="s">
        <v>105</v>
      </c>
      <c r="L131" t="s">
        <v>705</v>
      </c>
      <c r="M131" s="6" t="s">
        <v>1687</v>
      </c>
      <c r="N131" s="1">
        <v>44793</v>
      </c>
      <c r="O131" t="s">
        <v>1032</v>
      </c>
      <c r="Q131" s="76"/>
      <c r="R131" t="b">
        <v>0</v>
      </c>
      <c r="S131" s="48">
        <v>10.5</v>
      </c>
      <c r="T131" s="72">
        <v>1</v>
      </c>
      <c r="U131">
        <v>0</v>
      </c>
      <c r="V131" s="31">
        <v>0</v>
      </c>
      <c r="W131" s="31">
        <v>0</v>
      </c>
      <c r="X131" s="33">
        <v>10.5</v>
      </c>
      <c r="Y131" s="29">
        <v>10.5</v>
      </c>
      <c r="Z131" s="29">
        <v>10.5</v>
      </c>
      <c r="AA131" s="35">
        <v>44880</v>
      </c>
      <c r="AB131" s="27"/>
      <c r="AC131" s="27">
        <v>20</v>
      </c>
      <c r="AD131" s="58">
        <v>10.5</v>
      </c>
      <c r="AE131" s="31">
        <v>2.1</v>
      </c>
      <c r="AF131" t="b">
        <v>0</v>
      </c>
      <c r="AG131" s="78">
        <v>-10.5</v>
      </c>
    </row>
    <row r="132" spans="1:33" x14ac:dyDescent="0.25">
      <c r="A132" t="str">
        <f t="shared" si="28"/>
        <v>2022-131</v>
      </c>
      <c r="B132" s="1">
        <f t="shared" si="29"/>
        <v>44805</v>
      </c>
      <c r="C132" t="str">
        <f t="shared" si="30"/>
        <v>/Bontus Immobilienverwaltung GmbH, 1010 Wien, Franz Josefs Kai 65</v>
      </c>
      <c r="D132" t="str">
        <f t="shared" si="31"/>
        <v>Ausgaben</v>
      </c>
      <c r="E132" t="str">
        <f t="shared" si="32"/>
        <v>Miet- und Pachtaufwand, Leasing</v>
      </c>
      <c r="F132" s="117">
        <f t="shared" si="33"/>
        <v>595.73</v>
      </c>
      <c r="G132" t="str">
        <f t="shared" si="34"/>
        <v>20%</v>
      </c>
      <c r="I132" s="53">
        <v>2022</v>
      </c>
      <c r="J132" s="53">
        <v>131</v>
      </c>
      <c r="K132" s="71" t="s">
        <v>105</v>
      </c>
      <c r="L132" t="s">
        <v>691</v>
      </c>
      <c r="M132" s="9"/>
      <c r="N132" s="1">
        <v>44805</v>
      </c>
      <c r="O132" t="s">
        <v>1113</v>
      </c>
      <c r="Q132" s="76"/>
      <c r="R132" t="b">
        <v>0</v>
      </c>
      <c r="S132" s="109">
        <v>496.44166666666672</v>
      </c>
      <c r="T132" s="72">
        <v>1</v>
      </c>
      <c r="U132">
        <v>20</v>
      </c>
      <c r="V132" s="31">
        <v>99.288333333333341</v>
      </c>
      <c r="W132" s="31">
        <v>99.288333333333341</v>
      </c>
      <c r="X132" s="33">
        <v>496.44166666666672</v>
      </c>
      <c r="Y132" s="29">
        <v>595.73</v>
      </c>
      <c r="Z132" s="29">
        <v>595.73</v>
      </c>
      <c r="AA132" s="35">
        <v>44880</v>
      </c>
      <c r="AB132" s="27"/>
      <c r="AC132" s="27"/>
      <c r="AD132" s="58">
        <v>496.44166666666672</v>
      </c>
      <c r="AE132" s="31">
        <v>0</v>
      </c>
      <c r="AF132" t="b">
        <v>0</v>
      </c>
      <c r="AG132" s="78">
        <v>-496.44166666666672</v>
      </c>
    </row>
    <row r="133" spans="1:33" x14ac:dyDescent="0.25">
      <c r="A133" t="str">
        <f t="shared" si="28"/>
        <v>2022-132</v>
      </c>
      <c r="B133" s="1">
        <f t="shared" si="29"/>
        <v>44805</v>
      </c>
      <c r="C133" t="str">
        <f t="shared" si="30"/>
        <v>6246969218/Hutchison Drei Austria GmbH, Brünner Straße 52, 1210 Wien, Österreich</v>
      </c>
      <c r="D133" t="str">
        <f t="shared" si="31"/>
        <v>Ausgaben</v>
      </c>
      <c r="E133" t="str">
        <f t="shared" si="32"/>
        <v>Telefon/Internet</v>
      </c>
      <c r="F133" s="117">
        <f t="shared" si="33"/>
        <v>18</v>
      </c>
      <c r="G133" t="str">
        <f t="shared" si="34"/>
        <v>20%</v>
      </c>
      <c r="I133" s="53">
        <v>2022</v>
      </c>
      <c r="J133" s="53">
        <v>132</v>
      </c>
      <c r="K133" s="71" t="s">
        <v>105</v>
      </c>
      <c r="L133" t="s">
        <v>703</v>
      </c>
      <c r="M133" s="9" t="s">
        <v>1681</v>
      </c>
      <c r="N133" s="1">
        <v>44805</v>
      </c>
      <c r="O133" t="s">
        <v>34</v>
      </c>
      <c r="Q133" s="76"/>
      <c r="R133" t="b">
        <v>0</v>
      </c>
      <c r="S133" s="48">
        <v>15</v>
      </c>
      <c r="T133" s="72">
        <v>1</v>
      </c>
      <c r="U133">
        <v>20</v>
      </c>
      <c r="V133" s="31">
        <v>3</v>
      </c>
      <c r="W133" s="31">
        <v>3</v>
      </c>
      <c r="X133" s="33">
        <v>15</v>
      </c>
      <c r="Y133" s="29">
        <v>18</v>
      </c>
      <c r="Z133" s="29">
        <v>18</v>
      </c>
      <c r="AA133" s="35">
        <v>44880</v>
      </c>
      <c r="AB133" s="27"/>
      <c r="AC133" s="27"/>
      <c r="AD133" s="58">
        <v>15</v>
      </c>
      <c r="AE133" s="31">
        <v>0</v>
      </c>
      <c r="AF133" t="b">
        <v>0</v>
      </c>
      <c r="AG133" s="78">
        <v>-15</v>
      </c>
    </row>
    <row r="134" spans="1:33" x14ac:dyDescent="0.25">
      <c r="A134" t="str">
        <f t="shared" si="28"/>
        <v>2022-133</v>
      </c>
      <c r="B134" s="1">
        <f t="shared" si="29"/>
        <v>44806</v>
      </c>
      <c r="C134" t="str">
        <f t="shared" si="30"/>
        <v>BELEG FEHLT/Büroprofi Koch Papier GmbH, 1080 Wien, Josefstädter Str  87</v>
      </c>
      <c r="D134" t="str">
        <f t="shared" si="31"/>
        <v>Ausgaben</v>
      </c>
      <c r="E134" t="str">
        <f t="shared" si="32"/>
        <v>Büromaterial</v>
      </c>
      <c r="F134" s="117">
        <f t="shared" si="33"/>
        <v>7.4500000000000011</v>
      </c>
      <c r="G134" t="str">
        <f t="shared" si="34"/>
        <v>20%</v>
      </c>
      <c r="I134" s="53">
        <v>2022</v>
      </c>
      <c r="J134" s="53">
        <v>133</v>
      </c>
      <c r="K134" s="71" t="s">
        <v>105</v>
      </c>
      <c r="L134" t="s">
        <v>339</v>
      </c>
      <c r="M134" s="61" t="s">
        <v>1064</v>
      </c>
      <c r="N134" s="1">
        <v>44806</v>
      </c>
      <c r="O134" t="s">
        <v>975</v>
      </c>
      <c r="Q134" s="76"/>
      <c r="R134" t="b">
        <v>0</v>
      </c>
      <c r="S134" s="48">
        <v>6.2083333333333339</v>
      </c>
      <c r="T134" s="72">
        <v>1</v>
      </c>
      <c r="U134">
        <v>20</v>
      </c>
      <c r="V134" s="31">
        <v>1.2416666666666669</v>
      </c>
      <c r="W134" s="31">
        <v>1.2416666666666669</v>
      </c>
      <c r="X134" s="33">
        <v>6.2083333333333339</v>
      </c>
      <c r="Y134" s="29">
        <v>7.4500000000000011</v>
      </c>
      <c r="Z134" s="29">
        <v>7.4500000000000011</v>
      </c>
      <c r="AA134" s="35">
        <v>44880</v>
      </c>
      <c r="AB134" s="27"/>
      <c r="AC134" s="27"/>
      <c r="AD134" s="58">
        <v>6.2083333333333339</v>
      </c>
      <c r="AE134" s="31">
        <v>0</v>
      </c>
      <c r="AF134" t="b">
        <v>0</v>
      </c>
      <c r="AG134" s="78">
        <v>-6.2083333333333339</v>
      </c>
    </row>
    <row r="135" spans="1:33" x14ac:dyDescent="0.25">
      <c r="A135" t="str">
        <f t="shared" si="28"/>
        <v>2022-134</v>
      </c>
      <c r="B135" s="1">
        <f t="shared" si="29"/>
        <v>44807</v>
      </c>
      <c r="C135" t="str">
        <f t="shared" si="30"/>
        <v>4322957079/Google Ireland Ltd, Gordon House, Barrow Street, Dublin 4, Ireland; VAT number: IE 6388047V</v>
      </c>
      <c r="D135" t="str">
        <f t="shared" si="31"/>
        <v>Ausgaben</v>
      </c>
      <c r="E135" t="str">
        <f t="shared" si="32"/>
        <v>sonstige Betriebsausgaben</v>
      </c>
      <c r="F135" s="117">
        <f t="shared" si="33"/>
        <v>9.36</v>
      </c>
      <c r="G135" t="str">
        <f t="shared" si="34"/>
        <v>0%</v>
      </c>
      <c r="I135" s="53">
        <v>2022</v>
      </c>
      <c r="J135" s="53">
        <v>134</v>
      </c>
      <c r="K135" s="71" t="s">
        <v>105</v>
      </c>
      <c r="L135" t="s">
        <v>705</v>
      </c>
      <c r="M135" s="9" t="s">
        <v>1682</v>
      </c>
      <c r="N135" s="1">
        <v>44807</v>
      </c>
      <c r="O135" t="s">
        <v>1404</v>
      </c>
      <c r="Q135" s="76"/>
      <c r="R135" t="b">
        <v>0</v>
      </c>
      <c r="S135" s="109">
        <v>9.36</v>
      </c>
      <c r="T135" s="72">
        <v>1</v>
      </c>
      <c r="U135">
        <v>0</v>
      </c>
      <c r="V135" s="31">
        <v>0</v>
      </c>
      <c r="W135" s="31">
        <v>0</v>
      </c>
      <c r="X135" s="33">
        <v>9.36</v>
      </c>
      <c r="Y135" s="29">
        <v>9.36</v>
      </c>
      <c r="Z135" s="29">
        <v>9.36</v>
      </c>
      <c r="AA135" s="35">
        <v>44880</v>
      </c>
      <c r="AB135" s="27"/>
      <c r="AC135" s="27">
        <v>20</v>
      </c>
      <c r="AD135" s="58">
        <v>9.36</v>
      </c>
      <c r="AE135" s="31">
        <v>1.8719999999999999</v>
      </c>
      <c r="AF135" t="b">
        <v>0</v>
      </c>
      <c r="AG135" s="78">
        <v>-9.36</v>
      </c>
    </row>
    <row r="136" spans="1:33" x14ac:dyDescent="0.25">
      <c r="A136" t="str">
        <f t="shared" si="28"/>
        <v>2022-135</v>
      </c>
      <c r="B136" s="1">
        <f t="shared" si="29"/>
        <v>44809</v>
      </c>
      <c r="C136" t="str">
        <f t="shared" si="30"/>
        <v>siehe Jahresabrechnung/go green energy GmbH &amp; Co KG</v>
      </c>
      <c r="D136" t="str">
        <f t="shared" si="31"/>
        <v>Ausgaben</v>
      </c>
      <c r="E136" t="str">
        <f t="shared" si="32"/>
        <v>sonstige Betriebsausgaben</v>
      </c>
      <c r="F136" s="117">
        <f t="shared" si="33"/>
        <v>3</v>
      </c>
      <c r="G136" t="str">
        <f t="shared" si="34"/>
        <v>20%</v>
      </c>
      <c r="I136" s="53">
        <v>2022</v>
      </c>
      <c r="J136" s="53">
        <v>135</v>
      </c>
      <c r="K136" s="71" t="s">
        <v>105</v>
      </c>
      <c r="L136" t="s">
        <v>705</v>
      </c>
      <c r="M136" s="153" t="s">
        <v>1698</v>
      </c>
      <c r="N136" s="1">
        <v>44809</v>
      </c>
      <c r="O136" t="s">
        <v>1670</v>
      </c>
      <c r="Q136" s="76"/>
      <c r="R136" t="b">
        <v>0</v>
      </c>
      <c r="S136" s="109">
        <v>2.5</v>
      </c>
      <c r="T136" s="72">
        <v>1</v>
      </c>
      <c r="U136">
        <v>20</v>
      </c>
      <c r="V136" s="31">
        <v>0.5</v>
      </c>
      <c r="W136" s="31">
        <v>0.5</v>
      </c>
      <c r="X136" s="33">
        <v>2.5</v>
      </c>
      <c r="Y136" s="29">
        <v>3</v>
      </c>
      <c r="Z136" s="29">
        <v>3</v>
      </c>
      <c r="AA136" s="35">
        <v>44880</v>
      </c>
      <c r="AB136" s="27"/>
      <c r="AC136" s="27"/>
      <c r="AD136" s="58">
        <v>2.5</v>
      </c>
      <c r="AE136" s="31">
        <v>0</v>
      </c>
      <c r="AF136" t="b">
        <v>0</v>
      </c>
      <c r="AG136" s="78">
        <v>-2.5</v>
      </c>
    </row>
    <row r="137" spans="1:33" x14ac:dyDescent="0.25">
      <c r="A137" t="str">
        <f t="shared" si="28"/>
        <v>2022-136</v>
      </c>
      <c r="B137" s="1">
        <f t="shared" si="29"/>
        <v>44809</v>
      </c>
      <c r="C137" t="str">
        <f t="shared" si="30"/>
        <v>BELEG FEHLT/Techem Messtechnik GmbH; Abnehmernummer 501686-0003-11-</v>
      </c>
      <c r="D137" t="str">
        <f t="shared" si="31"/>
        <v>Ausgaben</v>
      </c>
      <c r="E137" t="str">
        <f t="shared" si="32"/>
        <v>Miet- und Pachtaufwand, Leasing</v>
      </c>
      <c r="F137" s="117">
        <f t="shared" si="33"/>
        <v>147.12</v>
      </c>
      <c r="G137" t="str">
        <f t="shared" si="34"/>
        <v>20%</v>
      </c>
      <c r="I137" s="53">
        <v>2022</v>
      </c>
      <c r="J137" s="53">
        <v>136</v>
      </c>
      <c r="K137" s="71" t="s">
        <v>105</v>
      </c>
      <c r="L137" t="s">
        <v>691</v>
      </c>
      <c r="M137" s="61" t="s">
        <v>1064</v>
      </c>
      <c r="N137" s="1">
        <v>44809</v>
      </c>
      <c r="O137" t="s">
        <v>1558</v>
      </c>
      <c r="Q137" s="76"/>
      <c r="R137" t="b">
        <v>0</v>
      </c>
      <c r="S137" s="109">
        <v>122.6</v>
      </c>
      <c r="T137" s="72">
        <v>1</v>
      </c>
      <c r="U137">
        <v>20</v>
      </c>
      <c r="V137" s="31">
        <v>24.52</v>
      </c>
      <c r="W137" s="31">
        <v>24.52</v>
      </c>
      <c r="X137" s="33">
        <v>122.6</v>
      </c>
      <c r="Y137" s="29">
        <v>147.12</v>
      </c>
      <c r="Z137" s="29">
        <v>147.12</v>
      </c>
      <c r="AA137" s="35">
        <v>44880</v>
      </c>
      <c r="AB137" s="27"/>
      <c r="AC137" s="27"/>
      <c r="AD137" s="58">
        <v>122.6</v>
      </c>
      <c r="AE137" s="31">
        <v>0</v>
      </c>
      <c r="AF137" t="b">
        <v>0</v>
      </c>
      <c r="AG137" s="78">
        <v>-122.6</v>
      </c>
    </row>
    <row r="138" spans="1:33" x14ac:dyDescent="0.25">
      <c r="A138" t="str">
        <f t="shared" si="28"/>
        <v>2022-137</v>
      </c>
      <c r="B138" s="1">
        <f t="shared" si="29"/>
        <v>44816</v>
      </c>
      <c r="C138" t="str">
        <f t="shared" si="30"/>
        <v>BELEG FEHLT/Wiener Netze GmbH, Erdbergstraße 236, 1110 Wien, Postfach 422; Jahresabrechnung vom 17.12.20: GUTSCHRIFT</v>
      </c>
      <c r="D138" t="str">
        <f t="shared" si="31"/>
        <v>Ausgaben</v>
      </c>
      <c r="E138" t="str">
        <f t="shared" si="32"/>
        <v>sonstige Betriebsausgaben</v>
      </c>
      <c r="F138" s="117">
        <f t="shared" si="33"/>
        <v>13.2</v>
      </c>
      <c r="G138" t="str">
        <f t="shared" si="34"/>
        <v>20%</v>
      </c>
      <c r="I138" s="53">
        <v>2022</v>
      </c>
      <c r="J138" s="53">
        <v>137</v>
      </c>
      <c r="K138" s="71" t="s">
        <v>105</v>
      </c>
      <c r="L138" t="s">
        <v>705</v>
      </c>
      <c r="M138" s="61" t="s">
        <v>1064</v>
      </c>
      <c r="N138" s="1">
        <v>44816</v>
      </c>
      <c r="O138" t="s">
        <v>1466</v>
      </c>
      <c r="Q138" s="76"/>
      <c r="R138" t="b">
        <v>0</v>
      </c>
      <c r="S138" s="48">
        <v>11</v>
      </c>
      <c r="T138" s="72">
        <v>1</v>
      </c>
      <c r="U138">
        <v>20</v>
      </c>
      <c r="V138" s="31">
        <v>2.2000000000000002</v>
      </c>
      <c r="W138" s="31">
        <v>2.2000000000000002</v>
      </c>
      <c r="X138" s="33">
        <v>11</v>
      </c>
      <c r="Y138" s="29">
        <v>13.2</v>
      </c>
      <c r="Z138" s="29">
        <v>13.2</v>
      </c>
      <c r="AA138" s="35">
        <v>44880</v>
      </c>
      <c r="AB138" s="27"/>
      <c r="AC138" s="27"/>
      <c r="AD138" s="58">
        <v>11</v>
      </c>
      <c r="AE138" s="31">
        <v>0</v>
      </c>
      <c r="AF138" t="b">
        <v>0</v>
      </c>
      <c r="AG138" s="78">
        <v>-11</v>
      </c>
    </row>
    <row r="139" spans="1:33" x14ac:dyDescent="0.25">
      <c r="A139" t="str">
        <f t="shared" si="28"/>
        <v>2022-138</v>
      </c>
      <c r="B139" s="1">
        <f t="shared" si="29"/>
        <v>44817</v>
      </c>
      <c r="C139" t="str">
        <f t="shared" si="30"/>
        <v>R0016819083/Hetzner Online GmbH</v>
      </c>
      <c r="D139" t="str">
        <f t="shared" si="31"/>
        <v>Ausgaben</v>
      </c>
      <c r="E139" t="str">
        <f t="shared" si="32"/>
        <v>sonstige Betriebsausgaben</v>
      </c>
      <c r="F139" s="117">
        <f t="shared" si="33"/>
        <v>47.776499999999999</v>
      </c>
      <c r="G139" t="str">
        <f t="shared" si="34"/>
        <v>0%</v>
      </c>
      <c r="I139" s="53">
        <v>2022</v>
      </c>
      <c r="J139" s="53">
        <v>138</v>
      </c>
      <c r="K139" s="71" t="s">
        <v>105</v>
      </c>
      <c r="L139" t="s">
        <v>705</v>
      </c>
      <c r="M139" s="9" t="s">
        <v>1688</v>
      </c>
      <c r="N139" s="1">
        <v>44817</v>
      </c>
      <c r="O139" t="s">
        <v>927</v>
      </c>
      <c r="Q139" s="76"/>
      <c r="R139" t="b">
        <v>0</v>
      </c>
      <c r="S139" s="48">
        <v>47.776499999999999</v>
      </c>
      <c r="T139" s="72">
        <v>1</v>
      </c>
      <c r="U139">
        <v>0</v>
      </c>
      <c r="V139" s="31">
        <v>0</v>
      </c>
      <c r="W139" s="31">
        <v>0</v>
      </c>
      <c r="X139" s="33">
        <v>47.776499999999999</v>
      </c>
      <c r="Y139" s="29">
        <v>47.776499999999999</v>
      </c>
      <c r="Z139" s="29">
        <v>47.776499999999999</v>
      </c>
      <c r="AA139" s="35">
        <v>44880</v>
      </c>
      <c r="AB139" s="27"/>
      <c r="AC139" s="27">
        <v>20</v>
      </c>
      <c r="AD139" s="58">
        <v>47.776499999999999</v>
      </c>
      <c r="AE139" s="31">
        <v>9.5553000000000008</v>
      </c>
      <c r="AF139" t="b">
        <v>0</v>
      </c>
      <c r="AG139" s="78">
        <v>-47.776499999999999</v>
      </c>
    </row>
    <row r="140" spans="1:33" x14ac:dyDescent="0.25">
      <c r="A140" t="str">
        <f t="shared" si="28"/>
        <v>2022-139</v>
      </c>
      <c r="B140" s="1">
        <f t="shared" si="29"/>
        <v>44818</v>
      </c>
      <c r="C140" t="str">
        <f t="shared" si="30"/>
        <v>168045114/Hays Österreich GmbH, Bahnhof City Wien West , Europaplatz 3/5, 1150 Wien</v>
      </c>
      <c r="D140" t="str">
        <f t="shared" si="31"/>
        <v>Einnahmen</v>
      </c>
      <c r="E140" t="str">
        <f t="shared" si="32"/>
        <v>Waren-/Leistungserlöse</v>
      </c>
      <c r="F140" s="117">
        <f t="shared" si="33"/>
        <v>23940</v>
      </c>
      <c r="G140" t="str">
        <f t="shared" si="34"/>
        <v>20%</v>
      </c>
      <c r="I140" s="53">
        <v>2022</v>
      </c>
      <c r="J140" s="53">
        <v>139</v>
      </c>
      <c r="K140" s="71" t="s">
        <v>708</v>
      </c>
      <c r="L140" t="s">
        <v>709</v>
      </c>
      <c r="M140">
        <v>168045114</v>
      </c>
      <c r="N140" s="1">
        <v>44818</v>
      </c>
      <c r="O140" t="s">
        <v>1652</v>
      </c>
      <c r="Q140" s="76"/>
      <c r="R140" t="b">
        <v>0</v>
      </c>
      <c r="S140" s="48">
        <v>19950</v>
      </c>
      <c r="T140" s="72">
        <v>1</v>
      </c>
      <c r="U140">
        <v>20</v>
      </c>
      <c r="V140" s="31">
        <v>3990</v>
      </c>
      <c r="W140" s="31">
        <v>3990</v>
      </c>
      <c r="X140" s="33">
        <v>19950</v>
      </c>
      <c r="Y140" s="29">
        <v>23940</v>
      </c>
      <c r="Z140" s="29">
        <v>23940</v>
      </c>
      <c r="AA140" s="35">
        <v>44880</v>
      </c>
      <c r="AB140" s="27"/>
      <c r="AC140" s="27">
        <v>20</v>
      </c>
      <c r="AD140" s="58">
        <v>19950</v>
      </c>
      <c r="AE140" s="31">
        <v>4788</v>
      </c>
      <c r="AF140" t="b">
        <v>1</v>
      </c>
      <c r="AG140" s="78">
        <v>19950</v>
      </c>
    </row>
    <row r="141" spans="1:33" x14ac:dyDescent="0.25">
      <c r="A141" t="str">
        <f t="shared" si="28"/>
        <v>2022-140</v>
      </c>
      <c r="B141" s="1">
        <f t="shared" si="29"/>
        <v>44819</v>
      </c>
      <c r="C141" t="str">
        <f t="shared" si="30"/>
        <v>/Honorar Eva Jaros-Kolbitsch</v>
      </c>
      <c r="D141" t="str">
        <f t="shared" si="31"/>
        <v>Ausgaben</v>
      </c>
      <c r="E141" t="str">
        <f t="shared" si="32"/>
        <v>Personalaufwand</v>
      </c>
      <c r="F141" s="117">
        <f t="shared" si="33"/>
        <v>365</v>
      </c>
      <c r="G141" t="str">
        <f t="shared" si="34"/>
        <v>0%</v>
      </c>
      <c r="I141" s="53">
        <v>2022</v>
      </c>
      <c r="J141" s="53">
        <v>140</v>
      </c>
      <c r="K141" s="71" t="s">
        <v>105</v>
      </c>
      <c r="L141" t="s">
        <v>685</v>
      </c>
      <c r="M141" s="9"/>
      <c r="N141" s="1">
        <v>44819</v>
      </c>
      <c r="O141" t="s">
        <v>1689</v>
      </c>
      <c r="Q141" s="76"/>
      <c r="R141" t="b">
        <v>0</v>
      </c>
      <c r="S141" s="48">
        <v>365</v>
      </c>
      <c r="T141" s="72">
        <v>1</v>
      </c>
      <c r="U141">
        <v>0</v>
      </c>
      <c r="V141" s="31">
        <v>0</v>
      </c>
      <c r="W141" s="31">
        <v>0</v>
      </c>
      <c r="X141" s="33">
        <v>365</v>
      </c>
      <c r="Y141" s="29">
        <v>365</v>
      </c>
      <c r="Z141" s="29">
        <v>365</v>
      </c>
      <c r="AA141" s="35">
        <v>44880</v>
      </c>
      <c r="AB141" s="27"/>
      <c r="AC141" s="27"/>
      <c r="AD141" s="58">
        <v>365</v>
      </c>
      <c r="AE141" s="31">
        <v>0</v>
      </c>
      <c r="AF141" t="b">
        <v>0</v>
      </c>
      <c r="AG141" s="78">
        <v>-365</v>
      </c>
    </row>
    <row r="142" spans="1:33" x14ac:dyDescent="0.25">
      <c r="A142" t="str">
        <f t="shared" si="28"/>
        <v>2022-141</v>
      </c>
      <c r="B142" s="1">
        <f t="shared" si="29"/>
        <v>44824</v>
      </c>
      <c r="C142" t="str">
        <f t="shared" si="30"/>
        <v>/Microsoft Ireland Operations Ltd. One Microsoft Place, South County, Business Park, Leopardstown, Dublin 18, D18 P521, Ireland</v>
      </c>
      <c r="D142" t="str">
        <f t="shared" si="31"/>
        <v>Ausgaben</v>
      </c>
      <c r="E142" t="str">
        <f t="shared" si="32"/>
        <v>sonstige Betriebsausgaben</v>
      </c>
      <c r="F142" s="117">
        <f t="shared" si="33"/>
        <v>10.5</v>
      </c>
      <c r="G142" t="str">
        <f t="shared" si="34"/>
        <v>0%</v>
      </c>
      <c r="I142" s="53">
        <v>2022</v>
      </c>
      <c r="J142" s="53">
        <v>141</v>
      </c>
      <c r="K142" s="71" t="s">
        <v>105</v>
      </c>
      <c r="L142" t="s">
        <v>705</v>
      </c>
      <c r="M142" s="6"/>
      <c r="N142" s="1">
        <v>44824</v>
      </c>
      <c r="O142" t="s">
        <v>1032</v>
      </c>
      <c r="Q142" s="76"/>
      <c r="R142" t="b">
        <v>0</v>
      </c>
      <c r="S142" s="48">
        <v>10.5</v>
      </c>
      <c r="T142" s="72">
        <v>1</v>
      </c>
      <c r="U142">
        <v>0</v>
      </c>
      <c r="V142" s="31">
        <v>0</v>
      </c>
      <c r="W142" s="31">
        <v>0</v>
      </c>
      <c r="X142" s="33">
        <v>10.5</v>
      </c>
      <c r="Y142" s="29">
        <v>10.5</v>
      </c>
      <c r="Z142" s="29">
        <v>10.5</v>
      </c>
      <c r="AA142" s="35">
        <v>44880</v>
      </c>
      <c r="AB142" s="27"/>
      <c r="AC142" s="27">
        <v>20</v>
      </c>
      <c r="AD142" s="58">
        <v>10.5</v>
      </c>
      <c r="AE142" s="31">
        <v>2.1</v>
      </c>
      <c r="AF142" t="b">
        <v>0</v>
      </c>
      <c r="AG142" s="78">
        <v>-10.5</v>
      </c>
    </row>
    <row r="143" spans="1:33" x14ac:dyDescent="0.25">
      <c r="A143" t="str">
        <f t="shared" si="28"/>
        <v>2022-142</v>
      </c>
      <c r="B143" s="1">
        <f t="shared" si="29"/>
        <v>44825</v>
      </c>
      <c r="C143" t="str">
        <f t="shared" si="30"/>
        <v>901154810922/Magenta: T-Mobile Austria GmbH, A-1120 Wien, PF 47</v>
      </c>
      <c r="D143" t="str">
        <f t="shared" si="31"/>
        <v>Ausgaben</v>
      </c>
      <c r="E143" t="str">
        <f t="shared" si="32"/>
        <v>Telefon/Internet</v>
      </c>
      <c r="F143" s="117">
        <f t="shared" si="33"/>
        <v>38.304000000000002</v>
      </c>
      <c r="G143" t="str">
        <f t="shared" si="34"/>
        <v>20%</v>
      </c>
      <c r="I143" s="53">
        <v>2022</v>
      </c>
      <c r="J143" s="53">
        <v>142</v>
      </c>
      <c r="K143" s="71" t="s">
        <v>105</v>
      </c>
      <c r="L143" t="s">
        <v>703</v>
      </c>
      <c r="M143" s="131" t="s">
        <v>1690</v>
      </c>
      <c r="N143" s="1">
        <v>44825</v>
      </c>
      <c r="O143" t="s">
        <v>1148</v>
      </c>
      <c r="Q143" s="76"/>
      <c r="R143" t="b">
        <v>0</v>
      </c>
      <c r="S143" s="48">
        <v>31.92</v>
      </c>
      <c r="T143" s="72">
        <v>1</v>
      </c>
      <c r="U143">
        <v>20</v>
      </c>
      <c r="V143" s="31">
        <v>6.3840000000000012</v>
      </c>
      <c r="W143" s="31">
        <v>6.3840000000000012</v>
      </c>
      <c r="X143" s="33">
        <v>31.92</v>
      </c>
      <c r="Y143" s="29">
        <v>38.304000000000002</v>
      </c>
      <c r="Z143" s="29">
        <v>38.304000000000002</v>
      </c>
      <c r="AA143" s="35">
        <v>44880</v>
      </c>
      <c r="AB143" s="27"/>
      <c r="AC143" s="27"/>
      <c r="AD143" s="58">
        <v>31.92</v>
      </c>
      <c r="AE143" s="31">
        <v>0</v>
      </c>
      <c r="AF143" t="b">
        <v>0</v>
      </c>
      <c r="AG143" s="78">
        <v>-31.92</v>
      </c>
    </row>
    <row r="144" spans="1:33" x14ac:dyDescent="0.25">
      <c r="A144" t="str">
        <f t="shared" si="28"/>
        <v>2022-143</v>
      </c>
      <c r="B144" s="1">
        <f t="shared" si="29"/>
        <v>44833</v>
      </c>
      <c r="C144" t="str">
        <f t="shared" si="30"/>
        <v>11561270283/Sozialversicherung der gewerblichen Wirtshaft</v>
      </c>
      <c r="D144" t="str">
        <f t="shared" si="31"/>
        <v>Ausgaben</v>
      </c>
      <c r="E144" t="str">
        <f t="shared" si="32"/>
        <v>Pflichversicherungsbeiträge</v>
      </c>
      <c r="F144" s="117">
        <f t="shared" si="33"/>
        <v>1.51</v>
      </c>
      <c r="G144" t="str">
        <f t="shared" si="34"/>
        <v>0%</v>
      </c>
      <c r="I144" s="53">
        <v>2022</v>
      </c>
      <c r="J144" s="53">
        <v>143</v>
      </c>
      <c r="K144" s="71" t="s">
        <v>105</v>
      </c>
      <c r="L144" t="s">
        <v>695</v>
      </c>
      <c r="M144" s="9">
        <v>11561270283</v>
      </c>
      <c r="N144" s="1">
        <v>44833</v>
      </c>
      <c r="O144" t="s">
        <v>952</v>
      </c>
      <c r="Q144" s="76"/>
      <c r="R144" t="b">
        <v>0</v>
      </c>
      <c r="S144" s="48">
        <v>1.51</v>
      </c>
      <c r="T144" s="72">
        <v>1</v>
      </c>
      <c r="U144">
        <v>0</v>
      </c>
      <c r="V144" s="31">
        <v>0</v>
      </c>
      <c r="W144" s="31">
        <v>0</v>
      </c>
      <c r="X144" s="33">
        <v>1.51</v>
      </c>
      <c r="Y144" s="29">
        <v>1.51</v>
      </c>
      <c r="Z144" s="29">
        <v>1.51</v>
      </c>
      <c r="AA144" s="35">
        <v>44880</v>
      </c>
      <c r="AB144" s="27"/>
      <c r="AC144" s="27"/>
      <c r="AD144" s="58">
        <v>1.51</v>
      </c>
      <c r="AE144" s="31">
        <v>0</v>
      </c>
      <c r="AF144" t="b">
        <v>0</v>
      </c>
      <c r="AG144" s="78">
        <v>-1.51</v>
      </c>
    </row>
    <row r="145" spans="1:33" x14ac:dyDescent="0.25">
      <c r="A145" t="str">
        <f t="shared" si="28"/>
        <v>2022-144</v>
      </c>
      <c r="B145" s="1">
        <f t="shared" si="29"/>
        <v>44833</v>
      </c>
      <c r="C145" t="str">
        <f t="shared" si="30"/>
        <v>11561270283/Sozialversicherung der gewerblichen Wirtshaft</v>
      </c>
      <c r="D145" t="str">
        <f t="shared" si="31"/>
        <v>Ausgaben</v>
      </c>
      <c r="E145" t="str">
        <f t="shared" si="32"/>
        <v>Pflichversicherungsbeiträge</v>
      </c>
      <c r="F145" s="117">
        <f t="shared" si="33"/>
        <v>5684.7</v>
      </c>
      <c r="G145" t="str">
        <f t="shared" si="34"/>
        <v>0%</v>
      </c>
      <c r="I145" s="53">
        <v>2022</v>
      </c>
      <c r="J145" s="53">
        <v>144</v>
      </c>
      <c r="K145" s="71" t="s">
        <v>105</v>
      </c>
      <c r="L145" t="s">
        <v>695</v>
      </c>
      <c r="M145" s="9">
        <v>11561270283</v>
      </c>
      <c r="N145" s="1">
        <v>44833</v>
      </c>
      <c r="O145" t="s">
        <v>952</v>
      </c>
      <c r="Q145" s="76"/>
      <c r="R145" t="b">
        <v>0</v>
      </c>
      <c r="S145" s="48">
        <v>5684.7</v>
      </c>
      <c r="T145" s="72">
        <v>1</v>
      </c>
      <c r="U145">
        <v>0</v>
      </c>
      <c r="V145" s="31">
        <v>0</v>
      </c>
      <c r="W145" s="31">
        <v>0</v>
      </c>
      <c r="X145" s="33">
        <v>5684.7</v>
      </c>
      <c r="Y145" s="29">
        <v>5684.7</v>
      </c>
      <c r="Z145" s="29">
        <v>5684.7</v>
      </c>
      <c r="AA145" s="35">
        <v>44880</v>
      </c>
      <c r="AB145" s="27"/>
      <c r="AC145" s="27"/>
      <c r="AD145" s="58">
        <v>5684.7</v>
      </c>
      <c r="AE145" s="31">
        <v>0</v>
      </c>
      <c r="AF145" t="b">
        <v>0</v>
      </c>
      <c r="AG145" s="78">
        <v>-5684.7</v>
      </c>
    </row>
    <row r="146" spans="1:33" x14ac:dyDescent="0.25">
      <c r="A146" t="str">
        <f t="shared" si="28"/>
        <v>2022-145</v>
      </c>
      <c r="B146" s="1">
        <f t="shared" si="29"/>
        <v>44836</v>
      </c>
      <c r="C146" t="str">
        <f t="shared" si="30"/>
        <v>11561270283/Sozialversicherung der gewerblichen Wirtshaft</v>
      </c>
      <c r="D146" t="str">
        <f t="shared" si="31"/>
        <v>Ausgaben</v>
      </c>
      <c r="E146" t="str">
        <f t="shared" si="32"/>
        <v>Pflichversicherungsbeiträge</v>
      </c>
      <c r="F146" s="117">
        <f t="shared" si="33"/>
        <v>4.0999999999999996</v>
      </c>
      <c r="G146" t="str">
        <f t="shared" si="34"/>
        <v>0%</v>
      </c>
      <c r="I146" s="53">
        <v>2022</v>
      </c>
      <c r="J146" s="53">
        <v>145</v>
      </c>
      <c r="K146" s="71" t="s">
        <v>105</v>
      </c>
      <c r="L146" t="s">
        <v>695</v>
      </c>
      <c r="M146" s="9">
        <v>11561270283</v>
      </c>
      <c r="N146" s="1">
        <v>44836</v>
      </c>
      <c r="O146" t="s">
        <v>952</v>
      </c>
      <c r="Q146" s="76"/>
      <c r="R146" t="b">
        <v>0</v>
      </c>
      <c r="S146" s="48">
        <v>4.0999999999999996</v>
      </c>
      <c r="T146" s="72">
        <v>1</v>
      </c>
      <c r="U146">
        <v>0</v>
      </c>
      <c r="V146" s="31">
        <v>0</v>
      </c>
      <c r="W146" s="31">
        <v>0</v>
      </c>
      <c r="X146" s="33">
        <v>4.0999999999999996</v>
      </c>
      <c r="Y146" s="29">
        <v>4.0999999999999996</v>
      </c>
      <c r="Z146" s="29">
        <v>4.0999999999999996</v>
      </c>
      <c r="AA146" s="35">
        <v>44972</v>
      </c>
      <c r="AB146" s="27"/>
      <c r="AC146" s="27"/>
      <c r="AD146" s="58">
        <v>4.0999999999999996</v>
      </c>
      <c r="AE146" s="31">
        <v>0</v>
      </c>
      <c r="AF146" t="b">
        <v>0</v>
      </c>
      <c r="AG146" s="78">
        <v>-4.0999999999999996</v>
      </c>
    </row>
    <row r="147" spans="1:33" x14ac:dyDescent="0.25">
      <c r="A147" t="str">
        <f t="shared" si="28"/>
        <v>2022-146</v>
      </c>
      <c r="B147" s="1">
        <f t="shared" si="29"/>
        <v>44837</v>
      </c>
      <c r="C147" t="str">
        <f t="shared" si="30"/>
        <v>12022020/Kolbitsch Engineering &amp; Consulting KNr 45</v>
      </c>
      <c r="D147" t="str">
        <f t="shared" si="31"/>
        <v>Einnahmen</v>
      </c>
      <c r="E147" t="str">
        <f t="shared" si="32"/>
        <v>Waren-/Leistungserlöse</v>
      </c>
      <c r="F147" s="117">
        <f t="shared" si="33"/>
        <v>274.5</v>
      </c>
      <c r="G147" t="str">
        <f t="shared" si="34"/>
        <v>20%</v>
      </c>
      <c r="I147" s="53">
        <v>2022</v>
      </c>
      <c r="J147" s="53">
        <v>146</v>
      </c>
      <c r="K147" s="71" t="s">
        <v>708</v>
      </c>
      <c r="L147" t="s">
        <v>709</v>
      </c>
      <c r="M147" s="9" t="s">
        <v>1691</v>
      </c>
      <c r="N147" s="1">
        <v>44837</v>
      </c>
      <c r="O147" t="s">
        <v>1513</v>
      </c>
      <c r="Q147" s="76"/>
      <c r="R147" t="b">
        <v>0</v>
      </c>
      <c r="S147" s="48">
        <v>228.75</v>
      </c>
      <c r="T147" s="72">
        <v>1</v>
      </c>
      <c r="U147">
        <v>20</v>
      </c>
      <c r="V147" s="31">
        <v>45.75</v>
      </c>
      <c r="W147" s="31">
        <v>45.75</v>
      </c>
      <c r="X147" s="33">
        <v>228.75</v>
      </c>
      <c r="Y147" s="29">
        <v>274.5</v>
      </c>
      <c r="Z147" s="29">
        <v>274.5</v>
      </c>
      <c r="AA147" s="35">
        <v>44972</v>
      </c>
      <c r="AB147" s="27"/>
      <c r="AC147" s="27"/>
      <c r="AD147" s="58">
        <v>228.75</v>
      </c>
      <c r="AE147" s="31">
        <v>0</v>
      </c>
      <c r="AF147" t="b">
        <v>0</v>
      </c>
      <c r="AG147" s="78">
        <v>228.75</v>
      </c>
    </row>
    <row r="148" spans="1:33" x14ac:dyDescent="0.25">
      <c r="A148" t="str">
        <f t="shared" si="28"/>
        <v>2022-147</v>
      </c>
      <c r="B148" s="1">
        <f t="shared" si="29"/>
        <v>44837</v>
      </c>
      <c r="C148" t="str">
        <f t="shared" si="30"/>
        <v>12022019/ZT DI Dr. Arno Kolbitsch, Gütleweg 1, 6822 Satteins</v>
      </c>
      <c r="D148" t="str">
        <f t="shared" si="31"/>
        <v>Einnahmen</v>
      </c>
      <c r="E148" t="str">
        <f t="shared" si="32"/>
        <v>Waren-/Leistungserlöse</v>
      </c>
      <c r="F148" s="117">
        <f t="shared" si="33"/>
        <v>2532.3360000000002</v>
      </c>
      <c r="G148" t="str">
        <f t="shared" si="34"/>
        <v>20%</v>
      </c>
      <c r="I148" s="53">
        <v>2022</v>
      </c>
      <c r="J148" s="53">
        <v>147</v>
      </c>
      <c r="K148" s="71" t="s">
        <v>708</v>
      </c>
      <c r="L148" t="s">
        <v>709</v>
      </c>
      <c r="M148" s="6">
        <v>12022019</v>
      </c>
      <c r="N148" s="1">
        <v>44837</v>
      </c>
      <c r="O148" t="s">
        <v>1038</v>
      </c>
      <c r="Q148" s="76"/>
      <c r="R148" t="b">
        <v>0</v>
      </c>
      <c r="S148" s="48">
        <v>2110.2800000000002</v>
      </c>
      <c r="T148" s="72">
        <v>1</v>
      </c>
      <c r="U148">
        <v>20</v>
      </c>
      <c r="V148" s="31">
        <v>422.05600000000004</v>
      </c>
      <c r="W148" s="31">
        <v>422.05600000000004</v>
      </c>
      <c r="X148" s="33">
        <v>2110.2800000000002</v>
      </c>
      <c r="Y148" s="29">
        <v>2532.3360000000002</v>
      </c>
      <c r="Z148" s="29">
        <v>2532.3360000000002</v>
      </c>
      <c r="AA148" s="35">
        <v>44972</v>
      </c>
      <c r="AB148" s="27"/>
      <c r="AC148" s="27"/>
      <c r="AD148" s="58">
        <v>2110.2800000000002</v>
      </c>
      <c r="AE148" s="31">
        <v>0</v>
      </c>
      <c r="AF148" t="b">
        <v>0</v>
      </c>
      <c r="AG148" s="78">
        <v>2110.2800000000002</v>
      </c>
    </row>
    <row r="149" spans="1:33" x14ac:dyDescent="0.25">
      <c r="A149" t="str">
        <f t="shared" si="28"/>
        <v>2022-148</v>
      </c>
      <c r="B149" s="1">
        <f t="shared" si="29"/>
        <v>44837</v>
      </c>
      <c r="C149" t="str">
        <f t="shared" si="30"/>
        <v>/Bontus Immobilienverwaltung GmbH, 1010 Wien, Franz Josefs Kai 65</v>
      </c>
      <c r="D149" t="str">
        <f t="shared" si="31"/>
        <v>Ausgaben</v>
      </c>
      <c r="E149" t="str">
        <f t="shared" si="32"/>
        <v>Miet- und Pachtaufwand, Leasing</v>
      </c>
      <c r="F149" s="117">
        <f t="shared" si="33"/>
        <v>606.78</v>
      </c>
      <c r="G149" t="str">
        <f t="shared" si="34"/>
        <v>20%</v>
      </c>
      <c r="I149" s="53">
        <v>2022</v>
      </c>
      <c r="J149" s="53">
        <v>148</v>
      </c>
      <c r="K149" s="71" t="s">
        <v>105</v>
      </c>
      <c r="L149" t="s">
        <v>691</v>
      </c>
      <c r="M149" s="9"/>
      <c r="N149" s="1">
        <v>44837</v>
      </c>
      <c r="O149" t="s">
        <v>1113</v>
      </c>
      <c r="Q149" s="76"/>
      <c r="R149" t="b">
        <v>0</v>
      </c>
      <c r="S149" s="109">
        <v>505.65</v>
      </c>
      <c r="T149" s="72">
        <v>1</v>
      </c>
      <c r="U149">
        <v>20</v>
      </c>
      <c r="V149" s="31">
        <v>101.13</v>
      </c>
      <c r="W149" s="31">
        <v>101.13</v>
      </c>
      <c r="X149" s="33">
        <v>505.65</v>
      </c>
      <c r="Y149" s="29">
        <v>606.78</v>
      </c>
      <c r="Z149" s="29">
        <v>606.78</v>
      </c>
      <c r="AA149" s="35">
        <v>44972</v>
      </c>
      <c r="AB149" s="27"/>
      <c r="AC149" s="27"/>
      <c r="AD149" s="58">
        <v>505.65</v>
      </c>
      <c r="AE149" s="31">
        <v>0</v>
      </c>
      <c r="AF149" t="b">
        <v>0</v>
      </c>
      <c r="AG149" s="78">
        <v>-505.65</v>
      </c>
    </row>
    <row r="150" spans="1:33" x14ac:dyDescent="0.25">
      <c r="A150" t="str">
        <f t="shared" si="28"/>
        <v>2022-149</v>
      </c>
      <c r="B150" s="1">
        <f t="shared" si="29"/>
        <v>44837</v>
      </c>
      <c r="C150" t="str">
        <f t="shared" si="30"/>
        <v>4293000000027958/car2go Österreich GmbH, Hintere Zollamtstraße 9, 1030 Wien</v>
      </c>
      <c r="D150" t="str">
        <f t="shared" si="31"/>
        <v>Ausgaben</v>
      </c>
      <c r="E150" t="str">
        <f t="shared" si="32"/>
        <v>Reise- und Fahrtspesen inkl. Kilometergeld und Diäten</v>
      </c>
      <c r="F150" s="117">
        <f t="shared" si="33"/>
        <v>49.835999999999999</v>
      </c>
      <c r="G150" t="str">
        <f t="shared" si="34"/>
        <v>20%</v>
      </c>
      <c r="I150" s="53">
        <v>2022</v>
      </c>
      <c r="J150" s="53">
        <v>149</v>
      </c>
      <c r="K150" s="71" t="s">
        <v>105</v>
      </c>
      <c r="L150" t="s">
        <v>689</v>
      </c>
      <c r="M150" s="131" t="s">
        <v>1692</v>
      </c>
      <c r="N150" s="1">
        <v>44837</v>
      </c>
      <c r="O150" t="s">
        <v>974</v>
      </c>
      <c r="Q150" s="76"/>
      <c r="R150" t="b">
        <v>0</v>
      </c>
      <c r="S150" s="48">
        <v>41.53</v>
      </c>
      <c r="T150" s="72">
        <v>1</v>
      </c>
      <c r="U150">
        <v>20</v>
      </c>
      <c r="V150" s="31">
        <v>8.3060000000000009</v>
      </c>
      <c r="W150" s="31">
        <v>8.3060000000000009</v>
      </c>
      <c r="X150" s="33">
        <v>41.53</v>
      </c>
      <c r="Y150" s="29">
        <v>49.835999999999999</v>
      </c>
      <c r="Z150" s="29">
        <v>49.835999999999999</v>
      </c>
      <c r="AA150" s="35">
        <v>44972</v>
      </c>
      <c r="AB150" s="27"/>
      <c r="AC150" s="27"/>
      <c r="AD150" s="58">
        <v>41.53</v>
      </c>
      <c r="AE150" s="31">
        <v>0</v>
      </c>
      <c r="AF150" t="b">
        <v>0</v>
      </c>
      <c r="AG150" s="78">
        <v>-41.53</v>
      </c>
    </row>
    <row r="151" spans="1:33" x14ac:dyDescent="0.25">
      <c r="A151" t="str">
        <f t="shared" si="28"/>
        <v>2022-150</v>
      </c>
      <c r="B151" s="1">
        <f t="shared" si="29"/>
        <v>44839</v>
      </c>
      <c r="C151" t="str">
        <f t="shared" si="30"/>
        <v>/Google Ireland Ltd, Gordon House, Barrow Street, Dublin 4, Ireland; VAT number: IE 6388047V</v>
      </c>
      <c r="D151" t="str">
        <f t="shared" si="31"/>
        <v>Ausgaben</v>
      </c>
      <c r="E151" t="str">
        <f t="shared" si="32"/>
        <v>sonstige Betriebsausgaben</v>
      </c>
      <c r="F151" s="117">
        <f t="shared" si="33"/>
        <v>9.36</v>
      </c>
      <c r="G151" t="str">
        <f t="shared" si="34"/>
        <v>0%</v>
      </c>
      <c r="I151" s="53">
        <v>2022</v>
      </c>
      <c r="J151" s="53">
        <v>150</v>
      </c>
      <c r="K151" s="71" t="s">
        <v>105</v>
      </c>
      <c r="L151" t="s">
        <v>705</v>
      </c>
      <c r="M151" s="9"/>
      <c r="N151" s="1">
        <v>44839</v>
      </c>
      <c r="O151" t="s">
        <v>1404</v>
      </c>
      <c r="Q151" s="76"/>
      <c r="R151" t="b">
        <v>0</v>
      </c>
      <c r="S151" s="109">
        <v>9.36</v>
      </c>
      <c r="T151" s="72">
        <v>1</v>
      </c>
      <c r="U151">
        <v>0</v>
      </c>
      <c r="V151" s="31">
        <v>0</v>
      </c>
      <c r="W151" s="31">
        <v>0</v>
      </c>
      <c r="X151" s="33">
        <v>9.36</v>
      </c>
      <c r="Y151" s="29">
        <v>9.36</v>
      </c>
      <c r="Z151" s="29">
        <v>9.36</v>
      </c>
      <c r="AA151" s="35">
        <v>44972</v>
      </c>
      <c r="AB151" s="27"/>
      <c r="AC151" s="27">
        <v>20</v>
      </c>
      <c r="AD151" s="58">
        <v>9.36</v>
      </c>
      <c r="AE151" s="31">
        <v>1.8719999999999999</v>
      </c>
      <c r="AF151" t="b">
        <v>0</v>
      </c>
      <c r="AG151" s="78">
        <v>-9.36</v>
      </c>
    </row>
    <row r="152" spans="1:33" x14ac:dyDescent="0.25">
      <c r="A152" t="str">
        <f t="shared" si="28"/>
        <v>2022-151</v>
      </c>
      <c r="B152" s="1">
        <f t="shared" si="29"/>
        <v>44838</v>
      </c>
      <c r="C152" t="str">
        <f t="shared" si="30"/>
        <v>/Österreichische Gesundheitskasse, Beiträge Eva Jaros-Kolbitsch 2022/9-12 (im 1. Monat nur UV, ab dem 2. Monat BV+UV)</v>
      </c>
      <c r="D152" t="str">
        <f t="shared" si="31"/>
        <v>Ausgaben</v>
      </c>
      <c r="E152" t="str">
        <f t="shared" si="32"/>
        <v>Personalaufwand</v>
      </c>
      <c r="F152" s="117">
        <f t="shared" si="33"/>
        <v>34.270000000000003</v>
      </c>
      <c r="G152" t="str">
        <f t="shared" si="34"/>
        <v>0%</v>
      </c>
      <c r="I152" s="53">
        <v>2022</v>
      </c>
      <c r="J152" s="53">
        <v>151</v>
      </c>
      <c r="K152" s="71" t="s">
        <v>105</v>
      </c>
      <c r="L152" t="s">
        <v>685</v>
      </c>
      <c r="M152" s="9"/>
      <c r="N152" s="1">
        <v>44838</v>
      </c>
      <c r="O152" t="s">
        <v>1693</v>
      </c>
      <c r="Q152" s="76"/>
      <c r="R152" t="b">
        <v>0</v>
      </c>
      <c r="S152" s="109">
        <v>34.270000000000003</v>
      </c>
      <c r="T152" s="72">
        <v>1</v>
      </c>
      <c r="U152">
        <v>0</v>
      </c>
      <c r="V152" s="31">
        <v>0</v>
      </c>
      <c r="W152" s="31">
        <v>0</v>
      </c>
      <c r="X152" s="33">
        <v>34.270000000000003</v>
      </c>
      <c r="Y152" s="29">
        <v>34.270000000000003</v>
      </c>
      <c r="Z152" s="29">
        <v>34.270000000000003</v>
      </c>
      <c r="AA152" s="35">
        <v>44972</v>
      </c>
      <c r="AB152" s="27"/>
      <c r="AC152" s="27"/>
      <c r="AD152" s="58">
        <v>34.270000000000003</v>
      </c>
      <c r="AE152" s="31">
        <v>0</v>
      </c>
      <c r="AF152" t="b">
        <v>0</v>
      </c>
      <c r="AG152" s="78">
        <v>-34.270000000000003</v>
      </c>
    </row>
    <row r="153" spans="1:33" x14ac:dyDescent="0.25">
      <c r="A153" t="str">
        <f t="shared" si="28"/>
        <v>2022-152</v>
      </c>
      <c r="B153" s="1">
        <f t="shared" si="29"/>
        <v>44838</v>
      </c>
      <c r="C153" t="str">
        <f t="shared" si="30"/>
        <v>/Hutchison Drei Austria GmbH, Brünner Straße 52, 1210 Wien, Österreich</v>
      </c>
      <c r="D153" t="str">
        <f t="shared" si="31"/>
        <v>Ausgaben</v>
      </c>
      <c r="E153" t="str">
        <f t="shared" si="32"/>
        <v>Telefon/Internet</v>
      </c>
      <c r="F153" s="117">
        <f t="shared" si="33"/>
        <v>18</v>
      </c>
      <c r="G153" t="str">
        <f t="shared" si="34"/>
        <v>20%</v>
      </c>
      <c r="I153" s="53">
        <v>2022</v>
      </c>
      <c r="J153" s="53">
        <v>152</v>
      </c>
      <c r="K153" s="71" t="s">
        <v>105</v>
      </c>
      <c r="L153" t="s">
        <v>703</v>
      </c>
      <c r="M153" s="9"/>
      <c r="N153" s="1">
        <v>44838</v>
      </c>
      <c r="O153" t="s">
        <v>34</v>
      </c>
      <c r="Q153" s="76"/>
      <c r="R153" t="b">
        <v>0</v>
      </c>
      <c r="S153" s="48">
        <v>15</v>
      </c>
      <c r="T153" s="72">
        <v>1</v>
      </c>
      <c r="U153">
        <v>20</v>
      </c>
      <c r="V153" s="31">
        <v>3</v>
      </c>
      <c r="W153" s="31">
        <v>3</v>
      </c>
      <c r="X153" s="33">
        <v>15</v>
      </c>
      <c r="Y153" s="29">
        <v>18</v>
      </c>
      <c r="Z153" s="29">
        <v>18</v>
      </c>
      <c r="AA153" s="35">
        <v>44972</v>
      </c>
      <c r="AB153" s="27"/>
      <c r="AC153" s="27"/>
      <c r="AD153" s="58">
        <v>15</v>
      </c>
      <c r="AE153" s="31">
        <v>0</v>
      </c>
      <c r="AF153" t="b">
        <v>0</v>
      </c>
      <c r="AG153" s="78">
        <v>-15</v>
      </c>
    </row>
    <row r="154" spans="1:33" x14ac:dyDescent="0.25">
      <c r="A154" t="str">
        <f t="shared" si="28"/>
        <v>2022-153</v>
      </c>
      <c r="B154" s="1">
        <f t="shared" si="29"/>
        <v>44839</v>
      </c>
      <c r="C154" t="str">
        <f t="shared" si="30"/>
        <v>BELEG FEHLT/Techem Messtechnik GmbH; Abnehmernummer 501686-0003-11-</v>
      </c>
      <c r="D154" t="str">
        <f t="shared" si="31"/>
        <v>Ausgaben</v>
      </c>
      <c r="E154" t="str">
        <f t="shared" si="32"/>
        <v>Miet- und Pachtaufwand, Leasing</v>
      </c>
      <c r="F154" s="117">
        <f t="shared" si="33"/>
        <v>147.12</v>
      </c>
      <c r="G154" t="str">
        <f t="shared" si="34"/>
        <v>20%</v>
      </c>
      <c r="I154" s="53">
        <v>2022</v>
      </c>
      <c r="J154" s="53">
        <v>153</v>
      </c>
      <c r="K154" s="71" t="s">
        <v>105</v>
      </c>
      <c r="L154" t="s">
        <v>691</v>
      </c>
      <c r="M154" s="61" t="s">
        <v>1064</v>
      </c>
      <c r="N154" s="1">
        <v>44839</v>
      </c>
      <c r="O154" t="s">
        <v>1558</v>
      </c>
      <c r="Q154" s="76"/>
      <c r="R154" t="b">
        <v>0</v>
      </c>
      <c r="S154" s="109">
        <v>122.6</v>
      </c>
      <c r="T154" s="72">
        <v>1</v>
      </c>
      <c r="U154">
        <v>20</v>
      </c>
      <c r="V154" s="31">
        <v>24.52</v>
      </c>
      <c r="W154" s="31">
        <v>24.52</v>
      </c>
      <c r="X154" s="33">
        <v>122.6</v>
      </c>
      <c r="Y154" s="29">
        <v>147.12</v>
      </c>
      <c r="Z154" s="29">
        <v>147.12</v>
      </c>
      <c r="AA154" s="35">
        <v>44972</v>
      </c>
      <c r="AB154" s="27"/>
      <c r="AC154" s="27"/>
      <c r="AD154" s="58">
        <v>122.6</v>
      </c>
      <c r="AE154" s="31">
        <v>0</v>
      </c>
      <c r="AF154" t="b">
        <v>0</v>
      </c>
      <c r="AG154" s="78">
        <v>-122.6</v>
      </c>
    </row>
    <row r="155" spans="1:33" x14ac:dyDescent="0.25">
      <c r="A155" t="str">
        <f t="shared" si="28"/>
        <v>2022-154</v>
      </c>
      <c r="B155" s="1">
        <f t="shared" si="29"/>
        <v>44840</v>
      </c>
      <c r="C155" t="str">
        <f t="shared" si="30"/>
        <v>siehe Jahresabrechnung/go green energy GmbH &amp; Co KG</v>
      </c>
      <c r="D155" t="str">
        <f t="shared" si="31"/>
        <v>Ausgaben</v>
      </c>
      <c r="E155" t="str">
        <f t="shared" si="32"/>
        <v>sonstige Betriebsausgaben</v>
      </c>
      <c r="F155" s="117">
        <f t="shared" si="33"/>
        <v>3</v>
      </c>
      <c r="G155" t="str">
        <f t="shared" si="34"/>
        <v>20%</v>
      </c>
      <c r="I155" s="53">
        <v>2022</v>
      </c>
      <c r="J155" s="53">
        <v>154</v>
      </c>
      <c r="K155" s="71" t="s">
        <v>105</v>
      </c>
      <c r="L155" t="s">
        <v>705</v>
      </c>
      <c r="M155" s="153" t="s">
        <v>1698</v>
      </c>
      <c r="N155" s="1">
        <v>44840</v>
      </c>
      <c r="O155" t="s">
        <v>1670</v>
      </c>
      <c r="Q155" s="76"/>
      <c r="R155" t="b">
        <v>0</v>
      </c>
      <c r="S155" s="109">
        <v>2.5</v>
      </c>
      <c r="T155" s="72">
        <v>1</v>
      </c>
      <c r="U155">
        <v>20</v>
      </c>
      <c r="V155" s="31">
        <v>0.5</v>
      </c>
      <c r="W155" s="31">
        <v>0.5</v>
      </c>
      <c r="X155" s="33">
        <v>2.5</v>
      </c>
      <c r="Y155" s="29">
        <v>3</v>
      </c>
      <c r="Z155" s="29">
        <v>3</v>
      </c>
      <c r="AA155" s="35">
        <v>44972</v>
      </c>
      <c r="AB155" s="27"/>
      <c r="AC155" s="27"/>
      <c r="AD155" s="58">
        <v>2.5</v>
      </c>
      <c r="AE155" s="31">
        <v>0</v>
      </c>
      <c r="AF155" t="b">
        <v>0</v>
      </c>
      <c r="AG155" s="78">
        <v>-2.5</v>
      </c>
    </row>
    <row r="156" spans="1:33" x14ac:dyDescent="0.25">
      <c r="A156" t="str">
        <f t="shared" si="28"/>
        <v>2022-155</v>
      </c>
      <c r="B156" s="1">
        <f t="shared" si="29"/>
        <v>44836</v>
      </c>
      <c r="C156" t="str">
        <f t="shared" si="30"/>
        <v>/Martin Dürauer e.U., Schreinergasse 7/1, A-3100 St. Pölten</v>
      </c>
      <c r="D156" t="str">
        <f t="shared" si="31"/>
        <v>Ausgaben</v>
      </c>
      <c r="E156" t="str">
        <f t="shared" si="32"/>
        <v>sonstige Betriebsausgaben</v>
      </c>
      <c r="F156" s="117">
        <f t="shared" si="33"/>
        <v>380</v>
      </c>
      <c r="G156" t="str">
        <f t="shared" si="34"/>
        <v>0%</v>
      </c>
      <c r="I156" s="53">
        <v>2022</v>
      </c>
      <c r="J156" s="53">
        <v>155</v>
      </c>
      <c r="K156" s="71" t="s">
        <v>105</v>
      </c>
      <c r="L156" t="s">
        <v>705</v>
      </c>
      <c r="M156" s="9"/>
      <c r="N156" s="1">
        <v>44836</v>
      </c>
      <c r="O156" t="s">
        <v>1217</v>
      </c>
      <c r="Q156" s="76"/>
      <c r="R156" t="b">
        <v>0</v>
      </c>
      <c r="S156" s="48">
        <v>380</v>
      </c>
      <c r="T156" s="72">
        <v>1</v>
      </c>
      <c r="U156">
        <v>0</v>
      </c>
      <c r="V156" s="31">
        <v>0</v>
      </c>
      <c r="W156" s="31">
        <v>0</v>
      </c>
      <c r="X156" s="33">
        <v>380</v>
      </c>
      <c r="Y156" s="29">
        <v>380</v>
      </c>
      <c r="Z156" s="29">
        <v>380</v>
      </c>
      <c r="AA156" s="35">
        <v>44972</v>
      </c>
      <c r="AB156" s="27"/>
      <c r="AC156" s="27"/>
      <c r="AD156" s="58">
        <v>380</v>
      </c>
      <c r="AE156" s="31">
        <v>0</v>
      </c>
      <c r="AF156" t="b">
        <v>0</v>
      </c>
      <c r="AG156" s="78">
        <v>-380</v>
      </c>
    </row>
    <row r="157" spans="1:33" x14ac:dyDescent="0.25">
      <c r="A157" t="str">
        <f t="shared" si="28"/>
        <v>2022-156</v>
      </c>
      <c r="B157" s="1">
        <f t="shared" si="29"/>
        <v>44844</v>
      </c>
      <c r="C157" t="str">
        <f t="shared" si="30"/>
        <v>BELEG FEHLT/Wiener Netze GmbH, Erdbergstraße 236, 1110 Wien, Postfach 422; Jahresabrechnung vom 17.12.20: GUTSCHRIFT</v>
      </c>
      <c r="D157" t="str">
        <f t="shared" si="31"/>
        <v>Ausgaben</v>
      </c>
      <c r="E157" t="str">
        <f t="shared" si="32"/>
        <v>sonstige Betriebsausgaben</v>
      </c>
      <c r="F157" s="117">
        <f t="shared" si="33"/>
        <v>13.2</v>
      </c>
      <c r="G157" t="str">
        <f t="shared" si="34"/>
        <v>20%</v>
      </c>
      <c r="I157" s="53">
        <v>2022</v>
      </c>
      <c r="J157" s="53">
        <v>156</v>
      </c>
      <c r="K157" s="71" t="s">
        <v>105</v>
      </c>
      <c r="L157" t="s">
        <v>705</v>
      </c>
      <c r="M157" s="61" t="s">
        <v>1064</v>
      </c>
      <c r="N157" s="1">
        <v>44844</v>
      </c>
      <c r="O157" t="s">
        <v>1466</v>
      </c>
      <c r="Q157" s="76"/>
      <c r="R157" t="b">
        <v>0</v>
      </c>
      <c r="S157" s="48">
        <v>11</v>
      </c>
      <c r="T157" s="72">
        <v>1</v>
      </c>
      <c r="U157">
        <v>20</v>
      </c>
      <c r="V157" s="31">
        <v>2.2000000000000002</v>
      </c>
      <c r="W157" s="31">
        <v>2.2000000000000002</v>
      </c>
      <c r="X157" s="33">
        <v>11</v>
      </c>
      <c r="Y157" s="29">
        <v>13.2</v>
      </c>
      <c r="Z157" s="29">
        <v>13.2</v>
      </c>
      <c r="AA157" s="35">
        <v>44972</v>
      </c>
      <c r="AB157" s="27"/>
      <c r="AC157" s="27"/>
      <c r="AD157" s="58">
        <v>11</v>
      </c>
      <c r="AE157" s="31">
        <v>0</v>
      </c>
      <c r="AF157" t="b">
        <v>0</v>
      </c>
      <c r="AG157" s="78">
        <v>-11</v>
      </c>
    </row>
    <row r="158" spans="1:33" x14ac:dyDescent="0.25">
      <c r="A158" t="str">
        <f t="shared" si="28"/>
        <v>2022-157</v>
      </c>
      <c r="B158" s="1">
        <f t="shared" si="29"/>
        <v>44847</v>
      </c>
      <c r="C158" t="str">
        <f t="shared" si="30"/>
        <v>/Hetzner Online GmbH</v>
      </c>
      <c r="D158" t="str">
        <f t="shared" si="31"/>
        <v>Ausgaben</v>
      </c>
      <c r="E158" t="str">
        <f t="shared" si="32"/>
        <v>sonstige Betriebsausgaben</v>
      </c>
      <c r="F158" s="117">
        <f t="shared" si="33"/>
        <v>47.776499999999999</v>
      </c>
      <c r="G158" t="str">
        <f t="shared" si="34"/>
        <v>0%</v>
      </c>
      <c r="I158" s="53">
        <v>2022</v>
      </c>
      <c r="J158" s="53">
        <v>157</v>
      </c>
      <c r="K158" s="71" t="s">
        <v>105</v>
      </c>
      <c r="L158" t="s">
        <v>705</v>
      </c>
      <c r="M158" s="9"/>
      <c r="N158" s="1">
        <v>44847</v>
      </c>
      <c r="O158" t="s">
        <v>927</v>
      </c>
      <c r="Q158" s="76"/>
      <c r="R158" t="b">
        <v>0</v>
      </c>
      <c r="S158" s="48">
        <v>47.776499999999999</v>
      </c>
      <c r="T158" s="72">
        <v>1</v>
      </c>
      <c r="U158">
        <v>0</v>
      </c>
      <c r="V158" s="31">
        <v>0</v>
      </c>
      <c r="W158" s="31">
        <v>0</v>
      </c>
      <c r="X158" s="33">
        <v>47.776499999999999</v>
      </c>
      <c r="Y158" s="29">
        <v>47.776499999999999</v>
      </c>
      <c r="Z158" s="29">
        <v>47.776499999999999</v>
      </c>
      <c r="AA158" s="35">
        <v>44972</v>
      </c>
      <c r="AB158" s="27"/>
      <c r="AC158" s="27">
        <v>20</v>
      </c>
      <c r="AD158" s="58">
        <v>47.776499999999999</v>
      </c>
      <c r="AE158" s="31">
        <v>9.5553000000000008</v>
      </c>
      <c r="AF158" t="b">
        <v>0</v>
      </c>
      <c r="AG158" s="78">
        <v>-47.776499999999999</v>
      </c>
    </row>
    <row r="159" spans="1:33" x14ac:dyDescent="0.25">
      <c r="A159" t="str">
        <f t="shared" si="28"/>
        <v>2022-158</v>
      </c>
      <c r="B159" s="1">
        <f t="shared" si="29"/>
        <v>44848</v>
      </c>
      <c r="C159" t="str">
        <f t="shared" si="30"/>
        <v>12021026/Musikschule Bad Vöslau, Hauptstraße 14, 2540 Bad Vöslau</v>
      </c>
      <c r="D159" t="str">
        <f t="shared" si="31"/>
        <v>Einnahmen</v>
      </c>
      <c r="E159" t="str">
        <f t="shared" si="32"/>
        <v>Waren-/Leistungserlöse</v>
      </c>
      <c r="F159" s="117">
        <f t="shared" si="33"/>
        <v>165.6</v>
      </c>
      <c r="G159" t="str">
        <f t="shared" si="34"/>
        <v>20%</v>
      </c>
      <c r="I159" s="53">
        <v>2022</v>
      </c>
      <c r="J159" s="53">
        <v>158</v>
      </c>
      <c r="K159" s="71" t="s">
        <v>708</v>
      </c>
      <c r="L159" t="s">
        <v>709</v>
      </c>
      <c r="M159" s="9">
        <v>12021026</v>
      </c>
      <c r="N159" s="1">
        <v>44848</v>
      </c>
      <c r="O159" t="s">
        <v>1384</v>
      </c>
      <c r="Q159" s="76"/>
      <c r="R159" t="b">
        <v>0</v>
      </c>
      <c r="S159" s="48">
        <v>138</v>
      </c>
      <c r="T159" s="72">
        <v>1</v>
      </c>
      <c r="U159">
        <v>20</v>
      </c>
      <c r="V159" s="31">
        <v>27.6</v>
      </c>
      <c r="W159" s="31">
        <v>27.6</v>
      </c>
      <c r="X159" s="33">
        <v>138</v>
      </c>
      <c r="Y159" s="29">
        <v>165.6</v>
      </c>
      <c r="Z159" s="29">
        <v>165.6</v>
      </c>
      <c r="AA159" s="35">
        <v>44972</v>
      </c>
      <c r="AB159" s="27"/>
      <c r="AC159" s="27"/>
      <c r="AD159" s="58">
        <v>138</v>
      </c>
      <c r="AE159" s="31">
        <v>0</v>
      </c>
      <c r="AF159" t="b">
        <v>0</v>
      </c>
      <c r="AG159" s="78">
        <v>138</v>
      </c>
    </row>
    <row r="160" spans="1:33" x14ac:dyDescent="0.25">
      <c r="A160" t="str">
        <f t="shared" si="28"/>
        <v>2022-159</v>
      </c>
      <c r="B160" s="1">
        <f t="shared" si="29"/>
        <v>44848</v>
      </c>
      <c r="C160" t="str">
        <f t="shared" si="30"/>
        <v>168045568/Hays Österreich GmbH, Bahnhof City Wien West , Europaplatz 3/5, 1150 Wien</v>
      </c>
      <c r="D160" t="str">
        <f t="shared" si="31"/>
        <v>Einnahmen</v>
      </c>
      <c r="E160" t="str">
        <f t="shared" si="32"/>
        <v>Waren-/Leistungserlöse</v>
      </c>
      <c r="F160" s="117">
        <f t="shared" si="33"/>
        <v>24166.799999999999</v>
      </c>
      <c r="G160" t="str">
        <f t="shared" si="34"/>
        <v>20%</v>
      </c>
      <c r="I160" s="53">
        <v>2022</v>
      </c>
      <c r="J160" s="53">
        <v>159</v>
      </c>
      <c r="K160" s="71" t="s">
        <v>708</v>
      </c>
      <c r="L160" t="s">
        <v>709</v>
      </c>
      <c r="M160">
        <v>168045568</v>
      </c>
      <c r="N160" s="1">
        <v>44848</v>
      </c>
      <c r="O160" t="s">
        <v>1652</v>
      </c>
      <c r="Q160" s="76"/>
      <c r="R160" t="b">
        <v>0</v>
      </c>
      <c r="S160" s="48">
        <v>20139</v>
      </c>
      <c r="T160" s="72">
        <v>1</v>
      </c>
      <c r="U160">
        <v>20</v>
      </c>
      <c r="V160" s="31">
        <v>4027.8</v>
      </c>
      <c r="W160" s="31">
        <v>4027.8</v>
      </c>
      <c r="X160" s="33">
        <v>20139</v>
      </c>
      <c r="Y160" s="29">
        <v>24166.799999999999</v>
      </c>
      <c r="Z160" s="29">
        <v>24166.799999999999</v>
      </c>
      <c r="AA160" s="35">
        <v>44972</v>
      </c>
      <c r="AB160" s="27"/>
      <c r="AC160" s="27"/>
      <c r="AD160" s="58">
        <v>20139</v>
      </c>
      <c r="AE160" s="31">
        <v>0</v>
      </c>
      <c r="AF160" t="b">
        <v>0</v>
      </c>
      <c r="AG160" s="78">
        <v>20139</v>
      </c>
    </row>
    <row r="161" spans="1:33" x14ac:dyDescent="0.25">
      <c r="A161" t="str">
        <f t="shared" si="28"/>
        <v>2022-160</v>
      </c>
      <c r="B161" s="1">
        <f t="shared" si="29"/>
        <v>44851</v>
      </c>
      <c r="C161" t="str">
        <f t="shared" si="30"/>
        <v>siehe 2022-140/Honorar Eva Jaros-Kolbitsch</v>
      </c>
      <c r="D161" t="str">
        <f t="shared" si="31"/>
        <v>Ausgaben</v>
      </c>
      <c r="E161" t="str">
        <f t="shared" si="32"/>
        <v>Personalaufwand</v>
      </c>
      <c r="F161" s="117">
        <f t="shared" si="33"/>
        <v>365</v>
      </c>
      <c r="G161" t="str">
        <f t="shared" si="34"/>
        <v>0%</v>
      </c>
      <c r="I161" s="53">
        <v>2022</v>
      </c>
      <c r="J161" s="53">
        <v>160</v>
      </c>
      <c r="K161" s="71" t="s">
        <v>105</v>
      </c>
      <c r="L161" t="s">
        <v>685</v>
      </c>
      <c r="M161" s="9" t="s">
        <v>1699</v>
      </c>
      <c r="N161" s="1">
        <v>44851</v>
      </c>
      <c r="O161" t="s">
        <v>1689</v>
      </c>
      <c r="Q161" s="76"/>
      <c r="R161" t="b">
        <v>0</v>
      </c>
      <c r="S161" s="48">
        <v>365</v>
      </c>
      <c r="T161" s="72">
        <v>1</v>
      </c>
      <c r="U161">
        <v>0</v>
      </c>
      <c r="V161" s="31">
        <v>0</v>
      </c>
      <c r="W161" s="31">
        <v>0</v>
      </c>
      <c r="X161" s="33">
        <v>365</v>
      </c>
      <c r="Y161" s="29">
        <v>365</v>
      </c>
      <c r="Z161" s="29">
        <v>365</v>
      </c>
      <c r="AA161" s="35">
        <v>44972</v>
      </c>
      <c r="AB161" s="27"/>
      <c r="AC161" s="27"/>
      <c r="AD161" s="58">
        <v>365</v>
      </c>
      <c r="AE161" s="31">
        <v>0</v>
      </c>
      <c r="AF161" t="b">
        <v>0</v>
      </c>
      <c r="AG161" s="78">
        <v>-365</v>
      </c>
    </row>
    <row r="162" spans="1:33" x14ac:dyDescent="0.25">
      <c r="A162" t="str">
        <f t="shared" ref="A162:A194" si="35">I162&amp;"-"&amp;J162</f>
        <v>2022-161</v>
      </c>
      <c r="B162" s="1">
        <f t="shared" ref="B162:B194" si="36">N162</f>
        <v>44853</v>
      </c>
      <c r="C162" t="str">
        <f t="shared" ref="C162:C194" si="37">M162&amp;"/"&amp;O162</f>
        <v>/Microsoft Ireland Operations Ltd. One Microsoft Place, South County, Business Park, Leopardstown, Dublin 18, D18 P521, Ireland</v>
      </c>
      <c r="D162" t="str">
        <f t="shared" ref="D162:D194" si="38">K162</f>
        <v>Ausgaben</v>
      </c>
      <c r="E162" t="str">
        <f t="shared" ref="E162:E194" si="39">L162</f>
        <v>sonstige Betriebsausgaben</v>
      </c>
      <c r="F162" s="117">
        <f t="shared" ref="F162:F194" si="40">Z162</f>
        <v>10.5</v>
      </c>
      <c r="G162" t="str">
        <f t="shared" ref="G162:G194" si="41">U162&amp;"%"</f>
        <v>0%</v>
      </c>
      <c r="I162" s="53">
        <v>2022</v>
      </c>
      <c r="J162" s="53">
        <v>161</v>
      </c>
      <c r="K162" s="71" t="s">
        <v>105</v>
      </c>
      <c r="L162" t="s">
        <v>705</v>
      </c>
      <c r="M162" s="6"/>
      <c r="N162" s="1">
        <v>44853</v>
      </c>
      <c r="O162" t="s">
        <v>1032</v>
      </c>
      <c r="Q162" s="76"/>
      <c r="R162" t="b">
        <v>0</v>
      </c>
      <c r="S162" s="48">
        <v>10.5</v>
      </c>
      <c r="T162" s="72">
        <v>1</v>
      </c>
      <c r="U162">
        <v>0</v>
      </c>
      <c r="V162" s="31">
        <v>0</v>
      </c>
      <c r="W162" s="31">
        <v>0</v>
      </c>
      <c r="X162" s="33">
        <v>10.5</v>
      </c>
      <c r="Y162" s="29">
        <v>10.5</v>
      </c>
      <c r="Z162" s="29">
        <v>10.5</v>
      </c>
      <c r="AA162" s="35">
        <v>44972</v>
      </c>
      <c r="AB162" s="27"/>
      <c r="AC162" s="27">
        <v>20</v>
      </c>
      <c r="AD162" s="58">
        <v>10.5</v>
      </c>
      <c r="AE162" s="31">
        <v>2.1</v>
      </c>
      <c r="AF162" t="b">
        <v>0</v>
      </c>
      <c r="AG162" s="78">
        <v>-10.5</v>
      </c>
    </row>
    <row r="163" spans="1:33" x14ac:dyDescent="0.25">
      <c r="A163" t="str">
        <f t="shared" si="35"/>
        <v>2022-162</v>
      </c>
      <c r="B163" s="1">
        <f t="shared" si="36"/>
        <v>44855</v>
      </c>
      <c r="C163" t="str">
        <f t="shared" si="37"/>
        <v>901154810922/Magenta: T-Mobile Austria GmbH, A-1120 Wien, PF 47</v>
      </c>
      <c r="D163" t="str">
        <f t="shared" si="38"/>
        <v>Ausgaben</v>
      </c>
      <c r="E163" t="str">
        <f t="shared" si="39"/>
        <v>Telefon/Internet</v>
      </c>
      <c r="F163" s="117">
        <f t="shared" si="40"/>
        <v>38.304000000000002</v>
      </c>
      <c r="G163" t="str">
        <f t="shared" si="41"/>
        <v>20%</v>
      </c>
      <c r="I163" s="53">
        <v>2022</v>
      </c>
      <c r="J163" s="53">
        <v>162</v>
      </c>
      <c r="K163" s="71" t="s">
        <v>105</v>
      </c>
      <c r="L163" t="s">
        <v>703</v>
      </c>
      <c r="M163" s="131" t="s">
        <v>1690</v>
      </c>
      <c r="N163" s="1">
        <v>44855</v>
      </c>
      <c r="O163" t="s">
        <v>1148</v>
      </c>
      <c r="Q163" s="76"/>
      <c r="R163" t="b">
        <v>0</v>
      </c>
      <c r="S163" s="48">
        <v>31.92</v>
      </c>
      <c r="T163" s="72">
        <v>1</v>
      </c>
      <c r="U163">
        <v>20</v>
      </c>
      <c r="V163" s="31">
        <v>6.3840000000000012</v>
      </c>
      <c r="W163" s="31">
        <v>6.3840000000000012</v>
      </c>
      <c r="X163" s="33">
        <v>31.92</v>
      </c>
      <c r="Y163" s="29">
        <v>38.304000000000002</v>
      </c>
      <c r="Z163" s="29">
        <v>38.304000000000002</v>
      </c>
      <c r="AA163" s="35">
        <v>44972</v>
      </c>
      <c r="AB163" s="27"/>
      <c r="AC163" s="27"/>
      <c r="AD163" s="58">
        <v>31.92</v>
      </c>
      <c r="AE163" s="31">
        <v>0</v>
      </c>
      <c r="AF163" t="b">
        <v>0</v>
      </c>
      <c r="AG163" s="78">
        <v>-31.92</v>
      </c>
    </row>
    <row r="164" spans="1:33" x14ac:dyDescent="0.25">
      <c r="A164" t="str">
        <f t="shared" si="35"/>
        <v>2022-163</v>
      </c>
      <c r="B164" s="1">
        <f t="shared" si="36"/>
        <v>44858</v>
      </c>
      <c r="C164" t="str">
        <f t="shared" si="37"/>
        <v>/A.P. Handelsges.m.b.H., Absberggasse 29/6, 1100 Wien</v>
      </c>
      <c r="D164" t="str">
        <f t="shared" si="38"/>
        <v>Ausgaben</v>
      </c>
      <c r="E164" t="str">
        <f t="shared" si="39"/>
        <v>Büromaterial</v>
      </c>
      <c r="F164" s="117">
        <f t="shared" si="40"/>
        <v>90</v>
      </c>
      <c r="G164" t="str">
        <f t="shared" si="41"/>
        <v>20%</v>
      </c>
      <c r="I164" s="53">
        <v>2022</v>
      </c>
      <c r="J164" s="53">
        <v>163</v>
      </c>
      <c r="K164" s="71" t="s">
        <v>105</v>
      </c>
      <c r="L164" t="s">
        <v>339</v>
      </c>
      <c r="M164" s="9"/>
      <c r="N164" s="1">
        <v>44858</v>
      </c>
      <c r="O164" t="s">
        <v>1694</v>
      </c>
      <c r="Q164" s="76"/>
      <c r="R164" t="b">
        <v>0</v>
      </c>
      <c r="S164" s="109">
        <v>75</v>
      </c>
      <c r="T164" s="72">
        <v>1</v>
      </c>
      <c r="U164">
        <v>20</v>
      </c>
      <c r="V164" s="31">
        <v>15</v>
      </c>
      <c r="W164" s="31">
        <v>15</v>
      </c>
      <c r="X164" s="33">
        <v>75</v>
      </c>
      <c r="Y164" s="29">
        <v>90</v>
      </c>
      <c r="Z164" s="29">
        <v>90</v>
      </c>
      <c r="AA164" s="35">
        <v>44972</v>
      </c>
      <c r="AB164" s="27"/>
      <c r="AC164" s="27"/>
      <c r="AD164" s="58">
        <v>75</v>
      </c>
      <c r="AE164" s="31">
        <v>0</v>
      </c>
      <c r="AF164" t="b">
        <v>0</v>
      </c>
      <c r="AG164" s="78">
        <v>-75</v>
      </c>
    </row>
    <row r="165" spans="1:33" x14ac:dyDescent="0.25">
      <c r="A165" t="str">
        <f t="shared" si="35"/>
        <v>2022-164</v>
      </c>
      <c r="B165" s="1">
        <f t="shared" si="36"/>
        <v>44858</v>
      </c>
      <c r="C165" t="str">
        <f t="shared" si="37"/>
        <v>AT2KM5F3AEUI/Amazon EU S. à r.l., 38 avenue John F. Kennedy, L-1855 Luxembourg: HJEU: DVI-HDMI, Logitech Maus</v>
      </c>
      <c r="D165" t="str">
        <f t="shared" si="38"/>
        <v>Ausgaben</v>
      </c>
      <c r="E165" t="str">
        <f t="shared" si="39"/>
        <v>Büromaterial</v>
      </c>
      <c r="F165" s="117">
        <f t="shared" si="40"/>
        <v>9.7919999999999998</v>
      </c>
      <c r="G165" t="str">
        <f t="shared" si="41"/>
        <v>20%</v>
      </c>
      <c r="I165" s="53">
        <v>2022</v>
      </c>
      <c r="J165" s="53">
        <v>164</v>
      </c>
      <c r="K165" s="71" t="s">
        <v>105</v>
      </c>
      <c r="L165" t="s">
        <v>339</v>
      </c>
      <c r="M165" s="9" t="s">
        <v>1695</v>
      </c>
      <c r="N165" s="1">
        <v>44858</v>
      </c>
      <c r="O165" t="s">
        <v>981</v>
      </c>
      <c r="Q165" s="76"/>
      <c r="R165" t="b">
        <v>0</v>
      </c>
      <c r="S165" s="109">
        <v>8.16</v>
      </c>
      <c r="T165" s="72">
        <v>1</v>
      </c>
      <c r="U165">
        <v>20</v>
      </c>
      <c r="V165" s="31">
        <v>1.6319999999999999</v>
      </c>
      <c r="W165" s="31">
        <v>1.6319999999999999</v>
      </c>
      <c r="X165" s="33">
        <v>8.16</v>
      </c>
      <c r="Y165" s="29">
        <v>9.7919999999999998</v>
      </c>
      <c r="Z165" s="29">
        <v>9.7919999999999998</v>
      </c>
      <c r="AA165" s="35">
        <v>44972</v>
      </c>
      <c r="AB165" s="27"/>
      <c r="AC165" s="27"/>
      <c r="AD165" s="58">
        <v>8.16</v>
      </c>
      <c r="AE165" s="31">
        <v>0</v>
      </c>
      <c r="AF165" t="b">
        <v>0</v>
      </c>
      <c r="AG165" s="78">
        <v>-8.16</v>
      </c>
    </row>
    <row r="166" spans="1:33" x14ac:dyDescent="0.25">
      <c r="A166" t="str">
        <f t="shared" si="35"/>
        <v>2022-165</v>
      </c>
      <c r="B166" s="1">
        <f t="shared" si="36"/>
        <v>44861</v>
      </c>
      <c r="C166" t="str">
        <f t="shared" si="37"/>
        <v>/Adobe Systems Software Ireland Ltd., 4-6 Riverwalk, Citywest Business Park, Dublin 24, Ireland, VAT ID IE6364992H</v>
      </c>
      <c r="D166" t="str">
        <f t="shared" si="38"/>
        <v>Ausgaben</v>
      </c>
      <c r="E166" t="str">
        <f t="shared" si="39"/>
        <v>Lizenzgebühren</v>
      </c>
      <c r="F166" s="117">
        <f t="shared" si="40"/>
        <v>20.28</v>
      </c>
      <c r="G166" t="str">
        <f t="shared" si="41"/>
        <v>0%</v>
      </c>
      <c r="I166" s="53">
        <v>2022</v>
      </c>
      <c r="J166" s="53">
        <v>165</v>
      </c>
      <c r="K166" s="71" t="s">
        <v>105</v>
      </c>
      <c r="L166" t="s">
        <v>692</v>
      </c>
      <c r="M166" s="9"/>
      <c r="N166" s="1">
        <v>44861</v>
      </c>
      <c r="O166" t="s">
        <v>1595</v>
      </c>
      <c r="Q166" s="76"/>
      <c r="R166" t="b">
        <v>0</v>
      </c>
      <c r="S166" s="48">
        <v>20.28</v>
      </c>
      <c r="T166" s="72">
        <v>1</v>
      </c>
      <c r="U166">
        <v>0</v>
      </c>
      <c r="V166" s="31">
        <v>0</v>
      </c>
      <c r="W166" s="31">
        <v>0</v>
      </c>
      <c r="X166" s="33">
        <v>20.28</v>
      </c>
      <c r="Y166" s="29">
        <v>20.28</v>
      </c>
      <c r="Z166" s="29">
        <v>20.28</v>
      </c>
      <c r="AA166" s="35">
        <v>44972</v>
      </c>
      <c r="AB166" s="27"/>
      <c r="AC166" s="27">
        <v>20</v>
      </c>
      <c r="AD166" s="58">
        <v>20.28</v>
      </c>
      <c r="AE166" s="31">
        <v>4.056</v>
      </c>
      <c r="AF166" t="b">
        <v>0</v>
      </c>
      <c r="AG166" s="78">
        <v>-20.28</v>
      </c>
    </row>
    <row r="167" spans="1:33" x14ac:dyDescent="0.25">
      <c r="A167" t="str">
        <f t="shared" si="35"/>
        <v>2022-166</v>
      </c>
      <c r="B167" s="1">
        <f t="shared" si="36"/>
        <v>44867</v>
      </c>
      <c r="C167" t="str">
        <f t="shared" si="37"/>
        <v>/Hutchison Drei Austria GmbH, Brünner Straße 52, 1210 Wien, Österreich</v>
      </c>
      <c r="D167" t="str">
        <f t="shared" si="38"/>
        <v>Ausgaben</v>
      </c>
      <c r="E167" t="str">
        <f t="shared" si="39"/>
        <v>Telefon/Internet</v>
      </c>
      <c r="F167" s="117">
        <f t="shared" si="40"/>
        <v>18</v>
      </c>
      <c r="G167" t="str">
        <f t="shared" si="41"/>
        <v>20%</v>
      </c>
      <c r="I167" s="53">
        <v>2022</v>
      </c>
      <c r="J167" s="53">
        <v>166</v>
      </c>
      <c r="K167" s="71" t="s">
        <v>105</v>
      </c>
      <c r="L167" t="s">
        <v>703</v>
      </c>
      <c r="M167" s="9"/>
      <c r="N167" s="1">
        <v>44867</v>
      </c>
      <c r="O167" t="s">
        <v>34</v>
      </c>
      <c r="Q167" s="76"/>
      <c r="R167" t="b">
        <v>0</v>
      </c>
      <c r="S167" s="48">
        <v>15</v>
      </c>
      <c r="T167" s="72">
        <v>1</v>
      </c>
      <c r="U167">
        <v>20</v>
      </c>
      <c r="V167" s="31">
        <v>3</v>
      </c>
      <c r="W167" s="31">
        <v>3</v>
      </c>
      <c r="X167" s="33">
        <v>15</v>
      </c>
      <c r="Y167" s="29">
        <v>18</v>
      </c>
      <c r="Z167" s="29">
        <v>18</v>
      </c>
      <c r="AA167" s="35">
        <v>44972</v>
      </c>
      <c r="AB167" s="27"/>
      <c r="AC167" s="27"/>
      <c r="AD167" s="58">
        <v>15</v>
      </c>
      <c r="AE167" s="31">
        <v>0</v>
      </c>
      <c r="AF167" t="b">
        <v>0</v>
      </c>
      <c r="AG167" s="78">
        <v>-15</v>
      </c>
    </row>
    <row r="168" spans="1:33" x14ac:dyDescent="0.25">
      <c r="A168" t="str">
        <f t="shared" si="35"/>
        <v>2022-167</v>
      </c>
      <c r="B168" s="1">
        <f t="shared" si="36"/>
        <v>44867</v>
      </c>
      <c r="C168" t="str">
        <f t="shared" si="37"/>
        <v>/Bontus Immobilienverwaltung GmbH, 1010 Wien, Franz Josefs Kai 65</v>
      </c>
      <c r="D168" t="str">
        <f t="shared" si="38"/>
        <v>Ausgaben</v>
      </c>
      <c r="E168" t="str">
        <f t="shared" si="39"/>
        <v>Miet- und Pachtaufwand, Leasing</v>
      </c>
      <c r="F168" s="117">
        <f t="shared" si="40"/>
        <v>606.78</v>
      </c>
      <c r="G168" t="str">
        <f t="shared" si="41"/>
        <v>20%</v>
      </c>
      <c r="I168" s="53">
        <v>2022</v>
      </c>
      <c r="J168" s="53">
        <v>167</v>
      </c>
      <c r="K168" s="71" t="s">
        <v>105</v>
      </c>
      <c r="L168" t="s">
        <v>691</v>
      </c>
      <c r="M168" s="9"/>
      <c r="N168" s="1">
        <v>44867</v>
      </c>
      <c r="O168" t="s">
        <v>1113</v>
      </c>
      <c r="Q168" s="76"/>
      <c r="R168" t="b">
        <v>0</v>
      </c>
      <c r="S168" s="109">
        <v>505.65</v>
      </c>
      <c r="T168" s="72">
        <v>1</v>
      </c>
      <c r="U168">
        <v>20</v>
      </c>
      <c r="V168" s="31">
        <v>101.13</v>
      </c>
      <c r="W168" s="31">
        <v>101.13</v>
      </c>
      <c r="X168" s="33">
        <v>505.65</v>
      </c>
      <c r="Y168" s="29">
        <v>606.78</v>
      </c>
      <c r="Z168" s="29">
        <v>606.78</v>
      </c>
      <c r="AA168" s="35">
        <v>44972</v>
      </c>
      <c r="AB168" s="27"/>
      <c r="AC168" s="27"/>
      <c r="AD168" s="58">
        <v>505.65</v>
      </c>
      <c r="AE168" s="31">
        <v>0</v>
      </c>
      <c r="AF168" t="b">
        <v>0</v>
      </c>
      <c r="AG168" s="78">
        <v>-505.65</v>
      </c>
    </row>
    <row r="169" spans="1:33" x14ac:dyDescent="0.25">
      <c r="A169" t="str">
        <f t="shared" si="35"/>
        <v>2022-168</v>
      </c>
      <c r="B169" s="1">
        <f t="shared" si="36"/>
        <v>44867</v>
      </c>
      <c r="C169" t="str">
        <f t="shared" si="37"/>
        <v>/car2go Österreich GmbH, Hintere Zollamtstraße 9, 1030 Wien</v>
      </c>
      <c r="D169" t="str">
        <f t="shared" si="38"/>
        <v>Ausgaben</v>
      </c>
      <c r="E169" t="str">
        <f t="shared" si="39"/>
        <v>Reise- und Fahrtspesen inkl. Kilometergeld und Diäten</v>
      </c>
      <c r="F169" s="117">
        <f t="shared" si="40"/>
        <v>22.776</v>
      </c>
      <c r="G169" t="str">
        <f t="shared" si="41"/>
        <v>20%</v>
      </c>
      <c r="I169" s="53">
        <v>2022</v>
      </c>
      <c r="J169" s="53">
        <v>168</v>
      </c>
      <c r="K169" s="71" t="s">
        <v>105</v>
      </c>
      <c r="L169" t="s">
        <v>689</v>
      </c>
      <c r="M169" s="131"/>
      <c r="N169" s="1">
        <v>44867</v>
      </c>
      <c r="O169" t="s">
        <v>974</v>
      </c>
      <c r="Q169" s="76"/>
      <c r="R169" t="b">
        <v>0</v>
      </c>
      <c r="S169" s="48">
        <v>18.98</v>
      </c>
      <c r="T169" s="72">
        <v>1</v>
      </c>
      <c r="U169">
        <v>20</v>
      </c>
      <c r="V169" s="31">
        <v>3.7960000000000003</v>
      </c>
      <c r="W169" s="31">
        <v>3.7960000000000003</v>
      </c>
      <c r="X169" s="33">
        <v>18.98</v>
      </c>
      <c r="Y169" s="29">
        <v>22.776</v>
      </c>
      <c r="Z169" s="29">
        <v>22.776</v>
      </c>
      <c r="AA169" s="35">
        <v>44972</v>
      </c>
      <c r="AB169" s="27"/>
      <c r="AC169" s="27"/>
      <c r="AD169" s="58">
        <v>18.98</v>
      </c>
      <c r="AE169" s="31">
        <v>0</v>
      </c>
      <c r="AF169" t="b">
        <v>0</v>
      </c>
      <c r="AG169" s="78">
        <v>-18.98</v>
      </c>
    </row>
    <row r="170" spans="1:33" x14ac:dyDescent="0.25">
      <c r="A170" t="str">
        <f t="shared" si="35"/>
        <v>2022-169</v>
      </c>
      <c r="B170" s="1">
        <f t="shared" si="36"/>
        <v>44867</v>
      </c>
      <c r="C170" t="str">
        <f t="shared" si="37"/>
        <v>/Google Ireland Ltd, Gordon House, Barrow Street, Dublin 4, Ireland; VAT number: IE 6388047V</v>
      </c>
      <c r="D170" t="str">
        <f t="shared" si="38"/>
        <v>Ausgaben</v>
      </c>
      <c r="E170" t="str">
        <f t="shared" si="39"/>
        <v>sonstige Betriebsausgaben</v>
      </c>
      <c r="F170" s="117">
        <f t="shared" si="40"/>
        <v>9.36</v>
      </c>
      <c r="G170" t="str">
        <f t="shared" si="41"/>
        <v>0%</v>
      </c>
      <c r="I170" s="53">
        <v>2022</v>
      </c>
      <c r="J170" s="53">
        <v>169</v>
      </c>
      <c r="K170" s="71" t="s">
        <v>105</v>
      </c>
      <c r="L170" t="s">
        <v>705</v>
      </c>
      <c r="M170" s="9"/>
      <c r="N170" s="1">
        <v>44867</v>
      </c>
      <c r="O170" t="s">
        <v>1404</v>
      </c>
      <c r="Q170" s="76"/>
      <c r="R170" t="b">
        <v>0</v>
      </c>
      <c r="S170" s="109">
        <v>9.36</v>
      </c>
      <c r="T170" s="72">
        <v>1</v>
      </c>
      <c r="U170">
        <v>0</v>
      </c>
      <c r="V170" s="31">
        <v>0</v>
      </c>
      <c r="W170" s="31">
        <v>0</v>
      </c>
      <c r="X170" s="33">
        <v>9.36</v>
      </c>
      <c r="Y170" s="29">
        <v>9.36</v>
      </c>
      <c r="Z170" s="29">
        <v>9.36</v>
      </c>
      <c r="AA170" s="35">
        <v>44972</v>
      </c>
      <c r="AB170" s="27"/>
      <c r="AC170" s="27">
        <v>20</v>
      </c>
      <c r="AD170" s="58">
        <v>9.36</v>
      </c>
      <c r="AE170" s="31">
        <v>1.8719999999999999</v>
      </c>
      <c r="AF170" t="b">
        <v>0</v>
      </c>
      <c r="AG170" s="78">
        <v>-9.36</v>
      </c>
    </row>
    <row r="171" spans="1:33" x14ac:dyDescent="0.25">
      <c r="A171" t="str">
        <f t="shared" si="35"/>
        <v>2022-170</v>
      </c>
      <c r="B171" s="1">
        <f t="shared" si="36"/>
        <v>44861</v>
      </c>
      <c r="C171" t="str">
        <f t="shared" si="37"/>
        <v>/STORNIERT Adobe Systems Software Ireland Ltd., 4-6 Riverwalk, Citywest Business Park, Dublin 24, Ireland, VAT ID IE6364992H</v>
      </c>
      <c r="D171" t="str">
        <f t="shared" si="38"/>
        <v>Ausgaben</v>
      </c>
      <c r="E171" t="str">
        <f t="shared" si="39"/>
        <v>Lizenzgebühren</v>
      </c>
      <c r="F171" s="117">
        <f t="shared" si="40"/>
        <v>20.28</v>
      </c>
      <c r="G171" t="str">
        <f t="shared" si="41"/>
        <v>0%</v>
      </c>
      <c r="I171" s="53">
        <v>2022</v>
      </c>
      <c r="J171" s="53">
        <v>170</v>
      </c>
      <c r="K171" s="71" t="s">
        <v>105</v>
      </c>
      <c r="L171" t="s">
        <v>692</v>
      </c>
      <c r="M171" s="9"/>
      <c r="N171" s="1">
        <v>44861</v>
      </c>
      <c r="O171" s="154" t="s">
        <v>1702</v>
      </c>
      <c r="Q171" s="76"/>
      <c r="S171" s="48">
        <v>20.28</v>
      </c>
      <c r="T171" s="72">
        <v>1</v>
      </c>
      <c r="U171">
        <v>0</v>
      </c>
      <c r="V171" s="31">
        <v>0</v>
      </c>
      <c r="W171" s="31">
        <v>0</v>
      </c>
      <c r="X171" s="33">
        <v>20.28</v>
      </c>
      <c r="Y171" s="29">
        <v>20.28</v>
      </c>
      <c r="Z171" s="29">
        <v>20.28</v>
      </c>
      <c r="AA171" s="35">
        <v>44972</v>
      </c>
      <c r="AB171" s="27"/>
      <c r="AC171" s="27">
        <v>20</v>
      </c>
      <c r="AD171" s="58">
        <v>20.28</v>
      </c>
      <c r="AE171" s="31">
        <v>4.056</v>
      </c>
      <c r="AF171" t="b">
        <v>0</v>
      </c>
      <c r="AG171" s="78">
        <v>-20.28</v>
      </c>
    </row>
    <row r="172" spans="1:33" x14ac:dyDescent="0.25">
      <c r="A172" t="str">
        <f t="shared" si="35"/>
        <v>2022-171</v>
      </c>
      <c r="B172" s="1">
        <f t="shared" si="36"/>
        <v>44867</v>
      </c>
      <c r="C172" t="str">
        <f t="shared" si="37"/>
        <v>/STORNIERT car2go Österreich GmbH, Hintere Zollamtstraße 9, 1030 Wien</v>
      </c>
      <c r="D172" t="str">
        <f t="shared" si="38"/>
        <v>Ausgaben</v>
      </c>
      <c r="E172" t="str">
        <f t="shared" si="39"/>
        <v>Reise- und Fahrtspesen inkl. Kilometergeld und Diäten</v>
      </c>
      <c r="F172" s="117">
        <f t="shared" si="40"/>
        <v>22.776</v>
      </c>
      <c r="G172" t="str">
        <f t="shared" si="41"/>
        <v>20%</v>
      </c>
      <c r="I172" s="53">
        <v>2022</v>
      </c>
      <c r="J172" s="53">
        <v>171</v>
      </c>
      <c r="K172" s="71" t="s">
        <v>105</v>
      </c>
      <c r="L172" t="s">
        <v>689</v>
      </c>
      <c r="M172" s="9"/>
      <c r="N172" s="1">
        <v>44867</v>
      </c>
      <c r="O172" s="154" t="s">
        <v>1704</v>
      </c>
      <c r="Q172" s="76"/>
      <c r="S172" s="48">
        <v>18.98</v>
      </c>
      <c r="T172" s="72">
        <v>1</v>
      </c>
      <c r="U172">
        <v>20</v>
      </c>
      <c r="V172" s="31">
        <v>3.7960000000000003</v>
      </c>
      <c r="W172" s="31">
        <v>3.7960000000000003</v>
      </c>
      <c r="X172" s="33">
        <v>18.98</v>
      </c>
      <c r="Y172" s="29">
        <v>22.776</v>
      </c>
      <c r="Z172" s="29">
        <v>22.776</v>
      </c>
      <c r="AA172" s="35">
        <v>44972</v>
      </c>
      <c r="AB172" s="27"/>
      <c r="AC172" s="27"/>
      <c r="AD172" s="58">
        <v>18.98</v>
      </c>
      <c r="AE172" s="31">
        <v>0</v>
      </c>
      <c r="AF172" t="b">
        <v>0</v>
      </c>
      <c r="AG172" s="78">
        <v>-18.98</v>
      </c>
    </row>
    <row r="173" spans="1:33" x14ac:dyDescent="0.25">
      <c r="A173" t="str">
        <f t="shared" si="35"/>
        <v>2022-172</v>
      </c>
      <c r="B173" s="1">
        <f t="shared" si="36"/>
        <v>44867</v>
      </c>
      <c r="C173" t="str">
        <f t="shared" si="37"/>
        <v>/STORNIERT Google Ireland Ltd, Gordon House, Barrow Street, Dublin 4, Ireland; VAT number: IE 6388047V</v>
      </c>
      <c r="D173" t="str">
        <f t="shared" si="38"/>
        <v>Ausgaben</v>
      </c>
      <c r="E173" t="str">
        <f t="shared" si="39"/>
        <v>sonstige Betriebsausgaben</v>
      </c>
      <c r="F173" s="117">
        <f t="shared" si="40"/>
        <v>9.36</v>
      </c>
      <c r="G173" t="str">
        <f t="shared" si="41"/>
        <v>0%</v>
      </c>
      <c r="I173" s="53">
        <v>2022</v>
      </c>
      <c r="J173" s="53">
        <v>172</v>
      </c>
      <c r="K173" s="71" t="s">
        <v>105</v>
      </c>
      <c r="L173" t="s">
        <v>705</v>
      </c>
      <c r="M173" s="9"/>
      <c r="N173" s="1">
        <v>44867</v>
      </c>
      <c r="O173" s="154" t="s">
        <v>1703</v>
      </c>
      <c r="Q173" s="76"/>
      <c r="S173" s="109">
        <v>9.36</v>
      </c>
      <c r="T173" s="72">
        <v>1</v>
      </c>
      <c r="U173">
        <v>0</v>
      </c>
      <c r="V173" s="31">
        <v>0</v>
      </c>
      <c r="W173" s="31">
        <v>0</v>
      </c>
      <c r="X173" s="33">
        <v>9.36</v>
      </c>
      <c r="Y173" s="29">
        <v>9.36</v>
      </c>
      <c r="Z173" s="29">
        <v>9.36</v>
      </c>
      <c r="AA173" s="35">
        <v>44972</v>
      </c>
      <c r="AB173" s="27"/>
      <c r="AC173" s="27">
        <v>20</v>
      </c>
      <c r="AD173" s="58">
        <v>9.36</v>
      </c>
      <c r="AE173" s="31">
        <v>1.8719999999999999</v>
      </c>
      <c r="AF173" t="b">
        <v>0</v>
      </c>
      <c r="AG173" s="78">
        <v>-9.36</v>
      </c>
    </row>
    <row r="174" spans="1:33" x14ac:dyDescent="0.25">
      <c r="A174" t="str">
        <f t="shared" si="35"/>
        <v>2022-173</v>
      </c>
      <c r="B174" s="1">
        <f t="shared" si="36"/>
        <v>44867</v>
      </c>
      <c r="C174" t="str">
        <f t="shared" si="37"/>
        <v>/STORNIERT Bontus Immobilienverwaltung GmbH, 1010 Wien, Franz Josefs Kai 65</v>
      </c>
      <c r="D174" t="str">
        <f t="shared" si="38"/>
        <v>Ausgaben</v>
      </c>
      <c r="E174" t="str">
        <f t="shared" si="39"/>
        <v>Miet- und Pachtaufwand, Leasing</v>
      </c>
      <c r="F174" s="117">
        <f t="shared" si="40"/>
        <v>606.78</v>
      </c>
      <c r="G174" t="str">
        <f t="shared" si="41"/>
        <v>20%</v>
      </c>
      <c r="I174" s="53">
        <v>2022</v>
      </c>
      <c r="J174" s="53">
        <v>173</v>
      </c>
      <c r="K174" s="71" t="s">
        <v>105</v>
      </c>
      <c r="L174" t="s">
        <v>691</v>
      </c>
      <c r="M174" s="9"/>
      <c r="N174" s="1">
        <v>44867</v>
      </c>
      <c r="O174" s="154" t="s">
        <v>1705</v>
      </c>
      <c r="Q174" s="76"/>
      <c r="S174" s="109">
        <v>505.65</v>
      </c>
      <c r="T174" s="72">
        <v>1</v>
      </c>
      <c r="U174">
        <v>20</v>
      </c>
      <c r="V174" s="31">
        <v>101.13</v>
      </c>
      <c r="W174" s="31">
        <v>101.13</v>
      </c>
      <c r="X174" s="33">
        <v>505.65</v>
      </c>
      <c r="Y174" s="29">
        <v>606.78</v>
      </c>
      <c r="Z174" s="29">
        <v>606.78</v>
      </c>
      <c r="AA174" s="35">
        <v>44972</v>
      </c>
      <c r="AB174" s="27"/>
      <c r="AC174" s="27"/>
      <c r="AD174" s="58">
        <v>505.65</v>
      </c>
      <c r="AE174" s="31">
        <v>0</v>
      </c>
      <c r="AF174" t="b">
        <v>0</v>
      </c>
      <c r="AG174" s="78">
        <v>-505.65</v>
      </c>
    </row>
    <row r="175" spans="1:33" x14ac:dyDescent="0.25">
      <c r="A175" t="str">
        <f t="shared" si="35"/>
        <v>2022-174</v>
      </c>
      <c r="B175" s="1">
        <f t="shared" si="36"/>
        <v>44867</v>
      </c>
      <c r="C175" t="str">
        <f t="shared" si="37"/>
        <v>/STORNIERT Hutchison Drei Austria GmbH, Brünner Straße 52, 1210 Wien, Österreich</v>
      </c>
      <c r="D175" t="str">
        <f t="shared" si="38"/>
        <v>Ausgaben</v>
      </c>
      <c r="E175" t="str">
        <f t="shared" si="39"/>
        <v>Telefon/Internet</v>
      </c>
      <c r="F175" s="117">
        <f t="shared" si="40"/>
        <v>18</v>
      </c>
      <c r="G175" t="str">
        <f t="shared" si="41"/>
        <v>20%</v>
      </c>
      <c r="I175" s="53">
        <v>2022</v>
      </c>
      <c r="J175" s="53">
        <v>174</v>
      </c>
      <c r="K175" s="71" t="s">
        <v>105</v>
      </c>
      <c r="L175" t="s">
        <v>703</v>
      </c>
      <c r="M175" s="9"/>
      <c r="N175" s="1">
        <v>44867</v>
      </c>
      <c r="O175" s="154" t="s">
        <v>1706</v>
      </c>
      <c r="Q175" s="76"/>
      <c r="S175" s="48">
        <v>15</v>
      </c>
      <c r="T175" s="72">
        <v>1</v>
      </c>
      <c r="U175">
        <v>20</v>
      </c>
      <c r="V175" s="31">
        <v>3</v>
      </c>
      <c r="W175" s="31">
        <v>3</v>
      </c>
      <c r="X175" s="33">
        <v>15</v>
      </c>
      <c r="Y175" s="29">
        <v>18</v>
      </c>
      <c r="Z175" s="29">
        <v>18</v>
      </c>
      <c r="AA175" s="35">
        <v>44972</v>
      </c>
      <c r="AB175" s="27"/>
      <c r="AC175" s="27"/>
      <c r="AD175" s="58">
        <v>15</v>
      </c>
      <c r="AE175" s="31">
        <v>0</v>
      </c>
      <c r="AF175" t="b">
        <v>0</v>
      </c>
      <c r="AG175" s="78">
        <v>-15</v>
      </c>
    </row>
    <row r="176" spans="1:33" x14ac:dyDescent="0.25">
      <c r="A176" t="str">
        <f t="shared" si="35"/>
        <v>2022-175</v>
      </c>
      <c r="B176" s="1">
        <f t="shared" si="36"/>
        <v>44869</v>
      </c>
      <c r="C176" t="str">
        <f t="shared" si="37"/>
        <v>siehe Jahresabrechnung/go green energy GmbH &amp; Co KG</v>
      </c>
      <c r="D176" t="str">
        <f t="shared" si="38"/>
        <v>Ausgaben</v>
      </c>
      <c r="E176" t="str">
        <f t="shared" si="39"/>
        <v>sonstige Betriebsausgaben</v>
      </c>
      <c r="F176" s="117">
        <f t="shared" si="40"/>
        <v>3</v>
      </c>
      <c r="G176" t="str">
        <f t="shared" si="41"/>
        <v>20%</v>
      </c>
      <c r="I176" s="53">
        <v>2022</v>
      </c>
      <c r="J176" s="53">
        <v>175</v>
      </c>
      <c r="K176" s="71" t="s">
        <v>105</v>
      </c>
      <c r="L176" t="s">
        <v>705</v>
      </c>
      <c r="M176" s="153" t="s">
        <v>1698</v>
      </c>
      <c r="N176" s="1">
        <v>44869</v>
      </c>
      <c r="O176" t="s">
        <v>1670</v>
      </c>
      <c r="Q176" s="76"/>
      <c r="R176" t="b">
        <v>0</v>
      </c>
      <c r="S176" s="109">
        <v>2.5</v>
      </c>
      <c r="T176" s="72">
        <v>1</v>
      </c>
      <c r="U176">
        <v>20</v>
      </c>
      <c r="V176" s="31">
        <v>0.5</v>
      </c>
      <c r="W176" s="31">
        <v>0.5</v>
      </c>
      <c r="X176" s="33">
        <v>2.5</v>
      </c>
      <c r="Y176" s="29">
        <v>3</v>
      </c>
      <c r="Z176" s="29">
        <v>3</v>
      </c>
      <c r="AA176" s="35">
        <v>44972</v>
      </c>
      <c r="AB176" s="27"/>
      <c r="AC176" s="27"/>
      <c r="AD176" s="58">
        <v>2.5</v>
      </c>
      <c r="AE176" s="31">
        <v>0</v>
      </c>
      <c r="AF176" t="b">
        <v>0</v>
      </c>
      <c r="AG176" s="78">
        <v>-2.5</v>
      </c>
    </row>
    <row r="177" spans="1:33" x14ac:dyDescent="0.25">
      <c r="A177" t="str">
        <f t="shared" si="35"/>
        <v>2022-176</v>
      </c>
      <c r="B177" s="1">
        <f t="shared" si="36"/>
        <v>44839</v>
      </c>
      <c r="C177" t="str">
        <f t="shared" si="37"/>
        <v>BELEG FEHLT/Techem Messtechnik GmbH; Abnehmernummer 501686-0003-11-</v>
      </c>
      <c r="D177" t="str">
        <f t="shared" si="38"/>
        <v>Ausgaben</v>
      </c>
      <c r="E177" t="str">
        <f t="shared" si="39"/>
        <v>Miet- und Pachtaufwand, Leasing</v>
      </c>
      <c r="F177" s="117">
        <f t="shared" si="40"/>
        <v>147.12</v>
      </c>
      <c r="G177" t="str">
        <f t="shared" si="41"/>
        <v>20%</v>
      </c>
      <c r="I177" s="53">
        <v>2022</v>
      </c>
      <c r="J177" s="53">
        <v>176</v>
      </c>
      <c r="K177" s="71" t="s">
        <v>105</v>
      </c>
      <c r="L177" t="s">
        <v>691</v>
      </c>
      <c r="M177" s="61" t="s">
        <v>1064</v>
      </c>
      <c r="N177" s="1">
        <v>44839</v>
      </c>
      <c r="O177" t="s">
        <v>1558</v>
      </c>
      <c r="Q177" s="76"/>
      <c r="R177" t="b">
        <v>0</v>
      </c>
      <c r="S177" s="109">
        <v>122.6</v>
      </c>
      <c r="T177" s="72">
        <v>1</v>
      </c>
      <c r="U177">
        <v>20</v>
      </c>
      <c r="V177" s="31">
        <v>24.52</v>
      </c>
      <c r="W177" s="31">
        <v>24.52</v>
      </c>
      <c r="X177" s="33">
        <v>122.6</v>
      </c>
      <c r="Y177" s="29">
        <v>147.12</v>
      </c>
      <c r="Z177" s="29">
        <v>147.12</v>
      </c>
      <c r="AA177" s="35">
        <v>44972</v>
      </c>
      <c r="AB177" s="27"/>
      <c r="AC177" s="27"/>
      <c r="AD177" s="58">
        <v>122.6</v>
      </c>
      <c r="AE177" s="31">
        <v>0</v>
      </c>
      <c r="AF177" t="b">
        <v>0</v>
      </c>
      <c r="AG177" s="78">
        <v>-122.6</v>
      </c>
    </row>
    <row r="178" spans="1:33" x14ac:dyDescent="0.25">
      <c r="A178" t="str">
        <f t="shared" si="35"/>
        <v>2022-177</v>
      </c>
      <c r="B178" s="1">
        <f t="shared" si="36"/>
        <v>44875</v>
      </c>
      <c r="C178" t="str">
        <f t="shared" si="37"/>
        <v>AT2LV7IUAEUI/Amazon EU S. à r.l., 38 avenue John F. Kennedy, L-1855 Luxembourg: HJEU: DVI-HDMI, Logitech Maus</v>
      </c>
      <c r="D178" t="str">
        <f t="shared" si="38"/>
        <v>Ausgaben</v>
      </c>
      <c r="E178" t="str">
        <f t="shared" si="39"/>
        <v>Büromaterial</v>
      </c>
      <c r="F178" s="117">
        <f t="shared" si="40"/>
        <v>10.320000000000002</v>
      </c>
      <c r="G178" t="str">
        <f t="shared" si="41"/>
        <v>20%</v>
      </c>
      <c r="I178" s="53">
        <v>2022</v>
      </c>
      <c r="J178" s="53">
        <v>177</v>
      </c>
      <c r="K178" s="71" t="s">
        <v>105</v>
      </c>
      <c r="L178" t="s">
        <v>339</v>
      </c>
      <c r="M178" s="9" t="s">
        <v>1707</v>
      </c>
      <c r="N178" s="1">
        <v>44875</v>
      </c>
      <c r="O178" t="s">
        <v>981</v>
      </c>
      <c r="Q178" s="76"/>
      <c r="R178" t="b">
        <v>0</v>
      </c>
      <c r="S178" s="109">
        <v>8.6000000000000014</v>
      </c>
      <c r="T178" s="72">
        <v>1</v>
      </c>
      <c r="U178">
        <v>20</v>
      </c>
      <c r="V178" s="31">
        <v>1.7200000000000002</v>
      </c>
      <c r="W178" s="31">
        <v>1.7200000000000002</v>
      </c>
      <c r="X178" s="33">
        <v>8.6000000000000014</v>
      </c>
      <c r="Y178" s="29">
        <v>10.320000000000002</v>
      </c>
      <c r="Z178" s="29">
        <v>10.320000000000002</v>
      </c>
      <c r="AA178" s="35">
        <v>44972</v>
      </c>
      <c r="AB178" s="27"/>
      <c r="AC178" s="27"/>
      <c r="AD178" s="58">
        <v>8.6000000000000014</v>
      </c>
      <c r="AE178" s="31">
        <v>0</v>
      </c>
      <c r="AF178" t="b">
        <v>0</v>
      </c>
      <c r="AG178" s="78">
        <v>-8.6000000000000014</v>
      </c>
    </row>
    <row r="179" spans="1:33" x14ac:dyDescent="0.25">
      <c r="A179" t="str">
        <f t="shared" si="35"/>
        <v>2022-178</v>
      </c>
      <c r="B179" s="1">
        <f t="shared" si="36"/>
        <v>44876</v>
      </c>
      <c r="C179" t="str">
        <f t="shared" si="37"/>
        <v>/Hetzner Online GmbH</v>
      </c>
      <c r="D179" t="str">
        <f t="shared" si="38"/>
        <v>Ausgaben</v>
      </c>
      <c r="E179" t="str">
        <f t="shared" si="39"/>
        <v>sonstige Betriebsausgaben</v>
      </c>
      <c r="F179" s="117">
        <f t="shared" si="40"/>
        <v>47.776499999999999</v>
      </c>
      <c r="G179" t="str">
        <f t="shared" si="41"/>
        <v>0%</v>
      </c>
      <c r="I179" s="53">
        <v>2022</v>
      </c>
      <c r="J179" s="53">
        <v>178</v>
      </c>
      <c r="K179" s="71" t="s">
        <v>105</v>
      </c>
      <c r="L179" t="s">
        <v>705</v>
      </c>
      <c r="M179" s="9"/>
      <c r="N179" s="1">
        <v>44876</v>
      </c>
      <c r="O179" t="s">
        <v>927</v>
      </c>
      <c r="Q179" s="76"/>
      <c r="R179" t="b">
        <v>0</v>
      </c>
      <c r="S179" s="48">
        <v>47.776499999999999</v>
      </c>
      <c r="T179" s="72">
        <v>1</v>
      </c>
      <c r="U179">
        <v>0</v>
      </c>
      <c r="V179" s="31">
        <v>0</v>
      </c>
      <c r="W179" s="31">
        <v>0</v>
      </c>
      <c r="X179" s="33">
        <v>47.776499999999999</v>
      </c>
      <c r="Y179" s="29">
        <v>47.776499999999999</v>
      </c>
      <c r="Z179" s="29">
        <v>47.776499999999999</v>
      </c>
      <c r="AA179" s="35">
        <v>44972</v>
      </c>
      <c r="AB179" s="27"/>
      <c r="AC179" s="27">
        <v>20</v>
      </c>
      <c r="AD179" s="58">
        <v>47.776499999999999</v>
      </c>
      <c r="AE179" s="31">
        <v>9.5553000000000008</v>
      </c>
      <c r="AF179" t="b">
        <v>0</v>
      </c>
      <c r="AG179" s="78">
        <v>-47.776499999999999</v>
      </c>
    </row>
    <row r="180" spans="1:33" x14ac:dyDescent="0.25">
      <c r="A180" t="str">
        <f t="shared" si="35"/>
        <v>2022-179</v>
      </c>
      <c r="B180" s="1">
        <f t="shared" si="36"/>
        <v>44880</v>
      </c>
      <c r="C180" t="str">
        <f t="shared" si="37"/>
        <v>siehe 2022-140/Honorar Eva Jaros-Kolbitsch</v>
      </c>
      <c r="D180" t="str">
        <f t="shared" si="38"/>
        <v>Ausgaben</v>
      </c>
      <c r="E180" t="str">
        <f t="shared" si="39"/>
        <v>Personalaufwand</v>
      </c>
      <c r="F180" s="117">
        <f t="shared" si="40"/>
        <v>365</v>
      </c>
      <c r="G180" t="str">
        <f t="shared" si="41"/>
        <v>0%</v>
      </c>
      <c r="I180" s="53">
        <v>2022</v>
      </c>
      <c r="J180" s="53">
        <v>179</v>
      </c>
      <c r="K180" s="71" t="s">
        <v>105</v>
      </c>
      <c r="L180" t="s">
        <v>685</v>
      </c>
      <c r="M180" s="9" t="s">
        <v>1699</v>
      </c>
      <c r="N180" s="1">
        <v>44880</v>
      </c>
      <c r="O180" t="s">
        <v>1689</v>
      </c>
      <c r="Q180" s="76"/>
      <c r="R180" t="b">
        <v>0</v>
      </c>
      <c r="S180" s="48">
        <v>365</v>
      </c>
      <c r="T180" s="72">
        <v>1</v>
      </c>
      <c r="U180">
        <v>0</v>
      </c>
      <c r="V180" s="31">
        <v>0</v>
      </c>
      <c r="W180" s="31">
        <v>0</v>
      </c>
      <c r="X180" s="33">
        <v>365</v>
      </c>
      <c r="Y180" s="29">
        <v>365</v>
      </c>
      <c r="Z180" s="29">
        <v>365</v>
      </c>
      <c r="AA180" s="35">
        <v>44972</v>
      </c>
      <c r="AB180" s="27"/>
      <c r="AC180" s="27"/>
      <c r="AD180" s="58">
        <v>365</v>
      </c>
      <c r="AE180" s="31">
        <v>0</v>
      </c>
      <c r="AF180" t="b">
        <v>0</v>
      </c>
      <c r="AG180" s="78">
        <v>-365</v>
      </c>
    </row>
    <row r="181" spans="1:33" x14ac:dyDescent="0.25">
      <c r="A181" t="str">
        <f t="shared" si="35"/>
        <v>2022-180</v>
      </c>
      <c r="B181" s="1">
        <f t="shared" si="36"/>
        <v>44882</v>
      </c>
      <c r="C181" t="str">
        <f t="shared" si="37"/>
        <v>168046160/Hays Österreich GmbH, Bahnhof City Wien West , Europaplatz 3/5, 1150 Wien</v>
      </c>
      <c r="D181" t="str">
        <f t="shared" si="38"/>
        <v>Einnahmen</v>
      </c>
      <c r="E181" t="str">
        <f t="shared" si="39"/>
        <v>Waren-/Leistungserlöse</v>
      </c>
      <c r="F181" s="117">
        <f t="shared" si="40"/>
        <v>18169.2</v>
      </c>
      <c r="G181" t="str">
        <f t="shared" si="41"/>
        <v>20%</v>
      </c>
      <c r="I181" s="53">
        <v>2022</v>
      </c>
      <c r="J181" s="53">
        <v>180</v>
      </c>
      <c r="K181" s="71" t="s">
        <v>708</v>
      </c>
      <c r="L181" t="s">
        <v>709</v>
      </c>
      <c r="M181">
        <v>168046160</v>
      </c>
      <c r="N181" s="1">
        <v>44882</v>
      </c>
      <c r="O181" t="s">
        <v>1652</v>
      </c>
      <c r="Q181" s="76"/>
      <c r="R181" t="b">
        <v>0</v>
      </c>
      <c r="S181" s="48">
        <v>15141</v>
      </c>
      <c r="T181" s="72">
        <v>1</v>
      </c>
      <c r="U181">
        <v>20</v>
      </c>
      <c r="V181" s="31">
        <v>3028.2</v>
      </c>
      <c r="W181" s="31">
        <v>3028.2</v>
      </c>
      <c r="X181" s="33">
        <v>15141</v>
      </c>
      <c r="Y181" s="29">
        <v>18169.2</v>
      </c>
      <c r="Z181" s="29">
        <v>18169.2</v>
      </c>
      <c r="AA181" s="35">
        <v>44972</v>
      </c>
      <c r="AB181" s="27"/>
      <c r="AC181" s="27"/>
      <c r="AD181" s="58">
        <v>15141</v>
      </c>
      <c r="AE181" s="31">
        <v>0</v>
      </c>
      <c r="AF181" t="b">
        <v>0</v>
      </c>
      <c r="AG181" s="78">
        <v>15141</v>
      </c>
    </row>
    <row r="182" spans="1:33" x14ac:dyDescent="0.25">
      <c r="A182" t="str">
        <f t="shared" si="35"/>
        <v>2022-181</v>
      </c>
      <c r="B182" s="1">
        <f t="shared" si="36"/>
        <v>44886</v>
      </c>
      <c r="C182" t="str">
        <f t="shared" si="37"/>
        <v>22542072/Sketchup 1Y</v>
      </c>
      <c r="D182" t="str">
        <f t="shared" si="38"/>
        <v>Ausgaben</v>
      </c>
      <c r="E182" t="str">
        <f t="shared" si="39"/>
        <v>Lizenzgebühren</v>
      </c>
      <c r="F182" s="117">
        <f t="shared" si="40"/>
        <v>285</v>
      </c>
      <c r="G182" t="str">
        <f t="shared" si="41"/>
        <v>0%</v>
      </c>
      <c r="I182" s="53">
        <v>2022</v>
      </c>
      <c r="J182" s="53">
        <v>181</v>
      </c>
      <c r="K182" s="71" t="s">
        <v>105</v>
      </c>
      <c r="L182" t="s">
        <v>692</v>
      </c>
      <c r="M182" s="9" t="s">
        <v>1708</v>
      </c>
      <c r="N182" s="1">
        <v>44886</v>
      </c>
      <c r="O182" t="s">
        <v>1709</v>
      </c>
      <c r="Q182" s="76"/>
      <c r="R182" t="b">
        <v>0</v>
      </c>
      <c r="S182" s="48">
        <v>285</v>
      </c>
      <c r="T182" s="72">
        <v>1</v>
      </c>
      <c r="U182">
        <v>0</v>
      </c>
      <c r="V182" s="31">
        <v>0</v>
      </c>
      <c r="W182" s="31">
        <v>0</v>
      </c>
      <c r="X182" s="33">
        <v>285</v>
      </c>
      <c r="Y182" s="29">
        <v>285</v>
      </c>
      <c r="Z182" s="29">
        <v>285</v>
      </c>
      <c r="AA182" s="35">
        <v>44972</v>
      </c>
      <c r="AB182" s="27"/>
      <c r="AC182" s="27">
        <v>20</v>
      </c>
      <c r="AD182" s="58">
        <v>285</v>
      </c>
      <c r="AE182" s="31">
        <v>57</v>
      </c>
      <c r="AF182" t="b">
        <v>0</v>
      </c>
      <c r="AG182" s="78">
        <v>-285</v>
      </c>
    </row>
    <row r="183" spans="1:33" x14ac:dyDescent="0.25">
      <c r="A183" t="str">
        <f t="shared" si="35"/>
        <v>2022-182</v>
      </c>
      <c r="B183" s="1">
        <f t="shared" si="36"/>
        <v>44884</v>
      </c>
      <c r="C183" t="str">
        <f t="shared" si="37"/>
        <v>/Microsoft Ireland Operations Ltd. One Microsoft Place, South County, Business Park, Leopardstown, Dublin 18, D18 P521, Ireland</v>
      </c>
      <c r="D183" t="str">
        <f t="shared" si="38"/>
        <v>Ausgaben</v>
      </c>
      <c r="E183" t="str">
        <f t="shared" si="39"/>
        <v>sonstige Betriebsausgaben</v>
      </c>
      <c r="F183" s="117">
        <f t="shared" si="40"/>
        <v>10.5</v>
      </c>
      <c r="G183" t="str">
        <f t="shared" si="41"/>
        <v>0%</v>
      </c>
      <c r="I183" s="53">
        <v>2022</v>
      </c>
      <c r="J183" s="53">
        <v>182</v>
      </c>
      <c r="K183" s="71" t="s">
        <v>105</v>
      </c>
      <c r="L183" t="s">
        <v>705</v>
      </c>
      <c r="M183" s="6"/>
      <c r="N183" s="1">
        <v>44884</v>
      </c>
      <c r="O183" t="s">
        <v>1032</v>
      </c>
      <c r="Q183" s="76"/>
      <c r="R183" t="b">
        <v>0</v>
      </c>
      <c r="S183" s="48">
        <v>10.5</v>
      </c>
      <c r="T183" s="72">
        <v>1</v>
      </c>
      <c r="U183">
        <v>0</v>
      </c>
      <c r="V183" s="31">
        <v>0</v>
      </c>
      <c r="W183" s="31">
        <v>0</v>
      </c>
      <c r="X183" s="33">
        <v>10.5</v>
      </c>
      <c r="Y183" s="29">
        <v>10.5</v>
      </c>
      <c r="Z183" s="29">
        <v>10.5</v>
      </c>
      <c r="AA183" s="35">
        <v>44972</v>
      </c>
      <c r="AB183" s="27"/>
      <c r="AC183" s="27">
        <v>20</v>
      </c>
      <c r="AD183" s="58">
        <v>10.5</v>
      </c>
      <c r="AE183" s="31">
        <v>2.1</v>
      </c>
      <c r="AF183" t="b">
        <v>0</v>
      </c>
      <c r="AG183" s="78">
        <v>-10.5</v>
      </c>
    </row>
    <row r="184" spans="1:33" x14ac:dyDescent="0.25">
      <c r="A184" t="str">
        <f t="shared" si="35"/>
        <v>2022-183</v>
      </c>
      <c r="B184" s="1">
        <f t="shared" si="36"/>
        <v>44887</v>
      </c>
      <c r="C184" t="str">
        <f t="shared" si="37"/>
        <v>901150331122/Magenta: T-Mobile Austria GmbH, A-1120 Wien, PF 47</v>
      </c>
      <c r="D184" t="str">
        <f t="shared" si="38"/>
        <v>Ausgaben</v>
      </c>
      <c r="E184" t="str">
        <f t="shared" si="39"/>
        <v>Telefon/Internet</v>
      </c>
      <c r="F184" s="117">
        <f t="shared" si="40"/>
        <v>38.304000000000002</v>
      </c>
      <c r="G184" t="str">
        <f t="shared" si="41"/>
        <v>20%</v>
      </c>
      <c r="I184" s="53">
        <v>2022</v>
      </c>
      <c r="J184" s="53">
        <v>183</v>
      </c>
      <c r="K184" s="71" t="s">
        <v>105</v>
      </c>
      <c r="L184" t="s">
        <v>703</v>
      </c>
      <c r="M184" s="131" t="s">
        <v>1710</v>
      </c>
      <c r="N184" s="1">
        <v>44887</v>
      </c>
      <c r="O184" t="s">
        <v>1148</v>
      </c>
      <c r="Q184" s="76"/>
      <c r="R184" t="b">
        <v>0</v>
      </c>
      <c r="S184" s="48">
        <v>31.92</v>
      </c>
      <c r="T184" s="72">
        <v>1</v>
      </c>
      <c r="U184">
        <v>20</v>
      </c>
      <c r="V184" s="31">
        <v>6.3840000000000012</v>
      </c>
      <c r="W184" s="31">
        <v>6.3840000000000012</v>
      </c>
      <c r="X184" s="33">
        <v>31.92</v>
      </c>
      <c r="Y184" s="29">
        <v>38.304000000000002</v>
      </c>
      <c r="Z184" s="29">
        <v>38.304000000000002</v>
      </c>
      <c r="AA184" s="35">
        <v>44972</v>
      </c>
      <c r="AB184" s="27"/>
      <c r="AC184" s="27"/>
      <c r="AD184" s="58">
        <v>31.92</v>
      </c>
      <c r="AE184" s="31">
        <v>0</v>
      </c>
      <c r="AF184" t="b">
        <v>0</v>
      </c>
      <c r="AG184" s="78">
        <v>-31.92</v>
      </c>
    </row>
    <row r="185" spans="1:33" x14ac:dyDescent="0.25">
      <c r="A185" t="str">
        <f t="shared" si="35"/>
        <v>2022-184</v>
      </c>
      <c r="B185" s="1">
        <f t="shared" si="36"/>
        <v>44887</v>
      </c>
      <c r="C185" t="str">
        <f t="shared" si="37"/>
        <v>/Lemon Technologies GmbH, Unterweißenbach 181, 7330 Feldbach: Bildschirm</v>
      </c>
      <c r="D185" t="str">
        <f t="shared" si="38"/>
        <v>Ausgaben</v>
      </c>
      <c r="E185" t="str">
        <f t="shared" si="39"/>
        <v>Waren, Rohstoffe, Hilfsstoffe</v>
      </c>
      <c r="F185" s="117">
        <f t="shared" si="40"/>
        <v>53.747999999999998</v>
      </c>
      <c r="G185" t="str">
        <f t="shared" si="41"/>
        <v>20%</v>
      </c>
      <c r="I185" s="53">
        <v>2022</v>
      </c>
      <c r="J185" s="53">
        <v>184</v>
      </c>
      <c r="K185" s="71" t="s">
        <v>105</v>
      </c>
      <c r="L185" t="s">
        <v>683</v>
      </c>
      <c r="M185" s="9"/>
      <c r="N185" s="1">
        <v>44887</v>
      </c>
      <c r="O185" t="s">
        <v>1238</v>
      </c>
      <c r="Q185" s="76"/>
      <c r="R185" t="b">
        <v>0</v>
      </c>
      <c r="S185" s="109">
        <v>44.79</v>
      </c>
      <c r="T185" s="72">
        <v>1</v>
      </c>
      <c r="U185">
        <v>20</v>
      </c>
      <c r="V185" s="31">
        <v>8.9580000000000002</v>
      </c>
      <c r="W185" s="31">
        <v>8.9580000000000002</v>
      </c>
      <c r="X185" s="33">
        <v>44.79</v>
      </c>
      <c r="Y185" s="29">
        <v>53.747999999999998</v>
      </c>
      <c r="Z185" s="29">
        <v>53.747999999999998</v>
      </c>
      <c r="AA185" s="35">
        <v>44972</v>
      </c>
      <c r="AB185" s="27"/>
      <c r="AC185" s="27"/>
      <c r="AD185" s="58">
        <v>44.79</v>
      </c>
      <c r="AE185" s="31">
        <v>0</v>
      </c>
      <c r="AF185" t="b">
        <v>0</v>
      </c>
      <c r="AG185" s="78">
        <v>-44.79</v>
      </c>
    </row>
    <row r="186" spans="1:33" x14ac:dyDescent="0.25">
      <c r="A186" t="str">
        <f t="shared" si="35"/>
        <v>2022-185</v>
      </c>
      <c r="B186" s="1">
        <f t="shared" si="36"/>
        <v>44894</v>
      </c>
      <c r="C186" t="str">
        <f t="shared" si="37"/>
        <v>1561270283/Sozialversicherung der gewerblichen Wirtshaft</v>
      </c>
      <c r="D186" t="str">
        <f t="shared" si="38"/>
        <v>Ausgaben</v>
      </c>
      <c r="E186" t="str">
        <f t="shared" si="39"/>
        <v>Pflichversicherungsbeiträge</v>
      </c>
      <c r="F186" s="117">
        <f t="shared" si="40"/>
        <v>5683.5</v>
      </c>
      <c r="G186" t="str">
        <f t="shared" si="41"/>
        <v>0%</v>
      </c>
      <c r="I186" s="53">
        <v>2022</v>
      </c>
      <c r="J186" s="53">
        <v>185</v>
      </c>
      <c r="K186" s="71" t="s">
        <v>105</v>
      </c>
      <c r="L186" t="s">
        <v>695</v>
      </c>
      <c r="M186" s="9" t="s">
        <v>1711</v>
      </c>
      <c r="N186" s="1">
        <v>44894</v>
      </c>
      <c r="O186" t="s">
        <v>952</v>
      </c>
      <c r="Q186" s="76"/>
      <c r="R186" t="b">
        <v>0</v>
      </c>
      <c r="S186" s="48">
        <v>5683.5</v>
      </c>
      <c r="T186" s="72">
        <v>1</v>
      </c>
      <c r="U186">
        <v>0</v>
      </c>
      <c r="V186" s="31">
        <v>0</v>
      </c>
      <c r="W186" s="31">
        <v>0</v>
      </c>
      <c r="X186" s="33">
        <v>5683.5</v>
      </c>
      <c r="Y186" s="29">
        <v>5683.5</v>
      </c>
      <c r="Z186" s="29">
        <v>5683.5</v>
      </c>
      <c r="AA186" s="35">
        <v>44972</v>
      </c>
      <c r="AB186" s="27"/>
      <c r="AC186" s="27"/>
      <c r="AD186" s="58">
        <v>5683.5</v>
      </c>
      <c r="AE186" s="31">
        <v>0</v>
      </c>
      <c r="AF186" t="b">
        <v>0</v>
      </c>
      <c r="AG186" s="78">
        <v>-5683.5</v>
      </c>
    </row>
    <row r="187" spans="1:33" x14ac:dyDescent="0.25">
      <c r="A187" t="str">
        <f t="shared" si="35"/>
        <v>2022-186</v>
      </c>
      <c r="B187" s="1">
        <f t="shared" si="36"/>
        <v>44896</v>
      </c>
      <c r="C187" t="str">
        <f t="shared" si="37"/>
        <v>/Bontus Immobilienverwaltung GmbH, 1010 Wien, Franz Josefs Kai 65</v>
      </c>
      <c r="D187" t="str">
        <f t="shared" si="38"/>
        <v>Ausgaben</v>
      </c>
      <c r="E187" t="str">
        <f t="shared" si="39"/>
        <v>Miet- und Pachtaufwand, Leasing</v>
      </c>
      <c r="F187" s="117">
        <f t="shared" si="40"/>
        <v>606.78</v>
      </c>
      <c r="G187" t="str">
        <f t="shared" si="41"/>
        <v>20%</v>
      </c>
      <c r="I187" s="53">
        <v>2022</v>
      </c>
      <c r="J187" s="53">
        <v>186</v>
      </c>
      <c r="K187" s="71" t="s">
        <v>105</v>
      </c>
      <c r="L187" t="s">
        <v>691</v>
      </c>
      <c r="M187" s="9"/>
      <c r="N187" s="1">
        <v>44896</v>
      </c>
      <c r="O187" t="s">
        <v>1113</v>
      </c>
      <c r="Q187" s="76"/>
      <c r="R187" t="b">
        <v>0</v>
      </c>
      <c r="S187" s="109">
        <v>505.65</v>
      </c>
      <c r="T187" s="72">
        <v>1</v>
      </c>
      <c r="U187">
        <v>20</v>
      </c>
      <c r="V187" s="31">
        <v>101.13</v>
      </c>
      <c r="W187" s="31">
        <v>101.13</v>
      </c>
      <c r="X187" s="33">
        <v>505.65</v>
      </c>
      <c r="Y187" s="29">
        <v>606.78</v>
      </c>
      <c r="Z187" s="29">
        <v>606.78</v>
      </c>
      <c r="AA187" s="35">
        <v>44972</v>
      </c>
      <c r="AB187" s="27"/>
      <c r="AC187" s="27"/>
      <c r="AD187" s="58">
        <v>505.65</v>
      </c>
      <c r="AE187" s="31">
        <v>0</v>
      </c>
      <c r="AF187" t="b">
        <v>0</v>
      </c>
      <c r="AG187" s="78">
        <v>-505.65</v>
      </c>
    </row>
    <row r="188" spans="1:33" x14ac:dyDescent="0.25">
      <c r="A188" t="str">
        <f t="shared" si="35"/>
        <v>2022-187</v>
      </c>
      <c r="B188" s="1">
        <f t="shared" si="36"/>
        <v>44897</v>
      </c>
      <c r="C188" t="str">
        <f t="shared" si="37"/>
        <v>/car2go Österreich GmbH, Hintere Zollamtstraße 9, 1030 Wien</v>
      </c>
      <c r="D188" t="str">
        <f t="shared" si="38"/>
        <v>Ausgaben</v>
      </c>
      <c r="E188" t="str">
        <f t="shared" si="39"/>
        <v>Reise- und Fahrtspesen inkl. Kilometergeld und Diäten</v>
      </c>
      <c r="F188" s="117">
        <f t="shared" si="40"/>
        <v>12.143999999999998</v>
      </c>
      <c r="G188" t="str">
        <f t="shared" si="41"/>
        <v>20%</v>
      </c>
      <c r="I188" s="53">
        <v>2022</v>
      </c>
      <c r="J188" s="53">
        <v>187</v>
      </c>
      <c r="K188" s="71" t="s">
        <v>105</v>
      </c>
      <c r="L188" t="s">
        <v>689</v>
      </c>
      <c r="M188" s="131"/>
      <c r="N188" s="1">
        <v>44897</v>
      </c>
      <c r="O188" t="s">
        <v>974</v>
      </c>
      <c r="Q188" s="76"/>
      <c r="R188" t="b">
        <v>0</v>
      </c>
      <c r="S188" s="48">
        <v>10.119999999999999</v>
      </c>
      <c r="T188" s="72">
        <v>1</v>
      </c>
      <c r="U188">
        <v>20</v>
      </c>
      <c r="V188" s="31">
        <v>2.0239999999999996</v>
      </c>
      <c r="W188" s="31">
        <v>2.0239999999999996</v>
      </c>
      <c r="X188" s="33">
        <v>10.119999999999999</v>
      </c>
      <c r="Y188" s="29">
        <v>12.143999999999998</v>
      </c>
      <c r="Z188" s="29">
        <v>12.143999999999998</v>
      </c>
      <c r="AA188" s="35">
        <v>44972</v>
      </c>
      <c r="AB188" s="27"/>
      <c r="AC188" s="27"/>
      <c r="AD188" s="58">
        <v>10.119999999999999</v>
      </c>
      <c r="AE188" s="31">
        <v>0</v>
      </c>
      <c r="AF188" t="b">
        <v>0</v>
      </c>
      <c r="AG188" s="78">
        <v>-10.119999999999999</v>
      </c>
    </row>
    <row r="189" spans="1:33" x14ac:dyDescent="0.25">
      <c r="A189" t="str">
        <f t="shared" si="35"/>
        <v>2022-188</v>
      </c>
      <c r="B189" s="1">
        <f t="shared" si="36"/>
        <v>44897</v>
      </c>
      <c r="C189" t="str">
        <f t="shared" si="37"/>
        <v>/Hutchison Drei Austria GmbH, Brünner Straße 52, 1210 Wien, Österreich</v>
      </c>
      <c r="D189" t="str">
        <f t="shared" si="38"/>
        <v>Ausgaben</v>
      </c>
      <c r="E189" t="str">
        <f t="shared" si="39"/>
        <v>Telefon/Internet</v>
      </c>
      <c r="F189" s="117">
        <f t="shared" si="40"/>
        <v>18</v>
      </c>
      <c r="G189" t="str">
        <f t="shared" si="41"/>
        <v>20%</v>
      </c>
      <c r="I189" s="53">
        <v>2022</v>
      </c>
      <c r="J189" s="53">
        <v>188</v>
      </c>
      <c r="K189" s="71" t="s">
        <v>105</v>
      </c>
      <c r="L189" t="s">
        <v>703</v>
      </c>
      <c r="M189" s="9"/>
      <c r="N189" s="1">
        <v>44897</v>
      </c>
      <c r="O189" t="s">
        <v>34</v>
      </c>
      <c r="Q189" s="76"/>
      <c r="R189" t="b">
        <v>0</v>
      </c>
      <c r="S189" s="48">
        <v>15</v>
      </c>
      <c r="T189" s="72">
        <v>1</v>
      </c>
      <c r="U189">
        <v>20</v>
      </c>
      <c r="V189" s="31">
        <v>3</v>
      </c>
      <c r="W189" s="31">
        <v>3</v>
      </c>
      <c r="X189" s="33">
        <v>15</v>
      </c>
      <c r="Y189" s="29">
        <v>18</v>
      </c>
      <c r="Z189" s="29">
        <v>18</v>
      </c>
      <c r="AA189" s="35">
        <v>44972</v>
      </c>
      <c r="AB189" s="27"/>
      <c r="AC189" s="27"/>
      <c r="AD189" s="58">
        <v>15</v>
      </c>
      <c r="AE189" s="31">
        <v>0</v>
      </c>
      <c r="AF189" t="b">
        <v>0</v>
      </c>
      <c r="AG189" s="78">
        <v>-15</v>
      </c>
    </row>
    <row r="190" spans="1:33" x14ac:dyDescent="0.25">
      <c r="A190" t="str">
        <f t="shared" si="35"/>
        <v>2022-189</v>
      </c>
      <c r="B190" s="1">
        <f t="shared" si="36"/>
        <v>44900</v>
      </c>
      <c r="C190" t="str">
        <f t="shared" si="37"/>
        <v>/Google Ireland Ltd, Gordon House, Barrow Street, Dublin 4, Ireland; VAT number: IE 6388047V</v>
      </c>
      <c r="D190" t="str">
        <f t="shared" si="38"/>
        <v>Ausgaben</v>
      </c>
      <c r="E190" t="str">
        <f t="shared" si="39"/>
        <v>sonstige Betriebsausgaben</v>
      </c>
      <c r="F190" s="117">
        <f t="shared" si="40"/>
        <v>9.36</v>
      </c>
      <c r="G190" t="str">
        <f t="shared" si="41"/>
        <v>0%</v>
      </c>
      <c r="I190" s="53">
        <v>2022</v>
      </c>
      <c r="J190" s="53">
        <v>189</v>
      </c>
      <c r="K190" s="71" t="s">
        <v>105</v>
      </c>
      <c r="L190" t="s">
        <v>705</v>
      </c>
      <c r="M190" s="9"/>
      <c r="N190" s="1">
        <v>44900</v>
      </c>
      <c r="O190" t="s">
        <v>1404</v>
      </c>
      <c r="Q190" s="76"/>
      <c r="R190" t="b">
        <v>0</v>
      </c>
      <c r="S190" s="109">
        <v>9.36</v>
      </c>
      <c r="T190" s="72">
        <v>1</v>
      </c>
      <c r="U190">
        <v>0</v>
      </c>
      <c r="V190" s="31">
        <v>0</v>
      </c>
      <c r="W190" s="31">
        <v>0</v>
      </c>
      <c r="X190" s="33">
        <v>9.36</v>
      </c>
      <c r="Y190" s="29">
        <v>9.36</v>
      </c>
      <c r="Z190" s="29">
        <v>9.36</v>
      </c>
      <c r="AA190" s="35">
        <v>44972</v>
      </c>
      <c r="AB190" s="27"/>
      <c r="AC190" s="27">
        <v>20</v>
      </c>
      <c r="AD190" s="58">
        <v>9.36</v>
      </c>
      <c r="AE190" s="31">
        <v>1.8719999999999999</v>
      </c>
      <c r="AF190" t="b">
        <v>0</v>
      </c>
      <c r="AG190" s="78">
        <v>-9.36</v>
      </c>
    </row>
    <row r="191" spans="1:33" x14ac:dyDescent="0.25">
      <c r="A191" t="str">
        <f t="shared" si="35"/>
        <v>2022-190</v>
      </c>
      <c r="B191" s="1">
        <f t="shared" si="36"/>
        <v>44900</v>
      </c>
      <c r="C191" t="str">
        <f t="shared" si="37"/>
        <v>siehe Jahresabrechnung/go green energy GmbH &amp; Co KG</v>
      </c>
      <c r="D191" t="str">
        <f t="shared" si="38"/>
        <v>Ausgaben</v>
      </c>
      <c r="E191" t="str">
        <f t="shared" si="39"/>
        <v>sonstige Betriebsausgaben</v>
      </c>
      <c r="F191" s="117">
        <f t="shared" si="40"/>
        <v>3</v>
      </c>
      <c r="G191" t="str">
        <f t="shared" si="41"/>
        <v>20%</v>
      </c>
      <c r="I191" s="53">
        <v>2022</v>
      </c>
      <c r="J191" s="53">
        <v>190</v>
      </c>
      <c r="K191" s="71" t="s">
        <v>105</v>
      </c>
      <c r="L191" t="s">
        <v>705</v>
      </c>
      <c r="M191" s="153" t="s">
        <v>1698</v>
      </c>
      <c r="N191" s="1">
        <v>44900</v>
      </c>
      <c r="O191" t="s">
        <v>1670</v>
      </c>
      <c r="Q191" s="76"/>
      <c r="R191" t="b">
        <v>0</v>
      </c>
      <c r="S191" s="109">
        <v>2.5</v>
      </c>
      <c r="T191" s="72">
        <v>1</v>
      </c>
      <c r="U191">
        <v>20</v>
      </c>
      <c r="V191" s="31">
        <v>0.5</v>
      </c>
      <c r="W191" s="31">
        <v>0.5</v>
      </c>
      <c r="X191" s="33">
        <v>2.5</v>
      </c>
      <c r="Y191" s="29">
        <v>3</v>
      </c>
      <c r="Z191" s="29">
        <v>3</v>
      </c>
      <c r="AA191" s="35">
        <v>44972</v>
      </c>
      <c r="AB191" s="27"/>
      <c r="AC191" s="27"/>
      <c r="AD191" s="58">
        <v>2.5</v>
      </c>
      <c r="AE191" s="31">
        <v>0</v>
      </c>
      <c r="AF191" t="b">
        <v>0</v>
      </c>
      <c r="AG191" s="78">
        <v>-2.5</v>
      </c>
    </row>
    <row r="192" spans="1:33" x14ac:dyDescent="0.25">
      <c r="A192" t="str">
        <f t="shared" si="35"/>
        <v>2022-191</v>
      </c>
      <c r="B192" s="1">
        <f t="shared" si="36"/>
        <v>44900</v>
      </c>
      <c r="C192" t="str">
        <f t="shared" si="37"/>
        <v>BELEG FEHLT/Techem Messtechnik GmbH; Abnehmernummer 501686-0003-11-</v>
      </c>
      <c r="D192" t="str">
        <f t="shared" si="38"/>
        <v>Ausgaben</v>
      </c>
      <c r="E192" t="str">
        <f t="shared" si="39"/>
        <v>Miet- und Pachtaufwand, Leasing</v>
      </c>
      <c r="F192" s="117">
        <f t="shared" si="40"/>
        <v>147.12</v>
      </c>
      <c r="G192" t="str">
        <f t="shared" si="41"/>
        <v>20%</v>
      </c>
      <c r="I192" s="53">
        <v>2022</v>
      </c>
      <c r="J192" s="53">
        <v>191</v>
      </c>
      <c r="K192" s="71" t="s">
        <v>105</v>
      </c>
      <c r="L192" t="s">
        <v>691</v>
      </c>
      <c r="M192" s="61" t="s">
        <v>1064</v>
      </c>
      <c r="N192" s="1">
        <v>44900</v>
      </c>
      <c r="O192" t="s">
        <v>1558</v>
      </c>
      <c r="Q192" s="76"/>
      <c r="R192" t="b">
        <v>0</v>
      </c>
      <c r="S192" s="109">
        <v>122.6</v>
      </c>
      <c r="T192" s="72">
        <v>1</v>
      </c>
      <c r="U192">
        <v>20</v>
      </c>
      <c r="V192" s="31">
        <v>24.52</v>
      </c>
      <c r="W192" s="31">
        <v>24.52</v>
      </c>
      <c r="X192" s="33">
        <v>122.6</v>
      </c>
      <c r="Y192" s="29">
        <v>147.12</v>
      </c>
      <c r="Z192" s="29">
        <v>147.12</v>
      </c>
      <c r="AA192" s="35">
        <v>44972</v>
      </c>
      <c r="AB192" s="27"/>
      <c r="AC192" s="27"/>
      <c r="AD192" s="58">
        <v>122.6</v>
      </c>
      <c r="AE192" s="31">
        <v>0</v>
      </c>
      <c r="AF192" t="b">
        <v>0</v>
      </c>
      <c r="AG192" s="78">
        <v>-122.6</v>
      </c>
    </row>
    <row r="193" spans="1:33" x14ac:dyDescent="0.25">
      <c r="A193" t="str">
        <f t="shared" si="35"/>
        <v>2022-192</v>
      </c>
      <c r="B193" s="1">
        <f t="shared" si="36"/>
        <v>44908</v>
      </c>
      <c r="C193" t="str">
        <f t="shared" si="37"/>
        <v>8040764924/Thalia Wien Millenium City, Handelskai 94-96, 1200 Wien</v>
      </c>
      <c r="D193" t="str">
        <f t="shared" si="38"/>
        <v>Ausgaben</v>
      </c>
      <c r="E193" t="str">
        <f t="shared" si="39"/>
        <v>sonstige Betriebsausgaben</v>
      </c>
      <c r="F193" s="117">
        <f t="shared" si="40"/>
        <v>15.4</v>
      </c>
      <c r="G193" t="str">
        <f t="shared" si="41"/>
        <v>10%</v>
      </c>
      <c r="I193" s="53">
        <v>2022</v>
      </c>
      <c r="J193" s="53">
        <v>192</v>
      </c>
      <c r="K193" s="71" t="s">
        <v>105</v>
      </c>
      <c r="L193" t="s">
        <v>705</v>
      </c>
      <c r="M193" s="9" t="s">
        <v>1712</v>
      </c>
      <c r="N193" s="1">
        <v>44908</v>
      </c>
      <c r="O193" t="s">
        <v>1713</v>
      </c>
      <c r="Q193" s="76"/>
      <c r="R193" t="b">
        <v>0</v>
      </c>
      <c r="S193" s="109">
        <v>14</v>
      </c>
      <c r="T193" s="72">
        <v>1</v>
      </c>
      <c r="U193">
        <v>10</v>
      </c>
      <c r="V193" s="31">
        <v>1.4</v>
      </c>
      <c r="W193" s="31">
        <v>1.4</v>
      </c>
      <c r="X193" s="33">
        <v>14</v>
      </c>
      <c r="Y193" s="29">
        <v>15.4</v>
      </c>
      <c r="Z193" s="29">
        <v>15.4</v>
      </c>
      <c r="AA193" s="35">
        <v>44972</v>
      </c>
      <c r="AB193" s="27"/>
      <c r="AC193" s="27"/>
      <c r="AD193" s="58">
        <v>14</v>
      </c>
      <c r="AE193" s="31">
        <v>0</v>
      </c>
      <c r="AF193" t="b">
        <v>0</v>
      </c>
      <c r="AG193" s="78">
        <v>-14</v>
      </c>
    </row>
    <row r="194" spans="1:33" x14ac:dyDescent="0.25">
      <c r="A194" t="str">
        <f t="shared" si="35"/>
        <v>2022-193</v>
      </c>
      <c r="B194" s="1">
        <f t="shared" si="36"/>
        <v>44908</v>
      </c>
      <c r="C194" t="str">
        <f t="shared" si="37"/>
        <v>/Hetzner Online GmbH</v>
      </c>
      <c r="D194" t="str">
        <f t="shared" si="38"/>
        <v>Ausgaben</v>
      </c>
      <c r="E194" t="str">
        <f t="shared" si="39"/>
        <v>sonstige Betriebsausgaben</v>
      </c>
      <c r="F194" s="117">
        <f t="shared" si="40"/>
        <v>47.776499999999999</v>
      </c>
      <c r="G194" t="str">
        <f t="shared" si="41"/>
        <v>0%</v>
      </c>
      <c r="I194" s="53">
        <v>2022</v>
      </c>
      <c r="J194" s="53">
        <v>193</v>
      </c>
      <c r="K194" s="71" t="s">
        <v>105</v>
      </c>
      <c r="L194" t="s">
        <v>705</v>
      </c>
      <c r="M194" s="9"/>
      <c r="N194" s="1">
        <v>44908</v>
      </c>
      <c r="O194" t="s">
        <v>927</v>
      </c>
      <c r="Q194" s="76"/>
      <c r="R194" t="b">
        <v>0</v>
      </c>
      <c r="S194" s="48">
        <v>47.776499999999999</v>
      </c>
      <c r="T194" s="72">
        <v>1</v>
      </c>
      <c r="U194">
        <v>0</v>
      </c>
      <c r="V194" s="31">
        <v>0</v>
      </c>
      <c r="W194" s="31">
        <v>0</v>
      </c>
      <c r="X194" s="33">
        <v>47.776499999999999</v>
      </c>
      <c r="Y194" s="29">
        <v>47.776499999999999</v>
      </c>
      <c r="Z194" s="29">
        <v>47.776499999999999</v>
      </c>
      <c r="AA194" s="35">
        <v>44972</v>
      </c>
      <c r="AB194" s="27"/>
      <c r="AC194" s="27">
        <v>20</v>
      </c>
      <c r="AD194" s="58">
        <v>47.776499999999999</v>
      </c>
      <c r="AE194" s="31">
        <v>9.5553000000000008</v>
      </c>
      <c r="AF194" t="b">
        <v>0</v>
      </c>
      <c r="AG194" s="78">
        <v>-47.776499999999999</v>
      </c>
    </row>
    <row r="195" spans="1:33" x14ac:dyDescent="0.25">
      <c r="A195" t="str">
        <f t="shared" ref="A195:A209" si="42">I195&amp;"-"&amp;J195</f>
        <v>2022-194</v>
      </c>
      <c r="B195" s="1">
        <f t="shared" ref="B195:B209" si="43">N195</f>
        <v>44910</v>
      </c>
      <c r="C195" t="str">
        <f t="shared" ref="C195:C209" si="44">M195&amp;"/"&amp;O195</f>
        <v>siehe 2022-140/Honorar Eva Jaros-Kolbitsch</v>
      </c>
      <c r="D195" t="str">
        <f t="shared" ref="D195:D209" si="45">K195</f>
        <v>Ausgaben</v>
      </c>
      <c r="E195" t="str">
        <f t="shared" ref="E195:E209" si="46">L195</f>
        <v>Personalaufwand</v>
      </c>
      <c r="F195" s="117">
        <f t="shared" ref="F195:F209" si="47">Z195</f>
        <v>365</v>
      </c>
      <c r="G195" t="str">
        <f t="shared" ref="G195:G209" si="48">U195&amp;"%"</f>
        <v>0%</v>
      </c>
      <c r="I195" s="53">
        <v>2022</v>
      </c>
      <c r="J195" s="53">
        <v>194</v>
      </c>
      <c r="K195" s="71" t="s">
        <v>105</v>
      </c>
      <c r="L195" t="s">
        <v>685</v>
      </c>
      <c r="M195" s="9" t="s">
        <v>1699</v>
      </c>
      <c r="N195" s="1">
        <v>44910</v>
      </c>
      <c r="O195" t="s">
        <v>1689</v>
      </c>
      <c r="Q195" s="76"/>
      <c r="R195" t="b">
        <v>0</v>
      </c>
      <c r="S195" s="48">
        <v>365</v>
      </c>
      <c r="T195" s="72">
        <v>1</v>
      </c>
      <c r="U195">
        <v>0</v>
      </c>
      <c r="V195" s="31">
        <v>0</v>
      </c>
      <c r="W195" s="31">
        <v>0</v>
      </c>
      <c r="X195" s="33">
        <v>365</v>
      </c>
      <c r="Y195" s="29">
        <v>365</v>
      </c>
      <c r="Z195" s="29">
        <v>365</v>
      </c>
      <c r="AA195" s="35">
        <v>44972</v>
      </c>
      <c r="AB195" s="27"/>
      <c r="AC195" s="27"/>
      <c r="AD195" s="58">
        <v>365</v>
      </c>
      <c r="AE195" s="31">
        <v>0</v>
      </c>
      <c r="AF195" t="b">
        <v>0</v>
      </c>
      <c r="AG195" s="78">
        <v>-365</v>
      </c>
    </row>
    <row r="196" spans="1:33" x14ac:dyDescent="0.25">
      <c r="A196" t="str">
        <f t="shared" si="42"/>
        <v>2022-195</v>
      </c>
      <c r="B196" s="1">
        <f t="shared" si="43"/>
        <v>44911</v>
      </c>
      <c r="C196" t="str">
        <f t="shared" si="44"/>
        <v>/Bontus Immobilienverwaltung GmbH, 1010 Wien, Franz Josefs Kai 65</v>
      </c>
      <c r="D196" t="str">
        <f t="shared" si="45"/>
        <v>Ausgaben</v>
      </c>
      <c r="E196" t="str">
        <f t="shared" si="46"/>
        <v>Miet- und Pachtaufwand, Leasing</v>
      </c>
      <c r="F196" s="117">
        <f t="shared" si="47"/>
        <v>161.59</v>
      </c>
      <c r="G196" t="str">
        <f t="shared" si="48"/>
        <v>0%</v>
      </c>
      <c r="I196" s="53">
        <v>2022</v>
      </c>
      <c r="J196" s="53">
        <v>195</v>
      </c>
      <c r="K196" s="71" t="s">
        <v>105</v>
      </c>
      <c r="L196" t="s">
        <v>691</v>
      </c>
      <c r="M196" s="9"/>
      <c r="N196" s="1">
        <v>44911</v>
      </c>
      <c r="O196" t="s">
        <v>1113</v>
      </c>
      <c r="Q196" s="76"/>
      <c r="R196" t="b">
        <v>0</v>
      </c>
      <c r="S196" s="109">
        <v>161.59</v>
      </c>
      <c r="T196" s="72">
        <v>1</v>
      </c>
      <c r="U196">
        <v>0</v>
      </c>
      <c r="V196" s="31">
        <v>0</v>
      </c>
      <c r="W196" s="31">
        <v>0</v>
      </c>
      <c r="X196" s="33">
        <v>161.59</v>
      </c>
      <c r="Y196" s="29">
        <v>161.59</v>
      </c>
      <c r="Z196" s="29">
        <v>161.59</v>
      </c>
      <c r="AA196" s="35">
        <v>44972</v>
      </c>
      <c r="AB196" s="27"/>
      <c r="AC196" s="27"/>
      <c r="AD196" s="58">
        <v>161.59</v>
      </c>
      <c r="AE196" s="31">
        <v>0</v>
      </c>
      <c r="AF196" t="b">
        <v>0</v>
      </c>
      <c r="AG196" s="78">
        <v>-161.59</v>
      </c>
    </row>
    <row r="197" spans="1:33" x14ac:dyDescent="0.25">
      <c r="A197" t="str">
        <f t="shared" si="42"/>
        <v>2022-196</v>
      </c>
      <c r="B197" s="1">
        <f t="shared" si="43"/>
        <v>44911</v>
      </c>
      <c r="C197" t="str">
        <f t="shared" si="44"/>
        <v>168046740/Hays Österreich GmbH, Bahnhof City Wien West , Europaplatz 3/5, 1150 Wien</v>
      </c>
      <c r="D197" t="str">
        <f t="shared" si="45"/>
        <v>Einnahmen</v>
      </c>
      <c r="E197" t="str">
        <f t="shared" si="46"/>
        <v>Waren-/Leistungserlöse</v>
      </c>
      <c r="F197" s="117">
        <f t="shared" si="47"/>
        <v>14666.4</v>
      </c>
      <c r="G197" t="str">
        <f t="shared" si="48"/>
        <v>20%</v>
      </c>
      <c r="I197" s="53">
        <v>2022</v>
      </c>
      <c r="J197" s="53">
        <v>196</v>
      </c>
      <c r="K197" s="71" t="s">
        <v>708</v>
      </c>
      <c r="L197" t="s">
        <v>709</v>
      </c>
      <c r="M197">
        <v>168046740</v>
      </c>
      <c r="N197" s="1">
        <v>44911</v>
      </c>
      <c r="O197" t="s">
        <v>1652</v>
      </c>
      <c r="Q197" s="76"/>
      <c r="R197" t="b">
        <v>0</v>
      </c>
      <c r="S197" s="48">
        <v>12222</v>
      </c>
      <c r="T197" s="72">
        <v>1</v>
      </c>
      <c r="U197">
        <v>20</v>
      </c>
      <c r="V197" s="31">
        <v>2444.4</v>
      </c>
      <c r="W197" s="31">
        <v>2444.4</v>
      </c>
      <c r="X197" s="33">
        <v>12222</v>
      </c>
      <c r="Y197" s="29">
        <v>14666.4</v>
      </c>
      <c r="Z197" s="29">
        <v>14666.4</v>
      </c>
      <c r="AA197" s="35">
        <v>44972</v>
      </c>
      <c r="AB197" s="27"/>
      <c r="AC197" s="27"/>
      <c r="AD197" s="58">
        <v>12222</v>
      </c>
      <c r="AE197" s="31">
        <v>0</v>
      </c>
      <c r="AF197" t="b">
        <v>0</v>
      </c>
      <c r="AG197" s="78">
        <v>12222</v>
      </c>
    </row>
    <row r="198" spans="1:33" x14ac:dyDescent="0.25">
      <c r="A198" t="str">
        <f t="shared" si="42"/>
        <v>2022-197</v>
      </c>
      <c r="B198" s="1">
        <f t="shared" si="43"/>
        <v>44914</v>
      </c>
      <c r="C198" t="str">
        <f t="shared" si="44"/>
        <v>AT2Q8NVIAEUI/Amazon EU S. à r.l., 38 avenue John F. Kennedy, L-1855 Luxembourg: HJEU: DVI-HDMI, Logitech Maus</v>
      </c>
      <c r="D198" t="str">
        <f t="shared" si="45"/>
        <v>Ausgaben</v>
      </c>
      <c r="E198" t="str">
        <f t="shared" si="46"/>
        <v>Büromaterial</v>
      </c>
      <c r="F198" s="117">
        <f t="shared" si="47"/>
        <v>20.16</v>
      </c>
      <c r="G198" t="str">
        <f t="shared" si="48"/>
        <v>20%</v>
      </c>
      <c r="I198" s="53">
        <v>2022</v>
      </c>
      <c r="J198" s="53">
        <v>197</v>
      </c>
      <c r="K198" s="71" t="s">
        <v>105</v>
      </c>
      <c r="L198" t="s">
        <v>339</v>
      </c>
      <c r="M198" s="9" t="s">
        <v>1714</v>
      </c>
      <c r="N198" s="1">
        <v>44914</v>
      </c>
      <c r="O198" t="s">
        <v>981</v>
      </c>
      <c r="Q198" s="76"/>
      <c r="R198" t="b">
        <v>0</v>
      </c>
      <c r="S198" s="109">
        <v>16.8</v>
      </c>
      <c r="T198" s="72">
        <v>1</v>
      </c>
      <c r="U198">
        <v>20</v>
      </c>
      <c r="V198" s="31">
        <v>3.36</v>
      </c>
      <c r="W198" s="31">
        <v>3.36</v>
      </c>
      <c r="X198" s="33">
        <v>16.8</v>
      </c>
      <c r="Y198" s="29">
        <v>20.16</v>
      </c>
      <c r="Z198" s="29">
        <v>20.16</v>
      </c>
      <c r="AA198" s="35">
        <v>44972</v>
      </c>
      <c r="AB198" s="27"/>
      <c r="AC198" s="27"/>
      <c r="AD198" s="58">
        <v>16.8</v>
      </c>
      <c r="AE198" s="31">
        <v>0</v>
      </c>
      <c r="AF198" t="b">
        <v>0</v>
      </c>
      <c r="AG198" s="78">
        <v>-16.8</v>
      </c>
    </row>
    <row r="199" spans="1:33" x14ac:dyDescent="0.25">
      <c r="A199" t="str">
        <f t="shared" si="42"/>
        <v>2022-198</v>
      </c>
      <c r="B199" s="1">
        <f t="shared" si="43"/>
        <v>44914</v>
      </c>
      <c r="C199" t="str">
        <f t="shared" si="44"/>
        <v>/Microsoft Ireland Operations Ltd. One Microsoft Place, South County, Business Park, Leopardstown, Dublin 18, D18 P521, Ireland</v>
      </c>
      <c r="D199" t="str">
        <f t="shared" si="45"/>
        <v>Ausgaben</v>
      </c>
      <c r="E199" t="str">
        <f t="shared" si="46"/>
        <v>sonstige Betriebsausgaben</v>
      </c>
      <c r="F199" s="117">
        <f t="shared" si="47"/>
        <v>10.5</v>
      </c>
      <c r="G199" t="str">
        <f t="shared" si="48"/>
        <v>0%</v>
      </c>
      <c r="I199" s="53">
        <v>2022</v>
      </c>
      <c r="J199" s="53">
        <v>198</v>
      </c>
      <c r="K199" s="71" t="s">
        <v>105</v>
      </c>
      <c r="L199" t="s">
        <v>705</v>
      </c>
      <c r="N199" s="1">
        <v>44914</v>
      </c>
      <c r="O199" t="s">
        <v>1032</v>
      </c>
      <c r="Q199" s="76"/>
      <c r="R199" t="b">
        <v>0</v>
      </c>
      <c r="S199" s="109">
        <v>10.5</v>
      </c>
      <c r="T199" s="72">
        <v>1</v>
      </c>
      <c r="U199">
        <v>0</v>
      </c>
      <c r="V199" s="31">
        <v>0</v>
      </c>
      <c r="W199" s="31">
        <v>0</v>
      </c>
      <c r="X199" s="33">
        <v>10.5</v>
      </c>
      <c r="Y199" s="29">
        <v>10.5</v>
      </c>
      <c r="Z199" s="29">
        <v>10.5</v>
      </c>
      <c r="AA199" s="35">
        <v>44972</v>
      </c>
      <c r="AB199" s="27"/>
      <c r="AC199" s="27">
        <v>20</v>
      </c>
      <c r="AD199" s="58">
        <v>10.5</v>
      </c>
      <c r="AE199" s="31">
        <v>2.1</v>
      </c>
      <c r="AF199" t="b">
        <v>0</v>
      </c>
      <c r="AG199" s="78">
        <v>-10.5</v>
      </c>
    </row>
    <row r="200" spans="1:33" x14ac:dyDescent="0.25">
      <c r="A200" t="str">
        <f t="shared" si="42"/>
        <v>2022-199</v>
      </c>
      <c r="B200" s="1">
        <f t="shared" si="43"/>
        <v>44916</v>
      </c>
      <c r="C200" t="str">
        <f t="shared" si="44"/>
        <v>901153451222/Magenta: T-Mobile Austria GmbH, A-1120 Wien, PF 47</v>
      </c>
      <c r="D200" t="str">
        <f t="shared" si="45"/>
        <v>Ausgaben</v>
      </c>
      <c r="E200" t="str">
        <f t="shared" si="46"/>
        <v>Telefon/Internet</v>
      </c>
      <c r="F200" s="117">
        <f t="shared" si="47"/>
        <v>38.304000000000002</v>
      </c>
      <c r="G200" t="str">
        <f t="shared" si="48"/>
        <v>20%</v>
      </c>
      <c r="I200" s="53">
        <v>2022</v>
      </c>
      <c r="J200" s="53">
        <v>199</v>
      </c>
      <c r="K200" s="71" t="s">
        <v>105</v>
      </c>
      <c r="L200" t="s">
        <v>703</v>
      </c>
      <c r="M200" s="131" t="s">
        <v>1715</v>
      </c>
      <c r="N200" s="1">
        <v>44916</v>
      </c>
      <c r="O200" t="s">
        <v>1148</v>
      </c>
      <c r="Q200" s="76"/>
      <c r="R200" t="b">
        <v>0</v>
      </c>
      <c r="S200" s="48">
        <v>31.92</v>
      </c>
      <c r="T200" s="72">
        <v>1</v>
      </c>
      <c r="U200">
        <v>20</v>
      </c>
      <c r="V200" s="31">
        <v>6.3840000000000012</v>
      </c>
      <c r="W200" s="31">
        <v>6.3840000000000012</v>
      </c>
      <c r="X200" s="33">
        <v>31.92</v>
      </c>
      <c r="Y200" s="29">
        <v>38.304000000000002</v>
      </c>
      <c r="Z200" s="29">
        <v>38.304000000000002</v>
      </c>
      <c r="AA200" s="35">
        <v>44972</v>
      </c>
      <c r="AB200" s="27"/>
      <c r="AC200" s="27"/>
      <c r="AD200" s="58">
        <v>31.92</v>
      </c>
      <c r="AE200" s="31">
        <v>0</v>
      </c>
      <c r="AF200" t="b">
        <v>0</v>
      </c>
      <c r="AG200" s="78">
        <v>-31.92</v>
      </c>
    </row>
    <row r="201" spans="1:33" x14ac:dyDescent="0.25">
      <c r="A201" t="str">
        <f t="shared" si="42"/>
        <v>2022-200</v>
      </c>
      <c r="B201" s="1">
        <f t="shared" si="43"/>
        <v>44918</v>
      </c>
      <c r="C201" t="str">
        <f t="shared" si="44"/>
        <v>/Hetzner Online GmbH</v>
      </c>
      <c r="D201" t="str">
        <f t="shared" si="45"/>
        <v>Ausgaben</v>
      </c>
      <c r="E201" t="str">
        <f t="shared" si="46"/>
        <v>sonstige Betriebsausgaben</v>
      </c>
      <c r="F201" s="117">
        <f t="shared" si="47"/>
        <v>10</v>
      </c>
      <c r="G201" t="str">
        <f t="shared" si="48"/>
        <v>0%</v>
      </c>
      <c r="I201" s="53">
        <v>2022</v>
      </c>
      <c r="J201" s="53">
        <v>200</v>
      </c>
      <c r="K201" s="71" t="s">
        <v>105</v>
      </c>
      <c r="L201" t="s">
        <v>705</v>
      </c>
      <c r="M201" s="9"/>
      <c r="N201" s="1">
        <v>44918</v>
      </c>
      <c r="O201" t="s">
        <v>927</v>
      </c>
      <c r="Q201" s="76"/>
      <c r="R201" t="b">
        <v>0</v>
      </c>
      <c r="S201" s="48">
        <v>10</v>
      </c>
      <c r="T201" s="72">
        <v>1</v>
      </c>
      <c r="U201">
        <v>0</v>
      </c>
      <c r="V201" s="31">
        <v>0</v>
      </c>
      <c r="W201" s="31">
        <v>0</v>
      </c>
      <c r="X201" s="33">
        <v>10</v>
      </c>
      <c r="Y201" s="29">
        <v>10</v>
      </c>
      <c r="Z201" s="29">
        <v>10</v>
      </c>
      <c r="AA201" s="35">
        <v>44972</v>
      </c>
      <c r="AB201" s="27"/>
      <c r="AC201" s="27">
        <v>20</v>
      </c>
      <c r="AD201" s="58">
        <v>10</v>
      </c>
      <c r="AE201" s="31">
        <v>2</v>
      </c>
      <c r="AF201" t="b">
        <v>0</v>
      </c>
      <c r="AG201" s="78">
        <v>-10</v>
      </c>
    </row>
    <row r="202" spans="1:33" x14ac:dyDescent="0.25">
      <c r="A202" t="str">
        <f t="shared" si="42"/>
        <v>2022-201</v>
      </c>
      <c r="B202" s="1">
        <f t="shared" si="43"/>
        <v>44922</v>
      </c>
      <c r="C202" t="str">
        <f t="shared" si="44"/>
        <v>BELEG FEHLT/Wiener Netze GmbH, Erdbergstraße 236, 1110 Wien, Postfach 422; Jahresabrechnung vom 17.12.20: GUTSCHRIFT</v>
      </c>
      <c r="D202" t="str">
        <f t="shared" si="45"/>
        <v>Ausgaben</v>
      </c>
      <c r="E202" t="str">
        <f t="shared" si="46"/>
        <v>sonstige Betriebsausgaben</v>
      </c>
      <c r="F202" s="117">
        <f t="shared" si="47"/>
        <v>7.3800000000000008</v>
      </c>
      <c r="G202" t="str">
        <f t="shared" si="48"/>
        <v>20%</v>
      </c>
      <c r="I202" s="53">
        <v>2022</v>
      </c>
      <c r="J202" s="53">
        <v>201</v>
      </c>
      <c r="K202" s="71" t="s">
        <v>105</v>
      </c>
      <c r="L202" t="s">
        <v>705</v>
      </c>
      <c r="M202" s="61" t="s">
        <v>1064</v>
      </c>
      <c r="N202" s="1">
        <v>44922</v>
      </c>
      <c r="O202" t="s">
        <v>1466</v>
      </c>
      <c r="Q202" s="76"/>
      <c r="R202" t="b">
        <v>0</v>
      </c>
      <c r="S202" s="48">
        <v>6.15</v>
      </c>
      <c r="T202" s="72">
        <v>1</v>
      </c>
      <c r="U202">
        <v>20</v>
      </c>
      <c r="V202" s="31">
        <v>1.23</v>
      </c>
      <c r="W202" s="31">
        <v>1.23</v>
      </c>
      <c r="X202" s="33">
        <v>6.15</v>
      </c>
      <c r="Y202" s="29">
        <v>7.3800000000000008</v>
      </c>
      <c r="Z202" s="29">
        <v>7.3800000000000008</v>
      </c>
      <c r="AA202" s="35">
        <v>44972</v>
      </c>
      <c r="AB202" s="27"/>
      <c r="AC202" s="27"/>
      <c r="AD202" s="58">
        <v>6.15</v>
      </c>
      <c r="AE202" s="31">
        <v>0</v>
      </c>
      <c r="AF202" t="b">
        <v>0</v>
      </c>
      <c r="AG202" s="78">
        <v>-6.15</v>
      </c>
    </row>
    <row r="203" spans="1:33" x14ac:dyDescent="0.25">
      <c r="A203" t="str">
        <f t="shared" si="42"/>
        <v>2022-202</v>
      </c>
      <c r="B203" s="1">
        <f t="shared" si="43"/>
        <v>44924</v>
      </c>
      <c r="C203" t="str">
        <f t="shared" si="44"/>
        <v>1561270283/Sozialversicherung der gewerblichen Wirtshaft</v>
      </c>
      <c r="D203" t="str">
        <f t="shared" si="45"/>
        <v>Ausgaben</v>
      </c>
      <c r="E203" t="str">
        <f t="shared" si="46"/>
        <v>Pflichversicherungsbeiträge</v>
      </c>
      <c r="F203" s="117">
        <f t="shared" si="47"/>
        <v>15000</v>
      </c>
      <c r="G203" t="str">
        <f t="shared" si="48"/>
        <v>0%</v>
      </c>
      <c r="I203" s="53">
        <v>2022</v>
      </c>
      <c r="J203" s="53">
        <v>202</v>
      </c>
      <c r="K203" s="71" t="s">
        <v>105</v>
      </c>
      <c r="L203" t="s">
        <v>695</v>
      </c>
      <c r="M203" s="9" t="s">
        <v>1711</v>
      </c>
      <c r="N203" s="1">
        <v>44924</v>
      </c>
      <c r="O203" t="s">
        <v>952</v>
      </c>
      <c r="Q203" s="76"/>
      <c r="R203" t="b">
        <v>0</v>
      </c>
      <c r="S203" s="48">
        <v>15000</v>
      </c>
      <c r="T203" s="72">
        <v>1</v>
      </c>
      <c r="U203">
        <v>0</v>
      </c>
      <c r="V203" s="31">
        <v>0</v>
      </c>
      <c r="W203" s="31">
        <v>0</v>
      </c>
      <c r="X203" s="33">
        <v>15000</v>
      </c>
      <c r="Y203" s="29">
        <v>15000</v>
      </c>
      <c r="Z203" s="29">
        <v>15000</v>
      </c>
      <c r="AA203" s="35">
        <v>44972</v>
      </c>
      <c r="AB203" s="27"/>
      <c r="AC203" s="27"/>
      <c r="AD203" s="58">
        <v>15000</v>
      </c>
      <c r="AE203" s="31">
        <v>0</v>
      </c>
      <c r="AF203" t="b">
        <v>0</v>
      </c>
      <c r="AG203" s="78">
        <v>-15000</v>
      </c>
    </row>
    <row r="204" spans="1:33" x14ac:dyDescent="0.25">
      <c r="A204" t="str">
        <f t="shared" si="42"/>
        <v>2022-203</v>
      </c>
      <c r="B204" s="1">
        <f t="shared" si="43"/>
        <v>44926</v>
      </c>
      <c r="C204" t="str">
        <f t="shared" si="44"/>
        <v>/STORNO Adobe Systems Software Ireland Ltd., 4-6 Riverwalk, Citywest Business Park, Dublin 24, Ireland, VAT ID IE6364992H</v>
      </c>
      <c r="D204" t="str">
        <f t="shared" si="45"/>
        <v>Ausgaben</v>
      </c>
      <c r="E204" t="str">
        <f t="shared" si="46"/>
        <v>Lizenzgebühren</v>
      </c>
      <c r="F204" s="117">
        <f t="shared" si="47"/>
        <v>-20.28</v>
      </c>
      <c r="G204" t="str">
        <f t="shared" si="48"/>
        <v>0%</v>
      </c>
      <c r="I204" s="53">
        <v>2022</v>
      </c>
      <c r="J204" s="53">
        <v>203</v>
      </c>
      <c r="K204" s="71" t="s">
        <v>105</v>
      </c>
      <c r="L204" t="s">
        <v>692</v>
      </c>
      <c r="M204" s="6"/>
      <c r="N204" s="1">
        <v>44926</v>
      </c>
      <c r="O204" s="154" t="s">
        <v>1716</v>
      </c>
      <c r="Q204" s="76"/>
      <c r="S204" s="48">
        <v>-20.28</v>
      </c>
      <c r="T204" s="72">
        <v>1</v>
      </c>
      <c r="U204">
        <v>0</v>
      </c>
      <c r="V204" s="31">
        <v>0</v>
      </c>
      <c r="W204" s="31">
        <v>0</v>
      </c>
      <c r="X204" s="33">
        <v>-20.28</v>
      </c>
      <c r="Y204" s="29">
        <v>-20.28</v>
      </c>
      <c r="Z204" s="29">
        <v>-20.28</v>
      </c>
      <c r="AA204" s="35">
        <v>44972</v>
      </c>
      <c r="AB204" s="27"/>
      <c r="AC204" s="27"/>
      <c r="AD204" s="58">
        <v>-20.28</v>
      </c>
      <c r="AE204" s="31">
        <v>0</v>
      </c>
      <c r="AF204" t="b">
        <v>0</v>
      </c>
      <c r="AG204" s="78">
        <v>20.28</v>
      </c>
    </row>
    <row r="205" spans="1:33" x14ac:dyDescent="0.25">
      <c r="A205" t="str">
        <f t="shared" si="42"/>
        <v>2022-204</v>
      </c>
      <c r="B205" s="1">
        <f t="shared" si="43"/>
        <v>44926</v>
      </c>
      <c r="C205" t="str">
        <f t="shared" si="44"/>
        <v>/STORNO car2go Österreich GmbH, Hintere Zollamtstraße 9, 1030 Wien</v>
      </c>
      <c r="D205" t="str">
        <f t="shared" si="45"/>
        <v>Ausgaben</v>
      </c>
      <c r="E205" t="str">
        <f t="shared" si="46"/>
        <v>Reise- und Fahrtspesen inkl. Kilometergeld und Diäten</v>
      </c>
      <c r="F205" s="117">
        <f t="shared" si="47"/>
        <v>-22.776</v>
      </c>
      <c r="G205" t="str">
        <f t="shared" si="48"/>
        <v>20%</v>
      </c>
      <c r="I205" s="53">
        <v>2022</v>
      </c>
      <c r="J205" s="53">
        <v>204</v>
      </c>
      <c r="K205" s="71" t="s">
        <v>105</v>
      </c>
      <c r="L205" t="s">
        <v>689</v>
      </c>
      <c r="M205" s="9"/>
      <c r="N205" s="1">
        <v>44926</v>
      </c>
      <c r="O205" s="154" t="s">
        <v>1717</v>
      </c>
      <c r="Q205" s="76"/>
      <c r="S205" s="48">
        <v>-18.98</v>
      </c>
      <c r="T205" s="72">
        <v>1</v>
      </c>
      <c r="U205">
        <v>20</v>
      </c>
      <c r="V205" s="31">
        <v>-3.7960000000000003</v>
      </c>
      <c r="W205" s="31">
        <v>-3.7960000000000003</v>
      </c>
      <c r="X205" s="33">
        <v>-18.98</v>
      </c>
      <c r="Y205" s="29">
        <v>-22.776</v>
      </c>
      <c r="Z205" s="29">
        <v>-22.776</v>
      </c>
      <c r="AA205" s="35">
        <v>44972</v>
      </c>
      <c r="AB205" s="27"/>
      <c r="AC205" s="27"/>
      <c r="AD205" s="58">
        <v>-18.98</v>
      </c>
      <c r="AE205" s="31">
        <v>0</v>
      </c>
      <c r="AF205" t="b">
        <v>0</v>
      </c>
      <c r="AG205" s="78">
        <v>18.98</v>
      </c>
    </row>
    <row r="206" spans="1:33" x14ac:dyDescent="0.25">
      <c r="A206" t="str">
        <f t="shared" si="42"/>
        <v>2022-205</v>
      </c>
      <c r="B206" s="1">
        <f t="shared" si="43"/>
        <v>44926</v>
      </c>
      <c r="C206" t="str">
        <f t="shared" si="44"/>
        <v>/STORNO Google Ireland Ltd, Gordon House, Barrow Street, Dublin 4, Ireland; VAT number: IE 6388047V</v>
      </c>
      <c r="D206" t="str">
        <f t="shared" si="45"/>
        <v>Ausgaben</v>
      </c>
      <c r="E206" t="str">
        <f t="shared" si="46"/>
        <v>sonstige Betriebsausgaben</v>
      </c>
      <c r="F206" s="117">
        <f t="shared" si="47"/>
        <v>-9.36</v>
      </c>
      <c r="G206" t="str">
        <f t="shared" si="48"/>
        <v>0%</v>
      </c>
      <c r="I206" s="53">
        <v>2022</v>
      </c>
      <c r="J206" s="53">
        <v>205</v>
      </c>
      <c r="K206" s="71" t="s">
        <v>105</v>
      </c>
      <c r="L206" t="s">
        <v>705</v>
      </c>
      <c r="M206" s="9"/>
      <c r="N206" s="1">
        <v>44926</v>
      </c>
      <c r="O206" s="154" t="s">
        <v>1718</v>
      </c>
      <c r="Q206" s="76"/>
      <c r="S206" s="109">
        <v>-9.36</v>
      </c>
      <c r="T206" s="72">
        <v>1</v>
      </c>
      <c r="U206">
        <v>0</v>
      </c>
      <c r="V206" s="31">
        <v>0</v>
      </c>
      <c r="W206" s="31">
        <v>0</v>
      </c>
      <c r="X206" s="33">
        <v>-9.36</v>
      </c>
      <c r="Y206" s="29">
        <v>-9.36</v>
      </c>
      <c r="Z206" s="29">
        <v>-9.36</v>
      </c>
      <c r="AA206" s="35">
        <v>44972</v>
      </c>
      <c r="AB206" s="27"/>
      <c r="AC206" s="27"/>
      <c r="AD206" s="58">
        <v>-9.36</v>
      </c>
      <c r="AE206" s="31">
        <v>0</v>
      </c>
      <c r="AF206" t="b">
        <v>0</v>
      </c>
      <c r="AG206" s="78">
        <v>9.36</v>
      </c>
    </row>
    <row r="207" spans="1:33" x14ac:dyDescent="0.25">
      <c r="A207" t="str">
        <f t="shared" si="42"/>
        <v>2022-206</v>
      </c>
      <c r="B207" s="1">
        <f t="shared" si="43"/>
        <v>44926</v>
      </c>
      <c r="C207" t="str">
        <f t="shared" si="44"/>
        <v>/STORNO Bontus Immobilienverwaltung GmbH, 1010 Wien, Franz Josefs Kai 65</v>
      </c>
      <c r="D207" t="str">
        <f t="shared" si="45"/>
        <v>Ausgaben</v>
      </c>
      <c r="E207" t="str">
        <f t="shared" si="46"/>
        <v>Miet- und Pachtaufwand, Leasing</v>
      </c>
      <c r="F207" s="117">
        <f t="shared" si="47"/>
        <v>-606.78</v>
      </c>
      <c r="G207" t="str">
        <f t="shared" si="48"/>
        <v>20%</v>
      </c>
      <c r="I207" s="53">
        <v>2022</v>
      </c>
      <c r="J207" s="53">
        <v>206</v>
      </c>
      <c r="K207" s="71" t="s">
        <v>105</v>
      </c>
      <c r="L207" t="s">
        <v>691</v>
      </c>
      <c r="M207" s="9"/>
      <c r="N207" s="1">
        <v>44926</v>
      </c>
      <c r="O207" s="154" t="s">
        <v>1719</v>
      </c>
      <c r="Q207" s="76"/>
      <c r="S207" s="109">
        <v>-505.65</v>
      </c>
      <c r="T207" s="72">
        <v>1</v>
      </c>
      <c r="U207">
        <v>20</v>
      </c>
      <c r="V207" s="31">
        <v>-101.13</v>
      </c>
      <c r="W207" s="31">
        <v>-101.13</v>
      </c>
      <c r="X207" s="33">
        <v>-505.65</v>
      </c>
      <c r="Y207" s="29">
        <v>-606.78</v>
      </c>
      <c r="Z207" s="29">
        <v>-606.78</v>
      </c>
      <c r="AA207" s="35">
        <v>44972</v>
      </c>
      <c r="AB207" s="27"/>
      <c r="AC207" s="27"/>
      <c r="AD207" s="58">
        <v>-505.65</v>
      </c>
      <c r="AE207" s="31">
        <v>0</v>
      </c>
      <c r="AF207" t="b">
        <v>0</v>
      </c>
      <c r="AG207" s="78">
        <v>505.65</v>
      </c>
    </row>
    <row r="208" spans="1:33" x14ac:dyDescent="0.25">
      <c r="A208" t="str">
        <f t="shared" si="42"/>
        <v>2022-207</v>
      </c>
      <c r="B208" s="1">
        <f t="shared" si="43"/>
        <v>44926</v>
      </c>
      <c r="C208" t="str">
        <f t="shared" si="44"/>
        <v>/STORNO Hutchison Drei Austria GmbH, Brünner Straße 52, 1210 Wien, Österreich</v>
      </c>
      <c r="D208" t="str">
        <f t="shared" si="45"/>
        <v>Ausgaben</v>
      </c>
      <c r="E208" t="str">
        <f t="shared" si="46"/>
        <v>Telefon/Internet</v>
      </c>
      <c r="F208" s="117">
        <f t="shared" si="47"/>
        <v>-18</v>
      </c>
      <c r="G208" t="str">
        <f t="shared" si="48"/>
        <v>20%</v>
      </c>
      <c r="I208" s="53">
        <v>2022</v>
      </c>
      <c r="J208" s="53">
        <v>207</v>
      </c>
      <c r="K208" s="71" t="s">
        <v>105</v>
      </c>
      <c r="L208" t="s">
        <v>703</v>
      </c>
      <c r="M208" s="9"/>
      <c r="N208" s="1">
        <v>44926</v>
      </c>
      <c r="O208" s="154" t="s">
        <v>1720</v>
      </c>
      <c r="Q208" s="76"/>
      <c r="S208" s="48">
        <v>-15</v>
      </c>
      <c r="T208" s="72">
        <v>1</v>
      </c>
      <c r="U208">
        <v>20</v>
      </c>
      <c r="V208" s="31">
        <v>-3</v>
      </c>
      <c r="W208" s="31">
        <v>-3</v>
      </c>
      <c r="X208" s="33">
        <v>-15</v>
      </c>
      <c r="Y208" s="29">
        <v>-18</v>
      </c>
      <c r="Z208" s="29">
        <v>-18</v>
      </c>
      <c r="AA208" s="35">
        <v>44972</v>
      </c>
      <c r="AB208" s="27"/>
      <c r="AC208" s="27"/>
      <c r="AD208" s="58">
        <v>-15</v>
      </c>
      <c r="AE208" s="31">
        <v>0</v>
      </c>
      <c r="AF208" t="b">
        <v>0</v>
      </c>
      <c r="AG208" s="78">
        <v>15</v>
      </c>
    </row>
    <row r="209" spans="1:33" x14ac:dyDescent="0.25">
      <c r="A209" t="str">
        <f t="shared" si="42"/>
        <v>2022-208</v>
      </c>
      <c r="B209" s="1">
        <f t="shared" si="43"/>
        <v>44909</v>
      </c>
      <c r="C209" t="str">
        <f t="shared" si="44"/>
        <v>071149/"Libro" PL Handelsgesellschaft mbH, 1080 Wien, Josefstädter Straße 105, ATU 56240311 (aus 2023 verschoben - 2023-25)</v>
      </c>
      <c r="D209" t="str">
        <f t="shared" si="45"/>
        <v>Ausgaben</v>
      </c>
      <c r="E209" t="str">
        <f t="shared" si="46"/>
        <v>Büromaterial</v>
      </c>
      <c r="F209" s="117">
        <f t="shared" si="47"/>
        <v>8.68</v>
      </c>
      <c r="G209" t="str">
        <f t="shared" si="48"/>
        <v>20%</v>
      </c>
      <c r="I209" s="53">
        <v>2022</v>
      </c>
      <c r="J209" s="53">
        <v>208</v>
      </c>
      <c r="K209" s="71" t="s">
        <v>105</v>
      </c>
      <c r="L209" t="s">
        <v>339</v>
      </c>
      <c r="M209" s="9" t="s">
        <v>1726</v>
      </c>
      <c r="N209" s="1">
        <v>44909</v>
      </c>
      <c r="O209" t="s">
        <v>1749</v>
      </c>
      <c r="Q209" s="76"/>
      <c r="R209" t="b">
        <v>0</v>
      </c>
      <c r="S209" s="48">
        <v>7.2333333333333334</v>
      </c>
      <c r="T209" s="72">
        <v>1</v>
      </c>
      <c r="U209">
        <v>20</v>
      </c>
      <c r="V209" s="31">
        <v>1.4466666666666665</v>
      </c>
      <c r="W209" s="31">
        <v>1.4466666666666665</v>
      </c>
      <c r="X209" s="33">
        <v>7.2333333333333334</v>
      </c>
      <c r="Y209" s="29">
        <v>8.68</v>
      </c>
      <c r="Z209" s="29">
        <v>8.68</v>
      </c>
      <c r="AA209" s="35">
        <v>44972</v>
      </c>
      <c r="AB209" s="27"/>
      <c r="AC209" s="27"/>
      <c r="AD209" s="58">
        <v>7.2333333333333334</v>
      </c>
      <c r="AE209" s="31">
        <v>0</v>
      </c>
      <c r="AF209" t="b">
        <v>0</v>
      </c>
      <c r="AG209" s="78">
        <v>-7.2333333333333334</v>
      </c>
    </row>
    <row r="210" spans="1:33" x14ac:dyDescent="0.25">
      <c r="F210" s="117"/>
    </row>
    <row r="211" spans="1:33" x14ac:dyDescent="0.25">
      <c r="F211" s="117"/>
    </row>
    <row r="212" spans="1:33" x14ac:dyDescent="0.25">
      <c r="F212" s="117"/>
    </row>
    <row r="213" spans="1:33" x14ac:dyDescent="0.25">
      <c r="F213" s="117"/>
    </row>
    <row r="214" spans="1:33" x14ac:dyDescent="0.25">
      <c r="F214" s="117"/>
    </row>
    <row r="215" spans="1:33" x14ac:dyDescent="0.25">
      <c r="F215" s="117"/>
    </row>
    <row r="216" spans="1:33" x14ac:dyDescent="0.25">
      <c r="F216" s="117"/>
    </row>
    <row r="217" spans="1:33" x14ac:dyDescent="0.25">
      <c r="F217" s="117"/>
    </row>
    <row r="218" spans="1:33" x14ac:dyDescent="0.25">
      <c r="F218" s="117"/>
    </row>
    <row r="219" spans="1:33" x14ac:dyDescent="0.25">
      <c r="F219" s="117"/>
    </row>
    <row r="220" spans="1:33" x14ac:dyDescent="0.25">
      <c r="F220" s="117"/>
    </row>
    <row r="221" spans="1:33" x14ac:dyDescent="0.25">
      <c r="F221" s="117"/>
    </row>
  </sheetData>
  <autoFilter ref="A1:XEK221" xr:uid="{C4A5EBC9-434B-4276-8C4B-35467F33AC41}"/>
  <conditionalFormatting sqref="D1">
    <cfRule type="containsText" dxfId="4899" priority="6533" operator="containsText" text="Einnahmen">
      <formula>NOT(ISERROR(SEARCH("Einnahmen",D1)))</formula>
    </cfRule>
    <cfRule type="containsText" dxfId="4898" priority="6534" operator="containsText" text="Ausgaben">
      <formula>NOT(ISERROR(SEARCH("Ausgaben",D1)))</formula>
    </cfRule>
  </conditionalFormatting>
  <conditionalFormatting sqref="B1">
    <cfRule type="expression" dxfId="4897" priority="6532">
      <formula>ISBLANK(#REF!)</formula>
    </cfRule>
  </conditionalFormatting>
  <conditionalFormatting sqref="K36 K42 K47 K66 K68 K83 K98:K99">
    <cfRule type="containsText" dxfId="4896" priority="1656" operator="containsText" text="Einnahmen">
      <formula>NOT(ISERROR(SEARCH("Einnahmen",K36)))</formula>
    </cfRule>
    <cfRule type="containsText" dxfId="4895" priority="1657" operator="containsText" text="Ausgaben">
      <formula>NOT(ISERROR(SEARCH("Ausgaben",K36)))</formula>
    </cfRule>
  </conditionalFormatting>
  <conditionalFormatting sqref="K2">
    <cfRule type="containsText" dxfId="4894" priority="1654" operator="containsText" text="Einnahmen">
      <formula>NOT(ISERROR(SEARCH("Einnahmen",K2)))</formula>
    </cfRule>
    <cfRule type="containsText" dxfId="4893" priority="1655" operator="containsText" text="Ausgaben">
      <formula>NOT(ISERROR(SEARCH("Ausgaben",K2)))</formula>
    </cfRule>
  </conditionalFormatting>
  <conditionalFormatting sqref="K3">
    <cfRule type="containsText" dxfId="4892" priority="1652" operator="containsText" text="Einnahmen">
      <formula>NOT(ISERROR(SEARCH("Einnahmen",K3)))</formula>
    </cfRule>
    <cfRule type="containsText" dxfId="4891" priority="1653" operator="containsText" text="Ausgaben">
      <formula>NOT(ISERROR(SEARCH("Ausgaben",K3)))</formula>
    </cfRule>
  </conditionalFormatting>
  <conditionalFormatting sqref="K4">
    <cfRule type="containsText" dxfId="4890" priority="1650" operator="containsText" text="Einnahmen">
      <formula>NOT(ISERROR(SEARCH("Einnahmen",K4)))</formula>
    </cfRule>
    <cfRule type="containsText" dxfId="4889" priority="1651" operator="containsText" text="Ausgaben">
      <formula>NOT(ISERROR(SEARCH("Ausgaben",K4)))</formula>
    </cfRule>
  </conditionalFormatting>
  <conditionalFormatting sqref="K5">
    <cfRule type="containsText" dxfId="4888" priority="1648" operator="containsText" text="Einnahmen">
      <formula>NOT(ISERROR(SEARCH("Einnahmen",K5)))</formula>
    </cfRule>
    <cfRule type="containsText" dxfId="4887" priority="1649" operator="containsText" text="Ausgaben">
      <formula>NOT(ISERROR(SEARCH("Ausgaben",K5)))</formula>
    </cfRule>
  </conditionalFormatting>
  <conditionalFormatting sqref="K6">
    <cfRule type="containsText" dxfId="4886" priority="1646" operator="containsText" text="Einnahmen">
      <formula>NOT(ISERROR(SEARCH("Einnahmen",K6)))</formula>
    </cfRule>
    <cfRule type="containsText" dxfId="4885" priority="1647" operator="containsText" text="Ausgaben">
      <formula>NOT(ISERROR(SEARCH("Ausgaben",K6)))</formula>
    </cfRule>
  </conditionalFormatting>
  <conditionalFormatting sqref="K7">
    <cfRule type="containsText" dxfId="4884" priority="1644" operator="containsText" text="Einnahmen">
      <formula>NOT(ISERROR(SEARCH("Einnahmen",K7)))</formula>
    </cfRule>
    <cfRule type="containsText" dxfId="4883" priority="1645" operator="containsText" text="Ausgaben">
      <formula>NOT(ISERROR(SEARCH("Ausgaben",K7)))</formula>
    </cfRule>
  </conditionalFormatting>
  <conditionalFormatting sqref="K8">
    <cfRule type="containsText" dxfId="4882" priority="1642" operator="containsText" text="Einnahmen">
      <formula>NOT(ISERROR(SEARCH("Einnahmen",K8)))</formula>
    </cfRule>
    <cfRule type="containsText" dxfId="4881" priority="1643" operator="containsText" text="Ausgaben">
      <formula>NOT(ISERROR(SEARCH("Ausgaben",K8)))</formula>
    </cfRule>
  </conditionalFormatting>
  <conditionalFormatting sqref="K9">
    <cfRule type="containsText" dxfId="4880" priority="1640" operator="containsText" text="Einnahmen">
      <formula>NOT(ISERROR(SEARCH("Einnahmen",K9)))</formula>
    </cfRule>
    <cfRule type="containsText" dxfId="4879" priority="1641" operator="containsText" text="Ausgaben">
      <formula>NOT(ISERROR(SEARCH("Ausgaben",K9)))</formula>
    </cfRule>
  </conditionalFormatting>
  <conditionalFormatting sqref="K10">
    <cfRule type="containsText" dxfId="4878" priority="1638" operator="containsText" text="Einnahmen">
      <formula>NOT(ISERROR(SEARCH("Einnahmen",K10)))</formula>
    </cfRule>
    <cfRule type="containsText" dxfId="4877" priority="1639" operator="containsText" text="Ausgaben">
      <formula>NOT(ISERROR(SEARCH("Ausgaben",K10)))</formula>
    </cfRule>
  </conditionalFormatting>
  <conditionalFormatting sqref="K11">
    <cfRule type="containsText" dxfId="4876" priority="1636" operator="containsText" text="Einnahmen">
      <formula>NOT(ISERROR(SEARCH("Einnahmen",K11)))</formula>
    </cfRule>
    <cfRule type="containsText" dxfId="4875" priority="1637" operator="containsText" text="Ausgaben">
      <formula>NOT(ISERROR(SEARCH("Ausgaben",K11)))</formula>
    </cfRule>
  </conditionalFormatting>
  <conditionalFormatting sqref="K12">
    <cfRule type="containsText" dxfId="4874" priority="1634" operator="containsText" text="Einnahmen">
      <formula>NOT(ISERROR(SEARCH("Einnahmen",K12)))</formula>
    </cfRule>
    <cfRule type="containsText" dxfId="4873" priority="1635" operator="containsText" text="Ausgaben">
      <formula>NOT(ISERROR(SEARCH("Ausgaben",K12)))</formula>
    </cfRule>
  </conditionalFormatting>
  <conditionalFormatting sqref="K13">
    <cfRule type="containsText" dxfId="4872" priority="1632" operator="containsText" text="Einnahmen">
      <formula>NOT(ISERROR(SEARCH("Einnahmen",K13)))</formula>
    </cfRule>
    <cfRule type="containsText" dxfId="4871" priority="1633" operator="containsText" text="Ausgaben">
      <formula>NOT(ISERROR(SEARCH("Ausgaben",K13)))</formula>
    </cfRule>
  </conditionalFormatting>
  <conditionalFormatting sqref="K14">
    <cfRule type="containsText" dxfId="4870" priority="1630" operator="containsText" text="Einnahmen">
      <formula>NOT(ISERROR(SEARCH("Einnahmen",K14)))</formula>
    </cfRule>
    <cfRule type="containsText" dxfId="4869" priority="1631" operator="containsText" text="Ausgaben">
      <formula>NOT(ISERROR(SEARCH("Ausgaben",K14)))</formula>
    </cfRule>
  </conditionalFormatting>
  <conditionalFormatting sqref="K15">
    <cfRule type="containsText" dxfId="4868" priority="1628" operator="containsText" text="Einnahmen">
      <formula>NOT(ISERROR(SEARCH("Einnahmen",K15)))</formula>
    </cfRule>
    <cfRule type="containsText" dxfId="4867" priority="1629" operator="containsText" text="Ausgaben">
      <formula>NOT(ISERROR(SEARCH("Ausgaben",K15)))</formula>
    </cfRule>
  </conditionalFormatting>
  <conditionalFormatting sqref="K16">
    <cfRule type="containsText" dxfId="4866" priority="1626" operator="containsText" text="Einnahmen">
      <formula>NOT(ISERROR(SEARCH("Einnahmen",K16)))</formula>
    </cfRule>
    <cfRule type="containsText" dxfId="4865" priority="1627" operator="containsText" text="Ausgaben">
      <formula>NOT(ISERROR(SEARCH("Ausgaben",K16)))</formula>
    </cfRule>
  </conditionalFormatting>
  <conditionalFormatting sqref="K17">
    <cfRule type="containsText" dxfId="4864" priority="1624" operator="containsText" text="Einnahmen">
      <formula>NOT(ISERROR(SEARCH("Einnahmen",K17)))</formula>
    </cfRule>
    <cfRule type="containsText" dxfId="4863" priority="1625" operator="containsText" text="Ausgaben">
      <formula>NOT(ISERROR(SEARCH("Ausgaben",K17)))</formula>
    </cfRule>
  </conditionalFormatting>
  <conditionalFormatting sqref="K18">
    <cfRule type="containsText" dxfId="4862" priority="1622" operator="containsText" text="Einnahmen">
      <formula>NOT(ISERROR(SEARCH("Einnahmen",K18)))</formula>
    </cfRule>
    <cfRule type="containsText" dxfId="4861" priority="1623" operator="containsText" text="Ausgaben">
      <formula>NOT(ISERROR(SEARCH("Ausgaben",K18)))</formula>
    </cfRule>
  </conditionalFormatting>
  <conditionalFormatting sqref="K19">
    <cfRule type="containsText" dxfId="4860" priority="1620" operator="containsText" text="Einnahmen">
      <formula>NOT(ISERROR(SEARCH("Einnahmen",K19)))</formula>
    </cfRule>
    <cfRule type="containsText" dxfId="4859" priority="1621" operator="containsText" text="Ausgaben">
      <formula>NOT(ISERROR(SEARCH("Ausgaben",K19)))</formula>
    </cfRule>
  </conditionalFormatting>
  <conditionalFormatting sqref="K20">
    <cfRule type="containsText" dxfId="4858" priority="1618" operator="containsText" text="Einnahmen">
      <formula>NOT(ISERROR(SEARCH("Einnahmen",K20)))</formula>
    </cfRule>
    <cfRule type="containsText" dxfId="4857" priority="1619" operator="containsText" text="Ausgaben">
      <formula>NOT(ISERROR(SEARCH("Ausgaben",K20)))</formula>
    </cfRule>
  </conditionalFormatting>
  <conditionalFormatting sqref="K21">
    <cfRule type="containsText" dxfId="4856" priority="1616" operator="containsText" text="Einnahmen">
      <formula>NOT(ISERROR(SEARCH("Einnahmen",K21)))</formula>
    </cfRule>
    <cfRule type="containsText" dxfId="4855" priority="1617" operator="containsText" text="Ausgaben">
      <formula>NOT(ISERROR(SEARCH("Ausgaben",K21)))</formula>
    </cfRule>
  </conditionalFormatting>
  <conditionalFormatting sqref="K22">
    <cfRule type="containsText" dxfId="4854" priority="1614" operator="containsText" text="Einnahmen">
      <formula>NOT(ISERROR(SEARCH("Einnahmen",K22)))</formula>
    </cfRule>
    <cfRule type="containsText" dxfId="4853" priority="1615" operator="containsText" text="Ausgaben">
      <formula>NOT(ISERROR(SEARCH("Ausgaben",K22)))</formula>
    </cfRule>
  </conditionalFormatting>
  <conditionalFormatting sqref="K23">
    <cfRule type="containsText" dxfId="4852" priority="1612" operator="containsText" text="Einnahmen">
      <formula>NOT(ISERROR(SEARCH("Einnahmen",K23)))</formula>
    </cfRule>
    <cfRule type="containsText" dxfId="4851" priority="1613" operator="containsText" text="Ausgaben">
      <formula>NOT(ISERROR(SEARCH("Ausgaben",K23)))</formula>
    </cfRule>
  </conditionalFormatting>
  <conditionalFormatting sqref="K24">
    <cfRule type="containsText" dxfId="4850" priority="1610" operator="containsText" text="Einnahmen">
      <formula>NOT(ISERROR(SEARCH("Einnahmen",K24)))</formula>
    </cfRule>
    <cfRule type="containsText" dxfId="4849" priority="1611" operator="containsText" text="Ausgaben">
      <formula>NOT(ISERROR(SEARCH("Ausgaben",K24)))</formula>
    </cfRule>
  </conditionalFormatting>
  <conditionalFormatting sqref="K25">
    <cfRule type="containsText" dxfId="4848" priority="1608" operator="containsText" text="Einnahmen">
      <formula>NOT(ISERROR(SEARCH("Einnahmen",K25)))</formula>
    </cfRule>
    <cfRule type="containsText" dxfId="4847" priority="1609" operator="containsText" text="Ausgaben">
      <formula>NOT(ISERROR(SEARCH("Ausgaben",K25)))</formula>
    </cfRule>
  </conditionalFormatting>
  <conditionalFormatting sqref="K26">
    <cfRule type="containsText" dxfId="4846" priority="1606" operator="containsText" text="Einnahmen">
      <formula>NOT(ISERROR(SEARCH("Einnahmen",K26)))</formula>
    </cfRule>
    <cfRule type="containsText" dxfId="4845" priority="1607" operator="containsText" text="Ausgaben">
      <formula>NOT(ISERROR(SEARCH("Ausgaben",K26)))</formula>
    </cfRule>
  </conditionalFormatting>
  <conditionalFormatting sqref="K27">
    <cfRule type="containsText" dxfId="4844" priority="1604" operator="containsText" text="Einnahmen">
      <formula>NOT(ISERROR(SEARCH("Einnahmen",K27)))</formula>
    </cfRule>
    <cfRule type="containsText" dxfId="4843" priority="1605" operator="containsText" text="Ausgaben">
      <formula>NOT(ISERROR(SEARCH("Ausgaben",K27)))</formula>
    </cfRule>
  </conditionalFormatting>
  <conditionalFormatting sqref="K28">
    <cfRule type="containsText" dxfId="4842" priority="1602" operator="containsText" text="Einnahmen">
      <formula>NOT(ISERROR(SEARCH("Einnahmen",K28)))</formula>
    </cfRule>
    <cfRule type="containsText" dxfId="4841" priority="1603" operator="containsText" text="Ausgaben">
      <formula>NOT(ISERROR(SEARCH("Ausgaben",K28)))</formula>
    </cfRule>
  </conditionalFormatting>
  <conditionalFormatting sqref="K29">
    <cfRule type="containsText" dxfId="4840" priority="1600" operator="containsText" text="Einnahmen">
      <formula>NOT(ISERROR(SEARCH("Einnahmen",K29)))</formula>
    </cfRule>
    <cfRule type="containsText" dxfId="4839" priority="1601" operator="containsText" text="Ausgaben">
      <formula>NOT(ISERROR(SEARCH("Ausgaben",K29)))</formula>
    </cfRule>
  </conditionalFormatting>
  <conditionalFormatting sqref="K30">
    <cfRule type="containsText" dxfId="4838" priority="1598" operator="containsText" text="Einnahmen">
      <formula>NOT(ISERROR(SEARCH("Einnahmen",K30)))</formula>
    </cfRule>
    <cfRule type="containsText" dxfId="4837" priority="1599" operator="containsText" text="Ausgaben">
      <formula>NOT(ISERROR(SEARCH("Ausgaben",K30)))</formula>
    </cfRule>
  </conditionalFormatting>
  <conditionalFormatting sqref="K31">
    <cfRule type="containsText" dxfId="4836" priority="1596" operator="containsText" text="Einnahmen">
      <formula>NOT(ISERROR(SEARCH("Einnahmen",K31)))</formula>
    </cfRule>
    <cfRule type="containsText" dxfId="4835" priority="1597" operator="containsText" text="Ausgaben">
      <formula>NOT(ISERROR(SEARCH("Ausgaben",K31)))</formula>
    </cfRule>
  </conditionalFormatting>
  <conditionalFormatting sqref="K32">
    <cfRule type="containsText" dxfId="4834" priority="1594" operator="containsText" text="Einnahmen">
      <formula>NOT(ISERROR(SEARCH("Einnahmen",K32)))</formula>
    </cfRule>
    <cfRule type="containsText" dxfId="4833" priority="1595" operator="containsText" text="Ausgaben">
      <formula>NOT(ISERROR(SEARCH("Ausgaben",K32)))</formula>
    </cfRule>
  </conditionalFormatting>
  <conditionalFormatting sqref="K33">
    <cfRule type="containsText" dxfId="4832" priority="1592" operator="containsText" text="Einnahmen">
      <formula>NOT(ISERROR(SEARCH("Einnahmen",K33)))</formula>
    </cfRule>
    <cfRule type="containsText" dxfId="4831" priority="1593" operator="containsText" text="Ausgaben">
      <formula>NOT(ISERROR(SEARCH("Ausgaben",K33)))</formula>
    </cfRule>
  </conditionalFormatting>
  <conditionalFormatting sqref="K34">
    <cfRule type="containsText" dxfId="4830" priority="1590" operator="containsText" text="Einnahmen">
      <formula>NOT(ISERROR(SEARCH("Einnahmen",K34)))</formula>
    </cfRule>
    <cfRule type="containsText" dxfId="4829" priority="1591" operator="containsText" text="Ausgaben">
      <formula>NOT(ISERROR(SEARCH("Ausgaben",K34)))</formula>
    </cfRule>
  </conditionalFormatting>
  <conditionalFormatting sqref="K35">
    <cfRule type="containsText" dxfId="4828" priority="1588" operator="containsText" text="Einnahmen">
      <formula>NOT(ISERROR(SEARCH("Einnahmen",K35)))</formula>
    </cfRule>
    <cfRule type="containsText" dxfId="4827" priority="1589" operator="containsText" text="Ausgaben">
      <formula>NOT(ISERROR(SEARCH("Ausgaben",K35)))</formula>
    </cfRule>
  </conditionalFormatting>
  <conditionalFormatting sqref="K37">
    <cfRule type="containsText" dxfId="4826" priority="1586" operator="containsText" text="Einnahmen">
      <formula>NOT(ISERROR(SEARCH("Einnahmen",K37)))</formula>
    </cfRule>
    <cfRule type="containsText" dxfId="4825" priority="1587" operator="containsText" text="Ausgaben">
      <formula>NOT(ISERROR(SEARCH("Ausgaben",K37)))</formula>
    </cfRule>
  </conditionalFormatting>
  <conditionalFormatting sqref="K38">
    <cfRule type="containsText" dxfId="4824" priority="1584" operator="containsText" text="Einnahmen">
      <formula>NOT(ISERROR(SEARCH("Einnahmen",K38)))</formula>
    </cfRule>
    <cfRule type="containsText" dxfId="4823" priority="1585" operator="containsText" text="Ausgaben">
      <formula>NOT(ISERROR(SEARCH("Ausgaben",K38)))</formula>
    </cfRule>
  </conditionalFormatting>
  <conditionalFormatting sqref="K39">
    <cfRule type="containsText" dxfId="4822" priority="1582" operator="containsText" text="Einnahmen">
      <formula>NOT(ISERROR(SEARCH("Einnahmen",K39)))</formula>
    </cfRule>
    <cfRule type="containsText" dxfId="4821" priority="1583" operator="containsText" text="Ausgaben">
      <formula>NOT(ISERROR(SEARCH("Ausgaben",K39)))</formula>
    </cfRule>
  </conditionalFormatting>
  <conditionalFormatting sqref="K40">
    <cfRule type="containsText" dxfId="4820" priority="1580" operator="containsText" text="Einnahmen">
      <formula>NOT(ISERROR(SEARCH("Einnahmen",K40)))</formula>
    </cfRule>
    <cfRule type="containsText" dxfId="4819" priority="1581" operator="containsText" text="Ausgaben">
      <formula>NOT(ISERROR(SEARCH("Ausgaben",K40)))</formula>
    </cfRule>
  </conditionalFormatting>
  <conditionalFormatting sqref="K41">
    <cfRule type="containsText" dxfId="4818" priority="1578" operator="containsText" text="Einnahmen">
      <formula>NOT(ISERROR(SEARCH("Einnahmen",K41)))</formula>
    </cfRule>
    <cfRule type="containsText" dxfId="4817" priority="1579" operator="containsText" text="Ausgaben">
      <formula>NOT(ISERROR(SEARCH("Ausgaben",K41)))</formula>
    </cfRule>
  </conditionalFormatting>
  <conditionalFormatting sqref="K43">
    <cfRule type="containsText" dxfId="4816" priority="1576" operator="containsText" text="Einnahmen">
      <formula>NOT(ISERROR(SEARCH("Einnahmen",K43)))</formula>
    </cfRule>
    <cfRule type="containsText" dxfId="4815" priority="1577" operator="containsText" text="Ausgaben">
      <formula>NOT(ISERROR(SEARCH("Ausgaben",K43)))</formula>
    </cfRule>
  </conditionalFormatting>
  <conditionalFormatting sqref="K45">
    <cfRule type="containsText" dxfId="4814" priority="1574" operator="containsText" text="Einnahmen">
      <formula>NOT(ISERROR(SEARCH("Einnahmen",K45)))</formula>
    </cfRule>
    <cfRule type="containsText" dxfId="4813" priority="1575" operator="containsText" text="Ausgaben">
      <formula>NOT(ISERROR(SEARCH("Ausgaben",K45)))</formula>
    </cfRule>
  </conditionalFormatting>
  <conditionalFormatting sqref="K46">
    <cfRule type="containsText" dxfId="4812" priority="1572" operator="containsText" text="Einnahmen">
      <formula>NOT(ISERROR(SEARCH("Einnahmen",K46)))</formula>
    </cfRule>
    <cfRule type="containsText" dxfId="4811" priority="1573" operator="containsText" text="Ausgaben">
      <formula>NOT(ISERROR(SEARCH("Ausgaben",K46)))</formula>
    </cfRule>
  </conditionalFormatting>
  <conditionalFormatting sqref="K45">
    <cfRule type="containsText" dxfId="4810" priority="1570" operator="containsText" text="Einnahmen">
      <formula>NOT(ISERROR(SEARCH("Einnahmen",K45)))</formula>
    </cfRule>
    <cfRule type="containsText" dxfId="4809" priority="1571" operator="containsText" text="Ausgaben">
      <formula>NOT(ISERROR(SEARCH("Ausgaben",K45)))</formula>
    </cfRule>
  </conditionalFormatting>
  <conditionalFormatting sqref="K46">
    <cfRule type="containsText" dxfId="4808" priority="1568" operator="containsText" text="Einnahmen">
      <formula>NOT(ISERROR(SEARCH("Einnahmen",K46)))</formula>
    </cfRule>
    <cfRule type="containsText" dxfId="4807" priority="1569" operator="containsText" text="Ausgaben">
      <formula>NOT(ISERROR(SEARCH("Ausgaben",K46)))</formula>
    </cfRule>
  </conditionalFormatting>
  <conditionalFormatting sqref="K47">
    <cfRule type="containsText" dxfId="4806" priority="1566" operator="containsText" text="Einnahmen">
      <formula>NOT(ISERROR(SEARCH("Einnahmen",K47)))</formula>
    </cfRule>
    <cfRule type="containsText" dxfId="4805" priority="1567" operator="containsText" text="Ausgaben">
      <formula>NOT(ISERROR(SEARCH("Ausgaben",K47)))</formula>
    </cfRule>
  </conditionalFormatting>
  <conditionalFormatting sqref="K44">
    <cfRule type="containsText" dxfId="4804" priority="1564" operator="containsText" text="Einnahmen">
      <formula>NOT(ISERROR(SEARCH("Einnahmen",K44)))</formula>
    </cfRule>
    <cfRule type="containsText" dxfId="4803" priority="1565" operator="containsText" text="Ausgaben">
      <formula>NOT(ISERROR(SEARCH("Ausgaben",K44)))</formula>
    </cfRule>
  </conditionalFormatting>
  <conditionalFormatting sqref="K48">
    <cfRule type="containsText" dxfId="4802" priority="1562" operator="containsText" text="Einnahmen">
      <formula>NOT(ISERROR(SEARCH("Einnahmen",K48)))</formula>
    </cfRule>
    <cfRule type="containsText" dxfId="4801" priority="1563" operator="containsText" text="Ausgaben">
      <formula>NOT(ISERROR(SEARCH("Ausgaben",K48)))</formula>
    </cfRule>
  </conditionalFormatting>
  <conditionalFormatting sqref="K49">
    <cfRule type="containsText" dxfId="4800" priority="1560" operator="containsText" text="Einnahmen">
      <formula>NOT(ISERROR(SEARCH("Einnahmen",K49)))</formula>
    </cfRule>
    <cfRule type="containsText" dxfId="4799" priority="1561" operator="containsText" text="Ausgaben">
      <formula>NOT(ISERROR(SEARCH("Ausgaben",K49)))</formula>
    </cfRule>
  </conditionalFormatting>
  <conditionalFormatting sqref="K50">
    <cfRule type="containsText" dxfId="4798" priority="1558" operator="containsText" text="Einnahmen">
      <formula>NOT(ISERROR(SEARCH("Einnahmen",K50)))</formula>
    </cfRule>
    <cfRule type="containsText" dxfId="4797" priority="1559" operator="containsText" text="Ausgaben">
      <formula>NOT(ISERROR(SEARCH("Ausgaben",K50)))</formula>
    </cfRule>
  </conditionalFormatting>
  <conditionalFormatting sqref="K51">
    <cfRule type="containsText" dxfId="4796" priority="1556" operator="containsText" text="Einnahmen">
      <formula>NOT(ISERROR(SEARCH("Einnahmen",K51)))</formula>
    </cfRule>
    <cfRule type="containsText" dxfId="4795" priority="1557" operator="containsText" text="Ausgaben">
      <formula>NOT(ISERROR(SEARCH("Ausgaben",K51)))</formula>
    </cfRule>
  </conditionalFormatting>
  <conditionalFormatting sqref="K52">
    <cfRule type="containsText" dxfId="4794" priority="1554" operator="containsText" text="Einnahmen">
      <formula>NOT(ISERROR(SEARCH("Einnahmen",K52)))</formula>
    </cfRule>
    <cfRule type="containsText" dxfId="4793" priority="1555" operator="containsText" text="Ausgaben">
      <formula>NOT(ISERROR(SEARCH("Ausgaben",K52)))</formula>
    </cfRule>
  </conditionalFormatting>
  <conditionalFormatting sqref="K53">
    <cfRule type="containsText" dxfId="4792" priority="1552" operator="containsText" text="Einnahmen">
      <formula>NOT(ISERROR(SEARCH("Einnahmen",K53)))</formula>
    </cfRule>
    <cfRule type="containsText" dxfId="4791" priority="1553" operator="containsText" text="Ausgaben">
      <formula>NOT(ISERROR(SEARCH("Ausgaben",K53)))</formula>
    </cfRule>
  </conditionalFormatting>
  <conditionalFormatting sqref="K54">
    <cfRule type="containsText" dxfId="4790" priority="1550" operator="containsText" text="Einnahmen">
      <formula>NOT(ISERROR(SEARCH("Einnahmen",K54)))</formula>
    </cfRule>
    <cfRule type="containsText" dxfId="4789" priority="1551" operator="containsText" text="Ausgaben">
      <formula>NOT(ISERROR(SEARCH("Ausgaben",K54)))</formula>
    </cfRule>
  </conditionalFormatting>
  <conditionalFormatting sqref="K55">
    <cfRule type="containsText" dxfId="4788" priority="1548" operator="containsText" text="Einnahmen">
      <formula>NOT(ISERROR(SEARCH("Einnahmen",K55)))</formula>
    </cfRule>
    <cfRule type="containsText" dxfId="4787" priority="1549" operator="containsText" text="Ausgaben">
      <formula>NOT(ISERROR(SEARCH("Ausgaben",K55)))</formula>
    </cfRule>
  </conditionalFormatting>
  <conditionalFormatting sqref="K56">
    <cfRule type="containsText" dxfId="4786" priority="1546" operator="containsText" text="Einnahmen">
      <formula>NOT(ISERROR(SEARCH("Einnahmen",K56)))</formula>
    </cfRule>
    <cfRule type="containsText" dxfId="4785" priority="1547" operator="containsText" text="Ausgaben">
      <formula>NOT(ISERROR(SEARCH("Ausgaben",K56)))</formula>
    </cfRule>
  </conditionalFormatting>
  <conditionalFormatting sqref="K57">
    <cfRule type="containsText" dxfId="4784" priority="1544" operator="containsText" text="Einnahmen">
      <formula>NOT(ISERROR(SEARCH("Einnahmen",K57)))</formula>
    </cfRule>
    <cfRule type="containsText" dxfId="4783" priority="1545" operator="containsText" text="Ausgaben">
      <formula>NOT(ISERROR(SEARCH("Ausgaben",K57)))</formula>
    </cfRule>
  </conditionalFormatting>
  <conditionalFormatting sqref="K58">
    <cfRule type="containsText" dxfId="4782" priority="1542" operator="containsText" text="Einnahmen">
      <formula>NOT(ISERROR(SEARCH("Einnahmen",K58)))</formula>
    </cfRule>
    <cfRule type="containsText" dxfId="4781" priority="1543" operator="containsText" text="Ausgaben">
      <formula>NOT(ISERROR(SEARCH("Ausgaben",K58)))</formula>
    </cfRule>
  </conditionalFormatting>
  <conditionalFormatting sqref="K59">
    <cfRule type="containsText" dxfId="4780" priority="1540" operator="containsText" text="Einnahmen">
      <formula>NOT(ISERROR(SEARCH("Einnahmen",K59)))</formula>
    </cfRule>
    <cfRule type="containsText" dxfId="4779" priority="1541" operator="containsText" text="Ausgaben">
      <formula>NOT(ISERROR(SEARCH("Ausgaben",K59)))</formula>
    </cfRule>
  </conditionalFormatting>
  <conditionalFormatting sqref="K60">
    <cfRule type="containsText" dxfId="4778" priority="1538" operator="containsText" text="Einnahmen">
      <formula>NOT(ISERROR(SEARCH("Einnahmen",K60)))</formula>
    </cfRule>
    <cfRule type="containsText" dxfId="4777" priority="1539" operator="containsText" text="Ausgaben">
      <formula>NOT(ISERROR(SEARCH("Ausgaben",K60)))</formula>
    </cfRule>
  </conditionalFormatting>
  <conditionalFormatting sqref="K61">
    <cfRule type="containsText" dxfId="4776" priority="1536" operator="containsText" text="Einnahmen">
      <formula>NOT(ISERROR(SEARCH("Einnahmen",K61)))</formula>
    </cfRule>
    <cfRule type="containsText" dxfId="4775" priority="1537" operator="containsText" text="Ausgaben">
      <formula>NOT(ISERROR(SEARCH("Ausgaben",K61)))</formula>
    </cfRule>
  </conditionalFormatting>
  <conditionalFormatting sqref="K62">
    <cfRule type="containsText" dxfId="4774" priority="1534" operator="containsText" text="Einnahmen">
      <formula>NOT(ISERROR(SEARCH("Einnahmen",K62)))</formula>
    </cfRule>
    <cfRule type="containsText" dxfId="4773" priority="1535" operator="containsText" text="Ausgaben">
      <formula>NOT(ISERROR(SEARCH("Ausgaben",K62)))</formula>
    </cfRule>
  </conditionalFormatting>
  <conditionalFormatting sqref="K63">
    <cfRule type="containsText" dxfId="4772" priority="1532" operator="containsText" text="Einnahmen">
      <formula>NOT(ISERROR(SEARCH("Einnahmen",K63)))</formula>
    </cfRule>
    <cfRule type="containsText" dxfId="4771" priority="1533" operator="containsText" text="Ausgaben">
      <formula>NOT(ISERROR(SEARCH("Ausgaben",K63)))</formula>
    </cfRule>
  </conditionalFormatting>
  <conditionalFormatting sqref="K64">
    <cfRule type="containsText" dxfId="4770" priority="1530" operator="containsText" text="Einnahmen">
      <formula>NOT(ISERROR(SEARCH("Einnahmen",K64)))</formula>
    </cfRule>
    <cfRule type="containsText" dxfId="4769" priority="1531" operator="containsText" text="Ausgaben">
      <formula>NOT(ISERROR(SEARCH("Ausgaben",K64)))</formula>
    </cfRule>
  </conditionalFormatting>
  <conditionalFormatting sqref="K64">
    <cfRule type="containsText" dxfId="4768" priority="1528" operator="containsText" text="Einnahmen">
      <formula>NOT(ISERROR(SEARCH("Einnahmen",K64)))</formula>
    </cfRule>
    <cfRule type="containsText" dxfId="4767" priority="1529" operator="containsText" text="Ausgaben">
      <formula>NOT(ISERROR(SEARCH("Ausgaben",K64)))</formula>
    </cfRule>
  </conditionalFormatting>
  <conditionalFormatting sqref="K65">
    <cfRule type="containsText" dxfId="4766" priority="1526" operator="containsText" text="Einnahmen">
      <formula>NOT(ISERROR(SEARCH("Einnahmen",K65)))</formula>
    </cfRule>
    <cfRule type="containsText" dxfId="4765" priority="1527" operator="containsText" text="Ausgaben">
      <formula>NOT(ISERROR(SEARCH("Ausgaben",K65)))</formula>
    </cfRule>
  </conditionalFormatting>
  <conditionalFormatting sqref="K65">
    <cfRule type="containsText" dxfId="4764" priority="1524" operator="containsText" text="Einnahmen">
      <formula>NOT(ISERROR(SEARCH("Einnahmen",K65)))</formula>
    </cfRule>
    <cfRule type="containsText" dxfId="4763" priority="1525" operator="containsText" text="Ausgaben">
      <formula>NOT(ISERROR(SEARCH("Ausgaben",K65)))</formula>
    </cfRule>
  </conditionalFormatting>
  <conditionalFormatting sqref="K66">
    <cfRule type="containsText" dxfId="4762" priority="1522" operator="containsText" text="Einnahmen">
      <formula>NOT(ISERROR(SEARCH("Einnahmen",K66)))</formula>
    </cfRule>
    <cfRule type="containsText" dxfId="4761" priority="1523" operator="containsText" text="Ausgaben">
      <formula>NOT(ISERROR(SEARCH("Ausgaben",K66)))</formula>
    </cfRule>
  </conditionalFormatting>
  <conditionalFormatting sqref="K67">
    <cfRule type="containsText" dxfId="4760" priority="1520" operator="containsText" text="Einnahmen">
      <formula>NOT(ISERROR(SEARCH("Einnahmen",K67)))</formula>
    </cfRule>
    <cfRule type="containsText" dxfId="4759" priority="1521" operator="containsText" text="Ausgaben">
      <formula>NOT(ISERROR(SEARCH("Ausgaben",K67)))</formula>
    </cfRule>
  </conditionalFormatting>
  <conditionalFormatting sqref="K69">
    <cfRule type="containsText" dxfId="4758" priority="1518" operator="containsText" text="Einnahmen">
      <formula>NOT(ISERROR(SEARCH("Einnahmen",K69)))</formula>
    </cfRule>
    <cfRule type="containsText" dxfId="4757" priority="1519" operator="containsText" text="Ausgaben">
      <formula>NOT(ISERROR(SEARCH("Ausgaben",K69)))</formula>
    </cfRule>
  </conditionalFormatting>
  <conditionalFormatting sqref="K70:K71">
    <cfRule type="containsText" dxfId="4756" priority="1516" operator="containsText" text="Einnahmen">
      <formula>NOT(ISERROR(SEARCH("Einnahmen",K70)))</formula>
    </cfRule>
    <cfRule type="containsText" dxfId="4755" priority="1517" operator="containsText" text="Ausgaben">
      <formula>NOT(ISERROR(SEARCH("Ausgaben",K70)))</formula>
    </cfRule>
  </conditionalFormatting>
  <conditionalFormatting sqref="K72">
    <cfRule type="containsText" dxfId="4754" priority="1514" operator="containsText" text="Einnahmen">
      <formula>NOT(ISERROR(SEARCH("Einnahmen",K72)))</formula>
    </cfRule>
    <cfRule type="containsText" dxfId="4753" priority="1515" operator="containsText" text="Ausgaben">
      <formula>NOT(ISERROR(SEARCH("Ausgaben",K72)))</formula>
    </cfRule>
  </conditionalFormatting>
  <conditionalFormatting sqref="K73">
    <cfRule type="containsText" dxfId="4752" priority="1512" operator="containsText" text="Einnahmen">
      <formula>NOT(ISERROR(SEARCH("Einnahmen",K73)))</formula>
    </cfRule>
    <cfRule type="containsText" dxfId="4751" priority="1513" operator="containsText" text="Ausgaben">
      <formula>NOT(ISERROR(SEARCH("Ausgaben",K73)))</formula>
    </cfRule>
  </conditionalFormatting>
  <conditionalFormatting sqref="K74">
    <cfRule type="containsText" dxfId="4750" priority="1510" operator="containsText" text="Einnahmen">
      <formula>NOT(ISERROR(SEARCH("Einnahmen",K74)))</formula>
    </cfRule>
    <cfRule type="containsText" dxfId="4749" priority="1511" operator="containsText" text="Ausgaben">
      <formula>NOT(ISERROR(SEARCH("Ausgaben",K74)))</formula>
    </cfRule>
  </conditionalFormatting>
  <conditionalFormatting sqref="K75">
    <cfRule type="containsText" dxfId="4748" priority="1508" operator="containsText" text="Einnahmen">
      <formula>NOT(ISERROR(SEARCH("Einnahmen",K75)))</formula>
    </cfRule>
    <cfRule type="containsText" dxfId="4747" priority="1509" operator="containsText" text="Ausgaben">
      <formula>NOT(ISERROR(SEARCH("Ausgaben",K75)))</formula>
    </cfRule>
  </conditionalFormatting>
  <conditionalFormatting sqref="K76">
    <cfRule type="containsText" dxfId="4746" priority="1506" operator="containsText" text="Einnahmen">
      <formula>NOT(ISERROR(SEARCH("Einnahmen",K76)))</formula>
    </cfRule>
    <cfRule type="containsText" dxfId="4745" priority="1507" operator="containsText" text="Ausgaben">
      <formula>NOT(ISERROR(SEARCH("Ausgaben",K76)))</formula>
    </cfRule>
  </conditionalFormatting>
  <conditionalFormatting sqref="K77">
    <cfRule type="containsText" dxfId="4744" priority="1504" operator="containsText" text="Einnahmen">
      <formula>NOT(ISERROR(SEARCH("Einnahmen",K77)))</formula>
    </cfRule>
    <cfRule type="containsText" dxfId="4743" priority="1505" operator="containsText" text="Ausgaben">
      <formula>NOT(ISERROR(SEARCH("Ausgaben",K77)))</formula>
    </cfRule>
  </conditionalFormatting>
  <conditionalFormatting sqref="K78">
    <cfRule type="containsText" dxfId="4742" priority="1502" operator="containsText" text="Einnahmen">
      <formula>NOT(ISERROR(SEARCH("Einnahmen",K78)))</formula>
    </cfRule>
    <cfRule type="containsText" dxfId="4741" priority="1503" operator="containsText" text="Ausgaben">
      <formula>NOT(ISERROR(SEARCH("Ausgaben",K78)))</formula>
    </cfRule>
  </conditionalFormatting>
  <conditionalFormatting sqref="K79">
    <cfRule type="containsText" dxfId="4740" priority="1500" operator="containsText" text="Einnahmen">
      <formula>NOT(ISERROR(SEARCH("Einnahmen",K79)))</formula>
    </cfRule>
    <cfRule type="containsText" dxfId="4739" priority="1501" operator="containsText" text="Ausgaben">
      <formula>NOT(ISERROR(SEARCH("Ausgaben",K79)))</formula>
    </cfRule>
  </conditionalFormatting>
  <conditionalFormatting sqref="K80">
    <cfRule type="containsText" dxfId="4738" priority="1498" operator="containsText" text="Einnahmen">
      <formula>NOT(ISERROR(SEARCH("Einnahmen",K80)))</formula>
    </cfRule>
    <cfRule type="containsText" dxfId="4737" priority="1499" operator="containsText" text="Ausgaben">
      <formula>NOT(ISERROR(SEARCH("Ausgaben",K80)))</formula>
    </cfRule>
  </conditionalFormatting>
  <conditionalFormatting sqref="K80">
    <cfRule type="containsText" dxfId="4736" priority="1496" operator="containsText" text="Einnahmen">
      <formula>NOT(ISERROR(SEARCH("Einnahmen",K80)))</formula>
    </cfRule>
    <cfRule type="containsText" dxfId="4735" priority="1497" operator="containsText" text="Ausgaben">
      <formula>NOT(ISERROR(SEARCH("Ausgaben",K80)))</formula>
    </cfRule>
  </conditionalFormatting>
  <conditionalFormatting sqref="K81">
    <cfRule type="containsText" dxfId="4734" priority="1494" operator="containsText" text="Einnahmen">
      <formula>NOT(ISERROR(SEARCH("Einnahmen",K81)))</formula>
    </cfRule>
    <cfRule type="containsText" dxfId="4733" priority="1495" operator="containsText" text="Ausgaben">
      <formula>NOT(ISERROR(SEARCH("Ausgaben",K81)))</formula>
    </cfRule>
  </conditionalFormatting>
  <conditionalFormatting sqref="K81">
    <cfRule type="containsText" dxfId="4732" priority="1492" operator="containsText" text="Einnahmen">
      <formula>NOT(ISERROR(SEARCH("Einnahmen",K81)))</formula>
    </cfRule>
    <cfRule type="containsText" dxfId="4731" priority="1493" operator="containsText" text="Ausgaben">
      <formula>NOT(ISERROR(SEARCH("Ausgaben",K81)))</formula>
    </cfRule>
  </conditionalFormatting>
  <conditionalFormatting sqref="K82">
    <cfRule type="containsText" dxfId="4730" priority="1490" operator="containsText" text="Einnahmen">
      <formula>NOT(ISERROR(SEARCH("Einnahmen",K82)))</formula>
    </cfRule>
    <cfRule type="containsText" dxfId="4729" priority="1491" operator="containsText" text="Ausgaben">
      <formula>NOT(ISERROR(SEARCH("Ausgaben",K82)))</formula>
    </cfRule>
  </conditionalFormatting>
  <conditionalFormatting sqref="K83">
    <cfRule type="containsText" dxfId="4728" priority="1488" operator="containsText" text="Einnahmen">
      <formula>NOT(ISERROR(SEARCH("Einnahmen",K83)))</formula>
    </cfRule>
    <cfRule type="containsText" dxfId="4727" priority="1489" operator="containsText" text="Ausgaben">
      <formula>NOT(ISERROR(SEARCH("Ausgaben",K83)))</formula>
    </cfRule>
  </conditionalFormatting>
  <conditionalFormatting sqref="K84">
    <cfRule type="containsText" dxfId="4726" priority="1486" operator="containsText" text="Einnahmen">
      <formula>NOT(ISERROR(SEARCH("Einnahmen",K84)))</formula>
    </cfRule>
    <cfRule type="containsText" dxfId="4725" priority="1487" operator="containsText" text="Ausgaben">
      <formula>NOT(ISERROR(SEARCH("Ausgaben",K84)))</formula>
    </cfRule>
  </conditionalFormatting>
  <conditionalFormatting sqref="K85">
    <cfRule type="containsText" dxfId="4724" priority="1484" operator="containsText" text="Einnahmen">
      <formula>NOT(ISERROR(SEARCH("Einnahmen",K85)))</formula>
    </cfRule>
    <cfRule type="containsText" dxfId="4723" priority="1485" operator="containsText" text="Ausgaben">
      <formula>NOT(ISERROR(SEARCH("Ausgaben",K85)))</formula>
    </cfRule>
  </conditionalFormatting>
  <conditionalFormatting sqref="K86">
    <cfRule type="containsText" dxfId="4722" priority="1482" operator="containsText" text="Einnahmen">
      <formula>NOT(ISERROR(SEARCH("Einnahmen",K86)))</formula>
    </cfRule>
    <cfRule type="containsText" dxfId="4721" priority="1483" operator="containsText" text="Ausgaben">
      <formula>NOT(ISERROR(SEARCH("Ausgaben",K86)))</formula>
    </cfRule>
  </conditionalFormatting>
  <conditionalFormatting sqref="K87">
    <cfRule type="containsText" dxfId="4720" priority="1480" operator="containsText" text="Einnahmen">
      <formula>NOT(ISERROR(SEARCH("Einnahmen",K87)))</formula>
    </cfRule>
    <cfRule type="containsText" dxfId="4719" priority="1481" operator="containsText" text="Ausgaben">
      <formula>NOT(ISERROR(SEARCH("Ausgaben",K87)))</formula>
    </cfRule>
  </conditionalFormatting>
  <conditionalFormatting sqref="K88">
    <cfRule type="containsText" dxfId="4718" priority="1478" operator="containsText" text="Einnahmen">
      <formula>NOT(ISERROR(SEARCH("Einnahmen",K88)))</formula>
    </cfRule>
    <cfRule type="containsText" dxfId="4717" priority="1479" operator="containsText" text="Ausgaben">
      <formula>NOT(ISERROR(SEARCH("Ausgaben",K88)))</formula>
    </cfRule>
  </conditionalFormatting>
  <conditionalFormatting sqref="K89">
    <cfRule type="containsText" dxfId="4716" priority="1476" operator="containsText" text="Einnahmen">
      <formula>NOT(ISERROR(SEARCH("Einnahmen",K89)))</formula>
    </cfRule>
    <cfRule type="containsText" dxfId="4715" priority="1477" operator="containsText" text="Ausgaben">
      <formula>NOT(ISERROR(SEARCH("Ausgaben",K89)))</formula>
    </cfRule>
  </conditionalFormatting>
  <conditionalFormatting sqref="K90">
    <cfRule type="containsText" dxfId="4714" priority="1474" operator="containsText" text="Einnahmen">
      <formula>NOT(ISERROR(SEARCH("Einnahmen",K90)))</formula>
    </cfRule>
    <cfRule type="containsText" dxfId="4713" priority="1475" operator="containsText" text="Ausgaben">
      <formula>NOT(ISERROR(SEARCH("Ausgaben",K90)))</formula>
    </cfRule>
  </conditionalFormatting>
  <conditionalFormatting sqref="K91">
    <cfRule type="containsText" dxfId="4712" priority="1472" operator="containsText" text="Einnahmen">
      <formula>NOT(ISERROR(SEARCH("Einnahmen",K91)))</formula>
    </cfRule>
    <cfRule type="containsText" dxfId="4711" priority="1473" operator="containsText" text="Ausgaben">
      <formula>NOT(ISERROR(SEARCH("Ausgaben",K91)))</formula>
    </cfRule>
  </conditionalFormatting>
  <conditionalFormatting sqref="K92">
    <cfRule type="containsText" dxfId="4710" priority="1470" operator="containsText" text="Einnahmen">
      <formula>NOT(ISERROR(SEARCH("Einnahmen",K92)))</formula>
    </cfRule>
    <cfRule type="containsText" dxfId="4709" priority="1471" operator="containsText" text="Ausgaben">
      <formula>NOT(ISERROR(SEARCH("Ausgaben",K92)))</formula>
    </cfRule>
  </conditionalFormatting>
  <conditionalFormatting sqref="K93">
    <cfRule type="containsText" dxfId="4708" priority="1468" operator="containsText" text="Einnahmen">
      <formula>NOT(ISERROR(SEARCH("Einnahmen",K93)))</formula>
    </cfRule>
    <cfRule type="containsText" dxfId="4707" priority="1469" operator="containsText" text="Ausgaben">
      <formula>NOT(ISERROR(SEARCH("Ausgaben",K93)))</formula>
    </cfRule>
  </conditionalFormatting>
  <conditionalFormatting sqref="K94">
    <cfRule type="containsText" dxfId="4706" priority="1466" operator="containsText" text="Einnahmen">
      <formula>NOT(ISERROR(SEARCH("Einnahmen",K94)))</formula>
    </cfRule>
    <cfRule type="containsText" dxfId="4705" priority="1467" operator="containsText" text="Ausgaben">
      <formula>NOT(ISERROR(SEARCH("Ausgaben",K94)))</formula>
    </cfRule>
  </conditionalFormatting>
  <conditionalFormatting sqref="K95">
    <cfRule type="containsText" dxfId="4704" priority="1464" operator="containsText" text="Einnahmen">
      <formula>NOT(ISERROR(SEARCH("Einnahmen",K95)))</formula>
    </cfRule>
    <cfRule type="containsText" dxfId="4703" priority="1465" operator="containsText" text="Ausgaben">
      <formula>NOT(ISERROR(SEARCH("Ausgaben",K95)))</formula>
    </cfRule>
  </conditionalFormatting>
  <conditionalFormatting sqref="K95">
    <cfRule type="containsText" dxfId="4702" priority="1462" operator="containsText" text="Einnahmen">
      <formula>NOT(ISERROR(SEARCH("Einnahmen",K95)))</formula>
    </cfRule>
    <cfRule type="containsText" dxfId="4701" priority="1463" operator="containsText" text="Ausgaben">
      <formula>NOT(ISERROR(SEARCH("Ausgaben",K95)))</formula>
    </cfRule>
  </conditionalFormatting>
  <conditionalFormatting sqref="K96">
    <cfRule type="containsText" dxfId="4700" priority="1460" operator="containsText" text="Einnahmen">
      <formula>NOT(ISERROR(SEARCH("Einnahmen",K96)))</formula>
    </cfRule>
    <cfRule type="containsText" dxfId="4699" priority="1461" operator="containsText" text="Ausgaben">
      <formula>NOT(ISERROR(SEARCH("Ausgaben",K96)))</formula>
    </cfRule>
  </conditionalFormatting>
  <conditionalFormatting sqref="K97">
    <cfRule type="containsText" dxfId="4698" priority="1458" operator="containsText" text="Einnahmen">
      <formula>NOT(ISERROR(SEARCH("Einnahmen",K97)))</formula>
    </cfRule>
    <cfRule type="containsText" dxfId="4697" priority="1459" operator="containsText" text="Ausgaben">
      <formula>NOT(ISERROR(SEARCH("Ausgaben",K97)))</formula>
    </cfRule>
  </conditionalFormatting>
  <conditionalFormatting sqref="K97">
    <cfRule type="containsText" dxfId="4696" priority="1456" operator="containsText" text="Einnahmen">
      <formula>NOT(ISERROR(SEARCH("Einnahmen",K97)))</formula>
    </cfRule>
    <cfRule type="containsText" dxfId="4695" priority="1457" operator="containsText" text="Ausgaben">
      <formula>NOT(ISERROR(SEARCH("Ausgaben",K97)))</formula>
    </cfRule>
  </conditionalFormatting>
  <conditionalFormatting sqref="K98:K99">
    <cfRule type="containsText" dxfId="4694" priority="1454" operator="containsText" text="Einnahmen">
      <formula>NOT(ISERROR(SEARCH("Einnahmen",K98)))</formula>
    </cfRule>
    <cfRule type="containsText" dxfId="4693" priority="1455" operator="containsText" text="Ausgaben">
      <formula>NOT(ISERROR(SEARCH("Ausgaben",K98)))</formula>
    </cfRule>
  </conditionalFormatting>
  <conditionalFormatting sqref="K100">
    <cfRule type="containsText" dxfId="4692" priority="1452" operator="containsText" text="Einnahmen">
      <formula>NOT(ISERROR(SEARCH("Einnahmen",K100)))</formula>
    </cfRule>
    <cfRule type="containsText" dxfId="4691" priority="1453" operator="containsText" text="Ausgaben">
      <formula>NOT(ISERROR(SEARCH("Ausgaben",K100)))</formula>
    </cfRule>
  </conditionalFormatting>
  <conditionalFormatting sqref="K101">
    <cfRule type="containsText" dxfId="4690" priority="1450" operator="containsText" text="Einnahmen">
      <formula>NOT(ISERROR(SEARCH("Einnahmen",K101)))</formula>
    </cfRule>
    <cfRule type="containsText" dxfId="4689" priority="1451" operator="containsText" text="Ausgaben">
      <formula>NOT(ISERROR(SEARCH("Ausgaben",K101)))</formula>
    </cfRule>
  </conditionalFormatting>
  <conditionalFormatting sqref="K102">
    <cfRule type="containsText" dxfId="4688" priority="1448" operator="containsText" text="Einnahmen">
      <formula>NOT(ISERROR(SEARCH("Einnahmen",K102)))</formula>
    </cfRule>
    <cfRule type="containsText" dxfId="4687" priority="1449" operator="containsText" text="Ausgaben">
      <formula>NOT(ISERROR(SEARCH("Ausgaben",K102)))</formula>
    </cfRule>
  </conditionalFormatting>
  <conditionalFormatting sqref="K103">
    <cfRule type="containsText" dxfId="4686" priority="1446" operator="containsText" text="Einnahmen">
      <formula>NOT(ISERROR(SEARCH("Einnahmen",K103)))</formula>
    </cfRule>
    <cfRule type="containsText" dxfId="4685" priority="1447" operator="containsText" text="Ausgaben">
      <formula>NOT(ISERROR(SEARCH("Ausgaben",K103)))</formula>
    </cfRule>
  </conditionalFormatting>
  <conditionalFormatting sqref="K104">
    <cfRule type="containsText" dxfId="4684" priority="1444" operator="containsText" text="Einnahmen">
      <formula>NOT(ISERROR(SEARCH("Einnahmen",K104)))</formula>
    </cfRule>
    <cfRule type="containsText" dxfId="4683" priority="1445" operator="containsText" text="Ausgaben">
      <formula>NOT(ISERROR(SEARCH("Ausgaben",K104)))</formula>
    </cfRule>
  </conditionalFormatting>
  <conditionalFormatting sqref="K105">
    <cfRule type="containsText" dxfId="4682" priority="1442" operator="containsText" text="Einnahmen">
      <formula>NOT(ISERROR(SEARCH("Einnahmen",K105)))</formula>
    </cfRule>
    <cfRule type="containsText" dxfId="4681" priority="1443" operator="containsText" text="Ausgaben">
      <formula>NOT(ISERROR(SEARCH("Ausgaben",K105)))</formula>
    </cfRule>
  </conditionalFormatting>
  <conditionalFormatting sqref="K106">
    <cfRule type="containsText" dxfId="4680" priority="1440" operator="containsText" text="Einnahmen">
      <formula>NOT(ISERROR(SEARCH("Einnahmen",K106)))</formula>
    </cfRule>
    <cfRule type="containsText" dxfId="4679" priority="1441" operator="containsText" text="Ausgaben">
      <formula>NOT(ISERROR(SEARCH("Ausgaben",K106)))</formula>
    </cfRule>
  </conditionalFormatting>
  <conditionalFormatting sqref="K107">
    <cfRule type="containsText" dxfId="4678" priority="1438" operator="containsText" text="Einnahmen">
      <formula>NOT(ISERROR(SEARCH("Einnahmen",K107)))</formula>
    </cfRule>
    <cfRule type="containsText" dxfId="4677" priority="1439" operator="containsText" text="Ausgaben">
      <formula>NOT(ISERROR(SEARCH("Ausgaben",K107)))</formula>
    </cfRule>
  </conditionalFormatting>
  <conditionalFormatting sqref="K108">
    <cfRule type="containsText" dxfId="4676" priority="1436" operator="containsText" text="Einnahmen">
      <formula>NOT(ISERROR(SEARCH("Einnahmen",K108)))</formula>
    </cfRule>
    <cfRule type="containsText" dxfId="4675" priority="1437" operator="containsText" text="Ausgaben">
      <formula>NOT(ISERROR(SEARCH("Ausgaben",K108)))</formula>
    </cfRule>
  </conditionalFormatting>
  <conditionalFormatting sqref="K109">
    <cfRule type="containsText" dxfId="4674" priority="1434" operator="containsText" text="Einnahmen">
      <formula>NOT(ISERROR(SEARCH("Einnahmen",K109)))</formula>
    </cfRule>
    <cfRule type="containsText" dxfId="4673" priority="1435" operator="containsText" text="Ausgaben">
      <formula>NOT(ISERROR(SEARCH("Ausgaben",K109)))</formula>
    </cfRule>
  </conditionalFormatting>
  <conditionalFormatting sqref="K110">
    <cfRule type="containsText" dxfId="4672" priority="1432" operator="containsText" text="Einnahmen">
      <formula>NOT(ISERROR(SEARCH("Einnahmen",K110)))</formula>
    </cfRule>
    <cfRule type="containsText" dxfId="4671" priority="1433" operator="containsText" text="Ausgaben">
      <formula>NOT(ISERROR(SEARCH("Ausgaben",K110)))</formula>
    </cfRule>
  </conditionalFormatting>
  <conditionalFormatting sqref="K111">
    <cfRule type="containsText" dxfId="4670" priority="1430" operator="containsText" text="Einnahmen">
      <formula>NOT(ISERROR(SEARCH("Einnahmen",K111)))</formula>
    </cfRule>
    <cfRule type="containsText" dxfId="4669" priority="1431" operator="containsText" text="Ausgaben">
      <formula>NOT(ISERROR(SEARCH("Ausgaben",K111)))</formula>
    </cfRule>
  </conditionalFormatting>
  <conditionalFormatting sqref="K111">
    <cfRule type="containsText" dxfId="4668" priority="1428" operator="containsText" text="Einnahmen">
      <formula>NOT(ISERROR(SEARCH("Einnahmen",K111)))</formula>
    </cfRule>
    <cfRule type="containsText" dxfId="4667" priority="1429" operator="containsText" text="Ausgaben">
      <formula>NOT(ISERROR(SEARCH("Ausgaben",K111)))</formula>
    </cfRule>
  </conditionalFormatting>
  <conditionalFormatting sqref="K112">
    <cfRule type="containsText" dxfId="4666" priority="1426" operator="containsText" text="Einnahmen">
      <formula>NOT(ISERROR(SEARCH("Einnahmen",K112)))</formula>
    </cfRule>
    <cfRule type="containsText" dxfId="4665" priority="1427" operator="containsText" text="Ausgaben">
      <formula>NOT(ISERROR(SEARCH("Ausgaben",K112)))</formula>
    </cfRule>
  </conditionalFormatting>
  <conditionalFormatting sqref="K112">
    <cfRule type="containsText" dxfId="4664" priority="1424" operator="containsText" text="Einnahmen">
      <formula>NOT(ISERROR(SEARCH("Einnahmen",K112)))</formula>
    </cfRule>
    <cfRule type="containsText" dxfId="4663" priority="1425" operator="containsText" text="Ausgaben">
      <formula>NOT(ISERROR(SEARCH("Ausgaben",K112)))</formula>
    </cfRule>
  </conditionalFormatting>
  <conditionalFormatting sqref="K113">
    <cfRule type="containsText" dxfId="4662" priority="1422" operator="containsText" text="Einnahmen">
      <formula>NOT(ISERROR(SEARCH("Einnahmen",K113)))</formula>
    </cfRule>
    <cfRule type="containsText" dxfId="4661" priority="1423" operator="containsText" text="Ausgaben">
      <formula>NOT(ISERROR(SEARCH("Ausgaben",K113)))</formula>
    </cfRule>
  </conditionalFormatting>
  <conditionalFormatting sqref="K114">
    <cfRule type="containsText" dxfId="4660" priority="1420" operator="containsText" text="Einnahmen">
      <formula>NOT(ISERROR(SEARCH("Einnahmen",K114)))</formula>
    </cfRule>
    <cfRule type="containsText" dxfId="4659" priority="1421" operator="containsText" text="Ausgaben">
      <formula>NOT(ISERROR(SEARCH("Ausgaben",K114)))</formula>
    </cfRule>
  </conditionalFormatting>
  <conditionalFormatting sqref="K115">
    <cfRule type="containsText" dxfId="4658" priority="1418" operator="containsText" text="Einnahmen">
      <formula>NOT(ISERROR(SEARCH("Einnahmen",K115)))</formula>
    </cfRule>
    <cfRule type="containsText" dxfId="4657" priority="1419" operator="containsText" text="Ausgaben">
      <formula>NOT(ISERROR(SEARCH("Ausgaben",K115)))</formula>
    </cfRule>
  </conditionalFormatting>
  <conditionalFormatting sqref="K115">
    <cfRule type="containsText" dxfId="4656" priority="1416" operator="containsText" text="Einnahmen">
      <formula>NOT(ISERROR(SEARCH("Einnahmen",K115)))</formula>
    </cfRule>
    <cfRule type="containsText" dxfId="4655" priority="1417" operator="containsText" text="Ausgaben">
      <formula>NOT(ISERROR(SEARCH("Ausgaben",K115)))</formula>
    </cfRule>
  </conditionalFormatting>
  <conditionalFormatting sqref="K116">
    <cfRule type="containsText" dxfId="4654" priority="1414" operator="containsText" text="Einnahmen">
      <formula>NOT(ISERROR(SEARCH("Einnahmen",K116)))</formula>
    </cfRule>
    <cfRule type="containsText" dxfId="4653" priority="1415" operator="containsText" text="Ausgaben">
      <formula>NOT(ISERROR(SEARCH("Ausgaben",K116)))</formula>
    </cfRule>
  </conditionalFormatting>
  <conditionalFormatting sqref="K117">
    <cfRule type="containsText" dxfId="4652" priority="1412" operator="containsText" text="Einnahmen">
      <formula>NOT(ISERROR(SEARCH("Einnahmen",K117)))</formula>
    </cfRule>
    <cfRule type="containsText" dxfId="4651" priority="1413" operator="containsText" text="Ausgaben">
      <formula>NOT(ISERROR(SEARCH("Ausgaben",K117)))</formula>
    </cfRule>
  </conditionalFormatting>
  <conditionalFormatting sqref="K117">
    <cfRule type="containsText" dxfId="4650" priority="1410" operator="containsText" text="Einnahmen">
      <formula>NOT(ISERROR(SEARCH("Einnahmen",K117)))</formula>
    </cfRule>
    <cfRule type="containsText" dxfId="4649" priority="1411" operator="containsText" text="Ausgaben">
      <formula>NOT(ISERROR(SEARCH("Ausgaben",K117)))</formula>
    </cfRule>
  </conditionalFormatting>
  <conditionalFormatting sqref="K142 K152 K172 K174 K206 K208 K162 K182:K183 K199">
    <cfRule type="containsText" dxfId="4648" priority="1408" operator="containsText" text="Einnahmen">
      <formula>NOT(ISERROR(SEARCH("Einnahmen",K142)))</formula>
    </cfRule>
    <cfRule type="containsText" dxfId="4647" priority="1409" operator="containsText" text="Ausgaben">
      <formula>NOT(ISERROR(SEARCH("Ausgaben",K142)))</formula>
    </cfRule>
  </conditionalFormatting>
  <conditionalFormatting sqref="K141 K171 K173 K175 K205 K207 K161 K179:K180 K193:K195 K201">
    <cfRule type="containsText" dxfId="4646" priority="1406" operator="containsText" text="Einnahmen">
      <formula>NOT(ISERROR(SEARCH("Einnahmen",K141)))</formula>
    </cfRule>
    <cfRule type="containsText" dxfId="4645" priority="1407" operator="containsText" text="Ausgaben">
      <formula>NOT(ISERROR(SEARCH("Ausgaben",K141)))</formula>
    </cfRule>
  </conditionalFormatting>
  <conditionalFormatting sqref="K118">
    <cfRule type="containsText" dxfId="4644" priority="1404" operator="containsText" text="Einnahmen">
      <formula>NOT(ISERROR(SEARCH("Einnahmen",K118)))</formula>
    </cfRule>
    <cfRule type="containsText" dxfId="4643" priority="1405" operator="containsText" text="Ausgaben">
      <formula>NOT(ISERROR(SEARCH("Ausgaben",K118)))</formula>
    </cfRule>
  </conditionalFormatting>
  <conditionalFormatting sqref="K119">
    <cfRule type="containsText" dxfId="4642" priority="1402" operator="containsText" text="Einnahmen">
      <formula>NOT(ISERROR(SEARCH("Einnahmen",K119)))</formula>
    </cfRule>
    <cfRule type="containsText" dxfId="4641" priority="1403" operator="containsText" text="Ausgaben">
      <formula>NOT(ISERROR(SEARCH("Ausgaben",K119)))</formula>
    </cfRule>
  </conditionalFormatting>
  <conditionalFormatting sqref="K120">
    <cfRule type="containsText" dxfId="4640" priority="1400" operator="containsText" text="Einnahmen">
      <formula>NOT(ISERROR(SEARCH("Einnahmen",K120)))</formula>
    </cfRule>
    <cfRule type="containsText" dxfId="4639" priority="1401" operator="containsText" text="Ausgaben">
      <formula>NOT(ISERROR(SEARCH("Ausgaben",K120)))</formula>
    </cfRule>
  </conditionalFormatting>
  <conditionalFormatting sqref="K121">
    <cfRule type="containsText" dxfId="4638" priority="1398" operator="containsText" text="Einnahmen">
      <formula>NOT(ISERROR(SEARCH("Einnahmen",K121)))</formula>
    </cfRule>
    <cfRule type="containsText" dxfId="4637" priority="1399" operator="containsText" text="Ausgaben">
      <formula>NOT(ISERROR(SEARCH("Ausgaben",K121)))</formula>
    </cfRule>
  </conditionalFormatting>
  <conditionalFormatting sqref="K122">
    <cfRule type="containsText" dxfId="4636" priority="1396" operator="containsText" text="Einnahmen">
      <formula>NOT(ISERROR(SEARCH("Einnahmen",K122)))</formula>
    </cfRule>
    <cfRule type="containsText" dxfId="4635" priority="1397" operator="containsText" text="Ausgaben">
      <formula>NOT(ISERROR(SEARCH("Ausgaben",K122)))</formula>
    </cfRule>
  </conditionalFormatting>
  <conditionalFormatting sqref="K123">
    <cfRule type="containsText" dxfId="4634" priority="1394" operator="containsText" text="Einnahmen">
      <formula>NOT(ISERROR(SEARCH("Einnahmen",K123)))</formula>
    </cfRule>
    <cfRule type="containsText" dxfId="4633" priority="1395" operator="containsText" text="Ausgaben">
      <formula>NOT(ISERROR(SEARCH("Ausgaben",K123)))</formula>
    </cfRule>
  </conditionalFormatting>
  <conditionalFormatting sqref="K124">
    <cfRule type="containsText" dxfId="4632" priority="1392" operator="containsText" text="Einnahmen">
      <formula>NOT(ISERROR(SEARCH("Einnahmen",K124)))</formula>
    </cfRule>
    <cfRule type="containsText" dxfId="4631" priority="1393" operator="containsText" text="Ausgaben">
      <formula>NOT(ISERROR(SEARCH("Ausgaben",K124)))</formula>
    </cfRule>
  </conditionalFormatting>
  <conditionalFormatting sqref="K125">
    <cfRule type="containsText" dxfId="4630" priority="1390" operator="containsText" text="Einnahmen">
      <formula>NOT(ISERROR(SEARCH("Einnahmen",K125)))</formula>
    </cfRule>
    <cfRule type="containsText" dxfId="4629" priority="1391" operator="containsText" text="Ausgaben">
      <formula>NOT(ISERROR(SEARCH("Ausgaben",K125)))</formula>
    </cfRule>
  </conditionalFormatting>
  <conditionalFormatting sqref="K126">
    <cfRule type="containsText" dxfId="4628" priority="1388" operator="containsText" text="Einnahmen">
      <formula>NOT(ISERROR(SEARCH("Einnahmen",K126)))</formula>
    </cfRule>
    <cfRule type="containsText" dxfId="4627" priority="1389" operator="containsText" text="Ausgaben">
      <formula>NOT(ISERROR(SEARCH("Ausgaben",K126)))</formula>
    </cfRule>
  </conditionalFormatting>
  <conditionalFormatting sqref="K126">
    <cfRule type="containsText" dxfId="4626" priority="1386" operator="containsText" text="Einnahmen">
      <formula>NOT(ISERROR(SEARCH("Einnahmen",K126)))</formula>
    </cfRule>
    <cfRule type="containsText" dxfId="4625" priority="1387" operator="containsText" text="Ausgaben">
      <formula>NOT(ISERROR(SEARCH("Ausgaben",K126)))</formula>
    </cfRule>
  </conditionalFormatting>
  <conditionalFormatting sqref="K127">
    <cfRule type="containsText" dxfId="4624" priority="1384" operator="containsText" text="Einnahmen">
      <formula>NOT(ISERROR(SEARCH("Einnahmen",K127)))</formula>
    </cfRule>
    <cfRule type="containsText" dxfId="4623" priority="1385" operator="containsText" text="Ausgaben">
      <formula>NOT(ISERROR(SEARCH("Ausgaben",K127)))</formula>
    </cfRule>
  </conditionalFormatting>
  <conditionalFormatting sqref="K127">
    <cfRule type="containsText" dxfId="4622" priority="1382" operator="containsText" text="Einnahmen">
      <formula>NOT(ISERROR(SEARCH("Einnahmen",K127)))</formula>
    </cfRule>
    <cfRule type="containsText" dxfId="4621" priority="1383" operator="containsText" text="Ausgaben">
      <formula>NOT(ISERROR(SEARCH("Ausgaben",K127)))</formula>
    </cfRule>
  </conditionalFormatting>
  <conditionalFormatting sqref="K128">
    <cfRule type="containsText" dxfId="4620" priority="1380" operator="containsText" text="Einnahmen">
      <formula>NOT(ISERROR(SEARCH("Einnahmen",K128)))</formula>
    </cfRule>
    <cfRule type="containsText" dxfId="4619" priority="1381" operator="containsText" text="Ausgaben">
      <formula>NOT(ISERROR(SEARCH("Ausgaben",K128)))</formula>
    </cfRule>
  </conditionalFormatting>
  <conditionalFormatting sqref="K128">
    <cfRule type="containsText" dxfId="4618" priority="1378" operator="containsText" text="Einnahmen">
      <formula>NOT(ISERROR(SEARCH("Einnahmen",K128)))</formula>
    </cfRule>
    <cfRule type="containsText" dxfId="4617" priority="1379" operator="containsText" text="Ausgaben">
      <formula>NOT(ISERROR(SEARCH("Ausgaben",K128)))</formula>
    </cfRule>
  </conditionalFormatting>
  <conditionalFormatting sqref="K129">
    <cfRule type="containsText" dxfId="4616" priority="1376" operator="containsText" text="Einnahmen">
      <formula>NOT(ISERROR(SEARCH("Einnahmen",K129)))</formula>
    </cfRule>
    <cfRule type="containsText" dxfId="4615" priority="1377" operator="containsText" text="Ausgaben">
      <formula>NOT(ISERROR(SEARCH("Ausgaben",K129)))</formula>
    </cfRule>
  </conditionalFormatting>
  <conditionalFormatting sqref="K130">
    <cfRule type="containsText" dxfId="4614" priority="1374" operator="containsText" text="Einnahmen">
      <formula>NOT(ISERROR(SEARCH("Einnahmen",K130)))</formula>
    </cfRule>
    <cfRule type="containsText" dxfId="4613" priority="1375" operator="containsText" text="Ausgaben">
      <formula>NOT(ISERROR(SEARCH("Ausgaben",K130)))</formula>
    </cfRule>
  </conditionalFormatting>
  <conditionalFormatting sqref="K131">
    <cfRule type="containsText" dxfId="4612" priority="1372" operator="containsText" text="Einnahmen">
      <formula>NOT(ISERROR(SEARCH("Einnahmen",K131)))</formula>
    </cfRule>
    <cfRule type="containsText" dxfId="4611" priority="1373" operator="containsText" text="Ausgaben">
      <formula>NOT(ISERROR(SEARCH("Ausgaben",K131)))</formula>
    </cfRule>
  </conditionalFormatting>
  <conditionalFormatting sqref="K131">
    <cfRule type="containsText" dxfId="4610" priority="1370" operator="containsText" text="Einnahmen">
      <formula>NOT(ISERROR(SEARCH("Einnahmen",K131)))</formula>
    </cfRule>
    <cfRule type="containsText" dxfId="4609" priority="1371" operator="containsText" text="Ausgaben">
      <formula>NOT(ISERROR(SEARCH("Ausgaben",K131)))</formula>
    </cfRule>
  </conditionalFormatting>
  <conditionalFormatting sqref="K132">
    <cfRule type="containsText" dxfId="4608" priority="1368" operator="containsText" text="Einnahmen">
      <formula>NOT(ISERROR(SEARCH("Einnahmen",K132)))</formula>
    </cfRule>
    <cfRule type="containsText" dxfId="4607" priority="1369" operator="containsText" text="Ausgaben">
      <formula>NOT(ISERROR(SEARCH("Ausgaben",K132)))</formula>
    </cfRule>
  </conditionalFormatting>
  <conditionalFormatting sqref="K133">
    <cfRule type="containsText" dxfId="4606" priority="1366" operator="containsText" text="Einnahmen">
      <formula>NOT(ISERROR(SEARCH("Einnahmen",K133)))</formula>
    </cfRule>
    <cfRule type="containsText" dxfId="4605" priority="1367" operator="containsText" text="Ausgaben">
      <formula>NOT(ISERROR(SEARCH("Ausgaben",K133)))</formula>
    </cfRule>
  </conditionalFormatting>
  <conditionalFormatting sqref="K134">
    <cfRule type="containsText" dxfId="4604" priority="1364" operator="containsText" text="Einnahmen">
      <formula>NOT(ISERROR(SEARCH("Einnahmen",K134)))</formula>
    </cfRule>
    <cfRule type="containsText" dxfId="4603" priority="1365" operator="containsText" text="Ausgaben">
      <formula>NOT(ISERROR(SEARCH("Ausgaben",K134)))</formula>
    </cfRule>
  </conditionalFormatting>
  <conditionalFormatting sqref="K135">
    <cfRule type="containsText" dxfId="4602" priority="1362" operator="containsText" text="Einnahmen">
      <formula>NOT(ISERROR(SEARCH("Einnahmen",K135)))</formula>
    </cfRule>
    <cfRule type="containsText" dxfId="4601" priority="1363" operator="containsText" text="Ausgaben">
      <formula>NOT(ISERROR(SEARCH("Ausgaben",K135)))</formula>
    </cfRule>
  </conditionalFormatting>
  <conditionalFormatting sqref="K136">
    <cfRule type="containsText" dxfId="4600" priority="1360" operator="containsText" text="Einnahmen">
      <formula>NOT(ISERROR(SEARCH("Einnahmen",K136)))</formula>
    </cfRule>
    <cfRule type="containsText" dxfId="4599" priority="1361" operator="containsText" text="Ausgaben">
      <formula>NOT(ISERROR(SEARCH("Ausgaben",K136)))</formula>
    </cfRule>
  </conditionalFormatting>
  <conditionalFormatting sqref="K137">
    <cfRule type="containsText" dxfId="4598" priority="1358" operator="containsText" text="Einnahmen">
      <formula>NOT(ISERROR(SEARCH("Einnahmen",K137)))</formula>
    </cfRule>
    <cfRule type="containsText" dxfId="4597" priority="1359" operator="containsText" text="Ausgaben">
      <formula>NOT(ISERROR(SEARCH("Ausgaben",K137)))</formula>
    </cfRule>
  </conditionalFormatting>
  <conditionalFormatting sqref="K138">
    <cfRule type="containsText" dxfId="4596" priority="1356" operator="containsText" text="Einnahmen">
      <formula>NOT(ISERROR(SEARCH("Einnahmen",K138)))</formula>
    </cfRule>
    <cfRule type="containsText" dxfId="4595" priority="1357" operator="containsText" text="Ausgaben">
      <formula>NOT(ISERROR(SEARCH("Ausgaben",K138)))</formula>
    </cfRule>
  </conditionalFormatting>
  <conditionalFormatting sqref="K139">
    <cfRule type="containsText" dxfId="4594" priority="1354" operator="containsText" text="Einnahmen">
      <formula>NOT(ISERROR(SEARCH("Einnahmen",K139)))</formula>
    </cfRule>
    <cfRule type="containsText" dxfId="4593" priority="1355" operator="containsText" text="Ausgaben">
      <formula>NOT(ISERROR(SEARCH("Ausgaben",K139)))</formula>
    </cfRule>
  </conditionalFormatting>
  <conditionalFormatting sqref="K139">
    <cfRule type="containsText" dxfId="4592" priority="1352" operator="containsText" text="Einnahmen">
      <formula>NOT(ISERROR(SEARCH("Einnahmen",K139)))</formula>
    </cfRule>
    <cfRule type="containsText" dxfId="4591" priority="1353" operator="containsText" text="Ausgaben">
      <formula>NOT(ISERROR(SEARCH("Ausgaben",K139)))</formula>
    </cfRule>
  </conditionalFormatting>
  <conditionalFormatting sqref="K140">
    <cfRule type="containsText" dxfId="4590" priority="1350" operator="containsText" text="Einnahmen">
      <formula>NOT(ISERROR(SEARCH("Einnahmen",K140)))</formula>
    </cfRule>
    <cfRule type="containsText" dxfId="4589" priority="1351" operator="containsText" text="Ausgaben">
      <formula>NOT(ISERROR(SEARCH("Ausgaben",K140)))</formula>
    </cfRule>
  </conditionalFormatting>
  <conditionalFormatting sqref="K140">
    <cfRule type="containsText" dxfId="4588" priority="1348" operator="containsText" text="Einnahmen">
      <formula>NOT(ISERROR(SEARCH("Einnahmen",K140)))</formula>
    </cfRule>
    <cfRule type="containsText" dxfId="4587" priority="1349" operator="containsText" text="Ausgaben">
      <formula>NOT(ISERROR(SEARCH("Ausgaben",K140)))</formula>
    </cfRule>
  </conditionalFormatting>
  <conditionalFormatting sqref="K143">
    <cfRule type="containsText" dxfId="4586" priority="1346" operator="containsText" text="Einnahmen">
      <formula>NOT(ISERROR(SEARCH("Einnahmen",K143)))</formula>
    </cfRule>
    <cfRule type="containsText" dxfId="4585" priority="1347" operator="containsText" text="Ausgaben">
      <formula>NOT(ISERROR(SEARCH("Ausgaben",K143)))</formula>
    </cfRule>
  </conditionalFormatting>
  <conditionalFormatting sqref="K144:K146">
    <cfRule type="containsText" dxfId="4584" priority="1344" operator="containsText" text="Einnahmen">
      <formula>NOT(ISERROR(SEARCH("Einnahmen",K144)))</formula>
    </cfRule>
    <cfRule type="containsText" dxfId="4583" priority="1345" operator="containsText" text="Ausgaben">
      <formula>NOT(ISERROR(SEARCH("Ausgaben",K144)))</formula>
    </cfRule>
  </conditionalFormatting>
  <conditionalFormatting sqref="K147">
    <cfRule type="containsText" dxfId="4582" priority="1342" operator="containsText" text="Einnahmen">
      <formula>NOT(ISERROR(SEARCH("Einnahmen",K147)))</formula>
    </cfRule>
    <cfRule type="containsText" dxfId="4581" priority="1343" operator="containsText" text="Ausgaben">
      <formula>NOT(ISERROR(SEARCH("Ausgaben",K147)))</formula>
    </cfRule>
  </conditionalFormatting>
  <conditionalFormatting sqref="K148">
    <cfRule type="containsText" dxfId="4580" priority="1340" operator="containsText" text="Einnahmen">
      <formula>NOT(ISERROR(SEARCH("Einnahmen",K148)))</formula>
    </cfRule>
    <cfRule type="containsText" dxfId="4579" priority="1341" operator="containsText" text="Ausgaben">
      <formula>NOT(ISERROR(SEARCH("Ausgaben",K148)))</formula>
    </cfRule>
  </conditionalFormatting>
  <conditionalFormatting sqref="K149">
    <cfRule type="containsText" dxfId="4578" priority="1338" operator="containsText" text="Einnahmen">
      <formula>NOT(ISERROR(SEARCH("Einnahmen",K149)))</formula>
    </cfRule>
    <cfRule type="containsText" dxfId="4577" priority="1339" operator="containsText" text="Ausgaben">
      <formula>NOT(ISERROR(SEARCH("Ausgaben",K149)))</formula>
    </cfRule>
  </conditionalFormatting>
  <conditionalFormatting sqref="K150">
    <cfRule type="containsText" dxfId="4576" priority="1336" operator="containsText" text="Einnahmen">
      <formula>NOT(ISERROR(SEARCH("Einnahmen",K150)))</formula>
    </cfRule>
    <cfRule type="containsText" dxfId="4575" priority="1337" operator="containsText" text="Ausgaben">
      <formula>NOT(ISERROR(SEARCH("Ausgaben",K150)))</formula>
    </cfRule>
  </conditionalFormatting>
  <conditionalFormatting sqref="K151">
    <cfRule type="containsText" dxfId="4574" priority="1334" operator="containsText" text="Einnahmen">
      <formula>NOT(ISERROR(SEARCH("Einnahmen",K151)))</formula>
    </cfRule>
    <cfRule type="containsText" dxfId="4573" priority="1335" operator="containsText" text="Ausgaben">
      <formula>NOT(ISERROR(SEARCH("Ausgaben",K151)))</formula>
    </cfRule>
  </conditionalFormatting>
  <conditionalFormatting sqref="K153">
    <cfRule type="containsText" dxfId="4572" priority="1332" operator="containsText" text="Einnahmen">
      <formula>NOT(ISERROR(SEARCH("Einnahmen",K153)))</formula>
    </cfRule>
    <cfRule type="containsText" dxfId="4571" priority="1333" operator="containsText" text="Ausgaben">
      <formula>NOT(ISERROR(SEARCH("Ausgaben",K153)))</formula>
    </cfRule>
  </conditionalFormatting>
  <conditionalFormatting sqref="K154">
    <cfRule type="containsText" dxfId="4570" priority="1330" operator="containsText" text="Einnahmen">
      <formula>NOT(ISERROR(SEARCH("Einnahmen",K154)))</formula>
    </cfRule>
    <cfRule type="containsText" dxfId="4569" priority="1331" operator="containsText" text="Ausgaben">
      <formula>NOT(ISERROR(SEARCH("Ausgaben",K154)))</formula>
    </cfRule>
  </conditionalFormatting>
  <conditionalFormatting sqref="K155">
    <cfRule type="containsText" dxfId="4568" priority="1328" operator="containsText" text="Einnahmen">
      <formula>NOT(ISERROR(SEARCH("Einnahmen",K155)))</formula>
    </cfRule>
    <cfRule type="containsText" dxfId="4567" priority="1329" operator="containsText" text="Ausgaben">
      <formula>NOT(ISERROR(SEARCH("Ausgaben",K155)))</formula>
    </cfRule>
  </conditionalFormatting>
  <conditionalFormatting sqref="K156">
    <cfRule type="containsText" dxfId="4566" priority="1326" operator="containsText" text="Einnahmen">
      <formula>NOT(ISERROR(SEARCH("Einnahmen",K156)))</formula>
    </cfRule>
    <cfRule type="containsText" dxfId="4565" priority="1327" operator="containsText" text="Ausgaben">
      <formula>NOT(ISERROR(SEARCH("Ausgaben",K156)))</formula>
    </cfRule>
  </conditionalFormatting>
  <conditionalFormatting sqref="K157">
    <cfRule type="containsText" dxfId="4564" priority="1324" operator="containsText" text="Einnahmen">
      <formula>NOT(ISERROR(SEARCH("Einnahmen",K157)))</formula>
    </cfRule>
    <cfRule type="containsText" dxfId="4563" priority="1325" operator="containsText" text="Ausgaben">
      <formula>NOT(ISERROR(SEARCH("Ausgaben",K157)))</formula>
    </cfRule>
  </conditionalFormatting>
  <conditionalFormatting sqref="K158">
    <cfRule type="containsText" dxfId="4562" priority="1322" operator="containsText" text="Einnahmen">
      <formula>NOT(ISERROR(SEARCH("Einnahmen",K158)))</formula>
    </cfRule>
    <cfRule type="containsText" dxfId="4561" priority="1323" operator="containsText" text="Ausgaben">
      <formula>NOT(ISERROR(SEARCH("Ausgaben",K158)))</formula>
    </cfRule>
  </conditionalFormatting>
  <conditionalFormatting sqref="K158">
    <cfRule type="containsText" dxfId="4560" priority="1320" operator="containsText" text="Einnahmen">
      <formula>NOT(ISERROR(SEARCH("Einnahmen",K158)))</formula>
    </cfRule>
    <cfRule type="containsText" dxfId="4559" priority="1321" operator="containsText" text="Ausgaben">
      <formula>NOT(ISERROR(SEARCH("Ausgaben",K158)))</formula>
    </cfRule>
  </conditionalFormatting>
  <conditionalFormatting sqref="K159">
    <cfRule type="containsText" dxfId="4558" priority="1318" operator="containsText" text="Einnahmen">
      <formula>NOT(ISERROR(SEARCH("Einnahmen",K159)))</formula>
    </cfRule>
    <cfRule type="containsText" dxfId="4557" priority="1319" operator="containsText" text="Ausgaben">
      <formula>NOT(ISERROR(SEARCH("Ausgaben",K159)))</formula>
    </cfRule>
  </conditionalFormatting>
  <conditionalFormatting sqref="K160">
    <cfRule type="containsText" dxfId="4556" priority="1316" operator="containsText" text="Einnahmen">
      <formula>NOT(ISERROR(SEARCH("Einnahmen",K160)))</formula>
    </cfRule>
    <cfRule type="containsText" dxfId="4555" priority="1317" operator="containsText" text="Ausgaben">
      <formula>NOT(ISERROR(SEARCH("Ausgaben",K160)))</formula>
    </cfRule>
  </conditionalFormatting>
  <conditionalFormatting sqref="K160">
    <cfRule type="containsText" dxfId="4554" priority="1314" operator="containsText" text="Einnahmen">
      <formula>NOT(ISERROR(SEARCH("Einnahmen",K160)))</formula>
    </cfRule>
    <cfRule type="containsText" dxfId="4553" priority="1315" operator="containsText" text="Ausgaben">
      <formula>NOT(ISERROR(SEARCH("Ausgaben",K160)))</formula>
    </cfRule>
  </conditionalFormatting>
  <conditionalFormatting sqref="K163">
    <cfRule type="containsText" dxfId="4552" priority="1312" operator="containsText" text="Einnahmen">
      <formula>NOT(ISERROR(SEARCH("Einnahmen",K163)))</formula>
    </cfRule>
    <cfRule type="containsText" dxfId="4551" priority="1313" operator="containsText" text="Ausgaben">
      <formula>NOT(ISERROR(SEARCH("Ausgaben",K163)))</formula>
    </cfRule>
  </conditionalFormatting>
  <conditionalFormatting sqref="K164">
    <cfRule type="containsText" dxfId="4550" priority="1310" operator="containsText" text="Einnahmen">
      <formula>NOT(ISERROR(SEARCH("Einnahmen",K164)))</formula>
    </cfRule>
    <cfRule type="containsText" dxfId="4549" priority="1311" operator="containsText" text="Ausgaben">
      <formula>NOT(ISERROR(SEARCH("Ausgaben",K164)))</formula>
    </cfRule>
  </conditionalFormatting>
  <conditionalFormatting sqref="K164">
    <cfRule type="containsText" dxfId="4548" priority="1308" operator="containsText" text="Einnahmen">
      <formula>NOT(ISERROR(SEARCH("Einnahmen",K164)))</formula>
    </cfRule>
    <cfRule type="containsText" dxfId="4547" priority="1309" operator="containsText" text="Ausgaben">
      <formula>NOT(ISERROR(SEARCH("Ausgaben",K164)))</formula>
    </cfRule>
  </conditionalFormatting>
  <conditionalFormatting sqref="K165">
    <cfRule type="containsText" dxfId="4546" priority="1306" operator="containsText" text="Einnahmen">
      <formula>NOT(ISERROR(SEARCH("Einnahmen",K165)))</formula>
    </cfRule>
    <cfRule type="containsText" dxfId="4545" priority="1307" operator="containsText" text="Ausgaben">
      <formula>NOT(ISERROR(SEARCH("Ausgaben",K165)))</formula>
    </cfRule>
  </conditionalFormatting>
  <conditionalFormatting sqref="K165">
    <cfRule type="containsText" dxfId="4544" priority="1304" operator="containsText" text="Einnahmen">
      <formula>NOT(ISERROR(SEARCH("Einnahmen",K165)))</formula>
    </cfRule>
    <cfRule type="containsText" dxfId="4543" priority="1305" operator="containsText" text="Ausgaben">
      <formula>NOT(ISERROR(SEARCH("Ausgaben",K165)))</formula>
    </cfRule>
  </conditionalFormatting>
  <conditionalFormatting sqref="K166">
    <cfRule type="containsText" dxfId="4542" priority="1302" operator="containsText" text="Einnahmen">
      <formula>NOT(ISERROR(SEARCH("Einnahmen",K166)))</formula>
    </cfRule>
    <cfRule type="containsText" dxfId="4541" priority="1303" operator="containsText" text="Ausgaben">
      <formula>NOT(ISERROR(SEARCH("Ausgaben",K166)))</formula>
    </cfRule>
  </conditionalFormatting>
  <conditionalFormatting sqref="K167">
    <cfRule type="containsText" dxfId="4540" priority="1300" operator="containsText" text="Einnahmen">
      <formula>NOT(ISERROR(SEARCH("Einnahmen",K167)))</formula>
    </cfRule>
    <cfRule type="containsText" dxfId="4539" priority="1301" operator="containsText" text="Ausgaben">
      <formula>NOT(ISERROR(SEARCH("Ausgaben",K167)))</formula>
    </cfRule>
  </conditionalFormatting>
  <conditionalFormatting sqref="K168">
    <cfRule type="containsText" dxfId="4538" priority="1298" operator="containsText" text="Einnahmen">
      <formula>NOT(ISERROR(SEARCH("Einnahmen",K168)))</formula>
    </cfRule>
    <cfRule type="containsText" dxfId="4537" priority="1299" operator="containsText" text="Ausgaben">
      <formula>NOT(ISERROR(SEARCH("Ausgaben",K168)))</formula>
    </cfRule>
  </conditionalFormatting>
  <conditionalFormatting sqref="K169">
    <cfRule type="containsText" dxfId="4536" priority="1296" operator="containsText" text="Einnahmen">
      <formula>NOT(ISERROR(SEARCH("Einnahmen",K169)))</formula>
    </cfRule>
    <cfRule type="containsText" dxfId="4535" priority="1297" operator="containsText" text="Ausgaben">
      <formula>NOT(ISERROR(SEARCH("Ausgaben",K169)))</formula>
    </cfRule>
  </conditionalFormatting>
  <conditionalFormatting sqref="K170">
    <cfRule type="containsText" dxfId="4534" priority="1294" operator="containsText" text="Einnahmen">
      <formula>NOT(ISERROR(SEARCH("Einnahmen",K170)))</formula>
    </cfRule>
    <cfRule type="containsText" dxfId="4533" priority="1295" operator="containsText" text="Ausgaben">
      <formula>NOT(ISERROR(SEARCH("Ausgaben",K170)))</formula>
    </cfRule>
  </conditionalFormatting>
  <conditionalFormatting sqref="K176">
    <cfRule type="containsText" dxfId="4532" priority="1292" operator="containsText" text="Einnahmen">
      <formula>NOT(ISERROR(SEARCH("Einnahmen",K176)))</formula>
    </cfRule>
    <cfRule type="containsText" dxfId="4531" priority="1293" operator="containsText" text="Ausgaben">
      <formula>NOT(ISERROR(SEARCH("Ausgaben",K176)))</formula>
    </cfRule>
  </conditionalFormatting>
  <conditionalFormatting sqref="K177">
    <cfRule type="containsText" dxfId="4530" priority="1290" operator="containsText" text="Einnahmen">
      <formula>NOT(ISERROR(SEARCH("Einnahmen",K177)))</formula>
    </cfRule>
    <cfRule type="containsText" dxfId="4529" priority="1291" operator="containsText" text="Ausgaben">
      <formula>NOT(ISERROR(SEARCH("Ausgaben",K177)))</formula>
    </cfRule>
  </conditionalFormatting>
  <conditionalFormatting sqref="K177">
    <cfRule type="containsText" dxfId="4528" priority="1288" operator="containsText" text="Einnahmen">
      <formula>NOT(ISERROR(SEARCH("Einnahmen",K177)))</formula>
    </cfRule>
    <cfRule type="containsText" dxfId="4527" priority="1289" operator="containsText" text="Ausgaben">
      <formula>NOT(ISERROR(SEARCH("Ausgaben",K177)))</formula>
    </cfRule>
  </conditionalFormatting>
  <conditionalFormatting sqref="K178">
    <cfRule type="containsText" dxfId="4526" priority="1286" operator="containsText" text="Einnahmen">
      <formula>NOT(ISERROR(SEARCH("Einnahmen",K178)))</formula>
    </cfRule>
    <cfRule type="containsText" dxfId="4525" priority="1287" operator="containsText" text="Ausgaben">
      <formula>NOT(ISERROR(SEARCH("Ausgaben",K178)))</formula>
    </cfRule>
  </conditionalFormatting>
  <conditionalFormatting sqref="K178">
    <cfRule type="containsText" dxfId="4524" priority="1284" operator="containsText" text="Einnahmen">
      <formula>NOT(ISERROR(SEARCH("Einnahmen",K178)))</formula>
    </cfRule>
    <cfRule type="containsText" dxfId="4523" priority="1285" operator="containsText" text="Ausgaben">
      <formula>NOT(ISERROR(SEARCH("Ausgaben",K178)))</formula>
    </cfRule>
  </conditionalFormatting>
  <conditionalFormatting sqref="K181">
    <cfRule type="containsText" dxfId="4522" priority="1282" operator="containsText" text="Einnahmen">
      <formula>NOT(ISERROR(SEARCH("Einnahmen",K181)))</formula>
    </cfRule>
    <cfRule type="containsText" dxfId="4521" priority="1283" operator="containsText" text="Ausgaben">
      <formula>NOT(ISERROR(SEARCH("Ausgaben",K181)))</formula>
    </cfRule>
  </conditionalFormatting>
  <conditionalFormatting sqref="K181">
    <cfRule type="containsText" dxfId="4520" priority="1280" operator="containsText" text="Einnahmen">
      <formula>NOT(ISERROR(SEARCH("Einnahmen",K181)))</formula>
    </cfRule>
    <cfRule type="containsText" dxfId="4519" priority="1281" operator="containsText" text="Ausgaben">
      <formula>NOT(ISERROR(SEARCH("Ausgaben",K181)))</formula>
    </cfRule>
  </conditionalFormatting>
  <conditionalFormatting sqref="K184">
    <cfRule type="containsText" dxfId="4518" priority="1278" operator="containsText" text="Einnahmen">
      <formula>NOT(ISERROR(SEARCH("Einnahmen",K184)))</formula>
    </cfRule>
    <cfRule type="containsText" dxfId="4517" priority="1279" operator="containsText" text="Ausgaben">
      <formula>NOT(ISERROR(SEARCH("Ausgaben",K184)))</formula>
    </cfRule>
  </conditionalFormatting>
  <conditionalFormatting sqref="K185">
    <cfRule type="containsText" dxfId="4516" priority="1276" operator="containsText" text="Einnahmen">
      <formula>NOT(ISERROR(SEARCH("Einnahmen",K185)))</formula>
    </cfRule>
    <cfRule type="containsText" dxfId="4515" priority="1277" operator="containsText" text="Ausgaben">
      <formula>NOT(ISERROR(SEARCH("Ausgaben",K185)))</formula>
    </cfRule>
  </conditionalFormatting>
  <conditionalFormatting sqref="K186">
    <cfRule type="containsText" dxfId="4514" priority="1274" operator="containsText" text="Einnahmen">
      <formula>NOT(ISERROR(SEARCH("Einnahmen",K186)))</formula>
    </cfRule>
    <cfRule type="containsText" dxfId="4513" priority="1275" operator="containsText" text="Ausgaben">
      <formula>NOT(ISERROR(SEARCH("Ausgaben",K186)))</formula>
    </cfRule>
  </conditionalFormatting>
  <conditionalFormatting sqref="K187">
    <cfRule type="containsText" dxfId="4512" priority="1272" operator="containsText" text="Einnahmen">
      <formula>NOT(ISERROR(SEARCH("Einnahmen",K187)))</formula>
    </cfRule>
    <cfRule type="containsText" dxfId="4511" priority="1273" operator="containsText" text="Ausgaben">
      <formula>NOT(ISERROR(SEARCH("Ausgaben",K187)))</formula>
    </cfRule>
  </conditionalFormatting>
  <conditionalFormatting sqref="K188">
    <cfRule type="containsText" dxfId="4510" priority="1270" operator="containsText" text="Einnahmen">
      <formula>NOT(ISERROR(SEARCH("Einnahmen",K188)))</formula>
    </cfRule>
    <cfRule type="containsText" dxfId="4509" priority="1271" operator="containsText" text="Ausgaben">
      <formula>NOT(ISERROR(SEARCH("Ausgaben",K188)))</formula>
    </cfRule>
  </conditionalFormatting>
  <conditionalFormatting sqref="K189">
    <cfRule type="containsText" dxfId="4508" priority="1268" operator="containsText" text="Einnahmen">
      <formula>NOT(ISERROR(SEARCH("Einnahmen",K189)))</formula>
    </cfRule>
    <cfRule type="containsText" dxfId="4507" priority="1269" operator="containsText" text="Ausgaben">
      <formula>NOT(ISERROR(SEARCH("Ausgaben",K189)))</formula>
    </cfRule>
  </conditionalFormatting>
  <conditionalFormatting sqref="K190">
    <cfRule type="containsText" dxfId="4506" priority="1266" operator="containsText" text="Einnahmen">
      <formula>NOT(ISERROR(SEARCH("Einnahmen",K190)))</formula>
    </cfRule>
    <cfRule type="containsText" dxfId="4505" priority="1267" operator="containsText" text="Ausgaben">
      <formula>NOT(ISERROR(SEARCH("Ausgaben",K190)))</formula>
    </cfRule>
  </conditionalFormatting>
  <conditionalFormatting sqref="K191">
    <cfRule type="containsText" dxfId="4504" priority="1264" operator="containsText" text="Einnahmen">
      <formula>NOT(ISERROR(SEARCH("Einnahmen",K191)))</formula>
    </cfRule>
    <cfRule type="containsText" dxfId="4503" priority="1265" operator="containsText" text="Ausgaben">
      <formula>NOT(ISERROR(SEARCH("Ausgaben",K191)))</formula>
    </cfRule>
  </conditionalFormatting>
  <conditionalFormatting sqref="K192">
    <cfRule type="containsText" dxfId="4502" priority="1262" operator="containsText" text="Einnahmen">
      <formula>NOT(ISERROR(SEARCH("Einnahmen",K192)))</formula>
    </cfRule>
    <cfRule type="containsText" dxfId="4501" priority="1263" operator="containsText" text="Ausgaben">
      <formula>NOT(ISERROR(SEARCH("Ausgaben",K192)))</formula>
    </cfRule>
  </conditionalFormatting>
  <conditionalFormatting sqref="K192">
    <cfRule type="containsText" dxfId="4500" priority="1260" operator="containsText" text="Einnahmen">
      <formula>NOT(ISERROR(SEARCH("Einnahmen",K192)))</formula>
    </cfRule>
    <cfRule type="containsText" dxfId="4499" priority="1261" operator="containsText" text="Ausgaben">
      <formula>NOT(ISERROR(SEARCH("Ausgaben",K192)))</formula>
    </cfRule>
  </conditionalFormatting>
  <conditionalFormatting sqref="K196">
    <cfRule type="containsText" dxfId="4498" priority="1258" operator="containsText" text="Einnahmen">
      <formula>NOT(ISERROR(SEARCH("Einnahmen",K196)))</formula>
    </cfRule>
    <cfRule type="containsText" dxfId="4497" priority="1259" operator="containsText" text="Ausgaben">
      <formula>NOT(ISERROR(SEARCH("Ausgaben",K196)))</formula>
    </cfRule>
  </conditionalFormatting>
  <conditionalFormatting sqref="K197">
    <cfRule type="containsText" dxfId="4496" priority="1256" operator="containsText" text="Einnahmen">
      <formula>NOT(ISERROR(SEARCH("Einnahmen",K197)))</formula>
    </cfRule>
    <cfRule type="containsText" dxfId="4495" priority="1257" operator="containsText" text="Ausgaben">
      <formula>NOT(ISERROR(SEARCH("Ausgaben",K197)))</formula>
    </cfRule>
  </conditionalFormatting>
  <conditionalFormatting sqref="K197">
    <cfRule type="containsText" dxfId="4494" priority="1254" operator="containsText" text="Einnahmen">
      <formula>NOT(ISERROR(SEARCH("Einnahmen",K197)))</formula>
    </cfRule>
    <cfRule type="containsText" dxfId="4493" priority="1255" operator="containsText" text="Ausgaben">
      <formula>NOT(ISERROR(SEARCH("Ausgaben",K197)))</formula>
    </cfRule>
  </conditionalFormatting>
  <conditionalFormatting sqref="K198">
    <cfRule type="containsText" dxfId="4492" priority="1252" operator="containsText" text="Einnahmen">
      <formula>NOT(ISERROR(SEARCH("Einnahmen",K198)))</formula>
    </cfRule>
    <cfRule type="containsText" dxfId="4491" priority="1253" operator="containsText" text="Ausgaben">
      <formula>NOT(ISERROR(SEARCH("Ausgaben",K198)))</formula>
    </cfRule>
  </conditionalFormatting>
  <conditionalFormatting sqref="K198">
    <cfRule type="containsText" dxfId="4490" priority="1250" operator="containsText" text="Einnahmen">
      <formula>NOT(ISERROR(SEARCH("Einnahmen",K198)))</formula>
    </cfRule>
    <cfRule type="containsText" dxfId="4489" priority="1251" operator="containsText" text="Ausgaben">
      <formula>NOT(ISERROR(SEARCH("Ausgaben",K198)))</formula>
    </cfRule>
  </conditionalFormatting>
  <conditionalFormatting sqref="K200">
    <cfRule type="containsText" dxfId="4488" priority="1248" operator="containsText" text="Einnahmen">
      <formula>NOT(ISERROR(SEARCH("Einnahmen",K200)))</formula>
    </cfRule>
    <cfRule type="containsText" dxfId="4487" priority="1249" operator="containsText" text="Ausgaben">
      <formula>NOT(ISERROR(SEARCH("Ausgaben",K200)))</formula>
    </cfRule>
  </conditionalFormatting>
  <conditionalFormatting sqref="K202">
    <cfRule type="containsText" dxfId="4486" priority="1246" operator="containsText" text="Einnahmen">
      <formula>NOT(ISERROR(SEARCH("Einnahmen",K202)))</formula>
    </cfRule>
    <cfRule type="containsText" dxfId="4485" priority="1247" operator="containsText" text="Ausgaben">
      <formula>NOT(ISERROR(SEARCH("Ausgaben",K202)))</formula>
    </cfRule>
  </conditionalFormatting>
  <conditionalFormatting sqref="K203:K204">
    <cfRule type="containsText" dxfId="4484" priority="1244" operator="containsText" text="Einnahmen">
      <formula>NOT(ISERROR(SEARCH("Einnahmen",K203)))</formula>
    </cfRule>
    <cfRule type="containsText" dxfId="4483" priority="1245" operator="containsText" text="Ausgaben">
      <formula>NOT(ISERROR(SEARCH("Ausgaben",K203)))</formula>
    </cfRule>
  </conditionalFormatting>
  <conditionalFormatting sqref="K209">
    <cfRule type="containsText" dxfId="4482" priority="1242" operator="containsText" text="Einnahmen">
      <formula>NOT(ISERROR(SEARCH("Einnahmen",K209)))</formula>
    </cfRule>
    <cfRule type="containsText" dxfId="4481" priority="1243" operator="containsText" text="Ausgaben">
      <formula>NOT(ISERROR(SEARCH("Ausgaben",K209)))</formula>
    </cfRule>
  </conditionalFormatting>
  <conditionalFormatting sqref="Q13 Q36 Q42 Q47 Q66 Q68:Q69 Q83 Q94 Q98:Q99 Q115 Q117 Q128 Q131 Q134 Q141:Q142 Q152 Q156 Q161:Q162 Q164:Q166 Q171:Q175 Q180 Q178 Q182:Q183 Q193 Q195 Q198:Q199 Q205:Q209">
    <cfRule type="cellIs" dxfId="4480" priority="1241" operator="equal">
      <formula>"ja"</formula>
    </cfRule>
  </conditionalFormatting>
  <conditionalFormatting sqref="AG42 AG47 AG66 AG83 AG98:AG99 AG115 AG131 AG134 AG142 AG162 AG183 AG199">
    <cfRule type="dataBar" priority="1240">
      <dataBar>
        <cfvo type="min"/>
        <cfvo type="max"/>
        <color rgb="FF63C384"/>
      </dataBar>
      <extLst>
        <ext xmlns:x14="http://schemas.microsoft.com/office/spreadsheetml/2009/9/main" uri="{B025F937-C7B1-47D3-B67F-A62EFF666E3E}">
          <x14:id>{38151E09-337A-4491-8EA2-2624191213F5}</x14:id>
        </ext>
      </extLst>
    </cfRule>
  </conditionalFormatting>
  <conditionalFormatting sqref="AG42 AG47 AG66 AG83 AG98:AG99 AG115 AG131 AG134 AG142 AG162 AG183 AG199">
    <cfRule type="dataBar" priority="1239">
      <dataBar>
        <cfvo type="min"/>
        <cfvo type="max"/>
        <color rgb="FF63C384"/>
      </dataBar>
      <extLst>
        <ext xmlns:x14="http://schemas.microsoft.com/office/spreadsheetml/2009/9/main" uri="{B025F937-C7B1-47D3-B67F-A62EFF666E3E}">
          <x14:id>{736374F8-BAB4-4D3B-BA2B-5C7E94AEEDE7}</x14:id>
        </ext>
      </extLst>
    </cfRule>
  </conditionalFormatting>
  <conditionalFormatting sqref="Q2">
    <cfRule type="cellIs" dxfId="4479" priority="1238" operator="equal">
      <formula>"ja"</formula>
    </cfRule>
  </conditionalFormatting>
  <conditionalFormatting sqref="AA2">
    <cfRule type="expression" dxfId="4478" priority="1237">
      <formula>AND(AND($W2&lt;TODAY(),$W2&lt;&gt;""),$X2="")</formula>
    </cfRule>
  </conditionalFormatting>
  <conditionalFormatting sqref="AG2">
    <cfRule type="dataBar" priority="1236">
      <dataBar>
        <cfvo type="min"/>
        <cfvo type="max"/>
        <color rgb="FF63C384"/>
      </dataBar>
      <extLst>
        <ext xmlns:x14="http://schemas.microsoft.com/office/spreadsheetml/2009/9/main" uri="{B025F937-C7B1-47D3-B67F-A62EFF666E3E}">
          <x14:id>{C2C96E2D-6586-43CD-B97D-4769DCED8D40}</x14:id>
        </ext>
      </extLst>
    </cfRule>
  </conditionalFormatting>
  <conditionalFormatting sqref="AG2">
    <cfRule type="dataBar" priority="1235">
      <dataBar>
        <cfvo type="min"/>
        <cfvo type="max"/>
        <color rgb="FF63C384"/>
      </dataBar>
      <extLst>
        <ext xmlns:x14="http://schemas.microsoft.com/office/spreadsheetml/2009/9/main" uri="{B025F937-C7B1-47D3-B67F-A62EFF666E3E}">
          <x14:id>{F5725C1D-94E0-4EE1-A524-8EBA8694A626}</x14:id>
        </ext>
      </extLst>
    </cfRule>
  </conditionalFormatting>
  <conditionalFormatting sqref="AA2">
    <cfRule type="expression" dxfId="4477" priority="1234">
      <formula>AND(AND($W2&lt;TODAY(),$W2&lt;&gt;""),$X2="")</formula>
    </cfRule>
  </conditionalFormatting>
  <conditionalFormatting sqref="Q2">
    <cfRule type="cellIs" dxfId="4476" priority="1233" operator="equal">
      <formula>"ja"</formula>
    </cfRule>
  </conditionalFormatting>
  <conditionalFormatting sqref="AG2">
    <cfRule type="dataBar" priority="1232">
      <dataBar>
        <cfvo type="min"/>
        <cfvo type="max"/>
        <color rgb="FF63C384"/>
      </dataBar>
      <extLst>
        <ext xmlns:x14="http://schemas.microsoft.com/office/spreadsheetml/2009/9/main" uri="{B025F937-C7B1-47D3-B67F-A62EFF666E3E}">
          <x14:id>{B1640270-4041-4E65-867A-69053B9622B2}</x14:id>
        </ext>
      </extLst>
    </cfRule>
  </conditionalFormatting>
  <conditionalFormatting sqref="AG2">
    <cfRule type="dataBar" priority="1231">
      <dataBar>
        <cfvo type="min"/>
        <cfvo type="max"/>
        <color rgb="FF63C384"/>
      </dataBar>
      <extLst>
        <ext xmlns:x14="http://schemas.microsoft.com/office/spreadsheetml/2009/9/main" uri="{B025F937-C7B1-47D3-B67F-A62EFF666E3E}">
          <x14:id>{97C3EF1C-E57F-42D4-8D5F-0B62B2C140E8}</x14:id>
        </ext>
      </extLst>
    </cfRule>
  </conditionalFormatting>
  <conditionalFormatting sqref="Q3">
    <cfRule type="cellIs" dxfId="4475" priority="1230" operator="equal">
      <formula>"ja"</formula>
    </cfRule>
  </conditionalFormatting>
  <conditionalFormatting sqref="AA3">
    <cfRule type="expression" dxfId="4474" priority="1229">
      <formula>AND(AND($W3&lt;TODAY(),$W3&lt;&gt;""),$X3="")</formula>
    </cfRule>
  </conditionalFormatting>
  <conditionalFormatting sqref="AG3">
    <cfRule type="dataBar" priority="1228">
      <dataBar>
        <cfvo type="min"/>
        <cfvo type="max"/>
        <color rgb="FF63C384"/>
      </dataBar>
      <extLst>
        <ext xmlns:x14="http://schemas.microsoft.com/office/spreadsheetml/2009/9/main" uri="{B025F937-C7B1-47D3-B67F-A62EFF666E3E}">
          <x14:id>{FEE57348-8EA2-4F09-A9D0-46BC96D5576B}</x14:id>
        </ext>
      </extLst>
    </cfRule>
  </conditionalFormatting>
  <conditionalFormatting sqref="AG3">
    <cfRule type="dataBar" priority="1227">
      <dataBar>
        <cfvo type="min"/>
        <cfvo type="max"/>
        <color rgb="FF63C384"/>
      </dataBar>
      <extLst>
        <ext xmlns:x14="http://schemas.microsoft.com/office/spreadsheetml/2009/9/main" uri="{B025F937-C7B1-47D3-B67F-A62EFF666E3E}">
          <x14:id>{C5A23229-84DA-4BF9-B84D-E586B278E74B}</x14:id>
        </ext>
      </extLst>
    </cfRule>
  </conditionalFormatting>
  <conditionalFormatting sqref="Q4">
    <cfRule type="cellIs" dxfId="4473" priority="1226" operator="equal">
      <formula>"ja"</formula>
    </cfRule>
  </conditionalFormatting>
  <conditionalFormatting sqref="AA4">
    <cfRule type="expression" dxfId="4472" priority="1225">
      <formula>AND(AND($W4&lt;TODAY(),$W4&lt;&gt;""),$X4="")</formula>
    </cfRule>
  </conditionalFormatting>
  <conditionalFormatting sqref="AG4">
    <cfRule type="dataBar" priority="1224">
      <dataBar>
        <cfvo type="min"/>
        <cfvo type="max"/>
        <color rgb="FF63C384"/>
      </dataBar>
      <extLst>
        <ext xmlns:x14="http://schemas.microsoft.com/office/spreadsheetml/2009/9/main" uri="{B025F937-C7B1-47D3-B67F-A62EFF666E3E}">
          <x14:id>{91B5CE77-DB6A-49F3-83C7-151B4A83734E}</x14:id>
        </ext>
      </extLst>
    </cfRule>
  </conditionalFormatting>
  <conditionalFormatting sqref="AG4">
    <cfRule type="dataBar" priority="1223">
      <dataBar>
        <cfvo type="min"/>
        <cfvo type="max"/>
        <color rgb="FF63C384"/>
      </dataBar>
      <extLst>
        <ext xmlns:x14="http://schemas.microsoft.com/office/spreadsheetml/2009/9/main" uri="{B025F937-C7B1-47D3-B67F-A62EFF666E3E}">
          <x14:id>{E1FF66EB-B9BC-474E-912E-010E5A6DED5F}</x14:id>
        </ext>
      </extLst>
    </cfRule>
  </conditionalFormatting>
  <conditionalFormatting sqref="AA5">
    <cfRule type="expression" dxfId="4471" priority="1222">
      <formula>AND(AND($W5&lt;TODAY(),$W5&lt;&gt;""),$X5="")</formula>
    </cfRule>
  </conditionalFormatting>
  <conditionalFormatting sqref="AG5">
    <cfRule type="dataBar" priority="1221">
      <dataBar>
        <cfvo type="min"/>
        <cfvo type="max"/>
        <color rgb="FF63C384"/>
      </dataBar>
      <extLst>
        <ext xmlns:x14="http://schemas.microsoft.com/office/spreadsheetml/2009/9/main" uri="{B025F937-C7B1-47D3-B67F-A62EFF666E3E}">
          <x14:id>{85ADBAF0-0C56-4944-9BF9-E7B96C1AD860}</x14:id>
        </ext>
      </extLst>
    </cfRule>
  </conditionalFormatting>
  <conditionalFormatting sqref="AG5">
    <cfRule type="dataBar" priority="1220">
      <dataBar>
        <cfvo type="min"/>
        <cfvo type="max"/>
        <color rgb="FF63C384"/>
      </dataBar>
      <extLst>
        <ext xmlns:x14="http://schemas.microsoft.com/office/spreadsheetml/2009/9/main" uri="{B025F937-C7B1-47D3-B67F-A62EFF666E3E}">
          <x14:id>{C6542360-CD72-42DB-90B9-530B427548FE}</x14:id>
        </ext>
      </extLst>
    </cfRule>
  </conditionalFormatting>
  <conditionalFormatting sqref="Q5">
    <cfRule type="cellIs" dxfId="4470" priority="1219" operator="equal">
      <formula>"ja"</formula>
    </cfRule>
  </conditionalFormatting>
  <conditionalFormatting sqref="AA6">
    <cfRule type="expression" dxfId="4469" priority="1218">
      <formula>AND(AND($W6&lt;TODAY(),$W6&lt;&gt;""),$X6="")</formula>
    </cfRule>
  </conditionalFormatting>
  <conditionalFormatting sqref="Q6">
    <cfRule type="cellIs" dxfId="4468" priority="1217" operator="equal">
      <formula>"ja"</formula>
    </cfRule>
  </conditionalFormatting>
  <conditionalFormatting sqref="AG6">
    <cfRule type="dataBar" priority="1216">
      <dataBar>
        <cfvo type="min"/>
        <cfvo type="max"/>
        <color rgb="FF63C384"/>
      </dataBar>
      <extLst>
        <ext xmlns:x14="http://schemas.microsoft.com/office/spreadsheetml/2009/9/main" uri="{B025F937-C7B1-47D3-B67F-A62EFF666E3E}">
          <x14:id>{11C50BCE-0BD6-4994-98BD-3BCDCAFD6E8F}</x14:id>
        </ext>
      </extLst>
    </cfRule>
  </conditionalFormatting>
  <conditionalFormatting sqref="AG6">
    <cfRule type="dataBar" priority="1215">
      <dataBar>
        <cfvo type="min"/>
        <cfvo type="max"/>
        <color rgb="FF63C384"/>
      </dataBar>
      <extLst>
        <ext xmlns:x14="http://schemas.microsoft.com/office/spreadsheetml/2009/9/main" uri="{B025F937-C7B1-47D3-B67F-A62EFF666E3E}">
          <x14:id>{63039A31-1B31-4519-A309-BAE546487711}</x14:id>
        </ext>
      </extLst>
    </cfRule>
  </conditionalFormatting>
  <conditionalFormatting sqref="AA7">
    <cfRule type="expression" dxfId="4467" priority="1214">
      <formula>AND(AND($W7&lt;TODAY(),$W7&lt;&gt;""),$X7="")</formula>
    </cfRule>
  </conditionalFormatting>
  <conditionalFormatting sqref="AG7">
    <cfRule type="dataBar" priority="1213">
      <dataBar>
        <cfvo type="min"/>
        <cfvo type="max"/>
        <color rgb="FF63C384"/>
      </dataBar>
      <extLst>
        <ext xmlns:x14="http://schemas.microsoft.com/office/spreadsheetml/2009/9/main" uri="{B025F937-C7B1-47D3-B67F-A62EFF666E3E}">
          <x14:id>{219DB7F8-B984-4ED4-B15F-C21E072FC428}</x14:id>
        </ext>
      </extLst>
    </cfRule>
  </conditionalFormatting>
  <conditionalFormatting sqref="AG7">
    <cfRule type="dataBar" priority="1212">
      <dataBar>
        <cfvo type="min"/>
        <cfvo type="max"/>
        <color rgb="FF63C384"/>
      </dataBar>
      <extLst>
        <ext xmlns:x14="http://schemas.microsoft.com/office/spreadsheetml/2009/9/main" uri="{B025F937-C7B1-47D3-B67F-A62EFF666E3E}">
          <x14:id>{658B63DE-50E1-4711-A851-D9EE05D00AC3}</x14:id>
        </ext>
      </extLst>
    </cfRule>
  </conditionalFormatting>
  <conditionalFormatting sqref="Q7">
    <cfRule type="cellIs" dxfId="4466" priority="1211" operator="equal">
      <formula>"ja"</formula>
    </cfRule>
  </conditionalFormatting>
  <conditionalFormatting sqref="AG8">
    <cfRule type="dataBar" priority="1210">
      <dataBar>
        <cfvo type="min"/>
        <cfvo type="max"/>
        <color rgb="FF63C384"/>
      </dataBar>
      <extLst>
        <ext xmlns:x14="http://schemas.microsoft.com/office/spreadsheetml/2009/9/main" uri="{B025F937-C7B1-47D3-B67F-A62EFF666E3E}">
          <x14:id>{34D33DDD-A486-4089-90FC-C3EBD044FFA1}</x14:id>
        </ext>
      </extLst>
    </cfRule>
  </conditionalFormatting>
  <conditionalFormatting sqref="AG8">
    <cfRule type="dataBar" priority="1209">
      <dataBar>
        <cfvo type="min"/>
        <cfvo type="max"/>
        <color rgb="FF63C384"/>
      </dataBar>
      <extLst>
        <ext xmlns:x14="http://schemas.microsoft.com/office/spreadsheetml/2009/9/main" uri="{B025F937-C7B1-47D3-B67F-A62EFF666E3E}">
          <x14:id>{4284D63B-A139-4C26-8EB7-2936CC9E7047}</x14:id>
        </ext>
      </extLst>
    </cfRule>
  </conditionalFormatting>
  <conditionalFormatting sqref="Q8">
    <cfRule type="cellIs" dxfId="4465" priority="1208" operator="equal">
      <formula>"ja"</formula>
    </cfRule>
  </conditionalFormatting>
  <conditionalFormatting sqref="AA8">
    <cfRule type="expression" dxfId="4464" priority="1207">
      <formula>AND(AND($W8&lt;TODAY(),$W8&lt;&gt;""),$X8="")</formula>
    </cfRule>
  </conditionalFormatting>
  <conditionalFormatting sqref="Q9">
    <cfRule type="cellIs" dxfId="4463" priority="1206" operator="equal">
      <formula>"ja"</formula>
    </cfRule>
  </conditionalFormatting>
  <conditionalFormatting sqref="Q9">
    <cfRule type="cellIs" dxfId="4462" priority="1194" operator="equal">
      <formula>"ja"</formula>
    </cfRule>
  </conditionalFormatting>
  <conditionalFormatting sqref="AA9">
    <cfRule type="expression" dxfId="4461" priority="1193">
      <formula>AND(AND($W9&lt;TODAY(),$W9&lt;&gt;""),$X9="")</formula>
    </cfRule>
  </conditionalFormatting>
  <conditionalFormatting sqref="AA9">
    <cfRule type="expression" dxfId="4460" priority="1205">
      <formula>AND(AND($W9&lt;TODAY(),$W9&lt;&gt;""),$X9="")</formula>
    </cfRule>
  </conditionalFormatting>
  <conditionalFormatting sqref="AG9">
    <cfRule type="dataBar" priority="1204">
      <dataBar>
        <cfvo type="min"/>
        <cfvo type="max"/>
        <color rgb="FF63C384"/>
      </dataBar>
      <extLst>
        <ext xmlns:x14="http://schemas.microsoft.com/office/spreadsheetml/2009/9/main" uri="{B025F937-C7B1-47D3-B67F-A62EFF666E3E}">
          <x14:id>{F8D59347-0486-4303-98E2-185CED189212}</x14:id>
        </ext>
      </extLst>
    </cfRule>
  </conditionalFormatting>
  <conditionalFormatting sqref="AG9">
    <cfRule type="dataBar" priority="1203">
      <dataBar>
        <cfvo type="min"/>
        <cfvo type="max"/>
        <color rgb="FF63C384"/>
      </dataBar>
      <extLst>
        <ext xmlns:x14="http://schemas.microsoft.com/office/spreadsheetml/2009/9/main" uri="{B025F937-C7B1-47D3-B67F-A62EFF666E3E}">
          <x14:id>{03AFEE83-E006-4083-97D6-DF5B57691F62}</x14:id>
        </ext>
      </extLst>
    </cfRule>
  </conditionalFormatting>
  <conditionalFormatting sqref="Q9">
    <cfRule type="cellIs" dxfId="4459" priority="1202" operator="equal">
      <formula>"ja"</formula>
    </cfRule>
  </conditionalFormatting>
  <conditionalFormatting sqref="AA9">
    <cfRule type="expression" dxfId="4458" priority="1201">
      <formula>AND(AND($W9&lt;TODAY(),$W9&lt;&gt;""),$X9="")</formula>
    </cfRule>
  </conditionalFormatting>
  <conditionalFormatting sqref="AG9">
    <cfRule type="dataBar" priority="1200">
      <dataBar>
        <cfvo type="min"/>
        <cfvo type="max"/>
        <color rgb="FF63C384"/>
      </dataBar>
      <extLst>
        <ext xmlns:x14="http://schemas.microsoft.com/office/spreadsheetml/2009/9/main" uri="{B025F937-C7B1-47D3-B67F-A62EFF666E3E}">
          <x14:id>{86A47B70-B61B-4745-88D3-9D67EF25D998}</x14:id>
        </ext>
      </extLst>
    </cfRule>
  </conditionalFormatting>
  <conditionalFormatting sqref="AG9">
    <cfRule type="dataBar" priority="1199">
      <dataBar>
        <cfvo type="min"/>
        <cfvo type="max"/>
        <color rgb="FF63C384"/>
      </dataBar>
      <extLst>
        <ext xmlns:x14="http://schemas.microsoft.com/office/spreadsheetml/2009/9/main" uri="{B025F937-C7B1-47D3-B67F-A62EFF666E3E}">
          <x14:id>{A90AEA85-81EF-46FA-9974-2195B81C0FFA}</x14:id>
        </ext>
      </extLst>
    </cfRule>
  </conditionalFormatting>
  <conditionalFormatting sqref="Q9">
    <cfRule type="cellIs" dxfId="4457" priority="1198" operator="equal">
      <formula>"ja"</formula>
    </cfRule>
  </conditionalFormatting>
  <conditionalFormatting sqref="AA9">
    <cfRule type="expression" dxfId="4456" priority="1197">
      <formula>AND(AND($W9&lt;TODAY(),$W9&lt;&gt;""),$X9="")</formula>
    </cfRule>
  </conditionalFormatting>
  <conditionalFormatting sqref="AG9">
    <cfRule type="dataBar" priority="1196">
      <dataBar>
        <cfvo type="min"/>
        <cfvo type="max"/>
        <color rgb="FF63C384"/>
      </dataBar>
      <extLst>
        <ext xmlns:x14="http://schemas.microsoft.com/office/spreadsheetml/2009/9/main" uri="{B025F937-C7B1-47D3-B67F-A62EFF666E3E}">
          <x14:id>{15901589-A85B-4640-878A-B11D643843CF}</x14:id>
        </ext>
      </extLst>
    </cfRule>
  </conditionalFormatting>
  <conditionalFormatting sqref="AG9">
    <cfRule type="dataBar" priority="1195">
      <dataBar>
        <cfvo type="min"/>
        <cfvo type="max"/>
        <color rgb="FF63C384"/>
      </dataBar>
      <extLst>
        <ext xmlns:x14="http://schemas.microsoft.com/office/spreadsheetml/2009/9/main" uri="{B025F937-C7B1-47D3-B67F-A62EFF666E3E}">
          <x14:id>{F21A24E3-7652-4C03-8102-201D9A113CEB}</x14:id>
        </ext>
      </extLst>
    </cfRule>
  </conditionalFormatting>
  <conditionalFormatting sqref="AG9">
    <cfRule type="dataBar" priority="1192">
      <dataBar>
        <cfvo type="min"/>
        <cfvo type="max"/>
        <color rgb="FF63C384"/>
      </dataBar>
      <extLst>
        <ext xmlns:x14="http://schemas.microsoft.com/office/spreadsheetml/2009/9/main" uri="{B025F937-C7B1-47D3-B67F-A62EFF666E3E}">
          <x14:id>{59EFA786-1590-4028-9ECB-C7698B349D99}</x14:id>
        </ext>
      </extLst>
    </cfRule>
  </conditionalFormatting>
  <conditionalFormatting sqref="AG9">
    <cfRule type="dataBar" priority="1191">
      <dataBar>
        <cfvo type="min"/>
        <cfvo type="max"/>
        <color rgb="FF63C384"/>
      </dataBar>
      <extLst>
        <ext xmlns:x14="http://schemas.microsoft.com/office/spreadsheetml/2009/9/main" uri="{B025F937-C7B1-47D3-B67F-A62EFF666E3E}">
          <x14:id>{D2E91960-9BC9-4215-972A-978E760CD546}</x14:id>
        </ext>
      </extLst>
    </cfRule>
  </conditionalFormatting>
  <conditionalFormatting sqref="Q10">
    <cfRule type="cellIs" dxfId="4455" priority="1190" operator="equal">
      <formula>"ja"</formula>
    </cfRule>
  </conditionalFormatting>
  <conditionalFormatting sqref="AA10">
    <cfRule type="expression" dxfId="4454" priority="1189">
      <formula>AND(AND($W10&lt;TODAY(),$W10&lt;&gt;""),$X10="")</formula>
    </cfRule>
  </conditionalFormatting>
  <conditionalFormatting sqref="AG10">
    <cfRule type="dataBar" priority="1188">
      <dataBar>
        <cfvo type="min"/>
        <cfvo type="max"/>
        <color rgb="FF63C384"/>
      </dataBar>
      <extLst>
        <ext xmlns:x14="http://schemas.microsoft.com/office/spreadsheetml/2009/9/main" uri="{B025F937-C7B1-47D3-B67F-A62EFF666E3E}">
          <x14:id>{5415EF14-286F-4E6D-8DE6-24EB725A9C5F}</x14:id>
        </ext>
      </extLst>
    </cfRule>
  </conditionalFormatting>
  <conditionalFormatting sqref="AG10">
    <cfRule type="dataBar" priority="1187">
      <dataBar>
        <cfvo type="min"/>
        <cfvo type="max"/>
        <color rgb="FF63C384"/>
      </dataBar>
      <extLst>
        <ext xmlns:x14="http://schemas.microsoft.com/office/spreadsheetml/2009/9/main" uri="{B025F937-C7B1-47D3-B67F-A62EFF666E3E}">
          <x14:id>{AFC55F59-FB0D-4C01-ACAD-FDF5E824A362}</x14:id>
        </ext>
      </extLst>
    </cfRule>
  </conditionalFormatting>
  <conditionalFormatting sqref="Q11">
    <cfRule type="cellIs" dxfId="4453" priority="1186" operator="equal">
      <formula>"ja"</formula>
    </cfRule>
  </conditionalFormatting>
  <conditionalFormatting sqref="AA11">
    <cfRule type="expression" dxfId="4452" priority="1185">
      <formula>AND(AND($W11&lt;TODAY(),$W11&lt;&gt;""),$X11="")</formula>
    </cfRule>
  </conditionalFormatting>
  <conditionalFormatting sqref="AG11">
    <cfRule type="dataBar" priority="1184">
      <dataBar>
        <cfvo type="min"/>
        <cfvo type="max"/>
        <color rgb="FF63C384"/>
      </dataBar>
      <extLst>
        <ext xmlns:x14="http://schemas.microsoft.com/office/spreadsheetml/2009/9/main" uri="{B025F937-C7B1-47D3-B67F-A62EFF666E3E}">
          <x14:id>{DD49AF6B-AACE-4213-8839-5C1E733AF441}</x14:id>
        </ext>
      </extLst>
    </cfRule>
  </conditionalFormatting>
  <conditionalFormatting sqref="AG11">
    <cfRule type="dataBar" priority="1183">
      <dataBar>
        <cfvo type="min"/>
        <cfvo type="max"/>
        <color rgb="FF63C384"/>
      </dataBar>
      <extLst>
        <ext xmlns:x14="http://schemas.microsoft.com/office/spreadsheetml/2009/9/main" uri="{B025F937-C7B1-47D3-B67F-A62EFF666E3E}">
          <x14:id>{A22C7960-356E-4645-BA37-5847F089600E}</x14:id>
        </ext>
      </extLst>
    </cfRule>
  </conditionalFormatting>
  <conditionalFormatting sqref="AA12">
    <cfRule type="expression" dxfId="4451" priority="1182">
      <formula>AND(AND($W12&lt;TODAY(),$W12&lt;&gt;""),$X12="")</formula>
    </cfRule>
  </conditionalFormatting>
  <conditionalFormatting sqref="Q12">
    <cfRule type="cellIs" dxfId="4450" priority="1181" operator="equal">
      <formula>"ja"</formula>
    </cfRule>
  </conditionalFormatting>
  <conditionalFormatting sqref="AG12">
    <cfRule type="dataBar" priority="1180">
      <dataBar>
        <cfvo type="min"/>
        <cfvo type="max"/>
        <color rgb="FF63C384"/>
      </dataBar>
      <extLst>
        <ext xmlns:x14="http://schemas.microsoft.com/office/spreadsheetml/2009/9/main" uri="{B025F937-C7B1-47D3-B67F-A62EFF666E3E}">
          <x14:id>{64F1DD9A-B9C2-4EC7-84A7-785B059634D7}</x14:id>
        </ext>
      </extLst>
    </cfRule>
  </conditionalFormatting>
  <conditionalFormatting sqref="AG12">
    <cfRule type="dataBar" priority="1179">
      <dataBar>
        <cfvo type="min"/>
        <cfvo type="max"/>
        <color rgb="FF63C384"/>
      </dataBar>
      <extLst>
        <ext xmlns:x14="http://schemas.microsoft.com/office/spreadsheetml/2009/9/main" uri="{B025F937-C7B1-47D3-B67F-A62EFF666E3E}">
          <x14:id>{727A7EC2-D065-4523-8D3E-388CE002B89B}</x14:id>
        </ext>
      </extLst>
    </cfRule>
  </conditionalFormatting>
  <conditionalFormatting sqref="AA13">
    <cfRule type="expression" dxfId="4449" priority="1178">
      <formula>AND(AND($W13&lt;TODAY(),$W13&lt;&gt;""),$X13="")</formula>
    </cfRule>
  </conditionalFormatting>
  <conditionalFormatting sqref="AG13">
    <cfRule type="dataBar" priority="1177">
      <dataBar>
        <cfvo type="min"/>
        <cfvo type="max"/>
        <color rgb="FF63C384"/>
      </dataBar>
      <extLst>
        <ext xmlns:x14="http://schemas.microsoft.com/office/spreadsheetml/2009/9/main" uri="{B025F937-C7B1-47D3-B67F-A62EFF666E3E}">
          <x14:id>{8DA98385-9FEE-4682-B478-0697071F9CC7}</x14:id>
        </ext>
      </extLst>
    </cfRule>
  </conditionalFormatting>
  <conditionalFormatting sqref="AG13">
    <cfRule type="dataBar" priority="1176">
      <dataBar>
        <cfvo type="min"/>
        <cfvo type="max"/>
        <color rgb="FF63C384"/>
      </dataBar>
      <extLst>
        <ext xmlns:x14="http://schemas.microsoft.com/office/spreadsheetml/2009/9/main" uri="{B025F937-C7B1-47D3-B67F-A62EFF666E3E}">
          <x14:id>{51661768-1453-408D-9A47-7ED50A28AAEB}</x14:id>
        </ext>
      </extLst>
    </cfRule>
  </conditionalFormatting>
  <conditionalFormatting sqref="Q14">
    <cfRule type="cellIs" dxfId="4448" priority="1175" operator="equal">
      <formula>"ja"</formula>
    </cfRule>
  </conditionalFormatting>
  <conditionalFormatting sqref="Q14">
    <cfRule type="cellIs" dxfId="4447" priority="1163" operator="equal">
      <formula>"ja"</formula>
    </cfRule>
  </conditionalFormatting>
  <conditionalFormatting sqref="AA14">
    <cfRule type="expression" dxfId="4446" priority="1162">
      <formula>AND(AND($W14&lt;TODAY(),$W14&lt;&gt;""),$X14="")</formula>
    </cfRule>
  </conditionalFormatting>
  <conditionalFormatting sqref="AA14">
    <cfRule type="expression" dxfId="4445" priority="1174">
      <formula>AND(AND($W14&lt;TODAY(),$W14&lt;&gt;""),$X14="")</formula>
    </cfRule>
  </conditionalFormatting>
  <conditionalFormatting sqref="AG14">
    <cfRule type="dataBar" priority="1173">
      <dataBar>
        <cfvo type="min"/>
        <cfvo type="max"/>
        <color rgb="FF63C384"/>
      </dataBar>
      <extLst>
        <ext xmlns:x14="http://schemas.microsoft.com/office/spreadsheetml/2009/9/main" uri="{B025F937-C7B1-47D3-B67F-A62EFF666E3E}">
          <x14:id>{B3836466-DD82-4943-882B-54E1A34E370F}</x14:id>
        </ext>
      </extLst>
    </cfRule>
  </conditionalFormatting>
  <conditionalFormatting sqref="AG14">
    <cfRule type="dataBar" priority="1172">
      <dataBar>
        <cfvo type="min"/>
        <cfvo type="max"/>
        <color rgb="FF63C384"/>
      </dataBar>
      <extLst>
        <ext xmlns:x14="http://schemas.microsoft.com/office/spreadsheetml/2009/9/main" uri="{B025F937-C7B1-47D3-B67F-A62EFF666E3E}">
          <x14:id>{A68D6845-DBEB-4AFC-B3F5-61EF2C117530}</x14:id>
        </ext>
      </extLst>
    </cfRule>
  </conditionalFormatting>
  <conditionalFormatting sqref="Q14">
    <cfRule type="cellIs" dxfId="4444" priority="1171" operator="equal">
      <formula>"ja"</formula>
    </cfRule>
  </conditionalFormatting>
  <conditionalFormatting sqref="AA14">
    <cfRule type="expression" dxfId="4443" priority="1170">
      <formula>AND(AND($W14&lt;TODAY(),$W14&lt;&gt;""),$X14="")</formula>
    </cfRule>
  </conditionalFormatting>
  <conditionalFormatting sqref="AG14">
    <cfRule type="dataBar" priority="1169">
      <dataBar>
        <cfvo type="min"/>
        <cfvo type="max"/>
        <color rgb="FF63C384"/>
      </dataBar>
      <extLst>
        <ext xmlns:x14="http://schemas.microsoft.com/office/spreadsheetml/2009/9/main" uri="{B025F937-C7B1-47D3-B67F-A62EFF666E3E}">
          <x14:id>{3EA80CCF-BA95-4C0D-890F-ABA1344E0C55}</x14:id>
        </ext>
      </extLst>
    </cfRule>
  </conditionalFormatting>
  <conditionalFormatting sqref="AG14">
    <cfRule type="dataBar" priority="1168">
      <dataBar>
        <cfvo type="min"/>
        <cfvo type="max"/>
        <color rgb="FF63C384"/>
      </dataBar>
      <extLst>
        <ext xmlns:x14="http://schemas.microsoft.com/office/spreadsheetml/2009/9/main" uri="{B025F937-C7B1-47D3-B67F-A62EFF666E3E}">
          <x14:id>{FD493DD7-0A78-4C65-9D7C-79D32BBA84AA}</x14:id>
        </ext>
      </extLst>
    </cfRule>
  </conditionalFormatting>
  <conditionalFormatting sqref="Q14">
    <cfRule type="cellIs" dxfId="4442" priority="1167" operator="equal">
      <formula>"ja"</formula>
    </cfRule>
  </conditionalFormatting>
  <conditionalFormatting sqref="AA14">
    <cfRule type="expression" dxfId="4441" priority="1166">
      <formula>AND(AND($W14&lt;TODAY(),$W14&lt;&gt;""),$X14="")</formula>
    </cfRule>
  </conditionalFormatting>
  <conditionalFormatting sqref="AG14">
    <cfRule type="dataBar" priority="1165">
      <dataBar>
        <cfvo type="min"/>
        <cfvo type="max"/>
        <color rgb="FF63C384"/>
      </dataBar>
      <extLst>
        <ext xmlns:x14="http://schemas.microsoft.com/office/spreadsheetml/2009/9/main" uri="{B025F937-C7B1-47D3-B67F-A62EFF666E3E}">
          <x14:id>{649E216E-BD5F-44F8-9B21-D96AA9A31E3A}</x14:id>
        </ext>
      </extLst>
    </cfRule>
  </conditionalFormatting>
  <conditionalFormatting sqref="AG14">
    <cfRule type="dataBar" priority="1164">
      <dataBar>
        <cfvo type="min"/>
        <cfvo type="max"/>
        <color rgb="FF63C384"/>
      </dataBar>
      <extLst>
        <ext xmlns:x14="http://schemas.microsoft.com/office/spreadsheetml/2009/9/main" uri="{B025F937-C7B1-47D3-B67F-A62EFF666E3E}">
          <x14:id>{2EA1A761-4346-409B-95E6-48D3591CD353}</x14:id>
        </ext>
      </extLst>
    </cfRule>
  </conditionalFormatting>
  <conditionalFormatting sqref="AG14">
    <cfRule type="dataBar" priority="1161">
      <dataBar>
        <cfvo type="min"/>
        <cfvo type="max"/>
        <color rgb="FF63C384"/>
      </dataBar>
      <extLst>
        <ext xmlns:x14="http://schemas.microsoft.com/office/spreadsheetml/2009/9/main" uri="{B025F937-C7B1-47D3-B67F-A62EFF666E3E}">
          <x14:id>{FE95FC70-9089-4107-9F65-12B6F228E770}</x14:id>
        </ext>
      </extLst>
    </cfRule>
  </conditionalFormatting>
  <conditionalFormatting sqref="AG14">
    <cfRule type="dataBar" priority="1160">
      <dataBar>
        <cfvo type="min"/>
        <cfvo type="max"/>
        <color rgb="FF63C384"/>
      </dataBar>
      <extLst>
        <ext xmlns:x14="http://schemas.microsoft.com/office/spreadsheetml/2009/9/main" uri="{B025F937-C7B1-47D3-B67F-A62EFF666E3E}">
          <x14:id>{893CAC2E-5D2C-4676-8520-10AF823A7EBE}</x14:id>
        </ext>
      </extLst>
    </cfRule>
  </conditionalFormatting>
  <conditionalFormatting sqref="AA15">
    <cfRule type="expression" dxfId="4440" priority="1159">
      <formula>AND(AND($W15&lt;TODAY(),$W15&lt;&gt;""),$X15="")</formula>
    </cfRule>
  </conditionalFormatting>
  <conditionalFormatting sqref="Q15">
    <cfRule type="cellIs" dxfId="4439" priority="1158" operator="equal">
      <formula>"ja"</formula>
    </cfRule>
  </conditionalFormatting>
  <conditionalFormatting sqref="AG15">
    <cfRule type="dataBar" priority="1157">
      <dataBar>
        <cfvo type="min"/>
        <cfvo type="max"/>
        <color rgb="FF63C384"/>
      </dataBar>
      <extLst>
        <ext xmlns:x14="http://schemas.microsoft.com/office/spreadsheetml/2009/9/main" uri="{B025F937-C7B1-47D3-B67F-A62EFF666E3E}">
          <x14:id>{EA52EEC3-8913-471F-A14F-C64F62F0C928}</x14:id>
        </ext>
      </extLst>
    </cfRule>
  </conditionalFormatting>
  <conditionalFormatting sqref="AG15">
    <cfRule type="dataBar" priority="1156">
      <dataBar>
        <cfvo type="min"/>
        <cfvo type="max"/>
        <color rgb="FF63C384"/>
      </dataBar>
      <extLst>
        <ext xmlns:x14="http://schemas.microsoft.com/office/spreadsheetml/2009/9/main" uri="{B025F937-C7B1-47D3-B67F-A62EFF666E3E}">
          <x14:id>{04976783-C82B-4609-B6C0-081ACFBD5DAD}</x14:id>
        </ext>
      </extLst>
    </cfRule>
  </conditionalFormatting>
  <conditionalFormatting sqref="Q16">
    <cfRule type="cellIs" dxfId="4438" priority="1155" operator="equal">
      <formula>"ja"</formula>
    </cfRule>
  </conditionalFormatting>
  <conditionalFormatting sqref="AA16">
    <cfRule type="expression" dxfId="4437" priority="1154">
      <formula>AND(AND($W16&lt;TODAY(),$W16&lt;&gt;""),$X16="")</formula>
    </cfRule>
  </conditionalFormatting>
  <conditionalFormatting sqref="AG16">
    <cfRule type="dataBar" priority="1153">
      <dataBar>
        <cfvo type="min"/>
        <cfvo type="max"/>
        <color rgb="FF63C384"/>
      </dataBar>
      <extLst>
        <ext xmlns:x14="http://schemas.microsoft.com/office/spreadsheetml/2009/9/main" uri="{B025F937-C7B1-47D3-B67F-A62EFF666E3E}">
          <x14:id>{19E4780F-E61B-4387-8EB4-9EEDE3170EB7}</x14:id>
        </ext>
      </extLst>
    </cfRule>
  </conditionalFormatting>
  <conditionalFormatting sqref="AG16">
    <cfRule type="dataBar" priority="1152">
      <dataBar>
        <cfvo type="min"/>
        <cfvo type="max"/>
        <color rgb="FF63C384"/>
      </dataBar>
      <extLst>
        <ext xmlns:x14="http://schemas.microsoft.com/office/spreadsheetml/2009/9/main" uri="{B025F937-C7B1-47D3-B67F-A62EFF666E3E}">
          <x14:id>{27F8138D-4B05-4B33-A1E6-5C89FB075C28}</x14:id>
        </ext>
      </extLst>
    </cfRule>
  </conditionalFormatting>
  <conditionalFormatting sqref="Q16">
    <cfRule type="cellIs" dxfId="4436" priority="1151" operator="equal">
      <formula>"ja"</formula>
    </cfRule>
  </conditionalFormatting>
  <conditionalFormatting sqref="AA16">
    <cfRule type="expression" dxfId="4435" priority="1150">
      <formula>AND(AND($W16&lt;TODAY(),$W16&lt;&gt;""),$X16="")</formula>
    </cfRule>
  </conditionalFormatting>
  <conditionalFormatting sqref="AG16">
    <cfRule type="dataBar" priority="1149">
      <dataBar>
        <cfvo type="min"/>
        <cfvo type="max"/>
        <color rgb="FF63C384"/>
      </dataBar>
      <extLst>
        <ext xmlns:x14="http://schemas.microsoft.com/office/spreadsheetml/2009/9/main" uri="{B025F937-C7B1-47D3-B67F-A62EFF666E3E}">
          <x14:id>{B468D651-1AF8-478D-A5B4-404D4BD46F64}</x14:id>
        </ext>
      </extLst>
    </cfRule>
  </conditionalFormatting>
  <conditionalFormatting sqref="AG16">
    <cfRule type="dataBar" priority="1148">
      <dataBar>
        <cfvo type="min"/>
        <cfvo type="max"/>
        <color rgb="FF63C384"/>
      </dataBar>
      <extLst>
        <ext xmlns:x14="http://schemas.microsoft.com/office/spreadsheetml/2009/9/main" uri="{B025F937-C7B1-47D3-B67F-A62EFF666E3E}">
          <x14:id>{810F5FA3-4F69-49AB-ACCF-952A4AA95CA3}</x14:id>
        </ext>
      </extLst>
    </cfRule>
  </conditionalFormatting>
  <conditionalFormatting sqref="Q17">
    <cfRule type="cellIs" dxfId="4434" priority="1147" operator="equal">
      <formula>"ja"</formula>
    </cfRule>
  </conditionalFormatting>
  <conditionalFormatting sqref="AA17">
    <cfRule type="expression" dxfId="4433" priority="1146">
      <formula>AND(AND($W17&lt;TODAY(),$W17&lt;&gt;""),$X17="")</formula>
    </cfRule>
  </conditionalFormatting>
  <conditionalFormatting sqref="AG17">
    <cfRule type="dataBar" priority="1145">
      <dataBar>
        <cfvo type="min"/>
        <cfvo type="max"/>
        <color rgb="FF63C384"/>
      </dataBar>
      <extLst>
        <ext xmlns:x14="http://schemas.microsoft.com/office/spreadsheetml/2009/9/main" uri="{B025F937-C7B1-47D3-B67F-A62EFF666E3E}">
          <x14:id>{FB21EE3D-6C32-4154-A20B-02CAA1915D32}</x14:id>
        </ext>
      </extLst>
    </cfRule>
  </conditionalFormatting>
  <conditionalFormatting sqref="AG17">
    <cfRule type="dataBar" priority="1144">
      <dataBar>
        <cfvo type="min"/>
        <cfvo type="max"/>
        <color rgb="FF63C384"/>
      </dataBar>
      <extLst>
        <ext xmlns:x14="http://schemas.microsoft.com/office/spreadsheetml/2009/9/main" uri="{B025F937-C7B1-47D3-B67F-A62EFF666E3E}">
          <x14:id>{3A587A2D-4DB5-44BB-B03A-C9C1098413B1}</x14:id>
        </ext>
      </extLst>
    </cfRule>
  </conditionalFormatting>
  <conditionalFormatting sqref="AA17">
    <cfRule type="expression" dxfId="4432" priority="1143">
      <formula>AND(AND($W17&lt;TODAY(),$W17&lt;&gt;""),$X17="")</formula>
    </cfRule>
  </conditionalFormatting>
  <conditionalFormatting sqref="AG17">
    <cfRule type="dataBar" priority="1142">
      <dataBar>
        <cfvo type="min"/>
        <cfvo type="max"/>
        <color rgb="FF63C384"/>
      </dataBar>
      <extLst>
        <ext xmlns:x14="http://schemas.microsoft.com/office/spreadsheetml/2009/9/main" uri="{B025F937-C7B1-47D3-B67F-A62EFF666E3E}">
          <x14:id>{124A44D5-C362-432D-A368-08278B276A19}</x14:id>
        </ext>
      </extLst>
    </cfRule>
  </conditionalFormatting>
  <conditionalFormatting sqref="AG17">
    <cfRule type="dataBar" priority="1141">
      <dataBar>
        <cfvo type="min"/>
        <cfvo type="max"/>
        <color rgb="FF63C384"/>
      </dataBar>
      <extLst>
        <ext xmlns:x14="http://schemas.microsoft.com/office/spreadsheetml/2009/9/main" uri="{B025F937-C7B1-47D3-B67F-A62EFF666E3E}">
          <x14:id>{943D8BF2-0281-4AA3-A0AF-06AB6B2CECDF}</x14:id>
        </ext>
      </extLst>
    </cfRule>
  </conditionalFormatting>
  <conditionalFormatting sqref="Q17">
    <cfRule type="cellIs" dxfId="4431" priority="1140" operator="equal">
      <formula>"ja"</formula>
    </cfRule>
  </conditionalFormatting>
  <conditionalFormatting sqref="Q18">
    <cfRule type="cellIs" dxfId="4430" priority="1139" operator="equal">
      <formula>"ja"</formula>
    </cfRule>
  </conditionalFormatting>
  <conditionalFormatting sqref="AA18">
    <cfRule type="expression" dxfId="4429" priority="1138">
      <formula>AND(AND($W18&lt;TODAY(),$W18&lt;&gt;""),$X18="")</formula>
    </cfRule>
  </conditionalFormatting>
  <conditionalFormatting sqref="AG18">
    <cfRule type="dataBar" priority="1137">
      <dataBar>
        <cfvo type="min"/>
        <cfvo type="max"/>
        <color rgb="FF63C384"/>
      </dataBar>
      <extLst>
        <ext xmlns:x14="http://schemas.microsoft.com/office/spreadsheetml/2009/9/main" uri="{B025F937-C7B1-47D3-B67F-A62EFF666E3E}">
          <x14:id>{C9A757A1-6D1C-4B02-9CF2-F50F1CF2C992}</x14:id>
        </ext>
      </extLst>
    </cfRule>
  </conditionalFormatting>
  <conditionalFormatting sqref="AG18">
    <cfRule type="dataBar" priority="1136">
      <dataBar>
        <cfvo type="min"/>
        <cfvo type="max"/>
        <color rgb="FF63C384"/>
      </dataBar>
      <extLst>
        <ext xmlns:x14="http://schemas.microsoft.com/office/spreadsheetml/2009/9/main" uri="{B025F937-C7B1-47D3-B67F-A62EFF666E3E}">
          <x14:id>{6467E206-127C-4271-9983-4F5F5326C8BC}</x14:id>
        </ext>
      </extLst>
    </cfRule>
  </conditionalFormatting>
  <conditionalFormatting sqref="AA19">
    <cfRule type="expression" dxfId="4428" priority="1135">
      <formula>AND(AND($W19&lt;TODAY(),$W19&lt;&gt;""),$X19="")</formula>
    </cfRule>
  </conditionalFormatting>
  <conditionalFormatting sqref="Q19">
    <cfRule type="cellIs" dxfId="4427" priority="1134" operator="equal">
      <formula>"ja"</formula>
    </cfRule>
  </conditionalFormatting>
  <conditionalFormatting sqref="AG19">
    <cfRule type="dataBar" priority="1133">
      <dataBar>
        <cfvo type="min"/>
        <cfvo type="max"/>
        <color rgb="FF63C384"/>
      </dataBar>
      <extLst>
        <ext xmlns:x14="http://schemas.microsoft.com/office/spreadsheetml/2009/9/main" uri="{B025F937-C7B1-47D3-B67F-A62EFF666E3E}">
          <x14:id>{F6BDA8B6-D5D3-45D6-B984-94A66CCDA253}</x14:id>
        </ext>
      </extLst>
    </cfRule>
  </conditionalFormatting>
  <conditionalFormatting sqref="AG19">
    <cfRule type="dataBar" priority="1132">
      <dataBar>
        <cfvo type="min"/>
        <cfvo type="max"/>
        <color rgb="FF63C384"/>
      </dataBar>
      <extLst>
        <ext xmlns:x14="http://schemas.microsoft.com/office/spreadsheetml/2009/9/main" uri="{B025F937-C7B1-47D3-B67F-A62EFF666E3E}">
          <x14:id>{6E35675C-A163-4F43-B48F-EB8698C8CED7}</x14:id>
        </ext>
      </extLst>
    </cfRule>
  </conditionalFormatting>
  <conditionalFormatting sqref="AA20">
    <cfRule type="expression" dxfId="4426" priority="1131">
      <formula>AND(AND($W20&lt;TODAY(),$W20&lt;&gt;""),$X20="")</formula>
    </cfRule>
  </conditionalFormatting>
  <conditionalFormatting sqref="AG20">
    <cfRule type="dataBar" priority="1130">
      <dataBar>
        <cfvo type="min"/>
        <cfvo type="max"/>
        <color rgb="FF63C384"/>
      </dataBar>
      <extLst>
        <ext xmlns:x14="http://schemas.microsoft.com/office/spreadsheetml/2009/9/main" uri="{B025F937-C7B1-47D3-B67F-A62EFF666E3E}">
          <x14:id>{46CC99E1-1CF9-4632-8196-49BA780BD4E7}</x14:id>
        </ext>
      </extLst>
    </cfRule>
  </conditionalFormatting>
  <conditionalFormatting sqref="AG20">
    <cfRule type="dataBar" priority="1129">
      <dataBar>
        <cfvo type="min"/>
        <cfvo type="max"/>
        <color rgb="FF63C384"/>
      </dataBar>
      <extLst>
        <ext xmlns:x14="http://schemas.microsoft.com/office/spreadsheetml/2009/9/main" uri="{B025F937-C7B1-47D3-B67F-A62EFF666E3E}">
          <x14:id>{F2FA62C6-D7D9-45C7-9E83-164D4D0314B2}</x14:id>
        </ext>
      </extLst>
    </cfRule>
  </conditionalFormatting>
  <conditionalFormatting sqref="Q20">
    <cfRule type="cellIs" dxfId="4425" priority="1128" operator="equal">
      <formula>"ja"</formula>
    </cfRule>
  </conditionalFormatting>
  <conditionalFormatting sqref="AA21">
    <cfRule type="expression" dxfId="4424" priority="1127">
      <formula>AND(AND($W21&lt;TODAY(),$W21&lt;&gt;""),$X21="")</formula>
    </cfRule>
  </conditionalFormatting>
  <conditionalFormatting sqref="AG21">
    <cfRule type="dataBar" priority="1126">
      <dataBar>
        <cfvo type="min"/>
        <cfvo type="max"/>
        <color rgb="FF63C384"/>
      </dataBar>
      <extLst>
        <ext xmlns:x14="http://schemas.microsoft.com/office/spreadsheetml/2009/9/main" uri="{B025F937-C7B1-47D3-B67F-A62EFF666E3E}">
          <x14:id>{56A5103E-0645-4FCF-B249-2F50C3F0D6CA}</x14:id>
        </ext>
      </extLst>
    </cfRule>
  </conditionalFormatting>
  <conditionalFormatting sqref="AG21">
    <cfRule type="dataBar" priority="1125">
      <dataBar>
        <cfvo type="min"/>
        <cfvo type="max"/>
        <color rgb="FF63C384"/>
      </dataBar>
      <extLst>
        <ext xmlns:x14="http://schemas.microsoft.com/office/spreadsheetml/2009/9/main" uri="{B025F937-C7B1-47D3-B67F-A62EFF666E3E}">
          <x14:id>{649E8A6C-5D37-48FA-B579-BE58B51AF504}</x14:id>
        </ext>
      </extLst>
    </cfRule>
  </conditionalFormatting>
  <conditionalFormatting sqref="Q21">
    <cfRule type="cellIs" dxfId="4423" priority="1124" operator="equal">
      <formula>"ja"</formula>
    </cfRule>
  </conditionalFormatting>
  <conditionalFormatting sqref="Q22">
    <cfRule type="cellIs" dxfId="4422" priority="1123" operator="equal">
      <formula>"ja"</formula>
    </cfRule>
  </conditionalFormatting>
  <conditionalFormatting sqref="AA22">
    <cfRule type="expression" dxfId="4421" priority="1122">
      <formula>AND(AND($W22&lt;TODAY(),$W22&lt;&gt;""),$X22="")</formula>
    </cfRule>
  </conditionalFormatting>
  <conditionalFormatting sqref="AG22">
    <cfRule type="dataBar" priority="1121">
      <dataBar>
        <cfvo type="min"/>
        <cfvo type="max"/>
        <color rgb="FF63C384"/>
      </dataBar>
      <extLst>
        <ext xmlns:x14="http://schemas.microsoft.com/office/spreadsheetml/2009/9/main" uri="{B025F937-C7B1-47D3-B67F-A62EFF666E3E}">
          <x14:id>{B390796E-5CD1-4B07-81CB-EED2673D8970}</x14:id>
        </ext>
      </extLst>
    </cfRule>
  </conditionalFormatting>
  <conditionalFormatting sqref="AG22">
    <cfRule type="dataBar" priority="1120">
      <dataBar>
        <cfvo type="min"/>
        <cfvo type="max"/>
        <color rgb="FF63C384"/>
      </dataBar>
      <extLst>
        <ext xmlns:x14="http://schemas.microsoft.com/office/spreadsheetml/2009/9/main" uri="{B025F937-C7B1-47D3-B67F-A62EFF666E3E}">
          <x14:id>{C9D01693-C07C-49B3-B841-40B45964703D}</x14:id>
        </ext>
      </extLst>
    </cfRule>
  </conditionalFormatting>
  <conditionalFormatting sqref="AA22">
    <cfRule type="expression" dxfId="4420" priority="1119">
      <formula>AND(AND($W22&lt;TODAY(),$W22&lt;&gt;""),$X22="")</formula>
    </cfRule>
  </conditionalFormatting>
  <conditionalFormatting sqref="Q22">
    <cfRule type="cellIs" dxfId="4419" priority="1118" operator="equal">
      <formula>"ja"</formula>
    </cfRule>
  </conditionalFormatting>
  <conditionalFormatting sqref="AG22">
    <cfRule type="dataBar" priority="1117">
      <dataBar>
        <cfvo type="min"/>
        <cfvo type="max"/>
        <color rgb="FF63C384"/>
      </dataBar>
      <extLst>
        <ext xmlns:x14="http://schemas.microsoft.com/office/spreadsheetml/2009/9/main" uri="{B025F937-C7B1-47D3-B67F-A62EFF666E3E}">
          <x14:id>{FC305130-086F-46EC-AAEA-0360A7D69CC7}</x14:id>
        </ext>
      </extLst>
    </cfRule>
  </conditionalFormatting>
  <conditionalFormatting sqref="AG22">
    <cfRule type="dataBar" priority="1116">
      <dataBar>
        <cfvo type="min"/>
        <cfvo type="max"/>
        <color rgb="FF63C384"/>
      </dataBar>
      <extLst>
        <ext xmlns:x14="http://schemas.microsoft.com/office/spreadsheetml/2009/9/main" uri="{B025F937-C7B1-47D3-B67F-A62EFF666E3E}">
          <x14:id>{FC7B584B-6134-4D81-AAC4-D78ABC45D9B7}</x14:id>
        </ext>
      </extLst>
    </cfRule>
  </conditionalFormatting>
  <conditionalFormatting sqref="Q23">
    <cfRule type="cellIs" dxfId="4418" priority="1115" operator="equal">
      <formula>"ja"</formula>
    </cfRule>
  </conditionalFormatting>
  <conditionalFormatting sqref="AA23">
    <cfRule type="expression" dxfId="4417" priority="1114">
      <formula>AND(AND($W23&lt;TODAY(),$W23&lt;&gt;""),$X23="")</formula>
    </cfRule>
  </conditionalFormatting>
  <conditionalFormatting sqref="AG23">
    <cfRule type="dataBar" priority="1113">
      <dataBar>
        <cfvo type="min"/>
        <cfvo type="max"/>
        <color rgb="FF63C384"/>
      </dataBar>
      <extLst>
        <ext xmlns:x14="http://schemas.microsoft.com/office/spreadsheetml/2009/9/main" uri="{B025F937-C7B1-47D3-B67F-A62EFF666E3E}">
          <x14:id>{CD4CEEF4-E11D-4BA5-82A5-BFCB1CEA2A5C}</x14:id>
        </ext>
      </extLst>
    </cfRule>
  </conditionalFormatting>
  <conditionalFormatting sqref="AG23">
    <cfRule type="dataBar" priority="1112">
      <dataBar>
        <cfvo type="min"/>
        <cfvo type="max"/>
        <color rgb="FF63C384"/>
      </dataBar>
      <extLst>
        <ext xmlns:x14="http://schemas.microsoft.com/office/spreadsheetml/2009/9/main" uri="{B025F937-C7B1-47D3-B67F-A62EFF666E3E}">
          <x14:id>{9D3EB41C-FA89-4A6D-A142-C33026771C12}</x14:id>
        </ext>
      </extLst>
    </cfRule>
  </conditionalFormatting>
  <conditionalFormatting sqref="Q24">
    <cfRule type="cellIs" dxfId="4416" priority="1111" operator="equal">
      <formula>"ja"</formula>
    </cfRule>
  </conditionalFormatting>
  <conditionalFormatting sqref="AA24">
    <cfRule type="expression" dxfId="4415" priority="1110">
      <formula>AND(AND($W24&lt;TODAY(),$W24&lt;&gt;""),$X24="")</formula>
    </cfRule>
  </conditionalFormatting>
  <conditionalFormatting sqref="AG24">
    <cfRule type="dataBar" priority="1109">
      <dataBar>
        <cfvo type="min"/>
        <cfvo type="max"/>
        <color rgb="FF63C384"/>
      </dataBar>
      <extLst>
        <ext xmlns:x14="http://schemas.microsoft.com/office/spreadsheetml/2009/9/main" uri="{B025F937-C7B1-47D3-B67F-A62EFF666E3E}">
          <x14:id>{AD4B3E2E-9C8B-4F20-AB97-0811BA440954}</x14:id>
        </ext>
      </extLst>
    </cfRule>
  </conditionalFormatting>
  <conditionalFormatting sqref="AG24">
    <cfRule type="dataBar" priority="1108">
      <dataBar>
        <cfvo type="min"/>
        <cfvo type="max"/>
        <color rgb="FF63C384"/>
      </dataBar>
      <extLst>
        <ext xmlns:x14="http://schemas.microsoft.com/office/spreadsheetml/2009/9/main" uri="{B025F937-C7B1-47D3-B67F-A62EFF666E3E}">
          <x14:id>{A87A9958-D465-4FD2-A5F2-198917D24ACA}</x14:id>
        </ext>
      </extLst>
    </cfRule>
  </conditionalFormatting>
  <conditionalFormatting sqref="Q25">
    <cfRule type="cellIs" dxfId="4414" priority="1107" operator="equal">
      <formula>"ja"</formula>
    </cfRule>
  </conditionalFormatting>
  <conditionalFormatting sqref="Q25">
    <cfRule type="cellIs" dxfId="4413" priority="1095" operator="equal">
      <formula>"ja"</formula>
    </cfRule>
  </conditionalFormatting>
  <conditionalFormatting sqref="AA25">
    <cfRule type="expression" dxfId="4412" priority="1094">
      <formula>AND(AND($W25&lt;TODAY(),$W25&lt;&gt;""),$X25="")</formula>
    </cfRule>
  </conditionalFormatting>
  <conditionalFormatting sqref="AA25">
    <cfRule type="expression" dxfId="4411" priority="1106">
      <formula>AND(AND($W25&lt;TODAY(),$W25&lt;&gt;""),$X25="")</formula>
    </cfRule>
  </conditionalFormatting>
  <conditionalFormatting sqref="AG25">
    <cfRule type="dataBar" priority="1105">
      <dataBar>
        <cfvo type="min"/>
        <cfvo type="max"/>
        <color rgb="FF63C384"/>
      </dataBar>
      <extLst>
        <ext xmlns:x14="http://schemas.microsoft.com/office/spreadsheetml/2009/9/main" uri="{B025F937-C7B1-47D3-B67F-A62EFF666E3E}">
          <x14:id>{6F93B4F5-710A-4045-9D6E-A19DC383728D}</x14:id>
        </ext>
      </extLst>
    </cfRule>
  </conditionalFormatting>
  <conditionalFormatting sqref="AG25">
    <cfRule type="dataBar" priority="1104">
      <dataBar>
        <cfvo type="min"/>
        <cfvo type="max"/>
        <color rgb="FF63C384"/>
      </dataBar>
      <extLst>
        <ext xmlns:x14="http://schemas.microsoft.com/office/spreadsheetml/2009/9/main" uri="{B025F937-C7B1-47D3-B67F-A62EFF666E3E}">
          <x14:id>{CF3B7719-3D81-4F1C-82BE-0A1F5BEBF7ED}</x14:id>
        </ext>
      </extLst>
    </cfRule>
  </conditionalFormatting>
  <conditionalFormatting sqref="Q25">
    <cfRule type="cellIs" dxfId="4410" priority="1103" operator="equal">
      <formula>"ja"</formula>
    </cfRule>
  </conditionalFormatting>
  <conditionalFormatting sqref="AA25">
    <cfRule type="expression" dxfId="4409" priority="1102">
      <formula>AND(AND($W25&lt;TODAY(),$W25&lt;&gt;""),$X25="")</formula>
    </cfRule>
  </conditionalFormatting>
  <conditionalFormatting sqref="AG25">
    <cfRule type="dataBar" priority="1101">
      <dataBar>
        <cfvo type="min"/>
        <cfvo type="max"/>
        <color rgb="FF63C384"/>
      </dataBar>
      <extLst>
        <ext xmlns:x14="http://schemas.microsoft.com/office/spreadsheetml/2009/9/main" uri="{B025F937-C7B1-47D3-B67F-A62EFF666E3E}">
          <x14:id>{6C80F91F-98E2-4E57-918F-979320ECA590}</x14:id>
        </ext>
      </extLst>
    </cfRule>
  </conditionalFormatting>
  <conditionalFormatting sqref="AG25">
    <cfRule type="dataBar" priority="1100">
      <dataBar>
        <cfvo type="min"/>
        <cfvo type="max"/>
        <color rgb="FF63C384"/>
      </dataBar>
      <extLst>
        <ext xmlns:x14="http://schemas.microsoft.com/office/spreadsheetml/2009/9/main" uri="{B025F937-C7B1-47D3-B67F-A62EFF666E3E}">
          <x14:id>{1D81A2AE-CA7F-4D2E-AFDC-05525593097D}</x14:id>
        </ext>
      </extLst>
    </cfRule>
  </conditionalFormatting>
  <conditionalFormatting sqref="Q25">
    <cfRule type="cellIs" dxfId="4408" priority="1099" operator="equal">
      <formula>"ja"</formula>
    </cfRule>
  </conditionalFormatting>
  <conditionalFormatting sqref="AA25">
    <cfRule type="expression" dxfId="4407" priority="1098">
      <formula>AND(AND($W25&lt;TODAY(),$W25&lt;&gt;""),$X25="")</formula>
    </cfRule>
  </conditionalFormatting>
  <conditionalFormatting sqref="AG25">
    <cfRule type="dataBar" priority="1097">
      <dataBar>
        <cfvo type="min"/>
        <cfvo type="max"/>
        <color rgb="FF63C384"/>
      </dataBar>
      <extLst>
        <ext xmlns:x14="http://schemas.microsoft.com/office/spreadsheetml/2009/9/main" uri="{B025F937-C7B1-47D3-B67F-A62EFF666E3E}">
          <x14:id>{A00EC18B-4CFA-4CAE-AB1E-C91A5F3B6C93}</x14:id>
        </ext>
      </extLst>
    </cfRule>
  </conditionalFormatting>
  <conditionalFormatting sqref="AG25">
    <cfRule type="dataBar" priority="1096">
      <dataBar>
        <cfvo type="min"/>
        <cfvo type="max"/>
        <color rgb="FF63C384"/>
      </dataBar>
      <extLst>
        <ext xmlns:x14="http://schemas.microsoft.com/office/spreadsheetml/2009/9/main" uri="{B025F937-C7B1-47D3-B67F-A62EFF666E3E}">
          <x14:id>{A3F4C1B4-4B45-4D14-B653-DD36E29D17FC}</x14:id>
        </ext>
      </extLst>
    </cfRule>
  </conditionalFormatting>
  <conditionalFormatting sqref="AG25">
    <cfRule type="dataBar" priority="1093">
      <dataBar>
        <cfvo type="min"/>
        <cfvo type="max"/>
        <color rgb="FF63C384"/>
      </dataBar>
      <extLst>
        <ext xmlns:x14="http://schemas.microsoft.com/office/spreadsheetml/2009/9/main" uri="{B025F937-C7B1-47D3-B67F-A62EFF666E3E}">
          <x14:id>{390F7D62-974C-46F6-9758-4D7CBA7FBA14}</x14:id>
        </ext>
      </extLst>
    </cfRule>
  </conditionalFormatting>
  <conditionalFormatting sqref="AG25">
    <cfRule type="dataBar" priority="1092">
      <dataBar>
        <cfvo type="min"/>
        <cfvo type="max"/>
        <color rgb="FF63C384"/>
      </dataBar>
      <extLst>
        <ext xmlns:x14="http://schemas.microsoft.com/office/spreadsheetml/2009/9/main" uri="{B025F937-C7B1-47D3-B67F-A62EFF666E3E}">
          <x14:id>{C5DB2FA1-BEAB-408F-BB1E-A5CA0DEE62B4}</x14:id>
        </ext>
      </extLst>
    </cfRule>
  </conditionalFormatting>
  <conditionalFormatting sqref="Q26">
    <cfRule type="cellIs" dxfId="4406" priority="1091" operator="equal">
      <formula>"ja"</formula>
    </cfRule>
  </conditionalFormatting>
  <conditionalFormatting sqref="AA26">
    <cfRule type="expression" dxfId="4405" priority="1090">
      <formula>AND(AND($W26&lt;TODAY(),$W26&lt;&gt;""),$X26="")</formula>
    </cfRule>
  </conditionalFormatting>
  <conditionalFormatting sqref="AG26">
    <cfRule type="dataBar" priority="1089">
      <dataBar>
        <cfvo type="min"/>
        <cfvo type="max"/>
        <color rgb="FF63C384"/>
      </dataBar>
      <extLst>
        <ext xmlns:x14="http://schemas.microsoft.com/office/spreadsheetml/2009/9/main" uri="{B025F937-C7B1-47D3-B67F-A62EFF666E3E}">
          <x14:id>{77CFCD4E-FA02-49E8-ACAE-1A16A51DA728}</x14:id>
        </ext>
      </extLst>
    </cfRule>
  </conditionalFormatting>
  <conditionalFormatting sqref="AG26">
    <cfRule type="dataBar" priority="1088">
      <dataBar>
        <cfvo type="min"/>
        <cfvo type="max"/>
        <color rgb="FF63C384"/>
      </dataBar>
      <extLst>
        <ext xmlns:x14="http://schemas.microsoft.com/office/spreadsheetml/2009/9/main" uri="{B025F937-C7B1-47D3-B67F-A62EFF666E3E}">
          <x14:id>{A1746127-6B73-472C-B75A-7FACF57C1929}</x14:id>
        </ext>
      </extLst>
    </cfRule>
  </conditionalFormatting>
  <conditionalFormatting sqref="AG27">
    <cfRule type="dataBar" priority="1087">
      <dataBar>
        <cfvo type="min"/>
        <cfvo type="max"/>
        <color rgb="FF63C384"/>
      </dataBar>
      <extLst>
        <ext xmlns:x14="http://schemas.microsoft.com/office/spreadsheetml/2009/9/main" uri="{B025F937-C7B1-47D3-B67F-A62EFF666E3E}">
          <x14:id>{387F6D64-5474-4B32-9F52-93B1724DC8B5}</x14:id>
        </ext>
      </extLst>
    </cfRule>
  </conditionalFormatting>
  <conditionalFormatting sqref="AG27">
    <cfRule type="dataBar" priority="1086">
      <dataBar>
        <cfvo type="min"/>
        <cfvo type="max"/>
        <color rgb="FF63C384"/>
      </dataBar>
      <extLst>
        <ext xmlns:x14="http://schemas.microsoft.com/office/spreadsheetml/2009/9/main" uri="{B025F937-C7B1-47D3-B67F-A62EFF666E3E}">
          <x14:id>{5D6E2E95-7869-4B2A-8714-9CAE7548FBB9}</x14:id>
        </ext>
      </extLst>
    </cfRule>
  </conditionalFormatting>
  <conditionalFormatting sqref="Q27">
    <cfRule type="cellIs" dxfId="4404" priority="1085" operator="equal">
      <formula>"ja"</formula>
    </cfRule>
  </conditionalFormatting>
  <conditionalFormatting sqref="AA27">
    <cfRule type="expression" dxfId="4403" priority="1084">
      <formula>AND(AND($W27&lt;TODAY(),$W27&lt;&gt;""),$X27="")</formula>
    </cfRule>
  </conditionalFormatting>
  <conditionalFormatting sqref="AA28">
    <cfRule type="expression" dxfId="4402" priority="1083">
      <formula>AND(AND($W28&lt;TODAY(),$W28&lt;&gt;""),$X28="")</formula>
    </cfRule>
  </conditionalFormatting>
  <conditionalFormatting sqref="AG28">
    <cfRule type="dataBar" priority="1082">
      <dataBar>
        <cfvo type="min"/>
        <cfvo type="max"/>
        <color rgb="FF63C384"/>
      </dataBar>
      <extLst>
        <ext xmlns:x14="http://schemas.microsoft.com/office/spreadsheetml/2009/9/main" uri="{B025F937-C7B1-47D3-B67F-A62EFF666E3E}">
          <x14:id>{65500766-8491-4CD4-B22E-8DD665265B23}</x14:id>
        </ext>
      </extLst>
    </cfRule>
  </conditionalFormatting>
  <conditionalFormatting sqref="AG28">
    <cfRule type="dataBar" priority="1081">
      <dataBar>
        <cfvo type="min"/>
        <cfvo type="max"/>
        <color rgb="FF63C384"/>
      </dataBar>
      <extLst>
        <ext xmlns:x14="http://schemas.microsoft.com/office/spreadsheetml/2009/9/main" uri="{B025F937-C7B1-47D3-B67F-A62EFF666E3E}">
          <x14:id>{68ECAA9B-1EA8-4D89-8245-B40C0FEECE17}</x14:id>
        </ext>
      </extLst>
    </cfRule>
  </conditionalFormatting>
  <conditionalFormatting sqref="Q28">
    <cfRule type="cellIs" dxfId="4401" priority="1080" operator="equal">
      <formula>"ja"</formula>
    </cfRule>
  </conditionalFormatting>
  <conditionalFormatting sqref="Q29">
    <cfRule type="cellIs" dxfId="4400" priority="1079" operator="equal">
      <formula>"ja"</formula>
    </cfRule>
  </conditionalFormatting>
  <conditionalFormatting sqref="AA29">
    <cfRule type="expression" dxfId="4399" priority="1078">
      <formula>AND(AND($W29&lt;TODAY(),$W29&lt;&gt;""),$X29="")</formula>
    </cfRule>
  </conditionalFormatting>
  <conditionalFormatting sqref="AG29">
    <cfRule type="dataBar" priority="1077">
      <dataBar>
        <cfvo type="min"/>
        <cfvo type="max"/>
        <color rgb="FF63C384"/>
      </dataBar>
      <extLst>
        <ext xmlns:x14="http://schemas.microsoft.com/office/spreadsheetml/2009/9/main" uri="{B025F937-C7B1-47D3-B67F-A62EFF666E3E}">
          <x14:id>{A0ECA313-77F9-4683-AD4C-905A0FCFF034}</x14:id>
        </ext>
      </extLst>
    </cfRule>
  </conditionalFormatting>
  <conditionalFormatting sqref="AG29">
    <cfRule type="dataBar" priority="1076">
      <dataBar>
        <cfvo type="min"/>
        <cfvo type="max"/>
        <color rgb="FF63C384"/>
      </dataBar>
      <extLst>
        <ext xmlns:x14="http://schemas.microsoft.com/office/spreadsheetml/2009/9/main" uri="{B025F937-C7B1-47D3-B67F-A62EFF666E3E}">
          <x14:id>{71663865-B30E-4C8E-AC25-16C7E75DE53F}</x14:id>
        </ext>
      </extLst>
    </cfRule>
  </conditionalFormatting>
  <conditionalFormatting sqref="AA30">
    <cfRule type="expression" dxfId="4398" priority="1075">
      <formula>AND(AND($W30&lt;TODAY(),$W30&lt;&gt;""),$X30="")</formula>
    </cfRule>
  </conditionalFormatting>
  <conditionalFormatting sqref="Q30">
    <cfRule type="cellIs" dxfId="4397" priority="1074" operator="equal">
      <formula>"ja"</formula>
    </cfRule>
  </conditionalFormatting>
  <conditionalFormatting sqref="AG30">
    <cfRule type="dataBar" priority="1073">
      <dataBar>
        <cfvo type="min"/>
        <cfvo type="max"/>
        <color rgb="FF63C384"/>
      </dataBar>
      <extLst>
        <ext xmlns:x14="http://schemas.microsoft.com/office/spreadsheetml/2009/9/main" uri="{B025F937-C7B1-47D3-B67F-A62EFF666E3E}">
          <x14:id>{FA00113C-6016-41DA-BA42-3BF2BA0C2BD1}</x14:id>
        </ext>
      </extLst>
    </cfRule>
  </conditionalFormatting>
  <conditionalFormatting sqref="AG30">
    <cfRule type="dataBar" priority="1072">
      <dataBar>
        <cfvo type="min"/>
        <cfvo type="max"/>
        <color rgb="FF63C384"/>
      </dataBar>
      <extLst>
        <ext xmlns:x14="http://schemas.microsoft.com/office/spreadsheetml/2009/9/main" uri="{B025F937-C7B1-47D3-B67F-A62EFF666E3E}">
          <x14:id>{8CAAA1FE-955D-42D6-B0C8-477BD7F38319}</x14:id>
        </ext>
      </extLst>
    </cfRule>
  </conditionalFormatting>
  <conditionalFormatting sqref="Q31">
    <cfRule type="cellIs" dxfId="4396" priority="1071" operator="equal">
      <formula>"ja"</formula>
    </cfRule>
  </conditionalFormatting>
  <conditionalFormatting sqref="AA31">
    <cfRule type="expression" dxfId="4395" priority="1070">
      <formula>AND(AND($W31&lt;TODAY(),$W31&lt;&gt;""),$X31="")</formula>
    </cfRule>
  </conditionalFormatting>
  <conditionalFormatting sqref="AG31">
    <cfRule type="dataBar" priority="1069">
      <dataBar>
        <cfvo type="min"/>
        <cfvo type="max"/>
        <color rgb="FF63C384"/>
      </dataBar>
      <extLst>
        <ext xmlns:x14="http://schemas.microsoft.com/office/spreadsheetml/2009/9/main" uri="{B025F937-C7B1-47D3-B67F-A62EFF666E3E}">
          <x14:id>{6D468791-E9D0-42FE-A741-449F632A79ED}</x14:id>
        </ext>
      </extLst>
    </cfRule>
  </conditionalFormatting>
  <conditionalFormatting sqref="AG31">
    <cfRule type="dataBar" priority="1068">
      <dataBar>
        <cfvo type="min"/>
        <cfvo type="max"/>
        <color rgb="FF63C384"/>
      </dataBar>
      <extLst>
        <ext xmlns:x14="http://schemas.microsoft.com/office/spreadsheetml/2009/9/main" uri="{B025F937-C7B1-47D3-B67F-A62EFF666E3E}">
          <x14:id>{8BC99A71-5EEF-4FAA-918F-CCDDE735D93F}</x14:id>
        </ext>
      </extLst>
    </cfRule>
  </conditionalFormatting>
  <conditionalFormatting sqref="Q32">
    <cfRule type="cellIs" dxfId="4394" priority="1067" operator="equal">
      <formula>"ja"</formula>
    </cfRule>
  </conditionalFormatting>
  <conditionalFormatting sqref="AA32">
    <cfRule type="expression" dxfId="4393" priority="1066">
      <formula>AND(AND($W32&lt;TODAY(),$W32&lt;&gt;""),$X32="")</formula>
    </cfRule>
  </conditionalFormatting>
  <conditionalFormatting sqref="AG32">
    <cfRule type="dataBar" priority="1065">
      <dataBar>
        <cfvo type="min"/>
        <cfvo type="max"/>
        <color rgb="FF63C384"/>
      </dataBar>
      <extLst>
        <ext xmlns:x14="http://schemas.microsoft.com/office/spreadsheetml/2009/9/main" uri="{B025F937-C7B1-47D3-B67F-A62EFF666E3E}">
          <x14:id>{8157F7C9-7F93-472E-81BE-472FFD79FCFE}</x14:id>
        </ext>
      </extLst>
    </cfRule>
  </conditionalFormatting>
  <conditionalFormatting sqref="AG32">
    <cfRule type="dataBar" priority="1064">
      <dataBar>
        <cfvo type="min"/>
        <cfvo type="max"/>
        <color rgb="FF63C384"/>
      </dataBar>
      <extLst>
        <ext xmlns:x14="http://schemas.microsoft.com/office/spreadsheetml/2009/9/main" uri="{B025F937-C7B1-47D3-B67F-A62EFF666E3E}">
          <x14:id>{743DCCC6-97D5-4BA3-90AA-22DE69D93F89}</x14:id>
        </ext>
      </extLst>
    </cfRule>
  </conditionalFormatting>
  <conditionalFormatting sqref="Q32">
    <cfRule type="cellIs" dxfId="4392" priority="1063" operator="equal">
      <formula>"ja"</formula>
    </cfRule>
  </conditionalFormatting>
  <conditionalFormatting sqref="AA32">
    <cfRule type="expression" dxfId="4391" priority="1062">
      <formula>AND(AND($W32&lt;TODAY(),$W32&lt;&gt;""),$X32="")</formula>
    </cfRule>
  </conditionalFormatting>
  <conditionalFormatting sqref="AG32">
    <cfRule type="dataBar" priority="1061">
      <dataBar>
        <cfvo type="min"/>
        <cfvo type="max"/>
        <color rgb="FF63C384"/>
      </dataBar>
      <extLst>
        <ext xmlns:x14="http://schemas.microsoft.com/office/spreadsheetml/2009/9/main" uri="{B025F937-C7B1-47D3-B67F-A62EFF666E3E}">
          <x14:id>{AE218A37-BB43-44B8-A734-6C4C76003A53}</x14:id>
        </ext>
      </extLst>
    </cfRule>
  </conditionalFormatting>
  <conditionalFormatting sqref="AG32">
    <cfRule type="dataBar" priority="1060">
      <dataBar>
        <cfvo type="min"/>
        <cfvo type="max"/>
        <color rgb="FF63C384"/>
      </dataBar>
      <extLst>
        <ext xmlns:x14="http://schemas.microsoft.com/office/spreadsheetml/2009/9/main" uri="{B025F937-C7B1-47D3-B67F-A62EFF666E3E}">
          <x14:id>{4298240B-BCCD-4038-9F7B-EA4DC09B1A43}</x14:id>
        </ext>
      </extLst>
    </cfRule>
  </conditionalFormatting>
  <conditionalFormatting sqref="Q33">
    <cfRule type="cellIs" dxfId="4390" priority="1059" operator="equal">
      <formula>"ja"</formula>
    </cfRule>
  </conditionalFormatting>
  <conditionalFormatting sqref="AA33">
    <cfRule type="expression" dxfId="4389" priority="1058">
      <formula>AND(AND($W33&lt;TODAY(),$W33&lt;&gt;""),$X33="")</formula>
    </cfRule>
  </conditionalFormatting>
  <conditionalFormatting sqref="AG33">
    <cfRule type="dataBar" priority="1057">
      <dataBar>
        <cfvo type="min"/>
        <cfvo type="max"/>
        <color rgb="FF63C384"/>
      </dataBar>
      <extLst>
        <ext xmlns:x14="http://schemas.microsoft.com/office/spreadsheetml/2009/9/main" uri="{B025F937-C7B1-47D3-B67F-A62EFF666E3E}">
          <x14:id>{C62EA196-941F-4224-9023-71F8DE1BBB28}</x14:id>
        </ext>
      </extLst>
    </cfRule>
  </conditionalFormatting>
  <conditionalFormatting sqref="AG33">
    <cfRule type="dataBar" priority="1056">
      <dataBar>
        <cfvo type="min"/>
        <cfvo type="max"/>
        <color rgb="FF63C384"/>
      </dataBar>
      <extLst>
        <ext xmlns:x14="http://schemas.microsoft.com/office/spreadsheetml/2009/9/main" uri="{B025F937-C7B1-47D3-B67F-A62EFF666E3E}">
          <x14:id>{266F1CF8-A47D-4742-A4DF-3E948DD734F0}</x14:id>
        </ext>
      </extLst>
    </cfRule>
  </conditionalFormatting>
  <conditionalFormatting sqref="AA33">
    <cfRule type="expression" dxfId="4388" priority="1055">
      <formula>AND(AND($W33&lt;TODAY(),$W33&lt;&gt;""),$X33="")</formula>
    </cfRule>
  </conditionalFormatting>
  <conditionalFormatting sqref="AG33">
    <cfRule type="dataBar" priority="1054">
      <dataBar>
        <cfvo type="min"/>
        <cfvo type="max"/>
        <color rgb="FF63C384"/>
      </dataBar>
      <extLst>
        <ext xmlns:x14="http://schemas.microsoft.com/office/spreadsheetml/2009/9/main" uri="{B025F937-C7B1-47D3-B67F-A62EFF666E3E}">
          <x14:id>{A475966E-F8E8-4C7C-AAA9-561B60577201}</x14:id>
        </ext>
      </extLst>
    </cfRule>
  </conditionalFormatting>
  <conditionalFormatting sqref="AG33">
    <cfRule type="dataBar" priority="1053">
      <dataBar>
        <cfvo type="min"/>
        <cfvo type="max"/>
        <color rgb="FF63C384"/>
      </dataBar>
      <extLst>
        <ext xmlns:x14="http://schemas.microsoft.com/office/spreadsheetml/2009/9/main" uri="{B025F937-C7B1-47D3-B67F-A62EFF666E3E}">
          <x14:id>{8AC18D1A-9D22-4B46-A4B4-4CE6FA465CD8}</x14:id>
        </ext>
      </extLst>
    </cfRule>
  </conditionalFormatting>
  <conditionalFormatting sqref="Q33">
    <cfRule type="cellIs" dxfId="4387" priority="1052" operator="equal">
      <formula>"ja"</formula>
    </cfRule>
  </conditionalFormatting>
  <conditionalFormatting sqref="AA34">
    <cfRule type="expression" dxfId="4386" priority="1051">
      <formula>AND(AND($W34&lt;TODAY(),$W34&lt;&gt;""),$X34="")</formula>
    </cfRule>
  </conditionalFormatting>
  <conditionalFormatting sqref="Q34">
    <cfRule type="cellIs" dxfId="4385" priority="1050" operator="equal">
      <formula>"ja"</formula>
    </cfRule>
  </conditionalFormatting>
  <conditionalFormatting sqref="AG34">
    <cfRule type="dataBar" priority="1049">
      <dataBar>
        <cfvo type="min"/>
        <cfvo type="max"/>
        <color rgb="FF63C384"/>
      </dataBar>
      <extLst>
        <ext xmlns:x14="http://schemas.microsoft.com/office/spreadsheetml/2009/9/main" uri="{B025F937-C7B1-47D3-B67F-A62EFF666E3E}">
          <x14:id>{2B2A8FA1-BEAE-49E2-8238-04F17EC1DC9B}</x14:id>
        </ext>
      </extLst>
    </cfRule>
  </conditionalFormatting>
  <conditionalFormatting sqref="AG34">
    <cfRule type="dataBar" priority="1048">
      <dataBar>
        <cfvo type="min"/>
        <cfvo type="max"/>
        <color rgb="FF63C384"/>
      </dataBar>
      <extLst>
        <ext xmlns:x14="http://schemas.microsoft.com/office/spreadsheetml/2009/9/main" uri="{B025F937-C7B1-47D3-B67F-A62EFF666E3E}">
          <x14:id>{394C8ABB-3599-4988-A06B-6B72D5514AB2}</x14:id>
        </ext>
      </extLst>
    </cfRule>
  </conditionalFormatting>
  <conditionalFormatting sqref="AA35">
    <cfRule type="expression" dxfId="4384" priority="1047">
      <formula>AND(AND($W35&lt;TODAY(),$W35&lt;&gt;""),$X35="")</formula>
    </cfRule>
  </conditionalFormatting>
  <conditionalFormatting sqref="AG35">
    <cfRule type="dataBar" priority="1046">
      <dataBar>
        <cfvo type="min"/>
        <cfvo type="max"/>
        <color rgb="FF63C384"/>
      </dataBar>
      <extLst>
        <ext xmlns:x14="http://schemas.microsoft.com/office/spreadsheetml/2009/9/main" uri="{B025F937-C7B1-47D3-B67F-A62EFF666E3E}">
          <x14:id>{DA7AFE3E-94E8-4898-85E2-D56EAA69D2CF}</x14:id>
        </ext>
      </extLst>
    </cfRule>
  </conditionalFormatting>
  <conditionalFormatting sqref="AG35">
    <cfRule type="dataBar" priority="1045">
      <dataBar>
        <cfvo type="min"/>
        <cfvo type="max"/>
        <color rgb="FF63C384"/>
      </dataBar>
      <extLst>
        <ext xmlns:x14="http://schemas.microsoft.com/office/spreadsheetml/2009/9/main" uri="{B025F937-C7B1-47D3-B67F-A62EFF666E3E}">
          <x14:id>{33EEDF36-9040-4242-BC97-B8B3ECF26206}</x14:id>
        </ext>
      </extLst>
    </cfRule>
  </conditionalFormatting>
  <conditionalFormatting sqref="Q35">
    <cfRule type="cellIs" dxfId="4383" priority="1044" operator="equal">
      <formula>"ja"</formula>
    </cfRule>
  </conditionalFormatting>
  <conditionalFormatting sqref="AA36">
    <cfRule type="expression" dxfId="4382" priority="1043">
      <formula>AND(AND($W36&lt;TODAY(),$W36&lt;&gt;""),$X36="")</formula>
    </cfRule>
  </conditionalFormatting>
  <conditionalFormatting sqref="AG36">
    <cfRule type="dataBar" priority="1042">
      <dataBar>
        <cfvo type="min"/>
        <cfvo type="max"/>
        <color rgb="FF63C384"/>
      </dataBar>
      <extLst>
        <ext xmlns:x14="http://schemas.microsoft.com/office/spreadsheetml/2009/9/main" uri="{B025F937-C7B1-47D3-B67F-A62EFF666E3E}">
          <x14:id>{23ACDCD9-3660-44AD-A43D-64810FF1B9BA}</x14:id>
        </ext>
      </extLst>
    </cfRule>
  </conditionalFormatting>
  <conditionalFormatting sqref="AG36">
    <cfRule type="dataBar" priority="1041">
      <dataBar>
        <cfvo type="min"/>
        <cfvo type="max"/>
        <color rgb="FF63C384"/>
      </dataBar>
      <extLst>
        <ext xmlns:x14="http://schemas.microsoft.com/office/spreadsheetml/2009/9/main" uri="{B025F937-C7B1-47D3-B67F-A62EFF666E3E}">
          <x14:id>{8BAC8DAB-3F19-4994-8FF7-19056C9B0E80}</x14:id>
        </ext>
      </extLst>
    </cfRule>
  </conditionalFormatting>
  <conditionalFormatting sqref="AA37">
    <cfRule type="expression" dxfId="4381" priority="1040">
      <formula>AND(AND($W37&lt;TODAY(),$W37&lt;&gt;""),$X37="")</formula>
    </cfRule>
  </conditionalFormatting>
  <conditionalFormatting sqref="AG37">
    <cfRule type="dataBar" priority="1039">
      <dataBar>
        <cfvo type="min"/>
        <cfvo type="max"/>
        <color rgb="FF63C384"/>
      </dataBar>
      <extLst>
        <ext xmlns:x14="http://schemas.microsoft.com/office/spreadsheetml/2009/9/main" uri="{B025F937-C7B1-47D3-B67F-A62EFF666E3E}">
          <x14:id>{7FF81C8B-A13E-4320-8CE8-23A63CDA4F14}</x14:id>
        </ext>
      </extLst>
    </cfRule>
  </conditionalFormatting>
  <conditionalFormatting sqref="AG37">
    <cfRule type="dataBar" priority="1038">
      <dataBar>
        <cfvo type="min"/>
        <cfvo type="max"/>
        <color rgb="FF63C384"/>
      </dataBar>
      <extLst>
        <ext xmlns:x14="http://schemas.microsoft.com/office/spreadsheetml/2009/9/main" uri="{B025F937-C7B1-47D3-B67F-A62EFF666E3E}">
          <x14:id>{4D5B13D9-671A-4536-A52E-9C11A6D2D467}</x14:id>
        </ext>
      </extLst>
    </cfRule>
  </conditionalFormatting>
  <conditionalFormatting sqref="Q37">
    <cfRule type="cellIs" dxfId="4380" priority="1037" operator="equal">
      <formula>"ja"</formula>
    </cfRule>
  </conditionalFormatting>
  <conditionalFormatting sqref="Q38">
    <cfRule type="cellIs" dxfId="4379" priority="1036" operator="equal">
      <formula>"ja"</formula>
    </cfRule>
  </conditionalFormatting>
  <conditionalFormatting sqref="AA38">
    <cfRule type="expression" dxfId="4378" priority="1035">
      <formula>AND(AND($W38&lt;TODAY(),$W38&lt;&gt;""),$X38="")</formula>
    </cfRule>
  </conditionalFormatting>
  <conditionalFormatting sqref="AG38">
    <cfRule type="dataBar" priority="1034">
      <dataBar>
        <cfvo type="min"/>
        <cfvo type="max"/>
        <color rgb="FF63C384"/>
      </dataBar>
      <extLst>
        <ext xmlns:x14="http://schemas.microsoft.com/office/spreadsheetml/2009/9/main" uri="{B025F937-C7B1-47D3-B67F-A62EFF666E3E}">
          <x14:id>{8564AA1F-0D96-4D9E-8764-7D5235B4C8C4}</x14:id>
        </ext>
      </extLst>
    </cfRule>
  </conditionalFormatting>
  <conditionalFormatting sqref="AG38">
    <cfRule type="dataBar" priority="1033">
      <dataBar>
        <cfvo type="min"/>
        <cfvo type="max"/>
        <color rgb="FF63C384"/>
      </dataBar>
      <extLst>
        <ext xmlns:x14="http://schemas.microsoft.com/office/spreadsheetml/2009/9/main" uri="{B025F937-C7B1-47D3-B67F-A62EFF666E3E}">
          <x14:id>{7D7EC497-1E29-4C33-A86D-EDD1DDBE0E8A}</x14:id>
        </ext>
      </extLst>
    </cfRule>
  </conditionalFormatting>
  <conditionalFormatting sqref="Q39">
    <cfRule type="cellIs" dxfId="4377" priority="1032" operator="equal">
      <formula>"ja"</formula>
    </cfRule>
  </conditionalFormatting>
  <conditionalFormatting sqref="Q39">
    <cfRule type="cellIs" dxfId="4376" priority="1020" operator="equal">
      <formula>"ja"</formula>
    </cfRule>
  </conditionalFormatting>
  <conditionalFormatting sqref="AA39">
    <cfRule type="expression" dxfId="4375" priority="1019">
      <formula>AND(AND($W39&lt;TODAY(),$W39&lt;&gt;""),$X39="")</formula>
    </cfRule>
  </conditionalFormatting>
  <conditionalFormatting sqref="AA39">
    <cfRule type="expression" dxfId="4374" priority="1031">
      <formula>AND(AND($W39&lt;TODAY(),$W39&lt;&gt;""),$X39="")</formula>
    </cfRule>
  </conditionalFormatting>
  <conditionalFormatting sqref="AG39">
    <cfRule type="dataBar" priority="1030">
      <dataBar>
        <cfvo type="min"/>
        <cfvo type="max"/>
        <color rgb="FF63C384"/>
      </dataBar>
      <extLst>
        <ext xmlns:x14="http://schemas.microsoft.com/office/spreadsheetml/2009/9/main" uri="{B025F937-C7B1-47D3-B67F-A62EFF666E3E}">
          <x14:id>{F7EFED6E-EFC3-4790-87E2-7FDA8CBECBF1}</x14:id>
        </ext>
      </extLst>
    </cfRule>
  </conditionalFormatting>
  <conditionalFormatting sqref="AG39">
    <cfRule type="dataBar" priority="1029">
      <dataBar>
        <cfvo type="min"/>
        <cfvo type="max"/>
        <color rgb="FF63C384"/>
      </dataBar>
      <extLst>
        <ext xmlns:x14="http://schemas.microsoft.com/office/spreadsheetml/2009/9/main" uri="{B025F937-C7B1-47D3-B67F-A62EFF666E3E}">
          <x14:id>{4306A889-779E-40E8-9A30-A71BDDE4C619}</x14:id>
        </ext>
      </extLst>
    </cfRule>
  </conditionalFormatting>
  <conditionalFormatting sqref="Q39">
    <cfRule type="cellIs" dxfId="4373" priority="1028" operator="equal">
      <formula>"ja"</formula>
    </cfRule>
  </conditionalFormatting>
  <conditionalFormatting sqref="AA39">
    <cfRule type="expression" dxfId="4372" priority="1027">
      <formula>AND(AND($W39&lt;TODAY(),$W39&lt;&gt;""),$X39="")</formula>
    </cfRule>
  </conditionalFormatting>
  <conditionalFormatting sqref="AG39">
    <cfRule type="dataBar" priority="1026">
      <dataBar>
        <cfvo type="min"/>
        <cfvo type="max"/>
        <color rgb="FF63C384"/>
      </dataBar>
      <extLst>
        <ext xmlns:x14="http://schemas.microsoft.com/office/spreadsheetml/2009/9/main" uri="{B025F937-C7B1-47D3-B67F-A62EFF666E3E}">
          <x14:id>{562F94F4-BB43-4425-98CC-CDB6329EF149}</x14:id>
        </ext>
      </extLst>
    </cfRule>
  </conditionalFormatting>
  <conditionalFormatting sqref="AG39">
    <cfRule type="dataBar" priority="1025">
      <dataBar>
        <cfvo type="min"/>
        <cfvo type="max"/>
        <color rgb="FF63C384"/>
      </dataBar>
      <extLst>
        <ext xmlns:x14="http://schemas.microsoft.com/office/spreadsheetml/2009/9/main" uri="{B025F937-C7B1-47D3-B67F-A62EFF666E3E}">
          <x14:id>{713D87EC-5E6F-4E82-BD41-5E69C6BCCDFE}</x14:id>
        </ext>
      </extLst>
    </cfRule>
  </conditionalFormatting>
  <conditionalFormatting sqref="Q39">
    <cfRule type="cellIs" dxfId="4371" priority="1024" operator="equal">
      <formula>"ja"</formula>
    </cfRule>
  </conditionalFormatting>
  <conditionalFormatting sqref="AA39">
    <cfRule type="expression" dxfId="4370" priority="1023">
      <formula>AND(AND($W39&lt;TODAY(),$W39&lt;&gt;""),$X39="")</formula>
    </cfRule>
  </conditionalFormatting>
  <conditionalFormatting sqref="AG39">
    <cfRule type="dataBar" priority="1022">
      <dataBar>
        <cfvo type="min"/>
        <cfvo type="max"/>
        <color rgb="FF63C384"/>
      </dataBar>
      <extLst>
        <ext xmlns:x14="http://schemas.microsoft.com/office/spreadsheetml/2009/9/main" uri="{B025F937-C7B1-47D3-B67F-A62EFF666E3E}">
          <x14:id>{84D59AFF-1A3B-4DBD-B73C-89B28948D9D4}</x14:id>
        </ext>
      </extLst>
    </cfRule>
  </conditionalFormatting>
  <conditionalFormatting sqref="AG39">
    <cfRule type="dataBar" priority="1021">
      <dataBar>
        <cfvo type="min"/>
        <cfvo type="max"/>
        <color rgb="FF63C384"/>
      </dataBar>
      <extLst>
        <ext xmlns:x14="http://schemas.microsoft.com/office/spreadsheetml/2009/9/main" uri="{B025F937-C7B1-47D3-B67F-A62EFF666E3E}">
          <x14:id>{D24C8E9F-AAF5-483E-8450-B9B13DCB3C94}</x14:id>
        </ext>
      </extLst>
    </cfRule>
  </conditionalFormatting>
  <conditionalFormatting sqref="AG39">
    <cfRule type="dataBar" priority="1018">
      <dataBar>
        <cfvo type="min"/>
        <cfvo type="max"/>
        <color rgb="FF63C384"/>
      </dataBar>
      <extLst>
        <ext xmlns:x14="http://schemas.microsoft.com/office/spreadsheetml/2009/9/main" uri="{B025F937-C7B1-47D3-B67F-A62EFF666E3E}">
          <x14:id>{8F7286A5-C7D1-4701-B64B-5AC524F386A2}</x14:id>
        </ext>
      </extLst>
    </cfRule>
  </conditionalFormatting>
  <conditionalFormatting sqref="AG39">
    <cfRule type="dataBar" priority="1017">
      <dataBar>
        <cfvo type="min"/>
        <cfvo type="max"/>
        <color rgb="FF63C384"/>
      </dataBar>
      <extLst>
        <ext xmlns:x14="http://schemas.microsoft.com/office/spreadsheetml/2009/9/main" uri="{B025F937-C7B1-47D3-B67F-A62EFF666E3E}">
          <x14:id>{39C97711-EBB8-4DFF-91C2-EA2AD5A01F02}</x14:id>
        </ext>
      </extLst>
    </cfRule>
  </conditionalFormatting>
  <conditionalFormatting sqref="Q41">
    <cfRule type="cellIs" dxfId="4369" priority="1016" operator="equal">
      <formula>"ja"</formula>
    </cfRule>
  </conditionalFormatting>
  <conditionalFormatting sqref="AA41">
    <cfRule type="expression" dxfId="4368" priority="1015">
      <formula>AND(AND($W41&lt;TODAY(),$W41&lt;&gt;""),$X41="")</formula>
    </cfRule>
  </conditionalFormatting>
  <conditionalFormatting sqref="AG41">
    <cfRule type="dataBar" priority="1014">
      <dataBar>
        <cfvo type="min"/>
        <cfvo type="max"/>
        <color rgb="FF63C384"/>
      </dataBar>
      <extLst>
        <ext xmlns:x14="http://schemas.microsoft.com/office/spreadsheetml/2009/9/main" uri="{B025F937-C7B1-47D3-B67F-A62EFF666E3E}">
          <x14:id>{1FD66F36-B991-41BB-A850-193EE910D405}</x14:id>
        </ext>
      </extLst>
    </cfRule>
  </conditionalFormatting>
  <conditionalFormatting sqref="AG41">
    <cfRule type="dataBar" priority="1013">
      <dataBar>
        <cfvo type="min"/>
        <cfvo type="max"/>
        <color rgb="FF63C384"/>
      </dataBar>
      <extLst>
        <ext xmlns:x14="http://schemas.microsoft.com/office/spreadsheetml/2009/9/main" uri="{B025F937-C7B1-47D3-B67F-A62EFF666E3E}">
          <x14:id>{98543884-2994-40C3-B848-7EEF7878FD55}</x14:id>
        </ext>
      </extLst>
    </cfRule>
  </conditionalFormatting>
  <conditionalFormatting sqref="AA41">
    <cfRule type="expression" dxfId="4367" priority="1012">
      <formula>AND(AND($W41&lt;TODAY(),$W41&lt;&gt;""),$X41="")</formula>
    </cfRule>
  </conditionalFormatting>
  <conditionalFormatting sqref="AG41">
    <cfRule type="dataBar" priority="1011">
      <dataBar>
        <cfvo type="min"/>
        <cfvo type="max"/>
        <color rgb="FF63C384"/>
      </dataBar>
      <extLst>
        <ext xmlns:x14="http://schemas.microsoft.com/office/spreadsheetml/2009/9/main" uri="{B025F937-C7B1-47D3-B67F-A62EFF666E3E}">
          <x14:id>{C3F52145-D2C6-425B-953B-ABC1EF794ED5}</x14:id>
        </ext>
      </extLst>
    </cfRule>
  </conditionalFormatting>
  <conditionalFormatting sqref="AG41">
    <cfRule type="dataBar" priority="1010">
      <dataBar>
        <cfvo type="min"/>
        <cfvo type="max"/>
        <color rgb="FF63C384"/>
      </dataBar>
      <extLst>
        <ext xmlns:x14="http://schemas.microsoft.com/office/spreadsheetml/2009/9/main" uri="{B025F937-C7B1-47D3-B67F-A62EFF666E3E}">
          <x14:id>{17889544-1276-4C9A-B1EA-D621EEC76A1D}</x14:id>
        </ext>
      </extLst>
    </cfRule>
  </conditionalFormatting>
  <conditionalFormatting sqref="Q41">
    <cfRule type="cellIs" dxfId="4366" priority="1009" operator="equal">
      <formula>"ja"</formula>
    </cfRule>
  </conditionalFormatting>
  <conditionalFormatting sqref="Q42">
    <cfRule type="cellIs" dxfId="4365" priority="1008" operator="equal">
      <formula>"ja"</formula>
    </cfRule>
  </conditionalFormatting>
  <conditionalFormatting sqref="AA42">
    <cfRule type="expression" dxfId="4364" priority="1007">
      <formula>AND(AND($W42&lt;TODAY(),$W42&lt;&gt;""),$X42="")</formula>
    </cfRule>
  </conditionalFormatting>
  <conditionalFormatting sqref="AG42">
    <cfRule type="dataBar" priority="1006">
      <dataBar>
        <cfvo type="min"/>
        <cfvo type="max"/>
        <color rgb="FF63C384"/>
      </dataBar>
      <extLst>
        <ext xmlns:x14="http://schemas.microsoft.com/office/spreadsheetml/2009/9/main" uri="{B025F937-C7B1-47D3-B67F-A62EFF666E3E}">
          <x14:id>{93AC2A2D-556B-4868-9E5B-6FBFF5703CCF}</x14:id>
        </ext>
      </extLst>
    </cfRule>
  </conditionalFormatting>
  <conditionalFormatting sqref="AG42">
    <cfRule type="dataBar" priority="1005">
      <dataBar>
        <cfvo type="min"/>
        <cfvo type="max"/>
        <color rgb="FF63C384"/>
      </dataBar>
      <extLst>
        <ext xmlns:x14="http://schemas.microsoft.com/office/spreadsheetml/2009/9/main" uri="{B025F937-C7B1-47D3-B67F-A62EFF666E3E}">
          <x14:id>{AFB60F6D-ECB4-4979-9023-3C67F0F3F6B3}</x14:id>
        </ext>
      </extLst>
    </cfRule>
  </conditionalFormatting>
  <conditionalFormatting sqref="Q40">
    <cfRule type="cellIs" dxfId="4363" priority="1004" operator="equal">
      <formula>"ja"</formula>
    </cfRule>
  </conditionalFormatting>
  <conditionalFormatting sqref="AA40">
    <cfRule type="expression" dxfId="4362" priority="1003">
      <formula>AND(AND($W40&lt;TODAY(),$W40&lt;&gt;""),$X40="")</formula>
    </cfRule>
  </conditionalFormatting>
  <conditionalFormatting sqref="AG40">
    <cfRule type="dataBar" priority="1002">
      <dataBar>
        <cfvo type="min"/>
        <cfvo type="max"/>
        <color rgb="FF63C384"/>
      </dataBar>
      <extLst>
        <ext xmlns:x14="http://schemas.microsoft.com/office/spreadsheetml/2009/9/main" uri="{B025F937-C7B1-47D3-B67F-A62EFF666E3E}">
          <x14:id>{E554445F-7435-46A8-8E75-5711A8B4B81C}</x14:id>
        </ext>
      </extLst>
    </cfRule>
  </conditionalFormatting>
  <conditionalFormatting sqref="AG40">
    <cfRule type="dataBar" priority="1001">
      <dataBar>
        <cfvo type="min"/>
        <cfvo type="max"/>
        <color rgb="FF63C384"/>
      </dataBar>
      <extLst>
        <ext xmlns:x14="http://schemas.microsoft.com/office/spreadsheetml/2009/9/main" uri="{B025F937-C7B1-47D3-B67F-A62EFF666E3E}">
          <x14:id>{42B5CE03-2317-4208-AE95-07ACF05EEEE5}</x14:id>
        </ext>
      </extLst>
    </cfRule>
  </conditionalFormatting>
  <conditionalFormatting sqref="Q43">
    <cfRule type="cellIs" dxfId="4361" priority="1000" operator="equal">
      <formula>"ja"</formula>
    </cfRule>
  </conditionalFormatting>
  <conditionalFormatting sqref="AA43">
    <cfRule type="expression" dxfId="4360" priority="999">
      <formula>AND(AND($W43&lt;TODAY(),$W43&lt;&gt;""),$X43="")</formula>
    </cfRule>
  </conditionalFormatting>
  <conditionalFormatting sqref="AG43">
    <cfRule type="dataBar" priority="998">
      <dataBar>
        <cfvo type="min"/>
        <cfvo type="max"/>
        <color rgb="FF63C384"/>
      </dataBar>
      <extLst>
        <ext xmlns:x14="http://schemas.microsoft.com/office/spreadsheetml/2009/9/main" uri="{B025F937-C7B1-47D3-B67F-A62EFF666E3E}">
          <x14:id>{12821CF0-C6EA-4062-ACC3-94DCB7294B57}</x14:id>
        </ext>
      </extLst>
    </cfRule>
  </conditionalFormatting>
  <conditionalFormatting sqref="AG43">
    <cfRule type="dataBar" priority="997">
      <dataBar>
        <cfvo type="min"/>
        <cfvo type="max"/>
        <color rgb="FF63C384"/>
      </dataBar>
      <extLst>
        <ext xmlns:x14="http://schemas.microsoft.com/office/spreadsheetml/2009/9/main" uri="{B025F937-C7B1-47D3-B67F-A62EFF666E3E}">
          <x14:id>{19FB970B-2262-480F-B269-50AD038EB8FA}</x14:id>
        </ext>
      </extLst>
    </cfRule>
  </conditionalFormatting>
  <conditionalFormatting sqref="AA43">
    <cfRule type="expression" dxfId="4359" priority="996">
      <formula>AND(AND($W43&lt;TODAY(),$W43&lt;&gt;""),$X43="")</formula>
    </cfRule>
  </conditionalFormatting>
  <conditionalFormatting sqref="Q43">
    <cfRule type="cellIs" dxfId="4358" priority="995" operator="equal">
      <formula>"ja"</formula>
    </cfRule>
  </conditionalFormatting>
  <conditionalFormatting sqref="AG43">
    <cfRule type="dataBar" priority="994">
      <dataBar>
        <cfvo type="min"/>
        <cfvo type="max"/>
        <color rgb="FF63C384"/>
      </dataBar>
      <extLst>
        <ext xmlns:x14="http://schemas.microsoft.com/office/spreadsheetml/2009/9/main" uri="{B025F937-C7B1-47D3-B67F-A62EFF666E3E}">
          <x14:id>{EA43918F-DAC7-467F-86B1-AC65DDFF5876}</x14:id>
        </ext>
      </extLst>
    </cfRule>
  </conditionalFormatting>
  <conditionalFormatting sqref="AG43">
    <cfRule type="dataBar" priority="993">
      <dataBar>
        <cfvo type="min"/>
        <cfvo type="max"/>
        <color rgb="FF63C384"/>
      </dataBar>
      <extLst>
        <ext xmlns:x14="http://schemas.microsoft.com/office/spreadsheetml/2009/9/main" uri="{B025F937-C7B1-47D3-B67F-A62EFF666E3E}">
          <x14:id>{744141C2-8BBF-4606-96C4-E8EAF84A3446}</x14:id>
        </ext>
      </extLst>
    </cfRule>
  </conditionalFormatting>
  <conditionalFormatting sqref="Q45">
    <cfRule type="cellIs" dxfId="4357" priority="992" operator="equal">
      <formula>"ja"</formula>
    </cfRule>
  </conditionalFormatting>
  <conditionalFormatting sqref="AA45">
    <cfRule type="expression" dxfId="4356" priority="991">
      <formula>AND(AND($W45&lt;TODAY(),$W45&lt;&gt;""),$X45="")</formula>
    </cfRule>
  </conditionalFormatting>
  <conditionalFormatting sqref="AG45">
    <cfRule type="dataBar" priority="990">
      <dataBar>
        <cfvo type="min"/>
        <cfvo type="max"/>
        <color rgb="FF63C384"/>
      </dataBar>
      <extLst>
        <ext xmlns:x14="http://schemas.microsoft.com/office/spreadsheetml/2009/9/main" uri="{B025F937-C7B1-47D3-B67F-A62EFF666E3E}">
          <x14:id>{FEABF9CE-E8B8-4ACA-B63D-0F6F2F792B37}</x14:id>
        </ext>
      </extLst>
    </cfRule>
  </conditionalFormatting>
  <conditionalFormatting sqref="AG45">
    <cfRule type="dataBar" priority="989">
      <dataBar>
        <cfvo type="min"/>
        <cfvo type="max"/>
        <color rgb="FF63C384"/>
      </dataBar>
      <extLst>
        <ext xmlns:x14="http://schemas.microsoft.com/office/spreadsheetml/2009/9/main" uri="{B025F937-C7B1-47D3-B67F-A62EFF666E3E}">
          <x14:id>{A2EE2FA6-94EB-410D-92D2-8D78580C2898}</x14:id>
        </ext>
      </extLst>
    </cfRule>
  </conditionalFormatting>
  <conditionalFormatting sqref="Q46">
    <cfRule type="cellIs" dxfId="4355" priority="988" operator="equal">
      <formula>"ja"</formula>
    </cfRule>
  </conditionalFormatting>
  <conditionalFormatting sqref="AA46">
    <cfRule type="expression" dxfId="4354" priority="987">
      <formula>AND(AND($W46&lt;TODAY(),$W46&lt;&gt;""),$X46="")</formula>
    </cfRule>
  </conditionalFormatting>
  <conditionalFormatting sqref="AG46">
    <cfRule type="dataBar" priority="986">
      <dataBar>
        <cfvo type="min"/>
        <cfvo type="max"/>
        <color rgb="FF63C384"/>
      </dataBar>
      <extLst>
        <ext xmlns:x14="http://schemas.microsoft.com/office/spreadsheetml/2009/9/main" uri="{B025F937-C7B1-47D3-B67F-A62EFF666E3E}">
          <x14:id>{FA8FF892-67C8-495D-B202-7EA7BA1A3A9C}</x14:id>
        </ext>
      </extLst>
    </cfRule>
  </conditionalFormatting>
  <conditionalFormatting sqref="AG46">
    <cfRule type="dataBar" priority="985">
      <dataBar>
        <cfvo type="min"/>
        <cfvo type="max"/>
        <color rgb="FF63C384"/>
      </dataBar>
      <extLst>
        <ext xmlns:x14="http://schemas.microsoft.com/office/spreadsheetml/2009/9/main" uri="{B025F937-C7B1-47D3-B67F-A62EFF666E3E}">
          <x14:id>{C4F3BD44-98F6-463B-A79C-4E49F33757B9}</x14:id>
        </ext>
      </extLst>
    </cfRule>
  </conditionalFormatting>
  <conditionalFormatting sqref="Q46">
    <cfRule type="cellIs" dxfId="4353" priority="984" operator="equal">
      <formula>"ja"</formula>
    </cfRule>
  </conditionalFormatting>
  <conditionalFormatting sqref="AA46">
    <cfRule type="expression" dxfId="4352" priority="983">
      <formula>AND(AND($W46&lt;TODAY(),$W46&lt;&gt;""),$X46="")</formula>
    </cfRule>
  </conditionalFormatting>
  <conditionalFormatting sqref="AG46">
    <cfRule type="dataBar" priority="982">
      <dataBar>
        <cfvo type="min"/>
        <cfvo type="max"/>
        <color rgb="FF63C384"/>
      </dataBar>
      <extLst>
        <ext xmlns:x14="http://schemas.microsoft.com/office/spreadsheetml/2009/9/main" uri="{B025F937-C7B1-47D3-B67F-A62EFF666E3E}">
          <x14:id>{55C554B0-C334-48A6-B7CD-47C6609B464B}</x14:id>
        </ext>
      </extLst>
    </cfRule>
  </conditionalFormatting>
  <conditionalFormatting sqref="AG46">
    <cfRule type="dataBar" priority="981">
      <dataBar>
        <cfvo type="min"/>
        <cfvo type="max"/>
        <color rgb="FF63C384"/>
      </dataBar>
      <extLst>
        <ext xmlns:x14="http://schemas.microsoft.com/office/spreadsheetml/2009/9/main" uri="{B025F937-C7B1-47D3-B67F-A62EFF666E3E}">
          <x14:id>{07CC7611-3EF7-4AF3-8C77-DFFCBCA7A82A}</x14:id>
        </ext>
      </extLst>
    </cfRule>
  </conditionalFormatting>
  <conditionalFormatting sqref="AA45">
    <cfRule type="expression" dxfId="4351" priority="980">
      <formula>AND(AND($W45&lt;TODAY(),$W45&lt;&gt;""),$X45="")</formula>
    </cfRule>
  </conditionalFormatting>
  <conditionalFormatting sqref="Q45">
    <cfRule type="cellIs" dxfId="4350" priority="979" operator="equal">
      <formula>"ja"</formula>
    </cfRule>
  </conditionalFormatting>
  <conditionalFormatting sqref="AG45">
    <cfRule type="dataBar" priority="978">
      <dataBar>
        <cfvo type="min"/>
        <cfvo type="max"/>
        <color rgb="FF63C384"/>
      </dataBar>
      <extLst>
        <ext xmlns:x14="http://schemas.microsoft.com/office/spreadsheetml/2009/9/main" uri="{B025F937-C7B1-47D3-B67F-A62EFF666E3E}">
          <x14:id>{E5AE2B8C-F5E1-4292-B1A0-D18C298FEC69}</x14:id>
        </ext>
      </extLst>
    </cfRule>
  </conditionalFormatting>
  <conditionalFormatting sqref="AG45">
    <cfRule type="dataBar" priority="977">
      <dataBar>
        <cfvo type="min"/>
        <cfvo type="max"/>
        <color rgb="FF63C384"/>
      </dataBar>
      <extLst>
        <ext xmlns:x14="http://schemas.microsoft.com/office/spreadsheetml/2009/9/main" uri="{B025F937-C7B1-47D3-B67F-A62EFF666E3E}">
          <x14:id>{96DC0D28-0473-4056-A194-4BE762431291}</x14:id>
        </ext>
      </extLst>
    </cfRule>
  </conditionalFormatting>
  <conditionalFormatting sqref="Q46">
    <cfRule type="cellIs" dxfId="4349" priority="976" operator="equal">
      <formula>"ja"</formula>
    </cfRule>
  </conditionalFormatting>
  <conditionalFormatting sqref="AA46">
    <cfRule type="expression" dxfId="4348" priority="975">
      <formula>AND(AND($W46&lt;TODAY(),$W46&lt;&gt;""),$X46="")</formula>
    </cfRule>
  </conditionalFormatting>
  <conditionalFormatting sqref="AG46">
    <cfRule type="dataBar" priority="974">
      <dataBar>
        <cfvo type="min"/>
        <cfvo type="max"/>
        <color rgb="FF63C384"/>
      </dataBar>
      <extLst>
        <ext xmlns:x14="http://schemas.microsoft.com/office/spreadsheetml/2009/9/main" uri="{B025F937-C7B1-47D3-B67F-A62EFF666E3E}">
          <x14:id>{4EE83411-CEEC-4FFA-A280-57245C592FC1}</x14:id>
        </ext>
      </extLst>
    </cfRule>
  </conditionalFormatting>
  <conditionalFormatting sqref="AG46">
    <cfRule type="dataBar" priority="973">
      <dataBar>
        <cfvo type="min"/>
        <cfvo type="max"/>
        <color rgb="FF63C384"/>
      </dataBar>
      <extLst>
        <ext xmlns:x14="http://schemas.microsoft.com/office/spreadsheetml/2009/9/main" uri="{B025F937-C7B1-47D3-B67F-A62EFF666E3E}">
          <x14:id>{A0E6BEF4-86EC-49C4-AB16-5952694E79AC}</x14:id>
        </ext>
      </extLst>
    </cfRule>
  </conditionalFormatting>
  <conditionalFormatting sqref="Q47">
    <cfRule type="cellIs" dxfId="4347" priority="972" operator="equal">
      <formula>"ja"</formula>
    </cfRule>
  </conditionalFormatting>
  <conditionalFormatting sqref="AA47">
    <cfRule type="expression" dxfId="4346" priority="971">
      <formula>AND(AND($W47&lt;TODAY(),$W47&lt;&gt;""),$X47="")</formula>
    </cfRule>
  </conditionalFormatting>
  <conditionalFormatting sqref="AG47">
    <cfRule type="dataBar" priority="970">
      <dataBar>
        <cfvo type="min"/>
        <cfvo type="max"/>
        <color rgb="FF63C384"/>
      </dataBar>
      <extLst>
        <ext xmlns:x14="http://schemas.microsoft.com/office/spreadsheetml/2009/9/main" uri="{B025F937-C7B1-47D3-B67F-A62EFF666E3E}">
          <x14:id>{18961199-983A-4904-9F6E-53EE6B97FA17}</x14:id>
        </ext>
      </extLst>
    </cfRule>
  </conditionalFormatting>
  <conditionalFormatting sqref="AG47">
    <cfRule type="dataBar" priority="969">
      <dataBar>
        <cfvo type="min"/>
        <cfvo type="max"/>
        <color rgb="FF63C384"/>
      </dataBar>
      <extLst>
        <ext xmlns:x14="http://schemas.microsoft.com/office/spreadsheetml/2009/9/main" uri="{B025F937-C7B1-47D3-B67F-A62EFF666E3E}">
          <x14:id>{FF93CC60-9E8F-4ECA-858C-6097E6178216}</x14:id>
        </ext>
      </extLst>
    </cfRule>
  </conditionalFormatting>
  <conditionalFormatting sqref="Q47">
    <cfRule type="cellIs" dxfId="4345" priority="968" operator="equal">
      <formula>"ja"</formula>
    </cfRule>
  </conditionalFormatting>
  <conditionalFormatting sqref="AA47">
    <cfRule type="expression" dxfId="4344" priority="967">
      <formula>AND(AND($W47&lt;TODAY(),$W47&lt;&gt;""),$X47="")</formula>
    </cfRule>
  </conditionalFormatting>
  <conditionalFormatting sqref="AG47">
    <cfRule type="dataBar" priority="966">
      <dataBar>
        <cfvo type="min"/>
        <cfvo type="max"/>
        <color rgb="FF63C384"/>
      </dataBar>
      <extLst>
        <ext xmlns:x14="http://schemas.microsoft.com/office/spreadsheetml/2009/9/main" uri="{B025F937-C7B1-47D3-B67F-A62EFF666E3E}">
          <x14:id>{B95CC75A-6A4A-4BA5-90A3-C1F1602F4B80}</x14:id>
        </ext>
      </extLst>
    </cfRule>
  </conditionalFormatting>
  <conditionalFormatting sqref="AG47">
    <cfRule type="dataBar" priority="965">
      <dataBar>
        <cfvo type="min"/>
        <cfvo type="max"/>
        <color rgb="FF63C384"/>
      </dataBar>
      <extLst>
        <ext xmlns:x14="http://schemas.microsoft.com/office/spreadsheetml/2009/9/main" uri="{B025F937-C7B1-47D3-B67F-A62EFF666E3E}">
          <x14:id>{3C55300C-E781-41BF-821B-984379EA830D}</x14:id>
        </ext>
      </extLst>
    </cfRule>
  </conditionalFormatting>
  <conditionalFormatting sqref="Q44">
    <cfRule type="cellIs" dxfId="4343" priority="964" operator="equal">
      <formula>"ja"</formula>
    </cfRule>
  </conditionalFormatting>
  <conditionalFormatting sqref="AA44">
    <cfRule type="expression" dxfId="4342" priority="963">
      <formula>AND(AND($W44&lt;TODAY(),$W44&lt;&gt;""),$X44="")</formula>
    </cfRule>
  </conditionalFormatting>
  <conditionalFormatting sqref="AG44">
    <cfRule type="dataBar" priority="962">
      <dataBar>
        <cfvo type="min"/>
        <cfvo type="max"/>
        <color rgb="FF63C384"/>
      </dataBar>
      <extLst>
        <ext xmlns:x14="http://schemas.microsoft.com/office/spreadsheetml/2009/9/main" uri="{B025F937-C7B1-47D3-B67F-A62EFF666E3E}">
          <x14:id>{75EA56FA-4B87-45D2-9A1C-ADEBC02BDDED}</x14:id>
        </ext>
      </extLst>
    </cfRule>
  </conditionalFormatting>
  <conditionalFormatting sqref="AG44">
    <cfRule type="dataBar" priority="961">
      <dataBar>
        <cfvo type="min"/>
        <cfvo type="max"/>
        <color rgb="FF63C384"/>
      </dataBar>
      <extLst>
        <ext xmlns:x14="http://schemas.microsoft.com/office/spreadsheetml/2009/9/main" uri="{B025F937-C7B1-47D3-B67F-A62EFF666E3E}">
          <x14:id>{8C7733CF-185E-4484-A9C5-2199DE0610E1}</x14:id>
        </ext>
      </extLst>
    </cfRule>
  </conditionalFormatting>
  <conditionalFormatting sqref="Q48">
    <cfRule type="cellIs" dxfId="4341" priority="960" operator="equal">
      <formula>"ja"</formula>
    </cfRule>
  </conditionalFormatting>
  <conditionalFormatting sqref="AA48">
    <cfRule type="expression" dxfId="4340" priority="959">
      <formula>AND(AND($W48&lt;TODAY(),$W48&lt;&gt;""),$X48="")</formula>
    </cfRule>
  </conditionalFormatting>
  <conditionalFormatting sqref="AG48">
    <cfRule type="dataBar" priority="958">
      <dataBar>
        <cfvo type="min"/>
        <cfvo type="max"/>
        <color rgb="FF63C384"/>
      </dataBar>
      <extLst>
        <ext xmlns:x14="http://schemas.microsoft.com/office/spreadsheetml/2009/9/main" uri="{B025F937-C7B1-47D3-B67F-A62EFF666E3E}">
          <x14:id>{3C93A3F8-CD4A-4C97-B90D-C5F7B71FB89C}</x14:id>
        </ext>
      </extLst>
    </cfRule>
  </conditionalFormatting>
  <conditionalFormatting sqref="AG48">
    <cfRule type="dataBar" priority="957">
      <dataBar>
        <cfvo type="min"/>
        <cfvo type="max"/>
        <color rgb="FF63C384"/>
      </dataBar>
      <extLst>
        <ext xmlns:x14="http://schemas.microsoft.com/office/spreadsheetml/2009/9/main" uri="{B025F937-C7B1-47D3-B67F-A62EFF666E3E}">
          <x14:id>{E158AC3C-EEF1-43A2-A4BC-CCDFD285419B}</x14:id>
        </ext>
      </extLst>
    </cfRule>
  </conditionalFormatting>
  <conditionalFormatting sqref="AA48">
    <cfRule type="expression" dxfId="4339" priority="956">
      <formula>AND(AND($W48&lt;TODAY(),$W48&lt;&gt;""),$X48="")</formula>
    </cfRule>
  </conditionalFormatting>
  <conditionalFormatting sqref="AG48">
    <cfRule type="dataBar" priority="955">
      <dataBar>
        <cfvo type="min"/>
        <cfvo type="max"/>
        <color rgb="FF63C384"/>
      </dataBar>
      <extLst>
        <ext xmlns:x14="http://schemas.microsoft.com/office/spreadsheetml/2009/9/main" uri="{B025F937-C7B1-47D3-B67F-A62EFF666E3E}">
          <x14:id>{43C247CB-D19B-4A9F-B7E9-7F6A9CAC9366}</x14:id>
        </ext>
      </extLst>
    </cfRule>
  </conditionalFormatting>
  <conditionalFormatting sqref="AG48">
    <cfRule type="dataBar" priority="954">
      <dataBar>
        <cfvo type="min"/>
        <cfvo type="max"/>
        <color rgb="FF63C384"/>
      </dataBar>
      <extLst>
        <ext xmlns:x14="http://schemas.microsoft.com/office/spreadsheetml/2009/9/main" uri="{B025F937-C7B1-47D3-B67F-A62EFF666E3E}">
          <x14:id>{6C18D26A-138D-4F8E-80F5-15FC87F1BDCF}</x14:id>
        </ext>
      </extLst>
    </cfRule>
  </conditionalFormatting>
  <conditionalFormatting sqref="Q48">
    <cfRule type="cellIs" dxfId="4338" priority="953" operator="equal">
      <formula>"ja"</formula>
    </cfRule>
  </conditionalFormatting>
  <conditionalFormatting sqref="AA49">
    <cfRule type="expression" dxfId="4337" priority="952">
      <formula>AND(AND($W49&lt;TODAY(),$W49&lt;&gt;""),$X49="")</formula>
    </cfRule>
  </conditionalFormatting>
  <conditionalFormatting sqref="Q49">
    <cfRule type="cellIs" dxfId="4336" priority="951" operator="equal">
      <formula>"ja"</formula>
    </cfRule>
  </conditionalFormatting>
  <conditionalFormatting sqref="AG49">
    <cfRule type="dataBar" priority="950">
      <dataBar>
        <cfvo type="min"/>
        <cfvo type="max"/>
        <color rgb="FF63C384"/>
      </dataBar>
      <extLst>
        <ext xmlns:x14="http://schemas.microsoft.com/office/spreadsheetml/2009/9/main" uri="{B025F937-C7B1-47D3-B67F-A62EFF666E3E}">
          <x14:id>{6C4D2D80-CD07-4845-A1EB-933770481BFB}</x14:id>
        </ext>
      </extLst>
    </cfRule>
  </conditionalFormatting>
  <conditionalFormatting sqref="AG49">
    <cfRule type="dataBar" priority="949">
      <dataBar>
        <cfvo type="min"/>
        <cfvo type="max"/>
        <color rgb="FF63C384"/>
      </dataBar>
      <extLst>
        <ext xmlns:x14="http://schemas.microsoft.com/office/spreadsheetml/2009/9/main" uri="{B025F937-C7B1-47D3-B67F-A62EFF666E3E}">
          <x14:id>{C6E6315C-BF26-454D-97A1-A4F3E61CE388}</x14:id>
        </ext>
      </extLst>
    </cfRule>
  </conditionalFormatting>
  <conditionalFormatting sqref="Q50">
    <cfRule type="cellIs" dxfId="4335" priority="948" operator="equal">
      <formula>"ja"</formula>
    </cfRule>
  </conditionalFormatting>
  <conditionalFormatting sqref="AA50">
    <cfRule type="expression" dxfId="4334" priority="947">
      <formula>AND(AND($W50&lt;TODAY(),$W50&lt;&gt;""),$X50="")</formula>
    </cfRule>
  </conditionalFormatting>
  <conditionalFormatting sqref="AG50">
    <cfRule type="dataBar" priority="946">
      <dataBar>
        <cfvo type="min"/>
        <cfvo type="max"/>
        <color rgb="FF63C384"/>
      </dataBar>
      <extLst>
        <ext xmlns:x14="http://schemas.microsoft.com/office/spreadsheetml/2009/9/main" uri="{B025F937-C7B1-47D3-B67F-A62EFF666E3E}">
          <x14:id>{DBBD05AE-A0AB-443B-9C89-BDBDF5B1D8A9}</x14:id>
        </ext>
      </extLst>
    </cfRule>
  </conditionalFormatting>
  <conditionalFormatting sqref="AG50">
    <cfRule type="dataBar" priority="945">
      <dataBar>
        <cfvo type="min"/>
        <cfvo type="max"/>
        <color rgb="FF63C384"/>
      </dataBar>
      <extLst>
        <ext xmlns:x14="http://schemas.microsoft.com/office/spreadsheetml/2009/9/main" uri="{B025F937-C7B1-47D3-B67F-A62EFF666E3E}">
          <x14:id>{C2F5635C-8CC6-4C40-8EC7-198E2D22AACD}</x14:id>
        </ext>
      </extLst>
    </cfRule>
  </conditionalFormatting>
  <conditionalFormatting sqref="Q51">
    <cfRule type="cellIs" dxfId="4333" priority="944" operator="equal">
      <formula>"ja"</formula>
    </cfRule>
  </conditionalFormatting>
  <conditionalFormatting sqref="AA51">
    <cfRule type="expression" dxfId="4332" priority="943">
      <formula>AND(AND($W51&lt;TODAY(),$W51&lt;&gt;""),$X51="")</formula>
    </cfRule>
  </conditionalFormatting>
  <conditionalFormatting sqref="AG51">
    <cfRule type="dataBar" priority="942">
      <dataBar>
        <cfvo type="min"/>
        <cfvo type="max"/>
        <color rgb="FF63C384"/>
      </dataBar>
      <extLst>
        <ext xmlns:x14="http://schemas.microsoft.com/office/spreadsheetml/2009/9/main" uri="{B025F937-C7B1-47D3-B67F-A62EFF666E3E}">
          <x14:id>{65BDA6CF-D34C-4DD5-AA4E-101FBEABA8BF}</x14:id>
        </ext>
      </extLst>
    </cfRule>
  </conditionalFormatting>
  <conditionalFormatting sqref="AG51">
    <cfRule type="dataBar" priority="941">
      <dataBar>
        <cfvo type="min"/>
        <cfvo type="max"/>
        <color rgb="FF63C384"/>
      </dataBar>
      <extLst>
        <ext xmlns:x14="http://schemas.microsoft.com/office/spreadsheetml/2009/9/main" uri="{B025F937-C7B1-47D3-B67F-A62EFF666E3E}">
          <x14:id>{FF7D6BBF-FDE3-4FC5-9298-2B7DE7FE619C}</x14:id>
        </ext>
      </extLst>
    </cfRule>
  </conditionalFormatting>
  <conditionalFormatting sqref="Q52">
    <cfRule type="cellIs" dxfId="4331" priority="940" operator="equal">
      <formula>"ja"</formula>
    </cfRule>
  </conditionalFormatting>
  <conditionalFormatting sqref="AA52">
    <cfRule type="expression" dxfId="4330" priority="939">
      <formula>AND(AND($W52&lt;TODAY(),$W52&lt;&gt;""),$X52="")</formula>
    </cfRule>
  </conditionalFormatting>
  <conditionalFormatting sqref="AG52">
    <cfRule type="dataBar" priority="938">
      <dataBar>
        <cfvo type="min"/>
        <cfvo type="max"/>
        <color rgb="FF63C384"/>
      </dataBar>
      <extLst>
        <ext xmlns:x14="http://schemas.microsoft.com/office/spreadsheetml/2009/9/main" uri="{B025F937-C7B1-47D3-B67F-A62EFF666E3E}">
          <x14:id>{72B4C07A-420B-4607-A13B-774FB043B74A}</x14:id>
        </ext>
      </extLst>
    </cfRule>
  </conditionalFormatting>
  <conditionalFormatting sqref="AG52">
    <cfRule type="dataBar" priority="937">
      <dataBar>
        <cfvo type="min"/>
        <cfvo type="max"/>
        <color rgb="FF63C384"/>
      </dataBar>
      <extLst>
        <ext xmlns:x14="http://schemas.microsoft.com/office/spreadsheetml/2009/9/main" uri="{B025F937-C7B1-47D3-B67F-A62EFF666E3E}">
          <x14:id>{8F0D3B80-F4BA-46B7-8B93-603E398114A1}</x14:id>
        </ext>
      </extLst>
    </cfRule>
  </conditionalFormatting>
  <conditionalFormatting sqref="Q52">
    <cfRule type="cellIs" dxfId="4329" priority="936" operator="equal">
      <formula>"ja"</formula>
    </cfRule>
  </conditionalFormatting>
  <conditionalFormatting sqref="AA52">
    <cfRule type="expression" dxfId="4328" priority="935">
      <formula>AND(AND($W52&lt;TODAY(),$W52&lt;&gt;""),$X52="")</formula>
    </cfRule>
  </conditionalFormatting>
  <conditionalFormatting sqref="AG52">
    <cfRule type="dataBar" priority="934">
      <dataBar>
        <cfvo type="min"/>
        <cfvo type="max"/>
        <color rgb="FF63C384"/>
      </dataBar>
      <extLst>
        <ext xmlns:x14="http://schemas.microsoft.com/office/spreadsheetml/2009/9/main" uri="{B025F937-C7B1-47D3-B67F-A62EFF666E3E}">
          <x14:id>{B057AEB4-2367-4071-BFA1-A7BB9664A041}</x14:id>
        </ext>
      </extLst>
    </cfRule>
  </conditionalFormatting>
  <conditionalFormatting sqref="AG52">
    <cfRule type="dataBar" priority="933">
      <dataBar>
        <cfvo type="min"/>
        <cfvo type="max"/>
        <color rgb="FF63C384"/>
      </dataBar>
      <extLst>
        <ext xmlns:x14="http://schemas.microsoft.com/office/spreadsheetml/2009/9/main" uri="{B025F937-C7B1-47D3-B67F-A62EFF666E3E}">
          <x14:id>{B7C1BBE7-D036-4D6E-84D6-C426CEF84894}</x14:id>
        </ext>
      </extLst>
    </cfRule>
  </conditionalFormatting>
  <conditionalFormatting sqref="AA53">
    <cfRule type="expression" dxfId="4327" priority="932">
      <formula>AND(AND($W53&lt;TODAY(),$W53&lt;&gt;""),$X53="")</formula>
    </cfRule>
  </conditionalFormatting>
  <conditionalFormatting sqref="AG53">
    <cfRule type="dataBar" priority="931">
      <dataBar>
        <cfvo type="min"/>
        <cfvo type="max"/>
        <color rgb="FF63C384"/>
      </dataBar>
      <extLst>
        <ext xmlns:x14="http://schemas.microsoft.com/office/spreadsheetml/2009/9/main" uri="{B025F937-C7B1-47D3-B67F-A62EFF666E3E}">
          <x14:id>{98554802-5EBA-4331-B092-38A26DE1ADE7}</x14:id>
        </ext>
      </extLst>
    </cfRule>
  </conditionalFormatting>
  <conditionalFormatting sqref="AG53">
    <cfRule type="dataBar" priority="930">
      <dataBar>
        <cfvo type="min"/>
        <cfvo type="max"/>
        <color rgb="FF63C384"/>
      </dataBar>
      <extLst>
        <ext xmlns:x14="http://schemas.microsoft.com/office/spreadsheetml/2009/9/main" uri="{B025F937-C7B1-47D3-B67F-A62EFF666E3E}">
          <x14:id>{0B73345E-00E0-4FCF-A661-877A547A78C1}</x14:id>
        </ext>
      </extLst>
    </cfRule>
  </conditionalFormatting>
  <conditionalFormatting sqref="Q53">
    <cfRule type="cellIs" dxfId="4326" priority="929" operator="equal">
      <formula>"ja"</formula>
    </cfRule>
  </conditionalFormatting>
  <conditionalFormatting sqref="Q54">
    <cfRule type="cellIs" dxfId="4325" priority="928" operator="equal">
      <formula>"ja"</formula>
    </cfRule>
  </conditionalFormatting>
  <conditionalFormatting sqref="AA54">
    <cfRule type="expression" dxfId="4324" priority="927">
      <formula>AND(AND($W54&lt;TODAY(),$W54&lt;&gt;""),$X54="")</formula>
    </cfRule>
  </conditionalFormatting>
  <conditionalFormatting sqref="AG54">
    <cfRule type="dataBar" priority="926">
      <dataBar>
        <cfvo type="min"/>
        <cfvo type="max"/>
        <color rgb="FF63C384"/>
      </dataBar>
      <extLst>
        <ext xmlns:x14="http://schemas.microsoft.com/office/spreadsheetml/2009/9/main" uri="{B025F937-C7B1-47D3-B67F-A62EFF666E3E}">
          <x14:id>{285E5BC2-5FBB-4F31-9BA3-5C36B80B44C7}</x14:id>
        </ext>
      </extLst>
    </cfRule>
  </conditionalFormatting>
  <conditionalFormatting sqref="AG54">
    <cfRule type="dataBar" priority="925">
      <dataBar>
        <cfvo type="min"/>
        <cfvo type="max"/>
        <color rgb="FF63C384"/>
      </dataBar>
      <extLst>
        <ext xmlns:x14="http://schemas.microsoft.com/office/spreadsheetml/2009/9/main" uri="{B025F937-C7B1-47D3-B67F-A62EFF666E3E}">
          <x14:id>{0DFC0C1A-2533-471E-874D-97FA1E795FA7}</x14:id>
        </ext>
      </extLst>
    </cfRule>
  </conditionalFormatting>
  <conditionalFormatting sqref="AA54">
    <cfRule type="expression" dxfId="4323" priority="924">
      <formula>AND(AND($W54&lt;TODAY(),$W54&lt;&gt;""),$X54="")</formula>
    </cfRule>
  </conditionalFormatting>
  <conditionalFormatting sqref="Q54">
    <cfRule type="cellIs" dxfId="4322" priority="923" operator="equal">
      <formula>"ja"</formula>
    </cfRule>
  </conditionalFormatting>
  <conditionalFormatting sqref="AG54">
    <cfRule type="dataBar" priority="922">
      <dataBar>
        <cfvo type="min"/>
        <cfvo type="max"/>
        <color rgb="FF63C384"/>
      </dataBar>
      <extLst>
        <ext xmlns:x14="http://schemas.microsoft.com/office/spreadsheetml/2009/9/main" uri="{B025F937-C7B1-47D3-B67F-A62EFF666E3E}">
          <x14:id>{D15A6416-F1C3-4B50-A5ED-57D739308341}</x14:id>
        </ext>
      </extLst>
    </cfRule>
  </conditionalFormatting>
  <conditionalFormatting sqref="AG54">
    <cfRule type="dataBar" priority="921">
      <dataBar>
        <cfvo type="min"/>
        <cfvo type="max"/>
        <color rgb="FF63C384"/>
      </dataBar>
      <extLst>
        <ext xmlns:x14="http://schemas.microsoft.com/office/spreadsheetml/2009/9/main" uri="{B025F937-C7B1-47D3-B67F-A62EFF666E3E}">
          <x14:id>{CBFC7BFB-9104-4E82-86A8-5A950E1095C3}</x14:id>
        </ext>
      </extLst>
    </cfRule>
  </conditionalFormatting>
  <conditionalFormatting sqref="Q55">
    <cfRule type="cellIs" dxfId="4321" priority="920" operator="equal">
      <formula>"ja"</formula>
    </cfRule>
  </conditionalFormatting>
  <conditionalFormatting sqref="AA55">
    <cfRule type="expression" dxfId="4320" priority="919">
      <formula>AND(AND($W55&lt;TODAY(),$W55&lt;&gt;""),$X55="")</formula>
    </cfRule>
  </conditionalFormatting>
  <conditionalFormatting sqref="AG55">
    <cfRule type="dataBar" priority="918">
      <dataBar>
        <cfvo type="min"/>
        <cfvo type="max"/>
        <color rgb="FF63C384"/>
      </dataBar>
      <extLst>
        <ext xmlns:x14="http://schemas.microsoft.com/office/spreadsheetml/2009/9/main" uri="{B025F937-C7B1-47D3-B67F-A62EFF666E3E}">
          <x14:id>{BD4DB6BC-1283-4473-ADC2-ACDE562DC074}</x14:id>
        </ext>
      </extLst>
    </cfRule>
  </conditionalFormatting>
  <conditionalFormatting sqref="AG55">
    <cfRule type="dataBar" priority="917">
      <dataBar>
        <cfvo type="min"/>
        <cfvo type="max"/>
        <color rgb="FF63C384"/>
      </dataBar>
      <extLst>
        <ext xmlns:x14="http://schemas.microsoft.com/office/spreadsheetml/2009/9/main" uri="{B025F937-C7B1-47D3-B67F-A62EFF666E3E}">
          <x14:id>{5E9D9F0B-FB71-4B2D-BFB1-F53FDAA47719}</x14:id>
        </ext>
      </extLst>
    </cfRule>
  </conditionalFormatting>
  <conditionalFormatting sqref="Q56">
    <cfRule type="cellIs" dxfId="4319" priority="916" operator="equal">
      <formula>"ja"</formula>
    </cfRule>
  </conditionalFormatting>
  <conditionalFormatting sqref="AA56">
    <cfRule type="expression" dxfId="4318" priority="915">
      <formula>AND(AND($W56&lt;TODAY(),$W56&lt;&gt;""),$X56="")</formula>
    </cfRule>
  </conditionalFormatting>
  <conditionalFormatting sqref="AG56">
    <cfRule type="dataBar" priority="914">
      <dataBar>
        <cfvo type="min"/>
        <cfvo type="max"/>
        <color rgb="FF63C384"/>
      </dataBar>
      <extLst>
        <ext xmlns:x14="http://schemas.microsoft.com/office/spreadsheetml/2009/9/main" uri="{B025F937-C7B1-47D3-B67F-A62EFF666E3E}">
          <x14:id>{8D2905FE-3D4A-42DB-84D2-131C112AFD54}</x14:id>
        </ext>
      </extLst>
    </cfRule>
  </conditionalFormatting>
  <conditionalFormatting sqref="AG56">
    <cfRule type="dataBar" priority="913">
      <dataBar>
        <cfvo type="min"/>
        <cfvo type="max"/>
        <color rgb="FF63C384"/>
      </dataBar>
      <extLst>
        <ext xmlns:x14="http://schemas.microsoft.com/office/spreadsheetml/2009/9/main" uri="{B025F937-C7B1-47D3-B67F-A62EFF666E3E}">
          <x14:id>{19E38CCA-E552-4C48-BC0F-C34A91E95D80}</x14:id>
        </ext>
      </extLst>
    </cfRule>
  </conditionalFormatting>
  <conditionalFormatting sqref="AA57">
    <cfRule type="expression" dxfId="4317" priority="912">
      <formula>AND(AND($W57&lt;TODAY(),$W57&lt;&gt;""),$X57="")</formula>
    </cfRule>
  </conditionalFormatting>
  <conditionalFormatting sqref="Q57">
    <cfRule type="cellIs" dxfId="4316" priority="911" operator="equal">
      <formula>"ja"</formula>
    </cfRule>
  </conditionalFormatting>
  <conditionalFormatting sqref="AG57">
    <cfRule type="dataBar" priority="910">
      <dataBar>
        <cfvo type="min"/>
        <cfvo type="max"/>
        <color rgb="FF63C384"/>
      </dataBar>
      <extLst>
        <ext xmlns:x14="http://schemas.microsoft.com/office/spreadsheetml/2009/9/main" uri="{B025F937-C7B1-47D3-B67F-A62EFF666E3E}">
          <x14:id>{90C11B2F-4736-48C3-95A9-ED2AFB77D041}</x14:id>
        </ext>
      </extLst>
    </cfRule>
  </conditionalFormatting>
  <conditionalFormatting sqref="AG57">
    <cfRule type="dataBar" priority="909">
      <dataBar>
        <cfvo type="min"/>
        <cfvo type="max"/>
        <color rgb="FF63C384"/>
      </dataBar>
      <extLst>
        <ext xmlns:x14="http://schemas.microsoft.com/office/spreadsheetml/2009/9/main" uri="{B025F937-C7B1-47D3-B67F-A62EFF666E3E}">
          <x14:id>{5582A8ED-3F5F-4F41-8E19-50ACA2A0438F}</x14:id>
        </ext>
      </extLst>
    </cfRule>
  </conditionalFormatting>
  <conditionalFormatting sqref="Q57">
    <cfRule type="cellIs" dxfId="4315" priority="908" operator="equal">
      <formula>"ja"</formula>
    </cfRule>
  </conditionalFormatting>
  <conditionalFormatting sqref="AA57">
    <cfRule type="expression" dxfId="4314" priority="907">
      <formula>AND(AND($W57&lt;TODAY(),$W57&lt;&gt;""),$X57="")</formula>
    </cfRule>
  </conditionalFormatting>
  <conditionalFormatting sqref="AG57">
    <cfRule type="dataBar" priority="906">
      <dataBar>
        <cfvo type="min"/>
        <cfvo type="max"/>
        <color rgb="FF63C384"/>
      </dataBar>
      <extLst>
        <ext xmlns:x14="http://schemas.microsoft.com/office/spreadsheetml/2009/9/main" uri="{B025F937-C7B1-47D3-B67F-A62EFF666E3E}">
          <x14:id>{445A71FC-CA0A-4F57-8483-CFF32A394EB4}</x14:id>
        </ext>
      </extLst>
    </cfRule>
  </conditionalFormatting>
  <conditionalFormatting sqref="AG57">
    <cfRule type="dataBar" priority="905">
      <dataBar>
        <cfvo type="min"/>
        <cfvo type="max"/>
        <color rgb="FF63C384"/>
      </dataBar>
      <extLst>
        <ext xmlns:x14="http://schemas.microsoft.com/office/spreadsheetml/2009/9/main" uri="{B025F937-C7B1-47D3-B67F-A62EFF666E3E}">
          <x14:id>{672FAB80-81C6-4B43-BECF-04EF5247CBA0}</x14:id>
        </ext>
      </extLst>
    </cfRule>
  </conditionalFormatting>
  <conditionalFormatting sqref="Q58">
    <cfRule type="cellIs" dxfId="4313" priority="904" operator="equal">
      <formula>"ja"</formula>
    </cfRule>
  </conditionalFormatting>
  <conditionalFormatting sqref="AA58">
    <cfRule type="expression" dxfId="4312" priority="903">
      <formula>AND(AND($W58&lt;TODAY(),$W58&lt;&gt;""),$X58="")</formula>
    </cfRule>
  </conditionalFormatting>
  <conditionalFormatting sqref="AG58">
    <cfRule type="dataBar" priority="902">
      <dataBar>
        <cfvo type="min"/>
        <cfvo type="max"/>
        <color rgb="FF63C384"/>
      </dataBar>
      <extLst>
        <ext xmlns:x14="http://schemas.microsoft.com/office/spreadsheetml/2009/9/main" uri="{B025F937-C7B1-47D3-B67F-A62EFF666E3E}">
          <x14:id>{813255A0-2335-4FE1-84FF-62E34AACF10E}</x14:id>
        </ext>
      </extLst>
    </cfRule>
  </conditionalFormatting>
  <conditionalFormatting sqref="AG58">
    <cfRule type="dataBar" priority="901">
      <dataBar>
        <cfvo type="min"/>
        <cfvo type="max"/>
        <color rgb="FF63C384"/>
      </dataBar>
      <extLst>
        <ext xmlns:x14="http://schemas.microsoft.com/office/spreadsheetml/2009/9/main" uri="{B025F937-C7B1-47D3-B67F-A62EFF666E3E}">
          <x14:id>{1063B648-A98F-4AE8-AB4C-BCAC38F56DA0}</x14:id>
        </ext>
      </extLst>
    </cfRule>
  </conditionalFormatting>
  <conditionalFormatting sqref="Q59">
    <cfRule type="cellIs" dxfId="4311" priority="900" operator="equal">
      <formula>"ja"</formula>
    </cfRule>
  </conditionalFormatting>
  <conditionalFormatting sqref="Q59">
    <cfRule type="cellIs" dxfId="4310" priority="888" operator="equal">
      <formula>"ja"</formula>
    </cfRule>
  </conditionalFormatting>
  <conditionalFormatting sqref="AA59">
    <cfRule type="expression" dxfId="4309" priority="887">
      <formula>AND(AND($W59&lt;TODAY(),$W59&lt;&gt;""),$X59="")</formula>
    </cfRule>
  </conditionalFormatting>
  <conditionalFormatting sqref="AA59">
    <cfRule type="expression" dxfId="4308" priority="899">
      <formula>AND(AND($W59&lt;TODAY(),$W59&lt;&gt;""),$X59="")</formula>
    </cfRule>
  </conditionalFormatting>
  <conditionalFormatting sqref="AG59">
    <cfRule type="dataBar" priority="898">
      <dataBar>
        <cfvo type="min"/>
        <cfvo type="max"/>
        <color rgb="FF63C384"/>
      </dataBar>
      <extLst>
        <ext xmlns:x14="http://schemas.microsoft.com/office/spreadsheetml/2009/9/main" uri="{B025F937-C7B1-47D3-B67F-A62EFF666E3E}">
          <x14:id>{748FE61B-88A8-4A08-BAD1-9A726FC64347}</x14:id>
        </ext>
      </extLst>
    </cfRule>
  </conditionalFormatting>
  <conditionalFormatting sqref="AG59">
    <cfRule type="dataBar" priority="897">
      <dataBar>
        <cfvo type="min"/>
        <cfvo type="max"/>
        <color rgb="FF63C384"/>
      </dataBar>
      <extLst>
        <ext xmlns:x14="http://schemas.microsoft.com/office/spreadsheetml/2009/9/main" uri="{B025F937-C7B1-47D3-B67F-A62EFF666E3E}">
          <x14:id>{32379AAC-F168-4315-A628-BDC15E62AE48}</x14:id>
        </ext>
      </extLst>
    </cfRule>
  </conditionalFormatting>
  <conditionalFormatting sqref="Q59">
    <cfRule type="cellIs" dxfId="4307" priority="896" operator="equal">
      <formula>"ja"</formula>
    </cfRule>
  </conditionalFormatting>
  <conditionalFormatting sqref="AA59">
    <cfRule type="expression" dxfId="4306" priority="895">
      <formula>AND(AND($W59&lt;TODAY(),$W59&lt;&gt;""),$X59="")</formula>
    </cfRule>
  </conditionalFormatting>
  <conditionalFormatting sqref="AG59">
    <cfRule type="dataBar" priority="894">
      <dataBar>
        <cfvo type="min"/>
        <cfvo type="max"/>
        <color rgb="FF63C384"/>
      </dataBar>
      <extLst>
        <ext xmlns:x14="http://schemas.microsoft.com/office/spreadsheetml/2009/9/main" uri="{B025F937-C7B1-47D3-B67F-A62EFF666E3E}">
          <x14:id>{7987A264-68AB-4589-9A94-E5706378C78A}</x14:id>
        </ext>
      </extLst>
    </cfRule>
  </conditionalFormatting>
  <conditionalFormatting sqref="AG59">
    <cfRule type="dataBar" priority="893">
      <dataBar>
        <cfvo type="min"/>
        <cfvo type="max"/>
        <color rgb="FF63C384"/>
      </dataBar>
      <extLst>
        <ext xmlns:x14="http://schemas.microsoft.com/office/spreadsheetml/2009/9/main" uri="{B025F937-C7B1-47D3-B67F-A62EFF666E3E}">
          <x14:id>{95C3F835-585F-4257-BA59-F05184B23B69}</x14:id>
        </ext>
      </extLst>
    </cfRule>
  </conditionalFormatting>
  <conditionalFormatting sqref="Q59">
    <cfRule type="cellIs" dxfId="4305" priority="892" operator="equal">
      <formula>"ja"</formula>
    </cfRule>
  </conditionalFormatting>
  <conditionalFormatting sqref="AA59">
    <cfRule type="expression" dxfId="4304" priority="891">
      <formula>AND(AND($W59&lt;TODAY(),$W59&lt;&gt;""),$X59="")</formula>
    </cfRule>
  </conditionalFormatting>
  <conditionalFormatting sqref="AG59">
    <cfRule type="dataBar" priority="890">
      <dataBar>
        <cfvo type="min"/>
        <cfvo type="max"/>
        <color rgb="FF63C384"/>
      </dataBar>
      <extLst>
        <ext xmlns:x14="http://schemas.microsoft.com/office/spreadsheetml/2009/9/main" uri="{B025F937-C7B1-47D3-B67F-A62EFF666E3E}">
          <x14:id>{2F43A9BD-BCE2-496D-B99D-EB9429859CEB}</x14:id>
        </ext>
      </extLst>
    </cfRule>
  </conditionalFormatting>
  <conditionalFormatting sqref="AG59">
    <cfRule type="dataBar" priority="889">
      <dataBar>
        <cfvo type="min"/>
        <cfvo type="max"/>
        <color rgb="FF63C384"/>
      </dataBar>
      <extLst>
        <ext xmlns:x14="http://schemas.microsoft.com/office/spreadsheetml/2009/9/main" uri="{B025F937-C7B1-47D3-B67F-A62EFF666E3E}">
          <x14:id>{DADC4CA5-2843-4796-B7F3-64F7A28EF6CE}</x14:id>
        </ext>
      </extLst>
    </cfRule>
  </conditionalFormatting>
  <conditionalFormatting sqref="AG59">
    <cfRule type="dataBar" priority="886">
      <dataBar>
        <cfvo type="min"/>
        <cfvo type="max"/>
        <color rgb="FF63C384"/>
      </dataBar>
      <extLst>
        <ext xmlns:x14="http://schemas.microsoft.com/office/spreadsheetml/2009/9/main" uri="{B025F937-C7B1-47D3-B67F-A62EFF666E3E}">
          <x14:id>{39543A93-D562-412C-B536-5CC1D3BADC5B}</x14:id>
        </ext>
      </extLst>
    </cfRule>
  </conditionalFormatting>
  <conditionalFormatting sqref="AG59">
    <cfRule type="dataBar" priority="885">
      <dataBar>
        <cfvo type="min"/>
        <cfvo type="max"/>
        <color rgb="FF63C384"/>
      </dataBar>
      <extLst>
        <ext xmlns:x14="http://schemas.microsoft.com/office/spreadsheetml/2009/9/main" uri="{B025F937-C7B1-47D3-B67F-A62EFF666E3E}">
          <x14:id>{E552AD9F-7C49-40E7-9D6D-285F79DABBAA}</x14:id>
        </ext>
      </extLst>
    </cfRule>
  </conditionalFormatting>
  <conditionalFormatting sqref="Q60">
    <cfRule type="cellIs" dxfId="4303" priority="884" operator="equal">
      <formula>"ja"</formula>
    </cfRule>
  </conditionalFormatting>
  <conditionalFormatting sqref="AA60">
    <cfRule type="expression" dxfId="4302" priority="883">
      <formula>AND(AND($W60&lt;TODAY(),$W60&lt;&gt;""),$X60="")</formula>
    </cfRule>
  </conditionalFormatting>
  <conditionalFormatting sqref="AG60">
    <cfRule type="dataBar" priority="882">
      <dataBar>
        <cfvo type="min"/>
        <cfvo type="max"/>
        <color rgb="FF63C384"/>
      </dataBar>
      <extLst>
        <ext xmlns:x14="http://schemas.microsoft.com/office/spreadsheetml/2009/9/main" uri="{B025F937-C7B1-47D3-B67F-A62EFF666E3E}">
          <x14:id>{3EFA0039-EDB3-451C-BB2A-DBFDF8CF266B}</x14:id>
        </ext>
      </extLst>
    </cfRule>
  </conditionalFormatting>
  <conditionalFormatting sqref="AG60">
    <cfRule type="dataBar" priority="881">
      <dataBar>
        <cfvo type="min"/>
        <cfvo type="max"/>
        <color rgb="FF63C384"/>
      </dataBar>
      <extLst>
        <ext xmlns:x14="http://schemas.microsoft.com/office/spreadsheetml/2009/9/main" uri="{B025F937-C7B1-47D3-B67F-A62EFF666E3E}">
          <x14:id>{167BCB80-5955-4454-964E-14808E21C4CA}</x14:id>
        </ext>
      </extLst>
    </cfRule>
  </conditionalFormatting>
  <conditionalFormatting sqref="AA60">
    <cfRule type="expression" dxfId="4301" priority="880">
      <formula>AND(AND($W60&lt;TODAY(),$W60&lt;&gt;""),$X60="")</formula>
    </cfRule>
  </conditionalFormatting>
  <conditionalFormatting sqref="AG60">
    <cfRule type="dataBar" priority="879">
      <dataBar>
        <cfvo type="min"/>
        <cfvo type="max"/>
        <color rgb="FF63C384"/>
      </dataBar>
      <extLst>
        <ext xmlns:x14="http://schemas.microsoft.com/office/spreadsheetml/2009/9/main" uri="{B025F937-C7B1-47D3-B67F-A62EFF666E3E}">
          <x14:id>{71DC0CE1-538C-4AD7-BB41-933D6D32767B}</x14:id>
        </ext>
      </extLst>
    </cfRule>
  </conditionalFormatting>
  <conditionalFormatting sqref="AG60">
    <cfRule type="dataBar" priority="878">
      <dataBar>
        <cfvo type="min"/>
        <cfvo type="max"/>
        <color rgb="FF63C384"/>
      </dataBar>
      <extLst>
        <ext xmlns:x14="http://schemas.microsoft.com/office/spreadsheetml/2009/9/main" uri="{B025F937-C7B1-47D3-B67F-A62EFF666E3E}">
          <x14:id>{AA811AE3-E6CF-4E88-94D5-2696D9678C47}</x14:id>
        </ext>
      </extLst>
    </cfRule>
  </conditionalFormatting>
  <conditionalFormatting sqref="Q60">
    <cfRule type="cellIs" dxfId="4300" priority="877" operator="equal">
      <formula>"ja"</formula>
    </cfRule>
  </conditionalFormatting>
  <conditionalFormatting sqref="AA61">
    <cfRule type="expression" dxfId="4299" priority="875">
      <formula>AND(AND($W61&lt;TODAY(),$W61&lt;&gt;""),$X61="")</formula>
    </cfRule>
  </conditionalFormatting>
  <conditionalFormatting sqref="Q61">
    <cfRule type="cellIs" dxfId="4298" priority="876" operator="equal">
      <formula>"ja"</formula>
    </cfRule>
  </conditionalFormatting>
  <conditionalFormatting sqref="AG61">
    <cfRule type="dataBar" priority="874">
      <dataBar>
        <cfvo type="min"/>
        <cfvo type="max"/>
        <color rgb="FF63C384"/>
      </dataBar>
      <extLst>
        <ext xmlns:x14="http://schemas.microsoft.com/office/spreadsheetml/2009/9/main" uri="{B025F937-C7B1-47D3-B67F-A62EFF666E3E}">
          <x14:id>{0B18B27E-EA26-4534-861F-3CF49286D00F}</x14:id>
        </ext>
      </extLst>
    </cfRule>
  </conditionalFormatting>
  <conditionalFormatting sqref="AG61">
    <cfRule type="dataBar" priority="873">
      <dataBar>
        <cfvo type="min"/>
        <cfvo type="max"/>
        <color rgb="FF63C384"/>
      </dataBar>
      <extLst>
        <ext xmlns:x14="http://schemas.microsoft.com/office/spreadsheetml/2009/9/main" uri="{B025F937-C7B1-47D3-B67F-A62EFF666E3E}">
          <x14:id>{4305B924-D56F-40F2-9523-251AC32B9D74}</x14:id>
        </ext>
      </extLst>
    </cfRule>
  </conditionalFormatting>
  <conditionalFormatting sqref="Q62">
    <cfRule type="cellIs" dxfId="4297" priority="872" operator="equal">
      <formula>"ja"</formula>
    </cfRule>
  </conditionalFormatting>
  <conditionalFormatting sqref="AA62">
    <cfRule type="expression" dxfId="4296" priority="871">
      <formula>AND(AND($W62&lt;TODAY(),$W62&lt;&gt;""),$X62="")</formula>
    </cfRule>
  </conditionalFormatting>
  <conditionalFormatting sqref="AG62">
    <cfRule type="dataBar" priority="870">
      <dataBar>
        <cfvo type="min"/>
        <cfvo type="max"/>
        <color rgb="FF63C384"/>
      </dataBar>
      <extLst>
        <ext xmlns:x14="http://schemas.microsoft.com/office/spreadsheetml/2009/9/main" uri="{B025F937-C7B1-47D3-B67F-A62EFF666E3E}">
          <x14:id>{24DFA5CA-4669-46FC-B61C-E5A59641B116}</x14:id>
        </ext>
      </extLst>
    </cfRule>
  </conditionalFormatting>
  <conditionalFormatting sqref="AG62">
    <cfRule type="dataBar" priority="869">
      <dataBar>
        <cfvo type="min"/>
        <cfvo type="max"/>
        <color rgb="FF63C384"/>
      </dataBar>
      <extLst>
        <ext xmlns:x14="http://schemas.microsoft.com/office/spreadsheetml/2009/9/main" uri="{B025F937-C7B1-47D3-B67F-A62EFF666E3E}">
          <x14:id>{176EB764-AE17-4C1C-AB47-0B7B1DB0557D}</x14:id>
        </ext>
      </extLst>
    </cfRule>
  </conditionalFormatting>
  <conditionalFormatting sqref="Q63">
    <cfRule type="cellIs" dxfId="4295" priority="868" operator="equal">
      <formula>"ja"</formula>
    </cfRule>
  </conditionalFormatting>
  <conditionalFormatting sqref="AA63">
    <cfRule type="expression" dxfId="4294" priority="867">
      <formula>AND(AND($W63&lt;TODAY(),$W63&lt;&gt;""),$X63="")</formula>
    </cfRule>
  </conditionalFormatting>
  <conditionalFormatting sqref="AG63">
    <cfRule type="dataBar" priority="866">
      <dataBar>
        <cfvo type="min"/>
        <cfvo type="max"/>
        <color rgb="FF63C384"/>
      </dataBar>
      <extLst>
        <ext xmlns:x14="http://schemas.microsoft.com/office/spreadsheetml/2009/9/main" uri="{B025F937-C7B1-47D3-B67F-A62EFF666E3E}">
          <x14:id>{85BE79CB-CEBB-4DDE-9A63-0BE715F6D6DB}</x14:id>
        </ext>
      </extLst>
    </cfRule>
  </conditionalFormatting>
  <conditionalFormatting sqref="AG63">
    <cfRule type="dataBar" priority="865">
      <dataBar>
        <cfvo type="min"/>
        <cfvo type="max"/>
        <color rgb="FF63C384"/>
      </dataBar>
      <extLst>
        <ext xmlns:x14="http://schemas.microsoft.com/office/spreadsheetml/2009/9/main" uri="{B025F937-C7B1-47D3-B67F-A62EFF666E3E}">
          <x14:id>{7629607C-06A0-440B-99D7-231DEFFE87D0}</x14:id>
        </ext>
      </extLst>
    </cfRule>
  </conditionalFormatting>
  <conditionalFormatting sqref="Q64">
    <cfRule type="cellIs" dxfId="4293" priority="864" operator="equal">
      <formula>"ja"</formula>
    </cfRule>
  </conditionalFormatting>
  <conditionalFormatting sqref="AA64">
    <cfRule type="expression" dxfId="4292" priority="863">
      <formula>AND(AND($W64&lt;TODAY(),$W64&lt;&gt;""),$X64="")</formula>
    </cfRule>
  </conditionalFormatting>
  <conditionalFormatting sqref="AG64">
    <cfRule type="dataBar" priority="862">
      <dataBar>
        <cfvo type="min"/>
        <cfvo type="max"/>
        <color rgb="FF63C384"/>
      </dataBar>
      <extLst>
        <ext xmlns:x14="http://schemas.microsoft.com/office/spreadsheetml/2009/9/main" uri="{B025F937-C7B1-47D3-B67F-A62EFF666E3E}">
          <x14:id>{C87961E7-5096-4ADD-96B8-0081D248655B}</x14:id>
        </ext>
      </extLst>
    </cfRule>
  </conditionalFormatting>
  <conditionalFormatting sqref="AG64">
    <cfRule type="dataBar" priority="861">
      <dataBar>
        <cfvo type="min"/>
        <cfvo type="max"/>
        <color rgb="FF63C384"/>
      </dataBar>
      <extLst>
        <ext xmlns:x14="http://schemas.microsoft.com/office/spreadsheetml/2009/9/main" uri="{B025F937-C7B1-47D3-B67F-A62EFF666E3E}">
          <x14:id>{5045CA9A-E170-4CB7-9980-24A5A9110B41}</x14:id>
        </ext>
      </extLst>
    </cfRule>
  </conditionalFormatting>
  <conditionalFormatting sqref="AA64">
    <cfRule type="expression" dxfId="4291" priority="860">
      <formula>AND(AND($W64&lt;TODAY(),$W64&lt;&gt;""),$X64="")</formula>
    </cfRule>
  </conditionalFormatting>
  <conditionalFormatting sqref="Q64">
    <cfRule type="cellIs" dxfId="4290" priority="859" operator="equal">
      <formula>"ja"</formula>
    </cfRule>
  </conditionalFormatting>
  <conditionalFormatting sqref="AG64">
    <cfRule type="dataBar" priority="858">
      <dataBar>
        <cfvo type="min"/>
        <cfvo type="max"/>
        <color rgb="FF63C384"/>
      </dataBar>
      <extLst>
        <ext xmlns:x14="http://schemas.microsoft.com/office/spreadsheetml/2009/9/main" uri="{B025F937-C7B1-47D3-B67F-A62EFF666E3E}">
          <x14:id>{E6BFE3BD-926F-4AC5-A54A-C469CD8AA496}</x14:id>
        </ext>
      </extLst>
    </cfRule>
  </conditionalFormatting>
  <conditionalFormatting sqref="AG64">
    <cfRule type="dataBar" priority="857">
      <dataBar>
        <cfvo type="min"/>
        <cfvo type="max"/>
        <color rgb="FF63C384"/>
      </dataBar>
      <extLst>
        <ext xmlns:x14="http://schemas.microsoft.com/office/spreadsheetml/2009/9/main" uri="{B025F937-C7B1-47D3-B67F-A62EFF666E3E}">
          <x14:id>{35C69707-902F-48D8-978A-5D43BB4D8171}</x14:id>
        </ext>
      </extLst>
    </cfRule>
  </conditionalFormatting>
  <conditionalFormatting sqref="Q65">
    <cfRule type="cellIs" dxfId="4289" priority="856" operator="equal">
      <formula>"ja"</formula>
    </cfRule>
  </conditionalFormatting>
  <conditionalFormatting sqref="AA65">
    <cfRule type="expression" dxfId="4288" priority="855">
      <formula>AND(AND($W65&lt;TODAY(),$W65&lt;&gt;""),$X65="")</formula>
    </cfRule>
  </conditionalFormatting>
  <conditionalFormatting sqref="AG65">
    <cfRule type="dataBar" priority="854">
      <dataBar>
        <cfvo type="min"/>
        <cfvo type="max"/>
        <color rgb="FF63C384"/>
      </dataBar>
      <extLst>
        <ext xmlns:x14="http://schemas.microsoft.com/office/spreadsheetml/2009/9/main" uri="{B025F937-C7B1-47D3-B67F-A62EFF666E3E}">
          <x14:id>{8C1DF450-1871-44D6-A469-19B3A3ED5349}</x14:id>
        </ext>
      </extLst>
    </cfRule>
  </conditionalFormatting>
  <conditionalFormatting sqref="AG65">
    <cfRule type="dataBar" priority="853">
      <dataBar>
        <cfvo type="min"/>
        <cfvo type="max"/>
        <color rgb="FF63C384"/>
      </dataBar>
      <extLst>
        <ext xmlns:x14="http://schemas.microsoft.com/office/spreadsheetml/2009/9/main" uri="{B025F937-C7B1-47D3-B67F-A62EFF666E3E}">
          <x14:id>{B380BB39-4980-4585-9B4D-A7C5D6909507}</x14:id>
        </ext>
      </extLst>
    </cfRule>
  </conditionalFormatting>
  <conditionalFormatting sqref="Q65">
    <cfRule type="cellIs" dxfId="4287" priority="852" operator="equal">
      <formula>"ja"</formula>
    </cfRule>
  </conditionalFormatting>
  <conditionalFormatting sqref="AA65">
    <cfRule type="expression" dxfId="4286" priority="851">
      <formula>AND(AND($W65&lt;TODAY(),$W65&lt;&gt;""),$X65="")</formula>
    </cfRule>
  </conditionalFormatting>
  <conditionalFormatting sqref="AG65">
    <cfRule type="dataBar" priority="850">
      <dataBar>
        <cfvo type="min"/>
        <cfvo type="max"/>
        <color rgb="FF63C384"/>
      </dataBar>
      <extLst>
        <ext xmlns:x14="http://schemas.microsoft.com/office/spreadsheetml/2009/9/main" uri="{B025F937-C7B1-47D3-B67F-A62EFF666E3E}">
          <x14:id>{EBC2FE90-6F3A-4C84-B7ED-56AD9B75F8C7}</x14:id>
        </ext>
      </extLst>
    </cfRule>
  </conditionalFormatting>
  <conditionalFormatting sqref="AG65">
    <cfRule type="dataBar" priority="849">
      <dataBar>
        <cfvo type="min"/>
        <cfvo type="max"/>
        <color rgb="FF63C384"/>
      </dataBar>
      <extLst>
        <ext xmlns:x14="http://schemas.microsoft.com/office/spreadsheetml/2009/9/main" uri="{B025F937-C7B1-47D3-B67F-A62EFF666E3E}">
          <x14:id>{F6007895-440E-46A5-BF92-4648D2C3ECC4}</x14:id>
        </ext>
      </extLst>
    </cfRule>
  </conditionalFormatting>
  <conditionalFormatting sqref="Q65">
    <cfRule type="cellIs" dxfId="4285" priority="848" operator="equal">
      <formula>"ja"</formula>
    </cfRule>
  </conditionalFormatting>
  <conditionalFormatting sqref="AA65">
    <cfRule type="expression" dxfId="4284" priority="847">
      <formula>AND(AND($W65&lt;TODAY(),$W65&lt;&gt;""),$X65="")</formula>
    </cfRule>
  </conditionalFormatting>
  <conditionalFormatting sqref="AG65">
    <cfRule type="dataBar" priority="846">
      <dataBar>
        <cfvo type="min"/>
        <cfvo type="max"/>
        <color rgb="FF63C384"/>
      </dataBar>
      <extLst>
        <ext xmlns:x14="http://schemas.microsoft.com/office/spreadsheetml/2009/9/main" uri="{B025F937-C7B1-47D3-B67F-A62EFF666E3E}">
          <x14:id>{794029D6-F91C-40AC-B274-7DE6F068548E}</x14:id>
        </ext>
      </extLst>
    </cfRule>
  </conditionalFormatting>
  <conditionalFormatting sqref="AG65">
    <cfRule type="dataBar" priority="845">
      <dataBar>
        <cfvo type="min"/>
        <cfvo type="max"/>
        <color rgb="FF63C384"/>
      </dataBar>
      <extLst>
        <ext xmlns:x14="http://schemas.microsoft.com/office/spreadsheetml/2009/9/main" uri="{B025F937-C7B1-47D3-B67F-A62EFF666E3E}">
          <x14:id>{42DB72DA-ACDD-4D25-B1AC-34A3AC95A38D}</x14:id>
        </ext>
      </extLst>
    </cfRule>
  </conditionalFormatting>
  <conditionalFormatting sqref="Q66">
    <cfRule type="cellIs" dxfId="4283" priority="844" operator="equal">
      <formula>"ja"</formula>
    </cfRule>
  </conditionalFormatting>
  <conditionalFormatting sqref="AA66">
    <cfRule type="expression" dxfId="4282" priority="843">
      <formula>AND(AND($W66&lt;TODAY(),$W66&lt;&gt;""),$X66="")</formula>
    </cfRule>
  </conditionalFormatting>
  <conditionalFormatting sqref="AG66">
    <cfRule type="dataBar" priority="842">
      <dataBar>
        <cfvo type="min"/>
        <cfvo type="max"/>
        <color rgb="FF63C384"/>
      </dataBar>
      <extLst>
        <ext xmlns:x14="http://schemas.microsoft.com/office/spreadsheetml/2009/9/main" uri="{B025F937-C7B1-47D3-B67F-A62EFF666E3E}">
          <x14:id>{60C2E518-C283-48A0-8FDD-12F351B8A7C1}</x14:id>
        </ext>
      </extLst>
    </cfRule>
  </conditionalFormatting>
  <conditionalFormatting sqref="AG66">
    <cfRule type="dataBar" priority="841">
      <dataBar>
        <cfvo type="min"/>
        <cfvo type="max"/>
        <color rgb="FF63C384"/>
      </dataBar>
      <extLst>
        <ext xmlns:x14="http://schemas.microsoft.com/office/spreadsheetml/2009/9/main" uri="{B025F937-C7B1-47D3-B67F-A62EFF666E3E}">
          <x14:id>{911B094B-AA72-4272-8CD9-0F1B34F0616D}</x14:id>
        </ext>
      </extLst>
    </cfRule>
  </conditionalFormatting>
  <conditionalFormatting sqref="Q66">
    <cfRule type="cellIs" dxfId="4281" priority="840" operator="equal">
      <formula>"ja"</formula>
    </cfRule>
  </conditionalFormatting>
  <conditionalFormatting sqref="AA66">
    <cfRule type="expression" dxfId="4280" priority="839">
      <formula>AND(AND($W66&lt;TODAY(),$W66&lt;&gt;""),$X66="")</formula>
    </cfRule>
  </conditionalFormatting>
  <conditionalFormatting sqref="AG66">
    <cfRule type="dataBar" priority="838">
      <dataBar>
        <cfvo type="min"/>
        <cfvo type="max"/>
        <color rgb="FF63C384"/>
      </dataBar>
      <extLst>
        <ext xmlns:x14="http://schemas.microsoft.com/office/spreadsheetml/2009/9/main" uri="{B025F937-C7B1-47D3-B67F-A62EFF666E3E}">
          <x14:id>{40D44650-303A-44DA-8E9F-41241872633F}</x14:id>
        </ext>
      </extLst>
    </cfRule>
  </conditionalFormatting>
  <conditionalFormatting sqref="AG66">
    <cfRule type="dataBar" priority="837">
      <dataBar>
        <cfvo type="min"/>
        <cfvo type="max"/>
        <color rgb="FF63C384"/>
      </dataBar>
      <extLst>
        <ext xmlns:x14="http://schemas.microsoft.com/office/spreadsheetml/2009/9/main" uri="{B025F937-C7B1-47D3-B67F-A62EFF666E3E}">
          <x14:id>{0A1B8353-5B24-47A5-B777-12AB8A308722}</x14:id>
        </ext>
      </extLst>
    </cfRule>
  </conditionalFormatting>
  <conditionalFormatting sqref="Q67">
    <cfRule type="cellIs" dxfId="4279" priority="836" operator="equal">
      <formula>"ja"</formula>
    </cfRule>
  </conditionalFormatting>
  <conditionalFormatting sqref="AA67">
    <cfRule type="expression" dxfId="4278" priority="835">
      <formula>AND(AND($W67&lt;TODAY(),$W67&lt;&gt;""),$X67="")</formula>
    </cfRule>
  </conditionalFormatting>
  <conditionalFormatting sqref="AG67">
    <cfRule type="dataBar" priority="834">
      <dataBar>
        <cfvo type="min"/>
        <cfvo type="max"/>
        <color rgb="FF63C384"/>
      </dataBar>
      <extLst>
        <ext xmlns:x14="http://schemas.microsoft.com/office/spreadsheetml/2009/9/main" uri="{B025F937-C7B1-47D3-B67F-A62EFF666E3E}">
          <x14:id>{DF17BAD7-8F59-43FE-8986-43467DF1F073}</x14:id>
        </ext>
      </extLst>
    </cfRule>
  </conditionalFormatting>
  <conditionalFormatting sqref="AG67">
    <cfRule type="dataBar" priority="833">
      <dataBar>
        <cfvo type="min"/>
        <cfvo type="max"/>
        <color rgb="FF63C384"/>
      </dataBar>
      <extLst>
        <ext xmlns:x14="http://schemas.microsoft.com/office/spreadsheetml/2009/9/main" uri="{B025F937-C7B1-47D3-B67F-A62EFF666E3E}">
          <x14:id>{43FF7473-A2FF-4317-BC6C-FEB67158AAD9}</x14:id>
        </ext>
      </extLst>
    </cfRule>
  </conditionalFormatting>
  <conditionalFormatting sqref="AA67">
    <cfRule type="expression" dxfId="4277" priority="832">
      <formula>AND(AND($W67&lt;TODAY(),$W67&lt;&gt;""),$X67="")</formula>
    </cfRule>
  </conditionalFormatting>
  <conditionalFormatting sqref="AG67">
    <cfRule type="dataBar" priority="831">
      <dataBar>
        <cfvo type="min"/>
        <cfvo type="max"/>
        <color rgb="FF63C384"/>
      </dataBar>
      <extLst>
        <ext xmlns:x14="http://schemas.microsoft.com/office/spreadsheetml/2009/9/main" uri="{B025F937-C7B1-47D3-B67F-A62EFF666E3E}">
          <x14:id>{C6A4230C-378F-4CFA-9AF9-6F1B3FA424A5}</x14:id>
        </ext>
      </extLst>
    </cfRule>
  </conditionalFormatting>
  <conditionalFormatting sqref="AG67">
    <cfRule type="dataBar" priority="830">
      <dataBar>
        <cfvo type="min"/>
        <cfvo type="max"/>
        <color rgb="FF63C384"/>
      </dataBar>
      <extLst>
        <ext xmlns:x14="http://schemas.microsoft.com/office/spreadsheetml/2009/9/main" uri="{B025F937-C7B1-47D3-B67F-A62EFF666E3E}">
          <x14:id>{DF57D94D-F86B-45AE-9BB4-37395D29F4D0}</x14:id>
        </ext>
      </extLst>
    </cfRule>
  </conditionalFormatting>
  <conditionalFormatting sqref="Q67">
    <cfRule type="cellIs" dxfId="4276" priority="829" operator="equal">
      <formula>"ja"</formula>
    </cfRule>
  </conditionalFormatting>
  <conditionalFormatting sqref="AA68">
    <cfRule type="expression" dxfId="4275" priority="828">
      <formula>AND(AND($W68&lt;TODAY(),$W68&lt;&gt;""),$X68="")</formula>
    </cfRule>
  </conditionalFormatting>
  <conditionalFormatting sqref="AG68">
    <cfRule type="dataBar" priority="827">
      <dataBar>
        <cfvo type="min"/>
        <cfvo type="max"/>
        <color rgb="FF63C384"/>
      </dataBar>
      <extLst>
        <ext xmlns:x14="http://schemas.microsoft.com/office/spreadsheetml/2009/9/main" uri="{B025F937-C7B1-47D3-B67F-A62EFF666E3E}">
          <x14:id>{662BF2A5-AAA6-47B2-BE8B-FFD05BA6D46F}</x14:id>
        </ext>
      </extLst>
    </cfRule>
  </conditionalFormatting>
  <conditionalFormatting sqref="AG68">
    <cfRule type="dataBar" priority="826">
      <dataBar>
        <cfvo type="min"/>
        <cfvo type="max"/>
        <color rgb="FF63C384"/>
      </dataBar>
      <extLst>
        <ext xmlns:x14="http://schemas.microsoft.com/office/spreadsheetml/2009/9/main" uri="{B025F937-C7B1-47D3-B67F-A62EFF666E3E}">
          <x14:id>{974F26BF-41B6-411B-BCDE-CBFB034DC5E5}</x14:id>
        </ext>
      </extLst>
    </cfRule>
  </conditionalFormatting>
  <conditionalFormatting sqref="AA69">
    <cfRule type="expression" dxfId="4274" priority="825">
      <formula>AND(AND($W69&lt;TODAY(),$W69&lt;&gt;""),$X69="")</formula>
    </cfRule>
  </conditionalFormatting>
  <conditionalFormatting sqref="AG69">
    <cfRule type="dataBar" priority="824">
      <dataBar>
        <cfvo type="min"/>
        <cfvo type="max"/>
        <color rgb="FF63C384"/>
      </dataBar>
      <extLst>
        <ext xmlns:x14="http://schemas.microsoft.com/office/spreadsheetml/2009/9/main" uri="{B025F937-C7B1-47D3-B67F-A62EFF666E3E}">
          <x14:id>{B982775B-E895-44BA-858B-2C92EFAE15E6}</x14:id>
        </ext>
      </extLst>
    </cfRule>
  </conditionalFormatting>
  <conditionalFormatting sqref="AG69">
    <cfRule type="dataBar" priority="823">
      <dataBar>
        <cfvo type="min"/>
        <cfvo type="max"/>
        <color rgb="FF63C384"/>
      </dataBar>
      <extLst>
        <ext xmlns:x14="http://schemas.microsoft.com/office/spreadsheetml/2009/9/main" uri="{B025F937-C7B1-47D3-B67F-A62EFF666E3E}">
          <x14:id>{7815685F-0BF6-47B9-8C95-27864DA0B469}</x14:id>
        </ext>
      </extLst>
    </cfRule>
  </conditionalFormatting>
  <conditionalFormatting sqref="Q70:Q71">
    <cfRule type="cellIs" dxfId="4273" priority="822" operator="equal">
      <formula>"ja"</formula>
    </cfRule>
  </conditionalFormatting>
  <conditionalFormatting sqref="AA70:AA71">
    <cfRule type="expression" dxfId="4272" priority="821">
      <formula>AND(AND($W70&lt;TODAY(),$W70&lt;&gt;""),$X70="")</formula>
    </cfRule>
  </conditionalFormatting>
  <conditionalFormatting sqref="AG70:AG71">
    <cfRule type="dataBar" priority="820">
      <dataBar>
        <cfvo type="min"/>
        <cfvo type="max"/>
        <color rgb="FF63C384"/>
      </dataBar>
      <extLst>
        <ext xmlns:x14="http://schemas.microsoft.com/office/spreadsheetml/2009/9/main" uri="{B025F937-C7B1-47D3-B67F-A62EFF666E3E}">
          <x14:id>{EC9A494F-A73B-4959-93C8-6DACDC5BA753}</x14:id>
        </ext>
      </extLst>
    </cfRule>
  </conditionalFormatting>
  <conditionalFormatting sqref="AG70:AG71">
    <cfRule type="dataBar" priority="819">
      <dataBar>
        <cfvo type="min"/>
        <cfvo type="max"/>
        <color rgb="FF63C384"/>
      </dataBar>
      <extLst>
        <ext xmlns:x14="http://schemas.microsoft.com/office/spreadsheetml/2009/9/main" uri="{B025F937-C7B1-47D3-B67F-A62EFF666E3E}">
          <x14:id>{96BB07DF-F70B-46C1-AB34-C3BE4EF55BCA}</x14:id>
        </ext>
      </extLst>
    </cfRule>
  </conditionalFormatting>
  <conditionalFormatting sqref="AA72">
    <cfRule type="expression" dxfId="4271" priority="818">
      <formula>AND(AND($W72&lt;TODAY(),$W72&lt;&gt;""),$X72="")</formula>
    </cfRule>
  </conditionalFormatting>
  <conditionalFormatting sqref="AG72">
    <cfRule type="dataBar" priority="817">
      <dataBar>
        <cfvo type="min"/>
        <cfvo type="max"/>
        <color rgb="FF63C384"/>
      </dataBar>
      <extLst>
        <ext xmlns:x14="http://schemas.microsoft.com/office/spreadsheetml/2009/9/main" uri="{B025F937-C7B1-47D3-B67F-A62EFF666E3E}">
          <x14:id>{822119CC-B465-4C75-B444-60A4F5182D40}</x14:id>
        </ext>
      </extLst>
    </cfRule>
  </conditionalFormatting>
  <conditionalFormatting sqref="AG72">
    <cfRule type="dataBar" priority="816">
      <dataBar>
        <cfvo type="min"/>
        <cfvo type="max"/>
        <color rgb="FF63C384"/>
      </dataBar>
      <extLst>
        <ext xmlns:x14="http://schemas.microsoft.com/office/spreadsheetml/2009/9/main" uri="{B025F937-C7B1-47D3-B67F-A62EFF666E3E}">
          <x14:id>{C9A7A536-24A9-4B15-81D3-15FC85F0AF07}</x14:id>
        </ext>
      </extLst>
    </cfRule>
  </conditionalFormatting>
  <conditionalFormatting sqref="Q72">
    <cfRule type="cellIs" dxfId="4270" priority="815" operator="equal">
      <formula>"ja"</formula>
    </cfRule>
  </conditionalFormatting>
  <conditionalFormatting sqref="Q73">
    <cfRule type="cellIs" dxfId="4269" priority="814" operator="equal">
      <formula>"ja"</formula>
    </cfRule>
  </conditionalFormatting>
  <conditionalFormatting sqref="AA73">
    <cfRule type="expression" dxfId="4268" priority="813">
      <formula>AND(AND($W73&lt;TODAY(),$W73&lt;&gt;""),$X73="")</formula>
    </cfRule>
  </conditionalFormatting>
  <conditionalFormatting sqref="AG73">
    <cfRule type="dataBar" priority="812">
      <dataBar>
        <cfvo type="min"/>
        <cfvo type="max"/>
        <color rgb="FF63C384"/>
      </dataBar>
      <extLst>
        <ext xmlns:x14="http://schemas.microsoft.com/office/spreadsheetml/2009/9/main" uri="{B025F937-C7B1-47D3-B67F-A62EFF666E3E}">
          <x14:id>{C9E41A09-1C19-4924-8BDC-E6FA7E27CDA1}</x14:id>
        </ext>
      </extLst>
    </cfRule>
  </conditionalFormatting>
  <conditionalFormatting sqref="AG73">
    <cfRule type="dataBar" priority="811">
      <dataBar>
        <cfvo type="min"/>
        <cfvo type="max"/>
        <color rgb="FF63C384"/>
      </dataBar>
      <extLst>
        <ext xmlns:x14="http://schemas.microsoft.com/office/spreadsheetml/2009/9/main" uri="{B025F937-C7B1-47D3-B67F-A62EFF666E3E}">
          <x14:id>{0901F215-DB39-4C8C-88C8-FD7FE393F1CD}</x14:id>
        </ext>
      </extLst>
    </cfRule>
  </conditionalFormatting>
  <conditionalFormatting sqref="Q74">
    <cfRule type="cellIs" dxfId="4267" priority="810" operator="equal">
      <formula>"ja"</formula>
    </cfRule>
  </conditionalFormatting>
  <conditionalFormatting sqref="AA74">
    <cfRule type="expression" dxfId="4266" priority="809">
      <formula>AND(AND($W74&lt;TODAY(),$W74&lt;&gt;""),$X74="")</formula>
    </cfRule>
  </conditionalFormatting>
  <conditionalFormatting sqref="AG74">
    <cfRule type="dataBar" priority="808">
      <dataBar>
        <cfvo type="min"/>
        <cfvo type="max"/>
        <color rgb="FF63C384"/>
      </dataBar>
      <extLst>
        <ext xmlns:x14="http://schemas.microsoft.com/office/spreadsheetml/2009/9/main" uri="{B025F937-C7B1-47D3-B67F-A62EFF666E3E}">
          <x14:id>{585688D8-82D8-4DB3-A5B4-041E500A122B}</x14:id>
        </ext>
      </extLst>
    </cfRule>
  </conditionalFormatting>
  <conditionalFormatting sqref="AG74">
    <cfRule type="dataBar" priority="807">
      <dataBar>
        <cfvo type="min"/>
        <cfvo type="max"/>
        <color rgb="FF63C384"/>
      </dataBar>
      <extLst>
        <ext xmlns:x14="http://schemas.microsoft.com/office/spreadsheetml/2009/9/main" uri="{B025F937-C7B1-47D3-B67F-A62EFF666E3E}">
          <x14:id>{3A9DA0E8-9705-4103-9295-67ABD3BCC194}</x14:id>
        </ext>
      </extLst>
    </cfRule>
  </conditionalFormatting>
  <conditionalFormatting sqref="Q75">
    <cfRule type="cellIs" dxfId="4265" priority="806" operator="equal">
      <formula>"ja"</formula>
    </cfRule>
  </conditionalFormatting>
  <conditionalFormatting sqref="AA75">
    <cfRule type="expression" dxfId="4264" priority="805">
      <formula>AND(AND($W75&lt;TODAY(),$W75&lt;&gt;""),$X75="")</formula>
    </cfRule>
  </conditionalFormatting>
  <conditionalFormatting sqref="AG75">
    <cfRule type="dataBar" priority="804">
      <dataBar>
        <cfvo type="min"/>
        <cfvo type="max"/>
        <color rgb="FF63C384"/>
      </dataBar>
      <extLst>
        <ext xmlns:x14="http://schemas.microsoft.com/office/spreadsheetml/2009/9/main" uri="{B025F937-C7B1-47D3-B67F-A62EFF666E3E}">
          <x14:id>{DDB02EE6-D8AC-4E19-A3B0-281951B1B15D}</x14:id>
        </ext>
      </extLst>
    </cfRule>
  </conditionalFormatting>
  <conditionalFormatting sqref="AG75">
    <cfRule type="dataBar" priority="803">
      <dataBar>
        <cfvo type="min"/>
        <cfvo type="max"/>
        <color rgb="FF63C384"/>
      </dataBar>
      <extLst>
        <ext xmlns:x14="http://schemas.microsoft.com/office/spreadsheetml/2009/9/main" uri="{B025F937-C7B1-47D3-B67F-A62EFF666E3E}">
          <x14:id>{3D41456E-044F-4904-B0A6-7B5585B31EA5}</x14:id>
        </ext>
      </extLst>
    </cfRule>
  </conditionalFormatting>
  <conditionalFormatting sqref="AA75">
    <cfRule type="expression" dxfId="4263" priority="802">
      <formula>AND(AND($W75&lt;TODAY(),$W75&lt;&gt;""),$X75="")</formula>
    </cfRule>
  </conditionalFormatting>
  <conditionalFormatting sqref="Q75">
    <cfRule type="cellIs" dxfId="4262" priority="801" operator="equal">
      <formula>"ja"</formula>
    </cfRule>
  </conditionalFormatting>
  <conditionalFormatting sqref="AG75">
    <cfRule type="dataBar" priority="800">
      <dataBar>
        <cfvo type="min"/>
        <cfvo type="max"/>
        <color rgb="FF63C384"/>
      </dataBar>
      <extLst>
        <ext xmlns:x14="http://schemas.microsoft.com/office/spreadsheetml/2009/9/main" uri="{B025F937-C7B1-47D3-B67F-A62EFF666E3E}">
          <x14:id>{9DE0F7E8-63C4-4D26-959F-C6D0937D0771}</x14:id>
        </ext>
      </extLst>
    </cfRule>
  </conditionalFormatting>
  <conditionalFormatting sqref="AG75">
    <cfRule type="dataBar" priority="799">
      <dataBar>
        <cfvo type="min"/>
        <cfvo type="max"/>
        <color rgb="FF63C384"/>
      </dataBar>
      <extLst>
        <ext xmlns:x14="http://schemas.microsoft.com/office/spreadsheetml/2009/9/main" uri="{B025F937-C7B1-47D3-B67F-A62EFF666E3E}">
          <x14:id>{BC51060D-CA4B-464B-B052-45F217F5756E}</x14:id>
        </ext>
      </extLst>
    </cfRule>
  </conditionalFormatting>
  <conditionalFormatting sqref="AA76">
    <cfRule type="expression" dxfId="4261" priority="798">
      <formula>AND(AND($W76&lt;TODAY(),$W76&lt;&gt;""),$X76="")</formula>
    </cfRule>
  </conditionalFormatting>
  <conditionalFormatting sqref="Q76">
    <cfRule type="cellIs" dxfId="4260" priority="797" operator="equal">
      <formula>"ja"</formula>
    </cfRule>
  </conditionalFormatting>
  <conditionalFormatting sqref="AG76">
    <cfRule type="dataBar" priority="796">
      <dataBar>
        <cfvo type="min"/>
        <cfvo type="max"/>
        <color rgb="FF63C384"/>
      </dataBar>
      <extLst>
        <ext xmlns:x14="http://schemas.microsoft.com/office/spreadsheetml/2009/9/main" uri="{B025F937-C7B1-47D3-B67F-A62EFF666E3E}">
          <x14:id>{65E34B8A-219E-4F35-AA3E-36885251649F}</x14:id>
        </ext>
      </extLst>
    </cfRule>
  </conditionalFormatting>
  <conditionalFormatting sqref="AG76">
    <cfRule type="dataBar" priority="795">
      <dataBar>
        <cfvo type="min"/>
        <cfvo type="max"/>
        <color rgb="FF63C384"/>
      </dataBar>
      <extLst>
        <ext xmlns:x14="http://schemas.microsoft.com/office/spreadsheetml/2009/9/main" uri="{B025F937-C7B1-47D3-B67F-A62EFF666E3E}">
          <x14:id>{4C18F435-01C0-4915-BCCC-7C1E9BB90125}</x14:id>
        </ext>
      </extLst>
    </cfRule>
  </conditionalFormatting>
  <conditionalFormatting sqref="Q76">
    <cfRule type="cellIs" dxfId="4259" priority="794" operator="equal">
      <formula>"ja"</formula>
    </cfRule>
  </conditionalFormatting>
  <conditionalFormatting sqref="AA76">
    <cfRule type="expression" dxfId="4258" priority="793">
      <formula>AND(AND($W76&lt;TODAY(),$W76&lt;&gt;""),$X76="")</formula>
    </cfRule>
  </conditionalFormatting>
  <conditionalFormatting sqref="AG76">
    <cfRule type="dataBar" priority="792">
      <dataBar>
        <cfvo type="min"/>
        <cfvo type="max"/>
        <color rgb="FF63C384"/>
      </dataBar>
      <extLst>
        <ext xmlns:x14="http://schemas.microsoft.com/office/spreadsheetml/2009/9/main" uri="{B025F937-C7B1-47D3-B67F-A62EFF666E3E}">
          <x14:id>{1B1BFC06-D3A4-4BCB-BFA1-FBC0B6859114}</x14:id>
        </ext>
      </extLst>
    </cfRule>
  </conditionalFormatting>
  <conditionalFormatting sqref="AG76">
    <cfRule type="dataBar" priority="791">
      <dataBar>
        <cfvo type="min"/>
        <cfvo type="max"/>
        <color rgb="FF63C384"/>
      </dataBar>
      <extLst>
        <ext xmlns:x14="http://schemas.microsoft.com/office/spreadsheetml/2009/9/main" uri="{B025F937-C7B1-47D3-B67F-A62EFF666E3E}">
          <x14:id>{DC395D3D-443E-4E9A-8BC4-6C8C0CDCD8DD}</x14:id>
        </ext>
      </extLst>
    </cfRule>
  </conditionalFormatting>
  <conditionalFormatting sqref="Q77">
    <cfRule type="cellIs" dxfId="4257" priority="790" operator="equal">
      <formula>"ja"</formula>
    </cfRule>
  </conditionalFormatting>
  <conditionalFormatting sqref="Q77">
    <cfRule type="cellIs" dxfId="4256" priority="778" operator="equal">
      <formula>"ja"</formula>
    </cfRule>
  </conditionalFormatting>
  <conditionalFormatting sqref="AA77">
    <cfRule type="expression" dxfId="4255" priority="777">
      <formula>AND(AND($W77&lt;TODAY(),$W77&lt;&gt;""),$X77="")</formula>
    </cfRule>
  </conditionalFormatting>
  <conditionalFormatting sqref="AA77">
    <cfRule type="expression" dxfId="4254" priority="789">
      <formula>AND(AND($W77&lt;TODAY(),$W77&lt;&gt;""),$X77="")</formula>
    </cfRule>
  </conditionalFormatting>
  <conditionalFormatting sqref="AG77">
    <cfRule type="dataBar" priority="788">
      <dataBar>
        <cfvo type="min"/>
        <cfvo type="max"/>
        <color rgb="FF63C384"/>
      </dataBar>
      <extLst>
        <ext xmlns:x14="http://schemas.microsoft.com/office/spreadsheetml/2009/9/main" uri="{B025F937-C7B1-47D3-B67F-A62EFF666E3E}">
          <x14:id>{0B5C805F-2479-446D-8567-A299C9098258}</x14:id>
        </ext>
      </extLst>
    </cfRule>
  </conditionalFormatting>
  <conditionalFormatting sqref="AG77">
    <cfRule type="dataBar" priority="787">
      <dataBar>
        <cfvo type="min"/>
        <cfvo type="max"/>
        <color rgb="FF63C384"/>
      </dataBar>
      <extLst>
        <ext xmlns:x14="http://schemas.microsoft.com/office/spreadsheetml/2009/9/main" uri="{B025F937-C7B1-47D3-B67F-A62EFF666E3E}">
          <x14:id>{5BA9D6CC-641D-473F-991B-3A6BB7F6C4C2}</x14:id>
        </ext>
      </extLst>
    </cfRule>
  </conditionalFormatting>
  <conditionalFormatting sqref="Q77">
    <cfRule type="cellIs" dxfId="4253" priority="786" operator="equal">
      <formula>"ja"</formula>
    </cfRule>
  </conditionalFormatting>
  <conditionalFormatting sqref="AA77">
    <cfRule type="expression" dxfId="4252" priority="785">
      <formula>AND(AND($W77&lt;TODAY(),$W77&lt;&gt;""),$X77="")</formula>
    </cfRule>
  </conditionalFormatting>
  <conditionalFormatting sqref="AG77">
    <cfRule type="dataBar" priority="784">
      <dataBar>
        <cfvo type="min"/>
        <cfvo type="max"/>
        <color rgb="FF63C384"/>
      </dataBar>
      <extLst>
        <ext xmlns:x14="http://schemas.microsoft.com/office/spreadsheetml/2009/9/main" uri="{B025F937-C7B1-47D3-B67F-A62EFF666E3E}">
          <x14:id>{8C9A4C69-3857-47D2-B5A7-F76CECE89D9C}</x14:id>
        </ext>
      </extLst>
    </cfRule>
  </conditionalFormatting>
  <conditionalFormatting sqref="AG77">
    <cfRule type="dataBar" priority="783">
      <dataBar>
        <cfvo type="min"/>
        <cfvo type="max"/>
        <color rgb="FF63C384"/>
      </dataBar>
      <extLst>
        <ext xmlns:x14="http://schemas.microsoft.com/office/spreadsheetml/2009/9/main" uri="{B025F937-C7B1-47D3-B67F-A62EFF666E3E}">
          <x14:id>{BC727A4E-7E5E-4F71-B891-BD04AE67A10E}</x14:id>
        </ext>
      </extLst>
    </cfRule>
  </conditionalFormatting>
  <conditionalFormatting sqref="Q77">
    <cfRule type="cellIs" dxfId="4251" priority="782" operator="equal">
      <formula>"ja"</formula>
    </cfRule>
  </conditionalFormatting>
  <conditionalFormatting sqref="AA77">
    <cfRule type="expression" dxfId="4250" priority="781">
      <formula>AND(AND($W77&lt;TODAY(),$W77&lt;&gt;""),$X77="")</formula>
    </cfRule>
  </conditionalFormatting>
  <conditionalFormatting sqref="AG77">
    <cfRule type="dataBar" priority="780">
      <dataBar>
        <cfvo type="min"/>
        <cfvo type="max"/>
        <color rgb="FF63C384"/>
      </dataBar>
      <extLst>
        <ext xmlns:x14="http://schemas.microsoft.com/office/spreadsheetml/2009/9/main" uri="{B025F937-C7B1-47D3-B67F-A62EFF666E3E}">
          <x14:id>{6C6C147A-B76C-4722-82AB-4C8790C2F7BC}</x14:id>
        </ext>
      </extLst>
    </cfRule>
  </conditionalFormatting>
  <conditionalFormatting sqref="AG77">
    <cfRule type="dataBar" priority="779">
      <dataBar>
        <cfvo type="min"/>
        <cfvo type="max"/>
        <color rgb="FF63C384"/>
      </dataBar>
      <extLst>
        <ext xmlns:x14="http://schemas.microsoft.com/office/spreadsheetml/2009/9/main" uri="{B025F937-C7B1-47D3-B67F-A62EFF666E3E}">
          <x14:id>{343684FE-50D4-4AB3-84AB-EDC6D54F9663}</x14:id>
        </ext>
      </extLst>
    </cfRule>
  </conditionalFormatting>
  <conditionalFormatting sqref="AG77">
    <cfRule type="dataBar" priority="776">
      <dataBar>
        <cfvo type="min"/>
        <cfvo type="max"/>
        <color rgb="FF63C384"/>
      </dataBar>
      <extLst>
        <ext xmlns:x14="http://schemas.microsoft.com/office/spreadsheetml/2009/9/main" uri="{B025F937-C7B1-47D3-B67F-A62EFF666E3E}">
          <x14:id>{D24B06ED-BB61-4840-9316-F977C0EFD81C}</x14:id>
        </ext>
      </extLst>
    </cfRule>
  </conditionalFormatting>
  <conditionalFormatting sqref="AG77">
    <cfRule type="dataBar" priority="775">
      <dataBar>
        <cfvo type="min"/>
        <cfvo type="max"/>
        <color rgb="FF63C384"/>
      </dataBar>
      <extLst>
        <ext xmlns:x14="http://schemas.microsoft.com/office/spreadsheetml/2009/9/main" uri="{B025F937-C7B1-47D3-B67F-A62EFF666E3E}">
          <x14:id>{FE6EDA0D-87AA-43BF-B517-DFF0EC95BF5F}</x14:id>
        </ext>
      </extLst>
    </cfRule>
  </conditionalFormatting>
  <conditionalFormatting sqref="Q78">
    <cfRule type="cellIs" dxfId="4249" priority="774" operator="equal">
      <formula>"ja"</formula>
    </cfRule>
  </conditionalFormatting>
  <conditionalFormatting sqref="AA78">
    <cfRule type="expression" dxfId="4248" priority="773">
      <formula>AND(AND($W78&lt;TODAY(),$W78&lt;&gt;""),$X78="")</formula>
    </cfRule>
  </conditionalFormatting>
  <conditionalFormatting sqref="AG78">
    <cfRule type="dataBar" priority="772">
      <dataBar>
        <cfvo type="min"/>
        <cfvo type="max"/>
        <color rgb="FF63C384"/>
      </dataBar>
      <extLst>
        <ext xmlns:x14="http://schemas.microsoft.com/office/spreadsheetml/2009/9/main" uri="{B025F937-C7B1-47D3-B67F-A62EFF666E3E}">
          <x14:id>{8335E8A1-6EE5-4433-9864-649A17B3AA98}</x14:id>
        </ext>
      </extLst>
    </cfRule>
  </conditionalFormatting>
  <conditionalFormatting sqref="AG78">
    <cfRule type="dataBar" priority="771">
      <dataBar>
        <cfvo type="min"/>
        <cfvo type="max"/>
        <color rgb="FF63C384"/>
      </dataBar>
      <extLst>
        <ext xmlns:x14="http://schemas.microsoft.com/office/spreadsheetml/2009/9/main" uri="{B025F937-C7B1-47D3-B67F-A62EFF666E3E}">
          <x14:id>{B09845B4-4DBC-4CC9-BA24-AF9A9AC5A2F4}</x14:id>
        </ext>
      </extLst>
    </cfRule>
  </conditionalFormatting>
  <conditionalFormatting sqref="AA78">
    <cfRule type="expression" dxfId="4247" priority="770">
      <formula>AND(AND($W78&lt;TODAY(),$W78&lt;&gt;""),$X78="")</formula>
    </cfRule>
  </conditionalFormatting>
  <conditionalFormatting sqref="AG78">
    <cfRule type="dataBar" priority="769">
      <dataBar>
        <cfvo type="min"/>
        <cfvo type="max"/>
        <color rgb="FF63C384"/>
      </dataBar>
      <extLst>
        <ext xmlns:x14="http://schemas.microsoft.com/office/spreadsheetml/2009/9/main" uri="{B025F937-C7B1-47D3-B67F-A62EFF666E3E}">
          <x14:id>{BB5A23BF-4FBE-4C97-971C-43A0561032DF}</x14:id>
        </ext>
      </extLst>
    </cfRule>
  </conditionalFormatting>
  <conditionalFormatting sqref="AG78">
    <cfRule type="dataBar" priority="768">
      <dataBar>
        <cfvo type="min"/>
        <cfvo type="max"/>
        <color rgb="FF63C384"/>
      </dataBar>
      <extLst>
        <ext xmlns:x14="http://schemas.microsoft.com/office/spreadsheetml/2009/9/main" uri="{B025F937-C7B1-47D3-B67F-A62EFF666E3E}">
          <x14:id>{0792FE6A-3E8D-442B-AE0E-A2957AE9FAC4}</x14:id>
        </ext>
      </extLst>
    </cfRule>
  </conditionalFormatting>
  <conditionalFormatting sqref="Q78">
    <cfRule type="cellIs" dxfId="4246" priority="767" operator="equal">
      <formula>"ja"</formula>
    </cfRule>
  </conditionalFormatting>
  <conditionalFormatting sqref="Q79">
    <cfRule type="cellIs" dxfId="4245" priority="766" operator="equal">
      <formula>"ja"</formula>
    </cfRule>
  </conditionalFormatting>
  <conditionalFormatting sqref="AA79">
    <cfRule type="expression" dxfId="4244" priority="765">
      <formula>AND(AND($W79&lt;TODAY(),$W79&lt;&gt;""),$X79="")</formula>
    </cfRule>
  </conditionalFormatting>
  <conditionalFormatting sqref="AG79">
    <cfRule type="dataBar" priority="764">
      <dataBar>
        <cfvo type="min"/>
        <cfvo type="max"/>
        <color rgb="FF63C384"/>
      </dataBar>
      <extLst>
        <ext xmlns:x14="http://schemas.microsoft.com/office/spreadsheetml/2009/9/main" uri="{B025F937-C7B1-47D3-B67F-A62EFF666E3E}">
          <x14:id>{1EB7B584-64AA-4682-8F49-15BF0F85BDC1}</x14:id>
        </ext>
      </extLst>
    </cfRule>
  </conditionalFormatting>
  <conditionalFormatting sqref="AG79">
    <cfRule type="dataBar" priority="763">
      <dataBar>
        <cfvo type="min"/>
        <cfvo type="max"/>
        <color rgb="FF63C384"/>
      </dataBar>
      <extLst>
        <ext xmlns:x14="http://schemas.microsoft.com/office/spreadsheetml/2009/9/main" uri="{B025F937-C7B1-47D3-B67F-A62EFF666E3E}">
          <x14:id>{C106564A-3CD3-4E68-A436-2E47C675E2BE}</x14:id>
        </ext>
      </extLst>
    </cfRule>
  </conditionalFormatting>
  <conditionalFormatting sqref="Q80">
    <cfRule type="cellIs" dxfId="4243" priority="762" operator="equal">
      <formula>"ja"</formula>
    </cfRule>
  </conditionalFormatting>
  <conditionalFormatting sqref="AA80">
    <cfRule type="expression" dxfId="4242" priority="761">
      <formula>AND(AND($W80&lt;TODAY(),$W80&lt;&gt;""),$X80="")</formula>
    </cfRule>
  </conditionalFormatting>
  <conditionalFormatting sqref="AG80">
    <cfRule type="dataBar" priority="760">
      <dataBar>
        <cfvo type="min"/>
        <cfvo type="max"/>
        <color rgb="FF63C384"/>
      </dataBar>
      <extLst>
        <ext xmlns:x14="http://schemas.microsoft.com/office/spreadsheetml/2009/9/main" uri="{B025F937-C7B1-47D3-B67F-A62EFF666E3E}">
          <x14:id>{D87D196D-C932-4525-B4FF-A25BC7FF48FB}</x14:id>
        </ext>
      </extLst>
    </cfRule>
  </conditionalFormatting>
  <conditionalFormatting sqref="AG80">
    <cfRule type="dataBar" priority="759">
      <dataBar>
        <cfvo type="min"/>
        <cfvo type="max"/>
        <color rgb="FF63C384"/>
      </dataBar>
      <extLst>
        <ext xmlns:x14="http://schemas.microsoft.com/office/spreadsheetml/2009/9/main" uri="{B025F937-C7B1-47D3-B67F-A62EFF666E3E}">
          <x14:id>{1C7BC594-3D0D-4D5B-9816-9CA553D4C040}</x14:id>
        </ext>
      </extLst>
    </cfRule>
  </conditionalFormatting>
  <conditionalFormatting sqref="AA80">
    <cfRule type="expression" dxfId="4241" priority="758">
      <formula>AND(AND($W80&lt;TODAY(),$W80&lt;&gt;""),$X80="")</formula>
    </cfRule>
  </conditionalFormatting>
  <conditionalFormatting sqref="Q80">
    <cfRule type="cellIs" dxfId="4240" priority="757" operator="equal">
      <formula>"ja"</formula>
    </cfRule>
  </conditionalFormatting>
  <conditionalFormatting sqref="AG80">
    <cfRule type="dataBar" priority="756">
      <dataBar>
        <cfvo type="min"/>
        <cfvo type="max"/>
        <color rgb="FF63C384"/>
      </dataBar>
      <extLst>
        <ext xmlns:x14="http://schemas.microsoft.com/office/spreadsheetml/2009/9/main" uri="{B025F937-C7B1-47D3-B67F-A62EFF666E3E}">
          <x14:id>{33F8954C-AA36-4FE9-8A77-83A4677FE90A}</x14:id>
        </ext>
      </extLst>
    </cfRule>
  </conditionalFormatting>
  <conditionalFormatting sqref="AG80">
    <cfRule type="dataBar" priority="755">
      <dataBar>
        <cfvo type="min"/>
        <cfvo type="max"/>
        <color rgb="FF63C384"/>
      </dataBar>
      <extLst>
        <ext xmlns:x14="http://schemas.microsoft.com/office/spreadsheetml/2009/9/main" uri="{B025F937-C7B1-47D3-B67F-A62EFF666E3E}">
          <x14:id>{77A608E9-F657-43D4-9701-357B448FB496}</x14:id>
        </ext>
      </extLst>
    </cfRule>
  </conditionalFormatting>
  <conditionalFormatting sqref="Q81">
    <cfRule type="cellIs" dxfId="4239" priority="754" operator="equal">
      <formula>"ja"</formula>
    </cfRule>
  </conditionalFormatting>
  <conditionalFormatting sqref="AA81">
    <cfRule type="expression" dxfId="4238" priority="753">
      <formula>AND(AND($W81&lt;TODAY(),$W81&lt;&gt;""),$X81="")</formula>
    </cfRule>
  </conditionalFormatting>
  <conditionalFormatting sqref="AG81">
    <cfRule type="dataBar" priority="752">
      <dataBar>
        <cfvo type="min"/>
        <cfvo type="max"/>
        <color rgb="FF63C384"/>
      </dataBar>
      <extLst>
        <ext xmlns:x14="http://schemas.microsoft.com/office/spreadsheetml/2009/9/main" uri="{B025F937-C7B1-47D3-B67F-A62EFF666E3E}">
          <x14:id>{FF79FC66-D39E-4FC3-9C7C-C8B869709DBC}</x14:id>
        </ext>
      </extLst>
    </cfRule>
  </conditionalFormatting>
  <conditionalFormatting sqref="AG81">
    <cfRule type="dataBar" priority="751">
      <dataBar>
        <cfvo type="min"/>
        <cfvo type="max"/>
        <color rgb="FF63C384"/>
      </dataBar>
      <extLst>
        <ext xmlns:x14="http://schemas.microsoft.com/office/spreadsheetml/2009/9/main" uri="{B025F937-C7B1-47D3-B67F-A62EFF666E3E}">
          <x14:id>{3FCBE29A-2F9C-4587-8255-178FCCDD8A8B}</x14:id>
        </ext>
      </extLst>
    </cfRule>
  </conditionalFormatting>
  <conditionalFormatting sqref="Q81">
    <cfRule type="cellIs" dxfId="4237" priority="750" operator="equal">
      <formula>"ja"</formula>
    </cfRule>
  </conditionalFormatting>
  <conditionalFormatting sqref="AA81">
    <cfRule type="expression" dxfId="4236" priority="749">
      <formula>AND(AND($W81&lt;TODAY(),$W81&lt;&gt;""),$X81="")</formula>
    </cfRule>
  </conditionalFormatting>
  <conditionalFormatting sqref="AG81">
    <cfRule type="dataBar" priority="748">
      <dataBar>
        <cfvo type="min"/>
        <cfvo type="max"/>
        <color rgb="FF63C384"/>
      </dataBar>
      <extLst>
        <ext xmlns:x14="http://schemas.microsoft.com/office/spreadsheetml/2009/9/main" uri="{B025F937-C7B1-47D3-B67F-A62EFF666E3E}">
          <x14:id>{351BF9FC-C43B-4B2E-85B6-6F7286B53EBF}</x14:id>
        </ext>
      </extLst>
    </cfRule>
  </conditionalFormatting>
  <conditionalFormatting sqref="AG81">
    <cfRule type="dataBar" priority="747">
      <dataBar>
        <cfvo type="min"/>
        <cfvo type="max"/>
        <color rgb="FF63C384"/>
      </dataBar>
      <extLst>
        <ext xmlns:x14="http://schemas.microsoft.com/office/spreadsheetml/2009/9/main" uri="{B025F937-C7B1-47D3-B67F-A62EFF666E3E}">
          <x14:id>{5FEAE523-8D0D-40C3-82ED-7FAA22742DDF}</x14:id>
        </ext>
      </extLst>
    </cfRule>
  </conditionalFormatting>
  <conditionalFormatting sqref="Q81">
    <cfRule type="cellIs" dxfId="4235" priority="746" operator="equal">
      <formula>"ja"</formula>
    </cfRule>
  </conditionalFormatting>
  <conditionalFormatting sqref="AA81">
    <cfRule type="expression" dxfId="4234" priority="745">
      <formula>AND(AND($W81&lt;TODAY(),$W81&lt;&gt;""),$X81="")</formula>
    </cfRule>
  </conditionalFormatting>
  <conditionalFormatting sqref="AG81">
    <cfRule type="dataBar" priority="744">
      <dataBar>
        <cfvo type="min"/>
        <cfvo type="max"/>
        <color rgb="FF63C384"/>
      </dataBar>
      <extLst>
        <ext xmlns:x14="http://schemas.microsoft.com/office/spreadsheetml/2009/9/main" uri="{B025F937-C7B1-47D3-B67F-A62EFF666E3E}">
          <x14:id>{21EC8FEC-CBD7-4DBC-A546-D254818F378C}</x14:id>
        </ext>
      </extLst>
    </cfRule>
  </conditionalFormatting>
  <conditionalFormatting sqref="AG81">
    <cfRule type="dataBar" priority="743">
      <dataBar>
        <cfvo type="min"/>
        <cfvo type="max"/>
        <color rgb="FF63C384"/>
      </dataBar>
      <extLst>
        <ext xmlns:x14="http://schemas.microsoft.com/office/spreadsheetml/2009/9/main" uri="{B025F937-C7B1-47D3-B67F-A62EFF666E3E}">
          <x14:id>{54AD62D2-E97D-45A2-A3FF-74486196F4B2}</x14:id>
        </ext>
      </extLst>
    </cfRule>
  </conditionalFormatting>
  <conditionalFormatting sqref="Q82">
    <cfRule type="cellIs" dxfId="4233" priority="742" operator="equal">
      <formula>"ja"</formula>
    </cfRule>
  </conditionalFormatting>
  <conditionalFormatting sqref="AA82">
    <cfRule type="expression" dxfId="4232" priority="741">
      <formula>AND(AND($W82&lt;TODAY(),$W82&lt;&gt;""),$X82="")</formula>
    </cfRule>
  </conditionalFormatting>
  <conditionalFormatting sqref="AG82">
    <cfRule type="dataBar" priority="740">
      <dataBar>
        <cfvo type="min"/>
        <cfvo type="max"/>
        <color rgb="FF63C384"/>
      </dataBar>
      <extLst>
        <ext xmlns:x14="http://schemas.microsoft.com/office/spreadsheetml/2009/9/main" uri="{B025F937-C7B1-47D3-B67F-A62EFF666E3E}">
          <x14:id>{E5CF0566-EC80-43B5-85FC-B4BB50F10172}</x14:id>
        </ext>
      </extLst>
    </cfRule>
  </conditionalFormatting>
  <conditionalFormatting sqref="AG82">
    <cfRule type="dataBar" priority="739">
      <dataBar>
        <cfvo type="min"/>
        <cfvo type="max"/>
        <color rgb="FF63C384"/>
      </dataBar>
      <extLst>
        <ext xmlns:x14="http://schemas.microsoft.com/office/spreadsheetml/2009/9/main" uri="{B025F937-C7B1-47D3-B67F-A62EFF666E3E}">
          <x14:id>{8E8E6E1A-5786-4913-ACF9-94B817F02A8B}</x14:id>
        </ext>
      </extLst>
    </cfRule>
  </conditionalFormatting>
  <conditionalFormatting sqref="Q83">
    <cfRule type="cellIs" dxfId="4231" priority="738" operator="equal">
      <formula>"ja"</formula>
    </cfRule>
  </conditionalFormatting>
  <conditionalFormatting sqref="AA83">
    <cfRule type="expression" dxfId="4230" priority="737">
      <formula>AND(AND($W83&lt;TODAY(),$W83&lt;&gt;""),$X83="")</formula>
    </cfRule>
  </conditionalFormatting>
  <conditionalFormatting sqref="AG83">
    <cfRule type="dataBar" priority="736">
      <dataBar>
        <cfvo type="min"/>
        <cfvo type="max"/>
        <color rgb="FF63C384"/>
      </dataBar>
      <extLst>
        <ext xmlns:x14="http://schemas.microsoft.com/office/spreadsheetml/2009/9/main" uri="{B025F937-C7B1-47D3-B67F-A62EFF666E3E}">
          <x14:id>{62EFBCF7-ED0C-4CCE-A4AE-A755FCD1D457}</x14:id>
        </ext>
      </extLst>
    </cfRule>
  </conditionalFormatting>
  <conditionalFormatting sqref="AG83">
    <cfRule type="dataBar" priority="735">
      <dataBar>
        <cfvo type="min"/>
        <cfvo type="max"/>
        <color rgb="FF63C384"/>
      </dataBar>
      <extLst>
        <ext xmlns:x14="http://schemas.microsoft.com/office/spreadsheetml/2009/9/main" uri="{B025F937-C7B1-47D3-B67F-A62EFF666E3E}">
          <x14:id>{937D2FA8-DA07-45A5-9771-C2464A8D9769}</x14:id>
        </ext>
      </extLst>
    </cfRule>
  </conditionalFormatting>
  <conditionalFormatting sqref="Q83">
    <cfRule type="cellIs" dxfId="4229" priority="734" operator="equal">
      <formula>"ja"</formula>
    </cfRule>
  </conditionalFormatting>
  <conditionalFormatting sqref="AA83">
    <cfRule type="expression" dxfId="4228" priority="733">
      <formula>AND(AND($W83&lt;TODAY(),$W83&lt;&gt;""),$X83="")</formula>
    </cfRule>
  </conditionalFormatting>
  <conditionalFormatting sqref="AG83">
    <cfRule type="dataBar" priority="732">
      <dataBar>
        <cfvo type="min"/>
        <cfvo type="max"/>
        <color rgb="FF63C384"/>
      </dataBar>
      <extLst>
        <ext xmlns:x14="http://schemas.microsoft.com/office/spreadsheetml/2009/9/main" uri="{B025F937-C7B1-47D3-B67F-A62EFF666E3E}">
          <x14:id>{DC405DBB-20A4-4AE8-AC03-8122876619C2}</x14:id>
        </ext>
      </extLst>
    </cfRule>
  </conditionalFormatting>
  <conditionalFormatting sqref="AG83">
    <cfRule type="dataBar" priority="731">
      <dataBar>
        <cfvo type="min"/>
        <cfvo type="max"/>
        <color rgb="FF63C384"/>
      </dataBar>
      <extLst>
        <ext xmlns:x14="http://schemas.microsoft.com/office/spreadsheetml/2009/9/main" uri="{B025F937-C7B1-47D3-B67F-A62EFF666E3E}">
          <x14:id>{5BEBC9C5-8F30-4048-85CF-925176C9BBD5}</x14:id>
        </ext>
      </extLst>
    </cfRule>
  </conditionalFormatting>
  <conditionalFormatting sqref="Q84">
    <cfRule type="cellIs" dxfId="4227" priority="730" operator="equal">
      <formula>"ja"</formula>
    </cfRule>
  </conditionalFormatting>
  <conditionalFormatting sqref="AA84">
    <cfRule type="expression" dxfId="4226" priority="729">
      <formula>AND(AND($W84&lt;TODAY(),$W84&lt;&gt;""),$X84="")</formula>
    </cfRule>
  </conditionalFormatting>
  <conditionalFormatting sqref="AG84">
    <cfRule type="dataBar" priority="728">
      <dataBar>
        <cfvo type="min"/>
        <cfvo type="max"/>
        <color rgb="FF63C384"/>
      </dataBar>
      <extLst>
        <ext xmlns:x14="http://schemas.microsoft.com/office/spreadsheetml/2009/9/main" uri="{B025F937-C7B1-47D3-B67F-A62EFF666E3E}">
          <x14:id>{3CE3EA80-5748-46DC-A599-58C61E21DBB1}</x14:id>
        </ext>
      </extLst>
    </cfRule>
  </conditionalFormatting>
  <conditionalFormatting sqref="AG84">
    <cfRule type="dataBar" priority="727">
      <dataBar>
        <cfvo type="min"/>
        <cfvo type="max"/>
        <color rgb="FF63C384"/>
      </dataBar>
      <extLst>
        <ext xmlns:x14="http://schemas.microsoft.com/office/spreadsheetml/2009/9/main" uri="{B025F937-C7B1-47D3-B67F-A62EFF666E3E}">
          <x14:id>{B3214066-812A-4AF8-9784-93E7EE60D432}</x14:id>
        </ext>
      </extLst>
    </cfRule>
  </conditionalFormatting>
  <conditionalFormatting sqref="AA84">
    <cfRule type="expression" dxfId="4225" priority="726">
      <formula>AND(AND($W84&lt;TODAY(),$W84&lt;&gt;""),$X84="")</formula>
    </cfRule>
  </conditionalFormatting>
  <conditionalFormatting sqref="AG84">
    <cfRule type="dataBar" priority="725">
      <dataBar>
        <cfvo type="min"/>
        <cfvo type="max"/>
        <color rgb="FF63C384"/>
      </dataBar>
      <extLst>
        <ext xmlns:x14="http://schemas.microsoft.com/office/spreadsheetml/2009/9/main" uri="{B025F937-C7B1-47D3-B67F-A62EFF666E3E}">
          <x14:id>{A2C1234D-F052-41D3-9ADF-7701795C7185}</x14:id>
        </ext>
      </extLst>
    </cfRule>
  </conditionalFormatting>
  <conditionalFormatting sqref="AG84">
    <cfRule type="dataBar" priority="724">
      <dataBar>
        <cfvo type="min"/>
        <cfvo type="max"/>
        <color rgb="FF63C384"/>
      </dataBar>
      <extLst>
        <ext xmlns:x14="http://schemas.microsoft.com/office/spreadsheetml/2009/9/main" uri="{B025F937-C7B1-47D3-B67F-A62EFF666E3E}">
          <x14:id>{E50568CE-2278-4432-B4AB-C816ED7725E7}</x14:id>
        </ext>
      </extLst>
    </cfRule>
  </conditionalFormatting>
  <conditionalFormatting sqref="Q84">
    <cfRule type="cellIs" dxfId="4224" priority="723" operator="equal">
      <formula>"ja"</formula>
    </cfRule>
  </conditionalFormatting>
  <conditionalFormatting sqref="AA85">
    <cfRule type="expression" dxfId="4223" priority="722">
      <formula>AND(AND($W85&lt;TODAY(),$W85&lt;&gt;""),$X85="")</formula>
    </cfRule>
  </conditionalFormatting>
  <conditionalFormatting sqref="Q85">
    <cfRule type="cellIs" dxfId="4222" priority="721" operator="equal">
      <formula>"ja"</formula>
    </cfRule>
  </conditionalFormatting>
  <conditionalFormatting sqref="AG85">
    <cfRule type="dataBar" priority="720">
      <dataBar>
        <cfvo type="min"/>
        <cfvo type="max"/>
        <color rgb="FF63C384"/>
      </dataBar>
      <extLst>
        <ext xmlns:x14="http://schemas.microsoft.com/office/spreadsheetml/2009/9/main" uri="{B025F937-C7B1-47D3-B67F-A62EFF666E3E}">
          <x14:id>{B3BC045F-E08D-4681-AE8C-BE7874CA48F2}</x14:id>
        </ext>
      </extLst>
    </cfRule>
  </conditionalFormatting>
  <conditionalFormatting sqref="AG85">
    <cfRule type="dataBar" priority="719">
      <dataBar>
        <cfvo type="min"/>
        <cfvo type="max"/>
        <color rgb="FF63C384"/>
      </dataBar>
      <extLst>
        <ext xmlns:x14="http://schemas.microsoft.com/office/spreadsheetml/2009/9/main" uri="{B025F937-C7B1-47D3-B67F-A62EFF666E3E}">
          <x14:id>{00FA12E9-4A10-4972-8674-BE073B2699F5}</x14:id>
        </ext>
      </extLst>
    </cfRule>
  </conditionalFormatting>
  <conditionalFormatting sqref="AA86">
    <cfRule type="expression" dxfId="4221" priority="718">
      <formula>AND(AND($W86&lt;TODAY(),$W86&lt;&gt;""),$X86="")</formula>
    </cfRule>
  </conditionalFormatting>
  <conditionalFormatting sqref="AG86">
    <cfRule type="dataBar" priority="717">
      <dataBar>
        <cfvo type="min"/>
        <cfvo type="max"/>
        <color rgb="FF63C384"/>
      </dataBar>
      <extLst>
        <ext xmlns:x14="http://schemas.microsoft.com/office/spreadsheetml/2009/9/main" uri="{B025F937-C7B1-47D3-B67F-A62EFF666E3E}">
          <x14:id>{8F1CF77A-B4EF-4972-A92D-685802590102}</x14:id>
        </ext>
      </extLst>
    </cfRule>
  </conditionalFormatting>
  <conditionalFormatting sqref="AG86">
    <cfRule type="dataBar" priority="716">
      <dataBar>
        <cfvo type="min"/>
        <cfvo type="max"/>
        <color rgb="FF63C384"/>
      </dataBar>
      <extLst>
        <ext xmlns:x14="http://schemas.microsoft.com/office/spreadsheetml/2009/9/main" uri="{B025F937-C7B1-47D3-B67F-A62EFF666E3E}">
          <x14:id>{2E6E553D-6B8F-4018-895C-EDC55DF49245}</x14:id>
        </ext>
      </extLst>
    </cfRule>
  </conditionalFormatting>
  <conditionalFormatting sqref="Q86">
    <cfRule type="cellIs" dxfId="4220" priority="715" operator="equal">
      <formula>"ja"</formula>
    </cfRule>
  </conditionalFormatting>
  <conditionalFormatting sqref="Q87">
    <cfRule type="cellIs" dxfId="4219" priority="714" operator="equal">
      <formula>"ja"</formula>
    </cfRule>
  </conditionalFormatting>
  <conditionalFormatting sqref="AA87">
    <cfRule type="expression" dxfId="4218" priority="713">
      <formula>AND(AND($W87&lt;TODAY(),$W87&lt;&gt;""),$X87="")</formula>
    </cfRule>
  </conditionalFormatting>
  <conditionalFormatting sqref="AG87">
    <cfRule type="dataBar" priority="712">
      <dataBar>
        <cfvo type="min"/>
        <cfvo type="max"/>
        <color rgb="FF63C384"/>
      </dataBar>
      <extLst>
        <ext xmlns:x14="http://schemas.microsoft.com/office/spreadsheetml/2009/9/main" uri="{B025F937-C7B1-47D3-B67F-A62EFF666E3E}">
          <x14:id>{8E37F48D-849D-4CCB-BF1E-0A79F2B80CBF}</x14:id>
        </ext>
      </extLst>
    </cfRule>
  </conditionalFormatting>
  <conditionalFormatting sqref="AG87">
    <cfRule type="dataBar" priority="711">
      <dataBar>
        <cfvo type="min"/>
        <cfvo type="max"/>
        <color rgb="FF63C384"/>
      </dataBar>
      <extLst>
        <ext xmlns:x14="http://schemas.microsoft.com/office/spreadsheetml/2009/9/main" uri="{B025F937-C7B1-47D3-B67F-A62EFF666E3E}">
          <x14:id>{8299F6BB-1F1B-4DB5-9000-BB06A89DC70A}</x14:id>
        </ext>
      </extLst>
    </cfRule>
  </conditionalFormatting>
  <conditionalFormatting sqref="Q88">
    <cfRule type="cellIs" dxfId="4217" priority="710" operator="equal">
      <formula>"ja"</formula>
    </cfRule>
  </conditionalFormatting>
  <conditionalFormatting sqref="AA88">
    <cfRule type="expression" dxfId="4216" priority="709">
      <formula>AND(AND($W88&lt;TODAY(),$W88&lt;&gt;""),$X88="")</formula>
    </cfRule>
  </conditionalFormatting>
  <conditionalFormatting sqref="AG88">
    <cfRule type="dataBar" priority="708">
      <dataBar>
        <cfvo type="min"/>
        <cfvo type="max"/>
        <color rgb="FF63C384"/>
      </dataBar>
      <extLst>
        <ext xmlns:x14="http://schemas.microsoft.com/office/spreadsheetml/2009/9/main" uri="{B025F937-C7B1-47D3-B67F-A62EFF666E3E}">
          <x14:id>{79804722-E2FB-453F-AA2A-FCB875C8DDDC}</x14:id>
        </ext>
      </extLst>
    </cfRule>
  </conditionalFormatting>
  <conditionalFormatting sqref="AG88">
    <cfRule type="dataBar" priority="707">
      <dataBar>
        <cfvo type="min"/>
        <cfvo type="max"/>
        <color rgb="FF63C384"/>
      </dataBar>
      <extLst>
        <ext xmlns:x14="http://schemas.microsoft.com/office/spreadsheetml/2009/9/main" uri="{B025F937-C7B1-47D3-B67F-A62EFF666E3E}">
          <x14:id>{ADE719F7-1595-4D9C-B4E6-F40515477BA0}</x14:id>
        </ext>
      </extLst>
    </cfRule>
  </conditionalFormatting>
  <conditionalFormatting sqref="Q89">
    <cfRule type="cellIs" dxfId="4215" priority="706" operator="equal">
      <formula>"ja"</formula>
    </cfRule>
  </conditionalFormatting>
  <conditionalFormatting sqref="Q89">
    <cfRule type="cellIs" dxfId="4214" priority="694" operator="equal">
      <formula>"ja"</formula>
    </cfRule>
  </conditionalFormatting>
  <conditionalFormatting sqref="AA89">
    <cfRule type="expression" dxfId="4213" priority="693">
      <formula>AND(AND($W89&lt;TODAY(),$W89&lt;&gt;""),$X89="")</formula>
    </cfRule>
  </conditionalFormatting>
  <conditionalFormatting sqref="AA89">
    <cfRule type="expression" dxfId="4212" priority="705">
      <formula>AND(AND($W89&lt;TODAY(),$W89&lt;&gt;""),$X89="")</formula>
    </cfRule>
  </conditionalFormatting>
  <conditionalFormatting sqref="AG89">
    <cfRule type="dataBar" priority="704">
      <dataBar>
        <cfvo type="min"/>
        <cfvo type="max"/>
        <color rgb="FF63C384"/>
      </dataBar>
      <extLst>
        <ext xmlns:x14="http://schemas.microsoft.com/office/spreadsheetml/2009/9/main" uri="{B025F937-C7B1-47D3-B67F-A62EFF666E3E}">
          <x14:id>{31F5B3C7-5BD8-4CE4-ACAE-156CDF7661B5}</x14:id>
        </ext>
      </extLst>
    </cfRule>
  </conditionalFormatting>
  <conditionalFormatting sqref="AG89">
    <cfRule type="dataBar" priority="703">
      <dataBar>
        <cfvo type="min"/>
        <cfvo type="max"/>
        <color rgb="FF63C384"/>
      </dataBar>
      <extLst>
        <ext xmlns:x14="http://schemas.microsoft.com/office/spreadsheetml/2009/9/main" uri="{B025F937-C7B1-47D3-B67F-A62EFF666E3E}">
          <x14:id>{91E67259-09CC-4B60-AFA8-8B43A3022C44}</x14:id>
        </ext>
      </extLst>
    </cfRule>
  </conditionalFormatting>
  <conditionalFormatting sqref="Q89">
    <cfRule type="cellIs" dxfId="4211" priority="702" operator="equal">
      <formula>"ja"</formula>
    </cfRule>
  </conditionalFormatting>
  <conditionalFormatting sqref="AA89">
    <cfRule type="expression" dxfId="4210" priority="701">
      <formula>AND(AND($W89&lt;TODAY(),$W89&lt;&gt;""),$X89="")</formula>
    </cfRule>
  </conditionalFormatting>
  <conditionalFormatting sqref="AG89">
    <cfRule type="dataBar" priority="700">
      <dataBar>
        <cfvo type="min"/>
        <cfvo type="max"/>
        <color rgb="FF63C384"/>
      </dataBar>
      <extLst>
        <ext xmlns:x14="http://schemas.microsoft.com/office/spreadsheetml/2009/9/main" uri="{B025F937-C7B1-47D3-B67F-A62EFF666E3E}">
          <x14:id>{9923D1A0-4210-42D8-AA60-E4CEF88DD04A}</x14:id>
        </ext>
      </extLst>
    </cfRule>
  </conditionalFormatting>
  <conditionalFormatting sqref="AG89">
    <cfRule type="dataBar" priority="699">
      <dataBar>
        <cfvo type="min"/>
        <cfvo type="max"/>
        <color rgb="FF63C384"/>
      </dataBar>
      <extLst>
        <ext xmlns:x14="http://schemas.microsoft.com/office/spreadsheetml/2009/9/main" uri="{B025F937-C7B1-47D3-B67F-A62EFF666E3E}">
          <x14:id>{1D890889-687D-4E6B-97A8-B26DEB507E8A}</x14:id>
        </ext>
      </extLst>
    </cfRule>
  </conditionalFormatting>
  <conditionalFormatting sqref="Q89">
    <cfRule type="cellIs" dxfId="4209" priority="698" operator="equal">
      <formula>"ja"</formula>
    </cfRule>
  </conditionalFormatting>
  <conditionalFormatting sqref="AA89">
    <cfRule type="expression" dxfId="4208" priority="697">
      <formula>AND(AND($W89&lt;TODAY(),$W89&lt;&gt;""),$X89="")</formula>
    </cfRule>
  </conditionalFormatting>
  <conditionalFormatting sqref="AG89">
    <cfRule type="dataBar" priority="696">
      <dataBar>
        <cfvo type="min"/>
        <cfvo type="max"/>
        <color rgb="FF63C384"/>
      </dataBar>
      <extLst>
        <ext xmlns:x14="http://schemas.microsoft.com/office/spreadsheetml/2009/9/main" uri="{B025F937-C7B1-47D3-B67F-A62EFF666E3E}">
          <x14:id>{17337DC4-CC3F-4D7F-AA72-15E47E76B8A3}</x14:id>
        </ext>
      </extLst>
    </cfRule>
  </conditionalFormatting>
  <conditionalFormatting sqref="AG89">
    <cfRule type="dataBar" priority="695">
      <dataBar>
        <cfvo type="min"/>
        <cfvo type="max"/>
        <color rgb="FF63C384"/>
      </dataBar>
      <extLst>
        <ext xmlns:x14="http://schemas.microsoft.com/office/spreadsheetml/2009/9/main" uri="{B025F937-C7B1-47D3-B67F-A62EFF666E3E}">
          <x14:id>{89C501C7-3965-458F-A77D-67B5A95E168B}</x14:id>
        </ext>
      </extLst>
    </cfRule>
  </conditionalFormatting>
  <conditionalFormatting sqref="AG89">
    <cfRule type="dataBar" priority="692">
      <dataBar>
        <cfvo type="min"/>
        <cfvo type="max"/>
        <color rgb="FF63C384"/>
      </dataBar>
      <extLst>
        <ext xmlns:x14="http://schemas.microsoft.com/office/spreadsheetml/2009/9/main" uri="{B025F937-C7B1-47D3-B67F-A62EFF666E3E}">
          <x14:id>{6C5365F7-6E39-45B2-AE11-F22F91088B9E}</x14:id>
        </ext>
      </extLst>
    </cfRule>
  </conditionalFormatting>
  <conditionalFormatting sqref="AG89">
    <cfRule type="dataBar" priority="691">
      <dataBar>
        <cfvo type="min"/>
        <cfvo type="max"/>
        <color rgb="FF63C384"/>
      </dataBar>
      <extLst>
        <ext xmlns:x14="http://schemas.microsoft.com/office/spreadsheetml/2009/9/main" uri="{B025F937-C7B1-47D3-B67F-A62EFF666E3E}">
          <x14:id>{40FA3D95-CF54-40DF-BB46-20EFFBCF3E0B}</x14:id>
        </ext>
      </extLst>
    </cfRule>
  </conditionalFormatting>
  <conditionalFormatting sqref="Q90">
    <cfRule type="cellIs" dxfId="4207" priority="690" operator="equal">
      <formula>"ja"</formula>
    </cfRule>
  </conditionalFormatting>
  <conditionalFormatting sqref="AA90">
    <cfRule type="expression" dxfId="4206" priority="689">
      <formula>AND(AND($W90&lt;TODAY(),$W90&lt;&gt;""),$X90="")</formula>
    </cfRule>
  </conditionalFormatting>
  <conditionalFormatting sqref="AG90">
    <cfRule type="dataBar" priority="688">
      <dataBar>
        <cfvo type="min"/>
        <cfvo type="max"/>
        <color rgb="FF63C384"/>
      </dataBar>
      <extLst>
        <ext xmlns:x14="http://schemas.microsoft.com/office/spreadsheetml/2009/9/main" uri="{B025F937-C7B1-47D3-B67F-A62EFF666E3E}">
          <x14:id>{440CF256-7EDE-431F-B905-A3792FCE4CAD}</x14:id>
        </ext>
      </extLst>
    </cfRule>
  </conditionalFormatting>
  <conditionalFormatting sqref="AG90">
    <cfRule type="dataBar" priority="687">
      <dataBar>
        <cfvo type="min"/>
        <cfvo type="max"/>
        <color rgb="FF63C384"/>
      </dataBar>
      <extLst>
        <ext xmlns:x14="http://schemas.microsoft.com/office/spreadsheetml/2009/9/main" uri="{B025F937-C7B1-47D3-B67F-A62EFF666E3E}">
          <x14:id>{7FAD9306-2A0B-4A23-827F-7EDBD699C5A0}</x14:id>
        </ext>
      </extLst>
    </cfRule>
  </conditionalFormatting>
  <conditionalFormatting sqref="AA90">
    <cfRule type="expression" dxfId="4205" priority="686">
      <formula>AND(AND($W90&lt;TODAY(),$W90&lt;&gt;""),$X90="")</formula>
    </cfRule>
  </conditionalFormatting>
  <conditionalFormatting sqref="AG90">
    <cfRule type="dataBar" priority="685">
      <dataBar>
        <cfvo type="min"/>
        <cfvo type="max"/>
        <color rgb="FF63C384"/>
      </dataBar>
      <extLst>
        <ext xmlns:x14="http://schemas.microsoft.com/office/spreadsheetml/2009/9/main" uri="{B025F937-C7B1-47D3-B67F-A62EFF666E3E}">
          <x14:id>{8D95EF63-DCD2-4126-8B8C-21DD27C72B93}</x14:id>
        </ext>
      </extLst>
    </cfRule>
  </conditionalFormatting>
  <conditionalFormatting sqref="AG90">
    <cfRule type="dataBar" priority="684">
      <dataBar>
        <cfvo type="min"/>
        <cfvo type="max"/>
        <color rgb="FF63C384"/>
      </dataBar>
      <extLst>
        <ext xmlns:x14="http://schemas.microsoft.com/office/spreadsheetml/2009/9/main" uri="{B025F937-C7B1-47D3-B67F-A62EFF666E3E}">
          <x14:id>{6EBB29C8-96DE-4DF9-AAFE-F8AB72DBA25F}</x14:id>
        </ext>
      </extLst>
    </cfRule>
  </conditionalFormatting>
  <conditionalFormatting sqref="Q90">
    <cfRule type="cellIs" dxfId="4204" priority="683" operator="equal">
      <formula>"ja"</formula>
    </cfRule>
  </conditionalFormatting>
  <conditionalFormatting sqref="Q91">
    <cfRule type="cellIs" dxfId="4203" priority="682" operator="equal">
      <formula>"ja"</formula>
    </cfRule>
  </conditionalFormatting>
  <conditionalFormatting sqref="AA91">
    <cfRule type="expression" dxfId="4202" priority="681">
      <formula>AND(AND($W91&lt;TODAY(),$W91&lt;&gt;""),$X91="")</formula>
    </cfRule>
  </conditionalFormatting>
  <conditionalFormatting sqref="AG91">
    <cfRule type="dataBar" priority="680">
      <dataBar>
        <cfvo type="min"/>
        <cfvo type="max"/>
        <color rgb="FF63C384"/>
      </dataBar>
      <extLst>
        <ext xmlns:x14="http://schemas.microsoft.com/office/spreadsheetml/2009/9/main" uri="{B025F937-C7B1-47D3-B67F-A62EFF666E3E}">
          <x14:id>{FA32004B-A8C0-423E-915B-9CDE92098C7E}</x14:id>
        </ext>
      </extLst>
    </cfRule>
  </conditionalFormatting>
  <conditionalFormatting sqref="AG91">
    <cfRule type="dataBar" priority="679">
      <dataBar>
        <cfvo type="min"/>
        <cfvo type="max"/>
        <color rgb="FF63C384"/>
      </dataBar>
      <extLst>
        <ext xmlns:x14="http://schemas.microsoft.com/office/spreadsheetml/2009/9/main" uri="{B025F937-C7B1-47D3-B67F-A62EFF666E3E}">
          <x14:id>{815CFAF9-236A-4BE0-939E-5A7D8B89C962}</x14:id>
        </ext>
      </extLst>
    </cfRule>
  </conditionalFormatting>
  <conditionalFormatting sqref="AA91">
    <cfRule type="expression" dxfId="4201" priority="678">
      <formula>AND(AND($W91&lt;TODAY(),$W91&lt;&gt;""),$X91="")</formula>
    </cfRule>
  </conditionalFormatting>
  <conditionalFormatting sqref="Q91">
    <cfRule type="cellIs" dxfId="4200" priority="677" operator="equal">
      <formula>"ja"</formula>
    </cfRule>
  </conditionalFormatting>
  <conditionalFormatting sqref="AG91">
    <cfRule type="dataBar" priority="676">
      <dataBar>
        <cfvo type="min"/>
        <cfvo type="max"/>
        <color rgb="FF63C384"/>
      </dataBar>
      <extLst>
        <ext xmlns:x14="http://schemas.microsoft.com/office/spreadsheetml/2009/9/main" uri="{B025F937-C7B1-47D3-B67F-A62EFF666E3E}">
          <x14:id>{D9A52397-5D1A-4557-BF5D-2A4B1C881C19}</x14:id>
        </ext>
      </extLst>
    </cfRule>
  </conditionalFormatting>
  <conditionalFormatting sqref="AG91">
    <cfRule type="dataBar" priority="675">
      <dataBar>
        <cfvo type="min"/>
        <cfvo type="max"/>
        <color rgb="FF63C384"/>
      </dataBar>
      <extLst>
        <ext xmlns:x14="http://schemas.microsoft.com/office/spreadsheetml/2009/9/main" uri="{B025F937-C7B1-47D3-B67F-A62EFF666E3E}">
          <x14:id>{24D59513-A2A9-40A3-9E07-15AF360D194C}</x14:id>
        </ext>
      </extLst>
    </cfRule>
  </conditionalFormatting>
  <conditionalFormatting sqref="Q92">
    <cfRule type="cellIs" dxfId="4199" priority="674" operator="equal">
      <formula>"ja"</formula>
    </cfRule>
  </conditionalFormatting>
  <conditionalFormatting sqref="AA92">
    <cfRule type="expression" dxfId="4198" priority="673">
      <formula>AND(AND($W92&lt;TODAY(),$W92&lt;&gt;""),$X92="")</formula>
    </cfRule>
  </conditionalFormatting>
  <conditionalFormatting sqref="AG92">
    <cfRule type="dataBar" priority="672">
      <dataBar>
        <cfvo type="min"/>
        <cfvo type="max"/>
        <color rgb="FF63C384"/>
      </dataBar>
      <extLst>
        <ext xmlns:x14="http://schemas.microsoft.com/office/spreadsheetml/2009/9/main" uri="{B025F937-C7B1-47D3-B67F-A62EFF666E3E}">
          <x14:id>{3D89BFB3-E038-4B74-8025-2AAF00CC6813}</x14:id>
        </ext>
      </extLst>
    </cfRule>
  </conditionalFormatting>
  <conditionalFormatting sqref="AG92">
    <cfRule type="dataBar" priority="671">
      <dataBar>
        <cfvo type="min"/>
        <cfvo type="max"/>
        <color rgb="FF63C384"/>
      </dataBar>
      <extLst>
        <ext xmlns:x14="http://schemas.microsoft.com/office/spreadsheetml/2009/9/main" uri="{B025F937-C7B1-47D3-B67F-A62EFF666E3E}">
          <x14:id>{16F066C6-120E-4E2B-A221-F7A87CE803EE}</x14:id>
        </ext>
      </extLst>
    </cfRule>
  </conditionalFormatting>
  <conditionalFormatting sqref="AA92">
    <cfRule type="expression" dxfId="4197" priority="670">
      <formula>AND(AND($W92&lt;TODAY(),$W92&lt;&gt;""),$X92="")</formula>
    </cfRule>
  </conditionalFormatting>
  <conditionalFormatting sqref="AG92">
    <cfRule type="dataBar" priority="669">
      <dataBar>
        <cfvo type="min"/>
        <cfvo type="max"/>
        <color rgb="FF63C384"/>
      </dataBar>
      <extLst>
        <ext xmlns:x14="http://schemas.microsoft.com/office/spreadsheetml/2009/9/main" uri="{B025F937-C7B1-47D3-B67F-A62EFF666E3E}">
          <x14:id>{6F101495-C4B6-48F0-ACEE-A25583A3E745}</x14:id>
        </ext>
      </extLst>
    </cfRule>
  </conditionalFormatting>
  <conditionalFormatting sqref="AG92">
    <cfRule type="dataBar" priority="668">
      <dataBar>
        <cfvo type="min"/>
        <cfvo type="max"/>
        <color rgb="FF63C384"/>
      </dataBar>
      <extLst>
        <ext xmlns:x14="http://schemas.microsoft.com/office/spreadsheetml/2009/9/main" uri="{B025F937-C7B1-47D3-B67F-A62EFF666E3E}">
          <x14:id>{F20D5AC5-3C4E-41FA-AAFC-19003C45B6ED}</x14:id>
        </ext>
      </extLst>
    </cfRule>
  </conditionalFormatting>
  <conditionalFormatting sqref="Q92">
    <cfRule type="cellIs" dxfId="4196" priority="667" operator="equal">
      <formula>"ja"</formula>
    </cfRule>
  </conditionalFormatting>
  <conditionalFormatting sqref="Q93">
    <cfRule type="cellIs" dxfId="4195" priority="666" operator="equal">
      <formula>"ja"</formula>
    </cfRule>
  </conditionalFormatting>
  <conditionalFormatting sqref="AA93">
    <cfRule type="expression" dxfId="4194" priority="665">
      <formula>AND(AND($W93&lt;TODAY(),$W93&lt;&gt;""),$X93="")</formula>
    </cfRule>
  </conditionalFormatting>
  <conditionalFormatting sqref="AG93">
    <cfRule type="dataBar" priority="664">
      <dataBar>
        <cfvo type="min"/>
        <cfvo type="max"/>
        <color rgb="FF63C384"/>
      </dataBar>
      <extLst>
        <ext xmlns:x14="http://schemas.microsoft.com/office/spreadsheetml/2009/9/main" uri="{B025F937-C7B1-47D3-B67F-A62EFF666E3E}">
          <x14:id>{9F7B1077-F206-4433-98A6-730CAE692560}</x14:id>
        </ext>
      </extLst>
    </cfRule>
  </conditionalFormatting>
  <conditionalFormatting sqref="AG93">
    <cfRule type="dataBar" priority="663">
      <dataBar>
        <cfvo type="min"/>
        <cfvo type="max"/>
        <color rgb="FF63C384"/>
      </dataBar>
      <extLst>
        <ext xmlns:x14="http://schemas.microsoft.com/office/spreadsheetml/2009/9/main" uri="{B025F937-C7B1-47D3-B67F-A62EFF666E3E}">
          <x14:id>{4666D9D9-D65B-4F84-AB33-BBE0AB220C06}</x14:id>
        </ext>
      </extLst>
    </cfRule>
  </conditionalFormatting>
  <conditionalFormatting sqref="AA94">
    <cfRule type="expression" dxfId="4193" priority="662">
      <formula>AND(AND($W94&lt;TODAY(),$W94&lt;&gt;""),$X94="")</formula>
    </cfRule>
  </conditionalFormatting>
  <conditionalFormatting sqref="AG94">
    <cfRule type="dataBar" priority="661">
      <dataBar>
        <cfvo type="min"/>
        <cfvo type="max"/>
        <color rgb="FF63C384"/>
      </dataBar>
      <extLst>
        <ext xmlns:x14="http://schemas.microsoft.com/office/spreadsheetml/2009/9/main" uri="{B025F937-C7B1-47D3-B67F-A62EFF666E3E}">
          <x14:id>{E28A5FFF-E646-4BB3-92E3-084E2D13F869}</x14:id>
        </ext>
      </extLst>
    </cfRule>
  </conditionalFormatting>
  <conditionalFormatting sqref="AG94">
    <cfRule type="dataBar" priority="660">
      <dataBar>
        <cfvo type="min"/>
        <cfvo type="max"/>
        <color rgb="FF63C384"/>
      </dataBar>
      <extLst>
        <ext xmlns:x14="http://schemas.microsoft.com/office/spreadsheetml/2009/9/main" uri="{B025F937-C7B1-47D3-B67F-A62EFF666E3E}">
          <x14:id>{20DD7779-25BC-4E43-A9D1-7CB20A314EFC}</x14:id>
        </ext>
      </extLst>
    </cfRule>
  </conditionalFormatting>
  <conditionalFormatting sqref="Q95">
    <cfRule type="cellIs" dxfId="4192" priority="659" operator="equal">
      <formula>"ja"</formula>
    </cfRule>
  </conditionalFormatting>
  <conditionalFormatting sqref="AA95">
    <cfRule type="expression" dxfId="4191" priority="658">
      <formula>AND(AND($W95&lt;TODAY(),$W95&lt;&gt;""),$X95="")</formula>
    </cfRule>
  </conditionalFormatting>
  <conditionalFormatting sqref="AG95">
    <cfRule type="dataBar" priority="657">
      <dataBar>
        <cfvo type="min"/>
        <cfvo type="max"/>
        <color rgb="FF63C384"/>
      </dataBar>
      <extLst>
        <ext xmlns:x14="http://schemas.microsoft.com/office/spreadsheetml/2009/9/main" uri="{B025F937-C7B1-47D3-B67F-A62EFF666E3E}">
          <x14:id>{E1FBC388-F3D6-42AC-9519-1D0B44BE6B03}</x14:id>
        </ext>
      </extLst>
    </cfRule>
  </conditionalFormatting>
  <conditionalFormatting sqref="AG95">
    <cfRule type="dataBar" priority="656">
      <dataBar>
        <cfvo type="min"/>
        <cfvo type="max"/>
        <color rgb="FF63C384"/>
      </dataBar>
      <extLst>
        <ext xmlns:x14="http://schemas.microsoft.com/office/spreadsheetml/2009/9/main" uri="{B025F937-C7B1-47D3-B67F-A62EFF666E3E}">
          <x14:id>{9F4CC791-78A8-4564-9FA5-7873D2575839}</x14:id>
        </ext>
      </extLst>
    </cfRule>
  </conditionalFormatting>
  <conditionalFormatting sqref="AA95">
    <cfRule type="expression" dxfId="4190" priority="655">
      <formula>AND(AND($W95&lt;TODAY(),$W95&lt;&gt;""),$X95="")</formula>
    </cfRule>
  </conditionalFormatting>
  <conditionalFormatting sqref="Q95">
    <cfRule type="cellIs" dxfId="4189" priority="654" operator="equal">
      <formula>"ja"</formula>
    </cfRule>
  </conditionalFormatting>
  <conditionalFormatting sqref="AG95">
    <cfRule type="dataBar" priority="653">
      <dataBar>
        <cfvo type="min"/>
        <cfvo type="max"/>
        <color rgb="FF63C384"/>
      </dataBar>
      <extLst>
        <ext xmlns:x14="http://schemas.microsoft.com/office/spreadsheetml/2009/9/main" uri="{B025F937-C7B1-47D3-B67F-A62EFF666E3E}">
          <x14:id>{C14EF6D6-391B-4769-AF71-330A8B7F9D4B}</x14:id>
        </ext>
      </extLst>
    </cfRule>
  </conditionalFormatting>
  <conditionalFormatting sqref="AG95">
    <cfRule type="dataBar" priority="652">
      <dataBar>
        <cfvo type="min"/>
        <cfvo type="max"/>
        <color rgb="FF63C384"/>
      </dataBar>
      <extLst>
        <ext xmlns:x14="http://schemas.microsoft.com/office/spreadsheetml/2009/9/main" uri="{B025F937-C7B1-47D3-B67F-A62EFF666E3E}">
          <x14:id>{C400F255-1569-4CE6-BE5D-F16E27443138}</x14:id>
        </ext>
      </extLst>
    </cfRule>
  </conditionalFormatting>
  <conditionalFormatting sqref="Q96">
    <cfRule type="cellIs" dxfId="4188" priority="651" operator="equal">
      <formula>"ja"</formula>
    </cfRule>
  </conditionalFormatting>
  <conditionalFormatting sqref="AA96">
    <cfRule type="expression" dxfId="4187" priority="650">
      <formula>AND(AND($W96&lt;TODAY(),$W96&lt;&gt;""),$X96="")</formula>
    </cfRule>
  </conditionalFormatting>
  <conditionalFormatting sqref="AG96">
    <cfRule type="dataBar" priority="649">
      <dataBar>
        <cfvo type="min"/>
        <cfvo type="max"/>
        <color rgb="FF63C384"/>
      </dataBar>
      <extLst>
        <ext xmlns:x14="http://schemas.microsoft.com/office/spreadsheetml/2009/9/main" uri="{B025F937-C7B1-47D3-B67F-A62EFF666E3E}">
          <x14:id>{3DD5C9CA-64B1-4075-B2A4-D480006B06DE}</x14:id>
        </ext>
      </extLst>
    </cfRule>
  </conditionalFormatting>
  <conditionalFormatting sqref="AG96">
    <cfRule type="dataBar" priority="648">
      <dataBar>
        <cfvo type="min"/>
        <cfvo type="max"/>
        <color rgb="FF63C384"/>
      </dataBar>
      <extLst>
        <ext xmlns:x14="http://schemas.microsoft.com/office/spreadsheetml/2009/9/main" uri="{B025F937-C7B1-47D3-B67F-A62EFF666E3E}">
          <x14:id>{7E537B0E-18D6-43ED-94B9-25D425422C59}</x14:id>
        </ext>
      </extLst>
    </cfRule>
  </conditionalFormatting>
  <conditionalFormatting sqref="Q97">
    <cfRule type="cellIs" dxfId="4186" priority="647" operator="equal">
      <formula>"ja"</formula>
    </cfRule>
  </conditionalFormatting>
  <conditionalFormatting sqref="AA97">
    <cfRule type="expression" dxfId="4185" priority="646">
      <formula>AND(AND($W97&lt;TODAY(),$W97&lt;&gt;""),$X97="")</formula>
    </cfRule>
  </conditionalFormatting>
  <conditionalFormatting sqref="AG97">
    <cfRule type="dataBar" priority="645">
      <dataBar>
        <cfvo type="min"/>
        <cfvo type="max"/>
        <color rgb="FF63C384"/>
      </dataBar>
      <extLst>
        <ext xmlns:x14="http://schemas.microsoft.com/office/spreadsheetml/2009/9/main" uri="{B025F937-C7B1-47D3-B67F-A62EFF666E3E}">
          <x14:id>{96AADA5A-64B0-47AF-B4C1-96589C79D34B}</x14:id>
        </ext>
      </extLst>
    </cfRule>
  </conditionalFormatting>
  <conditionalFormatting sqref="AG97">
    <cfRule type="dataBar" priority="644">
      <dataBar>
        <cfvo type="min"/>
        <cfvo type="max"/>
        <color rgb="FF63C384"/>
      </dataBar>
      <extLst>
        <ext xmlns:x14="http://schemas.microsoft.com/office/spreadsheetml/2009/9/main" uri="{B025F937-C7B1-47D3-B67F-A62EFF666E3E}">
          <x14:id>{ED62EB85-4A55-4A0F-A270-0B3A3AD99065}</x14:id>
        </ext>
      </extLst>
    </cfRule>
  </conditionalFormatting>
  <conditionalFormatting sqref="Q97">
    <cfRule type="cellIs" dxfId="4184" priority="643" operator="equal">
      <formula>"ja"</formula>
    </cfRule>
  </conditionalFormatting>
  <conditionalFormatting sqref="AA97">
    <cfRule type="expression" dxfId="4183" priority="642">
      <formula>AND(AND($W97&lt;TODAY(),$W97&lt;&gt;""),$X97="")</formula>
    </cfRule>
  </conditionalFormatting>
  <conditionalFormatting sqref="AG97">
    <cfRule type="dataBar" priority="641">
      <dataBar>
        <cfvo type="min"/>
        <cfvo type="max"/>
        <color rgb="FF63C384"/>
      </dataBar>
      <extLst>
        <ext xmlns:x14="http://schemas.microsoft.com/office/spreadsheetml/2009/9/main" uri="{B025F937-C7B1-47D3-B67F-A62EFF666E3E}">
          <x14:id>{12904545-B37D-4D22-92B9-10B44620A525}</x14:id>
        </ext>
      </extLst>
    </cfRule>
  </conditionalFormatting>
  <conditionalFormatting sqref="AG97">
    <cfRule type="dataBar" priority="640">
      <dataBar>
        <cfvo type="min"/>
        <cfvo type="max"/>
        <color rgb="FF63C384"/>
      </dataBar>
      <extLst>
        <ext xmlns:x14="http://schemas.microsoft.com/office/spreadsheetml/2009/9/main" uri="{B025F937-C7B1-47D3-B67F-A62EFF666E3E}">
          <x14:id>{8C169E7C-43B2-44FE-B4EA-FCB8B5BB8B3E}</x14:id>
        </ext>
      </extLst>
    </cfRule>
  </conditionalFormatting>
  <conditionalFormatting sqref="Q97">
    <cfRule type="cellIs" dxfId="4182" priority="639" operator="equal">
      <formula>"ja"</formula>
    </cfRule>
  </conditionalFormatting>
  <conditionalFormatting sqref="AA97">
    <cfRule type="expression" dxfId="4181" priority="638">
      <formula>AND(AND($W97&lt;TODAY(),$W97&lt;&gt;""),$X97="")</formula>
    </cfRule>
  </conditionalFormatting>
  <conditionalFormatting sqref="AG97">
    <cfRule type="dataBar" priority="637">
      <dataBar>
        <cfvo type="min"/>
        <cfvo type="max"/>
        <color rgb="FF63C384"/>
      </dataBar>
      <extLst>
        <ext xmlns:x14="http://schemas.microsoft.com/office/spreadsheetml/2009/9/main" uri="{B025F937-C7B1-47D3-B67F-A62EFF666E3E}">
          <x14:id>{A08ABC68-6CC5-42ED-A6AD-C503DA09E0FB}</x14:id>
        </ext>
      </extLst>
    </cfRule>
  </conditionalFormatting>
  <conditionalFormatting sqref="AG97">
    <cfRule type="dataBar" priority="636">
      <dataBar>
        <cfvo type="min"/>
        <cfvo type="max"/>
        <color rgb="FF63C384"/>
      </dataBar>
      <extLst>
        <ext xmlns:x14="http://schemas.microsoft.com/office/spreadsheetml/2009/9/main" uri="{B025F937-C7B1-47D3-B67F-A62EFF666E3E}">
          <x14:id>{F85D40F4-2B9F-4EA9-ADF0-A48257C2342B}</x14:id>
        </ext>
      </extLst>
    </cfRule>
  </conditionalFormatting>
  <conditionalFormatting sqref="Q98:Q99">
    <cfRule type="cellIs" dxfId="4180" priority="635" operator="equal">
      <formula>"ja"</formula>
    </cfRule>
  </conditionalFormatting>
  <conditionalFormatting sqref="AA98:AA99">
    <cfRule type="expression" dxfId="4179" priority="634">
      <formula>AND(AND($W98&lt;TODAY(),$W98&lt;&gt;""),$X98="")</formula>
    </cfRule>
  </conditionalFormatting>
  <conditionalFormatting sqref="AG98:AG99">
    <cfRule type="dataBar" priority="633">
      <dataBar>
        <cfvo type="min"/>
        <cfvo type="max"/>
        <color rgb="FF63C384"/>
      </dataBar>
      <extLst>
        <ext xmlns:x14="http://schemas.microsoft.com/office/spreadsheetml/2009/9/main" uri="{B025F937-C7B1-47D3-B67F-A62EFF666E3E}">
          <x14:id>{A817DFA5-BD65-489F-A54F-32F41F50B7CD}</x14:id>
        </ext>
      </extLst>
    </cfRule>
  </conditionalFormatting>
  <conditionalFormatting sqref="AG98:AG99">
    <cfRule type="dataBar" priority="632">
      <dataBar>
        <cfvo type="min"/>
        <cfvo type="max"/>
        <color rgb="FF63C384"/>
      </dataBar>
      <extLst>
        <ext xmlns:x14="http://schemas.microsoft.com/office/spreadsheetml/2009/9/main" uri="{B025F937-C7B1-47D3-B67F-A62EFF666E3E}">
          <x14:id>{B37DD593-AE24-44A7-940F-9F901A1E5C97}</x14:id>
        </ext>
      </extLst>
    </cfRule>
  </conditionalFormatting>
  <conditionalFormatting sqref="Q98:Q99">
    <cfRule type="cellIs" dxfId="4178" priority="631" operator="equal">
      <formula>"ja"</formula>
    </cfRule>
  </conditionalFormatting>
  <conditionalFormatting sqref="AA98:AA99">
    <cfRule type="expression" dxfId="4177" priority="630">
      <formula>AND(AND($W98&lt;TODAY(),$W98&lt;&gt;""),$X98="")</formula>
    </cfRule>
  </conditionalFormatting>
  <conditionalFormatting sqref="AG98:AG99">
    <cfRule type="dataBar" priority="629">
      <dataBar>
        <cfvo type="min"/>
        <cfvo type="max"/>
        <color rgb="FF63C384"/>
      </dataBar>
      <extLst>
        <ext xmlns:x14="http://schemas.microsoft.com/office/spreadsheetml/2009/9/main" uri="{B025F937-C7B1-47D3-B67F-A62EFF666E3E}">
          <x14:id>{B1AFEA56-D2CD-4198-AD75-F4774763050B}</x14:id>
        </ext>
      </extLst>
    </cfRule>
  </conditionalFormatting>
  <conditionalFormatting sqref="AG98:AG99">
    <cfRule type="dataBar" priority="628">
      <dataBar>
        <cfvo type="min"/>
        <cfvo type="max"/>
        <color rgb="FF63C384"/>
      </dataBar>
      <extLst>
        <ext xmlns:x14="http://schemas.microsoft.com/office/spreadsheetml/2009/9/main" uri="{B025F937-C7B1-47D3-B67F-A62EFF666E3E}">
          <x14:id>{6807F1D0-D327-4F40-97A4-7D288770CB6E}</x14:id>
        </ext>
      </extLst>
    </cfRule>
  </conditionalFormatting>
  <conditionalFormatting sqref="Q100">
    <cfRule type="cellIs" dxfId="4176" priority="627" operator="equal">
      <formula>"ja"</formula>
    </cfRule>
  </conditionalFormatting>
  <conditionalFormatting sqref="AA100">
    <cfRule type="expression" dxfId="4175" priority="626">
      <formula>AND(AND($W100&lt;TODAY(),$W100&lt;&gt;""),$X100="")</formula>
    </cfRule>
  </conditionalFormatting>
  <conditionalFormatting sqref="AG100">
    <cfRule type="dataBar" priority="625">
      <dataBar>
        <cfvo type="min"/>
        <cfvo type="max"/>
        <color rgb="FF63C384"/>
      </dataBar>
      <extLst>
        <ext xmlns:x14="http://schemas.microsoft.com/office/spreadsheetml/2009/9/main" uri="{B025F937-C7B1-47D3-B67F-A62EFF666E3E}">
          <x14:id>{A38E9415-E9B3-4CDF-8264-048954A80914}</x14:id>
        </ext>
      </extLst>
    </cfRule>
  </conditionalFormatting>
  <conditionalFormatting sqref="AG100">
    <cfRule type="dataBar" priority="624">
      <dataBar>
        <cfvo type="min"/>
        <cfvo type="max"/>
        <color rgb="FF63C384"/>
      </dataBar>
      <extLst>
        <ext xmlns:x14="http://schemas.microsoft.com/office/spreadsheetml/2009/9/main" uri="{B025F937-C7B1-47D3-B67F-A62EFF666E3E}">
          <x14:id>{A374B45B-BC0B-4214-8106-80D65F9B363A}</x14:id>
        </ext>
      </extLst>
    </cfRule>
  </conditionalFormatting>
  <conditionalFormatting sqref="AA100">
    <cfRule type="expression" dxfId="4174" priority="623">
      <formula>AND(AND($W100&lt;TODAY(),$W100&lt;&gt;""),$X100="")</formula>
    </cfRule>
  </conditionalFormatting>
  <conditionalFormatting sqref="AG100">
    <cfRule type="dataBar" priority="622">
      <dataBar>
        <cfvo type="min"/>
        <cfvo type="max"/>
        <color rgb="FF63C384"/>
      </dataBar>
      <extLst>
        <ext xmlns:x14="http://schemas.microsoft.com/office/spreadsheetml/2009/9/main" uri="{B025F937-C7B1-47D3-B67F-A62EFF666E3E}">
          <x14:id>{16C05AD3-C28E-4270-AAA9-89033FFE07AC}</x14:id>
        </ext>
      </extLst>
    </cfRule>
  </conditionalFormatting>
  <conditionalFormatting sqref="AG100">
    <cfRule type="dataBar" priority="621">
      <dataBar>
        <cfvo type="min"/>
        <cfvo type="max"/>
        <color rgb="FF63C384"/>
      </dataBar>
      <extLst>
        <ext xmlns:x14="http://schemas.microsoft.com/office/spreadsheetml/2009/9/main" uri="{B025F937-C7B1-47D3-B67F-A62EFF666E3E}">
          <x14:id>{41DF024A-6ADE-48B8-9377-120947CBC976}</x14:id>
        </ext>
      </extLst>
    </cfRule>
  </conditionalFormatting>
  <conditionalFormatting sqref="Q100">
    <cfRule type="cellIs" dxfId="4173" priority="620" operator="equal">
      <formula>"ja"</formula>
    </cfRule>
  </conditionalFormatting>
  <conditionalFormatting sqref="AA101">
    <cfRule type="expression" dxfId="4172" priority="619">
      <formula>AND(AND($W101&lt;TODAY(),$W101&lt;&gt;""),$X101="")</formula>
    </cfRule>
  </conditionalFormatting>
  <conditionalFormatting sqref="AG101">
    <cfRule type="dataBar" priority="618">
      <dataBar>
        <cfvo type="min"/>
        <cfvo type="max"/>
        <color rgb="FF63C384"/>
      </dataBar>
      <extLst>
        <ext xmlns:x14="http://schemas.microsoft.com/office/spreadsheetml/2009/9/main" uri="{B025F937-C7B1-47D3-B67F-A62EFF666E3E}">
          <x14:id>{0E8EDC50-F013-47EC-81F5-93A66C2C0686}</x14:id>
        </ext>
      </extLst>
    </cfRule>
  </conditionalFormatting>
  <conditionalFormatting sqref="AG101">
    <cfRule type="dataBar" priority="617">
      <dataBar>
        <cfvo type="min"/>
        <cfvo type="max"/>
        <color rgb="FF63C384"/>
      </dataBar>
      <extLst>
        <ext xmlns:x14="http://schemas.microsoft.com/office/spreadsheetml/2009/9/main" uri="{B025F937-C7B1-47D3-B67F-A62EFF666E3E}">
          <x14:id>{94D28F1A-34BF-4E41-ACAA-FF0F4474593B}</x14:id>
        </ext>
      </extLst>
    </cfRule>
  </conditionalFormatting>
  <conditionalFormatting sqref="Q101">
    <cfRule type="cellIs" dxfId="4171" priority="616" operator="equal">
      <formula>"ja"</formula>
    </cfRule>
  </conditionalFormatting>
  <conditionalFormatting sqref="Q102">
    <cfRule type="cellIs" dxfId="4170" priority="615" operator="equal">
      <formula>"ja"</formula>
    </cfRule>
  </conditionalFormatting>
  <conditionalFormatting sqref="AA102">
    <cfRule type="expression" dxfId="4169" priority="614">
      <formula>AND(AND($W102&lt;TODAY(),$W102&lt;&gt;""),$X102="")</formula>
    </cfRule>
  </conditionalFormatting>
  <conditionalFormatting sqref="AG102">
    <cfRule type="dataBar" priority="613">
      <dataBar>
        <cfvo type="min"/>
        <cfvo type="max"/>
        <color rgb="FF63C384"/>
      </dataBar>
      <extLst>
        <ext xmlns:x14="http://schemas.microsoft.com/office/spreadsheetml/2009/9/main" uri="{B025F937-C7B1-47D3-B67F-A62EFF666E3E}">
          <x14:id>{4F42EAD6-81B7-48CF-94CF-3BA3555A5736}</x14:id>
        </ext>
      </extLst>
    </cfRule>
  </conditionalFormatting>
  <conditionalFormatting sqref="AG102">
    <cfRule type="dataBar" priority="612">
      <dataBar>
        <cfvo type="min"/>
        <cfvo type="max"/>
        <color rgb="FF63C384"/>
      </dataBar>
      <extLst>
        <ext xmlns:x14="http://schemas.microsoft.com/office/spreadsheetml/2009/9/main" uri="{B025F937-C7B1-47D3-B67F-A62EFF666E3E}">
          <x14:id>{926A84B1-4C6F-47BB-AC40-DDB14D0095D1}</x14:id>
        </ext>
      </extLst>
    </cfRule>
  </conditionalFormatting>
  <conditionalFormatting sqref="Q103">
    <cfRule type="cellIs" dxfId="4168" priority="611" operator="equal">
      <formula>"ja"</formula>
    </cfRule>
  </conditionalFormatting>
  <conditionalFormatting sqref="AA103">
    <cfRule type="expression" dxfId="4167" priority="610">
      <formula>AND(AND($W103&lt;TODAY(),$W103&lt;&gt;""),$X103="")</formula>
    </cfRule>
  </conditionalFormatting>
  <conditionalFormatting sqref="AG103">
    <cfRule type="dataBar" priority="609">
      <dataBar>
        <cfvo type="min"/>
        <cfvo type="max"/>
        <color rgb="FF63C384"/>
      </dataBar>
      <extLst>
        <ext xmlns:x14="http://schemas.microsoft.com/office/spreadsheetml/2009/9/main" uri="{B025F937-C7B1-47D3-B67F-A62EFF666E3E}">
          <x14:id>{E5891866-826B-4656-83E4-E6E98B60E2A9}</x14:id>
        </ext>
      </extLst>
    </cfRule>
  </conditionalFormatting>
  <conditionalFormatting sqref="AG103">
    <cfRule type="dataBar" priority="608">
      <dataBar>
        <cfvo type="min"/>
        <cfvo type="max"/>
        <color rgb="FF63C384"/>
      </dataBar>
      <extLst>
        <ext xmlns:x14="http://schemas.microsoft.com/office/spreadsheetml/2009/9/main" uri="{B025F937-C7B1-47D3-B67F-A62EFF666E3E}">
          <x14:id>{4FF08E1B-21B0-4105-9557-CD32E757D585}</x14:id>
        </ext>
      </extLst>
    </cfRule>
  </conditionalFormatting>
  <conditionalFormatting sqref="Q104">
    <cfRule type="cellIs" dxfId="4166" priority="607" operator="equal">
      <formula>"ja"</formula>
    </cfRule>
  </conditionalFormatting>
  <conditionalFormatting sqref="AA104">
    <cfRule type="expression" dxfId="4165" priority="606">
      <formula>AND(AND($W104&lt;TODAY(),$W104&lt;&gt;""),$X104="")</formula>
    </cfRule>
  </conditionalFormatting>
  <conditionalFormatting sqref="AG104">
    <cfRule type="dataBar" priority="605">
      <dataBar>
        <cfvo type="min"/>
        <cfvo type="max"/>
        <color rgb="FF63C384"/>
      </dataBar>
      <extLst>
        <ext xmlns:x14="http://schemas.microsoft.com/office/spreadsheetml/2009/9/main" uri="{B025F937-C7B1-47D3-B67F-A62EFF666E3E}">
          <x14:id>{C731D590-AAF0-4811-8C4F-A029BD5E9C66}</x14:id>
        </ext>
      </extLst>
    </cfRule>
  </conditionalFormatting>
  <conditionalFormatting sqref="AG104">
    <cfRule type="dataBar" priority="604">
      <dataBar>
        <cfvo type="min"/>
        <cfvo type="max"/>
        <color rgb="FF63C384"/>
      </dataBar>
      <extLst>
        <ext xmlns:x14="http://schemas.microsoft.com/office/spreadsheetml/2009/9/main" uri="{B025F937-C7B1-47D3-B67F-A62EFF666E3E}">
          <x14:id>{29F1AD0D-02FF-4565-8CB6-8C2D95838E9B}</x14:id>
        </ext>
      </extLst>
    </cfRule>
  </conditionalFormatting>
  <conditionalFormatting sqref="Q105">
    <cfRule type="cellIs" dxfId="4164" priority="603" operator="equal">
      <formula>"ja"</formula>
    </cfRule>
  </conditionalFormatting>
  <conditionalFormatting sqref="AA105">
    <cfRule type="expression" dxfId="4163" priority="602">
      <formula>AND(AND($W105&lt;TODAY(),$W105&lt;&gt;""),$X105="")</formula>
    </cfRule>
  </conditionalFormatting>
  <conditionalFormatting sqref="AG105">
    <cfRule type="dataBar" priority="601">
      <dataBar>
        <cfvo type="min"/>
        <cfvo type="max"/>
        <color rgb="FF63C384"/>
      </dataBar>
      <extLst>
        <ext xmlns:x14="http://schemas.microsoft.com/office/spreadsheetml/2009/9/main" uri="{B025F937-C7B1-47D3-B67F-A62EFF666E3E}">
          <x14:id>{8ECD7F62-DD77-4A8A-A0CC-0E21BE04CE56}</x14:id>
        </ext>
      </extLst>
    </cfRule>
  </conditionalFormatting>
  <conditionalFormatting sqref="AG105">
    <cfRule type="dataBar" priority="600">
      <dataBar>
        <cfvo type="min"/>
        <cfvo type="max"/>
        <color rgb="FF63C384"/>
      </dataBar>
      <extLst>
        <ext xmlns:x14="http://schemas.microsoft.com/office/spreadsheetml/2009/9/main" uri="{B025F937-C7B1-47D3-B67F-A62EFF666E3E}">
          <x14:id>{AF9528D1-A190-4A7D-AE13-A889F40C5C27}</x14:id>
        </ext>
      </extLst>
    </cfRule>
  </conditionalFormatting>
  <conditionalFormatting sqref="Q105">
    <cfRule type="cellIs" dxfId="4162" priority="599" operator="equal">
      <formula>"ja"</formula>
    </cfRule>
  </conditionalFormatting>
  <conditionalFormatting sqref="AA105">
    <cfRule type="expression" dxfId="4161" priority="598">
      <formula>AND(AND($W105&lt;TODAY(),$W105&lt;&gt;""),$X105="")</formula>
    </cfRule>
  </conditionalFormatting>
  <conditionalFormatting sqref="AG105">
    <cfRule type="dataBar" priority="597">
      <dataBar>
        <cfvo type="min"/>
        <cfvo type="max"/>
        <color rgb="FF63C384"/>
      </dataBar>
      <extLst>
        <ext xmlns:x14="http://schemas.microsoft.com/office/spreadsheetml/2009/9/main" uri="{B025F937-C7B1-47D3-B67F-A62EFF666E3E}">
          <x14:id>{C105E06B-0A93-46AD-85FC-B8063A6EE15C}</x14:id>
        </ext>
      </extLst>
    </cfRule>
  </conditionalFormatting>
  <conditionalFormatting sqref="AG105">
    <cfRule type="dataBar" priority="596">
      <dataBar>
        <cfvo type="min"/>
        <cfvo type="max"/>
        <color rgb="FF63C384"/>
      </dataBar>
      <extLst>
        <ext xmlns:x14="http://schemas.microsoft.com/office/spreadsheetml/2009/9/main" uri="{B025F937-C7B1-47D3-B67F-A62EFF666E3E}">
          <x14:id>{744DD127-6985-4447-9607-2A61600A3725}</x14:id>
        </ext>
      </extLst>
    </cfRule>
  </conditionalFormatting>
  <conditionalFormatting sqref="Q106">
    <cfRule type="cellIs" dxfId="4160" priority="595" operator="equal">
      <formula>"ja"</formula>
    </cfRule>
  </conditionalFormatting>
  <conditionalFormatting sqref="AA106">
    <cfRule type="expression" dxfId="4159" priority="594">
      <formula>AND(AND($W106&lt;TODAY(),$W106&lt;&gt;""),$X106="")</formula>
    </cfRule>
  </conditionalFormatting>
  <conditionalFormatting sqref="AG106">
    <cfRule type="dataBar" priority="593">
      <dataBar>
        <cfvo type="min"/>
        <cfvo type="max"/>
        <color rgb="FF63C384"/>
      </dataBar>
      <extLst>
        <ext xmlns:x14="http://schemas.microsoft.com/office/spreadsheetml/2009/9/main" uri="{B025F937-C7B1-47D3-B67F-A62EFF666E3E}">
          <x14:id>{FD6B04AB-B31A-493D-AD3C-B3C0AD81BC19}</x14:id>
        </ext>
      </extLst>
    </cfRule>
  </conditionalFormatting>
  <conditionalFormatting sqref="AG106">
    <cfRule type="dataBar" priority="592">
      <dataBar>
        <cfvo type="min"/>
        <cfvo type="max"/>
        <color rgb="FF63C384"/>
      </dataBar>
      <extLst>
        <ext xmlns:x14="http://schemas.microsoft.com/office/spreadsheetml/2009/9/main" uri="{B025F937-C7B1-47D3-B67F-A62EFF666E3E}">
          <x14:id>{D204CC72-949A-4244-AA3A-608DC1F0C753}</x14:id>
        </ext>
      </extLst>
    </cfRule>
  </conditionalFormatting>
  <conditionalFormatting sqref="Q107">
    <cfRule type="cellIs" dxfId="4158" priority="591" operator="equal">
      <formula>"ja"</formula>
    </cfRule>
  </conditionalFormatting>
  <conditionalFormatting sqref="Q107">
    <cfRule type="cellIs" dxfId="4157" priority="579" operator="equal">
      <formula>"ja"</formula>
    </cfRule>
  </conditionalFormatting>
  <conditionalFormatting sqref="AA107">
    <cfRule type="expression" dxfId="4156" priority="578">
      <formula>AND(AND($W107&lt;TODAY(),$W107&lt;&gt;""),$X107="")</formula>
    </cfRule>
  </conditionalFormatting>
  <conditionalFormatting sqref="AA107">
    <cfRule type="expression" dxfId="4155" priority="590">
      <formula>AND(AND($W107&lt;TODAY(),$W107&lt;&gt;""),$X107="")</formula>
    </cfRule>
  </conditionalFormatting>
  <conditionalFormatting sqref="AG107">
    <cfRule type="dataBar" priority="589">
      <dataBar>
        <cfvo type="min"/>
        <cfvo type="max"/>
        <color rgb="FF63C384"/>
      </dataBar>
      <extLst>
        <ext xmlns:x14="http://schemas.microsoft.com/office/spreadsheetml/2009/9/main" uri="{B025F937-C7B1-47D3-B67F-A62EFF666E3E}">
          <x14:id>{F342A6AD-BA93-4A96-A8D3-08C1A53B3D05}</x14:id>
        </ext>
      </extLst>
    </cfRule>
  </conditionalFormatting>
  <conditionalFormatting sqref="AG107">
    <cfRule type="dataBar" priority="588">
      <dataBar>
        <cfvo type="min"/>
        <cfvo type="max"/>
        <color rgb="FF63C384"/>
      </dataBar>
      <extLst>
        <ext xmlns:x14="http://schemas.microsoft.com/office/spreadsheetml/2009/9/main" uri="{B025F937-C7B1-47D3-B67F-A62EFF666E3E}">
          <x14:id>{F6AD871C-0451-4B0F-A4D1-A03EA342B470}</x14:id>
        </ext>
      </extLst>
    </cfRule>
  </conditionalFormatting>
  <conditionalFormatting sqref="Q107">
    <cfRule type="cellIs" dxfId="4154" priority="587" operator="equal">
      <formula>"ja"</formula>
    </cfRule>
  </conditionalFormatting>
  <conditionalFormatting sqref="AA107">
    <cfRule type="expression" dxfId="4153" priority="586">
      <formula>AND(AND($W107&lt;TODAY(),$W107&lt;&gt;""),$X107="")</formula>
    </cfRule>
  </conditionalFormatting>
  <conditionalFormatting sqref="AG107">
    <cfRule type="dataBar" priority="585">
      <dataBar>
        <cfvo type="min"/>
        <cfvo type="max"/>
        <color rgb="FF63C384"/>
      </dataBar>
      <extLst>
        <ext xmlns:x14="http://schemas.microsoft.com/office/spreadsheetml/2009/9/main" uri="{B025F937-C7B1-47D3-B67F-A62EFF666E3E}">
          <x14:id>{FF299DAD-9E93-4E3C-8631-8348EBC806E9}</x14:id>
        </ext>
      </extLst>
    </cfRule>
  </conditionalFormatting>
  <conditionalFormatting sqref="AG107">
    <cfRule type="dataBar" priority="584">
      <dataBar>
        <cfvo type="min"/>
        <cfvo type="max"/>
        <color rgb="FF63C384"/>
      </dataBar>
      <extLst>
        <ext xmlns:x14="http://schemas.microsoft.com/office/spreadsheetml/2009/9/main" uri="{B025F937-C7B1-47D3-B67F-A62EFF666E3E}">
          <x14:id>{F604C16A-A4E1-4B2B-8612-50524D0DB403}</x14:id>
        </ext>
      </extLst>
    </cfRule>
  </conditionalFormatting>
  <conditionalFormatting sqref="Q107">
    <cfRule type="cellIs" dxfId="4152" priority="583" operator="equal">
      <formula>"ja"</formula>
    </cfRule>
  </conditionalFormatting>
  <conditionalFormatting sqref="AA107">
    <cfRule type="expression" dxfId="4151" priority="582">
      <formula>AND(AND($W107&lt;TODAY(),$W107&lt;&gt;""),$X107="")</formula>
    </cfRule>
  </conditionalFormatting>
  <conditionalFormatting sqref="AG107">
    <cfRule type="dataBar" priority="581">
      <dataBar>
        <cfvo type="min"/>
        <cfvo type="max"/>
        <color rgb="FF63C384"/>
      </dataBar>
      <extLst>
        <ext xmlns:x14="http://schemas.microsoft.com/office/spreadsheetml/2009/9/main" uri="{B025F937-C7B1-47D3-B67F-A62EFF666E3E}">
          <x14:id>{78E15584-986D-4C1A-B854-89138B3D283D}</x14:id>
        </ext>
      </extLst>
    </cfRule>
  </conditionalFormatting>
  <conditionalFormatting sqref="AG107">
    <cfRule type="dataBar" priority="580">
      <dataBar>
        <cfvo type="min"/>
        <cfvo type="max"/>
        <color rgb="FF63C384"/>
      </dataBar>
      <extLst>
        <ext xmlns:x14="http://schemas.microsoft.com/office/spreadsheetml/2009/9/main" uri="{B025F937-C7B1-47D3-B67F-A62EFF666E3E}">
          <x14:id>{CC42C408-A15B-4EAD-89C6-64D057619C23}</x14:id>
        </ext>
      </extLst>
    </cfRule>
  </conditionalFormatting>
  <conditionalFormatting sqref="AG107">
    <cfRule type="dataBar" priority="577">
      <dataBar>
        <cfvo type="min"/>
        <cfvo type="max"/>
        <color rgb="FF63C384"/>
      </dataBar>
      <extLst>
        <ext xmlns:x14="http://schemas.microsoft.com/office/spreadsheetml/2009/9/main" uri="{B025F937-C7B1-47D3-B67F-A62EFF666E3E}">
          <x14:id>{43F28E08-F0DB-4983-A3E9-3DBC6E43F34D}</x14:id>
        </ext>
      </extLst>
    </cfRule>
  </conditionalFormatting>
  <conditionalFormatting sqref="AG107">
    <cfRule type="dataBar" priority="576">
      <dataBar>
        <cfvo type="min"/>
        <cfvo type="max"/>
        <color rgb="FF63C384"/>
      </dataBar>
      <extLst>
        <ext xmlns:x14="http://schemas.microsoft.com/office/spreadsheetml/2009/9/main" uri="{B025F937-C7B1-47D3-B67F-A62EFF666E3E}">
          <x14:id>{6AEDFA27-5E02-494F-9329-B38918CF4E4C}</x14:id>
        </ext>
      </extLst>
    </cfRule>
  </conditionalFormatting>
  <conditionalFormatting sqref="Q108">
    <cfRule type="cellIs" dxfId="4150" priority="575" operator="equal">
      <formula>"ja"</formula>
    </cfRule>
  </conditionalFormatting>
  <conditionalFormatting sqref="AA108">
    <cfRule type="expression" dxfId="4149" priority="574">
      <formula>AND(AND($W108&lt;TODAY(),$W108&lt;&gt;""),$X108="")</formula>
    </cfRule>
  </conditionalFormatting>
  <conditionalFormatting sqref="AG108">
    <cfRule type="dataBar" priority="573">
      <dataBar>
        <cfvo type="min"/>
        <cfvo type="max"/>
        <color rgb="FF63C384"/>
      </dataBar>
      <extLst>
        <ext xmlns:x14="http://schemas.microsoft.com/office/spreadsheetml/2009/9/main" uri="{B025F937-C7B1-47D3-B67F-A62EFF666E3E}">
          <x14:id>{DF73035B-CE17-4689-B4F0-A1A170AA22E0}</x14:id>
        </ext>
      </extLst>
    </cfRule>
  </conditionalFormatting>
  <conditionalFormatting sqref="AG108">
    <cfRule type="dataBar" priority="572">
      <dataBar>
        <cfvo type="min"/>
        <cfvo type="max"/>
        <color rgb="FF63C384"/>
      </dataBar>
      <extLst>
        <ext xmlns:x14="http://schemas.microsoft.com/office/spreadsheetml/2009/9/main" uri="{B025F937-C7B1-47D3-B67F-A62EFF666E3E}">
          <x14:id>{A157A8E8-7D87-4354-8B55-BAFA555DAAD9}</x14:id>
        </ext>
      </extLst>
    </cfRule>
  </conditionalFormatting>
  <conditionalFormatting sqref="AA108">
    <cfRule type="expression" dxfId="4148" priority="571">
      <formula>AND(AND($W108&lt;TODAY(),$W108&lt;&gt;""),$X108="")</formula>
    </cfRule>
  </conditionalFormatting>
  <conditionalFormatting sqref="Q108">
    <cfRule type="cellIs" dxfId="4147" priority="570" operator="equal">
      <formula>"ja"</formula>
    </cfRule>
  </conditionalFormatting>
  <conditionalFormatting sqref="AG108">
    <cfRule type="dataBar" priority="569">
      <dataBar>
        <cfvo type="min"/>
        <cfvo type="max"/>
        <color rgb="FF63C384"/>
      </dataBar>
      <extLst>
        <ext xmlns:x14="http://schemas.microsoft.com/office/spreadsheetml/2009/9/main" uri="{B025F937-C7B1-47D3-B67F-A62EFF666E3E}">
          <x14:id>{C5BC3591-690F-42C3-8309-4EE3992F7B3F}</x14:id>
        </ext>
      </extLst>
    </cfRule>
  </conditionalFormatting>
  <conditionalFormatting sqref="AG108">
    <cfRule type="dataBar" priority="568">
      <dataBar>
        <cfvo type="min"/>
        <cfvo type="max"/>
        <color rgb="FF63C384"/>
      </dataBar>
      <extLst>
        <ext xmlns:x14="http://schemas.microsoft.com/office/spreadsheetml/2009/9/main" uri="{B025F937-C7B1-47D3-B67F-A62EFF666E3E}">
          <x14:id>{7B4905B9-67A0-4FF2-BC40-388334D52A29}</x14:id>
        </ext>
      </extLst>
    </cfRule>
  </conditionalFormatting>
  <conditionalFormatting sqref="Q109">
    <cfRule type="cellIs" dxfId="4146" priority="567" operator="equal">
      <formula>"ja"</formula>
    </cfRule>
  </conditionalFormatting>
  <conditionalFormatting sqref="AA109">
    <cfRule type="expression" dxfId="4145" priority="566">
      <formula>AND(AND($W109&lt;TODAY(),$W109&lt;&gt;""),$X109="")</formula>
    </cfRule>
  </conditionalFormatting>
  <conditionalFormatting sqref="AG109">
    <cfRule type="dataBar" priority="565">
      <dataBar>
        <cfvo type="min"/>
        <cfvo type="max"/>
        <color rgb="FF63C384"/>
      </dataBar>
      <extLst>
        <ext xmlns:x14="http://schemas.microsoft.com/office/spreadsheetml/2009/9/main" uri="{B025F937-C7B1-47D3-B67F-A62EFF666E3E}">
          <x14:id>{0C0AB751-4368-4840-B9AA-F35016AFDA76}</x14:id>
        </ext>
      </extLst>
    </cfRule>
  </conditionalFormatting>
  <conditionalFormatting sqref="AG109">
    <cfRule type="dataBar" priority="564">
      <dataBar>
        <cfvo type="min"/>
        <cfvo type="max"/>
        <color rgb="FF63C384"/>
      </dataBar>
      <extLst>
        <ext xmlns:x14="http://schemas.microsoft.com/office/spreadsheetml/2009/9/main" uri="{B025F937-C7B1-47D3-B67F-A62EFF666E3E}">
          <x14:id>{DB978595-9A61-4DCD-BFAF-4D547AE78BE1}</x14:id>
        </ext>
      </extLst>
    </cfRule>
  </conditionalFormatting>
  <conditionalFormatting sqref="AA109">
    <cfRule type="expression" dxfId="4144" priority="563">
      <formula>AND(AND($W109&lt;TODAY(),$W109&lt;&gt;""),$X109="")</formula>
    </cfRule>
  </conditionalFormatting>
  <conditionalFormatting sqref="AG109">
    <cfRule type="dataBar" priority="562">
      <dataBar>
        <cfvo type="min"/>
        <cfvo type="max"/>
        <color rgb="FF63C384"/>
      </dataBar>
      <extLst>
        <ext xmlns:x14="http://schemas.microsoft.com/office/spreadsheetml/2009/9/main" uri="{B025F937-C7B1-47D3-B67F-A62EFF666E3E}">
          <x14:id>{855B1BB0-3F0E-4AD0-AC5A-23814B27C00D}</x14:id>
        </ext>
      </extLst>
    </cfRule>
  </conditionalFormatting>
  <conditionalFormatting sqref="AG109">
    <cfRule type="dataBar" priority="561">
      <dataBar>
        <cfvo type="min"/>
        <cfvo type="max"/>
        <color rgb="FF63C384"/>
      </dataBar>
      <extLst>
        <ext xmlns:x14="http://schemas.microsoft.com/office/spreadsheetml/2009/9/main" uri="{B025F937-C7B1-47D3-B67F-A62EFF666E3E}">
          <x14:id>{7EF0A3A5-8F1F-48FF-82D4-5679ABE3AC0E}</x14:id>
        </ext>
      </extLst>
    </cfRule>
  </conditionalFormatting>
  <conditionalFormatting sqref="Q109">
    <cfRule type="cellIs" dxfId="4143" priority="560" operator="equal">
      <formula>"ja"</formula>
    </cfRule>
  </conditionalFormatting>
  <conditionalFormatting sqref="Q110">
    <cfRule type="cellIs" dxfId="4142" priority="559" operator="equal">
      <formula>"ja"</formula>
    </cfRule>
  </conditionalFormatting>
  <conditionalFormatting sqref="AA110">
    <cfRule type="expression" dxfId="4141" priority="558">
      <formula>AND(AND($W110&lt;TODAY(),$W110&lt;&gt;""),$X110="")</formula>
    </cfRule>
  </conditionalFormatting>
  <conditionalFormatting sqref="AG110">
    <cfRule type="dataBar" priority="557">
      <dataBar>
        <cfvo type="min"/>
        <cfvo type="max"/>
        <color rgb="FF63C384"/>
      </dataBar>
      <extLst>
        <ext xmlns:x14="http://schemas.microsoft.com/office/spreadsheetml/2009/9/main" uri="{B025F937-C7B1-47D3-B67F-A62EFF666E3E}">
          <x14:id>{B4070CDD-FB0F-44E1-BE1E-654DDD883336}</x14:id>
        </ext>
      </extLst>
    </cfRule>
  </conditionalFormatting>
  <conditionalFormatting sqref="AG110">
    <cfRule type="dataBar" priority="556">
      <dataBar>
        <cfvo type="min"/>
        <cfvo type="max"/>
        <color rgb="FF63C384"/>
      </dataBar>
      <extLst>
        <ext xmlns:x14="http://schemas.microsoft.com/office/spreadsheetml/2009/9/main" uri="{B025F937-C7B1-47D3-B67F-A62EFF666E3E}">
          <x14:id>{7FEB6619-11C9-4CA5-A27E-B85E60E0DD83}</x14:id>
        </ext>
      </extLst>
    </cfRule>
  </conditionalFormatting>
  <conditionalFormatting sqref="Q111">
    <cfRule type="cellIs" dxfId="4140" priority="555" operator="equal">
      <formula>"ja"</formula>
    </cfRule>
  </conditionalFormatting>
  <conditionalFormatting sqref="AA111">
    <cfRule type="expression" dxfId="4139" priority="554">
      <formula>AND(AND($W111&lt;TODAY(),$W111&lt;&gt;""),$X111="")</formula>
    </cfRule>
  </conditionalFormatting>
  <conditionalFormatting sqref="AG111">
    <cfRule type="dataBar" priority="553">
      <dataBar>
        <cfvo type="min"/>
        <cfvo type="max"/>
        <color rgb="FF63C384"/>
      </dataBar>
      <extLst>
        <ext xmlns:x14="http://schemas.microsoft.com/office/spreadsheetml/2009/9/main" uri="{B025F937-C7B1-47D3-B67F-A62EFF666E3E}">
          <x14:id>{B427A904-ECA4-4288-98F5-DDA89FDDFDB4}</x14:id>
        </ext>
      </extLst>
    </cfRule>
  </conditionalFormatting>
  <conditionalFormatting sqref="AG111">
    <cfRule type="dataBar" priority="552">
      <dataBar>
        <cfvo type="min"/>
        <cfvo type="max"/>
        <color rgb="FF63C384"/>
      </dataBar>
      <extLst>
        <ext xmlns:x14="http://schemas.microsoft.com/office/spreadsheetml/2009/9/main" uri="{B025F937-C7B1-47D3-B67F-A62EFF666E3E}">
          <x14:id>{2C10C503-8AA0-4440-89C2-18414B2AC7F6}</x14:id>
        </ext>
      </extLst>
    </cfRule>
  </conditionalFormatting>
  <conditionalFormatting sqref="AA111">
    <cfRule type="expression" dxfId="4138" priority="551">
      <formula>AND(AND($W111&lt;TODAY(),$W111&lt;&gt;""),$X111="")</formula>
    </cfRule>
  </conditionalFormatting>
  <conditionalFormatting sqref="Q111">
    <cfRule type="cellIs" dxfId="4137" priority="550" operator="equal">
      <formula>"ja"</formula>
    </cfRule>
  </conditionalFormatting>
  <conditionalFormatting sqref="AG111">
    <cfRule type="dataBar" priority="549">
      <dataBar>
        <cfvo type="min"/>
        <cfvo type="max"/>
        <color rgb="FF63C384"/>
      </dataBar>
      <extLst>
        <ext xmlns:x14="http://schemas.microsoft.com/office/spreadsheetml/2009/9/main" uri="{B025F937-C7B1-47D3-B67F-A62EFF666E3E}">
          <x14:id>{09E7E29F-DA4E-46C4-A5FB-2C07854D9036}</x14:id>
        </ext>
      </extLst>
    </cfRule>
  </conditionalFormatting>
  <conditionalFormatting sqref="AG111">
    <cfRule type="dataBar" priority="548">
      <dataBar>
        <cfvo type="min"/>
        <cfvo type="max"/>
        <color rgb="FF63C384"/>
      </dataBar>
      <extLst>
        <ext xmlns:x14="http://schemas.microsoft.com/office/spreadsheetml/2009/9/main" uri="{B025F937-C7B1-47D3-B67F-A62EFF666E3E}">
          <x14:id>{751CB8AB-FD0E-42D9-BB88-5C6216194A94}</x14:id>
        </ext>
      </extLst>
    </cfRule>
  </conditionalFormatting>
  <conditionalFormatting sqref="Q112">
    <cfRule type="cellIs" dxfId="4136" priority="547" operator="equal">
      <formula>"ja"</formula>
    </cfRule>
  </conditionalFormatting>
  <conditionalFormatting sqref="AA112">
    <cfRule type="expression" dxfId="4135" priority="546">
      <formula>AND(AND($W112&lt;TODAY(),$W112&lt;&gt;""),$X112="")</formula>
    </cfRule>
  </conditionalFormatting>
  <conditionalFormatting sqref="AG112">
    <cfRule type="dataBar" priority="545">
      <dataBar>
        <cfvo type="min"/>
        <cfvo type="max"/>
        <color rgb="FF63C384"/>
      </dataBar>
      <extLst>
        <ext xmlns:x14="http://schemas.microsoft.com/office/spreadsheetml/2009/9/main" uri="{B025F937-C7B1-47D3-B67F-A62EFF666E3E}">
          <x14:id>{9CB553AA-DA88-4ACE-A8DF-88D8817BF38E}</x14:id>
        </ext>
      </extLst>
    </cfRule>
  </conditionalFormatting>
  <conditionalFormatting sqref="AG112">
    <cfRule type="dataBar" priority="544">
      <dataBar>
        <cfvo type="min"/>
        <cfvo type="max"/>
        <color rgb="FF63C384"/>
      </dataBar>
      <extLst>
        <ext xmlns:x14="http://schemas.microsoft.com/office/spreadsheetml/2009/9/main" uri="{B025F937-C7B1-47D3-B67F-A62EFF666E3E}">
          <x14:id>{EAA04C09-94E7-4BBE-B3E9-B9EFC029B9AC}</x14:id>
        </ext>
      </extLst>
    </cfRule>
  </conditionalFormatting>
  <conditionalFormatting sqref="Q112">
    <cfRule type="cellIs" dxfId="4134" priority="543" operator="equal">
      <formula>"ja"</formula>
    </cfRule>
  </conditionalFormatting>
  <conditionalFormatting sqref="AA112">
    <cfRule type="expression" dxfId="4133" priority="542">
      <formula>AND(AND($W112&lt;TODAY(),$W112&lt;&gt;""),$X112="")</formula>
    </cfRule>
  </conditionalFormatting>
  <conditionalFormatting sqref="AG112">
    <cfRule type="dataBar" priority="541">
      <dataBar>
        <cfvo type="min"/>
        <cfvo type="max"/>
        <color rgb="FF63C384"/>
      </dataBar>
      <extLst>
        <ext xmlns:x14="http://schemas.microsoft.com/office/spreadsheetml/2009/9/main" uri="{B025F937-C7B1-47D3-B67F-A62EFF666E3E}">
          <x14:id>{DFC0F21C-0D10-4EB1-A498-55861834FDCA}</x14:id>
        </ext>
      </extLst>
    </cfRule>
  </conditionalFormatting>
  <conditionalFormatting sqref="AG112">
    <cfRule type="dataBar" priority="540">
      <dataBar>
        <cfvo type="min"/>
        <cfvo type="max"/>
        <color rgb="FF63C384"/>
      </dataBar>
      <extLst>
        <ext xmlns:x14="http://schemas.microsoft.com/office/spreadsheetml/2009/9/main" uri="{B025F937-C7B1-47D3-B67F-A62EFF666E3E}">
          <x14:id>{24DA6C6A-087F-43A4-BF2E-D325D0E4988C}</x14:id>
        </ext>
      </extLst>
    </cfRule>
  </conditionalFormatting>
  <conditionalFormatting sqref="Q112">
    <cfRule type="cellIs" dxfId="4132" priority="539" operator="equal">
      <formula>"ja"</formula>
    </cfRule>
  </conditionalFormatting>
  <conditionalFormatting sqref="AA112">
    <cfRule type="expression" dxfId="4131" priority="538">
      <formula>AND(AND($W112&lt;TODAY(),$W112&lt;&gt;""),$X112="")</formula>
    </cfRule>
  </conditionalFormatting>
  <conditionalFormatting sqref="AG112">
    <cfRule type="dataBar" priority="537">
      <dataBar>
        <cfvo type="min"/>
        <cfvo type="max"/>
        <color rgb="FF63C384"/>
      </dataBar>
      <extLst>
        <ext xmlns:x14="http://schemas.microsoft.com/office/spreadsheetml/2009/9/main" uri="{B025F937-C7B1-47D3-B67F-A62EFF666E3E}">
          <x14:id>{594C6B1F-C6EF-41F3-96D9-F159133A8CDC}</x14:id>
        </ext>
      </extLst>
    </cfRule>
  </conditionalFormatting>
  <conditionalFormatting sqref="AG112">
    <cfRule type="dataBar" priority="536">
      <dataBar>
        <cfvo type="min"/>
        <cfvo type="max"/>
        <color rgb="FF63C384"/>
      </dataBar>
      <extLst>
        <ext xmlns:x14="http://schemas.microsoft.com/office/spreadsheetml/2009/9/main" uri="{B025F937-C7B1-47D3-B67F-A62EFF666E3E}">
          <x14:id>{7F4845E9-D875-4176-A970-2FBE210DC0A7}</x14:id>
        </ext>
      </extLst>
    </cfRule>
  </conditionalFormatting>
  <conditionalFormatting sqref="Q113">
    <cfRule type="cellIs" dxfId="4130" priority="535" operator="equal">
      <formula>"ja"</formula>
    </cfRule>
  </conditionalFormatting>
  <conditionalFormatting sqref="AA113">
    <cfRule type="expression" dxfId="4129" priority="534">
      <formula>AND(AND($W113&lt;TODAY(),$W113&lt;&gt;""),$X113="")</formula>
    </cfRule>
  </conditionalFormatting>
  <conditionalFormatting sqref="AG113">
    <cfRule type="dataBar" priority="533">
      <dataBar>
        <cfvo type="min"/>
        <cfvo type="max"/>
        <color rgb="FF63C384"/>
      </dataBar>
      <extLst>
        <ext xmlns:x14="http://schemas.microsoft.com/office/spreadsheetml/2009/9/main" uri="{B025F937-C7B1-47D3-B67F-A62EFF666E3E}">
          <x14:id>{8DB67D8F-AC30-41D0-A889-DF62750F409A}</x14:id>
        </ext>
      </extLst>
    </cfRule>
  </conditionalFormatting>
  <conditionalFormatting sqref="AG113">
    <cfRule type="dataBar" priority="532">
      <dataBar>
        <cfvo type="min"/>
        <cfvo type="max"/>
        <color rgb="FF63C384"/>
      </dataBar>
      <extLst>
        <ext xmlns:x14="http://schemas.microsoft.com/office/spreadsheetml/2009/9/main" uri="{B025F937-C7B1-47D3-B67F-A62EFF666E3E}">
          <x14:id>{ED8ECEB6-275D-4A69-8B2B-C5690AAEF1F1}</x14:id>
        </ext>
      </extLst>
    </cfRule>
  </conditionalFormatting>
  <conditionalFormatting sqref="Q114">
    <cfRule type="cellIs" dxfId="4128" priority="531" operator="equal">
      <formula>"ja"</formula>
    </cfRule>
  </conditionalFormatting>
  <conditionalFormatting sqref="AA114">
    <cfRule type="expression" dxfId="4127" priority="530">
      <formula>AND(AND($W114&lt;TODAY(),$W114&lt;&gt;""),$X114="")</formula>
    </cfRule>
  </conditionalFormatting>
  <conditionalFormatting sqref="AG114">
    <cfRule type="dataBar" priority="529">
      <dataBar>
        <cfvo type="min"/>
        <cfvo type="max"/>
        <color rgb="FF63C384"/>
      </dataBar>
      <extLst>
        <ext xmlns:x14="http://schemas.microsoft.com/office/spreadsheetml/2009/9/main" uri="{B025F937-C7B1-47D3-B67F-A62EFF666E3E}">
          <x14:id>{27C43F3A-B8D3-4300-8EE5-9CCAE142BA9A}</x14:id>
        </ext>
      </extLst>
    </cfRule>
  </conditionalFormatting>
  <conditionalFormatting sqref="AG114">
    <cfRule type="dataBar" priority="528">
      <dataBar>
        <cfvo type="min"/>
        <cfvo type="max"/>
        <color rgb="FF63C384"/>
      </dataBar>
      <extLst>
        <ext xmlns:x14="http://schemas.microsoft.com/office/spreadsheetml/2009/9/main" uri="{B025F937-C7B1-47D3-B67F-A62EFF666E3E}">
          <x14:id>{EFB87287-8E18-4DC1-8AC8-3AFFEA884B6C}</x14:id>
        </ext>
      </extLst>
    </cfRule>
  </conditionalFormatting>
  <conditionalFormatting sqref="AA114">
    <cfRule type="expression" dxfId="4126" priority="527">
      <formula>AND(AND($W114&lt;TODAY(),$W114&lt;&gt;""),$X114="")</formula>
    </cfRule>
  </conditionalFormatting>
  <conditionalFormatting sqref="AG114">
    <cfRule type="dataBar" priority="526">
      <dataBar>
        <cfvo type="min"/>
        <cfvo type="max"/>
        <color rgb="FF63C384"/>
      </dataBar>
      <extLst>
        <ext xmlns:x14="http://schemas.microsoft.com/office/spreadsheetml/2009/9/main" uri="{B025F937-C7B1-47D3-B67F-A62EFF666E3E}">
          <x14:id>{99B06F68-164E-425D-AA5A-5CB2132D6923}</x14:id>
        </ext>
      </extLst>
    </cfRule>
  </conditionalFormatting>
  <conditionalFormatting sqref="AG114">
    <cfRule type="dataBar" priority="525">
      <dataBar>
        <cfvo type="min"/>
        <cfvo type="max"/>
        <color rgb="FF63C384"/>
      </dataBar>
      <extLst>
        <ext xmlns:x14="http://schemas.microsoft.com/office/spreadsheetml/2009/9/main" uri="{B025F937-C7B1-47D3-B67F-A62EFF666E3E}">
          <x14:id>{BDBC9DCF-5CD9-4D01-8574-EACFD5322F83}</x14:id>
        </ext>
      </extLst>
    </cfRule>
  </conditionalFormatting>
  <conditionalFormatting sqref="Q114">
    <cfRule type="cellIs" dxfId="4125" priority="524" operator="equal">
      <formula>"ja"</formula>
    </cfRule>
  </conditionalFormatting>
  <conditionalFormatting sqref="Q115">
    <cfRule type="cellIs" dxfId="4124" priority="523" operator="equal">
      <formula>"ja"</formula>
    </cfRule>
  </conditionalFormatting>
  <conditionalFormatting sqref="AA115">
    <cfRule type="expression" dxfId="4123" priority="522">
      <formula>AND(AND($W115&lt;TODAY(),$W115&lt;&gt;""),$X115="")</formula>
    </cfRule>
  </conditionalFormatting>
  <conditionalFormatting sqref="AG115">
    <cfRule type="dataBar" priority="521">
      <dataBar>
        <cfvo type="min"/>
        <cfvo type="max"/>
        <color rgb="FF63C384"/>
      </dataBar>
      <extLst>
        <ext xmlns:x14="http://schemas.microsoft.com/office/spreadsheetml/2009/9/main" uri="{B025F937-C7B1-47D3-B67F-A62EFF666E3E}">
          <x14:id>{B0F3DEBC-78FF-48B1-8139-C10DCE0340C0}</x14:id>
        </ext>
      </extLst>
    </cfRule>
  </conditionalFormatting>
  <conditionalFormatting sqref="AG115">
    <cfRule type="dataBar" priority="520">
      <dataBar>
        <cfvo type="min"/>
        <cfvo type="max"/>
        <color rgb="FF63C384"/>
      </dataBar>
      <extLst>
        <ext xmlns:x14="http://schemas.microsoft.com/office/spreadsheetml/2009/9/main" uri="{B025F937-C7B1-47D3-B67F-A62EFF666E3E}">
          <x14:id>{B4741D04-1923-4C96-9816-05A73DF9CFF3}</x14:id>
        </ext>
      </extLst>
    </cfRule>
  </conditionalFormatting>
  <conditionalFormatting sqref="Q115">
    <cfRule type="cellIs" dxfId="4122" priority="519" operator="equal">
      <formula>"ja"</formula>
    </cfRule>
  </conditionalFormatting>
  <conditionalFormatting sqref="AA115">
    <cfRule type="expression" dxfId="4121" priority="518">
      <formula>AND(AND($W115&lt;TODAY(),$W115&lt;&gt;""),$X115="")</formula>
    </cfRule>
  </conditionalFormatting>
  <conditionalFormatting sqref="AG115">
    <cfRule type="dataBar" priority="517">
      <dataBar>
        <cfvo type="min"/>
        <cfvo type="max"/>
        <color rgb="FF63C384"/>
      </dataBar>
      <extLst>
        <ext xmlns:x14="http://schemas.microsoft.com/office/spreadsheetml/2009/9/main" uri="{B025F937-C7B1-47D3-B67F-A62EFF666E3E}">
          <x14:id>{DE5D1627-C5F2-4239-88DC-FE24EF0B104B}</x14:id>
        </ext>
      </extLst>
    </cfRule>
  </conditionalFormatting>
  <conditionalFormatting sqref="AG115">
    <cfRule type="dataBar" priority="516">
      <dataBar>
        <cfvo type="min"/>
        <cfvo type="max"/>
        <color rgb="FF63C384"/>
      </dataBar>
      <extLst>
        <ext xmlns:x14="http://schemas.microsoft.com/office/spreadsheetml/2009/9/main" uri="{B025F937-C7B1-47D3-B67F-A62EFF666E3E}">
          <x14:id>{763B5CF7-6D39-4D80-9379-84A4A1CBB69E}</x14:id>
        </ext>
      </extLst>
    </cfRule>
  </conditionalFormatting>
  <conditionalFormatting sqref="Q116">
    <cfRule type="cellIs" dxfId="4120" priority="515" operator="equal">
      <formula>"ja"</formula>
    </cfRule>
  </conditionalFormatting>
  <conditionalFormatting sqref="AA116:AA117">
    <cfRule type="expression" dxfId="4119" priority="514">
      <formula>AND(AND($W116&lt;TODAY(),$W116&lt;&gt;""),$X116="")</formula>
    </cfRule>
  </conditionalFormatting>
  <conditionalFormatting sqref="AG116:AG117">
    <cfRule type="dataBar" priority="513">
      <dataBar>
        <cfvo type="min"/>
        <cfvo type="max"/>
        <color rgb="FF63C384"/>
      </dataBar>
      <extLst>
        <ext xmlns:x14="http://schemas.microsoft.com/office/spreadsheetml/2009/9/main" uri="{B025F937-C7B1-47D3-B67F-A62EFF666E3E}">
          <x14:id>{C1A4882A-B2F9-428A-9F98-7F95FC7B9519}</x14:id>
        </ext>
      </extLst>
    </cfRule>
  </conditionalFormatting>
  <conditionalFormatting sqref="AG116:AG117">
    <cfRule type="dataBar" priority="512">
      <dataBar>
        <cfvo type="min"/>
        <cfvo type="max"/>
        <color rgb="FF63C384"/>
      </dataBar>
      <extLst>
        <ext xmlns:x14="http://schemas.microsoft.com/office/spreadsheetml/2009/9/main" uri="{B025F937-C7B1-47D3-B67F-A62EFF666E3E}">
          <x14:id>{99B128A8-64B8-43F7-BBEB-AC3A7147045F}</x14:id>
        </ext>
      </extLst>
    </cfRule>
  </conditionalFormatting>
  <conditionalFormatting sqref="AA118">
    <cfRule type="expression" dxfId="4118" priority="511">
      <formula>AND(AND($W118&lt;TODAY(),$W118&lt;&gt;""),$X118="")</formula>
    </cfRule>
  </conditionalFormatting>
  <conditionalFormatting sqref="AG118">
    <cfRule type="dataBar" priority="510">
      <dataBar>
        <cfvo type="min"/>
        <cfvo type="max"/>
        <color rgb="FF63C384"/>
      </dataBar>
      <extLst>
        <ext xmlns:x14="http://schemas.microsoft.com/office/spreadsheetml/2009/9/main" uri="{B025F937-C7B1-47D3-B67F-A62EFF666E3E}">
          <x14:id>{2E1266D3-BA07-45D9-B15E-F3678F7C891A}</x14:id>
        </ext>
      </extLst>
    </cfRule>
  </conditionalFormatting>
  <conditionalFormatting sqref="AG118">
    <cfRule type="dataBar" priority="509">
      <dataBar>
        <cfvo type="min"/>
        <cfvo type="max"/>
        <color rgb="FF63C384"/>
      </dataBar>
      <extLst>
        <ext xmlns:x14="http://schemas.microsoft.com/office/spreadsheetml/2009/9/main" uri="{B025F937-C7B1-47D3-B67F-A62EFF666E3E}">
          <x14:id>{D60C4420-D880-42E4-9E7C-54E82B0F4516}</x14:id>
        </ext>
      </extLst>
    </cfRule>
  </conditionalFormatting>
  <conditionalFormatting sqref="Q118">
    <cfRule type="cellIs" dxfId="4117" priority="508" operator="equal">
      <formula>"ja"</formula>
    </cfRule>
  </conditionalFormatting>
  <conditionalFormatting sqref="AA119">
    <cfRule type="expression" dxfId="4116" priority="506">
      <formula>AND(AND($W119&lt;TODAY(),$W119&lt;&gt;""),$X119="")</formula>
    </cfRule>
  </conditionalFormatting>
  <conditionalFormatting sqref="Q119">
    <cfRule type="cellIs" dxfId="4115" priority="507" operator="equal">
      <formula>"ja"</formula>
    </cfRule>
  </conditionalFormatting>
  <conditionalFormatting sqref="AG119">
    <cfRule type="dataBar" priority="505">
      <dataBar>
        <cfvo type="min"/>
        <cfvo type="max"/>
        <color rgb="FF63C384"/>
      </dataBar>
      <extLst>
        <ext xmlns:x14="http://schemas.microsoft.com/office/spreadsheetml/2009/9/main" uri="{B025F937-C7B1-47D3-B67F-A62EFF666E3E}">
          <x14:id>{4B519CA6-1046-4DF1-ABA6-DC8FBB7D39AE}</x14:id>
        </ext>
      </extLst>
    </cfRule>
  </conditionalFormatting>
  <conditionalFormatting sqref="AG119">
    <cfRule type="dataBar" priority="504">
      <dataBar>
        <cfvo type="min"/>
        <cfvo type="max"/>
        <color rgb="FF63C384"/>
      </dataBar>
      <extLst>
        <ext xmlns:x14="http://schemas.microsoft.com/office/spreadsheetml/2009/9/main" uri="{B025F937-C7B1-47D3-B67F-A62EFF666E3E}">
          <x14:id>{EF2BF009-E8F1-4FE4-905F-2B6B554A7A31}</x14:id>
        </ext>
      </extLst>
    </cfRule>
  </conditionalFormatting>
  <conditionalFormatting sqref="AA120">
    <cfRule type="expression" dxfId="4114" priority="503">
      <formula>AND(AND($W120&lt;TODAY(),$W120&lt;&gt;""),$X120="")</formula>
    </cfRule>
  </conditionalFormatting>
  <conditionalFormatting sqref="AG120">
    <cfRule type="dataBar" priority="502">
      <dataBar>
        <cfvo type="min"/>
        <cfvo type="max"/>
        <color rgb="FF63C384"/>
      </dataBar>
      <extLst>
        <ext xmlns:x14="http://schemas.microsoft.com/office/spreadsheetml/2009/9/main" uri="{B025F937-C7B1-47D3-B67F-A62EFF666E3E}">
          <x14:id>{66415347-50BB-472A-AACD-47909535DA03}</x14:id>
        </ext>
      </extLst>
    </cfRule>
  </conditionalFormatting>
  <conditionalFormatting sqref="AG120">
    <cfRule type="dataBar" priority="501">
      <dataBar>
        <cfvo type="min"/>
        <cfvo type="max"/>
        <color rgb="FF63C384"/>
      </dataBar>
      <extLst>
        <ext xmlns:x14="http://schemas.microsoft.com/office/spreadsheetml/2009/9/main" uri="{B025F937-C7B1-47D3-B67F-A62EFF666E3E}">
          <x14:id>{AAEDC0EB-83C9-4EBE-8195-A8A7B7407CC3}</x14:id>
        </ext>
      </extLst>
    </cfRule>
  </conditionalFormatting>
  <conditionalFormatting sqref="Q120">
    <cfRule type="cellIs" dxfId="4113" priority="500" operator="equal">
      <formula>"ja"</formula>
    </cfRule>
  </conditionalFormatting>
  <conditionalFormatting sqref="Q121">
    <cfRule type="cellIs" dxfId="4112" priority="499" operator="equal">
      <formula>"ja"</formula>
    </cfRule>
  </conditionalFormatting>
  <conditionalFormatting sqref="AA121">
    <cfRule type="expression" dxfId="4111" priority="498">
      <formula>AND(AND($W121&lt;TODAY(),$W121&lt;&gt;""),$X121="")</formula>
    </cfRule>
  </conditionalFormatting>
  <conditionalFormatting sqref="AG121">
    <cfRule type="dataBar" priority="497">
      <dataBar>
        <cfvo type="min"/>
        <cfvo type="max"/>
        <color rgb="FF63C384"/>
      </dataBar>
      <extLst>
        <ext xmlns:x14="http://schemas.microsoft.com/office/spreadsheetml/2009/9/main" uri="{B025F937-C7B1-47D3-B67F-A62EFF666E3E}">
          <x14:id>{D969086B-D6E7-4D89-961E-B0DF9FF45F10}</x14:id>
        </ext>
      </extLst>
    </cfRule>
  </conditionalFormatting>
  <conditionalFormatting sqref="AG121">
    <cfRule type="dataBar" priority="496">
      <dataBar>
        <cfvo type="min"/>
        <cfvo type="max"/>
        <color rgb="FF63C384"/>
      </dataBar>
      <extLst>
        <ext xmlns:x14="http://schemas.microsoft.com/office/spreadsheetml/2009/9/main" uri="{B025F937-C7B1-47D3-B67F-A62EFF666E3E}">
          <x14:id>{3EBDD557-EE42-4928-829D-9EF8682840C4}</x14:id>
        </ext>
      </extLst>
    </cfRule>
  </conditionalFormatting>
  <conditionalFormatting sqref="AA121">
    <cfRule type="expression" dxfId="4110" priority="495">
      <formula>AND(AND($W121&lt;TODAY(),$W121&lt;&gt;""),$X121="")</formula>
    </cfRule>
  </conditionalFormatting>
  <conditionalFormatting sqref="Q121">
    <cfRule type="cellIs" dxfId="4109" priority="494" operator="equal">
      <formula>"ja"</formula>
    </cfRule>
  </conditionalFormatting>
  <conditionalFormatting sqref="AG121">
    <cfRule type="dataBar" priority="493">
      <dataBar>
        <cfvo type="min"/>
        <cfvo type="max"/>
        <color rgb="FF63C384"/>
      </dataBar>
      <extLst>
        <ext xmlns:x14="http://schemas.microsoft.com/office/spreadsheetml/2009/9/main" uri="{B025F937-C7B1-47D3-B67F-A62EFF666E3E}">
          <x14:id>{E5FE94C4-4200-4D33-ABF3-0475642A5ED2}</x14:id>
        </ext>
      </extLst>
    </cfRule>
  </conditionalFormatting>
  <conditionalFormatting sqref="AG121">
    <cfRule type="dataBar" priority="492">
      <dataBar>
        <cfvo type="min"/>
        <cfvo type="max"/>
        <color rgb="FF63C384"/>
      </dataBar>
      <extLst>
        <ext xmlns:x14="http://schemas.microsoft.com/office/spreadsheetml/2009/9/main" uri="{B025F937-C7B1-47D3-B67F-A62EFF666E3E}">
          <x14:id>{11ED77B3-99B7-433D-A8EC-DC5821752908}</x14:id>
        </ext>
      </extLst>
    </cfRule>
  </conditionalFormatting>
  <conditionalFormatting sqref="Q122">
    <cfRule type="cellIs" dxfId="4108" priority="491" operator="equal">
      <formula>"ja"</formula>
    </cfRule>
  </conditionalFormatting>
  <conditionalFormatting sqref="AA122">
    <cfRule type="expression" dxfId="4107" priority="490">
      <formula>AND(AND($W122&lt;TODAY(),$W122&lt;&gt;""),$X122="")</formula>
    </cfRule>
  </conditionalFormatting>
  <conditionalFormatting sqref="AG122">
    <cfRule type="dataBar" priority="489">
      <dataBar>
        <cfvo type="min"/>
        <cfvo type="max"/>
        <color rgb="FF63C384"/>
      </dataBar>
      <extLst>
        <ext xmlns:x14="http://schemas.microsoft.com/office/spreadsheetml/2009/9/main" uri="{B025F937-C7B1-47D3-B67F-A62EFF666E3E}">
          <x14:id>{5CDAA8F1-6D93-45D7-84EF-930FFC3D1841}</x14:id>
        </ext>
      </extLst>
    </cfRule>
  </conditionalFormatting>
  <conditionalFormatting sqref="AG122">
    <cfRule type="dataBar" priority="488">
      <dataBar>
        <cfvo type="min"/>
        <cfvo type="max"/>
        <color rgb="FF63C384"/>
      </dataBar>
      <extLst>
        <ext xmlns:x14="http://schemas.microsoft.com/office/spreadsheetml/2009/9/main" uri="{B025F937-C7B1-47D3-B67F-A62EFF666E3E}">
          <x14:id>{9B226B27-EE38-4CE5-89C2-C41E1FB47AC6}</x14:id>
        </ext>
      </extLst>
    </cfRule>
  </conditionalFormatting>
  <conditionalFormatting sqref="Q123">
    <cfRule type="cellIs" dxfId="4106" priority="487" operator="equal">
      <formula>"ja"</formula>
    </cfRule>
  </conditionalFormatting>
  <conditionalFormatting sqref="Q123">
    <cfRule type="cellIs" dxfId="4105" priority="475" operator="equal">
      <formula>"ja"</formula>
    </cfRule>
  </conditionalFormatting>
  <conditionalFormatting sqref="AA123">
    <cfRule type="expression" dxfId="4104" priority="474">
      <formula>AND(AND($W123&lt;TODAY(),$W123&lt;&gt;""),$X123="")</formula>
    </cfRule>
  </conditionalFormatting>
  <conditionalFormatting sqref="AA123">
    <cfRule type="expression" dxfId="4103" priority="486">
      <formula>AND(AND($W123&lt;TODAY(),$W123&lt;&gt;""),$X123="")</formula>
    </cfRule>
  </conditionalFormatting>
  <conditionalFormatting sqref="AG123">
    <cfRule type="dataBar" priority="485">
      <dataBar>
        <cfvo type="min"/>
        <cfvo type="max"/>
        <color rgb="FF63C384"/>
      </dataBar>
      <extLst>
        <ext xmlns:x14="http://schemas.microsoft.com/office/spreadsheetml/2009/9/main" uri="{B025F937-C7B1-47D3-B67F-A62EFF666E3E}">
          <x14:id>{F6F84AC3-AE68-4389-95D7-876438D368B4}</x14:id>
        </ext>
      </extLst>
    </cfRule>
  </conditionalFormatting>
  <conditionalFormatting sqref="AG123">
    <cfRule type="dataBar" priority="484">
      <dataBar>
        <cfvo type="min"/>
        <cfvo type="max"/>
        <color rgb="FF63C384"/>
      </dataBar>
      <extLst>
        <ext xmlns:x14="http://schemas.microsoft.com/office/spreadsheetml/2009/9/main" uri="{B025F937-C7B1-47D3-B67F-A62EFF666E3E}">
          <x14:id>{26583044-ED08-4251-A6EE-194ACD708B74}</x14:id>
        </ext>
      </extLst>
    </cfRule>
  </conditionalFormatting>
  <conditionalFormatting sqref="Q123">
    <cfRule type="cellIs" dxfId="4102" priority="483" operator="equal">
      <formula>"ja"</formula>
    </cfRule>
  </conditionalFormatting>
  <conditionalFormatting sqref="AA123">
    <cfRule type="expression" dxfId="4101" priority="482">
      <formula>AND(AND($W123&lt;TODAY(),$W123&lt;&gt;""),$X123="")</formula>
    </cfRule>
  </conditionalFormatting>
  <conditionalFormatting sqref="AG123">
    <cfRule type="dataBar" priority="481">
      <dataBar>
        <cfvo type="min"/>
        <cfvo type="max"/>
        <color rgb="FF63C384"/>
      </dataBar>
      <extLst>
        <ext xmlns:x14="http://schemas.microsoft.com/office/spreadsheetml/2009/9/main" uri="{B025F937-C7B1-47D3-B67F-A62EFF666E3E}">
          <x14:id>{35E330D2-7A92-4575-9529-E77D2C87EC52}</x14:id>
        </ext>
      </extLst>
    </cfRule>
  </conditionalFormatting>
  <conditionalFormatting sqref="AG123">
    <cfRule type="dataBar" priority="480">
      <dataBar>
        <cfvo type="min"/>
        <cfvo type="max"/>
        <color rgb="FF63C384"/>
      </dataBar>
      <extLst>
        <ext xmlns:x14="http://schemas.microsoft.com/office/spreadsheetml/2009/9/main" uri="{B025F937-C7B1-47D3-B67F-A62EFF666E3E}">
          <x14:id>{86131C24-F33F-4250-A8DB-B7F2ACA26C20}</x14:id>
        </ext>
      </extLst>
    </cfRule>
  </conditionalFormatting>
  <conditionalFormatting sqref="Q123">
    <cfRule type="cellIs" dxfId="4100" priority="479" operator="equal">
      <formula>"ja"</formula>
    </cfRule>
  </conditionalFormatting>
  <conditionalFormatting sqref="AA123">
    <cfRule type="expression" dxfId="4099" priority="478">
      <formula>AND(AND($W123&lt;TODAY(),$W123&lt;&gt;""),$X123="")</formula>
    </cfRule>
  </conditionalFormatting>
  <conditionalFormatting sqref="AG123">
    <cfRule type="dataBar" priority="477">
      <dataBar>
        <cfvo type="min"/>
        <cfvo type="max"/>
        <color rgb="FF63C384"/>
      </dataBar>
      <extLst>
        <ext xmlns:x14="http://schemas.microsoft.com/office/spreadsheetml/2009/9/main" uri="{B025F937-C7B1-47D3-B67F-A62EFF666E3E}">
          <x14:id>{ED3A152A-95B7-4E8D-BFEB-25C5B2F3E947}</x14:id>
        </ext>
      </extLst>
    </cfRule>
  </conditionalFormatting>
  <conditionalFormatting sqref="AG123">
    <cfRule type="dataBar" priority="476">
      <dataBar>
        <cfvo type="min"/>
        <cfvo type="max"/>
        <color rgb="FF63C384"/>
      </dataBar>
      <extLst>
        <ext xmlns:x14="http://schemas.microsoft.com/office/spreadsheetml/2009/9/main" uri="{B025F937-C7B1-47D3-B67F-A62EFF666E3E}">
          <x14:id>{FF4D07F4-7B02-4916-A597-3E6991E0BA0E}</x14:id>
        </ext>
      </extLst>
    </cfRule>
  </conditionalFormatting>
  <conditionalFormatting sqref="AG123">
    <cfRule type="dataBar" priority="473">
      <dataBar>
        <cfvo type="min"/>
        <cfvo type="max"/>
        <color rgb="FF63C384"/>
      </dataBar>
      <extLst>
        <ext xmlns:x14="http://schemas.microsoft.com/office/spreadsheetml/2009/9/main" uri="{B025F937-C7B1-47D3-B67F-A62EFF666E3E}">
          <x14:id>{28D15828-2755-4E00-9DC4-1AF5B77AF9F1}</x14:id>
        </ext>
      </extLst>
    </cfRule>
  </conditionalFormatting>
  <conditionalFormatting sqref="AG123">
    <cfRule type="dataBar" priority="472">
      <dataBar>
        <cfvo type="min"/>
        <cfvo type="max"/>
        <color rgb="FF63C384"/>
      </dataBar>
      <extLst>
        <ext xmlns:x14="http://schemas.microsoft.com/office/spreadsheetml/2009/9/main" uri="{B025F937-C7B1-47D3-B67F-A62EFF666E3E}">
          <x14:id>{BCE39948-B5AD-4C9D-80B3-A1A536EBD0E1}</x14:id>
        </ext>
      </extLst>
    </cfRule>
  </conditionalFormatting>
  <conditionalFormatting sqref="Q124">
    <cfRule type="cellIs" dxfId="4098" priority="471" operator="equal">
      <formula>"ja"</formula>
    </cfRule>
  </conditionalFormatting>
  <conditionalFormatting sqref="AA124">
    <cfRule type="expression" dxfId="4097" priority="470">
      <formula>AND(AND($W124&lt;TODAY(),$W124&lt;&gt;""),$X124="")</formula>
    </cfRule>
  </conditionalFormatting>
  <conditionalFormatting sqref="AG124">
    <cfRule type="dataBar" priority="469">
      <dataBar>
        <cfvo type="min"/>
        <cfvo type="max"/>
        <color rgb="FF63C384"/>
      </dataBar>
      <extLst>
        <ext xmlns:x14="http://schemas.microsoft.com/office/spreadsheetml/2009/9/main" uri="{B025F937-C7B1-47D3-B67F-A62EFF666E3E}">
          <x14:id>{6968A936-75F8-4FEC-8DB2-1A711262A4F4}</x14:id>
        </ext>
      </extLst>
    </cfRule>
  </conditionalFormatting>
  <conditionalFormatting sqref="AG124">
    <cfRule type="dataBar" priority="468">
      <dataBar>
        <cfvo type="min"/>
        <cfvo type="max"/>
        <color rgb="FF63C384"/>
      </dataBar>
      <extLst>
        <ext xmlns:x14="http://schemas.microsoft.com/office/spreadsheetml/2009/9/main" uri="{B025F937-C7B1-47D3-B67F-A62EFF666E3E}">
          <x14:id>{FFB84168-F60B-401D-B4F0-CD4CAC2311F0}</x14:id>
        </ext>
      </extLst>
    </cfRule>
  </conditionalFormatting>
  <conditionalFormatting sqref="AA124">
    <cfRule type="expression" dxfId="4096" priority="467">
      <formula>AND(AND($W124&lt;TODAY(),$W124&lt;&gt;""),$X124="")</formula>
    </cfRule>
  </conditionalFormatting>
  <conditionalFormatting sqref="AG124">
    <cfRule type="dataBar" priority="466">
      <dataBar>
        <cfvo type="min"/>
        <cfvo type="max"/>
        <color rgb="FF63C384"/>
      </dataBar>
      <extLst>
        <ext xmlns:x14="http://schemas.microsoft.com/office/spreadsheetml/2009/9/main" uri="{B025F937-C7B1-47D3-B67F-A62EFF666E3E}">
          <x14:id>{A84D32F1-EBB5-4DB8-81B3-2757F6450026}</x14:id>
        </ext>
      </extLst>
    </cfRule>
  </conditionalFormatting>
  <conditionalFormatting sqref="AG124">
    <cfRule type="dataBar" priority="465">
      <dataBar>
        <cfvo type="min"/>
        <cfvo type="max"/>
        <color rgb="FF63C384"/>
      </dataBar>
      <extLst>
        <ext xmlns:x14="http://schemas.microsoft.com/office/spreadsheetml/2009/9/main" uri="{B025F937-C7B1-47D3-B67F-A62EFF666E3E}">
          <x14:id>{DECFDBC6-AD21-40AA-9C71-DD12E15170A6}</x14:id>
        </ext>
      </extLst>
    </cfRule>
  </conditionalFormatting>
  <conditionalFormatting sqref="Q124">
    <cfRule type="cellIs" dxfId="4095" priority="464" operator="equal">
      <formula>"ja"</formula>
    </cfRule>
  </conditionalFormatting>
  <conditionalFormatting sqref="Q125">
    <cfRule type="cellIs" dxfId="4094" priority="463" operator="equal">
      <formula>"ja"</formula>
    </cfRule>
  </conditionalFormatting>
  <conditionalFormatting sqref="AA125">
    <cfRule type="expression" dxfId="4093" priority="462">
      <formula>AND(AND($W125&lt;TODAY(),$W125&lt;&gt;""),$X125="")</formula>
    </cfRule>
  </conditionalFormatting>
  <conditionalFormatting sqref="AG125">
    <cfRule type="dataBar" priority="461">
      <dataBar>
        <cfvo type="min"/>
        <cfvo type="max"/>
        <color rgb="FF63C384"/>
      </dataBar>
      <extLst>
        <ext xmlns:x14="http://schemas.microsoft.com/office/spreadsheetml/2009/9/main" uri="{B025F937-C7B1-47D3-B67F-A62EFF666E3E}">
          <x14:id>{3A4509FB-E411-4120-8C81-21A8A74AAFA3}</x14:id>
        </ext>
      </extLst>
    </cfRule>
  </conditionalFormatting>
  <conditionalFormatting sqref="AG125">
    <cfRule type="dataBar" priority="460">
      <dataBar>
        <cfvo type="min"/>
        <cfvo type="max"/>
        <color rgb="FF63C384"/>
      </dataBar>
      <extLst>
        <ext xmlns:x14="http://schemas.microsoft.com/office/spreadsheetml/2009/9/main" uri="{B025F937-C7B1-47D3-B67F-A62EFF666E3E}">
          <x14:id>{6D1BC673-3552-44DB-AD4E-DE9C1160C1B5}</x14:id>
        </ext>
      </extLst>
    </cfRule>
  </conditionalFormatting>
  <conditionalFormatting sqref="Q126">
    <cfRule type="cellIs" dxfId="4092" priority="459" operator="equal">
      <formula>"ja"</formula>
    </cfRule>
  </conditionalFormatting>
  <conditionalFormatting sqref="AA126">
    <cfRule type="expression" dxfId="4091" priority="458">
      <formula>AND(AND($W126&lt;TODAY(),$W126&lt;&gt;""),$X126="")</formula>
    </cfRule>
  </conditionalFormatting>
  <conditionalFormatting sqref="AG126">
    <cfRule type="dataBar" priority="457">
      <dataBar>
        <cfvo type="min"/>
        <cfvo type="max"/>
        <color rgb="FF63C384"/>
      </dataBar>
      <extLst>
        <ext xmlns:x14="http://schemas.microsoft.com/office/spreadsheetml/2009/9/main" uri="{B025F937-C7B1-47D3-B67F-A62EFF666E3E}">
          <x14:id>{3E432959-AF27-42FA-880F-08CD70B447C1}</x14:id>
        </ext>
      </extLst>
    </cfRule>
  </conditionalFormatting>
  <conditionalFormatting sqref="AG126">
    <cfRule type="dataBar" priority="456">
      <dataBar>
        <cfvo type="min"/>
        <cfvo type="max"/>
        <color rgb="FF63C384"/>
      </dataBar>
      <extLst>
        <ext xmlns:x14="http://schemas.microsoft.com/office/spreadsheetml/2009/9/main" uri="{B025F937-C7B1-47D3-B67F-A62EFF666E3E}">
          <x14:id>{32B5DD63-50D2-4D84-AA41-5429401BBCFF}</x14:id>
        </ext>
      </extLst>
    </cfRule>
  </conditionalFormatting>
  <conditionalFormatting sqref="AA126">
    <cfRule type="expression" dxfId="4090" priority="455">
      <formula>AND(AND($W126&lt;TODAY(),$W126&lt;&gt;""),$X126="")</formula>
    </cfRule>
  </conditionalFormatting>
  <conditionalFormatting sqref="Q126">
    <cfRule type="cellIs" dxfId="4089" priority="454" operator="equal">
      <formula>"ja"</formula>
    </cfRule>
  </conditionalFormatting>
  <conditionalFormatting sqref="AG126">
    <cfRule type="dataBar" priority="453">
      <dataBar>
        <cfvo type="min"/>
        <cfvo type="max"/>
        <color rgb="FF63C384"/>
      </dataBar>
      <extLst>
        <ext xmlns:x14="http://schemas.microsoft.com/office/spreadsheetml/2009/9/main" uri="{B025F937-C7B1-47D3-B67F-A62EFF666E3E}">
          <x14:id>{558163C9-6673-40DD-A651-D96201163397}</x14:id>
        </ext>
      </extLst>
    </cfRule>
  </conditionalFormatting>
  <conditionalFormatting sqref="AG126">
    <cfRule type="dataBar" priority="452">
      <dataBar>
        <cfvo type="min"/>
        <cfvo type="max"/>
        <color rgb="FF63C384"/>
      </dataBar>
      <extLst>
        <ext xmlns:x14="http://schemas.microsoft.com/office/spreadsheetml/2009/9/main" uri="{B025F937-C7B1-47D3-B67F-A62EFF666E3E}">
          <x14:id>{01058AF9-5602-4ED0-96FE-7320F638AE5F}</x14:id>
        </ext>
      </extLst>
    </cfRule>
  </conditionalFormatting>
  <conditionalFormatting sqref="Q127">
    <cfRule type="cellIs" dxfId="4088" priority="451" operator="equal">
      <formula>"ja"</formula>
    </cfRule>
  </conditionalFormatting>
  <conditionalFormatting sqref="AA127">
    <cfRule type="expression" dxfId="4087" priority="450">
      <formula>AND(AND($W127&lt;TODAY(),$W127&lt;&gt;""),$X127="")</formula>
    </cfRule>
  </conditionalFormatting>
  <conditionalFormatting sqref="AG127">
    <cfRule type="dataBar" priority="449">
      <dataBar>
        <cfvo type="min"/>
        <cfvo type="max"/>
        <color rgb="FF63C384"/>
      </dataBar>
      <extLst>
        <ext xmlns:x14="http://schemas.microsoft.com/office/spreadsheetml/2009/9/main" uri="{B025F937-C7B1-47D3-B67F-A62EFF666E3E}">
          <x14:id>{8899CB09-E12E-4425-B3D6-4346F5248673}</x14:id>
        </ext>
      </extLst>
    </cfRule>
  </conditionalFormatting>
  <conditionalFormatting sqref="AG127">
    <cfRule type="dataBar" priority="448">
      <dataBar>
        <cfvo type="min"/>
        <cfvo type="max"/>
        <color rgb="FF63C384"/>
      </dataBar>
      <extLst>
        <ext xmlns:x14="http://schemas.microsoft.com/office/spreadsheetml/2009/9/main" uri="{B025F937-C7B1-47D3-B67F-A62EFF666E3E}">
          <x14:id>{542848B7-F85A-4E92-98ED-2CF1654D1A36}</x14:id>
        </ext>
      </extLst>
    </cfRule>
  </conditionalFormatting>
  <conditionalFormatting sqref="Q127">
    <cfRule type="cellIs" dxfId="4086" priority="447" operator="equal">
      <formula>"ja"</formula>
    </cfRule>
  </conditionalFormatting>
  <conditionalFormatting sqref="AA127">
    <cfRule type="expression" dxfId="4085" priority="446">
      <formula>AND(AND($W127&lt;TODAY(),$W127&lt;&gt;""),$X127="")</formula>
    </cfRule>
  </conditionalFormatting>
  <conditionalFormatting sqref="AG127">
    <cfRule type="dataBar" priority="445">
      <dataBar>
        <cfvo type="min"/>
        <cfvo type="max"/>
        <color rgb="FF63C384"/>
      </dataBar>
      <extLst>
        <ext xmlns:x14="http://schemas.microsoft.com/office/spreadsheetml/2009/9/main" uri="{B025F937-C7B1-47D3-B67F-A62EFF666E3E}">
          <x14:id>{9894BF4C-6F2C-4DF4-A0C6-7DC0A0035C87}</x14:id>
        </ext>
      </extLst>
    </cfRule>
  </conditionalFormatting>
  <conditionalFormatting sqref="AG127">
    <cfRule type="dataBar" priority="444">
      <dataBar>
        <cfvo type="min"/>
        <cfvo type="max"/>
        <color rgb="FF63C384"/>
      </dataBar>
      <extLst>
        <ext xmlns:x14="http://schemas.microsoft.com/office/spreadsheetml/2009/9/main" uri="{B025F937-C7B1-47D3-B67F-A62EFF666E3E}">
          <x14:id>{B75E8334-6F2F-4715-AACC-79323FA2BFCD}</x14:id>
        </ext>
      </extLst>
    </cfRule>
  </conditionalFormatting>
  <conditionalFormatting sqref="Q127">
    <cfRule type="cellIs" dxfId="4084" priority="443" operator="equal">
      <formula>"ja"</formula>
    </cfRule>
  </conditionalFormatting>
  <conditionalFormatting sqref="AA127">
    <cfRule type="expression" dxfId="4083" priority="442">
      <formula>AND(AND($W127&lt;TODAY(),$W127&lt;&gt;""),$X127="")</formula>
    </cfRule>
  </conditionalFormatting>
  <conditionalFormatting sqref="AG127">
    <cfRule type="dataBar" priority="441">
      <dataBar>
        <cfvo type="min"/>
        <cfvo type="max"/>
        <color rgb="FF63C384"/>
      </dataBar>
      <extLst>
        <ext xmlns:x14="http://schemas.microsoft.com/office/spreadsheetml/2009/9/main" uri="{B025F937-C7B1-47D3-B67F-A62EFF666E3E}">
          <x14:id>{A3FB98AD-47CA-4830-9224-A46E819F4029}</x14:id>
        </ext>
      </extLst>
    </cfRule>
  </conditionalFormatting>
  <conditionalFormatting sqref="AG127">
    <cfRule type="dataBar" priority="440">
      <dataBar>
        <cfvo type="min"/>
        <cfvo type="max"/>
        <color rgb="FF63C384"/>
      </dataBar>
      <extLst>
        <ext xmlns:x14="http://schemas.microsoft.com/office/spreadsheetml/2009/9/main" uri="{B025F937-C7B1-47D3-B67F-A62EFF666E3E}">
          <x14:id>{00B36C19-C600-47D5-B74C-CF4A03B6B4FA}</x14:id>
        </ext>
      </extLst>
    </cfRule>
  </conditionalFormatting>
  <conditionalFormatting sqref="AA128">
    <cfRule type="expression" dxfId="4082" priority="439">
      <formula>AND(AND($W128&lt;TODAY(),$W128&lt;&gt;""),$X128="")</formula>
    </cfRule>
  </conditionalFormatting>
  <conditionalFormatting sqref="AG128">
    <cfRule type="dataBar" priority="438">
      <dataBar>
        <cfvo type="min"/>
        <cfvo type="max"/>
        <color rgb="FF63C384"/>
      </dataBar>
      <extLst>
        <ext xmlns:x14="http://schemas.microsoft.com/office/spreadsheetml/2009/9/main" uri="{B025F937-C7B1-47D3-B67F-A62EFF666E3E}">
          <x14:id>{08F06A26-9970-46CC-B4E7-DA5566FDE1B9}</x14:id>
        </ext>
      </extLst>
    </cfRule>
  </conditionalFormatting>
  <conditionalFormatting sqref="AG128">
    <cfRule type="dataBar" priority="437">
      <dataBar>
        <cfvo type="min"/>
        <cfvo type="max"/>
        <color rgb="FF63C384"/>
      </dataBar>
      <extLst>
        <ext xmlns:x14="http://schemas.microsoft.com/office/spreadsheetml/2009/9/main" uri="{B025F937-C7B1-47D3-B67F-A62EFF666E3E}">
          <x14:id>{D8D172A2-10D4-4FA6-BFD1-7B8C3F00F099}</x14:id>
        </ext>
      </extLst>
    </cfRule>
  </conditionalFormatting>
  <conditionalFormatting sqref="AA129">
    <cfRule type="expression" dxfId="4081" priority="436">
      <formula>AND(AND($W129&lt;TODAY(),$W129&lt;&gt;""),$X129="")</formula>
    </cfRule>
  </conditionalFormatting>
  <conditionalFormatting sqref="AG129">
    <cfRule type="dataBar" priority="435">
      <dataBar>
        <cfvo type="min"/>
        <cfvo type="max"/>
        <color rgb="FF63C384"/>
      </dataBar>
      <extLst>
        <ext xmlns:x14="http://schemas.microsoft.com/office/spreadsheetml/2009/9/main" uri="{B025F937-C7B1-47D3-B67F-A62EFF666E3E}">
          <x14:id>{141C49A1-2101-43F2-91D7-5F7FA7B1B1F9}</x14:id>
        </ext>
      </extLst>
    </cfRule>
  </conditionalFormatting>
  <conditionalFormatting sqref="AG129">
    <cfRule type="dataBar" priority="434">
      <dataBar>
        <cfvo type="min"/>
        <cfvo type="max"/>
        <color rgb="FF63C384"/>
      </dataBar>
      <extLst>
        <ext xmlns:x14="http://schemas.microsoft.com/office/spreadsheetml/2009/9/main" uri="{B025F937-C7B1-47D3-B67F-A62EFF666E3E}">
          <x14:id>{2FD4F2A5-2C15-4E79-9719-6EB54901CE15}</x14:id>
        </ext>
      </extLst>
    </cfRule>
  </conditionalFormatting>
  <conditionalFormatting sqref="Q129">
    <cfRule type="cellIs" dxfId="4080" priority="433" operator="equal">
      <formula>"ja"</formula>
    </cfRule>
  </conditionalFormatting>
  <conditionalFormatting sqref="Q130">
    <cfRule type="cellIs" dxfId="4079" priority="432" operator="equal">
      <formula>"ja"</formula>
    </cfRule>
  </conditionalFormatting>
  <conditionalFormatting sqref="AA130">
    <cfRule type="expression" dxfId="4078" priority="431">
      <formula>AND(AND($W130&lt;TODAY(),$W130&lt;&gt;""),$X130="")</formula>
    </cfRule>
  </conditionalFormatting>
  <conditionalFormatting sqref="AG130">
    <cfRule type="dataBar" priority="430">
      <dataBar>
        <cfvo type="min"/>
        <cfvo type="max"/>
        <color rgb="FF63C384"/>
      </dataBar>
      <extLst>
        <ext xmlns:x14="http://schemas.microsoft.com/office/spreadsheetml/2009/9/main" uri="{B025F937-C7B1-47D3-B67F-A62EFF666E3E}">
          <x14:id>{83E6A99B-BB47-4A82-A2AF-872DC57451C7}</x14:id>
        </ext>
      </extLst>
    </cfRule>
  </conditionalFormatting>
  <conditionalFormatting sqref="AG130">
    <cfRule type="dataBar" priority="429">
      <dataBar>
        <cfvo type="min"/>
        <cfvo type="max"/>
        <color rgb="FF63C384"/>
      </dataBar>
      <extLst>
        <ext xmlns:x14="http://schemas.microsoft.com/office/spreadsheetml/2009/9/main" uri="{B025F937-C7B1-47D3-B67F-A62EFF666E3E}">
          <x14:id>{558C2894-C565-4256-9BCE-5277187E9E6C}</x14:id>
        </ext>
      </extLst>
    </cfRule>
  </conditionalFormatting>
  <conditionalFormatting sqref="AA130">
    <cfRule type="expression" dxfId="4077" priority="428">
      <formula>AND(AND($W130&lt;TODAY(),$W130&lt;&gt;""),$X130="")</formula>
    </cfRule>
  </conditionalFormatting>
  <conditionalFormatting sqref="AG130">
    <cfRule type="dataBar" priority="427">
      <dataBar>
        <cfvo type="min"/>
        <cfvo type="max"/>
        <color rgb="FF63C384"/>
      </dataBar>
      <extLst>
        <ext xmlns:x14="http://schemas.microsoft.com/office/spreadsheetml/2009/9/main" uri="{B025F937-C7B1-47D3-B67F-A62EFF666E3E}">
          <x14:id>{ACB85D8C-7E6F-4872-878E-8732874805AD}</x14:id>
        </ext>
      </extLst>
    </cfRule>
  </conditionalFormatting>
  <conditionalFormatting sqref="AG130">
    <cfRule type="dataBar" priority="426">
      <dataBar>
        <cfvo type="min"/>
        <cfvo type="max"/>
        <color rgb="FF63C384"/>
      </dataBar>
      <extLst>
        <ext xmlns:x14="http://schemas.microsoft.com/office/spreadsheetml/2009/9/main" uri="{B025F937-C7B1-47D3-B67F-A62EFF666E3E}">
          <x14:id>{1F041DC0-B783-4014-AFA4-B5761B032E99}</x14:id>
        </ext>
      </extLst>
    </cfRule>
  </conditionalFormatting>
  <conditionalFormatting sqref="Q130">
    <cfRule type="cellIs" dxfId="4076" priority="425" operator="equal">
      <formula>"ja"</formula>
    </cfRule>
  </conditionalFormatting>
  <conditionalFormatting sqref="Q131">
    <cfRule type="cellIs" dxfId="4075" priority="424" operator="equal">
      <formula>"ja"</formula>
    </cfRule>
  </conditionalFormatting>
  <conditionalFormatting sqref="AA131">
    <cfRule type="expression" dxfId="4074" priority="423">
      <formula>AND(AND($W131&lt;TODAY(),$W131&lt;&gt;""),$X131="")</formula>
    </cfRule>
  </conditionalFormatting>
  <conditionalFormatting sqref="AG131">
    <cfRule type="dataBar" priority="422">
      <dataBar>
        <cfvo type="min"/>
        <cfvo type="max"/>
        <color rgb="FF63C384"/>
      </dataBar>
      <extLst>
        <ext xmlns:x14="http://schemas.microsoft.com/office/spreadsheetml/2009/9/main" uri="{B025F937-C7B1-47D3-B67F-A62EFF666E3E}">
          <x14:id>{DC12941C-8F0D-4332-8E38-41A5FECF76EF}</x14:id>
        </ext>
      </extLst>
    </cfRule>
  </conditionalFormatting>
  <conditionalFormatting sqref="AG131">
    <cfRule type="dataBar" priority="421">
      <dataBar>
        <cfvo type="min"/>
        <cfvo type="max"/>
        <color rgb="FF63C384"/>
      </dataBar>
      <extLst>
        <ext xmlns:x14="http://schemas.microsoft.com/office/spreadsheetml/2009/9/main" uri="{B025F937-C7B1-47D3-B67F-A62EFF666E3E}">
          <x14:id>{4629D814-FF43-4B97-A842-F016626D0D9F}</x14:id>
        </ext>
      </extLst>
    </cfRule>
  </conditionalFormatting>
  <conditionalFormatting sqref="Q131">
    <cfRule type="cellIs" dxfId="4073" priority="420" operator="equal">
      <formula>"ja"</formula>
    </cfRule>
  </conditionalFormatting>
  <conditionalFormatting sqref="AA131">
    <cfRule type="expression" dxfId="4072" priority="419">
      <formula>AND(AND($W131&lt;TODAY(),$W131&lt;&gt;""),$X131="")</formula>
    </cfRule>
  </conditionalFormatting>
  <conditionalFormatting sqref="AG131">
    <cfRule type="dataBar" priority="418">
      <dataBar>
        <cfvo type="min"/>
        <cfvo type="max"/>
        <color rgb="FF63C384"/>
      </dataBar>
      <extLst>
        <ext xmlns:x14="http://schemas.microsoft.com/office/spreadsheetml/2009/9/main" uri="{B025F937-C7B1-47D3-B67F-A62EFF666E3E}">
          <x14:id>{19D30D6A-7A18-4785-8369-647BF13A0D78}</x14:id>
        </ext>
      </extLst>
    </cfRule>
  </conditionalFormatting>
  <conditionalFormatting sqref="AG131">
    <cfRule type="dataBar" priority="417">
      <dataBar>
        <cfvo type="min"/>
        <cfvo type="max"/>
        <color rgb="FF63C384"/>
      </dataBar>
      <extLst>
        <ext xmlns:x14="http://schemas.microsoft.com/office/spreadsheetml/2009/9/main" uri="{B025F937-C7B1-47D3-B67F-A62EFF666E3E}">
          <x14:id>{00866AC3-AFFD-45AC-BB3F-DC15888E35FC}</x14:id>
        </ext>
      </extLst>
    </cfRule>
  </conditionalFormatting>
  <conditionalFormatting sqref="AA132">
    <cfRule type="expression" dxfId="4071" priority="416">
      <formula>AND(AND($W132&lt;TODAY(),$W132&lt;&gt;""),$X132="")</formula>
    </cfRule>
  </conditionalFormatting>
  <conditionalFormatting sqref="AG132">
    <cfRule type="dataBar" priority="415">
      <dataBar>
        <cfvo type="min"/>
        <cfvo type="max"/>
        <color rgb="FF63C384"/>
      </dataBar>
      <extLst>
        <ext xmlns:x14="http://schemas.microsoft.com/office/spreadsheetml/2009/9/main" uri="{B025F937-C7B1-47D3-B67F-A62EFF666E3E}">
          <x14:id>{525CFC93-3ED3-4B65-A2BC-85D2E7D6E252}</x14:id>
        </ext>
      </extLst>
    </cfRule>
  </conditionalFormatting>
  <conditionalFormatting sqref="AG132">
    <cfRule type="dataBar" priority="414">
      <dataBar>
        <cfvo type="min"/>
        <cfvo type="max"/>
        <color rgb="FF63C384"/>
      </dataBar>
      <extLst>
        <ext xmlns:x14="http://schemas.microsoft.com/office/spreadsheetml/2009/9/main" uri="{B025F937-C7B1-47D3-B67F-A62EFF666E3E}">
          <x14:id>{21DFB7FD-174D-4933-B2B5-3455290F2882}</x14:id>
        </ext>
      </extLst>
    </cfRule>
  </conditionalFormatting>
  <conditionalFormatting sqref="Q132">
    <cfRule type="cellIs" dxfId="4070" priority="413" operator="equal">
      <formula>"ja"</formula>
    </cfRule>
  </conditionalFormatting>
  <conditionalFormatting sqref="Q133">
    <cfRule type="cellIs" dxfId="4069" priority="412" operator="equal">
      <formula>"ja"</formula>
    </cfRule>
  </conditionalFormatting>
  <conditionalFormatting sqref="AA133">
    <cfRule type="expression" dxfId="4068" priority="411">
      <formula>AND(AND($W133&lt;TODAY(),$W133&lt;&gt;""),$X133="")</formula>
    </cfRule>
  </conditionalFormatting>
  <conditionalFormatting sqref="AG133">
    <cfRule type="dataBar" priority="410">
      <dataBar>
        <cfvo type="min"/>
        <cfvo type="max"/>
        <color rgb="FF63C384"/>
      </dataBar>
      <extLst>
        <ext xmlns:x14="http://schemas.microsoft.com/office/spreadsheetml/2009/9/main" uri="{B025F937-C7B1-47D3-B67F-A62EFF666E3E}">
          <x14:id>{43D7722B-DACC-40B4-9328-7F098700BA7B}</x14:id>
        </ext>
      </extLst>
    </cfRule>
  </conditionalFormatting>
  <conditionalFormatting sqref="AG133">
    <cfRule type="dataBar" priority="409">
      <dataBar>
        <cfvo type="min"/>
        <cfvo type="max"/>
        <color rgb="FF63C384"/>
      </dataBar>
      <extLst>
        <ext xmlns:x14="http://schemas.microsoft.com/office/spreadsheetml/2009/9/main" uri="{B025F937-C7B1-47D3-B67F-A62EFF666E3E}">
          <x14:id>{0467B4BD-F09F-4C96-9EE5-4D9609143CD4}</x14:id>
        </ext>
      </extLst>
    </cfRule>
  </conditionalFormatting>
  <conditionalFormatting sqref="AA133">
    <cfRule type="expression" dxfId="4067" priority="408">
      <formula>AND(AND($W133&lt;TODAY(),$W133&lt;&gt;""),$X133="")</formula>
    </cfRule>
  </conditionalFormatting>
  <conditionalFormatting sqref="Q133">
    <cfRule type="cellIs" dxfId="4066" priority="407" operator="equal">
      <formula>"ja"</formula>
    </cfRule>
  </conditionalFormatting>
  <conditionalFormatting sqref="AG133">
    <cfRule type="dataBar" priority="406">
      <dataBar>
        <cfvo type="min"/>
        <cfvo type="max"/>
        <color rgb="FF63C384"/>
      </dataBar>
      <extLst>
        <ext xmlns:x14="http://schemas.microsoft.com/office/spreadsheetml/2009/9/main" uri="{B025F937-C7B1-47D3-B67F-A62EFF666E3E}">
          <x14:id>{425AA579-79DE-48B5-B9D9-B1948A56CBE9}</x14:id>
        </ext>
      </extLst>
    </cfRule>
  </conditionalFormatting>
  <conditionalFormatting sqref="AG133">
    <cfRule type="dataBar" priority="405">
      <dataBar>
        <cfvo type="min"/>
        <cfvo type="max"/>
        <color rgb="FF63C384"/>
      </dataBar>
      <extLst>
        <ext xmlns:x14="http://schemas.microsoft.com/office/spreadsheetml/2009/9/main" uri="{B025F937-C7B1-47D3-B67F-A62EFF666E3E}">
          <x14:id>{A4AC74A0-5E40-4C91-9395-6A5F474FE9AF}</x14:id>
        </ext>
      </extLst>
    </cfRule>
  </conditionalFormatting>
  <conditionalFormatting sqref="AA134">
    <cfRule type="expression" dxfId="4065" priority="404">
      <formula>AND(AND($W134&lt;TODAY(),$W134&lt;&gt;""),$X134="")</formula>
    </cfRule>
  </conditionalFormatting>
  <conditionalFormatting sqref="Q135">
    <cfRule type="cellIs" dxfId="4064" priority="403" operator="equal">
      <formula>"ja"</formula>
    </cfRule>
  </conditionalFormatting>
  <conditionalFormatting sqref="AA135">
    <cfRule type="expression" dxfId="4063" priority="402">
      <formula>AND(AND($W135&lt;TODAY(),$W135&lt;&gt;""),$X135="")</formula>
    </cfRule>
  </conditionalFormatting>
  <conditionalFormatting sqref="AG135">
    <cfRule type="dataBar" priority="401">
      <dataBar>
        <cfvo type="min"/>
        <cfvo type="max"/>
        <color rgb="FF63C384"/>
      </dataBar>
      <extLst>
        <ext xmlns:x14="http://schemas.microsoft.com/office/spreadsheetml/2009/9/main" uri="{B025F937-C7B1-47D3-B67F-A62EFF666E3E}">
          <x14:id>{82B8F717-70EC-4FDF-972D-82C21BC4A005}</x14:id>
        </ext>
      </extLst>
    </cfRule>
  </conditionalFormatting>
  <conditionalFormatting sqref="AG135">
    <cfRule type="dataBar" priority="400">
      <dataBar>
        <cfvo type="min"/>
        <cfvo type="max"/>
        <color rgb="FF63C384"/>
      </dataBar>
      <extLst>
        <ext xmlns:x14="http://schemas.microsoft.com/office/spreadsheetml/2009/9/main" uri="{B025F937-C7B1-47D3-B67F-A62EFF666E3E}">
          <x14:id>{BAC92A25-5DF9-42D1-A029-B4361A0D7920}</x14:id>
        </ext>
      </extLst>
    </cfRule>
  </conditionalFormatting>
  <conditionalFormatting sqref="Q136">
    <cfRule type="cellIs" dxfId="4062" priority="399" operator="equal">
      <formula>"ja"</formula>
    </cfRule>
  </conditionalFormatting>
  <conditionalFormatting sqref="Q136">
    <cfRule type="cellIs" dxfId="4061" priority="387" operator="equal">
      <formula>"ja"</formula>
    </cfRule>
  </conditionalFormatting>
  <conditionalFormatting sqref="AA136">
    <cfRule type="expression" dxfId="4060" priority="386">
      <formula>AND(AND($W136&lt;TODAY(),$W136&lt;&gt;""),$X136="")</formula>
    </cfRule>
  </conditionalFormatting>
  <conditionalFormatting sqref="AA136">
    <cfRule type="expression" dxfId="4059" priority="398">
      <formula>AND(AND($W136&lt;TODAY(),$W136&lt;&gt;""),$X136="")</formula>
    </cfRule>
  </conditionalFormatting>
  <conditionalFormatting sqref="AG136">
    <cfRule type="dataBar" priority="397">
      <dataBar>
        <cfvo type="min"/>
        <cfvo type="max"/>
        <color rgb="FF63C384"/>
      </dataBar>
      <extLst>
        <ext xmlns:x14="http://schemas.microsoft.com/office/spreadsheetml/2009/9/main" uri="{B025F937-C7B1-47D3-B67F-A62EFF666E3E}">
          <x14:id>{488ABF00-4849-4BB6-B62B-5A3E3B3CC780}</x14:id>
        </ext>
      </extLst>
    </cfRule>
  </conditionalFormatting>
  <conditionalFormatting sqref="AG136">
    <cfRule type="dataBar" priority="396">
      <dataBar>
        <cfvo type="min"/>
        <cfvo type="max"/>
        <color rgb="FF63C384"/>
      </dataBar>
      <extLst>
        <ext xmlns:x14="http://schemas.microsoft.com/office/spreadsheetml/2009/9/main" uri="{B025F937-C7B1-47D3-B67F-A62EFF666E3E}">
          <x14:id>{DEB1E09D-23D7-4B8A-AFB7-C7333F702A13}</x14:id>
        </ext>
      </extLst>
    </cfRule>
  </conditionalFormatting>
  <conditionalFormatting sqref="Q136">
    <cfRule type="cellIs" dxfId="4058" priority="395" operator="equal">
      <formula>"ja"</formula>
    </cfRule>
  </conditionalFormatting>
  <conditionalFormatting sqref="AA136">
    <cfRule type="expression" dxfId="4057" priority="394">
      <formula>AND(AND($W136&lt;TODAY(),$W136&lt;&gt;""),$X136="")</formula>
    </cfRule>
  </conditionalFormatting>
  <conditionalFormatting sqref="AG136">
    <cfRule type="dataBar" priority="393">
      <dataBar>
        <cfvo type="min"/>
        <cfvo type="max"/>
        <color rgb="FF63C384"/>
      </dataBar>
      <extLst>
        <ext xmlns:x14="http://schemas.microsoft.com/office/spreadsheetml/2009/9/main" uri="{B025F937-C7B1-47D3-B67F-A62EFF666E3E}">
          <x14:id>{04EA8708-97AD-4437-99E2-A97A3FF2A8C5}</x14:id>
        </ext>
      </extLst>
    </cfRule>
  </conditionalFormatting>
  <conditionalFormatting sqref="AG136">
    <cfRule type="dataBar" priority="392">
      <dataBar>
        <cfvo type="min"/>
        <cfvo type="max"/>
        <color rgb="FF63C384"/>
      </dataBar>
      <extLst>
        <ext xmlns:x14="http://schemas.microsoft.com/office/spreadsheetml/2009/9/main" uri="{B025F937-C7B1-47D3-B67F-A62EFF666E3E}">
          <x14:id>{271BAE97-12E0-4193-822D-D5979DA6EF12}</x14:id>
        </ext>
      </extLst>
    </cfRule>
  </conditionalFormatting>
  <conditionalFormatting sqref="Q136">
    <cfRule type="cellIs" dxfId="4056" priority="391" operator="equal">
      <formula>"ja"</formula>
    </cfRule>
  </conditionalFormatting>
  <conditionalFormatting sqref="AA136">
    <cfRule type="expression" dxfId="4055" priority="390">
      <formula>AND(AND($W136&lt;TODAY(),$W136&lt;&gt;""),$X136="")</formula>
    </cfRule>
  </conditionalFormatting>
  <conditionalFormatting sqref="AG136">
    <cfRule type="dataBar" priority="389">
      <dataBar>
        <cfvo type="min"/>
        <cfvo type="max"/>
        <color rgb="FF63C384"/>
      </dataBar>
      <extLst>
        <ext xmlns:x14="http://schemas.microsoft.com/office/spreadsheetml/2009/9/main" uri="{B025F937-C7B1-47D3-B67F-A62EFF666E3E}">
          <x14:id>{7FB8C6DD-F367-4563-BE64-59117FAB9765}</x14:id>
        </ext>
      </extLst>
    </cfRule>
  </conditionalFormatting>
  <conditionalFormatting sqref="AG136">
    <cfRule type="dataBar" priority="388">
      <dataBar>
        <cfvo type="min"/>
        <cfvo type="max"/>
        <color rgb="FF63C384"/>
      </dataBar>
      <extLst>
        <ext xmlns:x14="http://schemas.microsoft.com/office/spreadsheetml/2009/9/main" uri="{B025F937-C7B1-47D3-B67F-A62EFF666E3E}">
          <x14:id>{D339E92C-01DF-41DF-8D3D-7A8E6C9A400F}</x14:id>
        </ext>
      </extLst>
    </cfRule>
  </conditionalFormatting>
  <conditionalFormatting sqref="AG136">
    <cfRule type="dataBar" priority="385">
      <dataBar>
        <cfvo type="min"/>
        <cfvo type="max"/>
        <color rgb="FF63C384"/>
      </dataBar>
      <extLst>
        <ext xmlns:x14="http://schemas.microsoft.com/office/spreadsheetml/2009/9/main" uri="{B025F937-C7B1-47D3-B67F-A62EFF666E3E}">
          <x14:id>{0B666857-E3F1-4F68-941A-A12BB312ABAC}</x14:id>
        </ext>
      </extLst>
    </cfRule>
  </conditionalFormatting>
  <conditionalFormatting sqref="AG136">
    <cfRule type="dataBar" priority="384">
      <dataBar>
        <cfvo type="min"/>
        <cfvo type="max"/>
        <color rgb="FF63C384"/>
      </dataBar>
      <extLst>
        <ext xmlns:x14="http://schemas.microsoft.com/office/spreadsheetml/2009/9/main" uri="{B025F937-C7B1-47D3-B67F-A62EFF666E3E}">
          <x14:id>{51EBC26E-E4AD-44A4-8640-C4E26958DF6A}</x14:id>
        </ext>
      </extLst>
    </cfRule>
  </conditionalFormatting>
  <conditionalFormatting sqref="Q137">
    <cfRule type="cellIs" dxfId="4054" priority="383" operator="equal">
      <formula>"ja"</formula>
    </cfRule>
  </conditionalFormatting>
  <conditionalFormatting sqref="AA137">
    <cfRule type="expression" dxfId="4053" priority="382">
      <formula>AND(AND($W137&lt;TODAY(),$W137&lt;&gt;""),$X137="")</formula>
    </cfRule>
  </conditionalFormatting>
  <conditionalFormatting sqref="AG137">
    <cfRule type="dataBar" priority="381">
      <dataBar>
        <cfvo type="min"/>
        <cfvo type="max"/>
        <color rgb="FF63C384"/>
      </dataBar>
      <extLst>
        <ext xmlns:x14="http://schemas.microsoft.com/office/spreadsheetml/2009/9/main" uri="{B025F937-C7B1-47D3-B67F-A62EFF666E3E}">
          <x14:id>{944AC312-575A-4F64-9360-F0E3D5FC44CD}</x14:id>
        </ext>
      </extLst>
    </cfRule>
  </conditionalFormatting>
  <conditionalFormatting sqref="AG137">
    <cfRule type="dataBar" priority="380">
      <dataBar>
        <cfvo type="min"/>
        <cfvo type="max"/>
        <color rgb="FF63C384"/>
      </dataBar>
      <extLst>
        <ext xmlns:x14="http://schemas.microsoft.com/office/spreadsheetml/2009/9/main" uri="{B025F937-C7B1-47D3-B67F-A62EFF666E3E}">
          <x14:id>{24D3CDE3-CEE8-4607-9D68-86DC13324C47}</x14:id>
        </ext>
      </extLst>
    </cfRule>
  </conditionalFormatting>
  <conditionalFormatting sqref="AA137">
    <cfRule type="expression" dxfId="4052" priority="379">
      <formula>AND(AND($W137&lt;TODAY(),$W137&lt;&gt;""),$X137="")</formula>
    </cfRule>
  </conditionalFormatting>
  <conditionalFormatting sqref="AG137">
    <cfRule type="dataBar" priority="378">
      <dataBar>
        <cfvo type="min"/>
        <cfvo type="max"/>
        <color rgb="FF63C384"/>
      </dataBar>
      <extLst>
        <ext xmlns:x14="http://schemas.microsoft.com/office/spreadsheetml/2009/9/main" uri="{B025F937-C7B1-47D3-B67F-A62EFF666E3E}">
          <x14:id>{73B9F7B2-2FF1-46E0-BEA4-B9B0C0653C52}</x14:id>
        </ext>
      </extLst>
    </cfRule>
  </conditionalFormatting>
  <conditionalFormatting sqref="AG137">
    <cfRule type="dataBar" priority="377">
      <dataBar>
        <cfvo type="min"/>
        <cfvo type="max"/>
        <color rgb="FF63C384"/>
      </dataBar>
      <extLst>
        <ext xmlns:x14="http://schemas.microsoft.com/office/spreadsheetml/2009/9/main" uri="{B025F937-C7B1-47D3-B67F-A62EFF666E3E}">
          <x14:id>{FD36F9DE-1D15-4A44-BA4C-F87369E7A6EC}</x14:id>
        </ext>
      </extLst>
    </cfRule>
  </conditionalFormatting>
  <conditionalFormatting sqref="Q137">
    <cfRule type="cellIs" dxfId="4051" priority="376" operator="equal">
      <formula>"ja"</formula>
    </cfRule>
  </conditionalFormatting>
  <conditionalFormatting sqref="Q138">
    <cfRule type="cellIs" dxfId="4050" priority="375" operator="equal">
      <formula>"ja"</formula>
    </cfRule>
  </conditionalFormatting>
  <conditionalFormatting sqref="AA138">
    <cfRule type="expression" dxfId="4049" priority="374">
      <formula>AND(AND($W138&lt;TODAY(),$W138&lt;&gt;""),$X138="")</formula>
    </cfRule>
  </conditionalFormatting>
  <conditionalFormatting sqref="AG138">
    <cfRule type="dataBar" priority="373">
      <dataBar>
        <cfvo type="min"/>
        <cfvo type="max"/>
        <color rgb="FF63C384"/>
      </dataBar>
      <extLst>
        <ext xmlns:x14="http://schemas.microsoft.com/office/spreadsheetml/2009/9/main" uri="{B025F937-C7B1-47D3-B67F-A62EFF666E3E}">
          <x14:id>{1AFB00C4-A1A0-4FA0-94E6-B4D8FA06685F}</x14:id>
        </ext>
      </extLst>
    </cfRule>
  </conditionalFormatting>
  <conditionalFormatting sqref="AG138">
    <cfRule type="dataBar" priority="372">
      <dataBar>
        <cfvo type="min"/>
        <cfvo type="max"/>
        <color rgb="FF63C384"/>
      </dataBar>
      <extLst>
        <ext xmlns:x14="http://schemas.microsoft.com/office/spreadsheetml/2009/9/main" uri="{B025F937-C7B1-47D3-B67F-A62EFF666E3E}">
          <x14:id>{E5544B52-D4A6-4DC9-9C44-EEB2C15963EB}</x14:id>
        </ext>
      </extLst>
    </cfRule>
  </conditionalFormatting>
  <conditionalFormatting sqref="Q139">
    <cfRule type="cellIs" dxfId="4048" priority="371" operator="equal">
      <formula>"ja"</formula>
    </cfRule>
  </conditionalFormatting>
  <conditionalFormatting sqref="AA139">
    <cfRule type="expression" dxfId="4047" priority="370">
      <formula>AND(AND($W139&lt;TODAY(),$W139&lt;&gt;""),$X139="")</formula>
    </cfRule>
  </conditionalFormatting>
  <conditionalFormatting sqref="AG139">
    <cfRule type="dataBar" priority="369">
      <dataBar>
        <cfvo type="min"/>
        <cfvo type="max"/>
        <color rgb="FF63C384"/>
      </dataBar>
      <extLst>
        <ext xmlns:x14="http://schemas.microsoft.com/office/spreadsheetml/2009/9/main" uri="{B025F937-C7B1-47D3-B67F-A62EFF666E3E}">
          <x14:id>{CD302BE0-D16E-40EB-B12B-38DB7B95B482}</x14:id>
        </ext>
      </extLst>
    </cfRule>
  </conditionalFormatting>
  <conditionalFormatting sqref="AG139">
    <cfRule type="dataBar" priority="368">
      <dataBar>
        <cfvo type="min"/>
        <cfvo type="max"/>
        <color rgb="FF63C384"/>
      </dataBar>
      <extLst>
        <ext xmlns:x14="http://schemas.microsoft.com/office/spreadsheetml/2009/9/main" uri="{B025F937-C7B1-47D3-B67F-A62EFF666E3E}">
          <x14:id>{B59C319E-2FE6-40E4-AB75-55809FD39A06}</x14:id>
        </ext>
      </extLst>
    </cfRule>
  </conditionalFormatting>
  <conditionalFormatting sqref="AA139">
    <cfRule type="expression" dxfId="4046" priority="367">
      <formula>AND(AND($W139&lt;TODAY(),$W139&lt;&gt;""),$X139="")</formula>
    </cfRule>
  </conditionalFormatting>
  <conditionalFormatting sqref="Q139">
    <cfRule type="cellIs" dxfId="4045" priority="366" operator="equal">
      <formula>"ja"</formula>
    </cfRule>
  </conditionalFormatting>
  <conditionalFormatting sqref="AG139">
    <cfRule type="dataBar" priority="365">
      <dataBar>
        <cfvo type="min"/>
        <cfvo type="max"/>
        <color rgb="FF63C384"/>
      </dataBar>
      <extLst>
        <ext xmlns:x14="http://schemas.microsoft.com/office/spreadsheetml/2009/9/main" uri="{B025F937-C7B1-47D3-B67F-A62EFF666E3E}">
          <x14:id>{47699EF3-D50E-4625-AE03-E8B66CF97364}</x14:id>
        </ext>
      </extLst>
    </cfRule>
  </conditionalFormatting>
  <conditionalFormatting sqref="AG139">
    <cfRule type="dataBar" priority="364">
      <dataBar>
        <cfvo type="min"/>
        <cfvo type="max"/>
        <color rgb="FF63C384"/>
      </dataBar>
      <extLst>
        <ext xmlns:x14="http://schemas.microsoft.com/office/spreadsheetml/2009/9/main" uri="{B025F937-C7B1-47D3-B67F-A62EFF666E3E}">
          <x14:id>{CB71A383-41DB-4EB6-9856-55E253E41728}</x14:id>
        </ext>
      </extLst>
    </cfRule>
  </conditionalFormatting>
  <conditionalFormatting sqref="Q140">
    <cfRule type="cellIs" dxfId="4044" priority="363" operator="equal">
      <formula>"ja"</formula>
    </cfRule>
  </conditionalFormatting>
  <conditionalFormatting sqref="AA140">
    <cfRule type="expression" dxfId="4043" priority="362">
      <formula>AND(AND($W140&lt;TODAY(),$W140&lt;&gt;""),$X140="")</formula>
    </cfRule>
  </conditionalFormatting>
  <conditionalFormatting sqref="AG140">
    <cfRule type="dataBar" priority="361">
      <dataBar>
        <cfvo type="min"/>
        <cfvo type="max"/>
        <color rgb="FF63C384"/>
      </dataBar>
      <extLst>
        <ext xmlns:x14="http://schemas.microsoft.com/office/spreadsheetml/2009/9/main" uri="{B025F937-C7B1-47D3-B67F-A62EFF666E3E}">
          <x14:id>{1C776A2A-5B7D-46FC-877E-7434ABB40ABD}</x14:id>
        </ext>
      </extLst>
    </cfRule>
  </conditionalFormatting>
  <conditionalFormatting sqref="AG140">
    <cfRule type="dataBar" priority="360">
      <dataBar>
        <cfvo type="min"/>
        <cfvo type="max"/>
        <color rgb="FF63C384"/>
      </dataBar>
      <extLst>
        <ext xmlns:x14="http://schemas.microsoft.com/office/spreadsheetml/2009/9/main" uri="{B025F937-C7B1-47D3-B67F-A62EFF666E3E}">
          <x14:id>{B1F151D7-5CA5-456F-A7A3-C76C3E89695C}</x14:id>
        </ext>
      </extLst>
    </cfRule>
  </conditionalFormatting>
  <conditionalFormatting sqref="Q140">
    <cfRule type="cellIs" dxfId="4042" priority="359" operator="equal">
      <formula>"ja"</formula>
    </cfRule>
  </conditionalFormatting>
  <conditionalFormatting sqref="AA140">
    <cfRule type="expression" dxfId="4041" priority="358">
      <formula>AND(AND($W140&lt;TODAY(),$W140&lt;&gt;""),$X140="")</formula>
    </cfRule>
  </conditionalFormatting>
  <conditionalFormatting sqref="AG140">
    <cfRule type="dataBar" priority="357">
      <dataBar>
        <cfvo type="min"/>
        <cfvo type="max"/>
        <color rgb="FF63C384"/>
      </dataBar>
      <extLst>
        <ext xmlns:x14="http://schemas.microsoft.com/office/spreadsheetml/2009/9/main" uri="{B025F937-C7B1-47D3-B67F-A62EFF666E3E}">
          <x14:id>{45C41315-4342-4A5F-BEF8-3AF99A3F712D}</x14:id>
        </ext>
      </extLst>
    </cfRule>
  </conditionalFormatting>
  <conditionalFormatting sqref="AG140">
    <cfRule type="dataBar" priority="356">
      <dataBar>
        <cfvo type="min"/>
        <cfvo type="max"/>
        <color rgb="FF63C384"/>
      </dataBar>
      <extLst>
        <ext xmlns:x14="http://schemas.microsoft.com/office/spreadsheetml/2009/9/main" uri="{B025F937-C7B1-47D3-B67F-A62EFF666E3E}">
          <x14:id>{1D0048F3-ABC7-46A7-8219-9706502F4EEB}</x14:id>
        </ext>
      </extLst>
    </cfRule>
  </conditionalFormatting>
  <conditionalFormatting sqref="Q140">
    <cfRule type="cellIs" dxfId="4040" priority="355" operator="equal">
      <formula>"ja"</formula>
    </cfRule>
  </conditionalFormatting>
  <conditionalFormatting sqref="AA140">
    <cfRule type="expression" dxfId="4039" priority="354">
      <formula>AND(AND($W140&lt;TODAY(),$W140&lt;&gt;""),$X140="")</formula>
    </cfRule>
  </conditionalFormatting>
  <conditionalFormatting sqref="AG140">
    <cfRule type="dataBar" priority="353">
      <dataBar>
        <cfvo type="min"/>
        <cfvo type="max"/>
        <color rgb="FF63C384"/>
      </dataBar>
      <extLst>
        <ext xmlns:x14="http://schemas.microsoft.com/office/spreadsheetml/2009/9/main" uri="{B025F937-C7B1-47D3-B67F-A62EFF666E3E}">
          <x14:id>{13A30DAE-64B4-46EF-95FB-6B6321F35347}</x14:id>
        </ext>
      </extLst>
    </cfRule>
  </conditionalFormatting>
  <conditionalFormatting sqref="AG140">
    <cfRule type="dataBar" priority="352">
      <dataBar>
        <cfvo type="min"/>
        <cfvo type="max"/>
        <color rgb="FF63C384"/>
      </dataBar>
      <extLst>
        <ext xmlns:x14="http://schemas.microsoft.com/office/spreadsheetml/2009/9/main" uri="{B025F937-C7B1-47D3-B67F-A62EFF666E3E}">
          <x14:id>{1BE3408A-FD6E-48E4-BA37-805B91B0FD71}</x14:id>
        </ext>
      </extLst>
    </cfRule>
  </conditionalFormatting>
  <conditionalFormatting sqref="AA141:AA142">
    <cfRule type="expression" dxfId="4038" priority="351">
      <formula>AND(AND($W141&lt;TODAY(),$W141&lt;&gt;""),$X141="")</formula>
    </cfRule>
  </conditionalFormatting>
  <conditionalFormatting sqref="AG141">
    <cfRule type="dataBar" priority="350">
      <dataBar>
        <cfvo type="min"/>
        <cfvo type="max"/>
        <color rgb="FF63C384"/>
      </dataBar>
      <extLst>
        <ext xmlns:x14="http://schemas.microsoft.com/office/spreadsheetml/2009/9/main" uri="{B025F937-C7B1-47D3-B67F-A62EFF666E3E}">
          <x14:id>{FD157525-3C54-4C9E-B0F2-677B2D834077}</x14:id>
        </ext>
      </extLst>
    </cfRule>
  </conditionalFormatting>
  <conditionalFormatting sqref="AG141">
    <cfRule type="dataBar" priority="349">
      <dataBar>
        <cfvo type="min"/>
        <cfvo type="max"/>
        <color rgb="FF63C384"/>
      </dataBar>
      <extLst>
        <ext xmlns:x14="http://schemas.microsoft.com/office/spreadsheetml/2009/9/main" uri="{B025F937-C7B1-47D3-B67F-A62EFF666E3E}">
          <x14:id>{4380C8D2-6ADC-487B-835E-357D65274C83}</x14:id>
        </ext>
      </extLst>
    </cfRule>
  </conditionalFormatting>
  <conditionalFormatting sqref="AA141:AA142">
    <cfRule type="expression" dxfId="4037" priority="348">
      <formula>AND(AND($W141&lt;TODAY(),$W141&lt;&gt;""),$X141="")</formula>
    </cfRule>
  </conditionalFormatting>
  <conditionalFormatting sqref="AG141">
    <cfRule type="dataBar" priority="347">
      <dataBar>
        <cfvo type="min"/>
        <cfvo type="max"/>
        <color rgb="FF63C384"/>
      </dataBar>
      <extLst>
        <ext xmlns:x14="http://schemas.microsoft.com/office/spreadsheetml/2009/9/main" uri="{B025F937-C7B1-47D3-B67F-A62EFF666E3E}">
          <x14:id>{66369792-4753-4CCC-BEEA-C5367E2BEC6A}</x14:id>
        </ext>
      </extLst>
    </cfRule>
  </conditionalFormatting>
  <conditionalFormatting sqref="AG141">
    <cfRule type="dataBar" priority="346">
      <dataBar>
        <cfvo type="min"/>
        <cfvo type="max"/>
        <color rgb="FF63C384"/>
      </dataBar>
      <extLst>
        <ext xmlns:x14="http://schemas.microsoft.com/office/spreadsheetml/2009/9/main" uri="{B025F937-C7B1-47D3-B67F-A62EFF666E3E}">
          <x14:id>{3FC1504E-DD0D-4C57-9F57-A2CD033359B7}</x14:id>
        </ext>
      </extLst>
    </cfRule>
  </conditionalFormatting>
  <conditionalFormatting sqref="Q142">
    <cfRule type="cellIs" dxfId="4036" priority="345" operator="equal">
      <formula>"ja"</formula>
    </cfRule>
  </conditionalFormatting>
  <conditionalFormatting sqref="AG142">
    <cfRule type="dataBar" priority="344">
      <dataBar>
        <cfvo type="min"/>
        <cfvo type="max"/>
        <color rgb="FF63C384"/>
      </dataBar>
      <extLst>
        <ext xmlns:x14="http://schemas.microsoft.com/office/spreadsheetml/2009/9/main" uri="{B025F937-C7B1-47D3-B67F-A62EFF666E3E}">
          <x14:id>{6AE51074-BB79-4EB1-84EC-1D8FA4E97767}</x14:id>
        </ext>
      </extLst>
    </cfRule>
  </conditionalFormatting>
  <conditionalFormatting sqref="AG142">
    <cfRule type="dataBar" priority="343">
      <dataBar>
        <cfvo type="min"/>
        <cfvo type="max"/>
        <color rgb="FF63C384"/>
      </dataBar>
      <extLst>
        <ext xmlns:x14="http://schemas.microsoft.com/office/spreadsheetml/2009/9/main" uri="{B025F937-C7B1-47D3-B67F-A62EFF666E3E}">
          <x14:id>{4918E797-32A1-43D8-B328-66D08D580F55}</x14:id>
        </ext>
      </extLst>
    </cfRule>
  </conditionalFormatting>
  <conditionalFormatting sqref="Q142">
    <cfRule type="cellIs" dxfId="4035" priority="342" operator="equal">
      <formula>"ja"</formula>
    </cfRule>
  </conditionalFormatting>
  <conditionalFormatting sqref="AG142">
    <cfRule type="dataBar" priority="341">
      <dataBar>
        <cfvo type="min"/>
        <cfvo type="max"/>
        <color rgb="FF63C384"/>
      </dataBar>
      <extLst>
        <ext xmlns:x14="http://schemas.microsoft.com/office/spreadsheetml/2009/9/main" uri="{B025F937-C7B1-47D3-B67F-A62EFF666E3E}">
          <x14:id>{DA4AE711-A497-4E6F-8DDE-D8949A6E4190}</x14:id>
        </ext>
      </extLst>
    </cfRule>
  </conditionalFormatting>
  <conditionalFormatting sqref="AG142">
    <cfRule type="dataBar" priority="340">
      <dataBar>
        <cfvo type="min"/>
        <cfvo type="max"/>
        <color rgb="FF63C384"/>
      </dataBar>
      <extLst>
        <ext xmlns:x14="http://schemas.microsoft.com/office/spreadsheetml/2009/9/main" uri="{B025F937-C7B1-47D3-B67F-A62EFF666E3E}">
          <x14:id>{5256A2D2-3FE9-499E-A794-77FC51CAD239}</x14:id>
        </ext>
      </extLst>
    </cfRule>
  </conditionalFormatting>
  <conditionalFormatting sqref="Q143">
    <cfRule type="cellIs" dxfId="4034" priority="339" operator="equal">
      <formula>"ja"</formula>
    </cfRule>
  </conditionalFormatting>
  <conditionalFormatting sqref="AA143">
    <cfRule type="expression" dxfId="4033" priority="338">
      <formula>AND(AND($W143&lt;TODAY(),$W143&lt;&gt;""),$X143="")</formula>
    </cfRule>
  </conditionalFormatting>
  <conditionalFormatting sqref="AG143">
    <cfRule type="dataBar" priority="337">
      <dataBar>
        <cfvo type="min"/>
        <cfvo type="max"/>
        <color rgb="FF63C384"/>
      </dataBar>
      <extLst>
        <ext xmlns:x14="http://schemas.microsoft.com/office/spreadsheetml/2009/9/main" uri="{B025F937-C7B1-47D3-B67F-A62EFF666E3E}">
          <x14:id>{AAD149A0-4371-46DA-96F6-E6B12BF15170}</x14:id>
        </ext>
      </extLst>
    </cfRule>
  </conditionalFormatting>
  <conditionalFormatting sqref="AG143">
    <cfRule type="dataBar" priority="336">
      <dataBar>
        <cfvo type="min"/>
        <cfvo type="max"/>
        <color rgb="FF63C384"/>
      </dataBar>
      <extLst>
        <ext xmlns:x14="http://schemas.microsoft.com/office/spreadsheetml/2009/9/main" uri="{B025F937-C7B1-47D3-B67F-A62EFF666E3E}">
          <x14:id>{7B7BE772-4811-4B63-B123-9D0601A28815}</x14:id>
        </ext>
      </extLst>
    </cfRule>
  </conditionalFormatting>
  <conditionalFormatting sqref="AA143">
    <cfRule type="expression" dxfId="4032" priority="335">
      <formula>AND(AND($W143&lt;TODAY(),$W143&lt;&gt;""),$X143="")</formula>
    </cfRule>
  </conditionalFormatting>
  <conditionalFormatting sqref="AG143">
    <cfRule type="dataBar" priority="334">
      <dataBar>
        <cfvo type="min"/>
        <cfvo type="max"/>
        <color rgb="FF63C384"/>
      </dataBar>
      <extLst>
        <ext xmlns:x14="http://schemas.microsoft.com/office/spreadsheetml/2009/9/main" uri="{B025F937-C7B1-47D3-B67F-A62EFF666E3E}">
          <x14:id>{84F1119A-7612-40F7-85A4-11A7CE1B653F}</x14:id>
        </ext>
      </extLst>
    </cfRule>
  </conditionalFormatting>
  <conditionalFormatting sqref="AG143">
    <cfRule type="dataBar" priority="333">
      <dataBar>
        <cfvo type="min"/>
        <cfvo type="max"/>
        <color rgb="FF63C384"/>
      </dataBar>
      <extLst>
        <ext xmlns:x14="http://schemas.microsoft.com/office/spreadsheetml/2009/9/main" uri="{B025F937-C7B1-47D3-B67F-A62EFF666E3E}">
          <x14:id>{BA2B7281-167D-4AA3-B808-5A63C22420FC}</x14:id>
        </ext>
      </extLst>
    </cfRule>
  </conditionalFormatting>
  <conditionalFormatting sqref="Q143">
    <cfRule type="cellIs" dxfId="4031" priority="332" operator="equal">
      <formula>"ja"</formula>
    </cfRule>
  </conditionalFormatting>
  <conditionalFormatting sqref="AA144:AA146">
    <cfRule type="expression" dxfId="4030" priority="331">
      <formula>AND(AND($W144&lt;TODAY(),$W144&lt;&gt;""),$X144="")</formula>
    </cfRule>
  </conditionalFormatting>
  <conditionalFormatting sqref="Q144:Q146">
    <cfRule type="cellIs" dxfId="4029" priority="330" operator="equal">
      <formula>"ja"</formula>
    </cfRule>
  </conditionalFormatting>
  <conditionalFormatting sqref="AG144:AG146">
    <cfRule type="dataBar" priority="329">
      <dataBar>
        <cfvo type="min"/>
        <cfvo type="max"/>
        <color rgb="FF63C384"/>
      </dataBar>
      <extLst>
        <ext xmlns:x14="http://schemas.microsoft.com/office/spreadsheetml/2009/9/main" uri="{B025F937-C7B1-47D3-B67F-A62EFF666E3E}">
          <x14:id>{539C2C9E-EC15-475C-A23B-48045E736C46}</x14:id>
        </ext>
      </extLst>
    </cfRule>
  </conditionalFormatting>
  <conditionalFormatting sqref="AG144:AG146">
    <cfRule type="dataBar" priority="328">
      <dataBar>
        <cfvo type="min"/>
        <cfvo type="max"/>
        <color rgb="FF63C384"/>
      </dataBar>
      <extLst>
        <ext xmlns:x14="http://schemas.microsoft.com/office/spreadsheetml/2009/9/main" uri="{B025F937-C7B1-47D3-B67F-A62EFF666E3E}">
          <x14:id>{98881E3D-DF39-4EFE-9F4F-B385DDF8B8A6}</x14:id>
        </ext>
      </extLst>
    </cfRule>
  </conditionalFormatting>
  <conditionalFormatting sqref="Q147">
    <cfRule type="cellIs" dxfId="4028" priority="327" operator="equal">
      <formula>"ja"</formula>
    </cfRule>
  </conditionalFormatting>
  <conditionalFormatting sqref="AA147">
    <cfRule type="expression" dxfId="4027" priority="326">
      <formula>AND(AND($W147&lt;TODAY(),$W147&lt;&gt;""),$X147="")</formula>
    </cfRule>
  </conditionalFormatting>
  <conditionalFormatting sqref="AG147">
    <cfRule type="dataBar" priority="325">
      <dataBar>
        <cfvo type="min"/>
        <cfvo type="max"/>
        <color rgb="FF63C384"/>
      </dataBar>
      <extLst>
        <ext xmlns:x14="http://schemas.microsoft.com/office/spreadsheetml/2009/9/main" uri="{B025F937-C7B1-47D3-B67F-A62EFF666E3E}">
          <x14:id>{C36BE9E3-88B7-492B-986A-E86D263C0F8A}</x14:id>
        </ext>
      </extLst>
    </cfRule>
  </conditionalFormatting>
  <conditionalFormatting sqref="AG147">
    <cfRule type="dataBar" priority="324">
      <dataBar>
        <cfvo type="min"/>
        <cfvo type="max"/>
        <color rgb="FF63C384"/>
      </dataBar>
      <extLst>
        <ext xmlns:x14="http://schemas.microsoft.com/office/spreadsheetml/2009/9/main" uri="{B025F937-C7B1-47D3-B67F-A62EFF666E3E}">
          <x14:id>{FAE30176-2AD3-4BC6-94C2-3F944DE1938E}</x14:id>
        </ext>
      </extLst>
    </cfRule>
  </conditionalFormatting>
  <conditionalFormatting sqref="Q148">
    <cfRule type="cellIs" dxfId="4026" priority="323" operator="equal">
      <formula>"ja"</formula>
    </cfRule>
  </conditionalFormatting>
  <conditionalFormatting sqref="AA148">
    <cfRule type="expression" dxfId="4025" priority="322">
      <formula>AND(AND($W148&lt;TODAY(),$W148&lt;&gt;""),$X148="")</formula>
    </cfRule>
  </conditionalFormatting>
  <conditionalFormatting sqref="AG148">
    <cfRule type="dataBar" priority="321">
      <dataBar>
        <cfvo type="min"/>
        <cfvo type="max"/>
        <color rgb="FF63C384"/>
      </dataBar>
      <extLst>
        <ext xmlns:x14="http://schemas.microsoft.com/office/spreadsheetml/2009/9/main" uri="{B025F937-C7B1-47D3-B67F-A62EFF666E3E}">
          <x14:id>{19683B55-273E-4F01-BFF6-DF641C5FE9D2}</x14:id>
        </ext>
      </extLst>
    </cfRule>
  </conditionalFormatting>
  <conditionalFormatting sqref="AG148">
    <cfRule type="dataBar" priority="320">
      <dataBar>
        <cfvo type="min"/>
        <cfvo type="max"/>
        <color rgb="FF63C384"/>
      </dataBar>
      <extLst>
        <ext xmlns:x14="http://schemas.microsoft.com/office/spreadsheetml/2009/9/main" uri="{B025F937-C7B1-47D3-B67F-A62EFF666E3E}">
          <x14:id>{306CE8F0-C596-4ED4-BCB9-20F942E4070F}</x14:id>
        </ext>
      </extLst>
    </cfRule>
  </conditionalFormatting>
  <conditionalFormatting sqref="Q148">
    <cfRule type="cellIs" dxfId="4024" priority="319" operator="equal">
      <formula>"ja"</formula>
    </cfRule>
  </conditionalFormatting>
  <conditionalFormatting sqref="AA148">
    <cfRule type="expression" dxfId="4023" priority="318">
      <formula>AND(AND($W148&lt;TODAY(),$W148&lt;&gt;""),$X148="")</formula>
    </cfRule>
  </conditionalFormatting>
  <conditionalFormatting sqref="AG148">
    <cfRule type="dataBar" priority="317">
      <dataBar>
        <cfvo type="min"/>
        <cfvo type="max"/>
        <color rgb="FF63C384"/>
      </dataBar>
      <extLst>
        <ext xmlns:x14="http://schemas.microsoft.com/office/spreadsheetml/2009/9/main" uri="{B025F937-C7B1-47D3-B67F-A62EFF666E3E}">
          <x14:id>{63D98036-5A7F-4DB1-9006-70507DFFBE3D}</x14:id>
        </ext>
      </extLst>
    </cfRule>
  </conditionalFormatting>
  <conditionalFormatting sqref="AG148">
    <cfRule type="dataBar" priority="316">
      <dataBar>
        <cfvo type="min"/>
        <cfvo type="max"/>
        <color rgb="FF63C384"/>
      </dataBar>
      <extLst>
        <ext xmlns:x14="http://schemas.microsoft.com/office/spreadsheetml/2009/9/main" uri="{B025F937-C7B1-47D3-B67F-A62EFF666E3E}">
          <x14:id>{70ACEBDE-5B98-4DF2-A30B-BF704DB7AD63}</x14:id>
        </ext>
      </extLst>
    </cfRule>
  </conditionalFormatting>
  <conditionalFormatting sqref="AA149">
    <cfRule type="expression" dxfId="4022" priority="315">
      <formula>AND(AND($W149&lt;TODAY(),$W149&lt;&gt;""),$X149="")</formula>
    </cfRule>
  </conditionalFormatting>
  <conditionalFormatting sqref="AG149">
    <cfRule type="dataBar" priority="314">
      <dataBar>
        <cfvo type="min"/>
        <cfvo type="max"/>
        <color rgb="FF63C384"/>
      </dataBar>
      <extLst>
        <ext xmlns:x14="http://schemas.microsoft.com/office/spreadsheetml/2009/9/main" uri="{B025F937-C7B1-47D3-B67F-A62EFF666E3E}">
          <x14:id>{67A69AF1-F5CC-4BD0-882A-54EDD0EBEA16}</x14:id>
        </ext>
      </extLst>
    </cfRule>
  </conditionalFormatting>
  <conditionalFormatting sqref="AG149">
    <cfRule type="dataBar" priority="313">
      <dataBar>
        <cfvo type="min"/>
        <cfvo type="max"/>
        <color rgb="FF63C384"/>
      </dataBar>
      <extLst>
        <ext xmlns:x14="http://schemas.microsoft.com/office/spreadsheetml/2009/9/main" uri="{B025F937-C7B1-47D3-B67F-A62EFF666E3E}">
          <x14:id>{40AE1E06-0568-4757-A85A-EBDD211DE1B6}</x14:id>
        </ext>
      </extLst>
    </cfRule>
  </conditionalFormatting>
  <conditionalFormatting sqref="Q149">
    <cfRule type="cellIs" dxfId="4021" priority="312" operator="equal">
      <formula>"ja"</formula>
    </cfRule>
  </conditionalFormatting>
  <conditionalFormatting sqref="Q150">
    <cfRule type="cellIs" dxfId="4020" priority="311" operator="equal">
      <formula>"ja"</formula>
    </cfRule>
  </conditionalFormatting>
  <conditionalFormatting sqref="AA150">
    <cfRule type="expression" dxfId="4019" priority="310">
      <formula>AND(AND($W150&lt;TODAY(),$W150&lt;&gt;""),$X150="")</formula>
    </cfRule>
  </conditionalFormatting>
  <conditionalFormatting sqref="AG150">
    <cfRule type="dataBar" priority="309">
      <dataBar>
        <cfvo type="min"/>
        <cfvo type="max"/>
        <color rgb="FF63C384"/>
      </dataBar>
      <extLst>
        <ext xmlns:x14="http://schemas.microsoft.com/office/spreadsheetml/2009/9/main" uri="{B025F937-C7B1-47D3-B67F-A62EFF666E3E}">
          <x14:id>{A8857722-1C67-420D-802B-9E5478AD6FFE}</x14:id>
        </ext>
      </extLst>
    </cfRule>
  </conditionalFormatting>
  <conditionalFormatting sqref="AG150">
    <cfRule type="dataBar" priority="308">
      <dataBar>
        <cfvo type="min"/>
        <cfvo type="max"/>
        <color rgb="FF63C384"/>
      </dataBar>
      <extLst>
        <ext xmlns:x14="http://schemas.microsoft.com/office/spreadsheetml/2009/9/main" uri="{B025F937-C7B1-47D3-B67F-A62EFF666E3E}">
          <x14:id>{7DFADDA6-C4D7-46FA-B36B-7F2D9D6D7D2B}</x14:id>
        </ext>
      </extLst>
    </cfRule>
  </conditionalFormatting>
  <conditionalFormatting sqref="Q151">
    <cfRule type="cellIs" dxfId="4018" priority="307" operator="equal">
      <formula>"ja"</formula>
    </cfRule>
  </conditionalFormatting>
  <conditionalFormatting sqref="AA151:AA152">
    <cfRule type="expression" dxfId="4017" priority="306">
      <formula>AND(AND($W151&lt;TODAY(),$W151&lt;&gt;""),$X151="")</formula>
    </cfRule>
  </conditionalFormatting>
  <conditionalFormatting sqref="AG151:AG152">
    <cfRule type="dataBar" priority="305">
      <dataBar>
        <cfvo type="min"/>
        <cfvo type="max"/>
        <color rgb="FF63C384"/>
      </dataBar>
      <extLst>
        <ext xmlns:x14="http://schemas.microsoft.com/office/spreadsheetml/2009/9/main" uri="{B025F937-C7B1-47D3-B67F-A62EFF666E3E}">
          <x14:id>{005E0A3B-FFFC-4494-99CB-0AB597A85136}</x14:id>
        </ext>
      </extLst>
    </cfRule>
  </conditionalFormatting>
  <conditionalFormatting sqref="AG151:AG152">
    <cfRule type="dataBar" priority="304">
      <dataBar>
        <cfvo type="min"/>
        <cfvo type="max"/>
        <color rgb="FF63C384"/>
      </dataBar>
      <extLst>
        <ext xmlns:x14="http://schemas.microsoft.com/office/spreadsheetml/2009/9/main" uri="{B025F937-C7B1-47D3-B67F-A62EFF666E3E}">
          <x14:id>{4D52955D-F436-47E2-B78E-51FE9348C676}</x14:id>
        </ext>
      </extLst>
    </cfRule>
  </conditionalFormatting>
  <conditionalFormatting sqref="Q153">
    <cfRule type="cellIs" dxfId="4016" priority="303" operator="equal">
      <formula>"ja"</formula>
    </cfRule>
  </conditionalFormatting>
  <conditionalFormatting sqref="AA153">
    <cfRule type="expression" dxfId="4015" priority="302">
      <formula>AND(AND($W153&lt;TODAY(),$W153&lt;&gt;""),$X153="")</formula>
    </cfRule>
  </conditionalFormatting>
  <conditionalFormatting sqref="AG153">
    <cfRule type="dataBar" priority="301">
      <dataBar>
        <cfvo type="min"/>
        <cfvo type="max"/>
        <color rgb="FF63C384"/>
      </dataBar>
      <extLst>
        <ext xmlns:x14="http://schemas.microsoft.com/office/spreadsheetml/2009/9/main" uri="{B025F937-C7B1-47D3-B67F-A62EFF666E3E}">
          <x14:id>{8309E394-97CC-417B-845B-C0C624173A58}</x14:id>
        </ext>
      </extLst>
    </cfRule>
  </conditionalFormatting>
  <conditionalFormatting sqref="AG153">
    <cfRule type="dataBar" priority="300">
      <dataBar>
        <cfvo type="min"/>
        <cfvo type="max"/>
        <color rgb="FF63C384"/>
      </dataBar>
      <extLst>
        <ext xmlns:x14="http://schemas.microsoft.com/office/spreadsheetml/2009/9/main" uri="{B025F937-C7B1-47D3-B67F-A62EFF666E3E}">
          <x14:id>{9A1E2A5D-E469-414C-BAF8-E8879AACE4D8}</x14:id>
        </ext>
      </extLst>
    </cfRule>
  </conditionalFormatting>
  <conditionalFormatting sqref="AA153">
    <cfRule type="expression" dxfId="4014" priority="299">
      <formula>AND(AND($W153&lt;TODAY(),$W153&lt;&gt;""),$X153="")</formula>
    </cfRule>
  </conditionalFormatting>
  <conditionalFormatting sqref="Q153">
    <cfRule type="cellIs" dxfId="4013" priority="298" operator="equal">
      <formula>"ja"</formula>
    </cfRule>
  </conditionalFormatting>
  <conditionalFormatting sqref="AG153">
    <cfRule type="dataBar" priority="297">
      <dataBar>
        <cfvo type="min"/>
        <cfvo type="max"/>
        <color rgb="FF63C384"/>
      </dataBar>
      <extLst>
        <ext xmlns:x14="http://schemas.microsoft.com/office/spreadsheetml/2009/9/main" uri="{B025F937-C7B1-47D3-B67F-A62EFF666E3E}">
          <x14:id>{C159566F-69D3-407F-9375-42186A873587}</x14:id>
        </ext>
      </extLst>
    </cfRule>
  </conditionalFormatting>
  <conditionalFormatting sqref="AG153">
    <cfRule type="dataBar" priority="296">
      <dataBar>
        <cfvo type="min"/>
        <cfvo type="max"/>
        <color rgb="FF63C384"/>
      </dataBar>
      <extLst>
        <ext xmlns:x14="http://schemas.microsoft.com/office/spreadsheetml/2009/9/main" uri="{B025F937-C7B1-47D3-B67F-A62EFF666E3E}">
          <x14:id>{1CA95A6D-5490-489D-8D76-87BCDBB232B7}</x14:id>
        </ext>
      </extLst>
    </cfRule>
  </conditionalFormatting>
  <conditionalFormatting sqref="Q154">
    <cfRule type="cellIs" dxfId="4012" priority="295" operator="equal">
      <formula>"ja"</formula>
    </cfRule>
  </conditionalFormatting>
  <conditionalFormatting sqref="AA154">
    <cfRule type="expression" dxfId="4011" priority="294">
      <formula>AND(AND($W154&lt;TODAY(),$W154&lt;&gt;""),$X154="")</formula>
    </cfRule>
  </conditionalFormatting>
  <conditionalFormatting sqref="AG154">
    <cfRule type="dataBar" priority="293">
      <dataBar>
        <cfvo type="min"/>
        <cfvo type="max"/>
        <color rgb="FF63C384"/>
      </dataBar>
      <extLst>
        <ext xmlns:x14="http://schemas.microsoft.com/office/spreadsheetml/2009/9/main" uri="{B025F937-C7B1-47D3-B67F-A62EFF666E3E}">
          <x14:id>{B81F348A-6816-49E9-A144-E4B6DD09939C}</x14:id>
        </ext>
      </extLst>
    </cfRule>
  </conditionalFormatting>
  <conditionalFormatting sqref="AG154">
    <cfRule type="dataBar" priority="292">
      <dataBar>
        <cfvo type="min"/>
        <cfvo type="max"/>
        <color rgb="FF63C384"/>
      </dataBar>
      <extLst>
        <ext xmlns:x14="http://schemas.microsoft.com/office/spreadsheetml/2009/9/main" uri="{B025F937-C7B1-47D3-B67F-A62EFF666E3E}">
          <x14:id>{D1C53350-66A6-463A-AC5B-5A67A1337BDD}</x14:id>
        </ext>
      </extLst>
    </cfRule>
  </conditionalFormatting>
  <conditionalFormatting sqref="AA154">
    <cfRule type="expression" dxfId="4010" priority="291">
      <formula>AND(AND($W154&lt;TODAY(),$W154&lt;&gt;""),$X154="")</formula>
    </cfRule>
  </conditionalFormatting>
  <conditionalFormatting sqref="AG154">
    <cfRule type="dataBar" priority="290">
      <dataBar>
        <cfvo type="min"/>
        <cfvo type="max"/>
        <color rgb="FF63C384"/>
      </dataBar>
      <extLst>
        <ext xmlns:x14="http://schemas.microsoft.com/office/spreadsheetml/2009/9/main" uri="{B025F937-C7B1-47D3-B67F-A62EFF666E3E}">
          <x14:id>{6F66782B-3A89-459F-8B0C-98FA34D1B714}</x14:id>
        </ext>
      </extLst>
    </cfRule>
  </conditionalFormatting>
  <conditionalFormatting sqref="AG154">
    <cfRule type="dataBar" priority="289">
      <dataBar>
        <cfvo type="min"/>
        <cfvo type="max"/>
        <color rgb="FF63C384"/>
      </dataBar>
      <extLst>
        <ext xmlns:x14="http://schemas.microsoft.com/office/spreadsheetml/2009/9/main" uri="{B025F937-C7B1-47D3-B67F-A62EFF666E3E}">
          <x14:id>{3A48E3CA-EAA5-4A79-9D14-B207B219B467}</x14:id>
        </ext>
      </extLst>
    </cfRule>
  </conditionalFormatting>
  <conditionalFormatting sqref="Q154">
    <cfRule type="cellIs" dxfId="4009" priority="288" operator="equal">
      <formula>"ja"</formula>
    </cfRule>
  </conditionalFormatting>
  <conditionalFormatting sqref="Q155">
    <cfRule type="cellIs" dxfId="4008" priority="287" operator="equal">
      <formula>"ja"</formula>
    </cfRule>
  </conditionalFormatting>
  <conditionalFormatting sqref="Q155">
    <cfRule type="cellIs" dxfId="4007" priority="275" operator="equal">
      <formula>"ja"</formula>
    </cfRule>
  </conditionalFormatting>
  <conditionalFormatting sqref="AA155">
    <cfRule type="expression" dxfId="4006" priority="274">
      <formula>AND(AND($W155&lt;TODAY(),$W155&lt;&gt;""),$X155="")</formula>
    </cfRule>
  </conditionalFormatting>
  <conditionalFormatting sqref="AA155">
    <cfRule type="expression" dxfId="4005" priority="286">
      <formula>AND(AND($W155&lt;TODAY(),$W155&lt;&gt;""),$X155="")</formula>
    </cfRule>
  </conditionalFormatting>
  <conditionalFormatting sqref="AG155">
    <cfRule type="dataBar" priority="285">
      <dataBar>
        <cfvo type="min"/>
        <cfvo type="max"/>
        <color rgb="FF63C384"/>
      </dataBar>
      <extLst>
        <ext xmlns:x14="http://schemas.microsoft.com/office/spreadsheetml/2009/9/main" uri="{B025F937-C7B1-47D3-B67F-A62EFF666E3E}">
          <x14:id>{58B74CA9-BE2E-451E-8F5D-B4EF0CF8EB25}</x14:id>
        </ext>
      </extLst>
    </cfRule>
  </conditionalFormatting>
  <conditionalFormatting sqref="AG155">
    <cfRule type="dataBar" priority="284">
      <dataBar>
        <cfvo type="min"/>
        <cfvo type="max"/>
        <color rgb="FF63C384"/>
      </dataBar>
      <extLst>
        <ext xmlns:x14="http://schemas.microsoft.com/office/spreadsheetml/2009/9/main" uri="{B025F937-C7B1-47D3-B67F-A62EFF666E3E}">
          <x14:id>{CF43346B-1535-4E74-B49D-5107DF8B5E47}</x14:id>
        </ext>
      </extLst>
    </cfRule>
  </conditionalFormatting>
  <conditionalFormatting sqref="Q155">
    <cfRule type="cellIs" dxfId="4004" priority="283" operator="equal">
      <formula>"ja"</formula>
    </cfRule>
  </conditionalFormatting>
  <conditionalFormatting sqref="AA155">
    <cfRule type="expression" dxfId="4003" priority="282">
      <formula>AND(AND($W155&lt;TODAY(),$W155&lt;&gt;""),$X155="")</formula>
    </cfRule>
  </conditionalFormatting>
  <conditionalFormatting sqref="AG155">
    <cfRule type="dataBar" priority="281">
      <dataBar>
        <cfvo type="min"/>
        <cfvo type="max"/>
        <color rgb="FF63C384"/>
      </dataBar>
      <extLst>
        <ext xmlns:x14="http://schemas.microsoft.com/office/spreadsheetml/2009/9/main" uri="{B025F937-C7B1-47D3-B67F-A62EFF666E3E}">
          <x14:id>{B2971559-2294-4125-9FE3-5FCA36BCD859}</x14:id>
        </ext>
      </extLst>
    </cfRule>
  </conditionalFormatting>
  <conditionalFormatting sqref="AG155">
    <cfRule type="dataBar" priority="280">
      <dataBar>
        <cfvo type="min"/>
        <cfvo type="max"/>
        <color rgb="FF63C384"/>
      </dataBar>
      <extLst>
        <ext xmlns:x14="http://schemas.microsoft.com/office/spreadsheetml/2009/9/main" uri="{B025F937-C7B1-47D3-B67F-A62EFF666E3E}">
          <x14:id>{EBAEB3C9-6EC8-4F4A-B89F-647F90230FE3}</x14:id>
        </ext>
      </extLst>
    </cfRule>
  </conditionalFormatting>
  <conditionalFormatting sqref="Q155">
    <cfRule type="cellIs" dxfId="4002" priority="279" operator="equal">
      <formula>"ja"</formula>
    </cfRule>
  </conditionalFormatting>
  <conditionalFormatting sqref="AA155">
    <cfRule type="expression" dxfId="4001" priority="278">
      <formula>AND(AND($W155&lt;TODAY(),$W155&lt;&gt;""),$X155="")</formula>
    </cfRule>
  </conditionalFormatting>
  <conditionalFormatting sqref="AG155">
    <cfRule type="dataBar" priority="277">
      <dataBar>
        <cfvo type="min"/>
        <cfvo type="max"/>
        <color rgb="FF63C384"/>
      </dataBar>
      <extLst>
        <ext xmlns:x14="http://schemas.microsoft.com/office/spreadsheetml/2009/9/main" uri="{B025F937-C7B1-47D3-B67F-A62EFF666E3E}">
          <x14:id>{FADECECA-C593-4339-A544-3B840D347479}</x14:id>
        </ext>
      </extLst>
    </cfRule>
  </conditionalFormatting>
  <conditionalFormatting sqref="AG155">
    <cfRule type="dataBar" priority="276">
      <dataBar>
        <cfvo type="min"/>
        <cfvo type="max"/>
        <color rgb="FF63C384"/>
      </dataBar>
      <extLst>
        <ext xmlns:x14="http://schemas.microsoft.com/office/spreadsheetml/2009/9/main" uri="{B025F937-C7B1-47D3-B67F-A62EFF666E3E}">
          <x14:id>{A3F5FE20-6963-4E0A-B9EC-FB1697AE86CC}</x14:id>
        </ext>
      </extLst>
    </cfRule>
  </conditionalFormatting>
  <conditionalFormatting sqref="AG155">
    <cfRule type="dataBar" priority="273">
      <dataBar>
        <cfvo type="min"/>
        <cfvo type="max"/>
        <color rgb="FF63C384"/>
      </dataBar>
      <extLst>
        <ext xmlns:x14="http://schemas.microsoft.com/office/spreadsheetml/2009/9/main" uri="{B025F937-C7B1-47D3-B67F-A62EFF666E3E}">
          <x14:id>{B76716C9-B68A-43C5-86AC-4F15CAB9BF8A}</x14:id>
        </ext>
      </extLst>
    </cfRule>
  </conditionalFormatting>
  <conditionalFormatting sqref="AG155">
    <cfRule type="dataBar" priority="272">
      <dataBar>
        <cfvo type="min"/>
        <cfvo type="max"/>
        <color rgb="FF63C384"/>
      </dataBar>
      <extLst>
        <ext xmlns:x14="http://schemas.microsoft.com/office/spreadsheetml/2009/9/main" uri="{B025F937-C7B1-47D3-B67F-A62EFF666E3E}">
          <x14:id>{F1B79D5E-10E1-4D3D-B4EE-F96D954BF15B}</x14:id>
        </ext>
      </extLst>
    </cfRule>
  </conditionalFormatting>
  <conditionalFormatting sqref="AA156">
    <cfRule type="expression" dxfId="4000" priority="271">
      <formula>AND(AND($W156&lt;TODAY(),$W156&lt;&gt;""),$X156="")</formula>
    </cfRule>
  </conditionalFormatting>
  <conditionalFormatting sqref="AG156">
    <cfRule type="dataBar" priority="270">
      <dataBar>
        <cfvo type="min"/>
        <cfvo type="max"/>
        <color rgb="FF63C384"/>
      </dataBar>
      <extLst>
        <ext xmlns:x14="http://schemas.microsoft.com/office/spreadsheetml/2009/9/main" uri="{B025F937-C7B1-47D3-B67F-A62EFF666E3E}">
          <x14:id>{910AFCD5-C6F4-4BBB-ABAE-243CD987C16A}</x14:id>
        </ext>
      </extLst>
    </cfRule>
  </conditionalFormatting>
  <conditionalFormatting sqref="AG156">
    <cfRule type="dataBar" priority="269">
      <dataBar>
        <cfvo type="min"/>
        <cfvo type="max"/>
        <color rgb="FF63C384"/>
      </dataBar>
      <extLst>
        <ext xmlns:x14="http://schemas.microsoft.com/office/spreadsheetml/2009/9/main" uri="{B025F937-C7B1-47D3-B67F-A62EFF666E3E}">
          <x14:id>{01E109D5-DFC9-4761-8151-44815D153400}</x14:id>
        </ext>
      </extLst>
    </cfRule>
  </conditionalFormatting>
  <conditionalFormatting sqref="Q157">
    <cfRule type="cellIs" dxfId="3999" priority="268" operator="equal">
      <formula>"ja"</formula>
    </cfRule>
  </conditionalFormatting>
  <conditionalFormatting sqref="AA157">
    <cfRule type="expression" dxfId="3998" priority="267">
      <formula>AND(AND($W157&lt;TODAY(),$W157&lt;&gt;""),$X157="")</formula>
    </cfRule>
  </conditionalFormatting>
  <conditionalFormatting sqref="AG157">
    <cfRule type="dataBar" priority="266">
      <dataBar>
        <cfvo type="min"/>
        <cfvo type="max"/>
        <color rgb="FF63C384"/>
      </dataBar>
      <extLst>
        <ext xmlns:x14="http://schemas.microsoft.com/office/spreadsheetml/2009/9/main" uri="{B025F937-C7B1-47D3-B67F-A62EFF666E3E}">
          <x14:id>{F23A7D41-3EE0-4FD9-8594-49283865F91E}</x14:id>
        </ext>
      </extLst>
    </cfRule>
  </conditionalFormatting>
  <conditionalFormatting sqref="AG157">
    <cfRule type="dataBar" priority="265">
      <dataBar>
        <cfvo type="min"/>
        <cfvo type="max"/>
        <color rgb="FF63C384"/>
      </dataBar>
      <extLst>
        <ext xmlns:x14="http://schemas.microsoft.com/office/spreadsheetml/2009/9/main" uri="{B025F937-C7B1-47D3-B67F-A62EFF666E3E}">
          <x14:id>{79B07522-85BD-4D62-A3C9-62D9501B7301}</x14:id>
        </ext>
      </extLst>
    </cfRule>
  </conditionalFormatting>
  <conditionalFormatting sqref="Q158">
    <cfRule type="cellIs" dxfId="3997" priority="264" operator="equal">
      <formula>"ja"</formula>
    </cfRule>
  </conditionalFormatting>
  <conditionalFormatting sqref="AA158">
    <cfRule type="expression" dxfId="3996" priority="263">
      <formula>AND(AND($W158&lt;TODAY(),$W158&lt;&gt;""),$X158="")</formula>
    </cfRule>
  </conditionalFormatting>
  <conditionalFormatting sqref="AG158">
    <cfRule type="dataBar" priority="262">
      <dataBar>
        <cfvo type="min"/>
        <cfvo type="max"/>
        <color rgb="FF63C384"/>
      </dataBar>
      <extLst>
        <ext xmlns:x14="http://schemas.microsoft.com/office/spreadsheetml/2009/9/main" uri="{B025F937-C7B1-47D3-B67F-A62EFF666E3E}">
          <x14:id>{BAD6AF3A-DE25-473E-B250-701264013054}</x14:id>
        </ext>
      </extLst>
    </cfRule>
  </conditionalFormatting>
  <conditionalFormatting sqref="AG158">
    <cfRule type="dataBar" priority="261">
      <dataBar>
        <cfvo type="min"/>
        <cfvo type="max"/>
        <color rgb="FF63C384"/>
      </dataBar>
      <extLst>
        <ext xmlns:x14="http://schemas.microsoft.com/office/spreadsheetml/2009/9/main" uri="{B025F937-C7B1-47D3-B67F-A62EFF666E3E}">
          <x14:id>{2D5A6796-62E8-48DB-86B0-FB509CD73D40}</x14:id>
        </ext>
      </extLst>
    </cfRule>
  </conditionalFormatting>
  <conditionalFormatting sqref="AA158">
    <cfRule type="expression" dxfId="3995" priority="260">
      <formula>AND(AND($W158&lt;TODAY(),$W158&lt;&gt;""),$X158="")</formula>
    </cfRule>
  </conditionalFormatting>
  <conditionalFormatting sqref="Q158">
    <cfRule type="cellIs" dxfId="3994" priority="259" operator="equal">
      <formula>"ja"</formula>
    </cfRule>
  </conditionalFormatting>
  <conditionalFormatting sqref="AG158">
    <cfRule type="dataBar" priority="258">
      <dataBar>
        <cfvo type="min"/>
        <cfvo type="max"/>
        <color rgb="FF63C384"/>
      </dataBar>
      <extLst>
        <ext xmlns:x14="http://schemas.microsoft.com/office/spreadsheetml/2009/9/main" uri="{B025F937-C7B1-47D3-B67F-A62EFF666E3E}">
          <x14:id>{C3563E83-4232-4854-A6E6-B0D0FEEBECDF}</x14:id>
        </ext>
      </extLst>
    </cfRule>
  </conditionalFormatting>
  <conditionalFormatting sqref="AG158">
    <cfRule type="dataBar" priority="257">
      <dataBar>
        <cfvo type="min"/>
        <cfvo type="max"/>
        <color rgb="FF63C384"/>
      </dataBar>
      <extLst>
        <ext xmlns:x14="http://schemas.microsoft.com/office/spreadsheetml/2009/9/main" uri="{B025F937-C7B1-47D3-B67F-A62EFF666E3E}">
          <x14:id>{5763CF49-9B27-4FAF-A1A5-C83D09150DF4}</x14:id>
        </ext>
      </extLst>
    </cfRule>
  </conditionalFormatting>
  <conditionalFormatting sqref="Q159">
    <cfRule type="cellIs" dxfId="3993" priority="256" operator="equal">
      <formula>"ja"</formula>
    </cfRule>
  </conditionalFormatting>
  <conditionalFormatting sqref="AA159">
    <cfRule type="expression" dxfId="3992" priority="255">
      <formula>AND(AND($W159&lt;TODAY(),$W159&lt;&gt;""),$X159="")</formula>
    </cfRule>
  </conditionalFormatting>
  <conditionalFormatting sqref="AG159">
    <cfRule type="dataBar" priority="254">
      <dataBar>
        <cfvo type="min"/>
        <cfvo type="max"/>
        <color rgb="FF63C384"/>
      </dataBar>
      <extLst>
        <ext xmlns:x14="http://schemas.microsoft.com/office/spreadsheetml/2009/9/main" uri="{B025F937-C7B1-47D3-B67F-A62EFF666E3E}">
          <x14:id>{C833A839-C7EA-4395-8D1E-BEE5353D10B9}</x14:id>
        </ext>
      </extLst>
    </cfRule>
  </conditionalFormatting>
  <conditionalFormatting sqref="AG159">
    <cfRule type="dataBar" priority="253">
      <dataBar>
        <cfvo type="min"/>
        <cfvo type="max"/>
        <color rgb="FF63C384"/>
      </dataBar>
      <extLst>
        <ext xmlns:x14="http://schemas.microsoft.com/office/spreadsheetml/2009/9/main" uri="{B025F937-C7B1-47D3-B67F-A62EFF666E3E}">
          <x14:id>{CDCAFF42-3D63-4A54-9215-7F181246ED6E}</x14:id>
        </ext>
      </extLst>
    </cfRule>
  </conditionalFormatting>
  <conditionalFormatting sqref="Q160">
    <cfRule type="cellIs" dxfId="3991" priority="252" operator="equal">
      <formula>"ja"</formula>
    </cfRule>
  </conditionalFormatting>
  <conditionalFormatting sqref="AA160">
    <cfRule type="expression" dxfId="3990" priority="251">
      <formula>AND(AND($W160&lt;TODAY(),$W160&lt;&gt;""),$X160="")</formula>
    </cfRule>
  </conditionalFormatting>
  <conditionalFormatting sqref="AG160">
    <cfRule type="dataBar" priority="250">
      <dataBar>
        <cfvo type="min"/>
        <cfvo type="max"/>
        <color rgb="FF63C384"/>
      </dataBar>
      <extLst>
        <ext xmlns:x14="http://schemas.microsoft.com/office/spreadsheetml/2009/9/main" uri="{B025F937-C7B1-47D3-B67F-A62EFF666E3E}">
          <x14:id>{9F16B8F0-1372-4F28-BDE4-84D25E5B80ED}</x14:id>
        </ext>
      </extLst>
    </cfRule>
  </conditionalFormatting>
  <conditionalFormatting sqref="AG160">
    <cfRule type="dataBar" priority="249">
      <dataBar>
        <cfvo type="min"/>
        <cfvo type="max"/>
        <color rgb="FF63C384"/>
      </dataBar>
      <extLst>
        <ext xmlns:x14="http://schemas.microsoft.com/office/spreadsheetml/2009/9/main" uri="{B025F937-C7B1-47D3-B67F-A62EFF666E3E}">
          <x14:id>{485E0DA1-7A59-4527-90EB-86822C4A4FDB}</x14:id>
        </ext>
      </extLst>
    </cfRule>
  </conditionalFormatting>
  <conditionalFormatting sqref="Q160">
    <cfRule type="cellIs" dxfId="3989" priority="248" operator="equal">
      <formula>"ja"</formula>
    </cfRule>
  </conditionalFormatting>
  <conditionalFormatting sqref="AA160">
    <cfRule type="expression" dxfId="3988" priority="247">
      <formula>AND(AND($W160&lt;TODAY(),$W160&lt;&gt;""),$X160="")</formula>
    </cfRule>
  </conditionalFormatting>
  <conditionalFormatting sqref="AG160">
    <cfRule type="dataBar" priority="246">
      <dataBar>
        <cfvo type="min"/>
        <cfvo type="max"/>
        <color rgb="FF63C384"/>
      </dataBar>
      <extLst>
        <ext xmlns:x14="http://schemas.microsoft.com/office/spreadsheetml/2009/9/main" uri="{B025F937-C7B1-47D3-B67F-A62EFF666E3E}">
          <x14:id>{8233777C-C4C2-4D9A-BE89-A4E19FCD53C8}</x14:id>
        </ext>
      </extLst>
    </cfRule>
  </conditionalFormatting>
  <conditionalFormatting sqref="AG160">
    <cfRule type="dataBar" priority="245">
      <dataBar>
        <cfvo type="min"/>
        <cfvo type="max"/>
        <color rgb="FF63C384"/>
      </dataBar>
      <extLst>
        <ext xmlns:x14="http://schemas.microsoft.com/office/spreadsheetml/2009/9/main" uri="{B025F937-C7B1-47D3-B67F-A62EFF666E3E}">
          <x14:id>{DCC8D3BF-12D3-4F8D-BA26-F65CEBBD0BA9}</x14:id>
        </ext>
      </extLst>
    </cfRule>
  </conditionalFormatting>
  <conditionalFormatting sqref="Q160">
    <cfRule type="cellIs" dxfId="3987" priority="244" operator="equal">
      <formula>"ja"</formula>
    </cfRule>
  </conditionalFormatting>
  <conditionalFormatting sqref="AA160">
    <cfRule type="expression" dxfId="3986" priority="243">
      <formula>AND(AND($W160&lt;TODAY(),$W160&lt;&gt;""),$X160="")</formula>
    </cfRule>
  </conditionalFormatting>
  <conditionalFormatting sqref="AG160">
    <cfRule type="dataBar" priority="242">
      <dataBar>
        <cfvo type="min"/>
        <cfvo type="max"/>
        <color rgb="FF63C384"/>
      </dataBar>
      <extLst>
        <ext xmlns:x14="http://schemas.microsoft.com/office/spreadsheetml/2009/9/main" uri="{B025F937-C7B1-47D3-B67F-A62EFF666E3E}">
          <x14:id>{4BCDAEBD-07DD-41EE-9100-B9FA9EA203F9}</x14:id>
        </ext>
      </extLst>
    </cfRule>
  </conditionalFormatting>
  <conditionalFormatting sqref="AG160">
    <cfRule type="dataBar" priority="241">
      <dataBar>
        <cfvo type="min"/>
        <cfvo type="max"/>
        <color rgb="FF63C384"/>
      </dataBar>
      <extLst>
        <ext xmlns:x14="http://schemas.microsoft.com/office/spreadsheetml/2009/9/main" uri="{B025F937-C7B1-47D3-B67F-A62EFF666E3E}">
          <x14:id>{07934477-85DC-4672-9226-3BB621687993}</x14:id>
        </ext>
      </extLst>
    </cfRule>
  </conditionalFormatting>
  <conditionalFormatting sqref="AA161:AA162">
    <cfRule type="expression" dxfId="3985" priority="240">
      <formula>AND(AND($W161&lt;TODAY(),$W161&lt;&gt;""),$X161="")</formula>
    </cfRule>
  </conditionalFormatting>
  <conditionalFormatting sqref="AG161">
    <cfRule type="dataBar" priority="239">
      <dataBar>
        <cfvo type="min"/>
        <cfvo type="max"/>
        <color rgb="FF63C384"/>
      </dataBar>
      <extLst>
        <ext xmlns:x14="http://schemas.microsoft.com/office/spreadsheetml/2009/9/main" uri="{B025F937-C7B1-47D3-B67F-A62EFF666E3E}">
          <x14:id>{3166676D-7E09-40B3-A1D3-0324E1C28CC6}</x14:id>
        </ext>
      </extLst>
    </cfRule>
  </conditionalFormatting>
  <conditionalFormatting sqref="AG161">
    <cfRule type="dataBar" priority="238">
      <dataBar>
        <cfvo type="min"/>
        <cfvo type="max"/>
        <color rgb="FF63C384"/>
      </dataBar>
      <extLst>
        <ext xmlns:x14="http://schemas.microsoft.com/office/spreadsheetml/2009/9/main" uri="{B025F937-C7B1-47D3-B67F-A62EFF666E3E}">
          <x14:id>{C9332786-3D6F-4690-A737-27E3156FFFFB}</x14:id>
        </ext>
      </extLst>
    </cfRule>
  </conditionalFormatting>
  <conditionalFormatting sqref="AA161:AA162">
    <cfRule type="expression" dxfId="3984" priority="237">
      <formula>AND(AND($W161&lt;TODAY(),$W161&lt;&gt;""),$X161="")</formula>
    </cfRule>
  </conditionalFormatting>
  <conditionalFormatting sqref="AG161">
    <cfRule type="dataBar" priority="236">
      <dataBar>
        <cfvo type="min"/>
        <cfvo type="max"/>
        <color rgb="FF63C384"/>
      </dataBar>
      <extLst>
        <ext xmlns:x14="http://schemas.microsoft.com/office/spreadsheetml/2009/9/main" uri="{B025F937-C7B1-47D3-B67F-A62EFF666E3E}">
          <x14:id>{9B51C2AD-C0E3-43DA-8122-33A5D318098C}</x14:id>
        </ext>
      </extLst>
    </cfRule>
  </conditionalFormatting>
  <conditionalFormatting sqref="AG161">
    <cfRule type="dataBar" priority="235">
      <dataBar>
        <cfvo type="min"/>
        <cfvo type="max"/>
        <color rgb="FF63C384"/>
      </dataBar>
      <extLst>
        <ext xmlns:x14="http://schemas.microsoft.com/office/spreadsheetml/2009/9/main" uri="{B025F937-C7B1-47D3-B67F-A62EFF666E3E}">
          <x14:id>{4B321841-941D-4B85-AAAE-22F5BE9B1DCA}</x14:id>
        </ext>
      </extLst>
    </cfRule>
  </conditionalFormatting>
  <conditionalFormatting sqref="Q162">
    <cfRule type="cellIs" dxfId="3983" priority="234" operator="equal">
      <formula>"ja"</formula>
    </cfRule>
  </conditionalFormatting>
  <conditionalFormatting sqref="AG162">
    <cfRule type="dataBar" priority="233">
      <dataBar>
        <cfvo type="min"/>
        <cfvo type="max"/>
        <color rgb="FF63C384"/>
      </dataBar>
      <extLst>
        <ext xmlns:x14="http://schemas.microsoft.com/office/spreadsheetml/2009/9/main" uri="{B025F937-C7B1-47D3-B67F-A62EFF666E3E}">
          <x14:id>{C87EA222-32B4-4747-A0AA-065F92F264B8}</x14:id>
        </ext>
      </extLst>
    </cfRule>
  </conditionalFormatting>
  <conditionalFormatting sqref="AG162">
    <cfRule type="dataBar" priority="232">
      <dataBar>
        <cfvo type="min"/>
        <cfvo type="max"/>
        <color rgb="FF63C384"/>
      </dataBar>
      <extLst>
        <ext xmlns:x14="http://schemas.microsoft.com/office/spreadsheetml/2009/9/main" uri="{B025F937-C7B1-47D3-B67F-A62EFF666E3E}">
          <x14:id>{0B98B0BA-E05C-4CCC-9F03-AC2CA9088AD0}</x14:id>
        </ext>
      </extLst>
    </cfRule>
  </conditionalFormatting>
  <conditionalFormatting sqref="Q162">
    <cfRule type="cellIs" dxfId="3982" priority="231" operator="equal">
      <formula>"ja"</formula>
    </cfRule>
  </conditionalFormatting>
  <conditionalFormatting sqref="AG162">
    <cfRule type="dataBar" priority="230">
      <dataBar>
        <cfvo type="min"/>
        <cfvo type="max"/>
        <color rgb="FF63C384"/>
      </dataBar>
      <extLst>
        <ext xmlns:x14="http://schemas.microsoft.com/office/spreadsheetml/2009/9/main" uri="{B025F937-C7B1-47D3-B67F-A62EFF666E3E}">
          <x14:id>{7F6E99F2-7810-4586-9840-9DD61B5F737F}</x14:id>
        </ext>
      </extLst>
    </cfRule>
  </conditionalFormatting>
  <conditionalFormatting sqref="AG162">
    <cfRule type="dataBar" priority="229">
      <dataBar>
        <cfvo type="min"/>
        <cfvo type="max"/>
        <color rgb="FF63C384"/>
      </dataBar>
      <extLst>
        <ext xmlns:x14="http://schemas.microsoft.com/office/spreadsheetml/2009/9/main" uri="{B025F937-C7B1-47D3-B67F-A62EFF666E3E}">
          <x14:id>{111496AC-37DA-400B-B808-322150EE0040}</x14:id>
        </ext>
      </extLst>
    </cfRule>
  </conditionalFormatting>
  <conditionalFormatting sqref="Q163">
    <cfRule type="cellIs" dxfId="3981" priority="228" operator="equal">
      <formula>"ja"</formula>
    </cfRule>
  </conditionalFormatting>
  <conditionalFormatting sqref="AA163">
    <cfRule type="expression" dxfId="3980" priority="227">
      <formula>AND(AND($W163&lt;TODAY(),$W163&lt;&gt;""),$X163="")</formula>
    </cfRule>
  </conditionalFormatting>
  <conditionalFormatting sqref="AG163">
    <cfRule type="dataBar" priority="226">
      <dataBar>
        <cfvo type="min"/>
        <cfvo type="max"/>
        <color rgb="FF63C384"/>
      </dataBar>
      <extLst>
        <ext xmlns:x14="http://schemas.microsoft.com/office/spreadsheetml/2009/9/main" uri="{B025F937-C7B1-47D3-B67F-A62EFF666E3E}">
          <x14:id>{67104BEE-5F75-433A-AFD0-0C664945735D}</x14:id>
        </ext>
      </extLst>
    </cfRule>
  </conditionalFormatting>
  <conditionalFormatting sqref="AG163">
    <cfRule type="dataBar" priority="225">
      <dataBar>
        <cfvo type="min"/>
        <cfvo type="max"/>
        <color rgb="FF63C384"/>
      </dataBar>
      <extLst>
        <ext xmlns:x14="http://schemas.microsoft.com/office/spreadsheetml/2009/9/main" uri="{B025F937-C7B1-47D3-B67F-A62EFF666E3E}">
          <x14:id>{AB25A85F-B8B9-4CEC-81C2-AC96D7C89766}</x14:id>
        </ext>
      </extLst>
    </cfRule>
  </conditionalFormatting>
  <conditionalFormatting sqref="AA163">
    <cfRule type="expression" dxfId="3979" priority="224">
      <formula>AND(AND($W163&lt;TODAY(),$W163&lt;&gt;""),$X163="")</formula>
    </cfRule>
  </conditionalFormatting>
  <conditionalFormatting sqref="AG163">
    <cfRule type="dataBar" priority="223">
      <dataBar>
        <cfvo type="min"/>
        <cfvo type="max"/>
        <color rgb="FF63C384"/>
      </dataBar>
      <extLst>
        <ext xmlns:x14="http://schemas.microsoft.com/office/spreadsheetml/2009/9/main" uri="{B025F937-C7B1-47D3-B67F-A62EFF666E3E}">
          <x14:id>{255E33D3-9784-4CC3-981E-009D7E44DFAE}</x14:id>
        </ext>
      </extLst>
    </cfRule>
  </conditionalFormatting>
  <conditionalFormatting sqref="AG163">
    <cfRule type="dataBar" priority="222">
      <dataBar>
        <cfvo type="min"/>
        <cfvo type="max"/>
        <color rgb="FF63C384"/>
      </dataBar>
      <extLst>
        <ext xmlns:x14="http://schemas.microsoft.com/office/spreadsheetml/2009/9/main" uri="{B025F937-C7B1-47D3-B67F-A62EFF666E3E}">
          <x14:id>{35A930E0-3A04-454C-AE9A-8AF4972063F5}</x14:id>
        </ext>
      </extLst>
    </cfRule>
  </conditionalFormatting>
  <conditionalFormatting sqref="Q163">
    <cfRule type="cellIs" dxfId="3978" priority="221" operator="equal">
      <formula>"ja"</formula>
    </cfRule>
  </conditionalFormatting>
  <conditionalFormatting sqref="AA164">
    <cfRule type="expression" dxfId="3977" priority="220">
      <formula>AND(AND($W164&lt;TODAY(),$W164&lt;&gt;""),$X164="")</formula>
    </cfRule>
  </conditionalFormatting>
  <conditionalFormatting sqref="AG164">
    <cfRule type="dataBar" priority="219">
      <dataBar>
        <cfvo type="min"/>
        <cfvo type="max"/>
        <color rgb="FF63C384"/>
      </dataBar>
      <extLst>
        <ext xmlns:x14="http://schemas.microsoft.com/office/spreadsheetml/2009/9/main" uri="{B025F937-C7B1-47D3-B67F-A62EFF666E3E}">
          <x14:id>{F29C919B-A5E0-4E9A-B9C3-EBDE9ED1DD90}</x14:id>
        </ext>
      </extLst>
    </cfRule>
  </conditionalFormatting>
  <conditionalFormatting sqref="AG164">
    <cfRule type="dataBar" priority="218">
      <dataBar>
        <cfvo type="min"/>
        <cfvo type="max"/>
        <color rgb="FF63C384"/>
      </dataBar>
      <extLst>
        <ext xmlns:x14="http://schemas.microsoft.com/office/spreadsheetml/2009/9/main" uri="{B025F937-C7B1-47D3-B67F-A62EFF666E3E}">
          <x14:id>{0B14D90C-C50A-4C67-A04C-4EF4B5EC276B}</x14:id>
        </ext>
      </extLst>
    </cfRule>
  </conditionalFormatting>
  <conditionalFormatting sqref="AA165">
    <cfRule type="expression" dxfId="3976" priority="217">
      <formula>AND(AND($W165&lt;TODAY(),$W165&lt;&gt;""),$X165="")</formula>
    </cfRule>
  </conditionalFormatting>
  <conditionalFormatting sqref="AG165">
    <cfRule type="dataBar" priority="216">
      <dataBar>
        <cfvo type="min"/>
        <cfvo type="max"/>
        <color rgb="FF63C384"/>
      </dataBar>
      <extLst>
        <ext xmlns:x14="http://schemas.microsoft.com/office/spreadsheetml/2009/9/main" uri="{B025F937-C7B1-47D3-B67F-A62EFF666E3E}">
          <x14:id>{11FB1450-5940-4511-A77E-986F9BB3FEBA}</x14:id>
        </ext>
      </extLst>
    </cfRule>
  </conditionalFormatting>
  <conditionalFormatting sqref="AG165">
    <cfRule type="dataBar" priority="215">
      <dataBar>
        <cfvo type="min"/>
        <cfvo type="max"/>
        <color rgb="FF63C384"/>
      </dataBar>
      <extLst>
        <ext xmlns:x14="http://schemas.microsoft.com/office/spreadsheetml/2009/9/main" uri="{B025F937-C7B1-47D3-B67F-A62EFF666E3E}">
          <x14:id>{89AD2FC6-086F-4ADF-A8EA-41A3B1071090}</x14:id>
        </ext>
      </extLst>
    </cfRule>
  </conditionalFormatting>
  <conditionalFormatting sqref="AA166">
    <cfRule type="expression" dxfId="3975" priority="214">
      <formula>AND(AND($W166&lt;TODAY(),$W166&lt;&gt;""),$X166="")</formula>
    </cfRule>
  </conditionalFormatting>
  <conditionalFormatting sqref="AG166">
    <cfRule type="dataBar" priority="213">
      <dataBar>
        <cfvo type="min"/>
        <cfvo type="max"/>
        <color rgb="FF63C384"/>
      </dataBar>
      <extLst>
        <ext xmlns:x14="http://schemas.microsoft.com/office/spreadsheetml/2009/9/main" uri="{B025F937-C7B1-47D3-B67F-A62EFF666E3E}">
          <x14:id>{1B8391BA-7627-45A4-98FE-98A99F928C9B}</x14:id>
        </ext>
      </extLst>
    </cfRule>
  </conditionalFormatting>
  <conditionalFormatting sqref="AG166">
    <cfRule type="dataBar" priority="212">
      <dataBar>
        <cfvo type="min"/>
        <cfvo type="max"/>
        <color rgb="FF63C384"/>
      </dataBar>
      <extLst>
        <ext xmlns:x14="http://schemas.microsoft.com/office/spreadsheetml/2009/9/main" uri="{B025F937-C7B1-47D3-B67F-A62EFF666E3E}">
          <x14:id>{85356C32-8771-4F3C-AC55-7D2B69B2306F}</x14:id>
        </ext>
      </extLst>
    </cfRule>
  </conditionalFormatting>
  <conditionalFormatting sqref="Q167">
    <cfRule type="cellIs" dxfId="3974" priority="211" operator="equal">
      <formula>"ja"</formula>
    </cfRule>
  </conditionalFormatting>
  <conditionalFormatting sqref="AA167">
    <cfRule type="expression" dxfId="3973" priority="210">
      <formula>AND(AND($W167&lt;TODAY(),$W167&lt;&gt;""),$X167="")</formula>
    </cfRule>
  </conditionalFormatting>
  <conditionalFormatting sqref="AG167">
    <cfRule type="dataBar" priority="209">
      <dataBar>
        <cfvo type="min"/>
        <cfvo type="max"/>
        <color rgb="FF63C384"/>
      </dataBar>
      <extLst>
        <ext xmlns:x14="http://schemas.microsoft.com/office/spreadsheetml/2009/9/main" uri="{B025F937-C7B1-47D3-B67F-A62EFF666E3E}">
          <x14:id>{1F7F4048-2FCC-494F-A7DF-007B64E42FFA}</x14:id>
        </ext>
      </extLst>
    </cfRule>
  </conditionalFormatting>
  <conditionalFormatting sqref="AG167">
    <cfRule type="dataBar" priority="208">
      <dataBar>
        <cfvo type="min"/>
        <cfvo type="max"/>
        <color rgb="FF63C384"/>
      </dataBar>
      <extLst>
        <ext xmlns:x14="http://schemas.microsoft.com/office/spreadsheetml/2009/9/main" uri="{B025F937-C7B1-47D3-B67F-A62EFF666E3E}">
          <x14:id>{831AB129-D949-401C-87F6-5C313A787DD8}</x14:id>
        </ext>
      </extLst>
    </cfRule>
  </conditionalFormatting>
  <conditionalFormatting sqref="AA167">
    <cfRule type="expression" dxfId="3972" priority="207">
      <formula>AND(AND($W167&lt;TODAY(),$W167&lt;&gt;""),$X167="")</formula>
    </cfRule>
  </conditionalFormatting>
  <conditionalFormatting sqref="Q167">
    <cfRule type="cellIs" dxfId="3971" priority="206" operator="equal">
      <formula>"ja"</formula>
    </cfRule>
  </conditionalFormatting>
  <conditionalFormatting sqref="AG167">
    <cfRule type="dataBar" priority="205">
      <dataBar>
        <cfvo type="min"/>
        <cfvo type="max"/>
        <color rgb="FF63C384"/>
      </dataBar>
      <extLst>
        <ext xmlns:x14="http://schemas.microsoft.com/office/spreadsheetml/2009/9/main" uri="{B025F937-C7B1-47D3-B67F-A62EFF666E3E}">
          <x14:id>{E5752508-DA21-41CB-A6E2-ECEF59B95BE0}</x14:id>
        </ext>
      </extLst>
    </cfRule>
  </conditionalFormatting>
  <conditionalFormatting sqref="AG167">
    <cfRule type="dataBar" priority="204">
      <dataBar>
        <cfvo type="min"/>
        <cfvo type="max"/>
        <color rgb="FF63C384"/>
      </dataBar>
      <extLst>
        <ext xmlns:x14="http://schemas.microsoft.com/office/spreadsheetml/2009/9/main" uri="{B025F937-C7B1-47D3-B67F-A62EFF666E3E}">
          <x14:id>{3E8F81D1-B44A-4DEF-BEE4-78268A1956F4}</x14:id>
        </ext>
      </extLst>
    </cfRule>
  </conditionalFormatting>
  <conditionalFormatting sqref="AA168">
    <cfRule type="expression" dxfId="3970" priority="203">
      <formula>AND(AND($W168&lt;TODAY(),$W168&lt;&gt;""),$X168="")</formula>
    </cfRule>
  </conditionalFormatting>
  <conditionalFormatting sqref="AG168">
    <cfRule type="dataBar" priority="202">
      <dataBar>
        <cfvo type="min"/>
        <cfvo type="max"/>
        <color rgb="FF63C384"/>
      </dataBar>
      <extLst>
        <ext xmlns:x14="http://schemas.microsoft.com/office/spreadsheetml/2009/9/main" uri="{B025F937-C7B1-47D3-B67F-A62EFF666E3E}">
          <x14:id>{646D7E8A-13AB-4956-A308-CE0973AC9A7D}</x14:id>
        </ext>
      </extLst>
    </cfRule>
  </conditionalFormatting>
  <conditionalFormatting sqref="AG168">
    <cfRule type="dataBar" priority="201">
      <dataBar>
        <cfvo type="min"/>
        <cfvo type="max"/>
        <color rgb="FF63C384"/>
      </dataBar>
      <extLst>
        <ext xmlns:x14="http://schemas.microsoft.com/office/spreadsheetml/2009/9/main" uri="{B025F937-C7B1-47D3-B67F-A62EFF666E3E}">
          <x14:id>{9AF39F6F-4C98-4511-9A16-BD70B48DE20A}</x14:id>
        </ext>
      </extLst>
    </cfRule>
  </conditionalFormatting>
  <conditionalFormatting sqref="Q168">
    <cfRule type="cellIs" dxfId="3969" priority="200" operator="equal">
      <formula>"ja"</formula>
    </cfRule>
  </conditionalFormatting>
  <conditionalFormatting sqref="Q169">
    <cfRule type="cellIs" dxfId="3968" priority="199" operator="equal">
      <formula>"ja"</formula>
    </cfRule>
  </conditionalFormatting>
  <conditionalFormatting sqref="AA169">
    <cfRule type="expression" dxfId="3967" priority="198">
      <formula>AND(AND($W169&lt;TODAY(),$W169&lt;&gt;""),$X169="")</formula>
    </cfRule>
  </conditionalFormatting>
  <conditionalFormatting sqref="AG169">
    <cfRule type="dataBar" priority="197">
      <dataBar>
        <cfvo type="min"/>
        <cfvo type="max"/>
        <color rgb="FF63C384"/>
      </dataBar>
      <extLst>
        <ext xmlns:x14="http://schemas.microsoft.com/office/spreadsheetml/2009/9/main" uri="{B025F937-C7B1-47D3-B67F-A62EFF666E3E}">
          <x14:id>{EAC64716-1B06-4C99-B930-148B5090470D}</x14:id>
        </ext>
      </extLst>
    </cfRule>
  </conditionalFormatting>
  <conditionalFormatting sqref="AG169">
    <cfRule type="dataBar" priority="196">
      <dataBar>
        <cfvo type="min"/>
        <cfvo type="max"/>
        <color rgb="FF63C384"/>
      </dataBar>
      <extLst>
        <ext xmlns:x14="http://schemas.microsoft.com/office/spreadsheetml/2009/9/main" uri="{B025F937-C7B1-47D3-B67F-A62EFF666E3E}">
          <x14:id>{935A7794-532C-4B00-8C21-9510B5D15988}</x14:id>
        </ext>
      </extLst>
    </cfRule>
  </conditionalFormatting>
  <conditionalFormatting sqref="Q170">
    <cfRule type="cellIs" dxfId="3966" priority="195" operator="equal">
      <formula>"ja"</formula>
    </cfRule>
  </conditionalFormatting>
  <conditionalFormatting sqref="AA170:AA175">
    <cfRule type="expression" dxfId="3965" priority="194">
      <formula>AND(AND($W170&lt;TODAY(),$W170&lt;&gt;""),$X170="")</formula>
    </cfRule>
  </conditionalFormatting>
  <conditionalFormatting sqref="AG170:AG175">
    <cfRule type="dataBar" priority="193">
      <dataBar>
        <cfvo type="min"/>
        <cfvo type="max"/>
        <color rgb="FF63C384"/>
      </dataBar>
      <extLst>
        <ext xmlns:x14="http://schemas.microsoft.com/office/spreadsheetml/2009/9/main" uri="{B025F937-C7B1-47D3-B67F-A62EFF666E3E}">
          <x14:id>{D32706C3-9AFD-4034-82C4-4A9F816C39A9}</x14:id>
        </ext>
      </extLst>
    </cfRule>
  </conditionalFormatting>
  <conditionalFormatting sqref="AG170:AG175">
    <cfRule type="dataBar" priority="192">
      <dataBar>
        <cfvo type="min"/>
        <cfvo type="max"/>
        <color rgb="FF63C384"/>
      </dataBar>
      <extLst>
        <ext xmlns:x14="http://schemas.microsoft.com/office/spreadsheetml/2009/9/main" uri="{B025F937-C7B1-47D3-B67F-A62EFF666E3E}">
          <x14:id>{31706D12-092F-4B19-A8B2-416EFC8EB7E2}</x14:id>
        </ext>
      </extLst>
    </cfRule>
  </conditionalFormatting>
  <conditionalFormatting sqref="Q176">
    <cfRule type="cellIs" dxfId="3964" priority="191" operator="equal">
      <formula>"ja"</formula>
    </cfRule>
  </conditionalFormatting>
  <conditionalFormatting sqref="Q176">
    <cfRule type="cellIs" dxfId="3963" priority="179" operator="equal">
      <formula>"ja"</formula>
    </cfRule>
  </conditionalFormatting>
  <conditionalFormatting sqref="AA176">
    <cfRule type="expression" dxfId="3962" priority="178">
      <formula>AND(AND($W176&lt;TODAY(),$W176&lt;&gt;""),$X176="")</formula>
    </cfRule>
  </conditionalFormatting>
  <conditionalFormatting sqref="AA176">
    <cfRule type="expression" dxfId="3961" priority="190">
      <formula>AND(AND($W176&lt;TODAY(),$W176&lt;&gt;""),$X176="")</formula>
    </cfRule>
  </conditionalFormatting>
  <conditionalFormatting sqref="AG176">
    <cfRule type="dataBar" priority="189">
      <dataBar>
        <cfvo type="min"/>
        <cfvo type="max"/>
        <color rgb="FF63C384"/>
      </dataBar>
      <extLst>
        <ext xmlns:x14="http://schemas.microsoft.com/office/spreadsheetml/2009/9/main" uri="{B025F937-C7B1-47D3-B67F-A62EFF666E3E}">
          <x14:id>{A239108D-B50C-45A8-BCB8-D28BE0807D68}</x14:id>
        </ext>
      </extLst>
    </cfRule>
  </conditionalFormatting>
  <conditionalFormatting sqref="AG176">
    <cfRule type="dataBar" priority="188">
      <dataBar>
        <cfvo type="min"/>
        <cfvo type="max"/>
        <color rgb="FF63C384"/>
      </dataBar>
      <extLst>
        <ext xmlns:x14="http://schemas.microsoft.com/office/spreadsheetml/2009/9/main" uri="{B025F937-C7B1-47D3-B67F-A62EFF666E3E}">
          <x14:id>{3E615924-171D-40F7-99E1-BE2A3E642071}</x14:id>
        </ext>
      </extLst>
    </cfRule>
  </conditionalFormatting>
  <conditionalFormatting sqref="Q176">
    <cfRule type="cellIs" dxfId="3960" priority="187" operator="equal">
      <formula>"ja"</formula>
    </cfRule>
  </conditionalFormatting>
  <conditionalFormatting sqref="AA176">
    <cfRule type="expression" dxfId="3959" priority="186">
      <formula>AND(AND($W176&lt;TODAY(),$W176&lt;&gt;""),$X176="")</formula>
    </cfRule>
  </conditionalFormatting>
  <conditionalFormatting sqref="AG176">
    <cfRule type="dataBar" priority="185">
      <dataBar>
        <cfvo type="min"/>
        <cfvo type="max"/>
        <color rgb="FF63C384"/>
      </dataBar>
      <extLst>
        <ext xmlns:x14="http://schemas.microsoft.com/office/spreadsheetml/2009/9/main" uri="{B025F937-C7B1-47D3-B67F-A62EFF666E3E}">
          <x14:id>{5764A3B1-998C-4A30-AA5B-EFE6FCBA8500}</x14:id>
        </ext>
      </extLst>
    </cfRule>
  </conditionalFormatting>
  <conditionalFormatting sqref="AG176">
    <cfRule type="dataBar" priority="184">
      <dataBar>
        <cfvo type="min"/>
        <cfvo type="max"/>
        <color rgb="FF63C384"/>
      </dataBar>
      <extLst>
        <ext xmlns:x14="http://schemas.microsoft.com/office/spreadsheetml/2009/9/main" uri="{B025F937-C7B1-47D3-B67F-A62EFF666E3E}">
          <x14:id>{13DC4215-4243-465B-8617-1257CA2C9897}</x14:id>
        </ext>
      </extLst>
    </cfRule>
  </conditionalFormatting>
  <conditionalFormatting sqref="Q176">
    <cfRule type="cellIs" dxfId="3958" priority="183" operator="equal">
      <formula>"ja"</formula>
    </cfRule>
  </conditionalFormatting>
  <conditionalFormatting sqref="AA176">
    <cfRule type="expression" dxfId="3957" priority="182">
      <formula>AND(AND($W176&lt;TODAY(),$W176&lt;&gt;""),$X176="")</formula>
    </cfRule>
  </conditionalFormatting>
  <conditionalFormatting sqref="AG176">
    <cfRule type="dataBar" priority="181">
      <dataBar>
        <cfvo type="min"/>
        <cfvo type="max"/>
        <color rgb="FF63C384"/>
      </dataBar>
      <extLst>
        <ext xmlns:x14="http://schemas.microsoft.com/office/spreadsheetml/2009/9/main" uri="{B025F937-C7B1-47D3-B67F-A62EFF666E3E}">
          <x14:id>{78DC28B9-1604-4007-84BF-F358811A3F4D}</x14:id>
        </ext>
      </extLst>
    </cfRule>
  </conditionalFormatting>
  <conditionalFormatting sqref="AG176">
    <cfRule type="dataBar" priority="180">
      <dataBar>
        <cfvo type="min"/>
        <cfvo type="max"/>
        <color rgb="FF63C384"/>
      </dataBar>
      <extLst>
        <ext xmlns:x14="http://schemas.microsoft.com/office/spreadsheetml/2009/9/main" uri="{B025F937-C7B1-47D3-B67F-A62EFF666E3E}">
          <x14:id>{4C841248-F2AE-401B-814B-46D3A0BF4C32}</x14:id>
        </ext>
      </extLst>
    </cfRule>
  </conditionalFormatting>
  <conditionalFormatting sqref="AG176">
    <cfRule type="dataBar" priority="177">
      <dataBar>
        <cfvo type="min"/>
        <cfvo type="max"/>
        <color rgb="FF63C384"/>
      </dataBar>
      <extLst>
        <ext xmlns:x14="http://schemas.microsoft.com/office/spreadsheetml/2009/9/main" uri="{B025F937-C7B1-47D3-B67F-A62EFF666E3E}">
          <x14:id>{F8A7BB9F-353F-4C75-9894-E527C1336EF3}</x14:id>
        </ext>
      </extLst>
    </cfRule>
  </conditionalFormatting>
  <conditionalFormatting sqref="AG176">
    <cfRule type="dataBar" priority="176">
      <dataBar>
        <cfvo type="min"/>
        <cfvo type="max"/>
        <color rgb="FF63C384"/>
      </dataBar>
      <extLst>
        <ext xmlns:x14="http://schemas.microsoft.com/office/spreadsheetml/2009/9/main" uri="{B025F937-C7B1-47D3-B67F-A62EFF666E3E}">
          <x14:id>{98C89775-B8BC-417B-8A96-33B71CFE8985}</x14:id>
        </ext>
      </extLst>
    </cfRule>
  </conditionalFormatting>
  <conditionalFormatting sqref="AA178">
    <cfRule type="expression" dxfId="3956" priority="175">
      <formula>AND(AND($W178&lt;TODAY(),$W178&lt;&gt;""),$X178="")</formula>
    </cfRule>
  </conditionalFormatting>
  <conditionalFormatting sqref="AG178">
    <cfRule type="dataBar" priority="174">
      <dataBar>
        <cfvo type="min"/>
        <cfvo type="max"/>
        <color rgb="FF63C384"/>
      </dataBar>
      <extLst>
        <ext xmlns:x14="http://schemas.microsoft.com/office/spreadsheetml/2009/9/main" uri="{B025F937-C7B1-47D3-B67F-A62EFF666E3E}">
          <x14:id>{66212920-5DB4-47C1-9AA9-26326E7E25D1}</x14:id>
        </ext>
      </extLst>
    </cfRule>
  </conditionalFormatting>
  <conditionalFormatting sqref="AG178">
    <cfRule type="dataBar" priority="173">
      <dataBar>
        <cfvo type="min"/>
        <cfvo type="max"/>
        <color rgb="FF63C384"/>
      </dataBar>
      <extLst>
        <ext xmlns:x14="http://schemas.microsoft.com/office/spreadsheetml/2009/9/main" uri="{B025F937-C7B1-47D3-B67F-A62EFF666E3E}">
          <x14:id>{C97EF0C5-020B-4552-BC89-DA74BE55E938}</x14:id>
        </ext>
      </extLst>
    </cfRule>
  </conditionalFormatting>
  <conditionalFormatting sqref="Q179">
    <cfRule type="cellIs" dxfId="3955" priority="172" operator="equal">
      <formula>"ja"</formula>
    </cfRule>
  </conditionalFormatting>
  <conditionalFormatting sqref="AA179">
    <cfRule type="expression" dxfId="3954" priority="171">
      <formula>AND(AND($W179&lt;TODAY(),$W179&lt;&gt;""),$X179="")</formula>
    </cfRule>
  </conditionalFormatting>
  <conditionalFormatting sqref="AG179">
    <cfRule type="dataBar" priority="170">
      <dataBar>
        <cfvo type="min"/>
        <cfvo type="max"/>
        <color rgb="FF63C384"/>
      </dataBar>
      <extLst>
        <ext xmlns:x14="http://schemas.microsoft.com/office/spreadsheetml/2009/9/main" uri="{B025F937-C7B1-47D3-B67F-A62EFF666E3E}">
          <x14:id>{DFE00C7F-EE3F-42A7-9AD3-61B0397A8C3A}</x14:id>
        </ext>
      </extLst>
    </cfRule>
  </conditionalFormatting>
  <conditionalFormatting sqref="AG179">
    <cfRule type="dataBar" priority="169">
      <dataBar>
        <cfvo type="min"/>
        <cfvo type="max"/>
        <color rgb="FF63C384"/>
      </dataBar>
      <extLst>
        <ext xmlns:x14="http://schemas.microsoft.com/office/spreadsheetml/2009/9/main" uri="{B025F937-C7B1-47D3-B67F-A62EFF666E3E}">
          <x14:id>{B051A888-B0E4-49D5-9FAE-07A97F2E5692}</x14:id>
        </ext>
      </extLst>
    </cfRule>
  </conditionalFormatting>
  <conditionalFormatting sqref="AA179">
    <cfRule type="expression" dxfId="3953" priority="168">
      <formula>AND(AND($W179&lt;TODAY(),$W179&lt;&gt;""),$X179="")</formula>
    </cfRule>
  </conditionalFormatting>
  <conditionalFormatting sqref="Q179">
    <cfRule type="cellIs" dxfId="3952" priority="167" operator="equal">
      <formula>"ja"</formula>
    </cfRule>
  </conditionalFormatting>
  <conditionalFormatting sqref="AG179">
    <cfRule type="dataBar" priority="166">
      <dataBar>
        <cfvo type="min"/>
        <cfvo type="max"/>
        <color rgb="FF63C384"/>
      </dataBar>
      <extLst>
        <ext xmlns:x14="http://schemas.microsoft.com/office/spreadsheetml/2009/9/main" uri="{B025F937-C7B1-47D3-B67F-A62EFF666E3E}">
          <x14:id>{5F52A01E-63F2-43DC-84CE-ED6CB79FED43}</x14:id>
        </ext>
      </extLst>
    </cfRule>
  </conditionalFormatting>
  <conditionalFormatting sqref="AG179">
    <cfRule type="dataBar" priority="165">
      <dataBar>
        <cfvo type="min"/>
        <cfvo type="max"/>
        <color rgb="FF63C384"/>
      </dataBar>
      <extLst>
        <ext xmlns:x14="http://schemas.microsoft.com/office/spreadsheetml/2009/9/main" uri="{B025F937-C7B1-47D3-B67F-A62EFF666E3E}">
          <x14:id>{945B380C-92E9-409B-9E76-263E9F6276CA}</x14:id>
        </ext>
      </extLst>
    </cfRule>
  </conditionalFormatting>
  <conditionalFormatting sqref="AA180">
    <cfRule type="expression" dxfId="3951" priority="164">
      <formula>AND(AND($W180&lt;TODAY(),$W180&lt;&gt;""),$X180="")</formula>
    </cfRule>
  </conditionalFormatting>
  <conditionalFormatting sqref="AG180">
    <cfRule type="dataBar" priority="163">
      <dataBar>
        <cfvo type="min"/>
        <cfvo type="max"/>
        <color rgb="FF63C384"/>
      </dataBar>
      <extLst>
        <ext xmlns:x14="http://schemas.microsoft.com/office/spreadsheetml/2009/9/main" uri="{B025F937-C7B1-47D3-B67F-A62EFF666E3E}">
          <x14:id>{3FD98DF6-432D-45AD-B591-60B6DF7BAA39}</x14:id>
        </ext>
      </extLst>
    </cfRule>
  </conditionalFormatting>
  <conditionalFormatting sqref="AG180">
    <cfRule type="dataBar" priority="162">
      <dataBar>
        <cfvo type="min"/>
        <cfvo type="max"/>
        <color rgb="FF63C384"/>
      </dataBar>
      <extLst>
        <ext xmlns:x14="http://schemas.microsoft.com/office/spreadsheetml/2009/9/main" uri="{B025F937-C7B1-47D3-B67F-A62EFF666E3E}">
          <x14:id>{5A322BD6-C56E-4E0E-82B4-C1E9181ADEB2}</x14:id>
        </ext>
      </extLst>
    </cfRule>
  </conditionalFormatting>
  <conditionalFormatting sqref="AA180">
    <cfRule type="expression" dxfId="3950" priority="161">
      <formula>AND(AND($W180&lt;TODAY(),$W180&lt;&gt;""),$X180="")</formula>
    </cfRule>
  </conditionalFormatting>
  <conditionalFormatting sqref="AG180">
    <cfRule type="dataBar" priority="160">
      <dataBar>
        <cfvo type="min"/>
        <cfvo type="max"/>
        <color rgb="FF63C384"/>
      </dataBar>
      <extLst>
        <ext xmlns:x14="http://schemas.microsoft.com/office/spreadsheetml/2009/9/main" uri="{B025F937-C7B1-47D3-B67F-A62EFF666E3E}">
          <x14:id>{A0A61C66-08FA-4C48-93C6-A1F7FBB598BB}</x14:id>
        </ext>
      </extLst>
    </cfRule>
  </conditionalFormatting>
  <conditionalFormatting sqref="AG180">
    <cfRule type="dataBar" priority="159">
      <dataBar>
        <cfvo type="min"/>
        <cfvo type="max"/>
        <color rgb="FF63C384"/>
      </dataBar>
      <extLst>
        <ext xmlns:x14="http://schemas.microsoft.com/office/spreadsheetml/2009/9/main" uri="{B025F937-C7B1-47D3-B67F-A62EFF666E3E}">
          <x14:id>{D58E8FC2-880F-4E9A-9579-7F13193B2F27}</x14:id>
        </ext>
      </extLst>
    </cfRule>
  </conditionalFormatting>
  <conditionalFormatting sqref="Q181">
    <cfRule type="cellIs" dxfId="3949" priority="158" operator="equal">
      <formula>"ja"</formula>
    </cfRule>
  </conditionalFormatting>
  <conditionalFormatting sqref="AA181:AA183">
    <cfRule type="expression" dxfId="3948" priority="157">
      <formula>AND(AND($W181&lt;TODAY(),$W181&lt;&gt;""),$X181="")</formula>
    </cfRule>
  </conditionalFormatting>
  <conditionalFormatting sqref="AG181:AG182">
    <cfRule type="dataBar" priority="156">
      <dataBar>
        <cfvo type="min"/>
        <cfvo type="max"/>
        <color rgb="FF63C384"/>
      </dataBar>
      <extLst>
        <ext xmlns:x14="http://schemas.microsoft.com/office/spreadsheetml/2009/9/main" uri="{B025F937-C7B1-47D3-B67F-A62EFF666E3E}">
          <x14:id>{ABF2250B-52D7-4A67-A803-AA174A3BE0D5}</x14:id>
        </ext>
      </extLst>
    </cfRule>
  </conditionalFormatting>
  <conditionalFormatting sqref="AG181:AG182">
    <cfRule type="dataBar" priority="155">
      <dataBar>
        <cfvo type="min"/>
        <cfvo type="max"/>
        <color rgb="FF63C384"/>
      </dataBar>
      <extLst>
        <ext xmlns:x14="http://schemas.microsoft.com/office/spreadsheetml/2009/9/main" uri="{B025F937-C7B1-47D3-B67F-A62EFF666E3E}">
          <x14:id>{45906D71-579E-4561-9A10-56E4163712E2}</x14:id>
        </ext>
      </extLst>
    </cfRule>
  </conditionalFormatting>
  <conditionalFormatting sqref="Q181">
    <cfRule type="cellIs" dxfId="3947" priority="154" operator="equal">
      <formula>"ja"</formula>
    </cfRule>
  </conditionalFormatting>
  <conditionalFormatting sqref="AA181:AA183">
    <cfRule type="expression" dxfId="3946" priority="153">
      <formula>AND(AND($W181&lt;TODAY(),$W181&lt;&gt;""),$X181="")</formula>
    </cfRule>
  </conditionalFormatting>
  <conditionalFormatting sqref="AG181:AG182">
    <cfRule type="dataBar" priority="152">
      <dataBar>
        <cfvo type="min"/>
        <cfvo type="max"/>
        <color rgb="FF63C384"/>
      </dataBar>
      <extLst>
        <ext xmlns:x14="http://schemas.microsoft.com/office/spreadsheetml/2009/9/main" uri="{B025F937-C7B1-47D3-B67F-A62EFF666E3E}">
          <x14:id>{5DF1B395-6155-4312-9729-217342A1761A}</x14:id>
        </ext>
      </extLst>
    </cfRule>
  </conditionalFormatting>
  <conditionalFormatting sqref="AG181:AG182">
    <cfRule type="dataBar" priority="151">
      <dataBar>
        <cfvo type="min"/>
        <cfvo type="max"/>
        <color rgb="FF63C384"/>
      </dataBar>
      <extLst>
        <ext xmlns:x14="http://schemas.microsoft.com/office/spreadsheetml/2009/9/main" uri="{B025F937-C7B1-47D3-B67F-A62EFF666E3E}">
          <x14:id>{3DE7CFAA-652C-492A-BA64-53652AC05364}</x14:id>
        </ext>
      </extLst>
    </cfRule>
  </conditionalFormatting>
  <conditionalFormatting sqref="Q181">
    <cfRule type="cellIs" dxfId="3945" priority="150" operator="equal">
      <formula>"ja"</formula>
    </cfRule>
  </conditionalFormatting>
  <conditionalFormatting sqref="AA181:AA183">
    <cfRule type="expression" dxfId="3944" priority="149">
      <formula>AND(AND($W181&lt;TODAY(),$W181&lt;&gt;""),$X181="")</formula>
    </cfRule>
  </conditionalFormatting>
  <conditionalFormatting sqref="AG181:AG182">
    <cfRule type="dataBar" priority="148">
      <dataBar>
        <cfvo type="min"/>
        <cfvo type="max"/>
        <color rgb="FF63C384"/>
      </dataBar>
      <extLst>
        <ext xmlns:x14="http://schemas.microsoft.com/office/spreadsheetml/2009/9/main" uri="{B025F937-C7B1-47D3-B67F-A62EFF666E3E}">
          <x14:id>{5FCE2B5F-AAF4-4B24-A2B0-E072908679B2}</x14:id>
        </ext>
      </extLst>
    </cfRule>
  </conditionalFormatting>
  <conditionalFormatting sqref="AG181:AG182">
    <cfRule type="dataBar" priority="147">
      <dataBar>
        <cfvo type="min"/>
        <cfvo type="max"/>
        <color rgb="FF63C384"/>
      </dataBar>
      <extLst>
        <ext xmlns:x14="http://schemas.microsoft.com/office/spreadsheetml/2009/9/main" uri="{B025F937-C7B1-47D3-B67F-A62EFF666E3E}">
          <x14:id>{84415798-1646-4FEF-9011-90DC3E276602}</x14:id>
        </ext>
      </extLst>
    </cfRule>
  </conditionalFormatting>
  <conditionalFormatting sqref="Q177">
    <cfRule type="cellIs" dxfId="3943" priority="146" operator="equal">
      <formula>"ja"</formula>
    </cfRule>
  </conditionalFormatting>
  <conditionalFormatting sqref="AA177">
    <cfRule type="expression" dxfId="3942" priority="145">
      <formula>AND(AND($W177&lt;TODAY(),$W177&lt;&gt;""),$X177="")</formula>
    </cfRule>
  </conditionalFormatting>
  <conditionalFormatting sqref="AG177">
    <cfRule type="dataBar" priority="144">
      <dataBar>
        <cfvo type="min"/>
        <cfvo type="max"/>
        <color rgb="FF63C384"/>
      </dataBar>
      <extLst>
        <ext xmlns:x14="http://schemas.microsoft.com/office/spreadsheetml/2009/9/main" uri="{B025F937-C7B1-47D3-B67F-A62EFF666E3E}">
          <x14:id>{D5F5112C-9015-4A76-A150-99BF4E740FE3}</x14:id>
        </ext>
      </extLst>
    </cfRule>
  </conditionalFormatting>
  <conditionalFormatting sqref="AG177">
    <cfRule type="dataBar" priority="143">
      <dataBar>
        <cfvo type="min"/>
        <cfvo type="max"/>
        <color rgb="FF63C384"/>
      </dataBar>
      <extLst>
        <ext xmlns:x14="http://schemas.microsoft.com/office/spreadsheetml/2009/9/main" uri="{B025F937-C7B1-47D3-B67F-A62EFF666E3E}">
          <x14:id>{42C5A387-80C2-433B-A053-84BB83D11E66}</x14:id>
        </ext>
      </extLst>
    </cfRule>
  </conditionalFormatting>
  <conditionalFormatting sqref="AA177">
    <cfRule type="expression" dxfId="3941" priority="142">
      <formula>AND(AND($W177&lt;TODAY(),$W177&lt;&gt;""),$X177="")</formula>
    </cfRule>
  </conditionalFormatting>
  <conditionalFormatting sqref="AG177">
    <cfRule type="dataBar" priority="141">
      <dataBar>
        <cfvo type="min"/>
        <cfvo type="max"/>
        <color rgb="FF63C384"/>
      </dataBar>
      <extLst>
        <ext xmlns:x14="http://schemas.microsoft.com/office/spreadsheetml/2009/9/main" uri="{B025F937-C7B1-47D3-B67F-A62EFF666E3E}">
          <x14:id>{DD087678-E748-42A5-86E8-9F29EF6DA7FF}</x14:id>
        </ext>
      </extLst>
    </cfRule>
  </conditionalFormatting>
  <conditionalFormatting sqref="AG177">
    <cfRule type="dataBar" priority="140">
      <dataBar>
        <cfvo type="min"/>
        <cfvo type="max"/>
        <color rgb="FF63C384"/>
      </dataBar>
      <extLst>
        <ext xmlns:x14="http://schemas.microsoft.com/office/spreadsheetml/2009/9/main" uri="{B025F937-C7B1-47D3-B67F-A62EFF666E3E}">
          <x14:id>{D530C392-5820-4791-9F7F-D17F20A5462E}</x14:id>
        </ext>
      </extLst>
    </cfRule>
  </conditionalFormatting>
  <conditionalFormatting sqref="Q177">
    <cfRule type="cellIs" dxfId="3940" priority="139" operator="equal">
      <formula>"ja"</formula>
    </cfRule>
  </conditionalFormatting>
  <conditionalFormatting sqref="Q183">
    <cfRule type="cellIs" dxfId="3939" priority="138" operator="equal">
      <formula>"ja"</formula>
    </cfRule>
  </conditionalFormatting>
  <conditionalFormatting sqref="AG183">
    <cfRule type="dataBar" priority="137">
      <dataBar>
        <cfvo type="min"/>
        <cfvo type="max"/>
        <color rgb="FF63C384"/>
      </dataBar>
      <extLst>
        <ext xmlns:x14="http://schemas.microsoft.com/office/spreadsheetml/2009/9/main" uri="{B025F937-C7B1-47D3-B67F-A62EFF666E3E}">
          <x14:id>{0E0BFC7A-56D7-461F-90B5-B1516728C3FF}</x14:id>
        </ext>
      </extLst>
    </cfRule>
  </conditionalFormatting>
  <conditionalFormatting sqref="AG183">
    <cfRule type="dataBar" priority="136">
      <dataBar>
        <cfvo type="min"/>
        <cfvo type="max"/>
        <color rgb="FF63C384"/>
      </dataBar>
      <extLst>
        <ext xmlns:x14="http://schemas.microsoft.com/office/spreadsheetml/2009/9/main" uri="{B025F937-C7B1-47D3-B67F-A62EFF666E3E}">
          <x14:id>{E171A1ED-5281-4036-AA62-FB4F4426811E}</x14:id>
        </ext>
      </extLst>
    </cfRule>
  </conditionalFormatting>
  <conditionalFormatting sqref="Q183">
    <cfRule type="cellIs" dxfId="3938" priority="135" operator="equal">
      <formula>"ja"</formula>
    </cfRule>
  </conditionalFormatting>
  <conditionalFormatting sqref="AG183">
    <cfRule type="dataBar" priority="134">
      <dataBar>
        <cfvo type="min"/>
        <cfvo type="max"/>
        <color rgb="FF63C384"/>
      </dataBar>
      <extLst>
        <ext xmlns:x14="http://schemas.microsoft.com/office/spreadsheetml/2009/9/main" uri="{B025F937-C7B1-47D3-B67F-A62EFF666E3E}">
          <x14:id>{612FEEDD-54CD-4E24-912F-E6ECD7807947}</x14:id>
        </ext>
      </extLst>
    </cfRule>
  </conditionalFormatting>
  <conditionalFormatting sqref="AG183">
    <cfRule type="dataBar" priority="133">
      <dataBar>
        <cfvo type="min"/>
        <cfvo type="max"/>
        <color rgb="FF63C384"/>
      </dataBar>
      <extLst>
        <ext xmlns:x14="http://schemas.microsoft.com/office/spreadsheetml/2009/9/main" uri="{B025F937-C7B1-47D3-B67F-A62EFF666E3E}">
          <x14:id>{AA3C37E4-5254-4EA7-8654-D9CF002DA6ED}</x14:id>
        </ext>
      </extLst>
    </cfRule>
  </conditionalFormatting>
  <conditionalFormatting sqref="Q184">
    <cfRule type="cellIs" dxfId="3937" priority="132" operator="equal">
      <formula>"ja"</formula>
    </cfRule>
  </conditionalFormatting>
  <conditionalFormatting sqref="AA184">
    <cfRule type="expression" dxfId="3936" priority="131">
      <formula>AND(AND($W184&lt;TODAY(),$W184&lt;&gt;""),$X184="")</formula>
    </cfRule>
  </conditionalFormatting>
  <conditionalFormatting sqref="AG184">
    <cfRule type="dataBar" priority="130">
      <dataBar>
        <cfvo type="min"/>
        <cfvo type="max"/>
        <color rgb="FF63C384"/>
      </dataBar>
      <extLst>
        <ext xmlns:x14="http://schemas.microsoft.com/office/spreadsheetml/2009/9/main" uri="{B025F937-C7B1-47D3-B67F-A62EFF666E3E}">
          <x14:id>{E5498501-3446-4A41-BD55-35354313DB68}</x14:id>
        </ext>
      </extLst>
    </cfRule>
  </conditionalFormatting>
  <conditionalFormatting sqref="AG184">
    <cfRule type="dataBar" priority="129">
      <dataBar>
        <cfvo type="min"/>
        <cfvo type="max"/>
        <color rgb="FF63C384"/>
      </dataBar>
      <extLst>
        <ext xmlns:x14="http://schemas.microsoft.com/office/spreadsheetml/2009/9/main" uri="{B025F937-C7B1-47D3-B67F-A62EFF666E3E}">
          <x14:id>{FCF97E88-E459-4872-9084-F7A2C511A48D}</x14:id>
        </ext>
      </extLst>
    </cfRule>
  </conditionalFormatting>
  <conditionalFormatting sqref="AA184">
    <cfRule type="expression" dxfId="3935" priority="128">
      <formula>AND(AND($W184&lt;TODAY(),$W184&lt;&gt;""),$X184="")</formula>
    </cfRule>
  </conditionalFormatting>
  <conditionalFormatting sqref="AG184">
    <cfRule type="dataBar" priority="127">
      <dataBar>
        <cfvo type="min"/>
        <cfvo type="max"/>
        <color rgb="FF63C384"/>
      </dataBar>
      <extLst>
        <ext xmlns:x14="http://schemas.microsoft.com/office/spreadsheetml/2009/9/main" uri="{B025F937-C7B1-47D3-B67F-A62EFF666E3E}">
          <x14:id>{CC18B304-77BE-4D16-B663-41F72925DE70}</x14:id>
        </ext>
      </extLst>
    </cfRule>
  </conditionalFormatting>
  <conditionalFormatting sqref="AG184">
    <cfRule type="dataBar" priority="126">
      <dataBar>
        <cfvo type="min"/>
        <cfvo type="max"/>
        <color rgb="FF63C384"/>
      </dataBar>
      <extLst>
        <ext xmlns:x14="http://schemas.microsoft.com/office/spreadsheetml/2009/9/main" uri="{B025F937-C7B1-47D3-B67F-A62EFF666E3E}">
          <x14:id>{1DFC6995-3746-4A25-9776-DD4E6E284EB5}</x14:id>
        </ext>
      </extLst>
    </cfRule>
  </conditionalFormatting>
  <conditionalFormatting sqref="Q184">
    <cfRule type="cellIs" dxfId="3934" priority="125" operator="equal">
      <formula>"ja"</formula>
    </cfRule>
  </conditionalFormatting>
  <conditionalFormatting sqref="AA185">
    <cfRule type="expression" dxfId="3933" priority="124">
      <formula>AND(AND($W185&lt;TODAY(),$W185&lt;&gt;""),$X185="")</formula>
    </cfRule>
  </conditionalFormatting>
  <conditionalFormatting sqref="AG185">
    <cfRule type="dataBar" priority="123">
      <dataBar>
        <cfvo type="min"/>
        <cfvo type="max"/>
        <color rgb="FF63C384"/>
      </dataBar>
      <extLst>
        <ext xmlns:x14="http://schemas.microsoft.com/office/spreadsheetml/2009/9/main" uri="{B025F937-C7B1-47D3-B67F-A62EFF666E3E}">
          <x14:id>{CBE4B54F-71BA-4F21-9BC0-BE7D8F8FD7D7}</x14:id>
        </ext>
      </extLst>
    </cfRule>
  </conditionalFormatting>
  <conditionalFormatting sqref="AG185">
    <cfRule type="dataBar" priority="122">
      <dataBar>
        <cfvo type="min"/>
        <cfvo type="max"/>
        <color rgb="FF63C384"/>
      </dataBar>
      <extLst>
        <ext xmlns:x14="http://schemas.microsoft.com/office/spreadsheetml/2009/9/main" uri="{B025F937-C7B1-47D3-B67F-A62EFF666E3E}">
          <x14:id>{78186BAC-DCA7-4E3E-B81C-54C40B7B9338}</x14:id>
        </ext>
      </extLst>
    </cfRule>
  </conditionalFormatting>
  <conditionalFormatting sqref="Q185">
    <cfRule type="cellIs" dxfId="3932" priority="121" operator="equal">
      <formula>"ja"</formula>
    </cfRule>
  </conditionalFormatting>
  <conditionalFormatting sqref="AA186">
    <cfRule type="expression" dxfId="3931" priority="120">
      <formula>AND(AND($W186&lt;TODAY(),$W186&lt;&gt;""),$X186="")</formula>
    </cfRule>
  </conditionalFormatting>
  <conditionalFormatting sqref="Q186">
    <cfRule type="cellIs" dxfId="3930" priority="119" operator="equal">
      <formula>"ja"</formula>
    </cfRule>
  </conditionalFormatting>
  <conditionalFormatting sqref="AG186">
    <cfRule type="dataBar" priority="118">
      <dataBar>
        <cfvo type="min"/>
        <cfvo type="max"/>
        <color rgb="FF63C384"/>
      </dataBar>
      <extLst>
        <ext xmlns:x14="http://schemas.microsoft.com/office/spreadsheetml/2009/9/main" uri="{B025F937-C7B1-47D3-B67F-A62EFF666E3E}">
          <x14:id>{FCAB3A49-341F-411A-98FB-5BA9885AD904}</x14:id>
        </ext>
      </extLst>
    </cfRule>
  </conditionalFormatting>
  <conditionalFormatting sqref="AG186">
    <cfRule type="dataBar" priority="117">
      <dataBar>
        <cfvo type="min"/>
        <cfvo type="max"/>
        <color rgb="FF63C384"/>
      </dataBar>
      <extLst>
        <ext xmlns:x14="http://schemas.microsoft.com/office/spreadsheetml/2009/9/main" uri="{B025F937-C7B1-47D3-B67F-A62EFF666E3E}">
          <x14:id>{1F86DF77-6292-4A1C-B392-6D7218512D0C}</x14:id>
        </ext>
      </extLst>
    </cfRule>
  </conditionalFormatting>
  <conditionalFormatting sqref="AA187">
    <cfRule type="expression" dxfId="3929" priority="116">
      <formula>AND(AND($W187&lt;TODAY(),$W187&lt;&gt;""),$X187="")</formula>
    </cfRule>
  </conditionalFormatting>
  <conditionalFormatting sqref="AG187">
    <cfRule type="dataBar" priority="115">
      <dataBar>
        <cfvo type="min"/>
        <cfvo type="max"/>
        <color rgb="FF63C384"/>
      </dataBar>
      <extLst>
        <ext xmlns:x14="http://schemas.microsoft.com/office/spreadsheetml/2009/9/main" uri="{B025F937-C7B1-47D3-B67F-A62EFF666E3E}">
          <x14:id>{1C586B28-5563-4402-AF5B-654ECF3092DA}</x14:id>
        </ext>
      </extLst>
    </cfRule>
  </conditionalFormatting>
  <conditionalFormatting sqref="AG187">
    <cfRule type="dataBar" priority="114">
      <dataBar>
        <cfvo type="min"/>
        <cfvo type="max"/>
        <color rgb="FF63C384"/>
      </dataBar>
      <extLst>
        <ext xmlns:x14="http://schemas.microsoft.com/office/spreadsheetml/2009/9/main" uri="{B025F937-C7B1-47D3-B67F-A62EFF666E3E}">
          <x14:id>{B2818112-0B48-4AAD-91E9-11BC0E8E7B22}</x14:id>
        </ext>
      </extLst>
    </cfRule>
  </conditionalFormatting>
  <conditionalFormatting sqref="Q187">
    <cfRule type="cellIs" dxfId="3928" priority="113" operator="equal">
      <formula>"ja"</formula>
    </cfRule>
  </conditionalFormatting>
  <conditionalFormatting sqref="Q188">
    <cfRule type="cellIs" dxfId="3927" priority="112" operator="equal">
      <formula>"ja"</formula>
    </cfRule>
  </conditionalFormatting>
  <conditionalFormatting sqref="AA188">
    <cfRule type="expression" dxfId="3926" priority="111">
      <formula>AND(AND($W188&lt;TODAY(),$W188&lt;&gt;""),$X188="")</formula>
    </cfRule>
  </conditionalFormatting>
  <conditionalFormatting sqref="AG188">
    <cfRule type="dataBar" priority="110">
      <dataBar>
        <cfvo type="min"/>
        <cfvo type="max"/>
        <color rgb="FF63C384"/>
      </dataBar>
      <extLst>
        <ext xmlns:x14="http://schemas.microsoft.com/office/spreadsheetml/2009/9/main" uri="{B025F937-C7B1-47D3-B67F-A62EFF666E3E}">
          <x14:id>{2240C733-EB48-4228-A7F5-07BF1AB96BF9}</x14:id>
        </ext>
      </extLst>
    </cfRule>
  </conditionalFormatting>
  <conditionalFormatting sqref="AG188">
    <cfRule type="dataBar" priority="109">
      <dataBar>
        <cfvo type="min"/>
        <cfvo type="max"/>
        <color rgb="FF63C384"/>
      </dataBar>
      <extLst>
        <ext xmlns:x14="http://schemas.microsoft.com/office/spreadsheetml/2009/9/main" uri="{B025F937-C7B1-47D3-B67F-A62EFF666E3E}">
          <x14:id>{C9A43AF1-B9A8-490C-84F6-DC74D789168C}</x14:id>
        </ext>
      </extLst>
    </cfRule>
  </conditionalFormatting>
  <conditionalFormatting sqref="Q189">
    <cfRule type="cellIs" dxfId="3925" priority="108" operator="equal">
      <formula>"ja"</formula>
    </cfRule>
  </conditionalFormatting>
  <conditionalFormatting sqref="AA189">
    <cfRule type="expression" dxfId="3924" priority="107">
      <formula>AND(AND($W189&lt;TODAY(),$W189&lt;&gt;""),$X189="")</formula>
    </cfRule>
  </conditionalFormatting>
  <conditionalFormatting sqref="AG189">
    <cfRule type="dataBar" priority="106">
      <dataBar>
        <cfvo type="min"/>
        <cfvo type="max"/>
        <color rgb="FF63C384"/>
      </dataBar>
      <extLst>
        <ext xmlns:x14="http://schemas.microsoft.com/office/spreadsheetml/2009/9/main" uri="{B025F937-C7B1-47D3-B67F-A62EFF666E3E}">
          <x14:id>{1655EA40-5159-4FCE-9B55-2DE921E20541}</x14:id>
        </ext>
      </extLst>
    </cfRule>
  </conditionalFormatting>
  <conditionalFormatting sqref="AG189">
    <cfRule type="dataBar" priority="105">
      <dataBar>
        <cfvo type="min"/>
        <cfvo type="max"/>
        <color rgb="FF63C384"/>
      </dataBar>
      <extLst>
        <ext xmlns:x14="http://schemas.microsoft.com/office/spreadsheetml/2009/9/main" uri="{B025F937-C7B1-47D3-B67F-A62EFF666E3E}">
          <x14:id>{D782CF07-0B19-4CB3-89C0-22688209EA33}</x14:id>
        </ext>
      </extLst>
    </cfRule>
  </conditionalFormatting>
  <conditionalFormatting sqref="AA189">
    <cfRule type="expression" dxfId="3923" priority="104">
      <formula>AND(AND($W189&lt;TODAY(),$W189&lt;&gt;""),$X189="")</formula>
    </cfRule>
  </conditionalFormatting>
  <conditionalFormatting sqref="Q189">
    <cfRule type="cellIs" dxfId="3922" priority="103" operator="equal">
      <formula>"ja"</formula>
    </cfRule>
  </conditionalFormatting>
  <conditionalFormatting sqref="AG189">
    <cfRule type="dataBar" priority="102">
      <dataBar>
        <cfvo type="min"/>
        <cfvo type="max"/>
        <color rgb="FF63C384"/>
      </dataBar>
      <extLst>
        <ext xmlns:x14="http://schemas.microsoft.com/office/spreadsheetml/2009/9/main" uri="{B025F937-C7B1-47D3-B67F-A62EFF666E3E}">
          <x14:id>{E4B5BB8B-D01D-4DB7-B1D3-399610C083EF}</x14:id>
        </ext>
      </extLst>
    </cfRule>
  </conditionalFormatting>
  <conditionalFormatting sqref="AG189">
    <cfRule type="dataBar" priority="101">
      <dataBar>
        <cfvo type="min"/>
        <cfvo type="max"/>
        <color rgb="FF63C384"/>
      </dataBar>
      <extLst>
        <ext xmlns:x14="http://schemas.microsoft.com/office/spreadsheetml/2009/9/main" uri="{B025F937-C7B1-47D3-B67F-A62EFF666E3E}">
          <x14:id>{436D7FAA-47DB-4EC9-A8E1-A371F241FA6B}</x14:id>
        </ext>
      </extLst>
    </cfRule>
  </conditionalFormatting>
  <conditionalFormatting sqref="Q190">
    <cfRule type="cellIs" dxfId="3921" priority="100" operator="equal">
      <formula>"ja"</formula>
    </cfRule>
  </conditionalFormatting>
  <conditionalFormatting sqref="AA190">
    <cfRule type="expression" dxfId="3920" priority="99">
      <formula>AND(AND($W190&lt;TODAY(),$W190&lt;&gt;""),$X190="")</formula>
    </cfRule>
  </conditionalFormatting>
  <conditionalFormatting sqref="AG190">
    <cfRule type="dataBar" priority="98">
      <dataBar>
        <cfvo type="min"/>
        <cfvo type="max"/>
        <color rgb="FF63C384"/>
      </dataBar>
      <extLst>
        <ext xmlns:x14="http://schemas.microsoft.com/office/spreadsheetml/2009/9/main" uri="{B025F937-C7B1-47D3-B67F-A62EFF666E3E}">
          <x14:id>{7B5F66B8-C07E-4C01-A6A0-73ABA9D894C2}</x14:id>
        </ext>
      </extLst>
    </cfRule>
  </conditionalFormatting>
  <conditionalFormatting sqref="AG190">
    <cfRule type="dataBar" priority="97">
      <dataBar>
        <cfvo type="min"/>
        <cfvo type="max"/>
        <color rgb="FF63C384"/>
      </dataBar>
      <extLst>
        <ext xmlns:x14="http://schemas.microsoft.com/office/spreadsheetml/2009/9/main" uri="{B025F937-C7B1-47D3-B67F-A62EFF666E3E}">
          <x14:id>{50494AB1-3AE9-4CD9-9570-D2A618DE1E2E}</x14:id>
        </ext>
      </extLst>
    </cfRule>
  </conditionalFormatting>
  <conditionalFormatting sqref="Q191">
    <cfRule type="cellIs" dxfId="3919" priority="96" operator="equal">
      <formula>"ja"</formula>
    </cfRule>
  </conditionalFormatting>
  <conditionalFormatting sqref="Q191">
    <cfRule type="cellIs" dxfId="3918" priority="84" operator="equal">
      <formula>"ja"</formula>
    </cfRule>
  </conditionalFormatting>
  <conditionalFormatting sqref="AA191">
    <cfRule type="expression" dxfId="3917" priority="83">
      <formula>AND(AND($W191&lt;TODAY(),$W191&lt;&gt;""),$X191="")</formula>
    </cfRule>
  </conditionalFormatting>
  <conditionalFormatting sqref="AA191">
    <cfRule type="expression" dxfId="3916" priority="95">
      <formula>AND(AND($W191&lt;TODAY(),$W191&lt;&gt;""),$X191="")</formula>
    </cfRule>
  </conditionalFormatting>
  <conditionalFormatting sqref="AG191">
    <cfRule type="dataBar" priority="94">
      <dataBar>
        <cfvo type="min"/>
        <cfvo type="max"/>
        <color rgb="FF63C384"/>
      </dataBar>
      <extLst>
        <ext xmlns:x14="http://schemas.microsoft.com/office/spreadsheetml/2009/9/main" uri="{B025F937-C7B1-47D3-B67F-A62EFF666E3E}">
          <x14:id>{50E120DA-21F4-401A-9F64-743A3FCB00F0}</x14:id>
        </ext>
      </extLst>
    </cfRule>
  </conditionalFormatting>
  <conditionalFormatting sqref="AG191">
    <cfRule type="dataBar" priority="93">
      <dataBar>
        <cfvo type="min"/>
        <cfvo type="max"/>
        <color rgb="FF63C384"/>
      </dataBar>
      <extLst>
        <ext xmlns:x14="http://schemas.microsoft.com/office/spreadsheetml/2009/9/main" uri="{B025F937-C7B1-47D3-B67F-A62EFF666E3E}">
          <x14:id>{A28D8AD5-457D-44BA-93C4-5CA2F0D23C35}</x14:id>
        </ext>
      </extLst>
    </cfRule>
  </conditionalFormatting>
  <conditionalFormatting sqref="Q191">
    <cfRule type="cellIs" dxfId="3915" priority="92" operator="equal">
      <formula>"ja"</formula>
    </cfRule>
  </conditionalFormatting>
  <conditionalFormatting sqref="AA191">
    <cfRule type="expression" dxfId="3914" priority="91">
      <formula>AND(AND($W191&lt;TODAY(),$W191&lt;&gt;""),$X191="")</formula>
    </cfRule>
  </conditionalFormatting>
  <conditionalFormatting sqref="AG191">
    <cfRule type="dataBar" priority="90">
      <dataBar>
        <cfvo type="min"/>
        <cfvo type="max"/>
        <color rgb="FF63C384"/>
      </dataBar>
      <extLst>
        <ext xmlns:x14="http://schemas.microsoft.com/office/spreadsheetml/2009/9/main" uri="{B025F937-C7B1-47D3-B67F-A62EFF666E3E}">
          <x14:id>{FEA7C785-3F5B-422D-B4C9-72B6CA1AAA0D}</x14:id>
        </ext>
      </extLst>
    </cfRule>
  </conditionalFormatting>
  <conditionalFormatting sqref="AG191">
    <cfRule type="dataBar" priority="89">
      <dataBar>
        <cfvo type="min"/>
        <cfvo type="max"/>
        <color rgb="FF63C384"/>
      </dataBar>
      <extLst>
        <ext xmlns:x14="http://schemas.microsoft.com/office/spreadsheetml/2009/9/main" uri="{B025F937-C7B1-47D3-B67F-A62EFF666E3E}">
          <x14:id>{8F2F69E2-F85F-495D-8F7E-3002842F064A}</x14:id>
        </ext>
      </extLst>
    </cfRule>
  </conditionalFormatting>
  <conditionalFormatting sqref="Q191">
    <cfRule type="cellIs" dxfId="3913" priority="88" operator="equal">
      <formula>"ja"</formula>
    </cfRule>
  </conditionalFormatting>
  <conditionalFormatting sqref="AA191">
    <cfRule type="expression" dxfId="3912" priority="87">
      <formula>AND(AND($W191&lt;TODAY(),$W191&lt;&gt;""),$X191="")</formula>
    </cfRule>
  </conditionalFormatting>
  <conditionalFormatting sqref="AG191">
    <cfRule type="dataBar" priority="86">
      <dataBar>
        <cfvo type="min"/>
        <cfvo type="max"/>
        <color rgb="FF63C384"/>
      </dataBar>
      <extLst>
        <ext xmlns:x14="http://schemas.microsoft.com/office/spreadsheetml/2009/9/main" uri="{B025F937-C7B1-47D3-B67F-A62EFF666E3E}">
          <x14:id>{AE7DF5E6-8DE3-4508-A317-577625B1D550}</x14:id>
        </ext>
      </extLst>
    </cfRule>
  </conditionalFormatting>
  <conditionalFormatting sqref="AG191">
    <cfRule type="dataBar" priority="85">
      <dataBar>
        <cfvo type="min"/>
        <cfvo type="max"/>
        <color rgb="FF63C384"/>
      </dataBar>
      <extLst>
        <ext xmlns:x14="http://schemas.microsoft.com/office/spreadsheetml/2009/9/main" uri="{B025F937-C7B1-47D3-B67F-A62EFF666E3E}">
          <x14:id>{0400FE27-2C21-4498-BC45-8D0A9F8A35ED}</x14:id>
        </ext>
      </extLst>
    </cfRule>
  </conditionalFormatting>
  <conditionalFormatting sqref="AG191">
    <cfRule type="dataBar" priority="82">
      <dataBar>
        <cfvo type="min"/>
        <cfvo type="max"/>
        <color rgb="FF63C384"/>
      </dataBar>
      <extLst>
        <ext xmlns:x14="http://schemas.microsoft.com/office/spreadsheetml/2009/9/main" uri="{B025F937-C7B1-47D3-B67F-A62EFF666E3E}">
          <x14:id>{CA850AE6-CAC5-4983-A265-2F9EF6D78328}</x14:id>
        </ext>
      </extLst>
    </cfRule>
  </conditionalFormatting>
  <conditionalFormatting sqref="AG191">
    <cfRule type="dataBar" priority="81">
      <dataBar>
        <cfvo type="min"/>
        <cfvo type="max"/>
        <color rgb="FF63C384"/>
      </dataBar>
      <extLst>
        <ext xmlns:x14="http://schemas.microsoft.com/office/spreadsheetml/2009/9/main" uri="{B025F937-C7B1-47D3-B67F-A62EFF666E3E}">
          <x14:id>{D5EDEEF8-8B45-4D00-84E8-DEE18F60776B}</x14:id>
        </ext>
      </extLst>
    </cfRule>
  </conditionalFormatting>
  <conditionalFormatting sqref="Q192">
    <cfRule type="cellIs" dxfId="3911" priority="80" operator="equal">
      <formula>"ja"</formula>
    </cfRule>
  </conditionalFormatting>
  <conditionalFormatting sqref="AA192:AA193">
    <cfRule type="expression" dxfId="3910" priority="79">
      <formula>AND(AND($W192&lt;TODAY(),$W192&lt;&gt;""),$X192="")</formula>
    </cfRule>
  </conditionalFormatting>
  <conditionalFormatting sqref="AG192:AG193">
    <cfRule type="dataBar" priority="78">
      <dataBar>
        <cfvo type="min"/>
        <cfvo type="max"/>
        <color rgb="FF63C384"/>
      </dataBar>
      <extLst>
        <ext xmlns:x14="http://schemas.microsoft.com/office/spreadsheetml/2009/9/main" uri="{B025F937-C7B1-47D3-B67F-A62EFF666E3E}">
          <x14:id>{21D094DC-CE4D-4585-8842-0A03AE00A94B}</x14:id>
        </ext>
      </extLst>
    </cfRule>
  </conditionalFormatting>
  <conditionalFormatting sqref="AG192:AG193">
    <cfRule type="dataBar" priority="77">
      <dataBar>
        <cfvo type="min"/>
        <cfvo type="max"/>
        <color rgb="FF63C384"/>
      </dataBar>
      <extLst>
        <ext xmlns:x14="http://schemas.microsoft.com/office/spreadsheetml/2009/9/main" uri="{B025F937-C7B1-47D3-B67F-A62EFF666E3E}">
          <x14:id>{96A51294-AA3D-4AB0-AD32-BB36D81C5CD2}</x14:id>
        </ext>
      </extLst>
    </cfRule>
  </conditionalFormatting>
  <conditionalFormatting sqref="AA192:AA193">
    <cfRule type="expression" dxfId="3909" priority="76">
      <formula>AND(AND($W192&lt;TODAY(),$W192&lt;&gt;""),$X192="")</formula>
    </cfRule>
  </conditionalFormatting>
  <conditionalFormatting sqref="AG192:AG193">
    <cfRule type="dataBar" priority="75">
      <dataBar>
        <cfvo type="min"/>
        <cfvo type="max"/>
        <color rgb="FF63C384"/>
      </dataBar>
      <extLst>
        <ext xmlns:x14="http://schemas.microsoft.com/office/spreadsheetml/2009/9/main" uri="{B025F937-C7B1-47D3-B67F-A62EFF666E3E}">
          <x14:id>{387C2E6C-9D61-425F-8CE3-8265FD38F2A3}</x14:id>
        </ext>
      </extLst>
    </cfRule>
  </conditionalFormatting>
  <conditionalFormatting sqref="AG192:AG193">
    <cfRule type="dataBar" priority="74">
      <dataBar>
        <cfvo type="min"/>
        <cfvo type="max"/>
        <color rgb="FF63C384"/>
      </dataBar>
      <extLst>
        <ext xmlns:x14="http://schemas.microsoft.com/office/spreadsheetml/2009/9/main" uri="{B025F937-C7B1-47D3-B67F-A62EFF666E3E}">
          <x14:id>{4488B979-F675-4133-B9D5-39F0475AC694}</x14:id>
        </ext>
      </extLst>
    </cfRule>
  </conditionalFormatting>
  <conditionalFormatting sqref="Q192">
    <cfRule type="cellIs" dxfId="3908" priority="73" operator="equal">
      <formula>"ja"</formula>
    </cfRule>
  </conditionalFormatting>
  <conditionalFormatting sqref="Q194">
    <cfRule type="cellIs" dxfId="3907" priority="72" operator="equal">
      <formula>"ja"</formula>
    </cfRule>
  </conditionalFormatting>
  <conditionalFormatting sqref="AA194">
    <cfRule type="expression" dxfId="3906" priority="71">
      <formula>AND(AND($W194&lt;TODAY(),$W194&lt;&gt;""),$X194="")</formula>
    </cfRule>
  </conditionalFormatting>
  <conditionalFormatting sqref="AG194">
    <cfRule type="dataBar" priority="70">
      <dataBar>
        <cfvo type="min"/>
        <cfvo type="max"/>
        <color rgb="FF63C384"/>
      </dataBar>
      <extLst>
        <ext xmlns:x14="http://schemas.microsoft.com/office/spreadsheetml/2009/9/main" uri="{B025F937-C7B1-47D3-B67F-A62EFF666E3E}">
          <x14:id>{1485A337-56CD-4171-965D-7CFF04490699}</x14:id>
        </ext>
      </extLst>
    </cfRule>
  </conditionalFormatting>
  <conditionalFormatting sqref="AG194">
    <cfRule type="dataBar" priority="69">
      <dataBar>
        <cfvo type="min"/>
        <cfvo type="max"/>
        <color rgb="FF63C384"/>
      </dataBar>
      <extLst>
        <ext xmlns:x14="http://schemas.microsoft.com/office/spreadsheetml/2009/9/main" uri="{B025F937-C7B1-47D3-B67F-A62EFF666E3E}">
          <x14:id>{4EDFCC42-2793-4A4C-B2F2-265F71B38B35}</x14:id>
        </ext>
      </extLst>
    </cfRule>
  </conditionalFormatting>
  <conditionalFormatting sqref="AA194">
    <cfRule type="expression" dxfId="3905" priority="68">
      <formula>AND(AND($W194&lt;TODAY(),$W194&lt;&gt;""),$X194="")</formula>
    </cfRule>
  </conditionalFormatting>
  <conditionalFormatting sqref="Q194">
    <cfRule type="cellIs" dxfId="3904" priority="67" operator="equal">
      <formula>"ja"</formula>
    </cfRule>
  </conditionalFormatting>
  <conditionalFormatting sqref="AG194">
    <cfRule type="dataBar" priority="66">
      <dataBar>
        <cfvo type="min"/>
        <cfvo type="max"/>
        <color rgb="FF63C384"/>
      </dataBar>
      <extLst>
        <ext xmlns:x14="http://schemas.microsoft.com/office/spreadsheetml/2009/9/main" uri="{B025F937-C7B1-47D3-B67F-A62EFF666E3E}">
          <x14:id>{14368FE4-349C-482E-8F50-2B0975AE44D7}</x14:id>
        </ext>
      </extLst>
    </cfRule>
  </conditionalFormatting>
  <conditionalFormatting sqref="AG194">
    <cfRule type="dataBar" priority="65">
      <dataBar>
        <cfvo type="min"/>
        <cfvo type="max"/>
        <color rgb="FF63C384"/>
      </dataBar>
      <extLst>
        <ext xmlns:x14="http://schemas.microsoft.com/office/spreadsheetml/2009/9/main" uri="{B025F937-C7B1-47D3-B67F-A62EFF666E3E}">
          <x14:id>{02AB4F7C-5E94-4C31-BCF5-0BB1E1285A85}</x14:id>
        </ext>
      </extLst>
    </cfRule>
  </conditionalFormatting>
  <conditionalFormatting sqref="AA195">
    <cfRule type="expression" dxfId="3903" priority="64">
      <formula>AND(AND($W195&lt;TODAY(),$W195&lt;&gt;""),$X195="")</formula>
    </cfRule>
  </conditionalFormatting>
  <conditionalFormatting sqref="AG195">
    <cfRule type="dataBar" priority="63">
      <dataBar>
        <cfvo type="min"/>
        <cfvo type="max"/>
        <color rgb="FF63C384"/>
      </dataBar>
      <extLst>
        <ext xmlns:x14="http://schemas.microsoft.com/office/spreadsheetml/2009/9/main" uri="{B025F937-C7B1-47D3-B67F-A62EFF666E3E}">
          <x14:id>{A70F09B3-DABC-4A9C-A1C7-B7F578B154D5}</x14:id>
        </ext>
      </extLst>
    </cfRule>
  </conditionalFormatting>
  <conditionalFormatting sqref="AG195">
    <cfRule type="dataBar" priority="62">
      <dataBar>
        <cfvo type="min"/>
        <cfvo type="max"/>
        <color rgb="FF63C384"/>
      </dataBar>
      <extLst>
        <ext xmlns:x14="http://schemas.microsoft.com/office/spreadsheetml/2009/9/main" uri="{B025F937-C7B1-47D3-B67F-A62EFF666E3E}">
          <x14:id>{DDD9F605-4E85-4657-88A8-21C9335DF7E5}</x14:id>
        </ext>
      </extLst>
    </cfRule>
  </conditionalFormatting>
  <conditionalFormatting sqref="AA195">
    <cfRule type="expression" dxfId="3902" priority="61">
      <formula>AND(AND($W195&lt;TODAY(),$W195&lt;&gt;""),$X195="")</formula>
    </cfRule>
  </conditionalFormatting>
  <conditionalFormatting sqref="AG195">
    <cfRule type="dataBar" priority="60">
      <dataBar>
        <cfvo type="min"/>
        <cfvo type="max"/>
        <color rgb="FF63C384"/>
      </dataBar>
      <extLst>
        <ext xmlns:x14="http://schemas.microsoft.com/office/spreadsheetml/2009/9/main" uri="{B025F937-C7B1-47D3-B67F-A62EFF666E3E}">
          <x14:id>{6E7F8485-7928-4F40-96DF-3113EFA17673}</x14:id>
        </ext>
      </extLst>
    </cfRule>
  </conditionalFormatting>
  <conditionalFormatting sqref="AG195">
    <cfRule type="dataBar" priority="59">
      <dataBar>
        <cfvo type="min"/>
        <cfvo type="max"/>
        <color rgb="FF63C384"/>
      </dataBar>
      <extLst>
        <ext xmlns:x14="http://schemas.microsoft.com/office/spreadsheetml/2009/9/main" uri="{B025F937-C7B1-47D3-B67F-A62EFF666E3E}">
          <x14:id>{E0D49CC3-4A98-4F5D-95EB-ABEA0010DDD0}</x14:id>
        </ext>
      </extLst>
    </cfRule>
  </conditionalFormatting>
  <conditionalFormatting sqref="AA196">
    <cfRule type="expression" dxfId="3901" priority="58">
      <formula>AND(AND($W196&lt;TODAY(),$W196&lt;&gt;""),$X196="")</formula>
    </cfRule>
  </conditionalFormatting>
  <conditionalFormatting sqref="AG196">
    <cfRule type="dataBar" priority="57">
      <dataBar>
        <cfvo type="min"/>
        <cfvo type="max"/>
        <color rgb="FF63C384"/>
      </dataBar>
      <extLst>
        <ext xmlns:x14="http://schemas.microsoft.com/office/spreadsheetml/2009/9/main" uri="{B025F937-C7B1-47D3-B67F-A62EFF666E3E}">
          <x14:id>{F649C134-4CCE-4732-8ED0-98494296F3A1}</x14:id>
        </ext>
      </extLst>
    </cfRule>
  </conditionalFormatting>
  <conditionalFormatting sqref="AG196">
    <cfRule type="dataBar" priority="56">
      <dataBar>
        <cfvo type="min"/>
        <cfvo type="max"/>
        <color rgb="FF63C384"/>
      </dataBar>
      <extLst>
        <ext xmlns:x14="http://schemas.microsoft.com/office/spreadsheetml/2009/9/main" uri="{B025F937-C7B1-47D3-B67F-A62EFF666E3E}">
          <x14:id>{ADEBCC04-929A-48F8-92F9-47612FFFFC83}</x14:id>
        </ext>
      </extLst>
    </cfRule>
  </conditionalFormatting>
  <conditionalFormatting sqref="Q196">
    <cfRule type="cellIs" dxfId="3900" priority="55" operator="equal">
      <formula>"ja"</formula>
    </cfRule>
  </conditionalFormatting>
  <conditionalFormatting sqref="Q197">
    <cfRule type="cellIs" dxfId="3899" priority="54" operator="equal">
      <formula>"ja"</formula>
    </cfRule>
  </conditionalFormatting>
  <conditionalFormatting sqref="AA197">
    <cfRule type="expression" dxfId="3898" priority="53">
      <formula>AND(AND($W197&lt;TODAY(),$W197&lt;&gt;""),$X197="")</formula>
    </cfRule>
  </conditionalFormatting>
  <conditionalFormatting sqref="AG197">
    <cfRule type="dataBar" priority="52">
      <dataBar>
        <cfvo type="min"/>
        <cfvo type="max"/>
        <color rgb="FF63C384"/>
      </dataBar>
      <extLst>
        <ext xmlns:x14="http://schemas.microsoft.com/office/spreadsheetml/2009/9/main" uri="{B025F937-C7B1-47D3-B67F-A62EFF666E3E}">
          <x14:id>{74E243F0-F226-4A35-9F59-3FA1086FAE50}</x14:id>
        </ext>
      </extLst>
    </cfRule>
  </conditionalFormatting>
  <conditionalFormatting sqref="AG197">
    <cfRule type="dataBar" priority="51">
      <dataBar>
        <cfvo type="min"/>
        <cfvo type="max"/>
        <color rgb="FF63C384"/>
      </dataBar>
      <extLst>
        <ext xmlns:x14="http://schemas.microsoft.com/office/spreadsheetml/2009/9/main" uri="{B025F937-C7B1-47D3-B67F-A62EFF666E3E}">
          <x14:id>{69C6787C-111D-4AFE-95F8-47753EEF04C2}</x14:id>
        </ext>
      </extLst>
    </cfRule>
  </conditionalFormatting>
  <conditionalFormatting sqref="Q197">
    <cfRule type="cellIs" dxfId="3897" priority="50" operator="equal">
      <formula>"ja"</formula>
    </cfRule>
  </conditionalFormatting>
  <conditionalFormatting sqref="AA197">
    <cfRule type="expression" dxfId="3896" priority="49">
      <formula>AND(AND($W197&lt;TODAY(),$W197&lt;&gt;""),$X197="")</formula>
    </cfRule>
  </conditionalFormatting>
  <conditionalFormatting sqref="AG197">
    <cfRule type="dataBar" priority="48">
      <dataBar>
        <cfvo type="min"/>
        <cfvo type="max"/>
        <color rgb="FF63C384"/>
      </dataBar>
      <extLst>
        <ext xmlns:x14="http://schemas.microsoft.com/office/spreadsheetml/2009/9/main" uri="{B025F937-C7B1-47D3-B67F-A62EFF666E3E}">
          <x14:id>{5D2D1794-19E8-4D04-8F86-1772E371F147}</x14:id>
        </ext>
      </extLst>
    </cfRule>
  </conditionalFormatting>
  <conditionalFormatting sqref="AG197">
    <cfRule type="dataBar" priority="47">
      <dataBar>
        <cfvo type="min"/>
        <cfvo type="max"/>
        <color rgb="FF63C384"/>
      </dataBar>
      <extLst>
        <ext xmlns:x14="http://schemas.microsoft.com/office/spreadsheetml/2009/9/main" uri="{B025F937-C7B1-47D3-B67F-A62EFF666E3E}">
          <x14:id>{D5FAA062-421C-4D94-A39E-F1AF8716A9BB}</x14:id>
        </ext>
      </extLst>
    </cfRule>
  </conditionalFormatting>
  <conditionalFormatting sqref="Q197">
    <cfRule type="cellIs" dxfId="3895" priority="46" operator="equal">
      <formula>"ja"</formula>
    </cfRule>
  </conditionalFormatting>
  <conditionalFormatting sqref="AA197">
    <cfRule type="expression" dxfId="3894" priority="45">
      <formula>AND(AND($W197&lt;TODAY(),$W197&lt;&gt;""),$X197="")</formula>
    </cfRule>
  </conditionalFormatting>
  <conditionalFormatting sqref="AG197">
    <cfRule type="dataBar" priority="44">
      <dataBar>
        <cfvo type="min"/>
        <cfvo type="max"/>
        <color rgb="FF63C384"/>
      </dataBar>
      <extLst>
        <ext xmlns:x14="http://schemas.microsoft.com/office/spreadsheetml/2009/9/main" uri="{B025F937-C7B1-47D3-B67F-A62EFF666E3E}">
          <x14:id>{51F747E5-D4C5-4220-B248-F08EC357F9B4}</x14:id>
        </ext>
      </extLst>
    </cfRule>
  </conditionalFormatting>
  <conditionalFormatting sqref="AG197">
    <cfRule type="dataBar" priority="43">
      <dataBar>
        <cfvo type="min"/>
        <cfvo type="max"/>
        <color rgb="FF63C384"/>
      </dataBar>
      <extLst>
        <ext xmlns:x14="http://schemas.microsoft.com/office/spreadsheetml/2009/9/main" uri="{B025F937-C7B1-47D3-B67F-A62EFF666E3E}">
          <x14:id>{4743FECC-DFB3-4FD8-9D85-56D54D6E8F5E}</x14:id>
        </ext>
      </extLst>
    </cfRule>
  </conditionalFormatting>
  <conditionalFormatting sqref="AA198:AA199">
    <cfRule type="expression" dxfId="3893" priority="42">
      <formula>AND(AND($W198&lt;TODAY(),$W198&lt;&gt;""),$X198="")</formula>
    </cfRule>
  </conditionalFormatting>
  <conditionalFormatting sqref="AG198">
    <cfRule type="dataBar" priority="41">
      <dataBar>
        <cfvo type="min"/>
        <cfvo type="max"/>
        <color rgb="FF63C384"/>
      </dataBar>
      <extLst>
        <ext xmlns:x14="http://schemas.microsoft.com/office/spreadsheetml/2009/9/main" uri="{B025F937-C7B1-47D3-B67F-A62EFF666E3E}">
          <x14:id>{A6A2A3FB-2ED1-45AD-B5F2-91187F2646D8}</x14:id>
        </ext>
      </extLst>
    </cfRule>
  </conditionalFormatting>
  <conditionalFormatting sqref="AG198">
    <cfRule type="dataBar" priority="40">
      <dataBar>
        <cfvo type="min"/>
        <cfvo type="max"/>
        <color rgb="FF63C384"/>
      </dataBar>
      <extLst>
        <ext xmlns:x14="http://schemas.microsoft.com/office/spreadsheetml/2009/9/main" uri="{B025F937-C7B1-47D3-B67F-A62EFF666E3E}">
          <x14:id>{14DF41BB-C0C7-4D11-AD38-A6FE2365C09C}</x14:id>
        </ext>
      </extLst>
    </cfRule>
  </conditionalFormatting>
  <conditionalFormatting sqref="Q199">
    <cfRule type="cellIs" dxfId="3892" priority="39" operator="equal">
      <formula>"ja"</formula>
    </cfRule>
  </conditionalFormatting>
  <conditionalFormatting sqref="AG199">
    <cfRule type="dataBar" priority="38">
      <dataBar>
        <cfvo type="min"/>
        <cfvo type="max"/>
        <color rgb="FF63C384"/>
      </dataBar>
      <extLst>
        <ext xmlns:x14="http://schemas.microsoft.com/office/spreadsheetml/2009/9/main" uri="{B025F937-C7B1-47D3-B67F-A62EFF666E3E}">
          <x14:id>{0709A2C1-B3A0-4691-A8F0-F12151090CCF}</x14:id>
        </ext>
      </extLst>
    </cfRule>
  </conditionalFormatting>
  <conditionalFormatting sqref="AG199">
    <cfRule type="dataBar" priority="37">
      <dataBar>
        <cfvo type="min"/>
        <cfvo type="max"/>
        <color rgb="FF63C384"/>
      </dataBar>
      <extLst>
        <ext xmlns:x14="http://schemas.microsoft.com/office/spreadsheetml/2009/9/main" uri="{B025F937-C7B1-47D3-B67F-A62EFF666E3E}">
          <x14:id>{638E4E39-FD01-4EB7-997C-F926B9C24860}</x14:id>
        </ext>
      </extLst>
    </cfRule>
  </conditionalFormatting>
  <conditionalFormatting sqref="Q199">
    <cfRule type="cellIs" dxfId="3891" priority="36" operator="equal">
      <formula>"ja"</formula>
    </cfRule>
  </conditionalFormatting>
  <conditionalFormatting sqref="AG199">
    <cfRule type="dataBar" priority="35">
      <dataBar>
        <cfvo type="min"/>
        <cfvo type="max"/>
        <color rgb="FF63C384"/>
      </dataBar>
      <extLst>
        <ext xmlns:x14="http://schemas.microsoft.com/office/spreadsheetml/2009/9/main" uri="{B025F937-C7B1-47D3-B67F-A62EFF666E3E}">
          <x14:id>{C2C749C9-5F43-4707-BD1F-F8697FE98C0A}</x14:id>
        </ext>
      </extLst>
    </cfRule>
  </conditionalFormatting>
  <conditionalFormatting sqref="AG199">
    <cfRule type="dataBar" priority="34">
      <dataBar>
        <cfvo type="min"/>
        <cfvo type="max"/>
        <color rgb="FF63C384"/>
      </dataBar>
      <extLst>
        <ext xmlns:x14="http://schemas.microsoft.com/office/spreadsheetml/2009/9/main" uri="{B025F937-C7B1-47D3-B67F-A62EFF666E3E}">
          <x14:id>{2826D3AC-3FF5-4D43-97EC-5049CCED1E26}</x14:id>
        </ext>
      </extLst>
    </cfRule>
  </conditionalFormatting>
  <conditionalFormatting sqref="Q200">
    <cfRule type="cellIs" dxfId="3890" priority="33" operator="equal">
      <formula>"ja"</formula>
    </cfRule>
  </conditionalFormatting>
  <conditionalFormatting sqref="AA200">
    <cfRule type="expression" dxfId="3889" priority="32">
      <formula>AND(AND($W200&lt;TODAY(),$W200&lt;&gt;""),$X200="")</formula>
    </cfRule>
  </conditionalFormatting>
  <conditionalFormatting sqref="AG200">
    <cfRule type="dataBar" priority="31">
      <dataBar>
        <cfvo type="min"/>
        <cfvo type="max"/>
        <color rgb="FF63C384"/>
      </dataBar>
      <extLst>
        <ext xmlns:x14="http://schemas.microsoft.com/office/spreadsheetml/2009/9/main" uri="{B025F937-C7B1-47D3-B67F-A62EFF666E3E}">
          <x14:id>{F20B7B55-1BA8-4994-9670-D063580B897A}</x14:id>
        </ext>
      </extLst>
    </cfRule>
  </conditionalFormatting>
  <conditionalFormatting sqref="AG200">
    <cfRule type="dataBar" priority="30">
      <dataBar>
        <cfvo type="min"/>
        <cfvo type="max"/>
        <color rgb="FF63C384"/>
      </dataBar>
      <extLst>
        <ext xmlns:x14="http://schemas.microsoft.com/office/spreadsheetml/2009/9/main" uri="{B025F937-C7B1-47D3-B67F-A62EFF666E3E}">
          <x14:id>{CFCB1FA4-7B35-4CF4-9D01-F04907B4A948}</x14:id>
        </ext>
      </extLst>
    </cfRule>
  </conditionalFormatting>
  <conditionalFormatting sqref="AA200">
    <cfRule type="expression" dxfId="3888" priority="29">
      <formula>AND(AND($W200&lt;TODAY(),$W200&lt;&gt;""),$X200="")</formula>
    </cfRule>
  </conditionalFormatting>
  <conditionalFormatting sqref="AG200">
    <cfRule type="dataBar" priority="28">
      <dataBar>
        <cfvo type="min"/>
        <cfvo type="max"/>
        <color rgb="FF63C384"/>
      </dataBar>
      <extLst>
        <ext xmlns:x14="http://schemas.microsoft.com/office/spreadsheetml/2009/9/main" uri="{B025F937-C7B1-47D3-B67F-A62EFF666E3E}">
          <x14:id>{CA1F8149-D786-4207-AA7D-629880256064}</x14:id>
        </ext>
      </extLst>
    </cfRule>
  </conditionalFormatting>
  <conditionalFormatting sqref="AG200">
    <cfRule type="dataBar" priority="27">
      <dataBar>
        <cfvo type="min"/>
        <cfvo type="max"/>
        <color rgb="FF63C384"/>
      </dataBar>
      <extLst>
        <ext xmlns:x14="http://schemas.microsoft.com/office/spreadsheetml/2009/9/main" uri="{B025F937-C7B1-47D3-B67F-A62EFF666E3E}">
          <x14:id>{48AE5A51-40CB-4AD1-9A09-D92C8CA995FD}</x14:id>
        </ext>
      </extLst>
    </cfRule>
  </conditionalFormatting>
  <conditionalFormatting sqref="Q200">
    <cfRule type="cellIs" dxfId="3887" priority="26" operator="equal">
      <formula>"ja"</formula>
    </cfRule>
  </conditionalFormatting>
  <conditionalFormatting sqref="Q201">
    <cfRule type="cellIs" dxfId="3886" priority="25" operator="equal">
      <formula>"ja"</formula>
    </cfRule>
  </conditionalFormatting>
  <conditionalFormatting sqref="AA201">
    <cfRule type="expression" dxfId="3885" priority="24">
      <formula>AND(AND($W201&lt;TODAY(),$W201&lt;&gt;""),$X201="")</formula>
    </cfRule>
  </conditionalFormatting>
  <conditionalFormatting sqref="AG201">
    <cfRule type="dataBar" priority="23">
      <dataBar>
        <cfvo type="min"/>
        <cfvo type="max"/>
        <color rgb="FF63C384"/>
      </dataBar>
      <extLst>
        <ext xmlns:x14="http://schemas.microsoft.com/office/spreadsheetml/2009/9/main" uri="{B025F937-C7B1-47D3-B67F-A62EFF666E3E}">
          <x14:id>{CAF0D058-062C-4BD7-9A8B-40CC9616C0A1}</x14:id>
        </ext>
      </extLst>
    </cfRule>
  </conditionalFormatting>
  <conditionalFormatting sqref="AG201">
    <cfRule type="dataBar" priority="22">
      <dataBar>
        <cfvo type="min"/>
        <cfvo type="max"/>
        <color rgb="FF63C384"/>
      </dataBar>
      <extLst>
        <ext xmlns:x14="http://schemas.microsoft.com/office/spreadsheetml/2009/9/main" uri="{B025F937-C7B1-47D3-B67F-A62EFF666E3E}">
          <x14:id>{2851D978-1BF3-4760-8477-913BB859D479}</x14:id>
        </ext>
      </extLst>
    </cfRule>
  </conditionalFormatting>
  <conditionalFormatting sqref="AA201">
    <cfRule type="expression" dxfId="3884" priority="21">
      <formula>AND(AND($W201&lt;TODAY(),$W201&lt;&gt;""),$X201="")</formula>
    </cfRule>
  </conditionalFormatting>
  <conditionalFormatting sqref="Q201">
    <cfRule type="cellIs" dxfId="3883" priority="20" operator="equal">
      <formula>"ja"</formula>
    </cfRule>
  </conditionalFormatting>
  <conditionalFormatting sqref="AG201">
    <cfRule type="dataBar" priority="19">
      <dataBar>
        <cfvo type="min"/>
        <cfvo type="max"/>
        <color rgb="FF63C384"/>
      </dataBar>
      <extLst>
        <ext xmlns:x14="http://schemas.microsoft.com/office/spreadsheetml/2009/9/main" uri="{B025F937-C7B1-47D3-B67F-A62EFF666E3E}">
          <x14:id>{67AA302D-3934-48E3-9ACD-0071AF8CAC17}</x14:id>
        </ext>
      </extLst>
    </cfRule>
  </conditionalFormatting>
  <conditionalFormatting sqref="AG201">
    <cfRule type="dataBar" priority="18">
      <dataBar>
        <cfvo type="min"/>
        <cfvo type="max"/>
        <color rgb="FF63C384"/>
      </dataBar>
      <extLst>
        <ext xmlns:x14="http://schemas.microsoft.com/office/spreadsheetml/2009/9/main" uri="{B025F937-C7B1-47D3-B67F-A62EFF666E3E}">
          <x14:id>{9D203D97-0487-48CE-95ED-F7C242B0236C}</x14:id>
        </ext>
      </extLst>
    </cfRule>
  </conditionalFormatting>
  <conditionalFormatting sqref="Q202">
    <cfRule type="cellIs" dxfId="3882" priority="17" operator="equal">
      <formula>"ja"</formula>
    </cfRule>
  </conditionalFormatting>
  <conditionalFormatting sqref="AA202">
    <cfRule type="expression" dxfId="3881" priority="16">
      <formula>AND(AND($W202&lt;TODAY(),$W202&lt;&gt;""),$X202="")</formula>
    </cfRule>
  </conditionalFormatting>
  <conditionalFormatting sqref="AG202">
    <cfRule type="dataBar" priority="15">
      <dataBar>
        <cfvo type="min"/>
        <cfvo type="max"/>
        <color rgb="FF63C384"/>
      </dataBar>
      <extLst>
        <ext xmlns:x14="http://schemas.microsoft.com/office/spreadsheetml/2009/9/main" uri="{B025F937-C7B1-47D3-B67F-A62EFF666E3E}">
          <x14:id>{647BB784-4DE6-45EA-A987-2960FA402721}</x14:id>
        </ext>
      </extLst>
    </cfRule>
  </conditionalFormatting>
  <conditionalFormatting sqref="AG202">
    <cfRule type="dataBar" priority="14">
      <dataBar>
        <cfvo type="min"/>
        <cfvo type="max"/>
        <color rgb="FF63C384"/>
      </dataBar>
      <extLst>
        <ext xmlns:x14="http://schemas.microsoft.com/office/spreadsheetml/2009/9/main" uri="{B025F937-C7B1-47D3-B67F-A62EFF666E3E}">
          <x14:id>{15E7D9B6-D922-47DE-8787-F10B4B4F5CD9}</x14:id>
        </ext>
      </extLst>
    </cfRule>
  </conditionalFormatting>
  <conditionalFormatting sqref="AA203">
    <cfRule type="expression" dxfId="3880" priority="13">
      <formula>AND(AND($W203&lt;TODAY(),$W203&lt;&gt;""),$X203="")</formula>
    </cfRule>
  </conditionalFormatting>
  <conditionalFormatting sqref="Q203">
    <cfRule type="cellIs" dxfId="3879" priority="12" operator="equal">
      <formula>"ja"</formula>
    </cfRule>
  </conditionalFormatting>
  <conditionalFormatting sqref="AG203">
    <cfRule type="dataBar" priority="11">
      <dataBar>
        <cfvo type="min"/>
        <cfvo type="max"/>
        <color rgb="FF63C384"/>
      </dataBar>
      <extLst>
        <ext xmlns:x14="http://schemas.microsoft.com/office/spreadsheetml/2009/9/main" uri="{B025F937-C7B1-47D3-B67F-A62EFF666E3E}">
          <x14:id>{C6606326-0FCC-4712-B121-8EA0AD28C0EC}</x14:id>
        </ext>
      </extLst>
    </cfRule>
  </conditionalFormatting>
  <conditionalFormatting sqref="AG203">
    <cfRule type="dataBar" priority="10">
      <dataBar>
        <cfvo type="min"/>
        <cfvo type="max"/>
        <color rgb="FF63C384"/>
      </dataBar>
      <extLst>
        <ext xmlns:x14="http://schemas.microsoft.com/office/spreadsheetml/2009/9/main" uri="{B025F937-C7B1-47D3-B67F-A62EFF666E3E}">
          <x14:id>{536156D7-C8A7-4B2F-B0F0-F9B3AB25963C}</x14:id>
        </ext>
      </extLst>
    </cfRule>
  </conditionalFormatting>
  <conditionalFormatting sqref="Q204">
    <cfRule type="cellIs" dxfId="3878" priority="9" operator="equal">
      <formula>"ja"</formula>
    </cfRule>
  </conditionalFormatting>
  <conditionalFormatting sqref="Q204">
    <cfRule type="cellIs" dxfId="3877" priority="8" operator="equal">
      <formula>"ja"</formula>
    </cfRule>
  </conditionalFormatting>
  <conditionalFormatting sqref="AA204:AA209">
    <cfRule type="expression" dxfId="3876" priority="7">
      <formula>AND(AND($W204&lt;TODAY(),$W204&lt;&gt;""),$X204="")</formula>
    </cfRule>
  </conditionalFormatting>
  <conditionalFormatting sqref="AG204:AG208">
    <cfRule type="dataBar" priority="6">
      <dataBar>
        <cfvo type="min"/>
        <cfvo type="max"/>
        <color rgb="FF63C384"/>
      </dataBar>
      <extLst>
        <ext xmlns:x14="http://schemas.microsoft.com/office/spreadsheetml/2009/9/main" uri="{B025F937-C7B1-47D3-B67F-A62EFF666E3E}">
          <x14:id>{3A3BE7C7-301E-4BA0-930A-51235F62F7CD}</x14:id>
        </ext>
      </extLst>
    </cfRule>
  </conditionalFormatting>
  <conditionalFormatting sqref="AG204:AG208">
    <cfRule type="dataBar" priority="5">
      <dataBar>
        <cfvo type="min"/>
        <cfvo type="max"/>
        <color rgb="FF63C384"/>
      </dataBar>
      <extLst>
        <ext xmlns:x14="http://schemas.microsoft.com/office/spreadsheetml/2009/9/main" uri="{B025F937-C7B1-47D3-B67F-A62EFF666E3E}">
          <x14:id>{65462F7D-8D18-4543-AF04-F6FC2D9D436D}</x14:id>
        </ext>
      </extLst>
    </cfRule>
  </conditionalFormatting>
  <conditionalFormatting sqref="AG209">
    <cfRule type="dataBar" priority="4">
      <dataBar>
        <cfvo type="min"/>
        <cfvo type="max"/>
        <color rgb="FF63C384"/>
      </dataBar>
      <extLst>
        <ext xmlns:x14="http://schemas.microsoft.com/office/spreadsheetml/2009/9/main" uri="{B025F937-C7B1-47D3-B67F-A62EFF666E3E}">
          <x14:id>{50CCB624-EE08-4B0F-A9FC-739DD96F1B92}</x14:id>
        </ext>
      </extLst>
    </cfRule>
  </conditionalFormatting>
  <conditionalFormatting sqref="AG209">
    <cfRule type="dataBar" priority="3">
      <dataBar>
        <cfvo type="min"/>
        <cfvo type="max"/>
        <color rgb="FF63C384"/>
      </dataBar>
      <extLst>
        <ext xmlns:x14="http://schemas.microsoft.com/office/spreadsheetml/2009/9/main" uri="{B025F937-C7B1-47D3-B67F-A62EFF666E3E}">
          <x14:id>{CAFBE4B1-DC7D-4650-A2B5-C91772CF8041}</x14:id>
        </ext>
      </extLst>
    </cfRule>
  </conditionalFormatting>
  <conditionalFormatting sqref="AG209">
    <cfRule type="dataBar" priority="2">
      <dataBar>
        <cfvo type="min"/>
        <cfvo type="max"/>
        <color rgb="FF63C384"/>
      </dataBar>
      <extLst>
        <ext xmlns:x14="http://schemas.microsoft.com/office/spreadsheetml/2009/9/main" uri="{B025F937-C7B1-47D3-B67F-A62EFF666E3E}">
          <x14:id>{1DAC8927-6F41-437A-82FF-5325578413CE}</x14:id>
        </ext>
      </extLst>
    </cfRule>
  </conditionalFormatting>
  <conditionalFormatting sqref="AG209">
    <cfRule type="dataBar" priority="1">
      <dataBar>
        <cfvo type="min"/>
        <cfvo type="max"/>
        <color rgb="FF63C384"/>
      </dataBar>
      <extLst>
        <ext xmlns:x14="http://schemas.microsoft.com/office/spreadsheetml/2009/9/main" uri="{B025F937-C7B1-47D3-B67F-A62EFF666E3E}">
          <x14:id>{54CB36FE-54C2-4035-9BB9-D836E0448B4C}</x14:id>
        </ext>
      </extLst>
    </cfRule>
  </conditionalFormatting>
  <dataValidations count="3">
    <dataValidation type="list" allowBlank="1" showInputMessage="1" showErrorMessage="1" sqref="L2:L209" xr:uid="{0F85F99F-AF88-409E-8C1A-0260D504AFAF}">
      <formula1>Spesenart</formula1>
    </dataValidation>
    <dataValidation type="list" allowBlank="1" showInputMessage="1" showErrorMessage="1" sqref="K97 K6 K10 K13 K19 K26 K34 K41 K46 K49:K51 K60 K62 K65 K78 K81 K85 K90 K92 K109 K112:K113 K171 K124 K207 K127 K173 K175 K134 K137 K140:K141 K144:K146 K201 K186 K179:K181 K154 K197 K193:K195 K160:K161 K203:K205" xr:uid="{465CF657-5F23-4E04-AE20-F2938B532D53}">
      <formula1>"Einnahmen,Ausgaben"</formula1>
    </dataValidation>
    <dataValidation type="list" allowBlank="1" showInputMessage="1" showErrorMessage="1" sqref="Q2 Q6 Q22 Q43 Q54 Q75 Q91 Q108 Q121 Q133 Q153 Q167 Q189" xr:uid="{9ACE7D49-B480-4A04-A008-F65217FA10D6}">
      <formula1>"Weiterverkauf,"</formula1>
    </dataValidation>
  </dataValidations>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38151E09-337A-4491-8EA2-2624191213F5}">
            <x14:dataBar minLength="0" maxLength="100" border="1" negativeBarBorderColorSameAsPositive="0">
              <x14:cfvo type="autoMin"/>
              <x14:cfvo type="autoMax"/>
              <x14:borderColor rgb="FF63C384"/>
              <x14:negativeFillColor rgb="FFFF0000"/>
              <x14:negativeBorderColor rgb="FFFF0000"/>
              <x14:axisColor rgb="FF000000"/>
            </x14:dataBar>
          </x14:cfRule>
          <xm:sqref>AG42 AG47 AG66 AG83 AG98:AG99 AG115 AG131 AG134 AG142 AG162 AG183 AG199</xm:sqref>
        </x14:conditionalFormatting>
        <x14:conditionalFormatting xmlns:xm="http://schemas.microsoft.com/office/excel/2006/main">
          <x14:cfRule type="dataBar" id="{736374F8-BAB4-4D3B-BA2B-5C7E94AEEDE7}">
            <x14:dataBar minLength="0" maxLength="100" border="1" negativeBarBorderColorSameAsPositive="0">
              <x14:cfvo type="autoMin"/>
              <x14:cfvo type="autoMax"/>
              <x14:borderColor rgb="FF63C384"/>
              <x14:negativeFillColor rgb="FFFF0000"/>
              <x14:negativeBorderColor rgb="FFFF0000"/>
              <x14:axisColor rgb="FF000000"/>
            </x14:dataBar>
          </x14:cfRule>
          <xm:sqref>AG42 AG47 AG66 AG83 AG98:AG99 AG115 AG131 AG134 AG142 AG162 AG183 AG199</xm:sqref>
        </x14:conditionalFormatting>
        <x14:conditionalFormatting xmlns:xm="http://schemas.microsoft.com/office/excel/2006/main">
          <x14:cfRule type="dataBar" id="{C2C96E2D-6586-43CD-B97D-4769DCED8D40}">
            <x14:dataBar minLength="0" maxLength="100" border="1" negativeBarBorderColorSameAsPositive="0">
              <x14:cfvo type="autoMin"/>
              <x14:cfvo type="autoMax"/>
              <x14:borderColor rgb="FF63C384"/>
              <x14:negativeFillColor rgb="FFFF0000"/>
              <x14:negativeBorderColor rgb="FFFF0000"/>
              <x14:axisColor rgb="FF000000"/>
            </x14:dataBar>
          </x14:cfRule>
          <xm:sqref>AG2</xm:sqref>
        </x14:conditionalFormatting>
        <x14:conditionalFormatting xmlns:xm="http://schemas.microsoft.com/office/excel/2006/main">
          <x14:cfRule type="dataBar" id="{F5725C1D-94E0-4EE1-A524-8EBA8694A626}">
            <x14:dataBar minLength="0" maxLength="100" border="1" negativeBarBorderColorSameAsPositive="0">
              <x14:cfvo type="autoMin"/>
              <x14:cfvo type="autoMax"/>
              <x14:borderColor rgb="FF63C384"/>
              <x14:negativeFillColor rgb="FFFF0000"/>
              <x14:negativeBorderColor rgb="FFFF0000"/>
              <x14:axisColor rgb="FF000000"/>
            </x14:dataBar>
          </x14:cfRule>
          <xm:sqref>AG2</xm:sqref>
        </x14:conditionalFormatting>
        <x14:conditionalFormatting xmlns:xm="http://schemas.microsoft.com/office/excel/2006/main">
          <x14:cfRule type="dataBar" id="{B1640270-4041-4E65-867A-69053B9622B2}">
            <x14:dataBar minLength="0" maxLength="100" border="1" negativeBarBorderColorSameAsPositive="0">
              <x14:cfvo type="autoMin"/>
              <x14:cfvo type="autoMax"/>
              <x14:borderColor rgb="FF63C384"/>
              <x14:negativeFillColor rgb="FFFF0000"/>
              <x14:negativeBorderColor rgb="FFFF0000"/>
              <x14:axisColor rgb="FF000000"/>
            </x14:dataBar>
          </x14:cfRule>
          <xm:sqref>AG2</xm:sqref>
        </x14:conditionalFormatting>
        <x14:conditionalFormatting xmlns:xm="http://schemas.microsoft.com/office/excel/2006/main">
          <x14:cfRule type="dataBar" id="{97C3EF1C-E57F-42D4-8D5F-0B62B2C140E8}">
            <x14:dataBar minLength="0" maxLength="100" border="1" negativeBarBorderColorSameAsPositive="0">
              <x14:cfvo type="autoMin"/>
              <x14:cfvo type="autoMax"/>
              <x14:borderColor rgb="FF63C384"/>
              <x14:negativeFillColor rgb="FFFF0000"/>
              <x14:negativeBorderColor rgb="FFFF0000"/>
              <x14:axisColor rgb="FF000000"/>
            </x14:dataBar>
          </x14:cfRule>
          <xm:sqref>AG2</xm:sqref>
        </x14:conditionalFormatting>
        <x14:conditionalFormatting xmlns:xm="http://schemas.microsoft.com/office/excel/2006/main">
          <x14:cfRule type="dataBar" id="{FEE57348-8EA2-4F09-A9D0-46BC96D5576B}">
            <x14:dataBar minLength="0" maxLength="100" border="1" negativeBarBorderColorSameAsPositive="0">
              <x14:cfvo type="autoMin"/>
              <x14:cfvo type="autoMax"/>
              <x14:borderColor rgb="FF63C384"/>
              <x14:negativeFillColor rgb="FFFF0000"/>
              <x14:negativeBorderColor rgb="FFFF0000"/>
              <x14:axisColor rgb="FF000000"/>
            </x14:dataBar>
          </x14:cfRule>
          <xm:sqref>AG3</xm:sqref>
        </x14:conditionalFormatting>
        <x14:conditionalFormatting xmlns:xm="http://schemas.microsoft.com/office/excel/2006/main">
          <x14:cfRule type="dataBar" id="{C5A23229-84DA-4BF9-B84D-E586B278E74B}">
            <x14:dataBar minLength="0" maxLength="100" border="1" negativeBarBorderColorSameAsPositive="0">
              <x14:cfvo type="autoMin"/>
              <x14:cfvo type="autoMax"/>
              <x14:borderColor rgb="FF63C384"/>
              <x14:negativeFillColor rgb="FFFF0000"/>
              <x14:negativeBorderColor rgb="FFFF0000"/>
              <x14:axisColor rgb="FF000000"/>
            </x14:dataBar>
          </x14:cfRule>
          <xm:sqref>AG3</xm:sqref>
        </x14:conditionalFormatting>
        <x14:conditionalFormatting xmlns:xm="http://schemas.microsoft.com/office/excel/2006/main">
          <x14:cfRule type="dataBar" id="{91B5CE77-DB6A-49F3-83C7-151B4A83734E}">
            <x14:dataBar minLength="0" maxLength="100" border="1" negativeBarBorderColorSameAsPositive="0">
              <x14:cfvo type="autoMin"/>
              <x14:cfvo type="autoMax"/>
              <x14:borderColor rgb="FF63C384"/>
              <x14:negativeFillColor rgb="FFFF0000"/>
              <x14:negativeBorderColor rgb="FFFF0000"/>
              <x14:axisColor rgb="FF000000"/>
            </x14:dataBar>
          </x14:cfRule>
          <xm:sqref>AG4</xm:sqref>
        </x14:conditionalFormatting>
        <x14:conditionalFormatting xmlns:xm="http://schemas.microsoft.com/office/excel/2006/main">
          <x14:cfRule type="dataBar" id="{E1FF66EB-B9BC-474E-912E-010E5A6DED5F}">
            <x14:dataBar minLength="0" maxLength="100" border="1" negativeBarBorderColorSameAsPositive="0">
              <x14:cfvo type="autoMin"/>
              <x14:cfvo type="autoMax"/>
              <x14:borderColor rgb="FF63C384"/>
              <x14:negativeFillColor rgb="FFFF0000"/>
              <x14:negativeBorderColor rgb="FFFF0000"/>
              <x14:axisColor rgb="FF000000"/>
            </x14:dataBar>
          </x14:cfRule>
          <xm:sqref>AG4</xm:sqref>
        </x14:conditionalFormatting>
        <x14:conditionalFormatting xmlns:xm="http://schemas.microsoft.com/office/excel/2006/main">
          <x14:cfRule type="dataBar" id="{85ADBAF0-0C56-4944-9BF9-E7B96C1AD860}">
            <x14:dataBar minLength="0" maxLength="100" border="1" negativeBarBorderColorSameAsPositive="0">
              <x14:cfvo type="autoMin"/>
              <x14:cfvo type="autoMax"/>
              <x14:borderColor rgb="FF63C384"/>
              <x14:negativeFillColor rgb="FFFF0000"/>
              <x14:negativeBorderColor rgb="FFFF0000"/>
              <x14:axisColor rgb="FF000000"/>
            </x14:dataBar>
          </x14:cfRule>
          <xm:sqref>AG5</xm:sqref>
        </x14:conditionalFormatting>
        <x14:conditionalFormatting xmlns:xm="http://schemas.microsoft.com/office/excel/2006/main">
          <x14:cfRule type="dataBar" id="{C6542360-CD72-42DB-90B9-530B427548FE}">
            <x14:dataBar minLength="0" maxLength="100" border="1" negativeBarBorderColorSameAsPositive="0">
              <x14:cfvo type="autoMin"/>
              <x14:cfvo type="autoMax"/>
              <x14:borderColor rgb="FF63C384"/>
              <x14:negativeFillColor rgb="FFFF0000"/>
              <x14:negativeBorderColor rgb="FFFF0000"/>
              <x14:axisColor rgb="FF000000"/>
            </x14:dataBar>
          </x14:cfRule>
          <xm:sqref>AG5</xm:sqref>
        </x14:conditionalFormatting>
        <x14:conditionalFormatting xmlns:xm="http://schemas.microsoft.com/office/excel/2006/main">
          <x14:cfRule type="dataBar" id="{11C50BCE-0BD6-4994-98BD-3BCDCAFD6E8F}">
            <x14:dataBar minLength="0" maxLength="100" border="1" negativeBarBorderColorSameAsPositive="0">
              <x14:cfvo type="autoMin"/>
              <x14:cfvo type="autoMax"/>
              <x14:borderColor rgb="FF63C384"/>
              <x14:negativeFillColor rgb="FFFF0000"/>
              <x14:negativeBorderColor rgb="FFFF0000"/>
              <x14:axisColor rgb="FF000000"/>
            </x14:dataBar>
          </x14:cfRule>
          <xm:sqref>AG6</xm:sqref>
        </x14:conditionalFormatting>
        <x14:conditionalFormatting xmlns:xm="http://schemas.microsoft.com/office/excel/2006/main">
          <x14:cfRule type="dataBar" id="{63039A31-1B31-4519-A309-BAE546487711}">
            <x14:dataBar minLength="0" maxLength="100" border="1" negativeBarBorderColorSameAsPositive="0">
              <x14:cfvo type="autoMin"/>
              <x14:cfvo type="autoMax"/>
              <x14:borderColor rgb="FF63C384"/>
              <x14:negativeFillColor rgb="FFFF0000"/>
              <x14:negativeBorderColor rgb="FFFF0000"/>
              <x14:axisColor rgb="FF000000"/>
            </x14:dataBar>
          </x14:cfRule>
          <xm:sqref>AG6</xm:sqref>
        </x14:conditionalFormatting>
        <x14:conditionalFormatting xmlns:xm="http://schemas.microsoft.com/office/excel/2006/main">
          <x14:cfRule type="dataBar" id="{219DB7F8-B984-4ED4-B15F-C21E072FC428}">
            <x14:dataBar minLength="0" maxLength="100" border="1" negativeBarBorderColorSameAsPositive="0">
              <x14:cfvo type="autoMin"/>
              <x14:cfvo type="autoMax"/>
              <x14:borderColor rgb="FF63C384"/>
              <x14:negativeFillColor rgb="FFFF0000"/>
              <x14:negativeBorderColor rgb="FFFF0000"/>
              <x14:axisColor rgb="FF000000"/>
            </x14:dataBar>
          </x14:cfRule>
          <xm:sqref>AG7</xm:sqref>
        </x14:conditionalFormatting>
        <x14:conditionalFormatting xmlns:xm="http://schemas.microsoft.com/office/excel/2006/main">
          <x14:cfRule type="dataBar" id="{658B63DE-50E1-4711-A851-D9EE05D00AC3}">
            <x14:dataBar minLength="0" maxLength="100" border="1" negativeBarBorderColorSameAsPositive="0">
              <x14:cfvo type="autoMin"/>
              <x14:cfvo type="autoMax"/>
              <x14:borderColor rgb="FF63C384"/>
              <x14:negativeFillColor rgb="FFFF0000"/>
              <x14:negativeBorderColor rgb="FFFF0000"/>
              <x14:axisColor rgb="FF000000"/>
            </x14:dataBar>
          </x14:cfRule>
          <xm:sqref>AG7</xm:sqref>
        </x14:conditionalFormatting>
        <x14:conditionalFormatting xmlns:xm="http://schemas.microsoft.com/office/excel/2006/main">
          <x14:cfRule type="dataBar" id="{34D33DDD-A486-4089-90FC-C3EBD044FFA1}">
            <x14:dataBar minLength="0" maxLength="100" border="1" negativeBarBorderColorSameAsPositive="0">
              <x14:cfvo type="autoMin"/>
              <x14:cfvo type="autoMax"/>
              <x14:borderColor rgb="FF63C384"/>
              <x14:negativeFillColor rgb="FFFF0000"/>
              <x14:negativeBorderColor rgb="FFFF0000"/>
              <x14:axisColor rgb="FF000000"/>
            </x14:dataBar>
          </x14:cfRule>
          <xm:sqref>AG8</xm:sqref>
        </x14:conditionalFormatting>
        <x14:conditionalFormatting xmlns:xm="http://schemas.microsoft.com/office/excel/2006/main">
          <x14:cfRule type="dataBar" id="{4284D63B-A139-4C26-8EB7-2936CC9E7047}">
            <x14:dataBar minLength="0" maxLength="100" border="1" negativeBarBorderColorSameAsPositive="0">
              <x14:cfvo type="autoMin"/>
              <x14:cfvo type="autoMax"/>
              <x14:borderColor rgb="FF63C384"/>
              <x14:negativeFillColor rgb="FFFF0000"/>
              <x14:negativeBorderColor rgb="FFFF0000"/>
              <x14:axisColor rgb="FF000000"/>
            </x14:dataBar>
          </x14:cfRule>
          <xm:sqref>AG8</xm:sqref>
        </x14:conditionalFormatting>
        <x14:conditionalFormatting xmlns:xm="http://schemas.microsoft.com/office/excel/2006/main">
          <x14:cfRule type="dataBar" id="{F8D59347-0486-4303-98E2-185CED189212}">
            <x14:dataBar minLength="0" maxLength="100" border="1" negativeBarBorderColorSameAsPositive="0">
              <x14:cfvo type="autoMin"/>
              <x14:cfvo type="autoMax"/>
              <x14:borderColor rgb="FF63C384"/>
              <x14:negativeFillColor rgb="FFFF0000"/>
              <x14:negativeBorderColor rgb="FFFF0000"/>
              <x14:axisColor rgb="FF000000"/>
            </x14:dataBar>
          </x14:cfRule>
          <xm:sqref>AG9</xm:sqref>
        </x14:conditionalFormatting>
        <x14:conditionalFormatting xmlns:xm="http://schemas.microsoft.com/office/excel/2006/main">
          <x14:cfRule type="dataBar" id="{03AFEE83-E006-4083-97D6-DF5B57691F62}">
            <x14:dataBar minLength="0" maxLength="100" border="1" negativeBarBorderColorSameAsPositive="0">
              <x14:cfvo type="autoMin"/>
              <x14:cfvo type="autoMax"/>
              <x14:borderColor rgb="FF63C384"/>
              <x14:negativeFillColor rgb="FFFF0000"/>
              <x14:negativeBorderColor rgb="FFFF0000"/>
              <x14:axisColor rgb="FF000000"/>
            </x14:dataBar>
          </x14:cfRule>
          <xm:sqref>AG9</xm:sqref>
        </x14:conditionalFormatting>
        <x14:conditionalFormatting xmlns:xm="http://schemas.microsoft.com/office/excel/2006/main">
          <x14:cfRule type="dataBar" id="{86A47B70-B61B-4745-88D3-9D67EF25D998}">
            <x14:dataBar minLength="0" maxLength="100" border="1" negativeBarBorderColorSameAsPositive="0">
              <x14:cfvo type="autoMin"/>
              <x14:cfvo type="autoMax"/>
              <x14:borderColor rgb="FF63C384"/>
              <x14:negativeFillColor rgb="FFFF0000"/>
              <x14:negativeBorderColor rgb="FFFF0000"/>
              <x14:axisColor rgb="FF000000"/>
            </x14:dataBar>
          </x14:cfRule>
          <xm:sqref>AG9</xm:sqref>
        </x14:conditionalFormatting>
        <x14:conditionalFormatting xmlns:xm="http://schemas.microsoft.com/office/excel/2006/main">
          <x14:cfRule type="dataBar" id="{A90AEA85-81EF-46FA-9974-2195B81C0FFA}">
            <x14:dataBar minLength="0" maxLength="100" border="1" negativeBarBorderColorSameAsPositive="0">
              <x14:cfvo type="autoMin"/>
              <x14:cfvo type="autoMax"/>
              <x14:borderColor rgb="FF63C384"/>
              <x14:negativeFillColor rgb="FFFF0000"/>
              <x14:negativeBorderColor rgb="FFFF0000"/>
              <x14:axisColor rgb="FF000000"/>
            </x14:dataBar>
          </x14:cfRule>
          <xm:sqref>AG9</xm:sqref>
        </x14:conditionalFormatting>
        <x14:conditionalFormatting xmlns:xm="http://schemas.microsoft.com/office/excel/2006/main">
          <x14:cfRule type="dataBar" id="{15901589-A85B-4640-878A-B11D643843CF}">
            <x14:dataBar minLength="0" maxLength="100" border="1" negativeBarBorderColorSameAsPositive="0">
              <x14:cfvo type="autoMin"/>
              <x14:cfvo type="autoMax"/>
              <x14:borderColor rgb="FF63C384"/>
              <x14:negativeFillColor rgb="FFFF0000"/>
              <x14:negativeBorderColor rgb="FFFF0000"/>
              <x14:axisColor rgb="FF000000"/>
            </x14:dataBar>
          </x14:cfRule>
          <xm:sqref>AG9</xm:sqref>
        </x14:conditionalFormatting>
        <x14:conditionalFormatting xmlns:xm="http://schemas.microsoft.com/office/excel/2006/main">
          <x14:cfRule type="dataBar" id="{F21A24E3-7652-4C03-8102-201D9A113CEB}">
            <x14:dataBar minLength="0" maxLength="100" border="1" negativeBarBorderColorSameAsPositive="0">
              <x14:cfvo type="autoMin"/>
              <x14:cfvo type="autoMax"/>
              <x14:borderColor rgb="FF63C384"/>
              <x14:negativeFillColor rgb="FFFF0000"/>
              <x14:negativeBorderColor rgb="FFFF0000"/>
              <x14:axisColor rgb="FF000000"/>
            </x14:dataBar>
          </x14:cfRule>
          <xm:sqref>AG9</xm:sqref>
        </x14:conditionalFormatting>
        <x14:conditionalFormatting xmlns:xm="http://schemas.microsoft.com/office/excel/2006/main">
          <x14:cfRule type="dataBar" id="{59EFA786-1590-4028-9ECB-C7698B349D99}">
            <x14:dataBar minLength="0" maxLength="100" border="1" negativeBarBorderColorSameAsPositive="0">
              <x14:cfvo type="autoMin"/>
              <x14:cfvo type="autoMax"/>
              <x14:borderColor rgb="FF63C384"/>
              <x14:negativeFillColor rgb="FFFF0000"/>
              <x14:negativeBorderColor rgb="FFFF0000"/>
              <x14:axisColor rgb="FF000000"/>
            </x14:dataBar>
          </x14:cfRule>
          <xm:sqref>AG9</xm:sqref>
        </x14:conditionalFormatting>
        <x14:conditionalFormatting xmlns:xm="http://schemas.microsoft.com/office/excel/2006/main">
          <x14:cfRule type="dataBar" id="{D2E91960-9BC9-4215-972A-978E760CD546}">
            <x14:dataBar minLength="0" maxLength="100" border="1" negativeBarBorderColorSameAsPositive="0">
              <x14:cfvo type="autoMin"/>
              <x14:cfvo type="autoMax"/>
              <x14:borderColor rgb="FF63C384"/>
              <x14:negativeFillColor rgb="FFFF0000"/>
              <x14:negativeBorderColor rgb="FFFF0000"/>
              <x14:axisColor rgb="FF000000"/>
            </x14:dataBar>
          </x14:cfRule>
          <xm:sqref>AG9</xm:sqref>
        </x14:conditionalFormatting>
        <x14:conditionalFormatting xmlns:xm="http://schemas.microsoft.com/office/excel/2006/main">
          <x14:cfRule type="dataBar" id="{5415EF14-286F-4E6D-8DE6-24EB725A9C5F}">
            <x14:dataBar minLength="0" maxLength="100" border="1" negativeBarBorderColorSameAsPositive="0">
              <x14:cfvo type="autoMin"/>
              <x14:cfvo type="autoMax"/>
              <x14:borderColor rgb="FF63C384"/>
              <x14:negativeFillColor rgb="FFFF0000"/>
              <x14:negativeBorderColor rgb="FFFF0000"/>
              <x14:axisColor rgb="FF000000"/>
            </x14:dataBar>
          </x14:cfRule>
          <xm:sqref>AG10</xm:sqref>
        </x14:conditionalFormatting>
        <x14:conditionalFormatting xmlns:xm="http://schemas.microsoft.com/office/excel/2006/main">
          <x14:cfRule type="dataBar" id="{AFC55F59-FB0D-4C01-ACAD-FDF5E824A362}">
            <x14:dataBar minLength="0" maxLength="100" border="1" negativeBarBorderColorSameAsPositive="0">
              <x14:cfvo type="autoMin"/>
              <x14:cfvo type="autoMax"/>
              <x14:borderColor rgb="FF63C384"/>
              <x14:negativeFillColor rgb="FFFF0000"/>
              <x14:negativeBorderColor rgb="FFFF0000"/>
              <x14:axisColor rgb="FF000000"/>
            </x14:dataBar>
          </x14:cfRule>
          <xm:sqref>AG10</xm:sqref>
        </x14:conditionalFormatting>
        <x14:conditionalFormatting xmlns:xm="http://schemas.microsoft.com/office/excel/2006/main">
          <x14:cfRule type="dataBar" id="{DD49AF6B-AACE-4213-8839-5C1E733AF441}">
            <x14:dataBar minLength="0" maxLength="100" border="1" negativeBarBorderColorSameAsPositive="0">
              <x14:cfvo type="autoMin"/>
              <x14:cfvo type="autoMax"/>
              <x14:borderColor rgb="FF63C384"/>
              <x14:negativeFillColor rgb="FFFF0000"/>
              <x14:negativeBorderColor rgb="FFFF0000"/>
              <x14:axisColor rgb="FF000000"/>
            </x14:dataBar>
          </x14:cfRule>
          <xm:sqref>AG11</xm:sqref>
        </x14:conditionalFormatting>
        <x14:conditionalFormatting xmlns:xm="http://schemas.microsoft.com/office/excel/2006/main">
          <x14:cfRule type="dataBar" id="{A22C7960-356E-4645-BA37-5847F089600E}">
            <x14:dataBar minLength="0" maxLength="100" border="1" negativeBarBorderColorSameAsPositive="0">
              <x14:cfvo type="autoMin"/>
              <x14:cfvo type="autoMax"/>
              <x14:borderColor rgb="FF63C384"/>
              <x14:negativeFillColor rgb="FFFF0000"/>
              <x14:negativeBorderColor rgb="FFFF0000"/>
              <x14:axisColor rgb="FF000000"/>
            </x14:dataBar>
          </x14:cfRule>
          <xm:sqref>AG11</xm:sqref>
        </x14:conditionalFormatting>
        <x14:conditionalFormatting xmlns:xm="http://schemas.microsoft.com/office/excel/2006/main">
          <x14:cfRule type="dataBar" id="{64F1DD9A-B9C2-4EC7-84A7-785B059634D7}">
            <x14:dataBar minLength="0" maxLength="100" border="1" negativeBarBorderColorSameAsPositive="0">
              <x14:cfvo type="autoMin"/>
              <x14:cfvo type="autoMax"/>
              <x14:borderColor rgb="FF63C384"/>
              <x14:negativeFillColor rgb="FFFF0000"/>
              <x14:negativeBorderColor rgb="FFFF0000"/>
              <x14:axisColor rgb="FF000000"/>
            </x14:dataBar>
          </x14:cfRule>
          <xm:sqref>AG12</xm:sqref>
        </x14:conditionalFormatting>
        <x14:conditionalFormatting xmlns:xm="http://schemas.microsoft.com/office/excel/2006/main">
          <x14:cfRule type="dataBar" id="{727A7EC2-D065-4523-8D3E-388CE002B89B}">
            <x14:dataBar minLength="0" maxLength="100" border="1" negativeBarBorderColorSameAsPositive="0">
              <x14:cfvo type="autoMin"/>
              <x14:cfvo type="autoMax"/>
              <x14:borderColor rgb="FF63C384"/>
              <x14:negativeFillColor rgb="FFFF0000"/>
              <x14:negativeBorderColor rgb="FFFF0000"/>
              <x14:axisColor rgb="FF000000"/>
            </x14:dataBar>
          </x14:cfRule>
          <xm:sqref>AG12</xm:sqref>
        </x14:conditionalFormatting>
        <x14:conditionalFormatting xmlns:xm="http://schemas.microsoft.com/office/excel/2006/main">
          <x14:cfRule type="dataBar" id="{8DA98385-9FEE-4682-B478-0697071F9CC7}">
            <x14:dataBar minLength="0" maxLength="100" border="1" negativeBarBorderColorSameAsPositive="0">
              <x14:cfvo type="autoMin"/>
              <x14:cfvo type="autoMax"/>
              <x14:borderColor rgb="FF63C384"/>
              <x14:negativeFillColor rgb="FFFF0000"/>
              <x14:negativeBorderColor rgb="FFFF0000"/>
              <x14:axisColor rgb="FF000000"/>
            </x14:dataBar>
          </x14:cfRule>
          <xm:sqref>AG13</xm:sqref>
        </x14:conditionalFormatting>
        <x14:conditionalFormatting xmlns:xm="http://schemas.microsoft.com/office/excel/2006/main">
          <x14:cfRule type="dataBar" id="{51661768-1453-408D-9A47-7ED50A28AAEB}">
            <x14:dataBar minLength="0" maxLength="100" border="1" negativeBarBorderColorSameAsPositive="0">
              <x14:cfvo type="autoMin"/>
              <x14:cfvo type="autoMax"/>
              <x14:borderColor rgb="FF63C384"/>
              <x14:negativeFillColor rgb="FFFF0000"/>
              <x14:negativeBorderColor rgb="FFFF0000"/>
              <x14:axisColor rgb="FF000000"/>
            </x14:dataBar>
          </x14:cfRule>
          <xm:sqref>AG13</xm:sqref>
        </x14:conditionalFormatting>
        <x14:conditionalFormatting xmlns:xm="http://schemas.microsoft.com/office/excel/2006/main">
          <x14:cfRule type="dataBar" id="{B3836466-DD82-4943-882B-54E1A34E370F}">
            <x14:dataBar minLength="0" maxLength="100" border="1" negativeBarBorderColorSameAsPositive="0">
              <x14:cfvo type="autoMin"/>
              <x14:cfvo type="autoMax"/>
              <x14:borderColor rgb="FF63C384"/>
              <x14:negativeFillColor rgb="FFFF0000"/>
              <x14:negativeBorderColor rgb="FFFF0000"/>
              <x14:axisColor rgb="FF000000"/>
            </x14:dataBar>
          </x14:cfRule>
          <xm:sqref>AG14</xm:sqref>
        </x14:conditionalFormatting>
        <x14:conditionalFormatting xmlns:xm="http://schemas.microsoft.com/office/excel/2006/main">
          <x14:cfRule type="dataBar" id="{A68D6845-DBEB-4AFC-B3F5-61EF2C117530}">
            <x14:dataBar minLength="0" maxLength="100" border="1" negativeBarBorderColorSameAsPositive="0">
              <x14:cfvo type="autoMin"/>
              <x14:cfvo type="autoMax"/>
              <x14:borderColor rgb="FF63C384"/>
              <x14:negativeFillColor rgb="FFFF0000"/>
              <x14:negativeBorderColor rgb="FFFF0000"/>
              <x14:axisColor rgb="FF000000"/>
            </x14:dataBar>
          </x14:cfRule>
          <xm:sqref>AG14</xm:sqref>
        </x14:conditionalFormatting>
        <x14:conditionalFormatting xmlns:xm="http://schemas.microsoft.com/office/excel/2006/main">
          <x14:cfRule type="dataBar" id="{3EA80CCF-BA95-4C0D-890F-ABA1344E0C55}">
            <x14:dataBar minLength="0" maxLength="100" border="1" negativeBarBorderColorSameAsPositive="0">
              <x14:cfvo type="autoMin"/>
              <x14:cfvo type="autoMax"/>
              <x14:borderColor rgb="FF63C384"/>
              <x14:negativeFillColor rgb="FFFF0000"/>
              <x14:negativeBorderColor rgb="FFFF0000"/>
              <x14:axisColor rgb="FF000000"/>
            </x14:dataBar>
          </x14:cfRule>
          <xm:sqref>AG14</xm:sqref>
        </x14:conditionalFormatting>
        <x14:conditionalFormatting xmlns:xm="http://schemas.microsoft.com/office/excel/2006/main">
          <x14:cfRule type="dataBar" id="{FD493DD7-0A78-4C65-9D7C-79D32BBA84AA}">
            <x14:dataBar minLength="0" maxLength="100" border="1" negativeBarBorderColorSameAsPositive="0">
              <x14:cfvo type="autoMin"/>
              <x14:cfvo type="autoMax"/>
              <x14:borderColor rgb="FF63C384"/>
              <x14:negativeFillColor rgb="FFFF0000"/>
              <x14:negativeBorderColor rgb="FFFF0000"/>
              <x14:axisColor rgb="FF000000"/>
            </x14:dataBar>
          </x14:cfRule>
          <xm:sqref>AG14</xm:sqref>
        </x14:conditionalFormatting>
        <x14:conditionalFormatting xmlns:xm="http://schemas.microsoft.com/office/excel/2006/main">
          <x14:cfRule type="dataBar" id="{649E216E-BD5F-44F8-9B21-D96AA9A31E3A}">
            <x14:dataBar minLength="0" maxLength="100" border="1" negativeBarBorderColorSameAsPositive="0">
              <x14:cfvo type="autoMin"/>
              <x14:cfvo type="autoMax"/>
              <x14:borderColor rgb="FF63C384"/>
              <x14:negativeFillColor rgb="FFFF0000"/>
              <x14:negativeBorderColor rgb="FFFF0000"/>
              <x14:axisColor rgb="FF000000"/>
            </x14:dataBar>
          </x14:cfRule>
          <xm:sqref>AG14</xm:sqref>
        </x14:conditionalFormatting>
        <x14:conditionalFormatting xmlns:xm="http://schemas.microsoft.com/office/excel/2006/main">
          <x14:cfRule type="dataBar" id="{2EA1A761-4346-409B-95E6-48D3591CD353}">
            <x14:dataBar minLength="0" maxLength="100" border="1" negativeBarBorderColorSameAsPositive="0">
              <x14:cfvo type="autoMin"/>
              <x14:cfvo type="autoMax"/>
              <x14:borderColor rgb="FF63C384"/>
              <x14:negativeFillColor rgb="FFFF0000"/>
              <x14:negativeBorderColor rgb="FFFF0000"/>
              <x14:axisColor rgb="FF000000"/>
            </x14:dataBar>
          </x14:cfRule>
          <xm:sqref>AG14</xm:sqref>
        </x14:conditionalFormatting>
        <x14:conditionalFormatting xmlns:xm="http://schemas.microsoft.com/office/excel/2006/main">
          <x14:cfRule type="dataBar" id="{FE95FC70-9089-4107-9F65-12B6F228E770}">
            <x14:dataBar minLength="0" maxLength="100" border="1" negativeBarBorderColorSameAsPositive="0">
              <x14:cfvo type="autoMin"/>
              <x14:cfvo type="autoMax"/>
              <x14:borderColor rgb="FF63C384"/>
              <x14:negativeFillColor rgb="FFFF0000"/>
              <x14:negativeBorderColor rgb="FFFF0000"/>
              <x14:axisColor rgb="FF000000"/>
            </x14:dataBar>
          </x14:cfRule>
          <xm:sqref>AG14</xm:sqref>
        </x14:conditionalFormatting>
        <x14:conditionalFormatting xmlns:xm="http://schemas.microsoft.com/office/excel/2006/main">
          <x14:cfRule type="dataBar" id="{893CAC2E-5D2C-4676-8520-10AF823A7EBE}">
            <x14:dataBar minLength="0" maxLength="100" border="1" negativeBarBorderColorSameAsPositive="0">
              <x14:cfvo type="autoMin"/>
              <x14:cfvo type="autoMax"/>
              <x14:borderColor rgb="FF63C384"/>
              <x14:negativeFillColor rgb="FFFF0000"/>
              <x14:negativeBorderColor rgb="FFFF0000"/>
              <x14:axisColor rgb="FF000000"/>
            </x14:dataBar>
          </x14:cfRule>
          <xm:sqref>AG14</xm:sqref>
        </x14:conditionalFormatting>
        <x14:conditionalFormatting xmlns:xm="http://schemas.microsoft.com/office/excel/2006/main">
          <x14:cfRule type="dataBar" id="{EA52EEC3-8913-471F-A14F-C64F62F0C928}">
            <x14:dataBar minLength="0" maxLength="100" border="1" negativeBarBorderColorSameAsPositive="0">
              <x14:cfvo type="autoMin"/>
              <x14:cfvo type="autoMax"/>
              <x14:borderColor rgb="FF63C384"/>
              <x14:negativeFillColor rgb="FFFF0000"/>
              <x14:negativeBorderColor rgb="FFFF0000"/>
              <x14:axisColor rgb="FF000000"/>
            </x14:dataBar>
          </x14:cfRule>
          <xm:sqref>AG15</xm:sqref>
        </x14:conditionalFormatting>
        <x14:conditionalFormatting xmlns:xm="http://schemas.microsoft.com/office/excel/2006/main">
          <x14:cfRule type="dataBar" id="{04976783-C82B-4609-B6C0-081ACFBD5DAD}">
            <x14:dataBar minLength="0" maxLength="100" border="1" negativeBarBorderColorSameAsPositive="0">
              <x14:cfvo type="autoMin"/>
              <x14:cfvo type="autoMax"/>
              <x14:borderColor rgb="FF63C384"/>
              <x14:negativeFillColor rgb="FFFF0000"/>
              <x14:negativeBorderColor rgb="FFFF0000"/>
              <x14:axisColor rgb="FF000000"/>
            </x14:dataBar>
          </x14:cfRule>
          <xm:sqref>AG15</xm:sqref>
        </x14:conditionalFormatting>
        <x14:conditionalFormatting xmlns:xm="http://schemas.microsoft.com/office/excel/2006/main">
          <x14:cfRule type="dataBar" id="{19E4780F-E61B-4387-8EB4-9EEDE3170EB7}">
            <x14:dataBar minLength="0" maxLength="100" border="1" negativeBarBorderColorSameAsPositive="0">
              <x14:cfvo type="autoMin"/>
              <x14:cfvo type="autoMax"/>
              <x14:borderColor rgb="FF63C384"/>
              <x14:negativeFillColor rgb="FFFF0000"/>
              <x14:negativeBorderColor rgb="FFFF0000"/>
              <x14:axisColor rgb="FF000000"/>
            </x14:dataBar>
          </x14:cfRule>
          <xm:sqref>AG16</xm:sqref>
        </x14:conditionalFormatting>
        <x14:conditionalFormatting xmlns:xm="http://schemas.microsoft.com/office/excel/2006/main">
          <x14:cfRule type="dataBar" id="{27F8138D-4B05-4B33-A1E6-5C89FB075C28}">
            <x14:dataBar minLength="0" maxLength="100" border="1" negativeBarBorderColorSameAsPositive="0">
              <x14:cfvo type="autoMin"/>
              <x14:cfvo type="autoMax"/>
              <x14:borderColor rgb="FF63C384"/>
              <x14:negativeFillColor rgb="FFFF0000"/>
              <x14:negativeBorderColor rgb="FFFF0000"/>
              <x14:axisColor rgb="FF000000"/>
            </x14:dataBar>
          </x14:cfRule>
          <xm:sqref>AG16</xm:sqref>
        </x14:conditionalFormatting>
        <x14:conditionalFormatting xmlns:xm="http://schemas.microsoft.com/office/excel/2006/main">
          <x14:cfRule type="dataBar" id="{B468D651-1AF8-478D-A5B4-404D4BD46F64}">
            <x14:dataBar minLength="0" maxLength="100" border="1" negativeBarBorderColorSameAsPositive="0">
              <x14:cfvo type="autoMin"/>
              <x14:cfvo type="autoMax"/>
              <x14:borderColor rgb="FF63C384"/>
              <x14:negativeFillColor rgb="FFFF0000"/>
              <x14:negativeBorderColor rgb="FFFF0000"/>
              <x14:axisColor rgb="FF000000"/>
            </x14:dataBar>
          </x14:cfRule>
          <xm:sqref>AG16</xm:sqref>
        </x14:conditionalFormatting>
        <x14:conditionalFormatting xmlns:xm="http://schemas.microsoft.com/office/excel/2006/main">
          <x14:cfRule type="dataBar" id="{810F5FA3-4F69-49AB-ACCF-952A4AA95CA3}">
            <x14:dataBar minLength="0" maxLength="100" border="1" negativeBarBorderColorSameAsPositive="0">
              <x14:cfvo type="autoMin"/>
              <x14:cfvo type="autoMax"/>
              <x14:borderColor rgb="FF63C384"/>
              <x14:negativeFillColor rgb="FFFF0000"/>
              <x14:negativeBorderColor rgb="FFFF0000"/>
              <x14:axisColor rgb="FF000000"/>
            </x14:dataBar>
          </x14:cfRule>
          <xm:sqref>AG16</xm:sqref>
        </x14:conditionalFormatting>
        <x14:conditionalFormatting xmlns:xm="http://schemas.microsoft.com/office/excel/2006/main">
          <x14:cfRule type="dataBar" id="{FB21EE3D-6C32-4154-A20B-02CAA1915D32}">
            <x14:dataBar minLength="0" maxLength="100" border="1" negativeBarBorderColorSameAsPositive="0">
              <x14:cfvo type="autoMin"/>
              <x14:cfvo type="autoMax"/>
              <x14:borderColor rgb="FF63C384"/>
              <x14:negativeFillColor rgb="FFFF0000"/>
              <x14:negativeBorderColor rgb="FFFF0000"/>
              <x14:axisColor rgb="FF000000"/>
            </x14:dataBar>
          </x14:cfRule>
          <xm:sqref>AG17</xm:sqref>
        </x14:conditionalFormatting>
        <x14:conditionalFormatting xmlns:xm="http://schemas.microsoft.com/office/excel/2006/main">
          <x14:cfRule type="dataBar" id="{3A587A2D-4DB5-44BB-B03A-C9C1098413B1}">
            <x14:dataBar minLength="0" maxLength="100" border="1" negativeBarBorderColorSameAsPositive="0">
              <x14:cfvo type="autoMin"/>
              <x14:cfvo type="autoMax"/>
              <x14:borderColor rgb="FF63C384"/>
              <x14:negativeFillColor rgb="FFFF0000"/>
              <x14:negativeBorderColor rgb="FFFF0000"/>
              <x14:axisColor rgb="FF000000"/>
            </x14:dataBar>
          </x14:cfRule>
          <xm:sqref>AG17</xm:sqref>
        </x14:conditionalFormatting>
        <x14:conditionalFormatting xmlns:xm="http://schemas.microsoft.com/office/excel/2006/main">
          <x14:cfRule type="dataBar" id="{124A44D5-C362-432D-A368-08278B276A19}">
            <x14:dataBar minLength="0" maxLength="100" border="1" negativeBarBorderColorSameAsPositive="0">
              <x14:cfvo type="autoMin"/>
              <x14:cfvo type="autoMax"/>
              <x14:borderColor rgb="FF63C384"/>
              <x14:negativeFillColor rgb="FFFF0000"/>
              <x14:negativeBorderColor rgb="FFFF0000"/>
              <x14:axisColor rgb="FF000000"/>
            </x14:dataBar>
          </x14:cfRule>
          <xm:sqref>AG17</xm:sqref>
        </x14:conditionalFormatting>
        <x14:conditionalFormatting xmlns:xm="http://schemas.microsoft.com/office/excel/2006/main">
          <x14:cfRule type="dataBar" id="{943D8BF2-0281-4AA3-A0AF-06AB6B2CECDF}">
            <x14:dataBar minLength="0" maxLength="100" border="1" negativeBarBorderColorSameAsPositive="0">
              <x14:cfvo type="autoMin"/>
              <x14:cfvo type="autoMax"/>
              <x14:borderColor rgb="FF63C384"/>
              <x14:negativeFillColor rgb="FFFF0000"/>
              <x14:negativeBorderColor rgb="FFFF0000"/>
              <x14:axisColor rgb="FF000000"/>
            </x14:dataBar>
          </x14:cfRule>
          <xm:sqref>AG17</xm:sqref>
        </x14:conditionalFormatting>
        <x14:conditionalFormatting xmlns:xm="http://schemas.microsoft.com/office/excel/2006/main">
          <x14:cfRule type="dataBar" id="{C9A757A1-6D1C-4B02-9CF2-F50F1CF2C992}">
            <x14:dataBar minLength="0" maxLength="100" border="1" negativeBarBorderColorSameAsPositive="0">
              <x14:cfvo type="autoMin"/>
              <x14:cfvo type="autoMax"/>
              <x14:borderColor rgb="FF63C384"/>
              <x14:negativeFillColor rgb="FFFF0000"/>
              <x14:negativeBorderColor rgb="FFFF0000"/>
              <x14:axisColor rgb="FF000000"/>
            </x14:dataBar>
          </x14:cfRule>
          <xm:sqref>AG18</xm:sqref>
        </x14:conditionalFormatting>
        <x14:conditionalFormatting xmlns:xm="http://schemas.microsoft.com/office/excel/2006/main">
          <x14:cfRule type="dataBar" id="{6467E206-127C-4271-9983-4F5F5326C8BC}">
            <x14:dataBar minLength="0" maxLength="100" border="1" negativeBarBorderColorSameAsPositive="0">
              <x14:cfvo type="autoMin"/>
              <x14:cfvo type="autoMax"/>
              <x14:borderColor rgb="FF63C384"/>
              <x14:negativeFillColor rgb="FFFF0000"/>
              <x14:negativeBorderColor rgb="FFFF0000"/>
              <x14:axisColor rgb="FF000000"/>
            </x14:dataBar>
          </x14:cfRule>
          <xm:sqref>AG18</xm:sqref>
        </x14:conditionalFormatting>
        <x14:conditionalFormatting xmlns:xm="http://schemas.microsoft.com/office/excel/2006/main">
          <x14:cfRule type="dataBar" id="{F6BDA8B6-D5D3-45D6-B984-94A66CCDA253}">
            <x14:dataBar minLength="0" maxLength="100" border="1" negativeBarBorderColorSameAsPositive="0">
              <x14:cfvo type="autoMin"/>
              <x14:cfvo type="autoMax"/>
              <x14:borderColor rgb="FF63C384"/>
              <x14:negativeFillColor rgb="FFFF0000"/>
              <x14:negativeBorderColor rgb="FFFF0000"/>
              <x14:axisColor rgb="FF000000"/>
            </x14:dataBar>
          </x14:cfRule>
          <xm:sqref>AG19</xm:sqref>
        </x14:conditionalFormatting>
        <x14:conditionalFormatting xmlns:xm="http://schemas.microsoft.com/office/excel/2006/main">
          <x14:cfRule type="dataBar" id="{6E35675C-A163-4F43-B48F-EB8698C8CED7}">
            <x14:dataBar minLength="0" maxLength="100" border="1" negativeBarBorderColorSameAsPositive="0">
              <x14:cfvo type="autoMin"/>
              <x14:cfvo type="autoMax"/>
              <x14:borderColor rgb="FF63C384"/>
              <x14:negativeFillColor rgb="FFFF0000"/>
              <x14:negativeBorderColor rgb="FFFF0000"/>
              <x14:axisColor rgb="FF000000"/>
            </x14:dataBar>
          </x14:cfRule>
          <xm:sqref>AG19</xm:sqref>
        </x14:conditionalFormatting>
        <x14:conditionalFormatting xmlns:xm="http://schemas.microsoft.com/office/excel/2006/main">
          <x14:cfRule type="dataBar" id="{46CC99E1-1CF9-4632-8196-49BA780BD4E7}">
            <x14:dataBar minLength="0" maxLength="100" border="1" negativeBarBorderColorSameAsPositive="0">
              <x14:cfvo type="autoMin"/>
              <x14:cfvo type="autoMax"/>
              <x14:borderColor rgb="FF63C384"/>
              <x14:negativeFillColor rgb="FFFF0000"/>
              <x14:negativeBorderColor rgb="FFFF0000"/>
              <x14:axisColor rgb="FF000000"/>
            </x14:dataBar>
          </x14:cfRule>
          <xm:sqref>AG20</xm:sqref>
        </x14:conditionalFormatting>
        <x14:conditionalFormatting xmlns:xm="http://schemas.microsoft.com/office/excel/2006/main">
          <x14:cfRule type="dataBar" id="{F2FA62C6-D7D9-45C7-9E83-164D4D0314B2}">
            <x14:dataBar minLength="0" maxLength="100" border="1" negativeBarBorderColorSameAsPositive="0">
              <x14:cfvo type="autoMin"/>
              <x14:cfvo type="autoMax"/>
              <x14:borderColor rgb="FF63C384"/>
              <x14:negativeFillColor rgb="FFFF0000"/>
              <x14:negativeBorderColor rgb="FFFF0000"/>
              <x14:axisColor rgb="FF000000"/>
            </x14:dataBar>
          </x14:cfRule>
          <xm:sqref>AG20</xm:sqref>
        </x14:conditionalFormatting>
        <x14:conditionalFormatting xmlns:xm="http://schemas.microsoft.com/office/excel/2006/main">
          <x14:cfRule type="dataBar" id="{56A5103E-0645-4FCF-B249-2F50C3F0D6CA}">
            <x14:dataBar minLength="0" maxLength="100" border="1" negativeBarBorderColorSameAsPositive="0">
              <x14:cfvo type="autoMin"/>
              <x14:cfvo type="autoMax"/>
              <x14:borderColor rgb="FF63C384"/>
              <x14:negativeFillColor rgb="FFFF0000"/>
              <x14:negativeBorderColor rgb="FFFF0000"/>
              <x14:axisColor rgb="FF000000"/>
            </x14:dataBar>
          </x14:cfRule>
          <xm:sqref>AG21</xm:sqref>
        </x14:conditionalFormatting>
        <x14:conditionalFormatting xmlns:xm="http://schemas.microsoft.com/office/excel/2006/main">
          <x14:cfRule type="dataBar" id="{649E8A6C-5D37-48FA-B579-BE58B51AF504}">
            <x14:dataBar minLength="0" maxLength="100" border="1" negativeBarBorderColorSameAsPositive="0">
              <x14:cfvo type="autoMin"/>
              <x14:cfvo type="autoMax"/>
              <x14:borderColor rgb="FF63C384"/>
              <x14:negativeFillColor rgb="FFFF0000"/>
              <x14:negativeBorderColor rgb="FFFF0000"/>
              <x14:axisColor rgb="FF000000"/>
            </x14:dataBar>
          </x14:cfRule>
          <xm:sqref>AG21</xm:sqref>
        </x14:conditionalFormatting>
        <x14:conditionalFormatting xmlns:xm="http://schemas.microsoft.com/office/excel/2006/main">
          <x14:cfRule type="dataBar" id="{B390796E-5CD1-4B07-81CB-EED2673D8970}">
            <x14:dataBar minLength="0" maxLength="100" border="1" negativeBarBorderColorSameAsPositive="0">
              <x14:cfvo type="autoMin"/>
              <x14:cfvo type="autoMax"/>
              <x14:borderColor rgb="FF63C384"/>
              <x14:negativeFillColor rgb="FFFF0000"/>
              <x14:negativeBorderColor rgb="FFFF0000"/>
              <x14:axisColor rgb="FF000000"/>
            </x14:dataBar>
          </x14:cfRule>
          <xm:sqref>AG22</xm:sqref>
        </x14:conditionalFormatting>
        <x14:conditionalFormatting xmlns:xm="http://schemas.microsoft.com/office/excel/2006/main">
          <x14:cfRule type="dataBar" id="{C9D01693-C07C-49B3-B841-40B45964703D}">
            <x14:dataBar minLength="0" maxLength="100" border="1" negativeBarBorderColorSameAsPositive="0">
              <x14:cfvo type="autoMin"/>
              <x14:cfvo type="autoMax"/>
              <x14:borderColor rgb="FF63C384"/>
              <x14:negativeFillColor rgb="FFFF0000"/>
              <x14:negativeBorderColor rgb="FFFF0000"/>
              <x14:axisColor rgb="FF000000"/>
            </x14:dataBar>
          </x14:cfRule>
          <xm:sqref>AG22</xm:sqref>
        </x14:conditionalFormatting>
        <x14:conditionalFormatting xmlns:xm="http://schemas.microsoft.com/office/excel/2006/main">
          <x14:cfRule type="dataBar" id="{FC305130-086F-46EC-AAEA-0360A7D69CC7}">
            <x14:dataBar minLength="0" maxLength="100" border="1" negativeBarBorderColorSameAsPositive="0">
              <x14:cfvo type="autoMin"/>
              <x14:cfvo type="autoMax"/>
              <x14:borderColor rgb="FF63C384"/>
              <x14:negativeFillColor rgb="FFFF0000"/>
              <x14:negativeBorderColor rgb="FFFF0000"/>
              <x14:axisColor rgb="FF000000"/>
            </x14:dataBar>
          </x14:cfRule>
          <xm:sqref>AG22</xm:sqref>
        </x14:conditionalFormatting>
        <x14:conditionalFormatting xmlns:xm="http://schemas.microsoft.com/office/excel/2006/main">
          <x14:cfRule type="dataBar" id="{FC7B584B-6134-4D81-AAC4-D78ABC45D9B7}">
            <x14:dataBar minLength="0" maxLength="100" border="1" negativeBarBorderColorSameAsPositive="0">
              <x14:cfvo type="autoMin"/>
              <x14:cfvo type="autoMax"/>
              <x14:borderColor rgb="FF63C384"/>
              <x14:negativeFillColor rgb="FFFF0000"/>
              <x14:negativeBorderColor rgb="FFFF0000"/>
              <x14:axisColor rgb="FF000000"/>
            </x14:dataBar>
          </x14:cfRule>
          <xm:sqref>AG22</xm:sqref>
        </x14:conditionalFormatting>
        <x14:conditionalFormatting xmlns:xm="http://schemas.microsoft.com/office/excel/2006/main">
          <x14:cfRule type="dataBar" id="{CD4CEEF4-E11D-4BA5-82A5-BFCB1CEA2A5C}">
            <x14:dataBar minLength="0" maxLength="100" border="1" negativeBarBorderColorSameAsPositive="0">
              <x14:cfvo type="autoMin"/>
              <x14:cfvo type="autoMax"/>
              <x14:borderColor rgb="FF63C384"/>
              <x14:negativeFillColor rgb="FFFF0000"/>
              <x14:negativeBorderColor rgb="FFFF0000"/>
              <x14:axisColor rgb="FF000000"/>
            </x14:dataBar>
          </x14:cfRule>
          <xm:sqref>AG23</xm:sqref>
        </x14:conditionalFormatting>
        <x14:conditionalFormatting xmlns:xm="http://schemas.microsoft.com/office/excel/2006/main">
          <x14:cfRule type="dataBar" id="{9D3EB41C-FA89-4A6D-A142-C33026771C12}">
            <x14:dataBar minLength="0" maxLength="100" border="1" negativeBarBorderColorSameAsPositive="0">
              <x14:cfvo type="autoMin"/>
              <x14:cfvo type="autoMax"/>
              <x14:borderColor rgb="FF63C384"/>
              <x14:negativeFillColor rgb="FFFF0000"/>
              <x14:negativeBorderColor rgb="FFFF0000"/>
              <x14:axisColor rgb="FF000000"/>
            </x14:dataBar>
          </x14:cfRule>
          <xm:sqref>AG23</xm:sqref>
        </x14:conditionalFormatting>
        <x14:conditionalFormatting xmlns:xm="http://schemas.microsoft.com/office/excel/2006/main">
          <x14:cfRule type="dataBar" id="{AD4B3E2E-9C8B-4F20-AB97-0811BA440954}">
            <x14:dataBar minLength="0" maxLength="100" border="1" negativeBarBorderColorSameAsPositive="0">
              <x14:cfvo type="autoMin"/>
              <x14:cfvo type="autoMax"/>
              <x14:borderColor rgb="FF63C384"/>
              <x14:negativeFillColor rgb="FFFF0000"/>
              <x14:negativeBorderColor rgb="FFFF0000"/>
              <x14:axisColor rgb="FF000000"/>
            </x14:dataBar>
          </x14:cfRule>
          <xm:sqref>AG24</xm:sqref>
        </x14:conditionalFormatting>
        <x14:conditionalFormatting xmlns:xm="http://schemas.microsoft.com/office/excel/2006/main">
          <x14:cfRule type="dataBar" id="{A87A9958-D465-4FD2-A5F2-198917D24ACA}">
            <x14:dataBar minLength="0" maxLength="100" border="1" negativeBarBorderColorSameAsPositive="0">
              <x14:cfvo type="autoMin"/>
              <x14:cfvo type="autoMax"/>
              <x14:borderColor rgb="FF63C384"/>
              <x14:negativeFillColor rgb="FFFF0000"/>
              <x14:negativeBorderColor rgb="FFFF0000"/>
              <x14:axisColor rgb="FF000000"/>
            </x14:dataBar>
          </x14:cfRule>
          <xm:sqref>AG24</xm:sqref>
        </x14:conditionalFormatting>
        <x14:conditionalFormatting xmlns:xm="http://schemas.microsoft.com/office/excel/2006/main">
          <x14:cfRule type="dataBar" id="{6F93B4F5-710A-4045-9D6E-A19DC383728D}">
            <x14:dataBar minLength="0" maxLength="100" border="1" negativeBarBorderColorSameAsPositive="0">
              <x14:cfvo type="autoMin"/>
              <x14:cfvo type="autoMax"/>
              <x14:borderColor rgb="FF63C384"/>
              <x14:negativeFillColor rgb="FFFF0000"/>
              <x14:negativeBorderColor rgb="FFFF0000"/>
              <x14:axisColor rgb="FF000000"/>
            </x14:dataBar>
          </x14:cfRule>
          <xm:sqref>AG25</xm:sqref>
        </x14:conditionalFormatting>
        <x14:conditionalFormatting xmlns:xm="http://schemas.microsoft.com/office/excel/2006/main">
          <x14:cfRule type="dataBar" id="{CF3B7719-3D81-4F1C-82BE-0A1F5BEBF7ED}">
            <x14:dataBar minLength="0" maxLength="100" border="1" negativeBarBorderColorSameAsPositive="0">
              <x14:cfvo type="autoMin"/>
              <x14:cfvo type="autoMax"/>
              <x14:borderColor rgb="FF63C384"/>
              <x14:negativeFillColor rgb="FFFF0000"/>
              <x14:negativeBorderColor rgb="FFFF0000"/>
              <x14:axisColor rgb="FF000000"/>
            </x14:dataBar>
          </x14:cfRule>
          <xm:sqref>AG25</xm:sqref>
        </x14:conditionalFormatting>
        <x14:conditionalFormatting xmlns:xm="http://schemas.microsoft.com/office/excel/2006/main">
          <x14:cfRule type="dataBar" id="{6C80F91F-98E2-4E57-918F-979320ECA590}">
            <x14:dataBar minLength="0" maxLength="100" border="1" negativeBarBorderColorSameAsPositive="0">
              <x14:cfvo type="autoMin"/>
              <x14:cfvo type="autoMax"/>
              <x14:borderColor rgb="FF63C384"/>
              <x14:negativeFillColor rgb="FFFF0000"/>
              <x14:negativeBorderColor rgb="FFFF0000"/>
              <x14:axisColor rgb="FF000000"/>
            </x14:dataBar>
          </x14:cfRule>
          <xm:sqref>AG25</xm:sqref>
        </x14:conditionalFormatting>
        <x14:conditionalFormatting xmlns:xm="http://schemas.microsoft.com/office/excel/2006/main">
          <x14:cfRule type="dataBar" id="{1D81A2AE-CA7F-4D2E-AFDC-05525593097D}">
            <x14:dataBar minLength="0" maxLength="100" border="1" negativeBarBorderColorSameAsPositive="0">
              <x14:cfvo type="autoMin"/>
              <x14:cfvo type="autoMax"/>
              <x14:borderColor rgb="FF63C384"/>
              <x14:negativeFillColor rgb="FFFF0000"/>
              <x14:negativeBorderColor rgb="FFFF0000"/>
              <x14:axisColor rgb="FF000000"/>
            </x14:dataBar>
          </x14:cfRule>
          <xm:sqref>AG25</xm:sqref>
        </x14:conditionalFormatting>
        <x14:conditionalFormatting xmlns:xm="http://schemas.microsoft.com/office/excel/2006/main">
          <x14:cfRule type="dataBar" id="{A00EC18B-4CFA-4CAE-AB1E-C91A5F3B6C93}">
            <x14:dataBar minLength="0" maxLength="100" border="1" negativeBarBorderColorSameAsPositive="0">
              <x14:cfvo type="autoMin"/>
              <x14:cfvo type="autoMax"/>
              <x14:borderColor rgb="FF63C384"/>
              <x14:negativeFillColor rgb="FFFF0000"/>
              <x14:negativeBorderColor rgb="FFFF0000"/>
              <x14:axisColor rgb="FF000000"/>
            </x14:dataBar>
          </x14:cfRule>
          <xm:sqref>AG25</xm:sqref>
        </x14:conditionalFormatting>
        <x14:conditionalFormatting xmlns:xm="http://schemas.microsoft.com/office/excel/2006/main">
          <x14:cfRule type="dataBar" id="{A3F4C1B4-4B45-4D14-B653-DD36E29D17FC}">
            <x14:dataBar minLength="0" maxLength="100" border="1" negativeBarBorderColorSameAsPositive="0">
              <x14:cfvo type="autoMin"/>
              <x14:cfvo type="autoMax"/>
              <x14:borderColor rgb="FF63C384"/>
              <x14:negativeFillColor rgb="FFFF0000"/>
              <x14:negativeBorderColor rgb="FFFF0000"/>
              <x14:axisColor rgb="FF000000"/>
            </x14:dataBar>
          </x14:cfRule>
          <xm:sqref>AG25</xm:sqref>
        </x14:conditionalFormatting>
        <x14:conditionalFormatting xmlns:xm="http://schemas.microsoft.com/office/excel/2006/main">
          <x14:cfRule type="dataBar" id="{390F7D62-974C-46F6-9758-4D7CBA7FBA14}">
            <x14:dataBar minLength="0" maxLength="100" border="1" negativeBarBorderColorSameAsPositive="0">
              <x14:cfvo type="autoMin"/>
              <x14:cfvo type="autoMax"/>
              <x14:borderColor rgb="FF63C384"/>
              <x14:negativeFillColor rgb="FFFF0000"/>
              <x14:negativeBorderColor rgb="FFFF0000"/>
              <x14:axisColor rgb="FF000000"/>
            </x14:dataBar>
          </x14:cfRule>
          <xm:sqref>AG25</xm:sqref>
        </x14:conditionalFormatting>
        <x14:conditionalFormatting xmlns:xm="http://schemas.microsoft.com/office/excel/2006/main">
          <x14:cfRule type="dataBar" id="{C5DB2FA1-BEAB-408F-BB1E-A5CA0DEE62B4}">
            <x14:dataBar minLength="0" maxLength="100" border="1" negativeBarBorderColorSameAsPositive="0">
              <x14:cfvo type="autoMin"/>
              <x14:cfvo type="autoMax"/>
              <x14:borderColor rgb="FF63C384"/>
              <x14:negativeFillColor rgb="FFFF0000"/>
              <x14:negativeBorderColor rgb="FFFF0000"/>
              <x14:axisColor rgb="FF000000"/>
            </x14:dataBar>
          </x14:cfRule>
          <xm:sqref>AG25</xm:sqref>
        </x14:conditionalFormatting>
        <x14:conditionalFormatting xmlns:xm="http://schemas.microsoft.com/office/excel/2006/main">
          <x14:cfRule type="dataBar" id="{77CFCD4E-FA02-49E8-ACAE-1A16A51DA728}">
            <x14:dataBar minLength="0" maxLength="100" border="1" negativeBarBorderColorSameAsPositive="0">
              <x14:cfvo type="autoMin"/>
              <x14:cfvo type="autoMax"/>
              <x14:borderColor rgb="FF63C384"/>
              <x14:negativeFillColor rgb="FFFF0000"/>
              <x14:negativeBorderColor rgb="FFFF0000"/>
              <x14:axisColor rgb="FF000000"/>
            </x14:dataBar>
          </x14:cfRule>
          <xm:sqref>AG26</xm:sqref>
        </x14:conditionalFormatting>
        <x14:conditionalFormatting xmlns:xm="http://schemas.microsoft.com/office/excel/2006/main">
          <x14:cfRule type="dataBar" id="{A1746127-6B73-472C-B75A-7FACF57C1929}">
            <x14:dataBar minLength="0" maxLength="100" border="1" negativeBarBorderColorSameAsPositive="0">
              <x14:cfvo type="autoMin"/>
              <x14:cfvo type="autoMax"/>
              <x14:borderColor rgb="FF63C384"/>
              <x14:negativeFillColor rgb="FFFF0000"/>
              <x14:negativeBorderColor rgb="FFFF0000"/>
              <x14:axisColor rgb="FF000000"/>
            </x14:dataBar>
          </x14:cfRule>
          <xm:sqref>AG26</xm:sqref>
        </x14:conditionalFormatting>
        <x14:conditionalFormatting xmlns:xm="http://schemas.microsoft.com/office/excel/2006/main">
          <x14:cfRule type="dataBar" id="{387F6D64-5474-4B32-9F52-93B1724DC8B5}">
            <x14:dataBar minLength="0" maxLength="100" border="1" negativeBarBorderColorSameAsPositive="0">
              <x14:cfvo type="autoMin"/>
              <x14:cfvo type="autoMax"/>
              <x14:borderColor rgb="FF63C384"/>
              <x14:negativeFillColor rgb="FFFF0000"/>
              <x14:negativeBorderColor rgb="FFFF0000"/>
              <x14:axisColor rgb="FF000000"/>
            </x14:dataBar>
          </x14:cfRule>
          <xm:sqref>AG27</xm:sqref>
        </x14:conditionalFormatting>
        <x14:conditionalFormatting xmlns:xm="http://schemas.microsoft.com/office/excel/2006/main">
          <x14:cfRule type="dataBar" id="{5D6E2E95-7869-4B2A-8714-9CAE7548FBB9}">
            <x14:dataBar minLength="0" maxLength="100" border="1" negativeBarBorderColorSameAsPositive="0">
              <x14:cfvo type="autoMin"/>
              <x14:cfvo type="autoMax"/>
              <x14:borderColor rgb="FF63C384"/>
              <x14:negativeFillColor rgb="FFFF0000"/>
              <x14:negativeBorderColor rgb="FFFF0000"/>
              <x14:axisColor rgb="FF000000"/>
            </x14:dataBar>
          </x14:cfRule>
          <xm:sqref>AG27</xm:sqref>
        </x14:conditionalFormatting>
        <x14:conditionalFormatting xmlns:xm="http://schemas.microsoft.com/office/excel/2006/main">
          <x14:cfRule type="dataBar" id="{65500766-8491-4CD4-B22E-8DD665265B23}">
            <x14:dataBar minLength="0" maxLength="100" border="1" negativeBarBorderColorSameAsPositive="0">
              <x14:cfvo type="autoMin"/>
              <x14:cfvo type="autoMax"/>
              <x14:borderColor rgb="FF63C384"/>
              <x14:negativeFillColor rgb="FFFF0000"/>
              <x14:negativeBorderColor rgb="FFFF0000"/>
              <x14:axisColor rgb="FF000000"/>
            </x14:dataBar>
          </x14:cfRule>
          <xm:sqref>AG28</xm:sqref>
        </x14:conditionalFormatting>
        <x14:conditionalFormatting xmlns:xm="http://schemas.microsoft.com/office/excel/2006/main">
          <x14:cfRule type="dataBar" id="{68ECAA9B-1EA8-4D89-8245-B40C0FEECE17}">
            <x14:dataBar minLength="0" maxLength="100" border="1" negativeBarBorderColorSameAsPositive="0">
              <x14:cfvo type="autoMin"/>
              <x14:cfvo type="autoMax"/>
              <x14:borderColor rgb="FF63C384"/>
              <x14:negativeFillColor rgb="FFFF0000"/>
              <x14:negativeBorderColor rgb="FFFF0000"/>
              <x14:axisColor rgb="FF000000"/>
            </x14:dataBar>
          </x14:cfRule>
          <xm:sqref>AG28</xm:sqref>
        </x14:conditionalFormatting>
        <x14:conditionalFormatting xmlns:xm="http://schemas.microsoft.com/office/excel/2006/main">
          <x14:cfRule type="dataBar" id="{A0ECA313-77F9-4683-AD4C-905A0FCFF034}">
            <x14:dataBar minLength="0" maxLength="100" border="1" negativeBarBorderColorSameAsPositive="0">
              <x14:cfvo type="autoMin"/>
              <x14:cfvo type="autoMax"/>
              <x14:borderColor rgb="FF63C384"/>
              <x14:negativeFillColor rgb="FFFF0000"/>
              <x14:negativeBorderColor rgb="FFFF0000"/>
              <x14:axisColor rgb="FF000000"/>
            </x14:dataBar>
          </x14:cfRule>
          <xm:sqref>AG29</xm:sqref>
        </x14:conditionalFormatting>
        <x14:conditionalFormatting xmlns:xm="http://schemas.microsoft.com/office/excel/2006/main">
          <x14:cfRule type="dataBar" id="{71663865-B30E-4C8E-AC25-16C7E75DE53F}">
            <x14:dataBar minLength="0" maxLength="100" border="1" negativeBarBorderColorSameAsPositive="0">
              <x14:cfvo type="autoMin"/>
              <x14:cfvo type="autoMax"/>
              <x14:borderColor rgb="FF63C384"/>
              <x14:negativeFillColor rgb="FFFF0000"/>
              <x14:negativeBorderColor rgb="FFFF0000"/>
              <x14:axisColor rgb="FF000000"/>
            </x14:dataBar>
          </x14:cfRule>
          <xm:sqref>AG29</xm:sqref>
        </x14:conditionalFormatting>
        <x14:conditionalFormatting xmlns:xm="http://schemas.microsoft.com/office/excel/2006/main">
          <x14:cfRule type="dataBar" id="{FA00113C-6016-41DA-BA42-3BF2BA0C2BD1}">
            <x14:dataBar minLength="0" maxLength="100" border="1" negativeBarBorderColorSameAsPositive="0">
              <x14:cfvo type="autoMin"/>
              <x14:cfvo type="autoMax"/>
              <x14:borderColor rgb="FF63C384"/>
              <x14:negativeFillColor rgb="FFFF0000"/>
              <x14:negativeBorderColor rgb="FFFF0000"/>
              <x14:axisColor rgb="FF000000"/>
            </x14:dataBar>
          </x14:cfRule>
          <xm:sqref>AG30</xm:sqref>
        </x14:conditionalFormatting>
        <x14:conditionalFormatting xmlns:xm="http://schemas.microsoft.com/office/excel/2006/main">
          <x14:cfRule type="dataBar" id="{8CAAA1FE-955D-42D6-B0C8-477BD7F38319}">
            <x14:dataBar minLength="0" maxLength="100" border="1" negativeBarBorderColorSameAsPositive="0">
              <x14:cfvo type="autoMin"/>
              <x14:cfvo type="autoMax"/>
              <x14:borderColor rgb="FF63C384"/>
              <x14:negativeFillColor rgb="FFFF0000"/>
              <x14:negativeBorderColor rgb="FFFF0000"/>
              <x14:axisColor rgb="FF000000"/>
            </x14:dataBar>
          </x14:cfRule>
          <xm:sqref>AG30</xm:sqref>
        </x14:conditionalFormatting>
        <x14:conditionalFormatting xmlns:xm="http://schemas.microsoft.com/office/excel/2006/main">
          <x14:cfRule type="dataBar" id="{6D468791-E9D0-42FE-A741-449F632A79ED}">
            <x14:dataBar minLength="0" maxLength="100" border="1" negativeBarBorderColorSameAsPositive="0">
              <x14:cfvo type="autoMin"/>
              <x14:cfvo type="autoMax"/>
              <x14:borderColor rgb="FF63C384"/>
              <x14:negativeFillColor rgb="FFFF0000"/>
              <x14:negativeBorderColor rgb="FFFF0000"/>
              <x14:axisColor rgb="FF000000"/>
            </x14:dataBar>
          </x14:cfRule>
          <xm:sqref>AG31</xm:sqref>
        </x14:conditionalFormatting>
        <x14:conditionalFormatting xmlns:xm="http://schemas.microsoft.com/office/excel/2006/main">
          <x14:cfRule type="dataBar" id="{8BC99A71-5EEF-4FAA-918F-CCDDE735D93F}">
            <x14:dataBar minLength="0" maxLength="100" border="1" negativeBarBorderColorSameAsPositive="0">
              <x14:cfvo type="autoMin"/>
              <x14:cfvo type="autoMax"/>
              <x14:borderColor rgb="FF63C384"/>
              <x14:negativeFillColor rgb="FFFF0000"/>
              <x14:negativeBorderColor rgb="FFFF0000"/>
              <x14:axisColor rgb="FF000000"/>
            </x14:dataBar>
          </x14:cfRule>
          <xm:sqref>AG31</xm:sqref>
        </x14:conditionalFormatting>
        <x14:conditionalFormatting xmlns:xm="http://schemas.microsoft.com/office/excel/2006/main">
          <x14:cfRule type="dataBar" id="{8157F7C9-7F93-472E-81BE-472FFD79FCFE}">
            <x14:dataBar minLength="0" maxLength="100" border="1" negativeBarBorderColorSameAsPositive="0">
              <x14:cfvo type="autoMin"/>
              <x14:cfvo type="autoMax"/>
              <x14:borderColor rgb="FF63C384"/>
              <x14:negativeFillColor rgb="FFFF0000"/>
              <x14:negativeBorderColor rgb="FFFF0000"/>
              <x14:axisColor rgb="FF000000"/>
            </x14:dataBar>
          </x14:cfRule>
          <xm:sqref>AG32</xm:sqref>
        </x14:conditionalFormatting>
        <x14:conditionalFormatting xmlns:xm="http://schemas.microsoft.com/office/excel/2006/main">
          <x14:cfRule type="dataBar" id="{743DCCC6-97D5-4BA3-90AA-22DE69D93F89}">
            <x14:dataBar minLength="0" maxLength="100" border="1" negativeBarBorderColorSameAsPositive="0">
              <x14:cfvo type="autoMin"/>
              <x14:cfvo type="autoMax"/>
              <x14:borderColor rgb="FF63C384"/>
              <x14:negativeFillColor rgb="FFFF0000"/>
              <x14:negativeBorderColor rgb="FFFF0000"/>
              <x14:axisColor rgb="FF000000"/>
            </x14:dataBar>
          </x14:cfRule>
          <xm:sqref>AG32</xm:sqref>
        </x14:conditionalFormatting>
        <x14:conditionalFormatting xmlns:xm="http://schemas.microsoft.com/office/excel/2006/main">
          <x14:cfRule type="dataBar" id="{AE218A37-BB43-44B8-A734-6C4C76003A53}">
            <x14:dataBar minLength="0" maxLength="100" border="1" negativeBarBorderColorSameAsPositive="0">
              <x14:cfvo type="autoMin"/>
              <x14:cfvo type="autoMax"/>
              <x14:borderColor rgb="FF63C384"/>
              <x14:negativeFillColor rgb="FFFF0000"/>
              <x14:negativeBorderColor rgb="FFFF0000"/>
              <x14:axisColor rgb="FF000000"/>
            </x14:dataBar>
          </x14:cfRule>
          <xm:sqref>AG32</xm:sqref>
        </x14:conditionalFormatting>
        <x14:conditionalFormatting xmlns:xm="http://schemas.microsoft.com/office/excel/2006/main">
          <x14:cfRule type="dataBar" id="{4298240B-BCCD-4038-9F7B-EA4DC09B1A43}">
            <x14:dataBar minLength="0" maxLength="100" border="1" negativeBarBorderColorSameAsPositive="0">
              <x14:cfvo type="autoMin"/>
              <x14:cfvo type="autoMax"/>
              <x14:borderColor rgb="FF63C384"/>
              <x14:negativeFillColor rgb="FFFF0000"/>
              <x14:negativeBorderColor rgb="FFFF0000"/>
              <x14:axisColor rgb="FF000000"/>
            </x14:dataBar>
          </x14:cfRule>
          <xm:sqref>AG32</xm:sqref>
        </x14:conditionalFormatting>
        <x14:conditionalFormatting xmlns:xm="http://schemas.microsoft.com/office/excel/2006/main">
          <x14:cfRule type="dataBar" id="{C62EA196-941F-4224-9023-71F8DE1BBB28}">
            <x14:dataBar minLength="0" maxLength="100" border="1" negativeBarBorderColorSameAsPositive="0">
              <x14:cfvo type="autoMin"/>
              <x14:cfvo type="autoMax"/>
              <x14:borderColor rgb="FF63C384"/>
              <x14:negativeFillColor rgb="FFFF0000"/>
              <x14:negativeBorderColor rgb="FFFF0000"/>
              <x14:axisColor rgb="FF000000"/>
            </x14:dataBar>
          </x14:cfRule>
          <xm:sqref>AG33</xm:sqref>
        </x14:conditionalFormatting>
        <x14:conditionalFormatting xmlns:xm="http://schemas.microsoft.com/office/excel/2006/main">
          <x14:cfRule type="dataBar" id="{266F1CF8-A47D-4742-A4DF-3E948DD734F0}">
            <x14:dataBar minLength="0" maxLength="100" border="1" negativeBarBorderColorSameAsPositive="0">
              <x14:cfvo type="autoMin"/>
              <x14:cfvo type="autoMax"/>
              <x14:borderColor rgb="FF63C384"/>
              <x14:negativeFillColor rgb="FFFF0000"/>
              <x14:negativeBorderColor rgb="FFFF0000"/>
              <x14:axisColor rgb="FF000000"/>
            </x14:dataBar>
          </x14:cfRule>
          <xm:sqref>AG33</xm:sqref>
        </x14:conditionalFormatting>
        <x14:conditionalFormatting xmlns:xm="http://schemas.microsoft.com/office/excel/2006/main">
          <x14:cfRule type="dataBar" id="{A475966E-F8E8-4C7C-AAA9-561B60577201}">
            <x14:dataBar minLength="0" maxLength="100" border="1" negativeBarBorderColorSameAsPositive="0">
              <x14:cfvo type="autoMin"/>
              <x14:cfvo type="autoMax"/>
              <x14:borderColor rgb="FF63C384"/>
              <x14:negativeFillColor rgb="FFFF0000"/>
              <x14:negativeBorderColor rgb="FFFF0000"/>
              <x14:axisColor rgb="FF000000"/>
            </x14:dataBar>
          </x14:cfRule>
          <xm:sqref>AG33</xm:sqref>
        </x14:conditionalFormatting>
        <x14:conditionalFormatting xmlns:xm="http://schemas.microsoft.com/office/excel/2006/main">
          <x14:cfRule type="dataBar" id="{8AC18D1A-9D22-4B46-A4B4-4CE6FA465CD8}">
            <x14:dataBar minLength="0" maxLength="100" border="1" negativeBarBorderColorSameAsPositive="0">
              <x14:cfvo type="autoMin"/>
              <x14:cfvo type="autoMax"/>
              <x14:borderColor rgb="FF63C384"/>
              <x14:negativeFillColor rgb="FFFF0000"/>
              <x14:negativeBorderColor rgb="FFFF0000"/>
              <x14:axisColor rgb="FF000000"/>
            </x14:dataBar>
          </x14:cfRule>
          <xm:sqref>AG33</xm:sqref>
        </x14:conditionalFormatting>
        <x14:conditionalFormatting xmlns:xm="http://schemas.microsoft.com/office/excel/2006/main">
          <x14:cfRule type="dataBar" id="{2B2A8FA1-BEAE-49E2-8238-04F17EC1DC9B}">
            <x14:dataBar minLength="0" maxLength="100" border="1" negativeBarBorderColorSameAsPositive="0">
              <x14:cfvo type="autoMin"/>
              <x14:cfvo type="autoMax"/>
              <x14:borderColor rgb="FF63C384"/>
              <x14:negativeFillColor rgb="FFFF0000"/>
              <x14:negativeBorderColor rgb="FFFF0000"/>
              <x14:axisColor rgb="FF000000"/>
            </x14:dataBar>
          </x14:cfRule>
          <xm:sqref>AG34</xm:sqref>
        </x14:conditionalFormatting>
        <x14:conditionalFormatting xmlns:xm="http://schemas.microsoft.com/office/excel/2006/main">
          <x14:cfRule type="dataBar" id="{394C8ABB-3599-4988-A06B-6B72D5514AB2}">
            <x14:dataBar minLength="0" maxLength="100" border="1" negativeBarBorderColorSameAsPositive="0">
              <x14:cfvo type="autoMin"/>
              <x14:cfvo type="autoMax"/>
              <x14:borderColor rgb="FF63C384"/>
              <x14:negativeFillColor rgb="FFFF0000"/>
              <x14:negativeBorderColor rgb="FFFF0000"/>
              <x14:axisColor rgb="FF000000"/>
            </x14:dataBar>
          </x14:cfRule>
          <xm:sqref>AG34</xm:sqref>
        </x14:conditionalFormatting>
        <x14:conditionalFormatting xmlns:xm="http://schemas.microsoft.com/office/excel/2006/main">
          <x14:cfRule type="dataBar" id="{DA7AFE3E-94E8-4898-85E2-D56EAA69D2CF}">
            <x14:dataBar minLength="0" maxLength="100" border="1" negativeBarBorderColorSameAsPositive="0">
              <x14:cfvo type="autoMin"/>
              <x14:cfvo type="autoMax"/>
              <x14:borderColor rgb="FF63C384"/>
              <x14:negativeFillColor rgb="FFFF0000"/>
              <x14:negativeBorderColor rgb="FFFF0000"/>
              <x14:axisColor rgb="FF000000"/>
            </x14:dataBar>
          </x14:cfRule>
          <xm:sqref>AG35</xm:sqref>
        </x14:conditionalFormatting>
        <x14:conditionalFormatting xmlns:xm="http://schemas.microsoft.com/office/excel/2006/main">
          <x14:cfRule type="dataBar" id="{33EEDF36-9040-4242-BC97-B8B3ECF26206}">
            <x14:dataBar minLength="0" maxLength="100" border="1" negativeBarBorderColorSameAsPositive="0">
              <x14:cfvo type="autoMin"/>
              <x14:cfvo type="autoMax"/>
              <x14:borderColor rgb="FF63C384"/>
              <x14:negativeFillColor rgb="FFFF0000"/>
              <x14:negativeBorderColor rgb="FFFF0000"/>
              <x14:axisColor rgb="FF000000"/>
            </x14:dataBar>
          </x14:cfRule>
          <xm:sqref>AG35</xm:sqref>
        </x14:conditionalFormatting>
        <x14:conditionalFormatting xmlns:xm="http://schemas.microsoft.com/office/excel/2006/main">
          <x14:cfRule type="dataBar" id="{23ACDCD9-3660-44AD-A43D-64810FF1B9BA}">
            <x14:dataBar minLength="0" maxLength="100" border="1" negativeBarBorderColorSameAsPositive="0">
              <x14:cfvo type="autoMin"/>
              <x14:cfvo type="autoMax"/>
              <x14:borderColor rgb="FF63C384"/>
              <x14:negativeFillColor rgb="FFFF0000"/>
              <x14:negativeBorderColor rgb="FFFF0000"/>
              <x14:axisColor rgb="FF000000"/>
            </x14:dataBar>
          </x14:cfRule>
          <xm:sqref>AG36</xm:sqref>
        </x14:conditionalFormatting>
        <x14:conditionalFormatting xmlns:xm="http://schemas.microsoft.com/office/excel/2006/main">
          <x14:cfRule type="dataBar" id="{8BAC8DAB-3F19-4994-8FF7-19056C9B0E80}">
            <x14:dataBar minLength="0" maxLength="100" border="1" negativeBarBorderColorSameAsPositive="0">
              <x14:cfvo type="autoMin"/>
              <x14:cfvo type="autoMax"/>
              <x14:borderColor rgb="FF63C384"/>
              <x14:negativeFillColor rgb="FFFF0000"/>
              <x14:negativeBorderColor rgb="FFFF0000"/>
              <x14:axisColor rgb="FF000000"/>
            </x14:dataBar>
          </x14:cfRule>
          <xm:sqref>AG36</xm:sqref>
        </x14:conditionalFormatting>
        <x14:conditionalFormatting xmlns:xm="http://schemas.microsoft.com/office/excel/2006/main">
          <x14:cfRule type="dataBar" id="{7FF81C8B-A13E-4320-8CE8-23A63CDA4F14}">
            <x14:dataBar minLength="0" maxLength="100" border="1" negativeBarBorderColorSameAsPositive="0">
              <x14:cfvo type="autoMin"/>
              <x14:cfvo type="autoMax"/>
              <x14:borderColor rgb="FF63C384"/>
              <x14:negativeFillColor rgb="FFFF0000"/>
              <x14:negativeBorderColor rgb="FFFF0000"/>
              <x14:axisColor rgb="FF000000"/>
            </x14:dataBar>
          </x14:cfRule>
          <xm:sqref>AG37</xm:sqref>
        </x14:conditionalFormatting>
        <x14:conditionalFormatting xmlns:xm="http://schemas.microsoft.com/office/excel/2006/main">
          <x14:cfRule type="dataBar" id="{4D5B13D9-671A-4536-A52E-9C11A6D2D467}">
            <x14:dataBar minLength="0" maxLength="100" border="1" negativeBarBorderColorSameAsPositive="0">
              <x14:cfvo type="autoMin"/>
              <x14:cfvo type="autoMax"/>
              <x14:borderColor rgb="FF63C384"/>
              <x14:negativeFillColor rgb="FFFF0000"/>
              <x14:negativeBorderColor rgb="FFFF0000"/>
              <x14:axisColor rgb="FF000000"/>
            </x14:dataBar>
          </x14:cfRule>
          <xm:sqref>AG37</xm:sqref>
        </x14:conditionalFormatting>
        <x14:conditionalFormatting xmlns:xm="http://schemas.microsoft.com/office/excel/2006/main">
          <x14:cfRule type="dataBar" id="{8564AA1F-0D96-4D9E-8764-7D5235B4C8C4}">
            <x14:dataBar minLength="0" maxLength="100" border="1" negativeBarBorderColorSameAsPositive="0">
              <x14:cfvo type="autoMin"/>
              <x14:cfvo type="autoMax"/>
              <x14:borderColor rgb="FF63C384"/>
              <x14:negativeFillColor rgb="FFFF0000"/>
              <x14:negativeBorderColor rgb="FFFF0000"/>
              <x14:axisColor rgb="FF000000"/>
            </x14:dataBar>
          </x14:cfRule>
          <xm:sqref>AG38</xm:sqref>
        </x14:conditionalFormatting>
        <x14:conditionalFormatting xmlns:xm="http://schemas.microsoft.com/office/excel/2006/main">
          <x14:cfRule type="dataBar" id="{7D7EC497-1E29-4C33-A86D-EDD1DDBE0E8A}">
            <x14:dataBar minLength="0" maxLength="100" border="1" negativeBarBorderColorSameAsPositive="0">
              <x14:cfvo type="autoMin"/>
              <x14:cfvo type="autoMax"/>
              <x14:borderColor rgb="FF63C384"/>
              <x14:negativeFillColor rgb="FFFF0000"/>
              <x14:negativeBorderColor rgb="FFFF0000"/>
              <x14:axisColor rgb="FF000000"/>
            </x14:dataBar>
          </x14:cfRule>
          <xm:sqref>AG38</xm:sqref>
        </x14:conditionalFormatting>
        <x14:conditionalFormatting xmlns:xm="http://schemas.microsoft.com/office/excel/2006/main">
          <x14:cfRule type="dataBar" id="{F7EFED6E-EFC3-4790-87E2-7FDA8CBECBF1}">
            <x14:dataBar minLength="0" maxLength="100" border="1" negativeBarBorderColorSameAsPositive="0">
              <x14:cfvo type="autoMin"/>
              <x14:cfvo type="autoMax"/>
              <x14:borderColor rgb="FF63C384"/>
              <x14:negativeFillColor rgb="FFFF0000"/>
              <x14:negativeBorderColor rgb="FFFF0000"/>
              <x14:axisColor rgb="FF000000"/>
            </x14:dataBar>
          </x14:cfRule>
          <xm:sqref>AG39</xm:sqref>
        </x14:conditionalFormatting>
        <x14:conditionalFormatting xmlns:xm="http://schemas.microsoft.com/office/excel/2006/main">
          <x14:cfRule type="dataBar" id="{4306A889-779E-40E8-9A30-A71BDDE4C619}">
            <x14:dataBar minLength="0" maxLength="100" border="1" negativeBarBorderColorSameAsPositive="0">
              <x14:cfvo type="autoMin"/>
              <x14:cfvo type="autoMax"/>
              <x14:borderColor rgb="FF63C384"/>
              <x14:negativeFillColor rgb="FFFF0000"/>
              <x14:negativeBorderColor rgb="FFFF0000"/>
              <x14:axisColor rgb="FF000000"/>
            </x14:dataBar>
          </x14:cfRule>
          <xm:sqref>AG39</xm:sqref>
        </x14:conditionalFormatting>
        <x14:conditionalFormatting xmlns:xm="http://schemas.microsoft.com/office/excel/2006/main">
          <x14:cfRule type="dataBar" id="{562F94F4-BB43-4425-98CC-CDB6329EF149}">
            <x14:dataBar minLength="0" maxLength="100" border="1" negativeBarBorderColorSameAsPositive="0">
              <x14:cfvo type="autoMin"/>
              <x14:cfvo type="autoMax"/>
              <x14:borderColor rgb="FF63C384"/>
              <x14:negativeFillColor rgb="FFFF0000"/>
              <x14:negativeBorderColor rgb="FFFF0000"/>
              <x14:axisColor rgb="FF000000"/>
            </x14:dataBar>
          </x14:cfRule>
          <xm:sqref>AG39</xm:sqref>
        </x14:conditionalFormatting>
        <x14:conditionalFormatting xmlns:xm="http://schemas.microsoft.com/office/excel/2006/main">
          <x14:cfRule type="dataBar" id="{713D87EC-5E6F-4E82-BD41-5E69C6BCCDFE}">
            <x14:dataBar minLength="0" maxLength="100" border="1" negativeBarBorderColorSameAsPositive="0">
              <x14:cfvo type="autoMin"/>
              <x14:cfvo type="autoMax"/>
              <x14:borderColor rgb="FF63C384"/>
              <x14:negativeFillColor rgb="FFFF0000"/>
              <x14:negativeBorderColor rgb="FFFF0000"/>
              <x14:axisColor rgb="FF000000"/>
            </x14:dataBar>
          </x14:cfRule>
          <xm:sqref>AG39</xm:sqref>
        </x14:conditionalFormatting>
        <x14:conditionalFormatting xmlns:xm="http://schemas.microsoft.com/office/excel/2006/main">
          <x14:cfRule type="dataBar" id="{84D59AFF-1A3B-4DBD-B73C-89B28948D9D4}">
            <x14:dataBar minLength="0" maxLength="100" border="1" negativeBarBorderColorSameAsPositive="0">
              <x14:cfvo type="autoMin"/>
              <x14:cfvo type="autoMax"/>
              <x14:borderColor rgb="FF63C384"/>
              <x14:negativeFillColor rgb="FFFF0000"/>
              <x14:negativeBorderColor rgb="FFFF0000"/>
              <x14:axisColor rgb="FF000000"/>
            </x14:dataBar>
          </x14:cfRule>
          <xm:sqref>AG39</xm:sqref>
        </x14:conditionalFormatting>
        <x14:conditionalFormatting xmlns:xm="http://schemas.microsoft.com/office/excel/2006/main">
          <x14:cfRule type="dataBar" id="{D24C8E9F-AAF5-483E-8450-B9B13DCB3C94}">
            <x14:dataBar minLength="0" maxLength="100" border="1" negativeBarBorderColorSameAsPositive="0">
              <x14:cfvo type="autoMin"/>
              <x14:cfvo type="autoMax"/>
              <x14:borderColor rgb="FF63C384"/>
              <x14:negativeFillColor rgb="FFFF0000"/>
              <x14:negativeBorderColor rgb="FFFF0000"/>
              <x14:axisColor rgb="FF000000"/>
            </x14:dataBar>
          </x14:cfRule>
          <xm:sqref>AG39</xm:sqref>
        </x14:conditionalFormatting>
        <x14:conditionalFormatting xmlns:xm="http://schemas.microsoft.com/office/excel/2006/main">
          <x14:cfRule type="dataBar" id="{8F7286A5-C7D1-4701-B64B-5AC524F386A2}">
            <x14:dataBar minLength="0" maxLength="100" border="1" negativeBarBorderColorSameAsPositive="0">
              <x14:cfvo type="autoMin"/>
              <x14:cfvo type="autoMax"/>
              <x14:borderColor rgb="FF63C384"/>
              <x14:negativeFillColor rgb="FFFF0000"/>
              <x14:negativeBorderColor rgb="FFFF0000"/>
              <x14:axisColor rgb="FF000000"/>
            </x14:dataBar>
          </x14:cfRule>
          <xm:sqref>AG39</xm:sqref>
        </x14:conditionalFormatting>
        <x14:conditionalFormatting xmlns:xm="http://schemas.microsoft.com/office/excel/2006/main">
          <x14:cfRule type="dataBar" id="{39C97711-EBB8-4DFF-91C2-EA2AD5A01F02}">
            <x14:dataBar minLength="0" maxLength="100" border="1" negativeBarBorderColorSameAsPositive="0">
              <x14:cfvo type="autoMin"/>
              <x14:cfvo type="autoMax"/>
              <x14:borderColor rgb="FF63C384"/>
              <x14:negativeFillColor rgb="FFFF0000"/>
              <x14:negativeBorderColor rgb="FFFF0000"/>
              <x14:axisColor rgb="FF000000"/>
            </x14:dataBar>
          </x14:cfRule>
          <xm:sqref>AG39</xm:sqref>
        </x14:conditionalFormatting>
        <x14:conditionalFormatting xmlns:xm="http://schemas.microsoft.com/office/excel/2006/main">
          <x14:cfRule type="dataBar" id="{1FD66F36-B991-41BB-A850-193EE910D405}">
            <x14:dataBar minLength="0" maxLength="100" border="1" negativeBarBorderColorSameAsPositive="0">
              <x14:cfvo type="autoMin"/>
              <x14:cfvo type="autoMax"/>
              <x14:borderColor rgb="FF63C384"/>
              <x14:negativeFillColor rgb="FFFF0000"/>
              <x14:negativeBorderColor rgb="FFFF0000"/>
              <x14:axisColor rgb="FF000000"/>
            </x14:dataBar>
          </x14:cfRule>
          <xm:sqref>AG41</xm:sqref>
        </x14:conditionalFormatting>
        <x14:conditionalFormatting xmlns:xm="http://schemas.microsoft.com/office/excel/2006/main">
          <x14:cfRule type="dataBar" id="{98543884-2994-40C3-B848-7EEF7878FD55}">
            <x14:dataBar minLength="0" maxLength="100" border="1" negativeBarBorderColorSameAsPositive="0">
              <x14:cfvo type="autoMin"/>
              <x14:cfvo type="autoMax"/>
              <x14:borderColor rgb="FF63C384"/>
              <x14:negativeFillColor rgb="FFFF0000"/>
              <x14:negativeBorderColor rgb="FFFF0000"/>
              <x14:axisColor rgb="FF000000"/>
            </x14:dataBar>
          </x14:cfRule>
          <xm:sqref>AG41</xm:sqref>
        </x14:conditionalFormatting>
        <x14:conditionalFormatting xmlns:xm="http://schemas.microsoft.com/office/excel/2006/main">
          <x14:cfRule type="dataBar" id="{C3F52145-D2C6-425B-953B-ABC1EF794ED5}">
            <x14:dataBar minLength="0" maxLength="100" border="1" negativeBarBorderColorSameAsPositive="0">
              <x14:cfvo type="autoMin"/>
              <x14:cfvo type="autoMax"/>
              <x14:borderColor rgb="FF63C384"/>
              <x14:negativeFillColor rgb="FFFF0000"/>
              <x14:negativeBorderColor rgb="FFFF0000"/>
              <x14:axisColor rgb="FF000000"/>
            </x14:dataBar>
          </x14:cfRule>
          <xm:sqref>AG41</xm:sqref>
        </x14:conditionalFormatting>
        <x14:conditionalFormatting xmlns:xm="http://schemas.microsoft.com/office/excel/2006/main">
          <x14:cfRule type="dataBar" id="{17889544-1276-4C9A-B1EA-D621EEC76A1D}">
            <x14:dataBar minLength="0" maxLength="100" border="1" negativeBarBorderColorSameAsPositive="0">
              <x14:cfvo type="autoMin"/>
              <x14:cfvo type="autoMax"/>
              <x14:borderColor rgb="FF63C384"/>
              <x14:negativeFillColor rgb="FFFF0000"/>
              <x14:negativeBorderColor rgb="FFFF0000"/>
              <x14:axisColor rgb="FF000000"/>
            </x14:dataBar>
          </x14:cfRule>
          <xm:sqref>AG41</xm:sqref>
        </x14:conditionalFormatting>
        <x14:conditionalFormatting xmlns:xm="http://schemas.microsoft.com/office/excel/2006/main">
          <x14:cfRule type="dataBar" id="{93AC2A2D-556B-4868-9E5B-6FBFF5703CCF}">
            <x14:dataBar minLength="0" maxLength="100" border="1" negativeBarBorderColorSameAsPositive="0">
              <x14:cfvo type="autoMin"/>
              <x14:cfvo type="autoMax"/>
              <x14:borderColor rgb="FF63C384"/>
              <x14:negativeFillColor rgb="FFFF0000"/>
              <x14:negativeBorderColor rgb="FFFF0000"/>
              <x14:axisColor rgb="FF000000"/>
            </x14:dataBar>
          </x14:cfRule>
          <xm:sqref>AG42</xm:sqref>
        </x14:conditionalFormatting>
        <x14:conditionalFormatting xmlns:xm="http://schemas.microsoft.com/office/excel/2006/main">
          <x14:cfRule type="dataBar" id="{AFB60F6D-ECB4-4979-9023-3C67F0F3F6B3}">
            <x14:dataBar minLength="0" maxLength="100" border="1" negativeBarBorderColorSameAsPositive="0">
              <x14:cfvo type="autoMin"/>
              <x14:cfvo type="autoMax"/>
              <x14:borderColor rgb="FF63C384"/>
              <x14:negativeFillColor rgb="FFFF0000"/>
              <x14:negativeBorderColor rgb="FFFF0000"/>
              <x14:axisColor rgb="FF000000"/>
            </x14:dataBar>
          </x14:cfRule>
          <xm:sqref>AG42</xm:sqref>
        </x14:conditionalFormatting>
        <x14:conditionalFormatting xmlns:xm="http://schemas.microsoft.com/office/excel/2006/main">
          <x14:cfRule type="dataBar" id="{E554445F-7435-46A8-8E75-5711A8B4B81C}">
            <x14:dataBar minLength="0" maxLength="100" border="1" negativeBarBorderColorSameAsPositive="0">
              <x14:cfvo type="autoMin"/>
              <x14:cfvo type="autoMax"/>
              <x14:borderColor rgb="FF63C384"/>
              <x14:negativeFillColor rgb="FFFF0000"/>
              <x14:negativeBorderColor rgb="FFFF0000"/>
              <x14:axisColor rgb="FF000000"/>
            </x14:dataBar>
          </x14:cfRule>
          <xm:sqref>AG40</xm:sqref>
        </x14:conditionalFormatting>
        <x14:conditionalFormatting xmlns:xm="http://schemas.microsoft.com/office/excel/2006/main">
          <x14:cfRule type="dataBar" id="{42B5CE03-2317-4208-AE95-07ACF05EEEE5}">
            <x14:dataBar minLength="0" maxLength="100" border="1" negativeBarBorderColorSameAsPositive="0">
              <x14:cfvo type="autoMin"/>
              <x14:cfvo type="autoMax"/>
              <x14:borderColor rgb="FF63C384"/>
              <x14:negativeFillColor rgb="FFFF0000"/>
              <x14:negativeBorderColor rgb="FFFF0000"/>
              <x14:axisColor rgb="FF000000"/>
            </x14:dataBar>
          </x14:cfRule>
          <xm:sqref>AG40</xm:sqref>
        </x14:conditionalFormatting>
        <x14:conditionalFormatting xmlns:xm="http://schemas.microsoft.com/office/excel/2006/main">
          <x14:cfRule type="dataBar" id="{12821CF0-C6EA-4062-ACC3-94DCB7294B57}">
            <x14:dataBar minLength="0" maxLength="100" border="1" negativeBarBorderColorSameAsPositive="0">
              <x14:cfvo type="autoMin"/>
              <x14:cfvo type="autoMax"/>
              <x14:borderColor rgb="FF63C384"/>
              <x14:negativeFillColor rgb="FFFF0000"/>
              <x14:negativeBorderColor rgb="FFFF0000"/>
              <x14:axisColor rgb="FF000000"/>
            </x14:dataBar>
          </x14:cfRule>
          <xm:sqref>AG43</xm:sqref>
        </x14:conditionalFormatting>
        <x14:conditionalFormatting xmlns:xm="http://schemas.microsoft.com/office/excel/2006/main">
          <x14:cfRule type="dataBar" id="{19FB970B-2262-480F-B269-50AD038EB8FA}">
            <x14:dataBar minLength="0" maxLength="100" border="1" negativeBarBorderColorSameAsPositive="0">
              <x14:cfvo type="autoMin"/>
              <x14:cfvo type="autoMax"/>
              <x14:borderColor rgb="FF63C384"/>
              <x14:negativeFillColor rgb="FFFF0000"/>
              <x14:negativeBorderColor rgb="FFFF0000"/>
              <x14:axisColor rgb="FF000000"/>
            </x14:dataBar>
          </x14:cfRule>
          <xm:sqref>AG43</xm:sqref>
        </x14:conditionalFormatting>
        <x14:conditionalFormatting xmlns:xm="http://schemas.microsoft.com/office/excel/2006/main">
          <x14:cfRule type="dataBar" id="{EA43918F-DAC7-467F-86B1-AC65DDFF5876}">
            <x14:dataBar minLength="0" maxLength="100" border="1" negativeBarBorderColorSameAsPositive="0">
              <x14:cfvo type="autoMin"/>
              <x14:cfvo type="autoMax"/>
              <x14:borderColor rgb="FF63C384"/>
              <x14:negativeFillColor rgb="FFFF0000"/>
              <x14:negativeBorderColor rgb="FFFF0000"/>
              <x14:axisColor rgb="FF000000"/>
            </x14:dataBar>
          </x14:cfRule>
          <xm:sqref>AG43</xm:sqref>
        </x14:conditionalFormatting>
        <x14:conditionalFormatting xmlns:xm="http://schemas.microsoft.com/office/excel/2006/main">
          <x14:cfRule type="dataBar" id="{744141C2-8BBF-4606-96C4-E8EAF84A3446}">
            <x14:dataBar minLength="0" maxLength="100" border="1" negativeBarBorderColorSameAsPositive="0">
              <x14:cfvo type="autoMin"/>
              <x14:cfvo type="autoMax"/>
              <x14:borderColor rgb="FF63C384"/>
              <x14:negativeFillColor rgb="FFFF0000"/>
              <x14:negativeBorderColor rgb="FFFF0000"/>
              <x14:axisColor rgb="FF000000"/>
            </x14:dataBar>
          </x14:cfRule>
          <xm:sqref>AG43</xm:sqref>
        </x14:conditionalFormatting>
        <x14:conditionalFormatting xmlns:xm="http://schemas.microsoft.com/office/excel/2006/main">
          <x14:cfRule type="dataBar" id="{FEABF9CE-E8B8-4ACA-B63D-0F6F2F792B37}">
            <x14:dataBar minLength="0" maxLength="100" border="1" negativeBarBorderColorSameAsPositive="0">
              <x14:cfvo type="autoMin"/>
              <x14:cfvo type="autoMax"/>
              <x14:borderColor rgb="FF63C384"/>
              <x14:negativeFillColor rgb="FFFF0000"/>
              <x14:negativeBorderColor rgb="FFFF0000"/>
              <x14:axisColor rgb="FF000000"/>
            </x14:dataBar>
          </x14:cfRule>
          <xm:sqref>AG45</xm:sqref>
        </x14:conditionalFormatting>
        <x14:conditionalFormatting xmlns:xm="http://schemas.microsoft.com/office/excel/2006/main">
          <x14:cfRule type="dataBar" id="{A2EE2FA6-94EB-410D-92D2-8D78580C2898}">
            <x14:dataBar minLength="0" maxLength="100" border="1" negativeBarBorderColorSameAsPositive="0">
              <x14:cfvo type="autoMin"/>
              <x14:cfvo type="autoMax"/>
              <x14:borderColor rgb="FF63C384"/>
              <x14:negativeFillColor rgb="FFFF0000"/>
              <x14:negativeBorderColor rgb="FFFF0000"/>
              <x14:axisColor rgb="FF000000"/>
            </x14:dataBar>
          </x14:cfRule>
          <xm:sqref>AG45</xm:sqref>
        </x14:conditionalFormatting>
        <x14:conditionalFormatting xmlns:xm="http://schemas.microsoft.com/office/excel/2006/main">
          <x14:cfRule type="dataBar" id="{FA8FF892-67C8-495D-B202-7EA7BA1A3A9C}">
            <x14:dataBar minLength="0" maxLength="100" border="1" negativeBarBorderColorSameAsPositive="0">
              <x14:cfvo type="autoMin"/>
              <x14:cfvo type="autoMax"/>
              <x14:borderColor rgb="FF63C384"/>
              <x14:negativeFillColor rgb="FFFF0000"/>
              <x14:negativeBorderColor rgb="FFFF0000"/>
              <x14:axisColor rgb="FF000000"/>
            </x14:dataBar>
          </x14:cfRule>
          <xm:sqref>AG46</xm:sqref>
        </x14:conditionalFormatting>
        <x14:conditionalFormatting xmlns:xm="http://schemas.microsoft.com/office/excel/2006/main">
          <x14:cfRule type="dataBar" id="{C4F3BD44-98F6-463B-A79C-4E49F33757B9}">
            <x14:dataBar minLength="0" maxLength="100" border="1" negativeBarBorderColorSameAsPositive="0">
              <x14:cfvo type="autoMin"/>
              <x14:cfvo type="autoMax"/>
              <x14:borderColor rgb="FF63C384"/>
              <x14:negativeFillColor rgb="FFFF0000"/>
              <x14:negativeBorderColor rgb="FFFF0000"/>
              <x14:axisColor rgb="FF000000"/>
            </x14:dataBar>
          </x14:cfRule>
          <xm:sqref>AG46</xm:sqref>
        </x14:conditionalFormatting>
        <x14:conditionalFormatting xmlns:xm="http://schemas.microsoft.com/office/excel/2006/main">
          <x14:cfRule type="dataBar" id="{55C554B0-C334-48A6-B7CD-47C6609B464B}">
            <x14:dataBar minLength="0" maxLength="100" border="1" negativeBarBorderColorSameAsPositive="0">
              <x14:cfvo type="autoMin"/>
              <x14:cfvo type="autoMax"/>
              <x14:borderColor rgb="FF63C384"/>
              <x14:negativeFillColor rgb="FFFF0000"/>
              <x14:negativeBorderColor rgb="FFFF0000"/>
              <x14:axisColor rgb="FF000000"/>
            </x14:dataBar>
          </x14:cfRule>
          <xm:sqref>AG46</xm:sqref>
        </x14:conditionalFormatting>
        <x14:conditionalFormatting xmlns:xm="http://schemas.microsoft.com/office/excel/2006/main">
          <x14:cfRule type="dataBar" id="{07CC7611-3EF7-4AF3-8C77-DFFCBCA7A82A}">
            <x14:dataBar minLength="0" maxLength="100" border="1" negativeBarBorderColorSameAsPositive="0">
              <x14:cfvo type="autoMin"/>
              <x14:cfvo type="autoMax"/>
              <x14:borderColor rgb="FF63C384"/>
              <x14:negativeFillColor rgb="FFFF0000"/>
              <x14:negativeBorderColor rgb="FFFF0000"/>
              <x14:axisColor rgb="FF000000"/>
            </x14:dataBar>
          </x14:cfRule>
          <xm:sqref>AG46</xm:sqref>
        </x14:conditionalFormatting>
        <x14:conditionalFormatting xmlns:xm="http://schemas.microsoft.com/office/excel/2006/main">
          <x14:cfRule type="dataBar" id="{E5AE2B8C-F5E1-4292-B1A0-D18C298FEC69}">
            <x14:dataBar minLength="0" maxLength="100" border="1" negativeBarBorderColorSameAsPositive="0">
              <x14:cfvo type="autoMin"/>
              <x14:cfvo type="autoMax"/>
              <x14:borderColor rgb="FF63C384"/>
              <x14:negativeFillColor rgb="FFFF0000"/>
              <x14:negativeBorderColor rgb="FFFF0000"/>
              <x14:axisColor rgb="FF000000"/>
            </x14:dataBar>
          </x14:cfRule>
          <xm:sqref>AG45</xm:sqref>
        </x14:conditionalFormatting>
        <x14:conditionalFormatting xmlns:xm="http://schemas.microsoft.com/office/excel/2006/main">
          <x14:cfRule type="dataBar" id="{96DC0D28-0473-4056-A194-4BE762431291}">
            <x14:dataBar minLength="0" maxLength="100" border="1" negativeBarBorderColorSameAsPositive="0">
              <x14:cfvo type="autoMin"/>
              <x14:cfvo type="autoMax"/>
              <x14:borderColor rgb="FF63C384"/>
              <x14:negativeFillColor rgb="FFFF0000"/>
              <x14:negativeBorderColor rgb="FFFF0000"/>
              <x14:axisColor rgb="FF000000"/>
            </x14:dataBar>
          </x14:cfRule>
          <xm:sqref>AG45</xm:sqref>
        </x14:conditionalFormatting>
        <x14:conditionalFormatting xmlns:xm="http://schemas.microsoft.com/office/excel/2006/main">
          <x14:cfRule type="dataBar" id="{4EE83411-CEEC-4FFA-A280-57245C592FC1}">
            <x14:dataBar minLength="0" maxLength="100" border="1" negativeBarBorderColorSameAsPositive="0">
              <x14:cfvo type="autoMin"/>
              <x14:cfvo type="autoMax"/>
              <x14:borderColor rgb="FF63C384"/>
              <x14:negativeFillColor rgb="FFFF0000"/>
              <x14:negativeBorderColor rgb="FFFF0000"/>
              <x14:axisColor rgb="FF000000"/>
            </x14:dataBar>
          </x14:cfRule>
          <xm:sqref>AG46</xm:sqref>
        </x14:conditionalFormatting>
        <x14:conditionalFormatting xmlns:xm="http://schemas.microsoft.com/office/excel/2006/main">
          <x14:cfRule type="dataBar" id="{A0E6BEF4-86EC-49C4-AB16-5952694E79AC}">
            <x14:dataBar minLength="0" maxLength="100" border="1" negativeBarBorderColorSameAsPositive="0">
              <x14:cfvo type="autoMin"/>
              <x14:cfvo type="autoMax"/>
              <x14:borderColor rgb="FF63C384"/>
              <x14:negativeFillColor rgb="FFFF0000"/>
              <x14:negativeBorderColor rgb="FFFF0000"/>
              <x14:axisColor rgb="FF000000"/>
            </x14:dataBar>
          </x14:cfRule>
          <xm:sqref>AG46</xm:sqref>
        </x14:conditionalFormatting>
        <x14:conditionalFormatting xmlns:xm="http://schemas.microsoft.com/office/excel/2006/main">
          <x14:cfRule type="dataBar" id="{18961199-983A-4904-9F6E-53EE6B97FA17}">
            <x14:dataBar minLength="0" maxLength="100" border="1" negativeBarBorderColorSameAsPositive="0">
              <x14:cfvo type="autoMin"/>
              <x14:cfvo type="autoMax"/>
              <x14:borderColor rgb="FF63C384"/>
              <x14:negativeFillColor rgb="FFFF0000"/>
              <x14:negativeBorderColor rgb="FFFF0000"/>
              <x14:axisColor rgb="FF000000"/>
            </x14:dataBar>
          </x14:cfRule>
          <xm:sqref>AG47</xm:sqref>
        </x14:conditionalFormatting>
        <x14:conditionalFormatting xmlns:xm="http://schemas.microsoft.com/office/excel/2006/main">
          <x14:cfRule type="dataBar" id="{FF93CC60-9E8F-4ECA-858C-6097E6178216}">
            <x14:dataBar minLength="0" maxLength="100" border="1" negativeBarBorderColorSameAsPositive="0">
              <x14:cfvo type="autoMin"/>
              <x14:cfvo type="autoMax"/>
              <x14:borderColor rgb="FF63C384"/>
              <x14:negativeFillColor rgb="FFFF0000"/>
              <x14:negativeBorderColor rgb="FFFF0000"/>
              <x14:axisColor rgb="FF000000"/>
            </x14:dataBar>
          </x14:cfRule>
          <xm:sqref>AG47</xm:sqref>
        </x14:conditionalFormatting>
        <x14:conditionalFormatting xmlns:xm="http://schemas.microsoft.com/office/excel/2006/main">
          <x14:cfRule type="dataBar" id="{B95CC75A-6A4A-4BA5-90A3-C1F1602F4B80}">
            <x14:dataBar minLength="0" maxLength="100" border="1" negativeBarBorderColorSameAsPositive="0">
              <x14:cfvo type="autoMin"/>
              <x14:cfvo type="autoMax"/>
              <x14:borderColor rgb="FF63C384"/>
              <x14:negativeFillColor rgb="FFFF0000"/>
              <x14:negativeBorderColor rgb="FFFF0000"/>
              <x14:axisColor rgb="FF000000"/>
            </x14:dataBar>
          </x14:cfRule>
          <xm:sqref>AG47</xm:sqref>
        </x14:conditionalFormatting>
        <x14:conditionalFormatting xmlns:xm="http://schemas.microsoft.com/office/excel/2006/main">
          <x14:cfRule type="dataBar" id="{3C55300C-E781-41BF-821B-984379EA830D}">
            <x14:dataBar minLength="0" maxLength="100" border="1" negativeBarBorderColorSameAsPositive="0">
              <x14:cfvo type="autoMin"/>
              <x14:cfvo type="autoMax"/>
              <x14:borderColor rgb="FF63C384"/>
              <x14:negativeFillColor rgb="FFFF0000"/>
              <x14:negativeBorderColor rgb="FFFF0000"/>
              <x14:axisColor rgb="FF000000"/>
            </x14:dataBar>
          </x14:cfRule>
          <xm:sqref>AG47</xm:sqref>
        </x14:conditionalFormatting>
        <x14:conditionalFormatting xmlns:xm="http://schemas.microsoft.com/office/excel/2006/main">
          <x14:cfRule type="dataBar" id="{75EA56FA-4B87-45D2-9A1C-ADEBC02BDDED}">
            <x14:dataBar minLength="0" maxLength="100" border="1" negativeBarBorderColorSameAsPositive="0">
              <x14:cfvo type="autoMin"/>
              <x14:cfvo type="autoMax"/>
              <x14:borderColor rgb="FF63C384"/>
              <x14:negativeFillColor rgb="FFFF0000"/>
              <x14:negativeBorderColor rgb="FFFF0000"/>
              <x14:axisColor rgb="FF000000"/>
            </x14:dataBar>
          </x14:cfRule>
          <xm:sqref>AG44</xm:sqref>
        </x14:conditionalFormatting>
        <x14:conditionalFormatting xmlns:xm="http://schemas.microsoft.com/office/excel/2006/main">
          <x14:cfRule type="dataBar" id="{8C7733CF-185E-4484-A9C5-2199DE0610E1}">
            <x14:dataBar minLength="0" maxLength="100" border="1" negativeBarBorderColorSameAsPositive="0">
              <x14:cfvo type="autoMin"/>
              <x14:cfvo type="autoMax"/>
              <x14:borderColor rgb="FF63C384"/>
              <x14:negativeFillColor rgb="FFFF0000"/>
              <x14:negativeBorderColor rgb="FFFF0000"/>
              <x14:axisColor rgb="FF000000"/>
            </x14:dataBar>
          </x14:cfRule>
          <xm:sqref>AG44</xm:sqref>
        </x14:conditionalFormatting>
        <x14:conditionalFormatting xmlns:xm="http://schemas.microsoft.com/office/excel/2006/main">
          <x14:cfRule type="dataBar" id="{3C93A3F8-CD4A-4C97-B90D-C5F7B71FB89C}">
            <x14:dataBar minLength="0" maxLength="100" border="1" negativeBarBorderColorSameAsPositive="0">
              <x14:cfvo type="autoMin"/>
              <x14:cfvo type="autoMax"/>
              <x14:borderColor rgb="FF63C384"/>
              <x14:negativeFillColor rgb="FFFF0000"/>
              <x14:negativeBorderColor rgb="FFFF0000"/>
              <x14:axisColor rgb="FF000000"/>
            </x14:dataBar>
          </x14:cfRule>
          <xm:sqref>AG48</xm:sqref>
        </x14:conditionalFormatting>
        <x14:conditionalFormatting xmlns:xm="http://schemas.microsoft.com/office/excel/2006/main">
          <x14:cfRule type="dataBar" id="{E158AC3C-EEF1-43A2-A4BC-CCDFD285419B}">
            <x14:dataBar minLength="0" maxLength="100" border="1" negativeBarBorderColorSameAsPositive="0">
              <x14:cfvo type="autoMin"/>
              <x14:cfvo type="autoMax"/>
              <x14:borderColor rgb="FF63C384"/>
              <x14:negativeFillColor rgb="FFFF0000"/>
              <x14:negativeBorderColor rgb="FFFF0000"/>
              <x14:axisColor rgb="FF000000"/>
            </x14:dataBar>
          </x14:cfRule>
          <xm:sqref>AG48</xm:sqref>
        </x14:conditionalFormatting>
        <x14:conditionalFormatting xmlns:xm="http://schemas.microsoft.com/office/excel/2006/main">
          <x14:cfRule type="dataBar" id="{43C247CB-D19B-4A9F-B7E9-7F6A9CAC9366}">
            <x14:dataBar minLength="0" maxLength="100" border="1" negativeBarBorderColorSameAsPositive="0">
              <x14:cfvo type="autoMin"/>
              <x14:cfvo type="autoMax"/>
              <x14:borderColor rgb="FF63C384"/>
              <x14:negativeFillColor rgb="FFFF0000"/>
              <x14:negativeBorderColor rgb="FFFF0000"/>
              <x14:axisColor rgb="FF000000"/>
            </x14:dataBar>
          </x14:cfRule>
          <xm:sqref>AG48</xm:sqref>
        </x14:conditionalFormatting>
        <x14:conditionalFormatting xmlns:xm="http://schemas.microsoft.com/office/excel/2006/main">
          <x14:cfRule type="dataBar" id="{6C18D26A-138D-4F8E-80F5-15FC87F1BDCF}">
            <x14:dataBar minLength="0" maxLength="100" border="1" negativeBarBorderColorSameAsPositive="0">
              <x14:cfvo type="autoMin"/>
              <x14:cfvo type="autoMax"/>
              <x14:borderColor rgb="FF63C384"/>
              <x14:negativeFillColor rgb="FFFF0000"/>
              <x14:negativeBorderColor rgb="FFFF0000"/>
              <x14:axisColor rgb="FF000000"/>
            </x14:dataBar>
          </x14:cfRule>
          <xm:sqref>AG48</xm:sqref>
        </x14:conditionalFormatting>
        <x14:conditionalFormatting xmlns:xm="http://schemas.microsoft.com/office/excel/2006/main">
          <x14:cfRule type="dataBar" id="{6C4D2D80-CD07-4845-A1EB-933770481BFB}">
            <x14:dataBar minLength="0" maxLength="100" border="1" negativeBarBorderColorSameAsPositive="0">
              <x14:cfvo type="autoMin"/>
              <x14:cfvo type="autoMax"/>
              <x14:borderColor rgb="FF63C384"/>
              <x14:negativeFillColor rgb="FFFF0000"/>
              <x14:negativeBorderColor rgb="FFFF0000"/>
              <x14:axisColor rgb="FF000000"/>
            </x14:dataBar>
          </x14:cfRule>
          <xm:sqref>AG49</xm:sqref>
        </x14:conditionalFormatting>
        <x14:conditionalFormatting xmlns:xm="http://schemas.microsoft.com/office/excel/2006/main">
          <x14:cfRule type="dataBar" id="{C6E6315C-BF26-454D-97A1-A4F3E61CE388}">
            <x14:dataBar minLength="0" maxLength="100" border="1" negativeBarBorderColorSameAsPositive="0">
              <x14:cfvo type="autoMin"/>
              <x14:cfvo type="autoMax"/>
              <x14:borderColor rgb="FF63C384"/>
              <x14:negativeFillColor rgb="FFFF0000"/>
              <x14:negativeBorderColor rgb="FFFF0000"/>
              <x14:axisColor rgb="FF000000"/>
            </x14:dataBar>
          </x14:cfRule>
          <xm:sqref>AG49</xm:sqref>
        </x14:conditionalFormatting>
        <x14:conditionalFormatting xmlns:xm="http://schemas.microsoft.com/office/excel/2006/main">
          <x14:cfRule type="dataBar" id="{DBBD05AE-A0AB-443B-9C89-BDBDF5B1D8A9}">
            <x14:dataBar minLength="0" maxLength="100" border="1" negativeBarBorderColorSameAsPositive="0">
              <x14:cfvo type="autoMin"/>
              <x14:cfvo type="autoMax"/>
              <x14:borderColor rgb="FF63C384"/>
              <x14:negativeFillColor rgb="FFFF0000"/>
              <x14:negativeBorderColor rgb="FFFF0000"/>
              <x14:axisColor rgb="FF000000"/>
            </x14:dataBar>
          </x14:cfRule>
          <xm:sqref>AG50</xm:sqref>
        </x14:conditionalFormatting>
        <x14:conditionalFormatting xmlns:xm="http://schemas.microsoft.com/office/excel/2006/main">
          <x14:cfRule type="dataBar" id="{C2F5635C-8CC6-4C40-8EC7-198E2D22AACD}">
            <x14:dataBar minLength="0" maxLength="100" border="1" negativeBarBorderColorSameAsPositive="0">
              <x14:cfvo type="autoMin"/>
              <x14:cfvo type="autoMax"/>
              <x14:borderColor rgb="FF63C384"/>
              <x14:negativeFillColor rgb="FFFF0000"/>
              <x14:negativeBorderColor rgb="FFFF0000"/>
              <x14:axisColor rgb="FF000000"/>
            </x14:dataBar>
          </x14:cfRule>
          <xm:sqref>AG50</xm:sqref>
        </x14:conditionalFormatting>
        <x14:conditionalFormatting xmlns:xm="http://schemas.microsoft.com/office/excel/2006/main">
          <x14:cfRule type="dataBar" id="{65BDA6CF-D34C-4DD5-AA4E-101FBEABA8BF}">
            <x14:dataBar minLength="0" maxLength="100" border="1" negativeBarBorderColorSameAsPositive="0">
              <x14:cfvo type="autoMin"/>
              <x14:cfvo type="autoMax"/>
              <x14:borderColor rgb="FF63C384"/>
              <x14:negativeFillColor rgb="FFFF0000"/>
              <x14:negativeBorderColor rgb="FFFF0000"/>
              <x14:axisColor rgb="FF000000"/>
            </x14:dataBar>
          </x14:cfRule>
          <xm:sqref>AG51</xm:sqref>
        </x14:conditionalFormatting>
        <x14:conditionalFormatting xmlns:xm="http://schemas.microsoft.com/office/excel/2006/main">
          <x14:cfRule type="dataBar" id="{FF7D6BBF-FDE3-4FC5-9298-2B7DE7FE619C}">
            <x14:dataBar minLength="0" maxLength="100" border="1" negativeBarBorderColorSameAsPositive="0">
              <x14:cfvo type="autoMin"/>
              <x14:cfvo type="autoMax"/>
              <x14:borderColor rgb="FF63C384"/>
              <x14:negativeFillColor rgb="FFFF0000"/>
              <x14:negativeBorderColor rgb="FFFF0000"/>
              <x14:axisColor rgb="FF000000"/>
            </x14:dataBar>
          </x14:cfRule>
          <xm:sqref>AG51</xm:sqref>
        </x14:conditionalFormatting>
        <x14:conditionalFormatting xmlns:xm="http://schemas.microsoft.com/office/excel/2006/main">
          <x14:cfRule type="dataBar" id="{72B4C07A-420B-4607-A13B-774FB043B74A}">
            <x14:dataBar minLength="0" maxLength="100" border="1" negativeBarBorderColorSameAsPositive="0">
              <x14:cfvo type="autoMin"/>
              <x14:cfvo type="autoMax"/>
              <x14:borderColor rgb="FF63C384"/>
              <x14:negativeFillColor rgb="FFFF0000"/>
              <x14:negativeBorderColor rgb="FFFF0000"/>
              <x14:axisColor rgb="FF000000"/>
            </x14:dataBar>
          </x14:cfRule>
          <xm:sqref>AG52</xm:sqref>
        </x14:conditionalFormatting>
        <x14:conditionalFormatting xmlns:xm="http://schemas.microsoft.com/office/excel/2006/main">
          <x14:cfRule type="dataBar" id="{8F0D3B80-F4BA-46B7-8B93-603E398114A1}">
            <x14:dataBar minLength="0" maxLength="100" border="1" negativeBarBorderColorSameAsPositive="0">
              <x14:cfvo type="autoMin"/>
              <x14:cfvo type="autoMax"/>
              <x14:borderColor rgb="FF63C384"/>
              <x14:negativeFillColor rgb="FFFF0000"/>
              <x14:negativeBorderColor rgb="FFFF0000"/>
              <x14:axisColor rgb="FF000000"/>
            </x14:dataBar>
          </x14:cfRule>
          <xm:sqref>AG52</xm:sqref>
        </x14:conditionalFormatting>
        <x14:conditionalFormatting xmlns:xm="http://schemas.microsoft.com/office/excel/2006/main">
          <x14:cfRule type="dataBar" id="{B057AEB4-2367-4071-BFA1-A7BB9664A041}">
            <x14:dataBar minLength="0" maxLength="100" border="1" negativeBarBorderColorSameAsPositive="0">
              <x14:cfvo type="autoMin"/>
              <x14:cfvo type="autoMax"/>
              <x14:borderColor rgb="FF63C384"/>
              <x14:negativeFillColor rgb="FFFF0000"/>
              <x14:negativeBorderColor rgb="FFFF0000"/>
              <x14:axisColor rgb="FF000000"/>
            </x14:dataBar>
          </x14:cfRule>
          <xm:sqref>AG52</xm:sqref>
        </x14:conditionalFormatting>
        <x14:conditionalFormatting xmlns:xm="http://schemas.microsoft.com/office/excel/2006/main">
          <x14:cfRule type="dataBar" id="{B7C1BBE7-D036-4D6E-84D6-C426CEF84894}">
            <x14:dataBar minLength="0" maxLength="100" border="1" negativeBarBorderColorSameAsPositive="0">
              <x14:cfvo type="autoMin"/>
              <x14:cfvo type="autoMax"/>
              <x14:borderColor rgb="FF63C384"/>
              <x14:negativeFillColor rgb="FFFF0000"/>
              <x14:negativeBorderColor rgb="FFFF0000"/>
              <x14:axisColor rgb="FF000000"/>
            </x14:dataBar>
          </x14:cfRule>
          <xm:sqref>AG52</xm:sqref>
        </x14:conditionalFormatting>
        <x14:conditionalFormatting xmlns:xm="http://schemas.microsoft.com/office/excel/2006/main">
          <x14:cfRule type="dataBar" id="{98554802-5EBA-4331-B092-38A26DE1ADE7}">
            <x14:dataBar minLength="0" maxLength="100" border="1" negativeBarBorderColorSameAsPositive="0">
              <x14:cfvo type="autoMin"/>
              <x14:cfvo type="autoMax"/>
              <x14:borderColor rgb="FF63C384"/>
              <x14:negativeFillColor rgb="FFFF0000"/>
              <x14:negativeBorderColor rgb="FFFF0000"/>
              <x14:axisColor rgb="FF000000"/>
            </x14:dataBar>
          </x14:cfRule>
          <xm:sqref>AG53</xm:sqref>
        </x14:conditionalFormatting>
        <x14:conditionalFormatting xmlns:xm="http://schemas.microsoft.com/office/excel/2006/main">
          <x14:cfRule type="dataBar" id="{0B73345E-00E0-4FCF-A661-877A547A78C1}">
            <x14:dataBar minLength="0" maxLength="100" border="1" negativeBarBorderColorSameAsPositive="0">
              <x14:cfvo type="autoMin"/>
              <x14:cfvo type="autoMax"/>
              <x14:borderColor rgb="FF63C384"/>
              <x14:negativeFillColor rgb="FFFF0000"/>
              <x14:negativeBorderColor rgb="FFFF0000"/>
              <x14:axisColor rgb="FF000000"/>
            </x14:dataBar>
          </x14:cfRule>
          <xm:sqref>AG53</xm:sqref>
        </x14:conditionalFormatting>
        <x14:conditionalFormatting xmlns:xm="http://schemas.microsoft.com/office/excel/2006/main">
          <x14:cfRule type="dataBar" id="{285E5BC2-5FBB-4F31-9BA3-5C36B80B44C7}">
            <x14:dataBar minLength="0" maxLength="100" border="1" negativeBarBorderColorSameAsPositive="0">
              <x14:cfvo type="autoMin"/>
              <x14:cfvo type="autoMax"/>
              <x14:borderColor rgb="FF63C384"/>
              <x14:negativeFillColor rgb="FFFF0000"/>
              <x14:negativeBorderColor rgb="FFFF0000"/>
              <x14:axisColor rgb="FF000000"/>
            </x14:dataBar>
          </x14:cfRule>
          <xm:sqref>AG54</xm:sqref>
        </x14:conditionalFormatting>
        <x14:conditionalFormatting xmlns:xm="http://schemas.microsoft.com/office/excel/2006/main">
          <x14:cfRule type="dataBar" id="{0DFC0C1A-2533-471E-874D-97FA1E795FA7}">
            <x14:dataBar minLength="0" maxLength="100" border="1" negativeBarBorderColorSameAsPositive="0">
              <x14:cfvo type="autoMin"/>
              <x14:cfvo type="autoMax"/>
              <x14:borderColor rgb="FF63C384"/>
              <x14:negativeFillColor rgb="FFFF0000"/>
              <x14:negativeBorderColor rgb="FFFF0000"/>
              <x14:axisColor rgb="FF000000"/>
            </x14:dataBar>
          </x14:cfRule>
          <xm:sqref>AG54</xm:sqref>
        </x14:conditionalFormatting>
        <x14:conditionalFormatting xmlns:xm="http://schemas.microsoft.com/office/excel/2006/main">
          <x14:cfRule type="dataBar" id="{D15A6416-F1C3-4B50-A5ED-57D739308341}">
            <x14:dataBar minLength="0" maxLength="100" border="1" negativeBarBorderColorSameAsPositive="0">
              <x14:cfvo type="autoMin"/>
              <x14:cfvo type="autoMax"/>
              <x14:borderColor rgb="FF63C384"/>
              <x14:negativeFillColor rgb="FFFF0000"/>
              <x14:negativeBorderColor rgb="FFFF0000"/>
              <x14:axisColor rgb="FF000000"/>
            </x14:dataBar>
          </x14:cfRule>
          <xm:sqref>AG54</xm:sqref>
        </x14:conditionalFormatting>
        <x14:conditionalFormatting xmlns:xm="http://schemas.microsoft.com/office/excel/2006/main">
          <x14:cfRule type="dataBar" id="{CBFC7BFB-9104-4E82-86A8-5A950E1095C3}">
            <x14:dataBar minLength="0" maxLength="100" border="1" negativeBarBorderColorSameAsPositive="0">
              <x14:cfvo type="autoMin"/>
              <x14:cfvo type="autoMax"/>
              <x14:borderColor rgb="FF63C384"/>
              <x14:negativeFillColor rgb="FFFF0000"/>
              <x14:negativeBorderColor rgb="FFFF0000"/>
              <x14:axisColor rgb="FF000000"/>
            </x14:dataBar>
          </x14:cfRule>
          <xm:sqref>AG54</xm:sqref>
        </x14:conditionalFormatting>
        <x14:conditionalFormatting xmlns:xm="http://schemas.microsoft.com/office/excel/2006/main">
          <x14:cfRule type="dataBar" id="{BD4DB6BC-1283-4473-ADC2-ACDE562DC074}">
            <x14:dataBar minLength="0" maxLength="100" border="1" negativeBarBorderColorSameAsPositive="0">
              <x14:cfvo type="autoMin"/>
              <x14:cfvo type="autoMax"/>
              <x14:borderColor rgb="FF63C384"/>
              <x14:negativeFillColor rgb="FFFF0000"/>
              <x14:negativeBorderColor rgb="FFFF0000"/>
              <x14:axisColor rgb="FF000000"/>
            </x14:dataBar>
          </x14:cfRule>
          <xm:sqref>AG55</xm:sqref>
        </x14:conditionalFormatting>
        <x14:conditionalFormatting xmlns:xm="http://schemas.microsoft.com/office/excel/2006/main">
          <x14:cfRule type="dataBar" id="{5E9D9F0B-FB71-4B2D-BFB1-F53FDAA47719}">
            <x14:dataBar minLength="0" maxLength="100" border="1" negativeBarBorderColorSameAsPositive="0">
              <x14:cfvo type="autoMin"/>
              <x14:cfvo type="autoMax"/>
              <x14:borderColor rgb="FF63C384"/>
              <x14:negativeFillColor rgb="FFFF0000"/>
              <x14:negativeBorderColor rgb="FFFF0000"/>
              <x14:axisColor rgb="FF000000"/>
            </x14:dataBar>
          </x14:cfRule>
          <xm:sqref>AG55</xm:sqref>
        </x14:conditionalFormatting>
        <x14:conditionalFormatting xmlns:xm="http://schemas.microsoft.com/office/excel/2006/main">
          <x14:cfRule type="dataBar" id="{8D2905FE-3D4A-42DB-84D2-131C112AFD54}">
            <x14:dataBar minLength="0" maxLength="100" border="1" negativeBarBorderColorSameAsPositive="0">
              <x14:cfvo type="autoMin"/>
              <x14:cfvo type="autoMax"/>
              <x14:borderColor rgb="FF63C384"/>
              <x14:negativeFillColor rgb="FFFF0000"/>
              <x14:negativeBorderColor rgb="FFFF0000"/>
              <x14:axisColor rgb="FF000000"/>
            </x14:dataBar>
          </x14:cfRule>
          <xm:sqref>AG56</xm:sqref>
        </x14:conditionalFormatting>
        <x14:conditionalFormatting xmlns:xm="http://schemas.microsoft.com/office/excel/2006/main">
          <x14:cfRule type="dataBar" id="{19E38CCA-E552-4C48-BC0F-C34A91E95D80}">
            <x14:dataBar minLength="0" maxLength="100" border="1" negativeBarBorderColorSameAsPositive="0">
              <x14:cfvo type="autoMin"/>
              <x14:cfvo type="autoMax"/>
              <x14:borderColor rgb="FF63C384"/>
              <x14:negativeFillColor rgb="FFFF0000"/>
              <x14:negativeBorderColor rgb="FFFF0000"/>
              <x14:axisColor rgb="FF000000"/>
            </x14:dataBar>
          </x14:cfRule>
          <xm:sqref>AG56</xm:sqref>
        </x14:conditionalFormatting>
        <x14:conditionalFormatting xmlns:xm="http://schemas.microsoft.com/office/excel/2006/main">
          <x14:cfRule type="dataBar" id="{90C11B2F-4736-48C3-95A9-ED2AFB77D041}">
            <x14:dataBar minLength="0" maxLength="100" border="1" negativeBarBorderColorSameAsPositive="0">
              <x14:cfvo type="autoMin"/>
              <x14:cfvo type="autoMax"/>
              <x14:borderColor rgb="FF63C384"/>
              <x14:negativeFillColor rgb="FFFF0000"/>
              <x14:negativeBorderColor rgb="FFFF0000"/>
              <x14:axisColor rgb="FF000000"/>
            </x14:dataBar>
          </x14:cfRule>
          <xm:sqref>AG57</xm:sqref>
        </x14:conditionalFormatting>
        <x14:conditionalFormatting xmlns:xm="http://schemas.microsoft.com/office/excel/2006/main">
          <x14:cfRule type="dataBar" id="{5582A8ED-3F5F-4F41-8E19-50ACA2A0438F}">
            <x14:dataBar minLength="0" maxLength="100" border="1" negativeBarBorderColorSameAsPositive="0">
              <x14:cfvo type="autoMin"/>
              <x14:cfvo type="autoMax"/>
              <x14:borderColor rgb="FF63C384"/>
              <x14:negativeFillColor rgb="FFFF0000"/>
              <x14:negativeBorderColor rgb="FFFF0000"/>
              <x14:axisColor rgb="FF000000"/>
            </x14:dataBar>
          </x14:cfRule>
          <xm:sqref>AG57</xm:sqref>
        </x14:conditionalFormatting>
        <x14:conditionalFormatting xmlns:xm="http://schemas.microsoft.com/office/excel/2006/main">
          <x14:cfRule type="dataBar" id="{445A71FC-CA0A-4F57-8483-CFF32A394EB4}">
            <x14:dataBar minLength="0" maxLength="100" border="1" negativeBarBorderColorSameAsPositive="0">
              <x14:cfvo type="autoMin"/>
              <x14:cfvo type="autoMax"/>
              <x14:borderColor rgb="FF63C384"/>
              <x14:negativeFillColor rgb="FFFF0000"/>
              <x14:negativeBorderColor rgb="FFFF0000"/>
              <x14:axisColor rgb="FF000000"/>
            </x14:dataBar>
          </x14:cfRule>
          <xm:sqref>AG57</xm:sqref>
        </x14:conditionalFormatting>
        <x14:conditionalFormatting xmlns:xm="http://schemas.microsoft.com/office/excel/2006/main">
          <x14:cfRule type="dataBar" id="{672FAB80-81C6-4B43-BECF-04EF5247CBA0}">
            <x14:dataBar minLength="0" maxLength="100" border="1" negativeBarBorderColorSameAsPositive="0">
              <x14:cfvo type="autoMin"/>
              <x14:cfvo type="autoMax"/>
              <x14:borderColor rgb="FF63C384"/>
              <x14:negativeFillColor rgb="FFFF0000"/>
              <x14:negativeBorderColor rgb="FFFF0000"/>
              <x14:axisColor rgb="FF000000"/>
            </x14:dataBar>
          </x14:cfRule>
          <xm:sqref>AG57</xm:sqref>
        </x14:conditionalFormatting>
        <x14:conditionalFormatting xmlns:xm="http://schemas.microsoft.com/office/excel/2006/main">
          <x14:cfRule type="dataBar" id="{813255A0-2335-4FE1-84FF-62E34AACF10E}">
            <x14:dataBar minLength="0" maxLength="100" border="1" negativeBarBorderColorSameAsPositive="0">
              <x14:cfvo type="autoMin"/>
              <x14:cfvo type="autoMax"/>
              <x14:borderColor rgb="FF63C384"/>
              <x14:negativeFillColor rgb="FFFF0000"/>
              <x14:negativeBorderColor rgb="FFFF0000"/>
              <x14:axisColor rgb="FF000000"/>
            </x14:dataBar>
          </x14:cfRule>
          <xm:sqref>AG58</xm:sqref>
        </x14:conditionalFormatting>
        <x14:conditionalFormatting xmlns:xm="http://schemas.microsoft.com/office/excel/2006/main">
          <x14:cfRule type="dataBar" id="{1063B648-A98F-4AE8-AB4C-BCAC38F56DA0}">
            <x14:dataBar minLength="0" maxLength="100" border="1" negativeBarBorderColorSameAsPositive="0">
              <x14:cfvo type="autoMin"/>
              <x14:cfvo type="autoMax"/>
              <x14:borderColor rgb="FF63C384"/>
              <x14:negativeFillColor rgb="FFFF0000"/>
              <x14:negativeBorderColor rgb="FFFF0000"/>
              <x14:axisColor rgb="FF000000"/>
            </x14:dataBar>
          </x14:cfRule>
          <xm:sqref>AG58</xm:sqref>
        </x14:conditionalFormatting>
        <x14:conditionalFormatting xmlns:xm="http://schemas.microsoft.com/office/excel/2006/main">
          <x14:cfRule type="dataBar" id="{748FE61B-88A8-4A08-BAD1-9A726FC64347}">
            <x14:dataBar minLength="0" maxLength="100" border="1" negativeBarBorderColorSameAsPositive="0">
              <x14:cfvo type="autoMin"/>
              <x14:cfvo type="autoMax"/>
              <x14:borderColor rgb="FF63C384"/>
              <x14:negativeFillColor rgb="FFFF0000"/>
              <x14:negativeBorderColor rgb="FFFF0000"/>
              <x14:axisColor rgb="FF000000"/>
            </x14:dataBar>
          </x14:cfRule>
          <xm:sqref>AG59</xm:sqref>
        </x14:conditionalFormatting>
        <x14:conditionalFormatting xmlns:xm="http://schemas.microsoft.com/office/excel/2006/main">
          <x14:cfRule type="dataBar" id="{32379AAC-F168-4315-A628-BDC15E62AE48}">
            <x14:dataBar minLength="0" maxLength="100" border="1" negativeBarBorderColorSameAsPositive="0">
              <x14:cfvo type="autoMin"/>
              <x14:cfvo type="autoMax"/>
              <x14:borderColor rgb="FF63C384"/>
              <x14:negativeFillColor rgb="FFFF0000"/>
              <x14:negativeBorderColor rgb="FFFF0000"/>
              <x14:axisColor rgb="FF000000"/>
            </x14:dataBar>
          </x14:cfRule>
          <xm:sqref>AG59</xm:sqref>
        </x14:conditionalFormatting>
        <x14:conditionalFormatting xmlns:xm="http://schemas.microsoft.com/office/excel/2006/main">
          <x14:cfRule type="dataBar" id="{7987A264-68AB-4589-9A94-E5706378C78A}">
            <x14:dataBar minLength="0" maxLength="100" border="1" negativeBarBorderColorSameAsPositive="0">
              <x14:cfvo type="autoMin"/>
              <x14:cfvo type="autoMax"/>
              <x14:borderColor rgb="FF63C384"/>
              <x14:negativeFillColor rgb="FFFF0000"/>
              <x14:negativeBorderColor rgb="FFFF0000"/>
              <x14:axisColor rgb="FF000000"/>
            </x14:dataBar>
          </x14:cfRule>
          <xm:sqref>AG59</xm:sqref>
        </x14:conditionalFormatting>
        <x14:conditionalFormatting xmlns:xm="http://schemas.microsoft.com/office/excel/2006/main">
          <x14:cfRule type="dataBar" id="{95C3F835-585F-4257-BA59-F05184B23B69}">
            <x14:dataBar minLength="0" maxLength="100" border="1" negativeBarBorderColorSameAsPositive="0">
              <x14:cfvo type="autoMin"/>
              <x14:cfvo type="autoMax"/>
              <x14:borderColor rgb="FF63C384"/>
              <x14:negativeFillColor rgb="FFFF0000"/>
              <x14:negativeBorderColor rgb="FFFF0000"/>
              <x14:axisColor rgb="FF000000"/>
            </x14:dataBar>
          </x14:cfRule>
          <xm:sqref>AG59</xm:sqref>
        </x14:conditionalFormatting>
        <x14:conditionalFormatting xmlns:xm="http://schemas.microsoft.com/office/excel/2006/main">
          <x14:cfRule type="dataBar" id="{2F43A9BD-BCE2-496D-B99D-EB9429859CEB}">
            <x14:dataBar minLength="0" maxLength="100" border="1" negativeBarBorderColorSameAsPositive="0">
              <x14:cfvo type="autoMin"/>
              <x14:cfvo type="autoMax"/>
              <x14:borderColor rgb="FF63C384"/>
              <x14:negativeFillColor rgb="FFFF0000"/>
              <x14:negativeBorderColor rgb="FFFF0000"/>
              <x14:axisColor rgb="FF000000"/>
            </x14:dataBar>
          </x14:cfRule>
          <xm:sqref>AG59</xm:sqref>
        </x14:conditionalFormatting>
        <x14:conditionalFormatting xmlns:xm="http://schemas.microsoft.com/office/excel/2006/main">
          <x14:cfRule type="dataBar" id="{DADC4CA5-2843-4796-B7F3-64F7A28EF6CE}">
            <x14:dataBar minLength="0" maxLength="100" border="1" negativeBarBorderColorSameAsPositive="0">
              <x14:cfvo type="autoMin"/>
              <x14:cfvo type="autoMax"/>
              <x14:borderColor rgb="FF63C384"/>
              <x14:negativeFillColor rgb="FFFF0000"/>
              <x14:negativeBorderColor rgb="FFFF0000"/>
              <x14:axisColor rgb="FF000000"/>
            </x14:dataBar>
          </x14:cfRule>
          <xm:sqref>AG59</xm:sqref>
        </x14:conditionalFormatting>
        <x14:conditionalFormatting xmlns:xm="http://schemas.microsoft.com/office/excel/2006/main">
          <x14:cfRule type="dataBar" id="{39543A93-D562-412C-B536-5CC1D3BADC5B}">
            <x14:dataBar minLength="0" maxLength="100" border="1" negativeBarBorderColorSameAsPositive="0">
              <x14:cfvo type="autoMin"/>
              <x14:cfvo type="autoMax"/>
              <x14:borderColor rgb="FF63C384"/>
              <x14:negativeFillColor rgb="FFFF0000"/>
              <x14:negativeBorderColor rgb="FFFF0000"/>
              <x14:axisColor rgb="FF000000"/>
            </x14:dataBar>
          </x14:cfRule>
          <xm:sqref>AG59</xm:sqref>
        </x14:conditionalFormatting>
        <x14:conditionalFormatting xmlns:xm="http://schemas.microsoft.com/office/excel/2006/main">
          <x14:cfRule type="dataBar" id="{E552AD9F-7C49-40E7-9D6D-285F79DABBAA}">
            <x14:dataBar minLength="0" maxLength="100" border="1" negativeBarBorderColorSameAsPositive="0">
              <x14:cfvo type="autoMin"/>
              <x14:cfvo type="autoMax"/>
              <x14:borderColor rgb="FF63C384"/>
              <x14:negativeFillColor rgb="FFFF0000"/>
              <x14:negativeBorderColor rgb="FFFF0000"/>
              <x14:axisColor rgb="FF000000"/>
            </x14:dataBar>
          </x14:cfRule>
          <xm:sqref>AG59</xm:sqref>
        </x14:conditionalFormatting>
        <x14:conditionalFormatting xmlns:xm="http://schemas.microsoft.com/office/excel/2006/main">
          <x14:cfRule type="dataBar" id="{3EFA0039-EDB3-451C-BB2A-DBFDF8CF266B}">
            <x14:dataBar minLength="0" maxLength="100" border="1" negativeBarBorderColorSameAsPositive="0">
              <x14:cfvo type="autoMin"/>
              <x14:cfvo type="autoMax"/>
              <x14:borderColor rgb="FF63C384"/>
              <x14:negativeFillColor rgb="FFFF0000"/>
              <x14:negativeBorderColor rgb="FFFF0000"/>
              <x14:axisColor rgb="FF000000"/>
            </x14:dataBar>
          </x14:cfRule>
          <xm:sqref>AG60</xm:sqref>
        </x14:conditionalFormatting>
        <x14:conditionalFormatting xmlns:xm="http://schemas.microsoft.com/office/excel/2006/main">
          <x14:cfRule type="dataBar" id="{167BCB80-5955-4454-964E-14808E21C4CA}">
            <x14:dataBar minLength="0" maxLength="100" border="1" negativeBarBorderColorSameAsPositive="0">
              <x14:cfvo type="autoMin"/>
              <x14:cfvo type="autoMax"/>
              <x14:borderColor rgb="FF63C384"/>
              <x14:negativeFillColor rgb="FFFF0000"/>
              <x14:negativeBorderColor rgb="FFFF0000"/>
              <x14:axisColor rgb="FF000000"/>
            </x14:dataBar>
          </x14:cfRule>
          <xm:sqref>AG60</xm:sqref>
        </x14:conditionalFormatting>
        <x14:conditionalFormatting xmlns:xm="http://schemas.microsoft.com/office/excel/2006/main">
          <x14:cfRule type="dataBar" id="{71DC0CE1-538C-4AD7-BB41-933D6D32767B}">
            <x14:dataBar minLength="0" maxLength="100" border="1" negativeBarBorderColorSameAsPositive="0">
              <x14:cfvo type="autoMin"/>
              <x14:cfvo type="autoMax"/>
              <x14:borderColor rgb="FF63C384"/>
              <x14:negativeFillColor rgb="FFFF0000"/>
              <x14:negativeBorderColor rgb="FFFF0000"/>
              <x14:axisColor rgb="FF000000"/>
            </x14:dataBar>
          </x14:cfRule>
          <xm:sqref>AG60</xm:sqref>
        </x14:conditionalFormatting>
        <x14:conditionalFormatting xmlns:xm="http://schemas.microsoft.com/office/excel/2006/main">
          <x14:cfRule type="dataBar" id="{AA811AE3-E6CF-4E88-94D5-2696D9678C47}">
            <x14:dataBar minLength="0" maxLength="100" border="1" negativeBarBorderColorSameAsPositive="0">
              <x14:cfvo type="autoMin"/>
              <x14:cfvo type="autoMax"/>
              <x14:borderColor rgb="FF63C384"/>
              <x14:negativeFillColor rgb="FFFF0000"/>
              <x14:negativeBorderColor rgb="FFFF0000"/>
              <x14:axisColor rgb="FF000000"/>
            </x14:dataBar>
          </x14:cfRule>
          <xm:sqref>AG60</xm:sqref>
        </x14:conditionalFormatting>
        <x14:conditionalFormatting xmlns:xm="http://schemas.microsoft.com/office/excel/2006/main">
          <x14:cfRule type="dataBar" id="{0B18B27E-EA26-4534-861F-3CF49286D00F}">
            <x14:dataBar minLength="0" maxLength="100" border="1" negativeBarBorderColorSameAsPositive="0">
              <x14:cfvo type="autoMin"/>
              <x14:cfvo type="autoMax"/>
              <x14:borderColor rgb="FF63C384"/>
              <x14:negativeFillColor rgb="FFFF0000"/>
              <x14:negativeBorderColor rgb="FFFF0000"/>
              <x14:axisColor rgb="FF000000"/>
            </x14:dataBar>
          </x14:cfRule>
          <xm:sqref>AG61</xm:sqref>
        </x14:conditionalFormatting>
        <x14:conditionalFormatting xmlns:xm="http://schemas.microsoft.com/office/excel/2006/main">
          <x14:cfRule type="dataBar" id="{4305B924-D56F-40F2-9523-251AC32B9D74}">
            <x14:dataBar minLength="0" maxLength="100" border="1" negativeBarBorderColorSameAsPositive="0">
              <x14:cfvo type="autoMin"/>
              <x14:cfvo type="autoMax"/>
              <x14:borderColor rgb="FF63C384"/>
              <x14:negativeFillColor rgb="FFFF0000"/>
              <x14:negativeBorderColor rgb="FFFF0000"/>
              <x14:axisColor rgb="FF000000"/>
            </x14:dataBar>
          </x14:cfRule>
          <xm:sqref>AG61</xm:sqref>
        </x14:conditionalFormatting>
        <x14:conditionalFormatting xmlns:xm="http://schemas.microsoft.com/office/excel/2006/main">
          <x14:cfRule type="dataBar" id="{24DFA5CA-4669-46FC-B61C-E5A59641B116}">
            <x14:dataBar minLength="0" maxLength="100" border="1" negativeBarBorderColorSameAsPositive="0">
              <x14:cfvo type="autoMin"/>
              <x14:cfvo type="autoMax"/>
              <x14:borderColor rgb="FF63C384"/>
              <x14:negativeFillColor rgb="FFFF0000"/>
              <x14:negativeBorderColor rgb="FFFF0000"/>
              <x14:axisColor rgb="FF000000"/>
            </x14:dataBar>
          </x14:cfRule>
          <xm:sqref>AG62</xm:sqref>
        </x14:conditionalFormatting>
        <x14:conditionalFormatting xmlns:xm="http://schemas.microsoft.com/office/excel/2006/main">
          <x14:cfRule type="dataBar" id="{176EB764-AE17-4C1C-AB47-0B7B1DB0557D}">
            <x14:dataBar minLength="0" maxLength="100" border="1" negativeBarBorderColorSameAsPositive="0">
              <x14:cfvo type="autoMin"/>
              <x14:cfvo type="autoMax"/>
              <x14:borderColor rgb="FF63C384"/>
              <x14:negativeFillColor rgb="FFFF0000"/>
              <x14:negativeBorderColor rgb="FFFF0000"/>
              <x14:axisColor rgb="FF000000"/>
            </x14:dataBar>
          </x14:cfRule>
          <xm:sqref>AG62</xm:sqref>
        </x14:conditionalFormatting>
        <x14:conditionalFormatting xmlns:xm="http://schemas.microsoft.com/office/excel/2006/main">
          <x14:cfRule type="dataBar" id="{85BE79CB-CEBB-4DDE-9A63-0BE715F6D6DB}">
            <x14:dataBar minLength="0" maxLength="100" border="1" negativeBarBorderColorSameAsPositive="0">
              <x14:cfvo type="autoMin"/>
              <x14:cfvo type="autoMax"/>
              <x14:borderColor rgb="FF63C384"/>
              <x14:negativeFillColor rgb="FFFF0000"/>
              <x14:negativeBorderColor rgb="FFFF0000"/>
              <x14:axisColor rgb="FF000000"/>
            </x14:dataBar>
          </x14:cfRule>
          <xm:sqref>AG63</xm:sqref>
        </x14:conditionalFormatting>
        <x14:conditionalFormatting xmlns:xm="http://schemas.microsoft.com/office/excel/2006/main">
          <x14:cfRule type="dataBar" id="{7629607C-06A0-440B-99D7-231DEFFE87D0}">
            <x14:dataBar minLength="0" maxLength="100" border="1" negativeBarBorderColorSameAsPositive="0">
              <x14:cfvo type="autoMin"/>
              <x14:cfvo type="autoMax"/>
              <x14:borderColor rgb="FF63C384"/>
              <x14:negativeFillColor rgb="FFFF0000"/>
              <x14:negativeBorderColor rgb="FFFF0000"/>
              <x14:axisColor rgb="FF000000"/>
            </x14:dataBar>
          </x14:cfRule>
          <xm:sqref>AG63</xm:sqref>
        </x14:conditionalFormatting>
        <x14:conditionalFormatting xmlns:xm="http://schemas.microsoft.com/office/excel/2006/main">
          <x14:cfRule type="dataBar" id="{C87961E7-5096-4ADD-96B8-0081D248655B}">
            <x14:dataBar minLength="0" maxLength="100" border="1" negativeBarBorderColorSameAsPositive="0">
              <x14:cfvo type="autoMin"/>
              <x14:cfvo type="autoMax"/>
              <x14:borderColor rgb="FF63C384"/>
              <x14:negativeFillColor rgb="FFFF0000"/>
              <x14:negativeBorderColor rgb="FFFF0000"/>
              <x14:axisColor rgb="FF000000"/>
            </x14:dataBar>
          </x14:cfRule>
          <xm:sqref>AG64</xm:sqref>
        </x14:conditionalFormatting>
        <x14:conditionalFormatting xmlns:xm="http://schemas.microsoft.com/office/excel/2006/main">
          <x14:cfRule type="dataBar" id="{5045CA9A-E170-4CB7-9980-24A5A9110B41}">
            <x14:dataBar minLength="0" maxLength="100" border="1" negativeBarBorderColorSameAsPositive="0">
              <x14:cfvo type="autoMin"/>
              <x14:cfvo type="autoMax"/>
              <x14:borderColor rgb="FF63C384"/>
              <x14:negativeFillColor rgb="FFFF0000"/>
              <x14:negativeBorderColor rgb="FFFF0000"/>
              <x14:axisColor rgb="FF000000"/>
            </x14:dataBar>
          </x14:cfRule>
          <xm:sqref>AG64</xm:sqref>
        </x14:conditionalFormatting>
        <x14:conditionalFormatting xmlns:xm="http://schemas.microsoft.com/office/excel/2006/main">
          <x14:cfRule type="dataBar" id="{E6BFE3BD-926F-4AC5-A54A-C469CD8AA496}">
            <x14:dataBar minLength="0" maxLength="100" border="1" negativeBarBorderColorSameAsPositive="0">
              <x14:cfvo type="autoMin"/>
              <x14:cfvo type="autoMax"/>
              <x14:borderColor rgb="FF63C384"/>
              <x14:negativeFillColor rgb="FFFF0000"/>
              <x14:negativeBorderColor rgb="FFFF0000"/>
              <x14:axisColor rgb="FF000000"/>
            </x14:dataBar>
          </x14:cfRule>
          <xm:sqref>AG64</xm:sqref>
        </x14:conditionalFormatting>
        <x14:conditionalFormatting xmlns:xm="http://schemas.microsoft.com/office/excel/2006/main">
          <x14:cfRule type="dataBar" id="{35C69707-902F-48D8-978A-5D43BB4D8171}">
            <x14:dataBar minLength="0" maxLength="100" border="1" negativeBarBorderColorSameAsPositive="0">
              <x14:cfvo type="autoMin"/>
              <x14:cfvo type="autoMax"/>
              <x14:borderColor rgb="FF63C384"/>
              <x14:negativeFillColor rgb="FFFF0000"/>
              <x14:negativeBorderColor rgb="FFFF0000"/>
              <x14:axisColor rgb="FF000000"/>
            </x14:dataBar>
          </x14:cfRule>
          <xm:sqref>AG64</xm:sqref>
        </x14:conditionalFormatting>
        <x14:conditionalFormatting xmlns:xm="http://schemas.microsoft.com/office/excel/2006/main">
          <x14:cfRule type="dataBar" id="{8C1DF450-1871-44D6-A469-19B3A3ED5349}">
            <x14:dataBar minLength="0" maxLength="100" border="1" negativeBarBorderColorSameAsPositive="0">
              <x14:cfvo type="autoMin"/>
              <x14:cfvo type="autoMax"/>
              <x14:borderColor rgb="FF63C384"/>
              <x14:negativeFillColor rgb="FFFF0000"/>
              <x14:negativeBorderColor rgb="FFFF0000"/>
              <x14:axisColor rgb="FF000000"/>
            </x14:dataBar>
          </x14:cfRule>
          <xm:sqref>AG65</xm:sqref>
        </x14:conditionalFormatting>
        <x14:conditionalFormatting xmlns:xm="http://schemas.microsoft.com/office/excel/2006/main">
          <x14:cfRule type="dataBar" id="{B380BB39-4980-4585-9B4D-A7C5D6909507}">
            <x14:dataBar minLength="0" maxLength="100" border="1" negativeBarBorderColorSameAsPositive="0">
              <x14:cfvo type="autoMin"/>
              <x14:cfvo type="autoMax"/>
              <x14:borderColor rgb="FF63C384"/>
              <x14:negativeFillColor rgb="FFFF0000"/>
              <x14:negativeBorderColor rgb="FFFF0000"/>
              <x14:axisColor rgb="FF000000"/>
            </x14:dataBar>
          </x14:cfRule>
          <xm:sqref>AG65</xm:sqref>
        </x14:conditionalFormatting>
        <x14:conditionalFormatting xmlns:xm="http://schemas.microsoft.com/office/excel/2006/main">
          <x14:cfRule type="dataBar" id="{EBC2FE90-6F3A-4C84-B7ED-56AD9B75F8C7}">
            <x14:dataBar minLength="0" maxLength="100" border="1" negativeBarBorderColorSameAsPositive="0">
              <x14:cfvo type="autoMin"/>
              <x14:cfvo type="autoMax"/>
              <x14:borderColor rgb="FF63C384"/>
              <x14:negativeFillColor rgb="FFFF0000"/>
              <x14:negativeBorderColor rgb="FFFF0000"/>
              <x14:axisColor rgb="FF000000"/>
            </x14:dataBar>
          </x14:cfRule>
          <xm:sqref>AG65</xm:sqref>
        </x14:conditionalFormatting>
        <x14:conditionalFormatting xmlns:xm="http://schemas.microsoft.com/office/excel/2006/main">
          <x14:cfRule type="dataBar" id="{F6007895-440E-46A5-BF92-4648D2C3ECC4}">
            <x14:dataBar minLength="0" maxLength="100" border="1" negativeBarBorderColorSameAsPositive="0">
              <x14:cfvo type="autoMin"/>
              <x14:cfvo type="autoMax"/>
              <x14:borderColor rgb="FF63C384"/>
              <x14:negativeFillColor rgb="FFFF0000"/>
              <x14:negativeBorderColor rgb="FFFF0000"/>
              <x14:axisColor rgb="FF000000"/>
            </x14:dataBar>
          </x14:cfRule>
          <xm:sqref>AG65</xm:sqref>
        </x14:conditionalFormatting>
        <x14:conditionalFormatting xmlns:xm="http://schemas.microsoft.com/office/excel/2006/main">
          <x14:cfRule type="dataBar" id="{794029D6-F91C-40AC-B274-7DE6F068548E}">
            <x14:dataBar minLength="0" maxLength="100" border="1" negativeBarBorderColorSameAsPositive="0">
              <x14:cfvo type="autoMin"/>
              <x14:cfvo type="autoMax"/>
              <x14:borderColor rgb="FF63C384"/>
              <x14:negativeFillColor rgb="FFFF0000"/>
              <x14:negativeBorderColor rgb="FFFF0000"/>
              <x14:axisColor rgb="FF000000"/>
            </x14:dataBar>
          </x14:cfRule>
          <xm:sqref>AG65</xm:sqref>
        </x14:conditionalFormatting>
        <x14:conditionalFormatting xmlns:xm="http://schemas.microsoft.com/office/excel/2006/main">
          <x14:cfRule type="dataBar" id="{42DB72DA-ACDD-4D25-B1AC-34A3AC95A38D}">
            <x14:dataBar minLength="0" maxLength="100" border="1" negativeBarBorderColorSameAsPositive="0">
              <x14:cfvo type="autoMin"/>
              <x14:cfvo type="autoMax"/>
              <x14:borderColor rgb="FF63C384"/>
              <x14:negativeFillColor rgb="FFFF0000"/>
              <x14:negativeBorderColor rgb="FFFF0000"/>
              <x14:axisColor rgb="FF000000"/>
            </x14:dataBar>
          </x14:cfRule>
          <xm:sqref>AG65</xm:sqref>
        </x14:conditionalFormatting>
        <x14:conditionalFormatting xmlns:xm="http://schemas.microsoft.com/office/excel/2006/main">
          <x14:cfRule type="dataBar" id="{60C2E518-C283-48A0-8FDD-12F351B8A7C1}">
            <x14:dataBar minLength="0" maxLength="100" border="1" negativeBarBorderColorSameAsPositive="0">
              <x14:cfvo type="autoMin"/>
              <x14:cfvo type="autoMax"/>
              <x14:borderColor rgb="FF63C384"/>
              <x14:negativeFillColor rgb="FFFF0000"/>
              <x14:negativeBorderColor rgb="FFFF0000"/>
              <x14:axisColor rgb="FF000000"/>
            </x14:dataBar>
          </x14:cfRule>
          <xm:sqref>AG66</xm:sqref>
        </x14:conditionalFormatting>
        <x14:conditionalFormatting xmlns:xm="http://schemas.microsoft.com/office/excel/2006/main">
          <x14:cfRule type="dataBar" id="{911B094B-AA72-4272-8CD9-0F1B34F0616D}">
            <x14:dataBar minLength="0" maxLength="100" border="1" negativeBarBorderColorSameAsPositive="0">
              <x14:cfvo type="autoMin"/>
              <x14:cfvo type="autoMax"/>
              <x14:borderColor rgb="FF63C384"/>
              <x14:negativeFillColor rgb="FFFF0000"/>
              <x14:negativeBorderColor rgb="FFFF0000"/>
              <x14:axisColor rgb="FF000000"/>
            </x14:dataBar>
          </x14:cfRule>
          <xm:sqref>AG66</xm:sqref>
        </x14:conditionalFormatting>
        <x14:conditionalFormatting xmlns:xm="http://schemas.microsoft.com/office/excel/2006/main">
          <x14:cfRule type="dataBar" id="{40D44650-303A-44DA-8E9F-41241872633F}">
            <x14:dataBar minLength="0" maxLength="100" border="1" negativeBarBorderColorSameAsPositive="0">
              <x14:cfvo type="autoMin"/>
              <x14:cfvo type="autoMax"/>
              <x14:borderColor rgb="FF63C384"/>
              <x14:negativeFillColor rgb="FFFF0000"/>
              <x14:negativeBorderColor rgb="FFFF0000"/>
              <x14:axisColor rgb="FF000000"/>
            </x14:dataBar>
          </x14:cfRule>
          <xm:sqref>AG66</xm:sqref>
        </x14:conditionalFormatting>
        <x14:conditionalFormatting xmlns:xm="http://schemas.microsoft.com/office/excel/2006/main">
          <x14:cfRule type="dataBar" id="{0A1B8353-5B24-47A5-B777-12AB8A308722}">
            <x14:dataBar minLength="0" maxLength="100" border="1" negativeBarBorderColorSameAsPositive="0">
              <x14:cfvo type="autoMin"/>
              <x14:cfvo type="autoMax"/>
              <x14:borderColor rgb="FF63C384"/>
              <x14:negativeFillColor rgb="FFFF0000"/>
              <x14:negativeBorderColor rgb="FFFF0000"/>
              <x14:axisColor rgb="FF000000"/>
            </x14:dataBar>
          </x14:cfRule>
          <xm:sqref>AG66</xm:sqref>
        </x14:conditionalFormatting>
        <x14:conditionalFormatting xmlns:xm="http://schemas.microsoft.com/office/excel/2006/main">
          <x14:cfRule type="dataBar" id="{DF17BAD7-8F59-43FE-8986-43467DF1F073}">
            <x14:dataBar minLength="0" maxLength="100" border="1" negativeBarBorderColorSameAsPositive="0">
              <x14:cfvo type="autoMin"/>
              <x14:cfvo type="autoMax"/>
              <x14:borderColor rgb="FF63C384"/>
              <x14:negativeFillColor rgb="FFFF0000"/>
              <x14:negativeBorderColor rgb="FFFF0000"/>
              <x14:axisColor rgb="FF000000"/>
            </x14:dataBar>
          </x14:cfRule>
          <xm:sqref>AG67</xm:sqref>
        </x14:conditionalFormatting>
        <x14:conditionalFormatting xmlns:xm="http://schemas.microsoft.com/office/excel/2006/main">
          <x14:cfRule type="dataBar" id="{43FF7473-A2FF-4317-BC6C-FEB67158AAD9}">
            <x14:dataBar minLength="0" maxLength="100" border="1" negativeBarBorderColorSameAsPositive="0">
              <x14:cfvo type="autoMin"/>
              <x14:cfvo type="autoMax"/>
              <x14:borderColor rgb="FF63C384"/>
              <x14:negativeFillColor rgb="FFFF0000"/>
              <x14:negativeBorderColor rgb="FFFF0000"/>
              <x14:axisColor rgb="FF000000"/>
            </x14:dataBar>
          </x14:cfRule>
          <xm:sqref>AG67</xm:sqref>
        </x14:conditionalFormatting>
        <x14:conditionalFormatting xmlns:xm="http://schemas.microsoft.com/office/excel/2006/main">
          <x14:cfRule type="dataBar" id="{C6A4230C-378F-4CFA-9AF9-6F1B3FA424A5}">
            <x14:dataBar minLength="0" maxLength="100" border="1" negativeBarBorderColorSameAsPositive="0">
              <x14:cfvo type="autoMin"/>
              <x14:cfvo type="autoMax"/>
              <x14:borderColor rgb="FF63C384"/>
              <x14:negativeFillColor rgb="FFFF0000"/>
              <x14:negativeBorderColor rgb="FFFF0000"/>
              <x14:axisColor rgb="FF000000"/>
            </x14:dataBar>
          </x14:cfRule>
          <xm:sqref>AG67</xm:sqref>
        </x14:conditionalFormatting>
        <x14:conditionalFormatting xmlns:xm="http://schemas.microsoft.com/office/excel/2006/main">
          <x14:cfRule type="dataBar" id="{DF57D94D-F86B-45AE-9BB4-37395D29F4D0}">
            <x14:dataBar minLength="0" maxLength="100" border="1" negativeBarBorderColorSameAsPositive="0">
              <x14:cfvo type="autoMin"/>
              <x14:cfvo type="autoMax"/>
              <x14:borderColor rgb="FF63C384"/>
              <x14:negativeFillColor rgb="FFFF0000"/>
              <x14:negativeBorderColor rgb="FFFF0000"/>
              <x14:axisColor rgb="FF000000"/>
            </x14:dataBar>
          </x14:cfRule>
          <xm:sqref>AG67</xm:sqref>
        </x14:conditionalFormatting>
        <x14:conditionalFormatting xmlns:xm="http://schemas.microsoft.com/office/excel/2006/main">
          <x14:cfRule type="dataBar" id="{662BF2A5-AAA6-47B2-BE8B-FFD05BA6D46F}">
            <x14:dataBar minLength="0" maxLength="100" border="1" negativeBarBorderColorSameAsPositive="0">
              <x14:cfvo type="autoMin"/>
              <x14:cfvo type="autoMax"/>
              <x14:borderColor rgb="FF63C384"/>
              <x14:negativeFillColor rgb="FFFF0000"/>
              <x14:negativeBorderColor rgb="FFFF0000"/>
              <x14:axisColor rgb="FF000000"/>
            </x14:dataBar>
          </x14:cfRule>
          <xm:sqref>AG68</xm:sqref>
        </x14:conditionalFormatting>
        <x14:conditionalFormatting xmlns:xm="http://schemas.microsoft.com/office/excel/2006/main">
          <x14:cfRule type="dataBar" id="{974F26BF-41B6-411B-BCDE-CBFB034DC5E5}">
            <x14:dataBar minLength="0" maxLength="100" border="1" negativeBarBorderColorSameAsPositive="0">
              <x14:cfvo type="autoMin"/>
              <x14:cfvo type="autoMax"/>
              <x14:borderColor rgb="FF63C384"/>
              <x14:negativeFillColor rgb="FFFF0000"/>
              <x14:negativeBorderColor rgb="FFFF0000"/>
              <x14:axisColor rgb="FF000000"/>
            </x14:dataBar>
          </x14:cfRule>
          <xm:sqref>AG68</xm:sqref>
        </x14:conditionalFormatting>
        <x14:conditionalFormatting xmlns:xm="http://schemas.microsoft.com/office/excel/2006/main">
          <x14:cfRule type="dataBar" id="{B982775B-E895-44BA-858B-2C92EFAE15E6}">
            <x14:dataBar minLength="0" maxLength="100" border="1" negativeBarBorderColorSameAsPositive="0">
              <x14:cfvo type="autoMin"/>
              <x14:cfvo type="autoMax"/>
              <x14:borderColor rgb="FF63C384"/>
              <x14:negativeFillColor rgb="FFFF0000"/>
              <x14:negativeBorderColor rgb="FFFF0000"/>
              <x14:axisColor rgb="FF000000"/>
            </x14:dataBar>
          </x14:cfRule>
          <xm:sqref>AG69</xm:sqref>
        </x14:conditionalFormatting>
        <x14:conditionalFormatting xmlns:xm="http://schemas.microsoft.com/office/excel/2006/main">
          <x14:cfRule type="dataBar" id="{7815685F-0BF6-47B9-8C95-27864DA0B469}">
            <x14:dataBar minLength="0" maxLength="100" border="1" negativeBarBorderColorSameAsPositive="0">
              <x14:cfvo type="autoMin"/>
              <x14:cfvo type="autoMax"/>
              <x14:borderColor rgb="FF63C384"/>
              <x14:negativeFillColor rgb="FFFF0000"/>
              <x14:negativeBorderColor rgb="FFFF0000"/>
              <x14:axisColor rgb="FF000000"/>
            </x14:dataBar>
          </x14:cfRule>
          <xm:sqref>AG69</xm:sqref>
        </x14:conditionalFormatting>
        <x14:conditionalFormatting xmlns:xm="http://schemas.microsoft.com/office/excel/2006/main">
          <x14:cfRule type="dataBar" id="{EC9A494F-A73B-4959-93C8-6DACDC5BA753}">
            <x14:dataBar minLength="0" maxLength="100" border="1" negativeBarBorderColorSameAsPositive="0">
              <x14:cfvo type="autoMin"/>
              <x14:cfvo type="autoMax"/>
              <x14:borderColor rgb="FF63C384"/>
              <x14:negativeFillColor rgb="FFFF0000"/>
              <x14:negativeBorderColor rgb="FFFF0000"/>
              <x14:axisColor rgb="FF000000"/>
            </x14:dataBar>
          </x14:cfRule>
          <xm:sqref>AG70:AG71</xm:sqref>
        </x14:conditionalFormatting>
        <x14:conditionalFormatting xmlns:xm="http://schemas.microsoft.com/office/excel/2006/main">
          <x14:cfRule type="dataBar" id="{96BB07DF-F70B-46C1-AB34-C3BE4EF55BCA}">
            <x14:dataBar minLength="0" maxLength="100" border="1" negativeBarBorderColorSameAsPositive="0">
              <x14:cfvo type="autoMin"/>
              <x14:cfvo type="autoMax"/>
              <x14:borderColor rgb="FF63C384"/>
              <x14:negativeFillColor rgb="FFFF0000"/>
              <x14:negativeBorderColor rgb="FFFF0000"/>
              <x14:axisColor rgb="FF000000"/>
            </x14:dataBar>
          </x14:cfRule>
          <xm:sqref>AG70:AG71</xm:sqref>
        </x14:conditionalFormatting>
        <x14:conditionalFormatting xmlns:xm="http://schemas.microsoft.com/office/excel/2006/main">
          <x14:cfRule type="dataBar" id="{822119CC-B465-4C75-B444-60A4F5182D40}">
            <x14:dataBar minLength="0" maxLength="100" border="1" negativeBarBorderColorSameAsPositive="0">
              <x14:cfvo type="autoMin"/>
              <x14:cfvo type="autoMax"/>
              <x14:borderColor rgb="FF63C384"/>
              <x14:negativeFillColor rgb="FFFF0000"/>
              <x14:negativeBorderColor rgb="FFFF0000"/>
              <x14:axisColor rgb="FF000000"/>
            </x14:dataBar>
          </x14:cfRule>
          <xm:sqref>AG72</xm:sqref>
        </x14:conditionalFormatting>
        <x14:conditionalFormatting xmlns:xm="http://schemas.microsoft.com/office/excel/2006/main">
          <x14:cfRule type="dataBar" id="{C9A7A536-24A9-4B15-81D3-15FC85F0AF07}">
            <x14:dataBar minLength="0" maxLength="100" border="1" negativeBarBorderColorSameAsPositive="0">
              <x14:cfvo type="autoMin"/>
              <x14:cfvo type="autoMax"/>
              <x14:borderColor rgb="FF63C384"/>
              <x14:negativeFillColor rgb="FFFF0000"/>
              <x14:negativeBorderColor rgb="FFFF0000"/>
              <x14:axisColor rgb="FF000000"/>
            </x14:dataBar>
          </x14:cfRule>
          <xm:sqref>AG72</xm:sqref>
        </x14:conditionalFormatting>
        <x14:conditionalFormatting xmlns:xm="http://schemas.microsoft.com/office/excel/2006/main">
          <x14:cfRule type="dataBar" id="{C9E41A09-1C19-4924-8BDC-E6FA7E27CDA1}">
            <x14:dataBar minLength="0" maxLength="100" border="1" negativeBarBorderColorSameAsPositive="0">
              <x14:cfvo type="autoMin"/>
              <x14:cfvo type="autoMax"/>
              <x14:borderColor rgb="FF63C384"/>
              <x14:negativeFillColor rgb="FFFF0000"/>
              <x14:negativeBorderColor rgb="FFFF0000"/>
              <x14:axisColor rgb="FF000000"/>
            </x14:dataBar>
          </x14:cfRule>
          <xm:sqref>AG73</xm:sqref>
        </x14:conditionalFormatting>
        <x14:conditionalFormatting xmlns:xm="http://schemas.microsoft.com/office/excel/2006/main">
          <x14:cfRule type="dataBar" id="{0901F215-DB39-4C8C-88C8-FD7FE393F1CD}">
            <x14:dataBar minLength="0" maxLength="100" border="1" negativeBarBorderColorSameAsPositive="0">
              <x14:cfvo type="autoMin"/>
              <x14:cfvo type="autoMax"/>
              <x14:borderColor rgb="FF63C384"/>
              <x14:negativeFillColor rgb="FFFF0000"/>
              <x14:negativeBorderColor rgb="FFFF0000"/>
              <x14:axisColor rgb="FF000000"/>
            </x14:dataBar>
          </x14:cfRule>
          <xm:sqref>AG73</xm:sqref>
        </x14:conditionalFormatting>
        <x14:conditionalFormatting xmlns:xm="http://schemas.microsoft.com/office/excel/2006/main">
          <x14:cfRule type="dataBar" id="{585688D8-82D8-4DB3-A5B4-041E500A122B}">
            <x14:dataBar minLength="0" maxLength="100" border="1" negativeBarBorderColorSameAsPositive="0">
              <x14:cfvo type="autoMin"/>
              <x14:cfvo type="autoMax"/>
              <x14:borderColor rgb="FF63C384"/>
              <x14:negativeFillColor rgb="FFFF0000"/>
              <x14:negativeBorderColor rgb="FFFF0000"/>
              <x14:axisColor rgb="FF000000"/>
            </x14:dataBar>
          </x14:cfRule>
          <xm:sqref>AG74</xm:sqref>
        </x14:conditionalFormatting>
        <x14:conditionalFormatting xmlns:xm="http://schemas.microsoft.com/office/excel/2006/main">
          <x14:cfRule type="dataBar" id="{3A9DA0E8-9705-4103-9295-67ABD3BCC194}">
            <x14:dataBar minLength="0" maxLength="100" border="1" negativeBarBorderColorSameAsPositive="0">
              <x14:cfvo type="autoMin"/>
              <x14:cfvo type="autoMax"/>
              <x14:borderColor rgb="FF63C384"/>
              <x14:negativeFillColor rgb="FFFF0000"/>
              <x14:negativeBorderColor rgb="FFFF0000"/>
              <x14:axisColor rgb="FF000000"/>
            </x14:dataBar>
          </x14:cfRule>
          <xm:sqref>AG74</xm:sqref>
        </x14:conditionalFormatting>
        <x14:conditionalFormatting xmlns:xm="http://schemas.microsoft.com/office/excel/2006/main">
          <x14:cfRule type="dataBar" id="{DDB02EE6-D8AC-4E19-A3B0-281951B1B15D}">
            <x14:dataBar minLength="0" maxLength="100" border="1" negativeBarBorderColorSameAsPositive="0">
              <x14:cfvo type="autoMin"/>
              <x14:cfvo type="autoMax"/>
              <x14:borderColor rgb="FF63C384"/>
              <x14:negativeFillColor rgb="FFFF0000"/>
              <x14:negativeBorderColor rgb="FFFF0000"/>
              <x14:axisColor rgb="FF000000"/>
            </x14:dataBar>
          </x14:cfRule>
          <xm:sqref>AG75</xm:sqref>
        </x14:conditionalFormatting>
        <x14:conditionalFormatting xmlns:xm="http://schemas.microsoft.com/office/excel/2006/main">
          <x14:cfRule type="dataBar" id="{3D41456E-044F-4904-B0A6-7B5585B31EA5}">
            <x14:dataBar minLength="0" maxLength="100" border="1" negativeBarBorderColorSameAsPositive="0">
              <x14:cfvo type="autoMin"/>
              <x14:cfvo type="autoMax"/>
              <x14:borderColor rgb="FF63C384"/>
              <x14:negativeFillColor rgb="FFFF0000"/>
              <x14:negativeBorderColor rgb="FFFF0000"/>
              <x14:axisColor rgb="FF000000"/>
            </x14:dataBar>
          </x14:cfRule>
          <xm:sqref>AG75</xm:sqref>
        </x14:conditionalFormatting>
        <x14:conditionalFormatting xmlns:xm="http://schemas.microsoft.com/office/excel/2006/main">
          <x14:cfRule type="dataBar" id="{9DE0F7E8-63C4-4D26-959F-C6D0937D0771}">
            <x14:dataBar minLength="0" maxLength="100" border="1" negativeBarBorderColorSameAsPositive="0">
              <x14:cfvo type="autoMin"/>
              <x14:cfvo type="autoMax"/>
              <x14:borderColor rgb="FF63C384"/>
              <x14:negativeFillColor rgb="FFFF0000"/>
              <x14:negativeBorderColor rgb="FFFF0000"/>
              <x14:axisColor rgb="FF000000"/>
            </x14:dataBar>
          </x14:cfRule>
          <xm:sqref>AG75</xm:sqref>
        </x14:conditionalFormatting>
        <x14:conditionalFormatting xmlns:xm="http://schemas.microsoft.com/office/excel/2006/main">
          <x14:cfRule type="dataBar" id="{BC51060D-CA4B-464B-B052-45F217F5756E}">
            <x14:dataBar minLength="0" maxLength="100" border="1" negativeBarBorderColorSameAsPositive="0">
              <x14:cfvo type="autoMin"/>
              <x14:cfvo type="autoMax"/>
              <x14:borderColor rgb="FF63C384"/>
              <x14:negativeFillColor rgb="FFFF0000"/>
              <x14:negativeBorderColor rgb="FFFF0000"/>
              <x14:axisColor rgb="FF000000"/>
            </x14:dataBar>
          </x14:cfRule>
          <xm:sqref>AG75</xm:sqref>
        </x14:conditionalFormatting>
        <x14:conditionalFormatting xmlns:xm="http://schemas.microsoft.com/office/excel/2006/main">
          <x14:cfRule type="dataBar" id="{65E34B8A-219E-4F35-AA3E-36885251649F}">
            <x14:dataBar minLength="0" maxLength="100" border="1" negativeBarBorderColorSameAsPositive="0">
              <x14:cfvo type="autoMin"/>
              <x14:cfvo type="autoMax"/>
              <x14:borderColor rgb="FF63C384"/>
              <x14:negativeFillColor rgb="FFFF0000"/>
              <x14:negativeBorderColor rgb="FFFF0000"/>
              <x14:axisColor rgb="FF000000"/>
            </x14:dataBar>
          </x14:cfRule>
          <xm:sqref>AG76</xm:sqref>
        </x14:conditionalFormatting>
        <x14:conditionalFormatting xmlns:xm="http://schemas.microsoft.com/office/excel/2006/main">
          <x14:cfRule type="dataBar" id="{4C18F435-01C0-4915-BCCC-7C1E9BB90125}">
            <x14:dataBar minLength="0" maxLength="100" border="1" negativeBarBorderColorSameAsPositive="0">
              <x14:cfvo type="autoMin"/>
              <x14:cfvo type="autoMax"/>
              <x14:borderColor rgb="FF63C384"/>
              <x14:negativeFillColor rgb="FFFF0000"/>
              <x14:negativeBorderColor rgb="FFFF0000"/>
              <x14:axisColor rgb="FF000000"/>
            </x14:dataBar>
          </x14:cfRule>
          <xm:sqref>AG76</xm:sqref>
        </x14:conditionalFormatting>
        <x14:conditionalFormatting xmlns:xm="http://schemas.microsoft.com/office/excel/2006/main">
          <x14:cfRule type="dataBar" id="{1B1BFC06-D3A4-4BCB-BFA1-FBC0B6859114}">
            <x14:dataBar minLength="0" maxLength="100" border="1" negativeBarBorderColorSameAsPositive="0">
              <x14:cfvo type="autoMin"/>
              <x14:cfvo type="autoMax"/>
              <x14:borderColor rgb="FF63C384"/>
              <x14:negativeFillColor rgb="FFFF0000"/>
              <x14:negativeBorderColor rgb="FFFF0000"/>
              <x14:axisColor rgb="FF000000"/>
            </x14:dataBar>
          </x14:cfRule>
          <xm:sqref>AG76</xm:sqref>
        </x14:conditionalFormatting>
        <x14:conditionalFormatting xmlns:xm="http://schemas.microsoft.com/office/excel/2006/main">
          <x14:cfRule type="dataBar" id="{DC395D3D-443E-4E9A-8BC4-6C8C0CDCD8DD}">
            <x14:dataBar minLength="0" maxLength="100" border="1" negativeBarBorderColorSameAsPositive="0">
              <x14:cfvo type="autoMin"/>
              <x14:cfvo type="autoMax"/>
              <x14:borderColor rgb="FF63C384"/>
              <x14:negativeFillColor rgb="FFFF0000"/>
              <x14:negativeBorderColor rgb="FFFF0000"/>
              <x14:axisColor rgb="FF000000"/>
            </x14:dataBar>
          </x14:cfRule>
          <xm:sqref>AG76</xm:sqref>
        </x14:conditionalFormatting>
        <x14:conditionalFormatting xmlns:xm="http://schemas.microsoft.com/office/excel/2006/main">
          <x14:cfRule type="dataBar" id="{0B5C805F-2479-446D-8567-A299C9098258}">
            <x14:dataBar minLength="0" maxLength="100" border="1" negativeBarBorderColorSameAsPositive="0">
              <x14:cfvo type="autoMin"/>
              <x14:cfvo type="autoMax"/>
              <x14:borderColor rgb="FF63C384"/>
              <x14:negativeFillColor rgb="FFFF0000"/>
              <x14:negativeBorderColor rgb="FFFF0000"/>
              <x14:axisColor rgb="FF000000"/>
            </x14:dataBar>
          </x14:cfRule>
          <xm:sqref>AG77</xm:sqref>
        </x14:conditionalFormatting>
        <x14:conditionalFormatting xmlns:xm="http://schemas.microsoft.com/office/excel/2006/main">
          <x14:cfRule type="dataBar" id="{5BA9D6CC-641D-473F-991B-3A6BB7F6C4C2}">
            <x14:dataBar minLength="0" maxLength="100" border="1" negativeBarBorderColorSameAsPositive="0">
              <x14:cfvo type="autoMin"/>
              <x14:cfvo type="autoMax"/>
              <x14:borderColor rgb="FF63C384"/>
              <x14:negativeFillColor rgb="FFFF0000"/>
              <x14:negativeBorderColor rgb="FFFF0000"/>
              <x14:axisColor rgb="FF000000"/>
            </x14:dataBar>
          </x14:cfRule>
          <xm:sqref>AG77</xm:sqref>
        </x14:conditionalFormatting>
        <x14:conditionalFormatting xmlns:xm="http://schemas.microsoft.com/office/excel/2006/main">
          <x14:cfRule type="dataBar" id="{8C9A4C69-3857-47D2-B5A7-F76CECE89D9C}">
            <x14:dataBar minLength="0" maxLength="100" border="1" negativeBarBorderColorSameAsPositive="0">
              <x14:cfvo type="autoMin"/>
              <x14:cfvo type="autoMax"/>
              <x14:borderColor rgb="FF63C384"/>
              <x14:negativeFillColor rgb="FFFF0000"/>
              <x14:negativeBorderColor rgb="FFFF0000"/>
              <x14:axisColor rgb="FF000000"/>
            </x14:dataBar>
          </x14:cfRule>
          <xm:sqref>AG77</xm:sqref>
        </x14:conditionalFormatting>
        <x14:conditionalFormatting xmlns:xm="http://schemas.microsoft.com/office/excel/2006/main">
          <x14:cfRule type="dataBar" id="{BC727A4E-7E5E-4F71-B891-BD04AE67A10E}">
            <x14:dataBar minLength="0" maxLength="100" border="1" negativeBarBorderColorSameAsPositive="0">
              <x14:cfvo type="autoMin"/>
              <x14:cfvo type="autoMax"/>
              <x14:borderColor rgb="FF63C384"/>
              <x14:negativeFillColor rgb="FFFF0000"/>
              <x14:negativeBorderColor rgb="FFFF0000"/>
              <x14:axisColor rgb="FF000000"/>
            </x14:dataBar>
          </x14:cfRule>
          <xm:sqref>AG77</xm:sqref>
        </x14:conditionalFormatting>
        <x14:conditionalFormatting xmlns:xm="http://schemas.microsoft.com/office/excel/2006/main">
          <x14:cfRule type="dataBar" id="{6C6C147A-B76C-4722-82AB-4C8790C2F7BC}">
            <x14:dataBar minLength="0" maxLength="100" border="1" negativeBarBorderColorSameAsPositive="0">
              <x14:cfvo type="autoMin"/>
              <x14:cfvo type="autoMax"/>
              <x14:borderColor rgb="FF63C384"/>
              <x14:negativeFillColor rgb="FFFF0000"/>
              <x14:negativeBorderColor rgb="FFFF0000"/>
              <x14:axisColor rgb="FF000000"/>
            </x14:dataBar>
          </x14:cfRule>
          <xm:sqref>AG77</xm:sqref>
        </x14:conditionalFormatting>
        <x14:conditionalFormatting xmlns:xm="http://schemas.microsoft.com/office/excel/2006/main">
          <x14:cfRule type="dataBar" id="{343684FE-50D4-4AB3-84AB-EDC6D54F9663}">
            <x14:dataBar minLength="0" maxLength="100" border="1" negativeBarBorderColorSameAsPositive="0">
              <x14:cfvo type="autoMin"/>
              <x14:cfvo type="autoMax"/>
              <x14:borderColor rgb="FF63C384"/>
              <x14:negativeFillColor rgb="FFFF0000"/>
              <x14:negativeBorderColor rgb="FFFF0000"/>
              <x14:axisColor rgb="FF000000"/>
            </x14:dataBar>
          </x14:cfRule>
          <xm:sqref>AG77</xm:sqref>
        </x14:conditionalFormatting>
        <x14:conditionalFormatting xmlns:xm="http://schemas.microsoft.com/office/excel/2006/main">
          <x14:cfRule type="dataBar" id="{D24B06ED-BB61-4840-9316-F977C0EFD81C}">
            <x14:dataBar minLength="0" maxLength="100" border="1" negativeBarBorderColorSameAsPositive="0">
              <x14:cfvo type="autoMin"/>
              <x14:cfvo type="autoMax"/>
              <x14:borderColor rgb="FF63C384"/>
              <x14:negativeFillColor rgb="FFFF0000"/>
              <x14:negativeBorderColor rgb="FFFF0000"/>
              <x14:axisColor rgb="FF000000"/>
            </x14:dataBar>
          </x14:cfRule>
          <xm:sqref>AG77</xm:sqref>
        </x14:conditionalFormatting>
        <x14:conditionalFormatting xmlns:xm="http://schemas.microsoft.com/office/excel/2006/main">
          <x14:cfRule type="dataBar" id="{FE6EDA0D-87AA-43BF-B517-DFF0EC95BF5F}">
            <x14:dataBar minLength="0" maxLength="100" border="1" negativeBarBorderColorSameAsPositive="0">
              <x14:cfvo type="autoMin"/>
              <x14:cfvo type="autoMax"/>
              <x14:borderColor rgb="FF63C384"/>
              <x14:negativeFillColor rgb="FFFF0000"/>
              <x14:negativeBorderColor rgb="FFFF0000"/>
              <x14:axisColor rgb="FF000000"/>
            </x14:dataBar>
          </x14:cfRule>
          <xm:sqref>AG77</xm:sqref>
        </x14:conditionalFormatting>
        <x14:conditionalFormatting xmlns:xm="http://schemas.microsoft.com/office/excel/2006/main">
          <x14:cfRule type="dataBar" id="{8335E8A1-6EE5-4433-9864-649A17B3AA98}">
            <x14:dataBar minLength="0" maxLength="100" border="1" negativeBarBorderColorSameAsPositive="0">
              <x14:cfvo type="autoMin"/>
              <x14:cfvo type="autoMax"/>
              <x14:borderColor rgb="FF63C384"/>
              <x14:negativeFillColor rgb="FFFF0000"/>
              <x14:negativeBorderColor rgb="FFFF0000"/>
              <x14:axisColor rgb="FF000000"/>
            </x14:dataBar>
          </x14:cfRule>
          <xm:sqref>AG78</xm:sqref>
        </x14:conditionalFormatting>
        <x14:conditionalFormatting xmlns:xm="http://schemas.microsoft.com/office/excel/2006/main">
          <x14:cfRule type="dataBar" id="{B09845B4-4DBC-4CC9-BA24-AF9A9AC5A2F4}">
            <x14:dataBar minLength="0" maxLength="100" border="1" negativeBarBorderColorSameAsPositive="0">
              <x14:cfvo type="autoMin"/>
              <x14:cfvo type="autoMax"/>
              <x14:borderColor rgb="FF63C384"/>
              <x14:negativeFillColor rgb="FFFF0000"/>
              <x14:negativeBorderColor rgb="FFFF0000"/>
              <x14:axisColor rgb="FF000000"/>
            </x14:dataBar>
          </x14:cfRule>
          <xm:sqref>AG78</xm:sqref>
        </x14:conditionalFormatting>
        <x14:conditionalFormatting xmlns:xm="http://schemas.microsoft.com/office/excel/2006/main">
          <x14:cfRule type="dataBar" id="{BB5A23BF-4FBE-4C97-971C-43A0561032DF}">
            <x14:dataBar minLength="0" maxLength="100" border="1" negativeBarBorderColorSameAsPositive="0">
              <x14:cfvo type="autoMin"/>
              <x14:cfvo type="autoMax"/>
              <x14:borderColor rgb="FF63C384"/>
              <x14:negativeFillColor rgb="FFFF0000"/>
              <x14:negativeBorderColor rgb="FFFF0000"/>
              <x14:axisColor rgb="FF000000"/>
            </x14:dataBar>
          </x14:cfRule>
          <xm:sqref>AG78</xm:sqref>
        </x14:conditionalFormatting>
        <x14:conditionalFormatting xmlns:xm="http://schemas.microsoft.com/office/excel/2006/main">
          <x14:cfRule type="dataBar" id="{0792FE6A-3E8D-442B-AE0E-A2957AE9FAC4}">
            <x14:dataBar minLength="0" maxLength="100" border="1" negativeBarBorderColorSameAsPositive="0">
              <x14:cfvo type="autoMin"/>
              <x14:cfvo type="autoMax"/>
              <x14:borderColor rgb="FF63C384"/>
              <x14:negativeFillColor rgb="FFFF0000"/>
              <x14:negativeBorderColor rgb="FFFF0000"/>
              <x14:axisColor rgb="FF000000"/>
            </x14:dataBar>
          </x14:cfRule>
          <xm:sqref>AG78</xm:sqref>
        </x14:conditionalFormatting>
        <x14:conditionalFormatting xmlns:xm="http://schemas.microsoft.com/office/excel/2006/main">
          <x14:cfRule type="dataBar" id="{1EB7B584-64AA-4682-8F49-15BF0F85BDC1}">
            <x14:dataBar minLength="0" maxLength="100" border="1" negativeBarBorderColorSameAsPositive="0">
              <x14:cfvo type="autoMin"/>
              <x14:cfvo type="autoMax"/>
              <x14:borderColor rgb="FF63C384"/>
              <x14:negativeFillColor rgb="FFFF0000"/>
              <x14:negativeBorderColor rgb="FFFF0000"/>
              <x14:axisColor rgb="FF000000"/>
            </x14:dataBar>
          </x14:cfRule>
          <xm:sqref>AG79</xm:sqref>
        </x14:conditionalFormatting>
        <x14:conditionalFormatting xmlns:xm="http://schemas.microsoft.com/office/excel/2006/main">
          <x14:cfRule type="dataBar" id="{C106564A-3CD3-4E68-A436-2E47C675E2BE}">
            <x14:dataBar minLength="0" maxLength="100" border="1" negativeBarBorderColorSameAsPositive="0">
              <x14:cfvo type="autoMin"/>
              <x14:cfvo type="autoMax"/>
              <x14:borderColor rgb="FF63C384"/>
              <x14:negativeFillColor rgb="FFFF0000"/>
              <x14:negativeBorderColor rgb="FFFF0000"/>
              <x14:axisColor rgb="FF000000"/>
            </x14:dataBar>
          </x14:cfRule>
          <xm:sqref>AG79</xm:sqref>
        </x14:conditionalFormatting>
        <x14:conditionalFormatting xmlns:xm="http://schemas.microsoft.com/office/excel/2006/main">
          <x14:cfRule type="dataBar" id="{D87D196D-C932-4525-B4FF-A25BC7FF48FB}">
            <x14:dataBar minLength="0" maxLength="100" border="1" negativeBarBorderColorSameAsPositive="0">
              <x14:cfvo type="autoMin"/>
              <x14:cfvo type="autoMax"/>
              <x14:borderColor rgb="FF63C384"/>
              <x14:negativeFillColor rgb="FFFF0000"/>
              <x14:negativeBorderColor rgb="FFFF0000"/>
              <x14:axisColor rgb="FF000000"/>
            </x14:dataBar>
          </x14:cfRule>
          <xm:sqref>AG80</xm:sqref>
        </x14:conditionalFormatting>
        <x14:conditionalFormatting xmlns:xm="http://schemas.microsoft.com/office/excel/2006/main">
          <x14:cfRule type="dataBar" id="{1C7BC594-3D0D-4D5B-9816-9CA553D4C040}">
            <x14:dataBar minLength="0" maxLength="100" border="1" negativeBarBorderColorSameAsPositive="0">
              <x14:cfvo type="autoMin"/>
              <x14:cfvo type="autoMax"/>
              <x14:borderColor rgb="FF63C384"/>
              <x14:negativeFillColor rgb="FFFF0000"/>
              <x14:negativeBorderColor rgb="FFFF0000"/>
              <x14:axisColor rgb="FF000000"/>
            </x14:dataBar>
          </x14:cfRule>
          <xm:sqref>AG80</xm:sqref>
        </x14:conditionalFormatting>
        <x14:conditionalFormatting xmlns:xm="http://schemas.microsoft.com/office/excel/2006/main">
          <x14:cfRule type="dataBar" id="{33F8954C-AA36-4FE9-8A77-83A4677FE90A}">
            <x14:dataBar minLength="0" maxLength="100" border="1" negativeBarBorderColorSameAsPositive="0">
              <x14:cfvo type="autoMin"/>
              <x14:cfvo type="autoMax"/>
              <x14:borderColor rgb="FF63C384"/>
              <x14:negativeFillColor rgb="FFFF0000"/>
              <x14:negativeBorderColor rgb="FFFF0000"/>
              <x14:axisColor rgb="FF000000"/>
            </x14:dataBar>
          </x14:cfRule>
          <xm:sqref>AG80</xm:sqref>
        </x14:conditionalFormatting>
        <x14:conditionalFormatting xmlns:xm="http://schemas.microsoft.com/office/excel/2006/main">
          <x14:cfRule type="dataBar" id="{77A608E9-F657-43D4-9701-357B448FB496}">
            <x14:dataBar minLength="0" maxLength="100" border="1" negativeBarBorderColorSameAsPositive="0">
              <x14:cfvo type="autoMin"/>
              <x14:cfvo type="autoMax"/>
              <x14:borderColor rgb="FF63C384"/>
              <x14:negativeFillColor rgb="FFFF0000"/>
              <x14:negativeBorderColor rgb="FFFF0000"/>
              <x14:axisColor rgb="FF000000"/>
            </x14:dataBar>
          </x14:cfRule>
          <xm:sqref>AG80</xm:sqref>
        </x14:conditionalFormatting>
        <x14:conditionalFormatting xmlns:xm="http://schemas.microsoft.com/office/excel/2006/main">
          <x14:cfRule type="dataBar" id="{FF79FC66-D39E-4FC3-9C7C-C8B869709DBC}">
            <x14:dataBar minLength="0" maxLength="100" border="1" negativeBarBorderColorSameAsPositive="0">
              <x14:cfvo type="autoMin"/>
              <x14:cfvo type="autoMax"/>
              <x14:borderColor rgb="FF63C384"/>
              <x14:negativeFillColor rgb="FFFF0000"/>
              <x14:negativeBorderColor rgb="FFFF0000"/>
              <x14:axisColor rgb="FF000000"/>
            </x14:dataBar>
          </x14:cfRule>
          <xm:sqref>AG81</xm:sqref>
        </x14:conditionalFormatting>
        <x14:conditionalFormatting xmlns:xm="http://schemas.microsoft.com/office/excel/2006/main">
          <x14:cfRule type="dataBar" id="{3FCBE29A-2F9C-4587-8255-178FCCDD8A8B}">
            <x14:dataBar minLength="0" maxLength="100" border="1" negativeBarBorderColorSameAsPositive="0">
              <x14:cfvo type="autoMin"/>
              <x14:cfvo type="autoMax"/>
              <x14:borderColor rgb="FF63C384"/>
              <x14:negativeFillColor rgb="FFFF0000"/>
              <x14:negativeBorderColor rgb="FFFF0000"/>
              <x14:axisColor rgb="FF000000"/>
            </x14:dataBar>
          </x14:cfRule>
          <xm:sqref>AG81</xm:sqref>
        </x14:conditionalFormatting>
        <x14:conditionalFormatting xmlns:xm="http://schemas.microsoft.com/office/excel/2006/main">
          <x14:cfRule type="dataBar" id="{351BF9FC-C43B-4B2E-85B6-6F7286B53EBF}">
            <x14:dataBar minLength="0" maxLength="100" border="1" negativeBarBorderColorSameAsPositive="0">
              <x14:cfvo type="autoMin"/>
              <x14:cfvo type="autoMax"/>
              <x14:borderColor rgb="FF63C384"/>
              <x14:negativeFillColor rgb="FFFF0000"/>
              <x14:negativeBorderColor rgb="FFFF0000"/>
              <x14:axisColor rgb="FF000000"/>
            </x14:dataBar>
          </x14:cfRule>
          <xm:sqref>AG81</xm:sqref>
        </x14:conditionalFormatting>
        <x14:conditionalFormatting xmlns:xm="http://schemas.microsoft.com/office/excel/2006/main">
          <x14:cfRule type="dataBar" id="{5FEAE523-8D0D-40C3-82ED-7FAA22742DDF}">
            <x14:dataBar minLength="0" maxLength="100" border="1" negativeBarBorderColorSameAsPositive="0">
              <x14:cfvo type="autoMin"/>
              <x14:cfvo type="autoMax"/>
              <x14:borderColor rgb="FF63C384"/>
              <x14:negativeFillColor rgb="FFFF0000"/>
              <x14:negativeBorderColor rgb="FFFF0000"/>
              <x14:axisColor rgb="FF000000"/>
            </x14:dataBar>
          </x14:cfRule>
          <xm:sqref>AG81</xm:sqref>
        </x14:conditionalFormatting>
        <x14:conditionalFormatting xmlns:xm="http://schemas.microsoft.com/office/excel/2006/main">
          <x14:cfRule type="dataBar" id="{21EC8FEC-CBD7-4DBC-A546-D254818F378C}">
            <x14:dataBar minLength="0" maxLength="100" border="1" negativeBarBorderColorSameAsPositive="0">
              <x14:cfvo type="autoMin"/>
              <x14:cfvo type="autoMax"/>
              <x14:borderColor rgb="FF63C384"/>
              <x14:negativeFillColor rgb="FFFF0000"/>
              <x14:negativeBorderColor rgb="FFFF0000"/>
              <x14:axisColor rgb="FF000000"/>
            </x14:dataBar>
          </x14:cfRule>
          <xm:sqref>AG81</xm:sqref>
        </x14:conditionalFormatting>
        <x14:conditionalFormatting xmlns:xm="http://schemas.microsoft.com/office/excel/2006/main">
          <x14:cfRule type="dataBar" id="{54AD62D2-E97D-45A2-A3FF-74486196F4B2}">
            <x14:dataBar minLength="0" maxLength="100" border="1" negativeBarBorderColorSameAsPositive="0">
              <x14:cfvo type="autoMin"/>
              <x14:cfvo type="autoMax"/>
              <x14:borderColor rgb="FF63C384"/>
              <x14:negativeFillColor rgb="FFFF0000"/>
              <x14:negativeBorderColor rgb="FFFF0000"/>
              <x14:axisColor rgb="FF000000"/>
            </x14:dataBar>
          </x14:cfRule>
          <xm:sqref>AG81</xm:sqref>
        </x14:conditionalFormatting>
        <x14:conditionalFormatting xmlns:xm="http://schemas.microsoft.com/office/excel/2006/main">
          <x14:cfRule type="dataBar" id="{E5CF0566-EC80-43B5-85FC-B4BB50F10172}">
            <x14:dataBar minLength="0" maxLength="100" border="1" negativeBarBorderColorSameAsPositive="0">
              <x14:cfvo type="autoMin"/>
              <x14:cfvo type="autoMax"/>
              <x14:borderColor rgb="FF63C384"/>
              <x14:negativeFillColor rgb="FFFF0000"/>
              <x14:negativeBorderColor rgb="FFFF0000"/>
              <x14:axisColor rgb="FF000000"/>
            </x14:dataBar>
          </x14:cfRule>
          <xm:sqref>AG82</xm:sqref>
        </x14:conditionalFormatting>
        <x14:conditionalFormatting xmlns:xm="http://schemas.microsoft.com/office/excel/2006/main">
          <x14:cfRule type="dataBar" id="{8E8E6E1A-5786-4913-ACF9-94B817F02A8B}">
            <x14:dataBar minLength="0" maxLength="100" border="1" negativeBarBorderColorSameAsPositive="0">
              <x14:cfvo type="autoMin"/>
              <x14:cfvo type="autoMax"/>
              <x14:borderColor rgb="FF63C384"/>
              <x14:negativeFillColor rgb="FFFF0000"/>
              <x14:negativeBorderColor rgb="FFFF0000"/>
              <x14:axisColor rgb="FF000000"/>
            </x14:dataBar>
          </x14:cfRule>
          <xm:sqref>AG82</xm:sqref>
        </x14:conditionalFormatting>
        <x14:conditionalFormatting xmlns:xm="http://schemas.microsoft.com/office/excel/2006/main">
          <x14:cfRule type="dataBar" id="{62EFBCF7-ED0C-4CCE-A4AE-A755FCD1D457}">
            <x14:dataBar minLength="0" maxLength="100" border="1" negativeBarBorderColorSameAsPositive="0">
              <x14:cfvo type="autoMin"/>
              <x14:cfvo type="autoMax"/>
              <x14:borderColor rgb="FF63C384"/>
              <x14:negativeFillColor rgb="FFFF0000"/>
              <x14:negativeBorderColor rgb="FFFF0000"/>
              <x14:axisColor rgb="FF000000"/>
            </x14:dataBar>
          </x14:cfRule>
          <xm:sqref>AG83</xm:sqref>
        </x14:conditionalFormatting>
        <x14:conditionalFormatting xmlns:xm="http://schemas.microsoft.com/office/excel/2006/main">
          <x14:cfRule type="dataBar" id="{937D2FA8-DA07-45A5-9771-C2464A8D9769}">
            <x14:dataBar minLength="0" maxLength="100" border="1" negativeBarBorderColorSameAsPositive="0">
              <x14:cfvo type="autoMin"/>
              <x14:cfvo type="autoMax"/>
              <x14:borderColor rgb="FF63C384"/>
              <x14:negativeFillColor rgb="FFFF0000"/>
              <x14:negativeBorderColor rgb="FFFF0000"/>
              <x14:axisColor rgb="FF000000"/>
            </x14:dataBar>
          </x14:cfRule>
          <xm:sqref>AG83</xm:sqref>
        </x14:conditionalFormatting>
        <x14:conditionalFormatting xmlns:xm="http://schemas.microsoft.com/office/excel/2006/main">
          <x14:cfRule type="dataBar" id="{DC405DBB-20A4-4AE8-AC03-8122876619C2}">
            <x14:dataBar minLength="0" maxLength="100" border="1" negativeBarBorderColorSameAsPositive="0">
              <x14:cfvo type="autoMin"/>
              <x14:cfvo type="autoMax"/>
              <x14:borderColor rgb="FF63C384"/>
              <x14:negativeFillColor rgb="FFFF0000"/>
              <x14:negativeBorderColor rgb="FFFF0000"/>
              <x14:axisColor rgb="FF000000"/>
            </x14:dataBar>
          </x14:cfRule>
          <xm:sqref>AG83</xm:sqref>
        </x14:conditionalFormatting>
        <x14:conditionalFormatting xmlns:xm="http://schemas.microsoft.com/office/excel/2006/main">
          <x14:cfRule type="dataBar" id="{5BEBC9C5-8F30-4048-85CF-925176C9BBD5}">
            <x14:dataBar minLength="0" maxLength="100" border="1" negativeBarBorderColorSameAsPositive="0">
              <x14:cfvo type="autoMin"/>
              <x14:cfvo type="autoMax"/>
              <x14:borderColor rgb="FF63C384"/>
              <x14:negativeFillColor rgb="FFFF0000"/>
              <x14:negativeBorderColor rgb="FFFF0000"/>
              <x14:axisColor rgb="FF000000"/>
            </x14:dataBar>
          </x14:cfRule>
          <xm:sqref>AG83</xm:sqref>
        </x14:conditionalFormatting>
        <x14:conditionalFormatting xmlns:xm="http://schemas.microsoft.com/office/excel/2006/main">
          <x14:cfRule type="dataBar" id="{3CE3EA80-5748-46DC-A599-58C61E21DBB1}">
            <x14:dataBar minLength="0" maxLength="100" border="1" negativeBarBorderColorSameAsPositive="0">
              <x14:cfvo type="autoMin"/>
              <x14:cfvo type="autoMax"/>
              <x14:borderColor rgb="FF63C384"/>
              <x14:negativeFillColor rgb="FFFF0000"/>
              <x14:negativeBorderColor rgb="FFFF0000"/>
              <x14:axisColor rgb="FF000000"/>
            </x14:dataBar>
          </x14:cfRule>
          <xm:sqref>AG84</xm:sqref>
        </x14:conditionalFormatting>
        <x14:conditionalFormatting xmlns:xm="http://schemas.microsoft.com/office/excel/2006/main">
          <x14:cfRule type="dataBar" id="{B3214066-812A-4AF8-9784-93E7EE60D432}">
            <x14:dataBar minLength="0" maxLength="100" border="1" negativeBarBorderColorSameAsPositive="0">
              <x14:cfvo type="autoMin"/>
              <x14:cfvo type="autoMax"/>
              <x14:borderColor rgb="FF63C384"/>
              <x14:negativeFillColor rgb="FFFF0000"/>
              <x14:negativeBorderColor rgb="FFFF0000"/>
              <x14:axisColor rgb="FF000000"/>
            </x14:dataBar>
          </x14:cfRule>
          <xm:sqref>AG84</xm:sqref>
        </x14:conditionalFormatting>
        <x14:conditionalFormatting xmlns:xm="http://schemas.microsoft.com/office/excel/2006/main">
          <x14:cfRule type="dataBar" id="{A2C1234D-F052-41D3-9ADF-7701795C7185}">
            <x14:dataBar minLength="0" maxLength="100" border="1" negativeBarBorderColorSameAsPositive="0">
              <x14:cfvo type="autoMin"/>
              <x14:cfvo type="autoMax"/>
              <x14:borderColor rgb="FF63C384"/>
              <x14:negativeFillColor rgb="FFFF0000"/>
              <x14:negativeBorderColor rgb="FFFF0000"/>
              <x14:axisColor rgb="FF000000"/>
            </x14:dataBar>
          </x14:cfRule>
          <xm:sqref>AG84</xm:sqref>
        </x14:conditionalFormatting>
        <x14:conditionalFormatting xmlns:xm="http://schemas.microsoft.com/office/excel/2006/main">
          <x14:cfRule type="dataBar" id="{E50568CE-2278-4432-B4AB-C816ED7725E7}">
            <x14:dataBar minLength="0" maxLength="100" border="1" negativeBarBorderColorSameAsPositive="0">
              <x14:cfvo type="autoMin"/>
              <x14:cfvo type="autoMax"/>
              <x14:borderColor rgb="FF63C384"/>
              <x14:negativeFillColor rgb="FFFF0000"/>
              <x14:negativeBorderColor rgb="FFFF0000"/>
              <x14:axisColor rgb="FF000000"/>
            </x14:dataBar>
          </x14:cfRule>
          <xm:sqref>AG84</xm:sqref>
        </x14:conditionalFormatting>
        <x14:conditionalFormatting xmlns:xm="http://schemas.microsoft.com/office/excel/2006/main">
          <x14:cfRule type="dataBar" id="{B3BC045F-E08D-4681-AE8C-BE7874CA48F2}">
            <x14:dataBar minLength="0" maxLength="100" border="1" negativeBarBorderColorSameAsPositive="0">
              <x14:cfvo type="autoMin"/>
              <x14:cfvo type="autoMax"/>
              <x14:borderColor rgb="FF63C384"/>
              <x14:negativeFillColor rgb="FFFF0000"/>
              <x14:negativeBorderColor rgb="FFFF0000"/>
              <x14:axisColor rgb="FF000000"/>
            </x14:dataBar>
          </x14:cfRule>
          <xm:sqref>AG85</xm:sqref>
        </x14:conditionalFormatting>
        <x14:conditionalFormatting xmlns:xm="http://schemas.microsoft.com/office/excel/2006/main">
          <x14:cfRule type="dataBar" id="{00FA12E9-4A10-4972-8674-BE073B2699F5}">
            <x14:dataBar minLength="0" maxLength="100" border="1" negativeBarBorderColorSameAsPositive="0">
              <x14:cfvo type="autoMin"/>
              <x14:cfvo type="autoMax"/>
              <x14:borderColor rgb="FF63C384"/>
              <x14:negativeFillColor rgb="FFFF0000"/>
              <x14:negativeBorderColor rgb="FFFF0000"/>
              <x14:axisColor rgb="FF000000"/>
            </x14:dataBar>
          </x14:cfRule>
          <xm:sqref>AG85</xm:sqref>
        </x14:conditionalFormatting>
        <x14:conditionalFormatting xmlns:xm="http://schemas.microsoft.com/office/excel/2006/main">
          <x14:cfRule type="dataBar" id="{8F1CF77A-B4EF-4972-A92D-685802590102}">
            <x14:dataBar minLength="0" maxLength="100" border="1" negativeBarBorderColorSameAsPositive="0">
              <x14:cfvo type="autoMin"/>
              <x14:cfvo type="autoMax"/>
              <x14:borderColor rgb="FF63C384"/>
              <x14:negativeFillColor rgb="FFFF0000"/>
              <x14:negativeBorderColor rgb="FFFF0000"/>
              <x14:axisColor rgb="FF000000"/>
            </x14:dataBar>
          </x14:cfRule>
          <xm:sqref>AG86</xm:sqref>
        </x14:conditionalFormatting>
        <x14:conditionalFormatting xmlns:xm="http://schemas.microsoft.com/office/excel/2006/main">
          <x14:cfRule type="dataBar" id="{2E6E553D-6B8F-4018-895C-EDC55DF49245}">
            <x14:dataBar minLength="0" maxLength="100" border="1" negativeBarBorderColorSameAsPositive="0">
              <x14:cfvo type="autoMin"/>
              <x14:cfvo type="autoMax"/>
              <x14:borderColor rgb="FF63C384"/>
              <x14:negativeFillColor rgb="FFFF0000"/>
              <x14:negativeBorderColor rgb="FFFF0000"/>
              <x14:axisColor rgb="FF000000"/>
            </x14:dataBar>
          </x14:cfRule>
          <xm:sqref>AG86</xm:sqref>
        </x14:conditionalFormatting>
        <x14:conditionalFormatting xmlns:xm="http://schemas.microsoft.com/office/excel/2006/main">
          <x14:cfRule type="dataBar" id="{8E37F48D-849D-4CCB-BF1E-0A79F2B80CBF}">
            <x14:dataBar minLength="0" maxLength="100" border="1" negativeBarBorderColorSameAsPositive="0">
              <x14:cfvo type="autoMin"/>
              <x14:cfvo type="autoMax"/>
              <x14:borderColor rgb="FF63C384"/>
              <x14:negativeFillColor rgb="FFFF0000"/>
              <x14:negativeBorderColor rgb="FFFF0000"/>
              <x14:axisColor rgb="FF000000"/>
            </x14:dataBar>
          </x14:cfRule>
          <xm:sqref>AG87</xm:sqref>
        </x14:conditionalFormatting>
        <x14:conditionalFormatting xmlns:xm="http://schemas.microsoft.com/office/excel/2006/main">
          <x14:cfRule type="dataBar" id="{8299F6BB-1F1B-4DB5-9000-BB06A89DC70A}">
            <x14:dataBar minLength="0" maxLength="100" border="1" negativeBarBorderColorSameAsPositive="0">
              <x14:cfvo type="autoMin"/>
              <x14:cfvo type="autoMax"/>
              <x14:borderColor rgb="FF63C384"/>
              <x14:negativeFillColor rgb="FFFF0000"/>
              <x14:negativeBorderColor rgb="FFFF0000"/>
              <x14:axisColor rgb="FF000000"/>
            </x14:dataBar>
          </x14:cfRule>
          <xm:sqref>AG87</xm:sqref>
        </x14:conditionalFormatting>
        <x14:conditionalFormatting xmlns:xm="http://schemas.microsoft.com/office/excel/2006/main">
          <x14:cfRule type="dataBar" id="{79804722-E2FB-453F-AA2A-FCB875C8DDDC}">
            <x14:dataBar minLength="0" maxLength="100" border="1" negativeBarBorderColorSameAsPositive="0">
              <x14:cfvo type="autoMin"/>
              <x14:cfvo type="autoMax"/>
              <x14:borderColor rgb="FF63C384"/>
              <x14:negativeFillColor rgb="FFFF0000"/>
              <x14:negativeBorderColor rgb="FFFF0000"/>
              <x14:axisColor rgb="FF000000"/>
            </x14:dataBar>
          </x14:cfRule>
          <xm:sqref>AG88</xm:sqref>
        </x14:conditionalFormatting>
        <x14:conditionalFormatting xmlns:xm="http://schemas.microsoft.com/office/excel/2006/main">
          <x14:cfRule type="dataBar" id="{ADE719F7-1595-4D9C-B4E6-F40515477BA0}">
            <x14:dataBar minLength="0" maxLength="100" border="1" negativeBarBorderColorSameAsPositive="0">
              <x14:cfvo type="autoMin"/>
              <x14:cfvo type="autoMax"/>
              <x14:borderColor rgb="FF63C384"/>
              <x14:negativeFillColor rgb="FFFF0000"/>
              <x14:negativeBorderColor rgb="FFFF0000"/>
              <x14:axisColor rgb="FF000000"/>
            </x14:dataBar>
          </x14:cfRule>
          <xm:sqref>AG88</xm:sqref>
        </x14:conditionalFormatting>
        <x14:conditionalFormatting xmlns:xm="http://schemas.microsoft.com/office/excel/2006/main">
          <x14:cfRule type="dataBar" id="{31F5B3C7-5BD8-4CE4-ACAE-156CDF7661B5}">
            <x14:dataBar minLength="0" maxLength="100" border="1" negativeBarBorderColorSameAsPositive="0">
              <x14:cfvo type="autoMin"/>
              <x14:cfvo type="autoMax"/>
              <x14:borderColor rgb="FF63C384"/>
              <x14:negativeFillColor rgb="FFFF0000"/>
              <x14:negativeBorderColor rgb="FFFF0000"/>
              <x14:axisColor rgb="FF000000"/>
            </x14:dataBar>
          </x14:cfRule>
          <xm:sqref>AG89</xm:sqref>
        </x14:conditionalFormatting>
        <x14:conditionalFormatting xmlns:xm="http://schemas.microsoft.com/office/excel/2006/main">
          <x14:cfRule type="dataBar" id="{91E67259-09CC-4B60-AFA8-8B43A3022C44}">
            <x14:dataBar minLength="0" maxLength="100" border="1" negativeBarBorderColorSameAsPositive="0">
              <x14:cfvo type="autoMin"/>
              <x14:cfvo type="autoMax"/>
              <x14:borderColor rgb="FF63C384"/>
              <x14:negativeFillColor rgb="FFFF0000"/>
              <x14:negativeBorderColor rgb="FFFF0000"/>
              <x14:axisColor rgb="FF000000"/>
            </x14:dataBar>
          </x14:cfRule>
          <xm:sqref>AG89</xm:sqref>
        </x14:conditionalFormatting>
        <x14:conditionalFormatting xmlns:xm="http://schemas.microsoft.com/office/excel/2006/main">
          <x14:cfRule type="dataBar" id="{9923D1A0-4210-42D8-AA60-E4CEF88DD04A}">
            <x14:dataBar minLength="0" maxLength="100" border="1" negativeBarBorderColorSameAsPositive="0">
              <x14:cfvo type="autoMin"/>
              <x14:cfvo type="autoMax"/>
              <x14:borderColor rgb="FF63C384"/>
              <x14:negativeFillColor rgb="FFFF0000"/>
              <x14:negativeBorderColor rgb="FFFF0000"/>
              <x14:axisColor rgb="FF000000"/>
            </x14:dataBar>
          </x14:cfRule>
          <xm:sqref>AG89</xm:sqref>
        </x14:conditionalFormatting>
        <x14:conditionalFormatting xmlns:xm="http://schemas.microsoft.com/office/excel/2006/main">
          <x14:cfRule type="dataBar" id="{1D890889-687D-4E6B-97A8-B26DEB507E8A}">
            <x14:dataBar minLength="0" maxLength="100" border="1" negativeBarBorderColorSameAsPositive="0">
              <x14:cfvo type="autoMin"/>
              <x14:cfvo type="autoMax"/>
              <x14:borderColor rgb="FF63C384"/>
              <x14:negativeFillColor rgb="FFFF0000"/>
              <x14:negativeBorderColor rgb="FFFF0000"/>
              <x14:axisColor rgb="FF000000"/>
            </x14:dataBar>
          </x14:cfRule>
          <xm:sqref>AG89</xm:sqref>
        </x14:conditionalFormatting>
        <x14:conditionalFormatting xmlns:xm="http://schemas.microsoft.com/office/excel/2006/main">
          <x14:cfRule type="dataBar" id="{17337DC4-CC3F-4D7F-AA72-15E47E76B8A3}">
            <x14:dataBar minLength="0" maxLength="100" border="1" negativeBarBorderColorSameAsPositive="0">
              <x14:cfvo type="autoMin"/>
              <x14:cfvo type="autoMax"/>
              <x14:borderColor rgb="FF63C384"/>
              <x14:negativeFillColor rgb="FFFF0000"/>
              <x14:negativeBorderColor rgb="FFFF0000"/>
              <x14:axisColor rgb="FF000000"/>
            </x14:dataBar>
          </x14:cfRule>
          <xm:sqref>AG89</xm:sqref>
        </x14:conditionalFormatting>
        <x14:conditionalFormatting xmlns:xm="http://schemas.microsoft.com/office/excel/2006/main">
          <x14:cfRule type="dataBar" id="{89C501C7-3965-458F-A77D-67B5A95E168B}">
            <x14:dataBar minLength="0" maxLength="100" border="1" negativeBarBorderColorSameAsPositive="0">
              <x14:cfvo type="autoMin"/>
              <x14:cfvo type="autoMax"/>
              <x14:borderColor rgb="FF63C384"/>
              <x14:negativeFillColor rgb="FFFF0000"/>
              <x14:negativeBorderColor rgb="FFFF0000"/>
              <x14:axisColor rgb="FF000000"/>
            </x14:dataBar>
          </x14:cfRule>
          <xm:sqref>AG89</xm:sqref>
        </x14:conditionalFormatting>
        <x14:conditionalFormatting xmlns:xm="http://schemas.microsoft.com/office/excel/2006/main">
          <x14:cfRule type="dataBar" id="{6C5365F7-6E39-45B2-AE11-F22F91088B9E}">
            <x14:dataBar minLength="0" maxLength="100" border="1" negativeBarBorderColorSameAsPositive="0">
              <x14:cfvo type="autoMin"/>
              <x14:cfvo type="autoMax"/>
              <x14:borderColor rgb="FF63C384"/>
              <x14:negativeFillColor rgb="FFFF0000"/>
              <x14:negativeBorderColor rgb="FFFF0000"/>
              <x14:axisColor rgb="FF000000"/>
            </x14:dataBar>
          </x14:cfRule>
          <xm:sqref>AG89</xm:sqref>
        </x14:conditionalFormatting>
        <x14:conditionalFormatting xmlns:xm="http://schemas.microsoft.com/office/excel/2006/main">
          <x14:cfRule type="dataBar" id="{40FA3D95-CF54-40DF-BB46-20EFFBCF3E0B}">
            <x14:dataBar minLength="0" maxLength="100" border="1" negativeBarBorderColorSameAsPositive="0">
              <x14:cfvo type="autoMin"/>
              <x14:cfvo type="autoMax"/>
              <x14:borderColor rgb="FF63C384"/>
              <x14:negativeFillColor rgb="FFFF0000"/>
              <x14:negativeBorderColor rgb="FFFF0000"/>
              <x14:axisColor rgb="FF000000"/>
            </x14:dataBar>
          </x14:cfRule>
          <xm:sqref>AG89</xm:sqref>
        </x14:conditionalFormatting>
        <x14:conditionalFormatting xmlns:xm="http://schemas.microsoft.com/office/excel/2006/main">
          <x14:cfRule type="dataBar" id="{440CF256-7EDE-431F-B905-A3792FCE4CAD}">
            <x14:dataBar minLength="0" maxLength="100" border="1" negativeBarBorderColorSameAsPositive="0">
              <x14:cfvo type="autoMin"/>
              <x14:cfvo type="autoMax"/>
              <x14:borderColor rgb="FF63C384"/>
              <x14:negativeFillColor rgb="FFFF0000"/>
              <x14:negativeBorderColor rgb="FFFF0000"/>
              <x14:axisColor rgb="FF000000"/>
            </x14:dataBar>
          </x14:cfRule>
          <xm:sqref>AG90</xm:sqref>
        </x14:conditionalFormatting>
        <x14:conditionalFormatting xmlns:xm="http://schemas.microsoft.com/office/excel/2006/main">
          <x14:cfRule type="dataBar" id="{7FAD9306-2A0B-4A23-827F-7EDBD699C5A0}">
            <x14:dataBar minLength="0" maxLength="100" border="1" negativeBarBorderColorSameAsPositive="0">
              <x14:cfvo type="autoMin"/>
              <x14:cfvo type="autoMax"/>
              <x14:borderColor rgb="FF63C384"/>
              <x14:negativeFillColor rgb="FFFF0000"/>
              <x14:negativeBorderColor rgb="FFFF0000"/>
              <x14:axisColor rgb="FF000000"/>
            </x14:dataBar>
          </x14:cfRule>
          <xm:sqref>AG90</xm:sqref>
        </x14:conditionalFormatting>
        <x14:conditionalFormatting xmlns:xm="http://schemas.microsoft.com/office/excel/2006/main">
          <x14:cfRule type="dataBar" id="{8D95EF63-DCD2-4126-8B8C-21DD27C72B93}">
            <x14:dataBar minLength="0" maxLength="100" border="1" negativeBarBorderColorSameAsPositive="0">
              <x14:cfvo type="autoMin"/>
              <x14:cfvo type="autoMax"/>
              <x14:borderColor rgb="FF63C384"/>
              <x14:negativeFillColor rgb="FFFF0000"/>
              <x14:negativeBorderColor rgb="FFFF0000"/>
              <x14:axisColor rgb="FF000000"/>
            </x14:dataBar>
          </x14:cfRule>
          <xm:sqref>AG90</xm:sqref>
        </x14:conditionalFormatting>
        <x14:conditionalFormatting xmlns:xm="http://schemas.microsoft.com/office/excel/2006/main">
          <x14:cfRule type="dataBar" id="{6EBB29C8-96DE-4DF9-AAFE-F8AB72DBA25F}">
            <x14:dataBar minLength="0" maxLength="100" border="1" negativeBarBorderColorSameAsPositive="0">
              <x14:cfvo type="autoMin"/>
              <x14:cfvo type="autoMax"/>
              <x14:borderColor rgb="FF63C384"/>
              <x14:negativeFillColor rgb="FFFF0000"/>
              <x14:negativeBorderColor rgb="FFFF0000"/>
              <x14:axisColor rgb="FF000000"/>
            </x14:dataBar>
          </x14:cfRule>
          <xm:sqref>AG90</xm:sqref>
        </x14:conditionalFormatting>
        <x14:conditionalFormatting xmlns:xm="http://schemas.microsoft.com/office/excel/2006/main">
          <x14:cfRule type="dataBar" id="{FA32004B-A8C0-423E-915B-9CDE92098C7E}">
            <x14:dataBar minLength="0" maxLength="100" border="1" negativeBarBorderColorSameAsPositive="0">
              <x14:cfvo type="autoMin"/>
              <x14:cfvo type="autoMax"/>
              <x14:borderColor rgb="FF63C384"/>
              <x14:negativeFillColor rgb="FFFF0000"/>
              <x14:negativeBorderColor rgb="FFFF0000"/>
              <x14:axisColor rgb="FF000000"/>
            </x14:dataBar>
          </x14:cfRule>
          <xm:sqref>AG91</xm:sqref>
        </x14:conditionalFormatting>
        <x14:conditionalFormatting xmlns:xm="http://schemas.microsoft.com/office/excel/2006/main">
          <x14:cfRule type="dataBar" id="{815CFAF9-236A-4BE0-939E-5A7D8B89C962}">
            <x14:dataBar minLength="0" maxLength="100" border="1" negativeBarBorderColorSameAsPositive="0">
              <x14:cfvo type="autoMin"/>
              <x14:cfvo type="autoMax"/>
              <x14:borderColor rgb="FF63C384"/>
              <x14:negativeFillColor rgb="FFFF0000"/>
              <x14:negativeBorderColor rgb="FFFF0000"/>
              <x14:axisColor rgb="FF000000"/>
            </x14:dataBar>
          </x14:cfRule>
          <xm:sqref>AG91</xm:sqref>
        </x14:conditionalFormatting>
        <x14:conditionalFormatting xmlns:xm="http://schemas.microsoft.com/office/excel/2006/main">
          <x14:cfRule type="dataBar" id="{D9A52397-5D1A-4557-BF5D-2A4B1C881C19}">
            <x14:dataBar minLength="0" maxLength="100" border="1" negativeBarBorderColorSameAsPositive="0">
              <x14:cfvo type="autoMin"/>
              <x14:cfvo type="autoMax"/>
              <x14:borderColor rgb="FF63C384"/>
              <x14:negativeFillColor rgb="FFFF0000"/>
              <x14:negativeBorderColor rgb="FFFF0000"/>
              <x14:axisColor rgb="FF000000"/>
            </x14:dataBar>
          </x14:cfRule>
          <xm:sqref>AG91</xm:sqref>
        </x14:conditionalFormatting>
        <x14:conditionalFormatting xmlns:xm="http://schemas.microsoft.com/office/excel/2006/main">
          <x14:cfRule type="dataBar" id="{24D59513-A2A9-40A3-9E07-15AF360D194C}">
            <x14:dataBar minLength="0" maxLength="100" border="1" negativeBarBorderColorSameAsPositive="0">
              <x14:cfvo type="autoMin"/>
              <x14:cfvo type="autoMax"/>
              <x14:borderColor rgb="FF63C384"/>
              <x14:negativeFillColor rgb="FFFF0000"/>
              <x14:negativeBorderColor rgb="FFFF0000"/>
              <x14:axisColor rgb="FF000000"/>
            </x14:dataBar>
          </x14:cfRule>
          <xm:sqref>AG91</xm:sqref>
        </x14:conditionalFormatting>
        <x14:conditionalFormatting xmlns:xm="http://schemas.microsoft.com/office/excel/2006/main">
          <x14:cfRule type="dataBar" id="{3D89BFB3-E038-4B74-8025-2AAF00CC6813}">
            <x14:dataBar minLength="0" maxLength="100" border="1" negativeBarBorderColorSameAsPositive="0">
              <x14:cfvo type="autoMin"/>
              <x14:cfvo type="autoMax"/>
              <x14:borderColor rgb="FF63C384"/>
              <x14:negativeFillColor rgb="FFFF0000"/>
              <x14:negativeBorderColor rgb="FFFF0000"/>
              <x14:axisColor rgb="FF000000"/>
            </x14:dataBar>
          </x14:cfRule>
          <xm:sqref>AG92</xm:sqref>
        </x14:conditionalFormatting>
        <x14:conditionalFormatting xmlns:xm="http://schemas.microsoft.com/office/excel/2006/main">
          <x14:cfRule type="dataBar" id="{16F066C6-120E-4E2B-A221-F7A87CE803EE}">
            <x14:dataBar minLength="0" maxLength="100" border="1" negativeBarBorderColorSameAsPositive="0">
              <x14:cfvo type="autoMin"/>
              <x14:cfvo type="autoMax"/>
              <x14:borderColor rgb="FF63C384"/>
              <x14:negativeFillColor rgb="FFFF0000"/>
              <x14:negativeBorderColor rgb="FFFF0000"/>
              <x14:axisColor rgb="FF000000"/>
            </x14:dataBar>
          </x14:cfRule>
          <xm:sqref>AG92</xm:sqref>
        </x14:conditionalFormatting>
        <x14:conditionalFormatting xmlns:xm="http://schemas.microsoft.com/office/excel/2006/main">
          <x14:cfRule type="dataBar" id="{6F101495-C4B6-48F0-ACEE-A25583A3E745}">
            <x14:dataBar minLength="0" maxLength="100" border="1" negativeBarBorderColorSameAsPositive="0">
              <x14:cfvo type="autoMin"/>
              <x14:cfvo type="autoMax"/>
              <x14:borderColor rgb="FF63C384"/>
              <x14:negativeFillColor rgb="FFFF0000"/>
              <x14:negativeBorderColor rgb="FFFF0000"/>
              <x14:axisColor rgb="FF000000"/>
            </x14:dataBar>
          </x14:cfRule>
          <xm:sqref>AG92</xm:sqref>
        </x14:conditionalFormatting>
        <x14:conditionalFormatting xmlns:xm="http://schemas.microsoft.com/office/excel/2006/main">
          <x14:cfRule type="dataBar" id="{F20D5AC5-3C4E-41FA-AAFC-19003C45B6ED}">
            <x14:dataBar minLength="0" maxLength="100" border="1" negativeBarBorderColorSameAsPositive="0">
              <x14:cfvo type="autoMin"/>
              <x14:cfvo type="autoMax"/>
              <x14:borderColor rgb="FF63C384"/>
              <x14:negativeFillColor rgb="FFFF0000"/>
              <x14:negativeBorderColor rgb="FFFF0000"/>
              <x14:axisColor rgb="FF000000"/>
            </x14:dataBar>
          </x14:cfRule>
          <xm:sqref>AG92</xm:sqref>
        </x14:conditionalFormatting>
        <x14:conditionalFormatting xmlns:xm="http://schemas.microsoft.com/office/excel/2006/main">
          <x14:cfRule type="dataBar" id="{9F7B1077-F206-4433-98A6-730CAE692560}">
            <x14:dataBar minLength="0" maxLength="100" border="1" negativeBarBorderColorSameAsPositive="0">
              <x14:cfvo type="autoMin"/>
              <x14:cfvo type="autoMax"/>
              <x14:borderColor rgb="FF63C384"/>
              <x14:negativeFillColor rgb="FFFF0000"/>
              <x14:negativeBorderColor rgb="FFFF0000"/>
              <x14:axisColor rgb="FF000000"/>
            </x14:dataBar>
          </x14:cfRule>
          <xm:sqref>AG93</xm:sqref>
        </x14:conditionalFormatting>
        <x14:conditionalFormatting xmlns:xm="http://schemas.microsoft.com/office/excel/2006/main">
          <x14:cfRule type="dataBar" id="{4666D9D9-D65B-4F84-AB33-BBE0AB220C06}">
            <x14:dataBar minLength="0" maxLength="100" border="1" negativeBarBorderColorSameAsPositive="0">
              <x14:cfvo type="autoMin"/>
              <x14:cfvo type="autoMax"/>
              <x14:borderColor rgb="FF63C384"/>
              <x14:negativeFillColor rgb="FFFF0000"/>
              <x14:negativeBorderColor rgb="FFFF0000"/>
              <x14:axisColor rgb="FF000000"/>
            </x14:dataBar>
          </x14:cfRule>
          <xm:sqref>AG93</xm:sqref>
        </x14:conditionalFormatting>
        <x14:conditionalFormatting xmlns:xm="http://schemas.microsoft.com/office/excel/2006/main">
          <x14:cfRule type="dataBar" id="{E28A5FFF-E646-4BB3-92E3-084E2D13F869}">
            <x14:dataBar minLength="0" maxLength="100" border="1" negativeBarBorderColorSameAsPositive="0">
              <x14:cfvo type="autoMin"/>
              <x14:cfvo type="autoMax"/>
              <x14:borderColor rgb="FF63C384"/>
              <x14:negativeFillColor rgb="FFFF0000"/>
              <x14:negativeBorderColor rgb="FFFF0000"/>
              <x14:axisColor rgb="FF000000"/>
            </x14:dataBar>
          </x14:cfRule>
          <xm:sqref>AG94</xm:sqref>
        </x14:conditionalFormatting>
        <x14:conditionalFormatting xmlns:xm="http://schemas.microsoft.com/office/excel/2006/main">
          <x14:cfRule type="dataBar" id="{20DD7779-25BC-4E43-A9D1-7CB20A314EFC}">
            <x14:dataBar minLength="0" maxLength="100" border="1" negativeBarBorderColorSameAsPositive="0">
              <x14:cfvo type="autoMin"/>
              <x14:cfvo type="autoMax"/>
              <x14:borderColor rgb="FF63C384"/>
              <x14:negativeFillColor rgb="FFFF0000"/>
              <x14:negativeBorderColor rgb="FFFF0000"/>
              <x14:axisColor rgb="FF000000"/>
            </x14:dataBar>
          </x14:cfRule>
          <xm:sqref>AG94</xm:sqref>
        </x14:conditionalFormatting>
        <x14:conditionalFormatting xmlns:xm="http://schemas.microsoft.com/office/excel/2006/main">
          <x14:cfRule type="dataBar" id="{E1FBC388-F3D6-42AC-9519-1D0B44BE6B03}">
            <x14:dataBar minLength="0" maxLength="100" border="1" negativeBarBorderColorSameAsPositive="0">
              <x14:cfvo type="autoMin"/>
              <x14:cfvo type="autoMax"/>
              <x14:borderColor rgb="FF63C384"/>
              <x14:negativeFillColor rgb="FFFF0000"/>
              <x14:negativeBorderColor rgb="FFFF0000"/>
              <x14:axisColor rgb="FF000000"/>
            </x14:dataBar>
          </x14:cfRule>
          <xm:sqref>AG95</xm:sqref>
        </x14:conditionalFormatting>
        <x14:conditionalFormatting xmlns:xm="http://schemas.microsoft.com/office/excel/2006/main">
          <x14:cfRule type="dataBar" id="{9F4CC791-78A8-4564-9FA5-7873D2575839}">
            <x14:dataBar minLength="0" maxLength="100" border="1" negativeBarBorderColorSameAsPositive="0">
              <x14:cfvo type="autoMin"/>
              <x14:cfvo type="autoMax"/>
              <x14:borderColor rgb="FF63C384"/>
              <x14:negativeFillColor rgb="FFFF0000"/>
              <x14:negativeBorderColor rgb="FFFF0000"/>
              <x14:axisColor rgb="FF000000"/>
            </x14:dataBar>
          </x14:cfRule>
          <xm:sqref>AG95</xm:sqref>
        </x14:conditionalFormatting>
        <x14:conditionalFormatting xmlns:xm="http://schemas.microsoft.com/office/excel/2006/main">
          <x14:cfRule type="dataBar" id="{C14EF6D6-391B-4769-AF71-330A8B7F9D4B}">
            <x14:dataBar minLength="0" maxLength="100" border="1" negativeBarBorderColorSameAsPositive="0">
              <x14:cfvo type="autoMin"/>
              <x14:cfvo type="autoMax"/>
              <x14:borderColor rgb="FF63C384"/>
              <x14:negativeFillColor rgb="FFFF0000"/>
              <x14:negativeBorderColor rgb="FFFF0000"/>
              <x14:axisColor rgb="FF000000"/>
            </x14:dataBar>
          </x14:cfRule>
          <xm:sqref>AG95</xm:sqref>
        </x14:conditionalFormatting>
        <x14:conditionalFormatting xmlns:xm="http://schemas.microsoft.com/office/excel/2006/main">
          <x14:cfRule type="dataBar" id="{C400F255-1569-4CE6-BE5D-F16E27443138}">
            <x14:dataBar minLength="0" maxLength="100" border="1" negativeBarBorderColorSameAsPositive="0">
              <x14:cfvo type="autoMin"/>
              <x14:cfvo type="autoMax"/>
              <x14:borderColor rgb="FF63C384"/>
              <x14:negativeFillColor rgb="FFFF0000"/>
              <x14:negativeBorderColor rgb="FFFF0000"/>
              <x14:axisColor rgb="FF000000"/>
            </x14:dataBar>
          </x14:cfRule>
          <xm:sqref>AG95</xm:sqref>
        </x14:conditionalFormatting>
        <x14:conditionalFormatting xmlns:xm="http://schemas.microsoft.com/office/excel/2006/main">
          <x14:cfRule type="dataBar" id="{3DD5C9CA-64B1-4075-B2A4-D480006B06DE}">
            <x14:dataBar minLength="0" maxLength="100" border="1" negativeBarBorderColorSameAsPositive="0">
              <x14:cfvo type="autoMin"/>
              <x14:cfvo type="autoMax"/>
              <x14:borderColor rgb="FF63C384"/>
              <x14:negativeFillColor rgb="FFFF0000"/>
              <x14:negativeBorderColor rgb="FFFF0000"/>
              <x14:axisColor rgb="FF000000"/>
            </x14:dataBar>
          </x14:cfRule>
          <xm:sqref>AG96</xm:sqref>
        </x14:conditionalFormatting>
        <x14:conditionalFormatting xmlns:xm="http://schemas.microsoft.com/office/excel/2006/main">
          <x14:cfRule type="dataBar" id="{7E537B0E-18D6-43ED-94B9-25D425422C59}">
            <x14:dataBar minLength="0" maxLength="100" border="1" negativeBarBorderColorSameAsPositive="0">
              <x14:cfvo type="autoMin"/>
              <x14:cfvo type="autoMax"/>
              <x14:borderColor rgb="FF63C384"/>
              <x14:negativeFillColor rgb="FFFF0000"/>
              <x14:negativeBorderColor rgb="FFFF0000"/>
              <x14:axisColor rgb="FF000000"/>
            </x14:dataBar>
          </x14:cfRule>
          <xm:sqref>AG96</xm:sqref>
        </x14:conditionalFormatting>
        <x14:conditionalFormatting xmlns:xm="http://schemas.microsoft.com/office/excel/2006/main">
          <x14:cfRule type="dataBar" id="{96AADA5A-64B0-47AF-B4C1-96589C79D34B}">
            <x14:dataBar minLength="0" maxLength="100" border="1" negativeBarBorderColorSameAsPositive="0">
              <x14:cfvo type="autoMin"/>
              <x14:cfvo type="autoMax"/>
              <x14:borderColor rgb="FF63C384"/>
              <x14:negativeFillColor rgb="FFFF0000"/>
              <x14:negativeBorderColor rgb="FFFF0000"/>
              <x14:axisColor rgb="FF000000"/>
            </x14:dataBar>
          </x14:cfRule>
          <xm:sqref>AG97</xm:sqref>
        </x14:conditionalFormatting>
        <x14:conditionalFormatting xmlns:xm="http://schemas.microsoft.com/office/excel/2006/main">
          <x14:cfRule type="dataBar" id="{ED62EB85-4A55-4A0F-A270-0B3A3AD99065}">
            <x14:dataBar minLength="0" maxLength="100" border="1" negativeBarBorderColorSameAsPositive="0">
              <x14:cfvo type="autoMin"/>
              <x14:cfvo type="autoMax"/>
              <x14:borderColor rgb="FF63C384"/>
              <x14:negativeFillColor rgb="FFFF0000"/>
              <x14:negativeBorderColor rgb="FFFF0000"/>
              <x14:axisColor rgb="FF000000"/>
            </x14:dataBar>
          </x14:cfRule>
          <xm:sqref>AG97</xm:sqref>
        </x14:conditionalFormatting>
        <x14:conditionalFormatting xmlns:xm="http://schemas.microsoft.com/office/excel/2006/main">
          <x14:cfRule type="dataBar" id="{12904545-B37D-4D22-92B9-10B44620A525}">
            <x14:dataBar minLength="0" maxLength="100" border="1" negativeBarBorderColorSameAsPositive="0">
              <x14:cfvo type="autoMin"/>
              <x14:cfvo type="autoMax"/>
              <x14:borderColor rgb="FF63C384"/>
              <x14:negativeFillColor rgb="FFFF0000"/>
              <x14:negativeBorderColor rgb="FFFF0000"/>
              <x14:axisColor rgb="FF000000"/>
            </x14:dataBar>
          </x14:cfRule>
          <xm:sqref>AG97</xm:sqref>
        </x14:conditionalFormatting>
        <x14:conditionalFormatting xmlns:xm="http://schemas.microsoft.com/office/excel/2006/main">
          <x14:cfRule type="dataBar" id="{8C169E7C-43B2-44FE-B4EA-FCB8B5BB8B3E}">
            <x14:dataBar minLength="0" maxLength="100" border="1" negativeBarBorderColorSameAsPositive="0">
              <x14:cfvo type="autoMin"/>
              <x14:cfvo type="autoMax"/>
              <x14:borderColor rgb="FF63C384"/>
              <x14:negativeFillColor rgb="FFFF0000"/>
              <x14:negativeBorderColor rgb="FFFF0000"/>
              <x14:axisColor rgb="FF000000"/>
            </x14:dataBar>
          </x14:cfRule>
          <xm:sqref>AG97</xm:sqref>
        </x14:conditionalFormatting>
        <x14:conditionalFormatting xmlns:xm="http://schemas.microsoft.com/office/excel/2006/main">
          <x14:cfRule type="dataBar" id="{A08ABC68-6CC5-42ED-A6AD-C503DA09E0FB}">
            <x14:dataBar minLength="0" maxLength="100" border="1" negativeBarBorderColorSameAsPositive="0">
              <x14:cfvo type="autoMin"/>
              <x14:cfvo type="autoMax"/>
              <x14:borderColor rgb="FF63C384"/>
              <x14:negativeFillColor rgb="FFFF0000"/>
              <x14:negativeBorderColor rgb="FFFF0000"/>
              <x14:axisColor rgb="FF000000"/>
            </x14:dataBar>
          </x14:cfRule>
          <xm:sqref>AG97</xm:sqref>
        </x14:conditionalFormatting>
        <x14:conditionalFormatting xmlns:xm="http://schemas.microsoft.com/office/excel/2006/main">
          <x14:cfRule type="dataBar" id="{F85D40F4-2B9F-4EA9-ADF0-A48257C2342B}">
            <x14:dataBar minLength="0" maxLength="100" border="1" negativeBarBorderColorSameAsPositive="0">
              <x14:cfvo type="autoMin"/>
              <x14:cfvo type="autoMax"/>
              <x14:borderColor rgb="FF63C384"/>
              <x14:negativeFillColor rgb="FFFF0000"/>
              <x14:negativeBorderColor rgb="FFFF0000"/>
              <x14:axisColor rgb="FF000000"/>
            </x14:dataBar>
          </x14:cfRule>
          <xm:sqref>AG97</xm:sqref>
        </x14:conditionalFormatting>
        <x14:conditionalFormatting xmlns:xm="http://schemas.microsoft.com/office/excel/2006/main">
          <x14:cfRule type="dataBar" id="{A817DFA5-BD65-489F-A54F-32F41F50B7CD}">
            <x14:dataBar minLength="0" maxLength="100" border="1" negativeBarBorderColorSameAsPositive="0">
              <x14:cfvo type="autoMin"/>
              <x14:cfvo type="autoMax"/>
              <x14:borderColor rgb="FF63C384"/>
              <x14:negativeFillColor rgb="FFFF0000"/>
              <x14:negativeBorderColor rgb="FFFF0000"/>
              <x14:axisColor rgb="FF000000"/>
            </x14:dataBar>
          </x14:cfRule>
          <xm:sqref>AG98:AG99</xm:sqref>
        </x14:conditionalFormatting>
        <x14:conditionalFormatting xmlns:xm="http://schemas.microsoft.com/office/excel/2006/main">
          <x14:cfRule type="dataBar" id="{B37DD593-AE24-44A7-940F-9F901A1E5C97}">
            <x14:dataBar minLength="0" maxLength="100" border="1" negativeBarBorderColorSameAsPositive="0">
              <x14:cfvo type="autoMin"/>
              <x14:cfvo type="autoMax"/>
              <x14:borderColor rgb="FF63C384"/>
              <x14:negativeFillColor rgb="FFFF0000"/>
              <x14:negativeBorderColor rgb="FFFF0000"/>
              <x14:axisColor rgb="FF000000"/>
            </x14:dataBar>
          </x14:cfRule>
          <xm:sqref>AG98:AG99</xm:sqref>
        </x14:conditionalFormatting>
        <x14:conditionalFormatting xmlns:xm="http://schemas.microsoft.com/office/excel/2006/main">
          <x14:cfRule type="dataBar" id="{B1AFEA56-D2CD-4198-AD75-F4774763050B}">
            <x14:dataBar minLength="0" maxLength="100" border="1" negativeBarBorderColorSameAsPositive="0">
              <x14:cfvo type="autoMin"/>
              <x14:cfvo type="autoMax"/>
              <x14:borderColor rgb="FF63C384"/>
              <x14:negativeFillColor rgb="FFFF0000"/>
              <x14:negativeBorderColor rgb="FFFF0000"/>
              <x14:axisColor rgb="FF000000"/>
            </x14:dataBar>
          </x14:cfRule>
          <xm:sqref>AG98:AG99</xm:sqref>
        </x14:conditionalFormatting>
        <x14:conditionalFormatting xmlns:xm="http://schemas.microsoft.com/office/excel/2006/main">
          <x14:cfRule type="dataBar" id="{6807F1D0-D327-4F40-97A4-7D288770CB6E}">
            <x14:dataBar minLength="0" maxLength="100" border="1" negativeBarBorderColorSameAsPositive="0">
              <x14:cfvo type="autoMin"/>
              <x14:cfvo type="autoMax"/>
              <x14:borderColor rgb="FF63C384"/>
              <x14:negativeFillColor rgb="FFFF0000"/>
              <x14:negativeBorderColor rgb="FFFF0000"/>
              <x14:axisColor rgb="FF000000"/>
            </x14:dataBar>
          </x14:cfRule>
          <xm:sqref>AG98:AG99</xm:sqref>
        </x14:conditionalFormatting>
        <x14:conditionalFormatting xmlns:xm="http://schemas.microsoft.com/office/excel/2006/main">
          <x14:cfRule type="dataBar" id="{A38E9415-E9B3-4CDF-8264-048954A80914}">
            <x14:dataBar minLength="0" maxLength="100" border="1" negativeBarBorderColorSameAsPositive="0">
              <x14:cfvo type="autoMin"/>
              <x14:cfvo type="autoMax"/>
              <x14:borderColor rgb="FF63C384"/>
              <x14:negativeFillColor rgb="FFFF0000"/>
              <x14:negativeBorderColor rgb="FFFF0000"/>
              <x14:axisColor rgb="FF000000"/>
            </x14:dataBar>
          </x14:cfRule>
          <xm:sqref>AG100</xm:sqref>
        </x14:conditionalFormatting>
        <x14:conditionalFormatting xmlns:xm="http://schemas.microsoft.com/office/excel/2006/main">
          <x14:cfRule type="dataBar" id="{A374B45B-BC0B-4214-8106-80D65F9B363A}">
            <x14:dataBar minLength="0" maxLength="100" border="1" negativeBarBorderColorSameAsPositive="0">
              <x14:cfvo type="autoMin"/>
              <x14:cfvo type="autoMax"/>
              <x14:borderColor rgb="FF63C384"/>
              <x14:negativeFillColor rgb="FFFF0000"/>
              <x14:negativeBorderColor rgb="FFFF0000"/>
              <x14:axisColor rgb="FF000000"/>
            </x14:dataBar>
          </x14:cfRule>
          <xm:sqref>AG100</xm:sqref>
        </x14:conditionalFormatting>
        <x14:conditionalFormatting xmlns:xm="http://schemas.microsoft.com/office/excel/2006/main">
          <x14:cfRule type="dataBar" id="{16C05AD3-C28E-4270-AAA9-89033FFE07AC}">
            <x14:dataBar minLength="0" maxLength="100" border="1" negativeBarBorderColorSameAsPositive="0">
              <x14:cfvo type="autoMin"/>
              <x14:cfvo type="autoMax"/>
              <x14:borderColor rgb="FF63C384"/>
              <x14:negativeFillColor rgb="FFFF0000"/>
              <x14:negativeBorderColor rgb="FFFF0000"/>
              <x14:axisColor rgb="FF000000"/>
            </x14:dataBar>
          </x14:cfRule>
          <xm:sqref>AG100</xm:sqref>
        </x14:conditionalFormatting>
        <x14:conditionalFormatting xmlns:xm="http://schemas.microsoft.com/office/excel/2006/main">
          <x14:cfRule type="dataBar" id="{41DF024A-6ADE-48B8-9377-120947CBC976}">
            <x14:dataBar minLength="0" maxLength="100" border="1" negativeBarBorderColorSameAsPositive="0">
              <x14:cfvo type="autoMin"/>
              <x14:cfvo type="autoMax"/>
              <x14:borderColor rgb="FF63C384"/>
              <x14:negativeFillColor rgb="FFFF0000"/>
              <x14:negativeBorderColor rgb="FFFF0000"/>
              <x14:axisColor rgb="FF000000"/>
            </x14:dataBar>
          </x14:cfRule>
          <xm:sqref>AG100</xm:sqref>
        </x14:conditionalFormatting>
        <x14:conditionalFormatting xmlns:xm="http://schemas.microsoft.com/office/excel/2006/main">
          <x14:cfRule type="dataBar" id="{0E8EDC50-F013-47EC-81F5-93A66C2C0686}">
            <x14:dataBar minLength="0" maxLength="100" border="1" negativeBarBorderColorSameAsPositive="0">
              <x14:cfvo type="autoMin"/>
              <x14:cfvo type="autoMax"/>
              <x14:borderColor rgb="FF63C384"/>
              <x14:negativeFillColor rgb="FFFF0000"/>
              <x14:negativeBorderColor rgb="FFFF0000"/>
              <x14:axisColor rgb="FF000000"/>
            </x14:dataBar>
          </x14:cfRule>
          <xm:sqref>AG101</xm:sqref>
        </x14:conditionalFormatting>
        <x14:conditionalFormatting xmlns:xm="http://schemas.microsoft.com/office/excel/2006/main">
          <x14:cfRule type="dataBar" id="{94D28F1A-34BF-4E41-ACAA-FF0F4474593B}">
            <x14:dataBar minLength="0" maxLength="100" border="1" negativeBarBorderColorSameAsPositive="0">
              <x14:cfvo type="autoMin"/>
              <x14:cfvo type="autoMax"/>
              <x14:borderColor rgb="FF63C384"/>
              <x14:negativeFillColor rgb="FFFF0000"/>
              <x14:negativeBorderColor rgb="FFFF0000"/>
              <x14:axisColor rgb="FF000000"/>
            </x14:dataBar>
          </x14:cfRule>
          <xm:sqref>AG101</xm:sqref>
        </x14:conditionalFormatting>
        <x14:conditionalFormatting xmlns:xm="http://schemas.microsoft.com/office/excel/2006/main">
          <x14:cfRule type="dataBar" id="{4F42EAD6-81B7-48CF-94CF-3BA3555A5736}">
            <x14:dataBar minLength="0" maxLength="100" border="1" negativeBarBorderColorSameAsPositive="0">
              <x14:cfvo type="autoMin"/>
              <x14:cfvo type="autoMax"/>
              <x14:borderColor rgb="FF63C384"/>
              <x14:negativeFillColor rgb="FFFF0000"/>
              <x14:negativeBorderColor rgb="FFFF0000"/>
              <x14:axisColor rgb="FF000000"/>
            </x14:dataBar>
          </x14:cfRule>
          <xm:sqref>AG102</xm:sqref>
        </x14:conditionalFormatting>
        <x14:conditionalFormatting xmlns:xm="http://schemas.microsoft.com/office/excel/2006/main">
          <x14:cfRule type="dataBar" id="{926A84B1-4C6F-47BB-AC40-DDB14D0095D1}">
            <x14:dataBar minLength="0" maxLength="100" border="1" negativeBarBorderColorSameAsPositive="0">
              <x14:cfvo type="autoMin"/>
              <x14:cfvo type="autoMax"/>
              <x14:borderColor rgb="FF63C384"/>
              <x14:negativeFillColor rgb="FFFF0000"/>
              <x14:negativeBorderColor rgb="FFFF0000"/>
              <x14:axisColor rgb="FF000000"/>
            </x14:dataBar>
          </x14:cfRule>
          <xm:sqref>AG102</xm:sqref>
        </x14:conditionalFormatting>
        <x14:conditionalFormatting xmlns:xm="http://schemas.microsoft.com/office/excel/2006/main">
          <x14:cfRule type="dataBar" id="{E5891866-826B-4656-83E4-E6E98B60E2A9}">
            <x14:dataBar minLength="0" maxLength="100" border="1" negativeBarBorderColorSameAsPositive="0">
              <x14:cfvo type="autoMin"/>
              <x14:cfvo type="autoMax"/>
              <x14:borderColor rgb="FF63C384"/>
              <x14:negativeFillColor rgb="FFFF0000"/>
              <x14:negativeBorderColor rgb="FFFF0000"/>
              <x14:axisColor rgb="FF000000"/>
            </x14:dataBar>
          </x14:cfRule>
          <xm:sqref>AG103</xm:sqref>
        </x14:conditionalFormatting>
        <x14:conditionalFormatting xmlns:xm="http://schemas.microsoft.com/office/excel/2006/main">
          <x14:cfRule type="dataBar" id="{4FF08E1B-21B0-4105-9557-CD32E757D585}">
            <x14:dataBar minLength="0" maxLength="100" border="1" negativeBarBorderColorSameAsPositive="0">
              <x14:cfvo type="autoMin"/>
              <x14:cfvo type="autoMax"/>
              <x14:borderColor rgb="FF63C384"/>
              <x14:negativeFillColor rgb="FFFF0000"/>
              <x14:negativeBorderColor rgb="FFFF0000"/>
              <x14:axisColor rgb="FF000000"/>
            </x14:dataBar>
          </x14:cfRule>
          <xm:sqref>AG103</xm:sqref>
        </x14:conditionalFormatting>
        <x14:conditionalFormatting xmlns:xm="http://schemas.microsoft.com/office/excel/2006/main">
          <x14:cfRule type="dataBar" id="{C731D590-AAF0-4811-8C4F-A029BD5E9C66}">
            <x14:dataBar minLength="0" maxLength="100" border="1" negativeBarBorderColorSameAsPositive="0">
              <x14:cfvo type="autoMin"/>
              <x14:cfvo type="autoMax"/>
              <x14:borderColor rgb="FF63C384"/>
              <x14:negativeFillColor rgb="FFFF0000"/>
              <x14:negativeBorderColor rgb="FFFF0000"/>
              <x14:axisColor rgb="FF000000"/>
            </x14:dataBar>
          </x14:cfRule>
          <xm:sqref>AG104</xm:sqref>
        </x14:conditionalFormatting>
        <x14:conditionalFormatting xmlns:xm="http://schemas.microsoft.com/office/excel/2006/main">
          <x14:cfRule type="dataBar" id="{29F1AD0D-02FF-4565-8CB6-8C2D95838E9B}">
            <x14:dataBar minLength="0" maxLength="100" border="1" negativeBarBorderColorSameAsPositive="0">
              <x14:cfvo type="autoMin"/>
              <x14:cfvo type="autoMax"/>
              <x14:borderColor rgb="FF63C384"/>
              <x14:negativeFillColor rgb="FFFF0000"/>
              <x14:negativeBorderColor rgb="FFFF0000"/>
              <x14:axisColor rgb="FF000000"/>
            </x14:dataBar>
          </x14:cfRule>
          <xm:sqref>AG104</xm:sqref>
        </x14:conditionalFormatting>
        <x14:conditionalFormatting xmlns:xm="http://schemas.microsoft.com/office/excel/2006/main">
          <x14:cfRule type="dataBar" id="{8ECD7F62-DD77-4A8A-A0CC-0E21BE04CE56}">
            <x14:dataBar minLength="0" maxLength="100" border="1" negativeBarBorderColorSameAsPositive="0">
              <x14:cfvo type="autoMin"/>
              <x14:cfvo type="autoMax"/>
              <x14:borderColor rgb="FF63C384"/>
              <x14:negativeFillColor rgb="FFFF0000"/>
              <x14:negativeBorderColor rgb="FFFF0000"/>
              <x14:axisColor rgb="FF000000"/>
            </x14:dataBar>
          </x14:cfRule>
          <xm:sqref>AG105</xm:sqref>
        </x14:conditionalFormatting>
        <x14:conditionalFormatting xmlns:xm="http://schemas.microsoft.com/office/excel/2006/main">
          <x14:cfRule type="dataBar" id="{AF9528D1-A190-4A7D-AE13-A889F40C5C27}">
            <x14:dataBar minLength="0" maxLength="100" border="1" negativeBarBorderColorSameAsPositive="0">
              <x14:cfvo type="autoMin"/>
              <x14:cfvo type="autoMax"/>
              <x14:borderColor rgb="FF63C384"/>
              <x14:negativeFillColor rgb="FFFF0000"/>
              <x14:negativeBorderColor rgb="FFFF0000"/>
              <x14:axisColor rgb="FF000000"/>
            </x14:dataBar>
          </x14:cfRule>
          <xm:sqref>AG105</xm:sqref>
        </x14:conditionalFormatting>
        <x14:conditionalFormatting xmlns:xm="http://schemas.microsoft.com/office/excel/2006/main">
          <x14:cfRule type="dataBar" id="{C105E06B-0A93-46AD-85FC-B8063A6EE15C}">
            <x14:dataBar minLength="0" maxLength="100" border="1" negativeBarBorderColorSameAsPositive="0">
              <x14:cfvo type="autoMin"/>
              <x14:cfvo type="autoMax"/>
              <x14:borderColor rgb="FF63C384"/>
              <x14:negativeFillColor rgb="FFFF0000"/>
              <x14:negativeBorderColor rgb="FFFF0000"/>
              <x14:axisColor rgb="FF000000"/>
            </x14:dataBar>
          </x14:cfRule>
          <xm:sqref>AG105</xm:sqref>
        </x14:conditionalFormatting>
        <x14:conditionalFormatting xmlns:xm="http://schemas.microsoft.com/office/excel/2006/main">
          <x14:cfRule type="dataBar" id="{744DD127-6985-4447-9607-2A61600A3725}">
            <x14:dataBar minLength="0" maxLength="100" border="1" negativeBarBorderColorSameAsPositive="0">
              <x14:cfvo type="autoMin"/>
              <x14:cfvo type="autoMax"/>
              <x14:borderColor rgb="FF63C384"/>
              <x14:negativeFillColor rgb="FFFF0000"/>
              <x14:negativeBorderColor rgb="FFFF0000"/>
              <x14:axisColor rgb="FF000000"/>
            </x14:dataBar>
          </x14:cfRule>
          <xm:sqref>AG105</xm:sqref>
        </x14:conditionalFormatting>
        <x14:conditionalFormatting xmlns:xm="http://schemas.microsoft.com/office/excel/2006/main">
          <x14:cfRule type="dataBar" id="{FD6B04AB-B31A-493D-AD3C-B3C0AD81BC19}">
            <x14:dataBar minLength="0" maxLength="100" border="1" negativeBarBorderColorSameAsPositive="0">
              <x14:cfvo type="autoMin"/>
              <x14:cfvo type="autoMax"/>
              <x14:borderColor rgb="FF63C384"/>
              <x14:negativeFillColor rgb="FFFF0000"/>
              <x14:negativeBorderColor rgb="FFFF0000"/>
              <x14:axisColor rgb="FF000000"/>
            </x14:dataBar>
          </x14:cfRule>
          <xm:sqref>AG106</xm:sqref>
        </x14:conditionalFormatting>
        <x14:conditionalFormatting xmlns:xm="http://schemas.microsoft.com/office/excel/2006/main">
          <x14:cfRule type="dataBar" id="{D204CC72-949A-4244-AA3A-608DC1F0C753}">
            <x14:dataBar minLength="0" maxLength="100" border="1" negativeBarBorderColorSameAsPositive="0">
              <x14:cfvo type="autoMin"/>
              <x14:cfvo type="autoMax"/>
              <x14:borderColor rgb="FF63C384"/>
              <x14:negativeFillColor rgb="FFFF0000"/>
              <x14:negativeBorderColor rgb="FFFF0000"/>
              <x14:axisColor rgb="FF000000"/>
            </x14:dataBar>
          </x14:cfRule>
          <xm:sqref>AG106</xm:sqref>
        </x14:conditionalFormatting>
        <x14:conditionalFormatting xmlns:xm="http://schemas.microsoft.com/office/excel/2006/main">
          <x14:cfRule type="dataBar" id="{F342A6AD-BA93-4A96-A8D3-08C1A53B3D05}">
            <x14:dataBar minLength="0" maxLength="100" border="1" negativeBarBorderColorSameAsPositive="0">
              <x14:cfvo type="autoMin"/>
              <x14:cfvo type="autoMax"/>
              <x14:borderColor rgb="FF63C384"/>
              <x14:negativeFillColor rgb="FFFF0000"/>
              <x14:negativeBorderColor rgb="FFFF0000"/>
              <x14:axisColor rgb="FF000000"/>
            </x14:dataBar>
          </x14:cfRule>
          <xm:sqref>AG107</xm:sqref>
        </x14:conditionalFormatting>
        <x14:conditionalFormatting xmlns:xm="http://schemas.microsoft.com/office/excel/2006/main">
          <x14:cfRule type="dataBar" id="{F6AD871C-0451-4B0F-A4D1-A03EA342B470}">
            <x14:dataBar minLength="0" maxLength="100" border="1" negativeBarBorderColorSameAsPositive="0">
              <x14:cfvo type="autoMin"/>
              <x14:cfvo type="autoMax"/>
              <x14:borderColor rgb="FF63C384"/>
              <x14:negativeFillColor rgb="FFFF0000"/>
              <x14:negativeBorderColor rgb="FFFF0000"/>
              <x14:axisColor rgb="FF000000"/>
            </x14:dataBar>
          </x14:cfRule>
          <xm:sqref>AG107</xm:sqref>
        </x14:conditionalFormatting>
        <x14:conditionalFormatting xmlns:xm="http://schemas.microsoft.com/office/excel/2006/main">
          <x14:cfRule type="dataBar" id="{FF299DAD-9E93-4E3C-8631-8348EBC806E9}">
            <x14:dataBar minLength="0" maxLength="100" border="1" negativeBarBorderColorSameAsPositive="0">
              <x14:cfvo type="autoMin"/>
              <x14:cfvo type="autoMax"/>
              <x14:borderColor rgb="FF63C384"/>
              <x14:negativeFillColor rgb="FFFF0000"/>
              <x14:negativeBorderColor rgb="FFFF0000"/>
              <x14:axisColor rgb="FF000000"/>
            </x14:dataBar>
          </x14:cfRule>
          <xm:sqref>AG107</xm:sqref>
        </x14:conditionalFormatting>
        <x14:conditionalFormatting xmlns:xm="http://schemas.microsoft.com/office/excel/2006/main">
          <x14:cfRule type="dataBar" id="{F604C16A-A4E1-4B2B-8612-50524D0DB403}">
            <x14:dataBar minLength="0" maxLength="100" border="1" negativeBarBorderColorSameAsPositive="0">
              <x14:cfvo type="autoMin"/>
              <x14:cfvo type="autoMax"/>
              <x14:borderColor rgb="FF63C384"/>
              <x14:negativeFillColor rgb="FFFF0000"/>
              <x14:negativeBorderColor rgb="FFFF0000"/>
              <x14:axisColor rgb="FF000000"/>
            </x14:dataBar>
          </x14:cfRule>
          <xm:sqref>AG107</xm:sqref>
        </x14:conditionalFormatting>
        <x14:conditionalFormatting xmlns:xm="http://schemas.microsoft.com/office/excel/2006/main">
          <x14:cfRule type="dataBar" id="{78E15584-986D-4C1A-B854-89138B3D283D}">
            <x14:dataBar minLength="0" maxLength="100" border="1" negativeBarBorderColorSameAsPositive="0">
              <x14:cfvo type="autoMin"/>
              <x14:cfvo type="autoMax"/>
              <x14:borderColor rgb="FF63C384"/>
              <x14:negativeFillColor rgb="FFFF0000"/>
              <x14:negativeBorderColor rgb="FFFF0000"/>
              <x14:axisColor rgb="FF000000"/>
            </x14:dataBar>
          </x14:cfRule>
          <xm:sqref>AG107</xm:sqref>
        </x14:conditionalFormatting>
        <x14:conditionalFormatting xmlns:xm="http://schemas.microsoft.com/office/excel/2006/main">
          <x14:cfRule type="dataBar" id="{CC42C408-A15B-4EAD-89C6-64D057619C23}">
            <x14:dataBar minLength="0" maxLength="100" border="1" negativeBarBorderColorSameAsPositive="0">
              <x14:cfvo type="autoMin"/>
              <x14:cfvo type="autoMax"/>
              <x14:borderColor rgb="FF63C384"/>
              <x14:negativeFillColor rgb="FFFF0000"/>
              <x14:negativeBorderColor rgb="FFFF0000"/>
              <x14:axisColor rgb="FF000000"/>
            </x14:dataBar>
          </x14:cfRule>
          <xm:sqref>AG107</xm:sqref>
        </x14:conditionalFormatting>
        <x14:conditionalFormatting xmlns:xm="http://schemas.microsoft.com/office/excel/2006/main">
          <x14:cfRule type="dataBar" id="{43F28E08-F0DB-4983-A3E9-3DBC6E43F34D}">
            <x14:dataBar minLength="0" maxLength="100" border="1" negativeBarBorderColorSameAsPositive="0">
              <x14:cfvo type="autoMin"/>
              <x14:cfvo type="autoMax"/>
              <x14:borderColor rgb="FF63C384"/>
              <x14:negativeFillColor rgb="FFFF0000"/>
              <x14:negativeBorderColor rgb="FFFF0000"/>
              <x14:axisColor rgb="FF000000"/>
            </x14:dataBar>
          </x14:cfRule>
          <xm:sqref>AG107</xm:sqref>
        </x14:conditionalFormatting>
        <x14:conditionalFormatting xmlns:xm="http://schemas.microsoft.com/office/excel/2006/main">
          <x14:cfRule type="dataBar" id="{6AEDFA27-5E02-494F-9329-B38918CF4E4C}">
            <x14:dataBar minLength="0" maxLength="100" border="1" negativeBarBorderColorSameAsPositive="0">
              <x14:cfvo type="autoMin"/>
              <x14:cfvo type="autoMax"/>
              <x14:borderColor rgb="FF63C384"/>
              <x14:negativeFillColor rgb="FFFF0000"/>
              <x14:negativeBorderColor rgb="FFFF0000"/>
              <x14:axisColor rgb="FF000000"/>
            </x14:dataBar>
          </x14:cfRule>
          <xm:sqref>AG107</xm:sqref>
        </x14:conditionalFormatting>
        <x14:conditionalFormatting xmlns:xm="http://schemas.microsoft.com/office/excel/2006/main">
          <x14:cfRule type="dataBar" id="{DF73035B-CE17-4689-B4F0-A1A170AA22E0}">
            <x14:dataBar minLength="0" maxLength="100" border="1" negativeBarBorderColorSameAsPositive="0">
              <x14:cfvo type="autoMin"/>
              <x14:cfvo type="autoMax"/>
              <x14:borderColor rgb="FF63C384"/>
              <x14:negativeFillColor rgb="FFFF0000"/>
              <x14:negativeBorderColor rgb="FFFF0000"/>
              <x14:axisColor rgb="FF000000"/>
            </x14:dataBar>
          </x14:cfRule>
          <xm:sqref>AG108</xm:sqref>
        </x14:conditionalFormatting>
        <x14:conditionalFormatting xmlns:xm="http://schemas.microsoft.com/office/excel/2006/main">
          <x14:cfRule type="dataBar" id="{A157A8E8-7D87-4354-8B55-BAFA555DAAD9}">
            <x14:dataBar minLength="0" maxLength="100" border="1" negativeBarBorderColorSameAsPositive="0">
              <x14:cfvo type="autoMin"/>
              <x14:cfvo type="autoMax"/>
              <x14:borderColor rgb="FF63C384"/>
              <x14:negativeFillColor rgb="FFFF0000"/>
              <x14:negativeBorderColor rgb="FFFF0000"/>
              <x14:axisColor rgb="FF000000"/>
            </x14:dataBar>
          </x14:cfRule>
          <xm:sqref>AG108</xm:sqref>
        </x14:conditionalFormatting>
        <x14:conditionalFormatting xmlns:xm="http://schemas.microsoft.com/office/excel/2006/main">
          <x14:cfRule type="dataBar" id="{C5BC3591-690F-42C3-8309-4EE3992F7B3F}">
            <x14:dataBar minLength="0" maxLength="100" border="1" negativeBarBorderColorSameAsPositive="0">
              <x14:cfvo type="autoMin"/>
              <x14:cfvo type="autoMax"/>
              <x14:borderColor rgb="FF63C384"/>
              <x14:negativeFillColor rgb="FFFF0000"/>
              <x14:negativeBorderColor rgb="FFFF0000"/>
              <x14:axisColor rgb="FF000000"/>
            </x14:dataBar>
          </x14:cfRule>
          <xm:sqref>AG108</xm:sqref>
        </x14:conditionalFormatting>
        <x14:conditionalFormatting xmlns:xm="http://schemas.microsoft.com/office/excel/2006/main">
          <x14:cfRule type="dataBar" id="{7B4905B9-67A0-4FF2-BC40-388334D52A29}">
            <x14:dataBar minLength="0" maxLength="100" border="1" negativeBarBorderColorSameAsPositive="0">
              <x14:cfvo type="autoMin"/>
              <x14:cfvo type="autoMax"/>
              <x14:borderColor rgb="FF63C384"/>
              <x14:negativeFillColor rgb="FFFF0000"/>
              <x14:negativeBorderColor rgb="FFFF0000"/>
              <x14:axisColor rgb="FF000000"/>
            </x14:dataBar>
          </x14:cfRule>
          <xm:sqref>AG108</xm:sqref>
        </x14:conditionalFormatting>
        <x14:conditionalFormatting xmlns:xm="http://schemas.microsoft.com/office/excel/2006/main">
          <x14:cfRule type="dataBar" id="{0C0AB751-4368-4840-B9AA-F35016AFDA76}">
            <x14:dataBar minLength="0" maxLength="100" border="1" negativeBarBorderColorSameAsPositive="0">
              <x14:cfvo type="autoMin"/>
              <x14:cfvo type="autoMax"/>
              <x14:borderColor rgb="FF63C384"/>
              <x14:negativeFillColor rgb="FFFF0000"/>
              <x14:negativeBorderColor rgb="FFFF0000"/>
              <x14:axisColor rgb="FF000000"/>
            </x14:dataBar>
          </x14:cfRule>
          <xm:sqref>AG109</xm:sqref>
        </x14:conditionalFormatting>
        <x14:conditionalFormatting xmlns:xm="http://schemas.microsoft.com/office/excel/2006/main">
          <x14:cfRule type="dataBar" id="{DB978595-9A61-4DCD-BFAF-4D547AE78BE1}">
            <x14:dataBar minLength="0" maxLength="100" border="1" negativeBarBorderColorSameAsPositive="0">
              <x14:cfvo type="autoMin"/>
              <x14:cfvo type="autoMax"/>
              <x14:borderColor rgb="FF63C384"/>
              <x14:negativeFillColor rgb="FFFF0000"/>
              <x14:negativeBorderColor rgb="FFFF0000"/>
              <x14:axisColor rgb="FF000000"/>
            </x14:dataBar>
          </x14:cfRule>
          <xm:sqref>AG109</xm:sqref>
        </x14:conditionalFormatting>
        <x14:conditionalFormatting xmlns:xm="http://schemas.microsoft.com/office/excel/2006/main">
          <x14:cfRule type="dataBar" id="{855B1BB0-3F0E-4AD0-AC5A-23814B27C00D}">
            <x14:dataBar minLength="0" maxLength="100" border="1" negativeBarBorderColorSameAsPositive="0">
              <x14:cfvo type="autoMin"/>
              <x14:cfvo type="autoMax"/>
              <x14:borderColor rgb="FF63C384"/>
              <x14:negativeFillColor rgb="FFFF0000"/>
              <x14:negativeBorderColor rgb="FFFF0000"/>
              <x14:axisColor rgb="FF000000"/>
            </x14:dataBar>
          </x14:cfRule>
          <xm:sqref>AG109</xm:sqref>
        </x14:conditionalFormatting>
        <x14:conditionalFormatting xmlns:xm="http://schemas.microsoft.com/office/excel/2006/main">
          <x14:cfRule type="dataBar" id="{7EF0A3A5-8F1F-48FF-82D4-5679ABE3AC0E}">
            <x14:dataBar minLength="0" maxLength="100" border="1" negativeBarBorderColorSameAsPositive="0">
              <x14:cfvo type="autoMin"/>
              <x14:cfvo type="autoMax"/>
              <x14:borderColor rgb="FF63C384"/>
              <x14:negativeFillColor rgb="FFFF0000"/>
              <x14:negativeBorderColor rgb="FFFF0000"/>
              <x14:axisColor rgb="FF000000"/>
            </x14:dataBar>
          </x14:cfRule>
          <xm:sqref>AG109</xm:sqref>
        </x14:conditionalFormatting>
        <x14:conditionalFormatting xmlns:xm="http://schemas.microsoft.com/office/excel/2006/main">
          <x14:cfRule type="dataBar" id="{B4070CDD-FB0F-44E1-BE1E-654DDD883336}">
            <x14:dataBar minLength="0" maxLength="100" border="1" negativeBarBorderColorSameAsPositive="0">
              <x14:cfvo type="autoMin"/>
              <x14:cfvo type="autoMax"/>
              <x14:borderColor rgb="FF63C384"/>
              <x14:negativeFillColor rgb="FFFF0000"/>
              <x14:negativeBorderColor rgb="FFFF0000"/>
              <x14:axisColor rgb="FF000000"/>
            </x14:dataBar>
          </x14:cfRule>
          <xm:sqref>AG110</xm:sqref>
        </x14:conditionalFormatting>
        <x14:conditionalFormatting xmlns:xm="http://schemas.microsoft.com/office/excel/2006/main">
          <x14:cfRule type="dataBar" id="{7FEB6619-11C9-4CA5-A27E-B85E60E0DD83}">
            <x14:dataBar minLength="0" maxLength="100" border="1" negativeBarBorderColorSameAsPositive="0">
              <x14:cfvo type="autoMin"/>
              <x14:cfvo type="autoMax"/>
              <x14:borderColor rgb="FF63C384"/>
              <x14:negativeFillColor rgb="FFFF0000"/>
              <x14:negativeBorderColor rgb="FFFF0000"/>
              <x14:axisColor rgb="FF000000"/>
            </x14:dataBar>
          </x14:cfRule>
          <xm:sqref>AG110</xm:sqref>
        </x14:conditionalFormatting>
        <x14:conditionalFormatting xmlns:xm="http://schemas.microsoft.com/office/excel/2006/main">
          <x14:cfRule type="dataBar" id="{B427A904-ECA4-4288-98F5-DDA89FDDFDB4}">
            <x14:dataBar minLength="0" maxLength="100" border="1" negativeBarBorderColorSameAsPositive="0">
              <x14:cfvo type="autoMin"/>
              <x14:cfvo type="autoMax"/>
              <x14:borderColor rgb="FF63C384"/>
              <x14:negativeFillColor rgb="FFFF0000"/>
              <x14:negativeBorderColor rgb="FFFF0000"/>
              <x14:axisColor rgb="FF000000"/>
            </x14:dataBar>
          </x14:cfRule>
          <xm:sqref>AG111</xm:sqref>
        </x14:conditionalFormatting>
        <x14:conditionalFormatting xmlns:xm="http://schemas.microsoft.com/office/excel/2006/main">
          <x14:cfRule type="dataBar" id="{2C10C503-8AA0-4440-89C2-18414B2AC7F6}">
            <x14:dataBar minLength="0" maxLength="100" border="1" negativeBarBorderColorSameAsPositive="0">
              <x14:cfvo type="autoMin"/>
              <x14:cfvo type="autoMax"/>
              <x14:borderColor rgb="FF63C384"/>
              <x14:negativeFillColor rgb="FFFF0000"/>
              <x14:negativeBorderColor rgb="FFFF0000"/>
              <x14:axisColor rgb="FF000000"/>
            </x14:dataBar>
          </x14:cfRule>
          <xm:sqref>AG111</xm:sqref>
        </x14:conditionalFormatting>
        <x14:conditionalFormatting xmlns:xm="http://schemas.microsoft.com/office/excel/2006/main">
          <x14:cfRule type="dataBar" id="{09E7E29F-DA4E-46C4-A5FB-2C07854D9036}">
            <x14:dataBar minLength="0" maxLength="100" border="1" negativeBarBorderColorSameAsPositive="0">
              <x14:cfvo type="autoMin"/>
              <x14:cfvo type="autoMax"/>
              <x14:borderColor rgb="FF63C384"/>
              <x14:negativeFillColor rgb="FFFF0000"/>
              <x14:negativeBorderColor rgb="FFFF0000"/>
              <x14:axisColor rgb="FF000000"/>
            </x14:dataBar>
          </x14:cfRule>
          <xm:sqref>AG111</xm:sqref>
        </x14:conditionalFormatting>
        <x14:conditionalFormatting xmlns:xm="http://schemas.microsoft.com/office/excel/2006/main">
          <x14:cfRule type="dataBar" id="{751CB8AB-FD0E-42D9-BB88-5C6216194A94}">
            <x14:dataBar minLength="0" maxLength="100" border="1" negativeBarBorderColorSameAsPositive="0">
              <x14:cfvo type="autoMin"/>
              <x14:cfvo type="autoMax"/>
              <x14:borderColor rgb="FF63C384"/>
              <x14:negativeFillColor rgb="FFFF0000"/>
              <x14:negativeBorderColor rgb="FFFF0000"/>
              <x14:axisColor rgb="FF000000"/>
            </x14:dataBar>
          </x14:cfRule>
          <xm:sqref>AG111</xm:sqref>
        </x14:conditionalFormatting>
        <x14:conditionalFormatting xmlns:xm="http://schemas.microsoft.com/office/excel/2006/main">
          <x14:cfRule type="dataBar" id="{9CB553AA-DA88-4ACE-A8DF-88D8817BF38E}">
            <x14:dataBar minLength="0" maxLength="100" border="1" negativeBarBorderColorSameAsPositive="0">
              <x14:cfvo type="autoMin"/>
              <x14:cfvo type="autoMax"/>
              <x14:borderColor rgb="FF63C384"/>
              <x14:negativeFillColor rgb="FFFF0000"/>
              <x14:negativeBorderColor rgb="FFFF0000"/>
              <x14:axisColor rgb="FF000000"/>
            </x14:dataBar>
          </x14:cfRule>
          <xm:sqref>AG112</xm:sqref>
        </x14:conditionalFormatting>
        <x14:conditionalFormatting xmlns:xm="http://schemas.microsoft.com/office/excel/2006/main">
          <x14:cfRule type="dataBar" id="{EAA04C09-94E7-4BBE-B3E9-B9EFC029B9AC}">
            <x14:dataBar minLength="0" maxLength="100" border="1" negativeBarBorderColorSameAsPositive="0">
              <x14:cfvo type="autoMin"/>
              <x14:cfvo type="autoMax"/>
              <x14:borderColor rgb="FF63C384"/>
              <x14:negativeFillColor rgb="FFFF0000"/>
              <x14:negativeBorderColor rgb="FFFF0000"/>
              <x14:axisColor rgb="FF000000"/>
            </x14:dataBar>
          </x14:cfRule>
          <xm:sqref>AG112</xm:sqref>
        </x14:conditionalFormatting>
        <x14:conditionalFormatting xmlns:xm="http://schemas.microsoft.com/office/excel/2006/main">
          <x14:cfRule type="dataBar" id="{DFC0F21C-0D10-4EB1-A498-55861834FDCA}">
            <x14:dataBar minLength="0" maxLength="100" border="1" negativeBarBorderColorSameAsPositive="0">
              <x14:cfvo type="autoMin"/>
              <x14:cfvo type="autoMax"/>
              <x14:borderColor rgb="FF63C384"/>
              <x14:negativeFillColor rgb="FFFF0000"/>
              <x14:negativeBorderColor rgb="FFFF0000"/>
              <x14:axisColor rgb="FF000000"/>
            </x14:dataBar>
          </x14:cfRule>
          <xm:sqref>AG112</xm:sqref>
        </x14:conditionalFormatting>
        <x14:conditionalFormatting xmlns:xm="http://schemas.microsoft.com/office/excel/2006/main">
          <x14:cfRule type="dataBar" id="{24DA6C6A-087F-43A4-BF2E-D325D0E4988C}">
            <x14:dataBar minLength="0" maxLength="100" border="1" negativeBarBorderColorSameAsPositive="0">
              <x14:cfvo type="autoMin"/>
              <x14:cfvo type="autoMax"/>
              <x14:borderColor rgb="FF63C384"/>
              <x14:negativeFillColor rgb="FFFF0000"/>
              <x14:negativeBorderColor rgb="FFFF0000"/>
              <x14:axisColor rgb="FF000000"/>
            </x14:dataBar>
          </x14:cfRule>
          <xm:sqref>AG112</xm:sqref>
        </x14:conditionalFormatting>
        <x14:conditionalFormatting xmlns:xm="http://schemas.microsoft.com/office/excel/2006/main">
          <x14:cfRule type="dataBar" id="{594C6B1F-C6EF-41F3-96D9-F159133A8CDC}">
            <x14:dataBar minLength="0" maxLength="100" border="1" negativeBarBorderColorSameAsPositive="0">
              <x14:cfvo type="autoMin"/>
              <x14:cfvo type="autoMax"/>
              <x14:borderColor rgb="FF63C384"/>
              <x14:negativeFillColor rgb="FFFF0000"/>
              <x14:negativeBorderColor rgb="FFFF0000"/>
              <x14:axisColor rgb="FF000000"/>
            </x14:dataBar>
          </x14:cfRule>
          <xm:sqref>AG112</xm:sqref>
        </x14:conditionalFormatting>
        <x14:conditionalFormatting xmlns:xm="http://schemas.microsoft.com/office/excel/2006/main">
          <x14:cfRule type="dataBar" id="{7F4845E9-D875-4176-A970-2FBE210DC0A7}">
            <x14:dataBar minLength="0" maxLength="100" border="1" negativeBarBorderColorSameAsPositive="0">
              <x14:cfvo type="autoMin"/>
              <x14:cfvo type="autoMax"/>
              <x14:borderColor rgb="FF63C384"/>
              <x14:negativeFillColor rgb="FFFF0000"/>
              <x14:negativeBorderColor rgb="FFFF0000"/>
              <x14:axisColor rgb="FF000000"/>
            </x14:dataBar>
          </x14:cfRule>
          <xm:sqref>AG112</xm:sqref>
        </x14:conditionalFormatting>
        <x14:conditionalFormatting xmlns:xm="http://schemas.microsoft.com/office/excel/2006/main">
          <x14:cfRule type="dataBar" id="{8DB67D8F-AC30-41D0-A889-DF62750F409A}">
            <x14:dataBar minLength="0" maxLength="100" border="1" negativeBarBorderColorSameAsPositive="0">
              <x14:cfvo type="autoMin"/>
              <x14:cfvo type="autoMax"/>
              <x14:borderColor rgb="FF63C384"/>
              <x14:negativeFillColor rgb="FFFF0000"/>
              <x14:negativeBorderColor rgb="FFFF0000"/>
              <x14:axisColor rgb="FF000000"/>
            </x14:dataBar>
          </x14:cfRule>
          <xm:sqref>AG113</xm:sqref>
        </x14:conditionalFormatting>
        <x14:conditionalFormatting xmlns:xm="http://schemas.microsoft.com/office/excel/2006/main">
          <x14:cfRule type="dataBar" id="{ED8ECEB6-275D-4A69-8B2B-C5690AAEF1F1}">
            <x14:dataBar minLength="0" maxLength="100" border="1" negativeBarBorderColorSameAsPositive="0">
              <x14:cfvo type="autoMin"/>
              <x14:cfvo type="autoMax"/>
              <x14:borderColor rgb="FF63C384"/>
              <x14:negativeFillColor rgb="FFFF0000"/>
              <x14:negativeBorderColor rgb="FFFF0000"/>
              <x14:axisColor rgb="FF000000"/>
            </x14:dataBar>
          </x14:cfRule>
          <xm:sqref>AG113</xm:sqref>
        </x14:conditionalFormatting>
        <x14:conditionalFormatting xmlns:xm="http://schemas.microsoft.com/office/excel/2006/main">
          <x14:cfRule type="dataBar" id="{27C43F3A-B8D3-4300-8EE5-9CCAE142BA9A}">
            <x14:dataBar minLength="0" maxLength="100" border="1" negativeBarBorderColorSameAsPositive="0">
              <x14:cfvo type="autoMin"/>
              <x14:cfvo type="autoMax"/>
              <x14:borderColor rgb="FF63C384"/>
              <x14:negativeFillColor rgb="FFFF0000"/>
              <x14:negativeBorderColor rgb="FFFF0000"/>
              <x14:axisColor rgb="FF000000"/>
            </x14:dataBar>
          </x14:cfRule>
          <xm:sqref>AG114</xm:sqref>
        </x14:conditionalFormatting>
        <x14:conditionalFormatting xmlns:xm="http://schemas.microsoft.com/office/excel/2006/main">
          <x14:cfRule type="dataBar" id="{EFB87287-8E18-4DC1-8AC8-3AFFEA884B6C}">
            <x14:dataBar minLength="0" maxLength="100" border="1" negativeBarBorderColorSameAsPositive="0">
              <x14:cfvo type="autoMin"/>
              <x14:cfvo type="autoMax"/>
              <x14:borderColor rgb="FF63C384"/>
              <x14:negativeFillColor rgb="FFFF0000"/>
              <x14:negativeBorderColor rgb="FFFF0000"/>
              <x14:axisColor rgb="FF000000"/>
            </x14:dataBar>
          </x14:cfRule>
          <xm:sqref>AG114</xm:sqref>
        </x14:conditionalFormatting>
        <x14:conditionalFormatting xmlns:xm="http://schemas.microsoft.com/office/excel/2006/main">
          <x14:cfRule type="dataBar" id="{99B06F68-164E-425D-AA5A-5CB2132D6923}">
            <x14:dataBar minLength="0" maxLength="100" border="1" negativeBarBorderColorSameAsPositive="0">
              <x14:cfvo type="autoMin"/>
              <x14:cfvo type="autoMax"/>
              <x14:borderColor rgb="FF63C384"/>
              <x14:negativeFillColor rgb="FFFF0000"/>
              <x14:negativeBorderColor rgb="FFFF0000"/>
              <x14:axisColor rgb="FF000000"/>
            </x14:dataBar>
          </x14:cfRule>
          <xm:sqref>AG114</xm:sqref>
        </x14:conditionalFormatting>
        <x14:conditionalFormatting xmlns:xm="http://schemas.microsoft.com/office/excel/2006/main">
          <x14:cfRule type="dataBar" id="{BDBC9DCF-5CD9-4D01-8574-EACFD5322F83}">
            <x14:dataBar minLength="0" maxLength="100" border="1" negativeBarBorderColorSameAsPositive="0">
              <x14:cfvo type="autoMin"/>
              <x14:cfvo type="autoMax"/>
              <x14:borderColor rgb="FF63C384"/>
              <x14:negativeFillColor rgb="FFFF0000"/>
              <x14:negativeBorderColor rgb="FFFF0000"/>
              <x14:axisColor rgb="FF000000"/>
            </x14:dataBar>
          </x14:cfRule>
          <xm:sqref>AG114</xm:sqref>
        </x14:conditionalFormatting>
        <x14:conditionalFormatting xmlns:xm="http://schemas.microsoft.com/office/excel/2006/main">
          <x14:cfRule type="dataBar" id="{B0F3DEBC-78FF-48B1-8139-C10DCE0340C0}">
            <x14:dataBar minLength="0" maxLength="100" border="1" negativeBarBorderColorSameAsPositive="0">
              <x14:cfvo type="autoMin"/>
              <x14:cfvo type="autoMax"/>
              <x14:borderColor rgb="FF63C384"/>
              <x14:negativeFillColor rgb="FFFF0000"/>
              <x14:negativeBorderColor rgb="FFFF0000"/>
              <x14:axisColor rgb="FF000000"/>
            </x14:dataBar>
          </x14:cfRule>
          <xm:sqref>AG115</xm:sqref>
        </x14:conditionalFormatting>
        <x14:conditionalFormatting xmlns:xm="http://schemas.microsoft.com/office/excel/2006/main">
          <x14:cfRule type="dataBar" id="{B4741D04-1923-4C96-9816-05A73DF9CFF3}">
            <x14:dataBar minLength="0" maxLength="100" border="1" negativeBarBorderColorSameAsPositive="0">
              <x14:cfvo type="autoMin"/>
              <x14:cfvo type="autoMax"/>
              <x14:borderColor rgb="FF63C384"/>
              <x14:negativeFillColor rgb="FFFF0000"/>
              <x14:negativeBorderColor rgb="FFFF0000"/>
              <x14:axisColor rgb="FF000000"/>
            </x14:dataBar>
          </x14:cfRule>
          <xm:sqref>AG115</xm:sqref>
        </x14:conditionalFormatting>
        <x14:conditionalFormatting xmlns:xm="http://schemas.microsoft.com/office/excel/2006/main">
          <x14:cfRule type="dataBar" id="{DE5D1627-C5F2-4239-88DC-FE24EF0B104B}">
            <x14:dataBar minLength="0" maxLength="100" border="1" negativeBarBorderColorSameAsPositive="0">
              <x14:cfvo type="autoMin"/>
              <x14:cfvo type="autoMax"/>
              <x14:borderColor rgb="FF63C384"/>
              <x14:negativeFillColor rgb="FFFF0000"/>
              <x14:negativeBorderColor rgb="FFFF0000"/>
              <x14:axisColor rgb="FF000000"/>
            </x14:dataBar>
          </x14:cfRule>
          <xm:sqref>AG115</xm:sqref>
        </x14:conditionalFormatting>
        <x14:conditionalFormatting xmlns:xm="http://schemas.microsoft.com/office/excel/2006/main">
          <x14:cfRule type="dataBar" id="{763B5CF7-6D39-4D80-9379-84A4A1CBB69E}">
            <x14:dataBar minLength="0" maxLength="100" border="1" negativeBarBorderColorSameAsPositive="0">
              <x14:cfvo type="autoMin"/>
              <x14:cfvo type="autoMax"/>
              <x14:borderColor rgb="FF63C384"/>
              <x14:negativeFillColor rgb="FFFF0000"/>
              <x14:negativeBorderColor rgb="FFFF0000"/>
              <x14:axisColor rgb="FF000000"/>
            </x14:dataBar>
          </x14:cfRule>
          <xm:sqref>AG115</xm:sqref>
        </x14:conditionalFormatting>
        <x14:conditionalFormatting xmlns:xm="http://schemas.microsoft.com/office/excel/2006/main">
          <x14:cfRule type="dataBar" id="{C1A4882A-B2F9-428A-9F98-7F95FC7B9519}">
            <x14:dataBar minLength="0" maxLength="100" border="1" negativeBarBorderColorSameAsPositive="0">
              <x14:cfvo type="autoMin"/>
              <x14:cfvo type="autoMax"/>
              <x14:borderColor rgb="FF63C384"/>
              <x14:negativeFillColor rgb="FFFF0000"/>
              <x14:negativeBorderColor rgb="FFFF0000"/>
              <x14:axisColor rgb="FF000000"/>
            </x14:dataBar>
          </x14:cfRule>
          <xm:sqref>AG116:AG117</xm:sqref>
        </x14:conditionalFormatting>
        <x14:conditionalFormatting xmlns:xm="http://schemas.microsoft.com/office/excel/2006/main">
          <x14:cfRule type="dataBar" id="{99B128A8-64B8-43F7-BBEB-AC3A7147045F}">
            <x14:dataBar minLength="0" maxLength="100" border="1" negativeBarBorderColorSameAsPositive="0">
              <x14:cfvo type="autoMin"/>
              <x14:cfvo type="autoMax"/>
              <x14:borderColor rgb="FF63C384"/>
              <x14:negativeFillColor rgb="FFFF0000"/>
              <x14:negativeBorderColor rgb="FFFF0000"/>
              <x14:axisColor rgb="FF000000"/>
            </x14:dataBar>
          </x14:cfRule>
          <xm:sqref>AG116:AG117</xm:sqref>
        </x14:conditionalFormatting>
        <x14:conditionalFormatting xmlns:xm="http://schemas.microsoft.com/office/excel/2006/main">
          <x14:cfRule type="dataBar" id="{2E1266D3-BA07-45D9-B15E-F3678F7C891A}">
            <x14:dataBar minLength="0" maxLength="100" border="1" negativeBarBorderColorSameAsPositive="0">
              <x14:cfvo type="autoMin"/>
              <x14:cfvo type="autoMax"/>
              <x14:borderColor rgb="FF63C384"/>
              <x14:negativeFillColor rgb="FFFF0000"/>
              <x14:negativeBorderColor rgb="FFFF0000"/>
              <x14:axisColor rgb="FF000000"/>
            </x14:dataBar>
          </x14:cfRule>
          <xm:sqref>AG118</xm:sqref>
        </x14:conditionalFormatting>
        <x14:conditionalFormatting xmlns:xm="http://schemas.microsoft.com/office/excel/2006/main">
          <x14:cfRule type="dataBar" id="{D60C4420-D880-42E4-9E7C-54E82B0F4516}">
            <x14:dataBar minLength="0" maxLength="100" border="1" negativeBarBorderColorSameAsPositive="0">
              <x14:cfvo type="autoMin"/>
              <x14:cfvo type="autoMax"/>
              <x14:borderColor rgb="FF63C384"/>
              <x14:negativeFillColor rgb="FFFF0000"/>
              <x14:negativeBorderColor rgb="FFFF0000"/>
              <x14:axisColor rgb="FF000000"/>
            </x14:dataBar>
          </x14:cfRule>
          <xm:sqref>AG118</xm:sqref>
        </x14:conditionalFormatting>
        <x14:conditionalFormatting xmlns:xm="http://schemas.microsoft.com/office/excel/2006/main">
          <x14:cfRule type="dataBar" id="{4B519CA6-1046-4DF1-ABA6-DC8FBB7D39AE}">
            <x14:dataBar minLength="0" maxLength="100" border="1" negativeBarBorderColorSameAsPositive="0">
              <x14:cfvo type="autoMin"/>
              <x14:cfvo type="autoMax"/>
              <x14:borderColor rgb="FF63C384"/>
              <x14:negativeFillColor rgb="FFFF0000"/>
              <x14:negativeBorderColor rgb="FFFF0000"/>
              <x14:axisColor rgb="FF000000"/>
            </x14:dataBar>
          </x14:cfRule>
          <xm:sqref>AG119</xm:sqref>
        </x14:conditionalFormatting>
        <x14:conditionalFormatting xmlns:xm="http://schemas.microsoft.com/office/excel/2006/main">
          <x14:cfRule type="dataBar" id="{EF2BF009-E8F1-4FE4-905F-2B6B554A7A31}">
            <x14:dataBar minLength="0" maxLength="100" border="1" negativeBarBorderColorSameAsPositive="0">
              <x14:cfvo type="autoMin"/>
              <x14:cfvo type="autoMax"/>
              <x14:borderColor rgb="FF63C384"/>
              <x14:negativeFillColor rgb="FFFF0000"/>
              <x14:negativeBorderColor rgb="FFFF0000"/>
              <x14:axisColor rgb="FF000000"/>
            </x14:dataBar>
          </x14:cfRule>
          <xm:sqref>AG119</xm:sqref>
        </x14:conditionalFormatting>
        <x14:conditionalFormatting xmlns:xm="http://schemas.microsoft.com/office/excel/2006/main">
          <x14:cfRule type="dataBar" id="{66415347-50BB-472A-AACD-47909535DA03}">
            <x14:dataBar minLength="0" maxLength="100" border="1" negativeBarBorderColorSameAsPositive="0">
              <x14:cfvo type="autoMin"/>
              <x14:cfvo type="autoMax"/>
              <x14:borderColor rgb="FF63C384"/>
              <x14:negativeFillColor rgb="FFFF0000"/>
              <x14:negativeBorderColor rgb="FFFF0000"/>
              <x14:axisColor rgb="FF000000"/>
            </x14:dataBar>
          </x14:cfRule>
          <xm:sqref>AG120</xm:sqref>
        </x14:conditionalFormatting>
        <x14:conditionalFormatting xmlns:xm="http://schemas.microsoft.com/office/excel/2006/main">
          <x14:cfRule type="dataBar" id="{AAEDC0EB-83C9-4EBE-8195-A8A7B7407CC3}">
            <x14:dataBar minLength="0" maxLength="100" border="1" negativeBarBorderColorSameAsPositive="0">
              <x14:cfvo type="autoMin"/>
              <x14:cfvo type="autoMax"/>
              <x14:borderColor rgb="FF63C384"/>
              <x14:negativeFillColor rgb="FFFF0000"/>
              <x14:negativeBorderColor rgb="FFFF0000"/>
              <x14:axisColor rgb="FF000000"/>
            </x14:dataBar>
          </x14:cfRule>
          <xm:sqref>AG120</xm:sqref>
        </x14:conditionalFormatting>
        <x14:conditionalFormatting xmlns:xm="http://schemas.microsoft.com/office/excel/2006/main">
          <x14:cfRule type="dataBar" id="{D969086B-D6E7-4D89-961E-B0DF9FF45F10}">
            <x14:dataBar minLength="0" maxLength="100" border="1" negativeBarBorderColorSameAsPositive="0">
              <x14:cfvo type="autoMin"/>
              <x14:cfvo type="autoMax"/>
              <x14:borderColor rgb="FF63C384"/>
              <x14:negativeFillColor rgb="FFFF0000"/>
              <x14:negativeBorderColor rgb="FFFF0000"/>
              <x14:axisColor rgb="FF000000"/>
            </x14:dataBar>
          </x14:cfRule>
          <xm:sqref>AG121</xm:sqref>
        </x14:conditionalFormatting>
        <x14:conditionalFormatting xmlns:xm="http://schemas.microsoft.com/office/excel/2006/main">
          <x14:cfRule type="dataBar" id="{3EBDD557-EE42-4928-829D-9EF8682840C4}">
            <x14:dataBar minLength="0" maxLength="100" border="1" negativeBarBorderColorSameAsPositive="0">
              <x14:cfvo type="autoMin"/>
              <x14:cfvo type="autoMax"/>
              <x14:borderColor rgb="FF63C384"/>
              <x14:negativeFillColor rgb="FFFF0000"/>
              <x14:negativeBorderColor rgb="FFFF0000"/>
              <x14:axisColor rgb="FF000000"/>
            </x14:dataBar>
          </x14:cfRule>
          <xm:sqref>AG121</xm:sqref>
        </x14:conditionalFormatting>
        <x14:conditionalFormatting xmlns:xm="http://schemas.microsoft.com/office/excel/2006/main">
          <x14:cfRule type="dataBar" id="{E5FE94C4-4200-4D33-ABF3-0475642A5ED2}">
            <x14:dataBar minLength="0" maxLength="100" border="1" negativeBarBorderColorSameAsPositive="0">
              <x14:cfvo type="autoMin"/>
              <x14:cfvo type="autoMax"/>
              <x14:borderColor rgb="FF63C384"/>
              <x14:negativeFillColor rgb="FFFF0000"/>
              <x14:negativeBorderColor rgb="FFFF0000"/>
              <x14:axisColor rgb="FF000000"/>
            </x14:dataBar>
          </x14:cfRule>
          <xm:sqref>AG121</xm:sqref>
        </x14:conditionalFormatting>
        <x14:conditionalFormatting xmlns:xm="http://schemas.microsoft.com/office/excel/2006/main">
          <x14:cfRule type="dataBar" id="{11ED77B3-99B7-433D-A8EC-DC5821752908}">
            <x14:dataBar minLength="0" maxLength="100" border="1" negativeBarBorderColorSameAsPositive="0">
              <x14:cfvo type="autoMin"/>
              <x14:cfvo type="autoMax"/>
              <x14:borderColor rgb="FF63C384"/>
              <x14:negativeFillColor rgb="FFFF0000"/>
              <x14:negativeBorderColor rgb="FFFF0000"/>
              <x14:axisColor rgb="FF000000"/>
            </x14:dataBar>
          </x14:cfRule>
          <xm:sqref>AG121</xm:sqref>
        </x14:conditionalFormatting>
        <x14:conditionalFormatting xmlns:xm="http://schemas.microsoft.com/office/excel/2006/main">
          <x14:cfRule type="dataBar" id="{5CDAA8F1-6D93-45D7-84EF-930FFC3D1841}">
            <x14:dataBar minLength="0" maxLength="100" border="1" negativeBarBorderColorSameAsPositive="0">
              <x14:cfvo type="autoMin"/>
              <x14:cfvo type="autoMax"/>
              <x14:borderColor rgb="FF63C384"/>
              <x14:negativeFillColor rgb="FFFF0000"/>
              <x14:negativeBorderColor rgb="FFFF0000"/>
              <x14:axisColor rgb="FF000000"/>
            </x14:dataBar>
          </x14:cfRule>
          <xm:sqref>AG122</xm:sqref>
        </x14:conditionalFormatting>
        <x14:conditionalFormatting xmlns:xm="http://schemas.microsoft.com/office/excel/2006/main">
          <x14:cfRule type="dataBar" id="{9B226B27-EE38-4CE5-89C2-C41E1FB47AC6}">
            <x14:dataBar minLength="0" maxLength="100" border="1" negativeBarBorderColorSameAsPositive="0">
              <x14:cfvo type="autoMin"/>
              <x14:cfvo type="autoMax"/>
              <x14:borderColor rgb="FF63C384"/>
              <x14:negativeFillColor rgb="FFFF0000"/>
              <x14:negativeBorderColor rgb="FFFF0000"/>
              <x14:axisColor rgb="FF000000"/>
            </x14:dataBar>
          </x14:cfRule>
          <xm:sqref>AG122</xm:sqref>
        </x14:conditionalFormatting>
        <x14:conditionalFormatting xmlns:xm="http://schemas.microsoft.com/office/excel/2006/main">
          <x14:cfRule type="dataBar" id="{F6F84AC3-AE68-4389-95D7-876438D368B4}">
            <x14:dataBar minLength="0" maxLength="100" border="1" negativeBarBorderColorSameAsPositive="0">
              <x14:cfvo type="autoMin"/>
              <x14:cfvo type="autoMax"/>
              <x14:borderColor rgb="FF63C384"/>
              <x14:negativeFillColor rgb="FFFF0000"/>
              <x14:negativeBorderColor rgb="FFFF0000"/>
              <x14:axisColor rgb="FF000000"/>
            </x14:dataBar>
          </x14:cfRule>
          <xm:sqref>AG123</xm:sqref>
        </x14:conditionalFormatting>
        <x14:conditionalFormatting xmlns:xm="http://schemas.microsoft.com/office/excel/2006/main">
          <x14:cfRule type="dataBar" id="{26583044-ED08-4251-A6EE-194ACD708B74}">
            <x14:dataBar minLength="0" maxLength="100" border="1" negativeBarBorderColorSameAsPositive="0">
              <x14:cfvo type="autoMin"/>
              <x14:cfvo type="autoMax"/>
              <x14:borderColor rgb="FF63C384"/>
              <x14:negativeFillColor rgb="FFFF0000"/>
              <x14:negativeBorderColor rgb="FFFF0000"/>
              <x14:axisColor rgb="FF000000"/>
            </x14:dataBar>
          </x14:cfRule>
          <xm:sqref>AG123</xm:sqref>
        </x14:conditionalFormatting>
        <x14:conditionalFormatting xmlns:xm="http://schemas.microsoft.com/office/excel/2006/main">
          <x14:cfRule type="dataBar" id="{35E330D2-7A92-4575-9529-E77D2C87EC52}">
            <x14:dataBar minLength="0" maxLength="100" border="1" negativeBarBorderColorSameAsPositive="0">
              <x14:cfvo type="autoMin"/>
              <x14:cfvo type="autoMax"/>
              <x14:borderColor rgb="FF63C384"/>
              <x14:negativeFillColor rgb="FFFF0000"/>
              <x14:negativeBorderColor rgb="FFFF0000"/>
              <x14:axisColor rgb="FF000000"/>
            </x14:dataBar>
          </x14:cfRule>
          <xm:sqref>AG123</xm:sqref>
        </x14:conditionalFormatting>
        <x14:conditionalFormatting xmlns:xm="http://schemas.microsoft.com/office/excel/2006/main">
          <x14:cfRule type="dataBar" id="{86131C24-F33F-4250-A8DB-B7F2ACA26C20}">
            <x14:dataBar minLength="0" maxLength="100" border="1" negativeBarBorderColorSameAsPositive="0">
              <x14:cfvo type="autoMin"/>
              <x14:cfvo type="autoMax"/>
              <x14:borderColor rgb="FF63C384"/>
              <x14:negativeFillColor rgb="FFFF0000"/>
              <x14:negativeBorderColor rgb="FFFF0000"/>
              <x14:axisColor rgb="FF000000"/>
            </x14:dataBar>
          </x14:cfRule>
          <xm:sqref>AG123</xm:sqref>
        </x14:conditionalFormatting>
        <x14:conditionalFormatting xmlns:xm="http://schemas.microsoft.com/office/excel/2006/main">
          <x14:cfRule type="dataBar" id="{ED3A152A-95B7-4E8D-BFEB-25C5B2F3E947}">
            <x14:dataBar minLength="0" maxLength="100" border="1" negativeBarBorderColorSameAsPositive="0">
              <x14:cfvo type="autoMin"/>
              <x14:cfvo type="autoMax"/>
              <x14:borderColor rgb="FF63C384"/>
              <x14:negativeFillColor rgb="FFFF0000"/>
              <x14:negativeBorderColor rgb="FFFF0000"/>
              <x14:axisColor rgb="FF000000"/>
            </x14:dataBar>
          </x14:cfRule>
          <xm:sqref>AG123</xm:sqref>
        </x14:conditionalFormatting>
        <x14:conditionalFormatting xmlns:xm="http://schemas.microsoft.com/office/excel/2006/main">
          <x14:cfRule type="dataBar" id="{FF4D07F4-7B02-4916-A597-3E6991E0BA0E}">
            <x14:dataBar minLength="0" maxLength="100" border="1" negativeBarBorderColorSameAsPositive="0">
              <x14:cfvo type="autoMin"/>
              <x14:cfvo type="autoMax"/>
              <x14:borderColor rgb="FF63C384"/>
              <x14:negativeFillColor rgb="FFFF0000"/>
              <x14:negativeBorderColor rgb="FFFF0000"/>
              <x14:axisColor rgb="FF000000"/>
            </x14:dataBar>
          </x14:cfRule>
          <xm:sqref>AG123</xm:sqref>
        </x14:conditionalFormatting>
        <x14:conditionalFormatting xmlns:xm="http://schemas.microsoft.com/office/excel/2006/main">
          <x14:cfRule type="dataBar" id="{28D15828-2755-4E00-9DC4-1AF5B77AF9F1}">
            <x14:dataBar minLength="0" maxLength="100" border="1" negativeBarBorderColorSameAsPositive="0">
              <x14:cfvo type="autoMin"/>
              <x14:cfvo type="autoMax"/>
              <x14:borderColor rgb="FF63C384"/>
              <x14:negativeFillColor rgb="FFFF0000"/>
              <x14:negativeBorderColor rgb="FFFF0000"/>
              <x14:axisColor rgb="FF000000"/>
            </x14:dataBar>
          </x14:cfRule>
          <xm:sqref>AG123</xm:sqref>
        </x14:conditionalFormatting>
        <x14:conditionalFormatting xmlns:xm="http://schemas.microsoft.com/office/excel/2006/main">
          <x14:cfRule type="dataBar" id="{BCE39948-B5AD-4C9D-80B3-A1A536EBD0E1}">
            <x14:dataBar minLength="0" maxLength="100" border="1" negativeBarBorderColorSameAsPositive="0">
              <x14:cfvo type="autoMin"/>
              <x14:cfvo type="autoMax"/>
              <x14:borderColor rgb="FF63C384"/>
              <x14:negativeFillColor rgb="FFFF0000"/>
              <x14:negativeBorderColor rgb="FFFF0000"/>
              <x14:axisColor rgb="FF000000"/>
            </x14:dataBar>
          </x14:cfRule>
          <xm:sqref>AG123</xm:sqref>
        </x14:conditionalFormatting>
        <x14:conditionalFormatting xmlns:xm="http://schemas.microsoft.com/office/excel/2006/main">
          <x14:cfRule type="dataBar" id="{6968A936-75F8-4FEC-8DB2-1A711262A4F4}">
            <x14:dataBar minLength="0" maxLength="100" border="1" negativeBarBorderColorSameAsPositive="0">
              <x14:cfvo type="autoMin"/>
              <x14:cfvo type="autoMax"/>
              <x14:borderColor rgb="FF63C384"/>
              <x14:negativeFillColor rgb="FFFF0000"/>
              <x14:negativeBorderColor rgb="FFFF0000"/>
              <x14:axisColor rgb="FF000000"/>
            </x14:dataBar>
          </x14:cfRule>
          <xm:sqref>AG124</xm:sqref>
        </x14:conditionalFormatting>
        <x14:conditionalFormatting xmlns:xm="http://schemas.microsoft.com/office/excel/2006/main">
          <x14:cfRule type="dataBar" id="{FFB84168-F60B-401D-B4F0-CD4CAC2311F0}">
            <x14:dataBar minLength="0" maxLength="100" border="1" negativeBarBorderColorSameAsPositive="0">
              <x14:cfvo type="autoMin"/>
              <x14:cfvo type="autoMax"/>
              <x14:borderColor rgb="FF63C384"/>
              <x14:negativeFillColor rgb="FFFF0000"/>
              <x14:negativeBorderColor rgb="FFFF0000"/>
              <x14:axisColor rgb="FF000000"/>
            </x14:dataBar>
          </x14:cfRule>
          <xm:sqref>AG124</xm:sqref>
        </x14:conditionalFormatting>
        <x14:conditionalFormatting xmlns:xm="http://schemas.microsoft.com/office/excel/2006/main">
          <x14:cfRule type="dataBar" id="{A84D32F1-EBB5-4DB8-81B3-2757F6450026}">
            <x14:dataBar minLength="0" maxLength="100" border="1" negativeBarBorderColorSameAsPositive="0">
              <x14:cfvo type="autoMin"/>
              <x14:cfvo type="autoMax"/>
              <x14:borderColor rgb="FF63C384"/>
              <x14:negativeFillColor rgb="FFFF0000"/>
              <x14:negativeBorderColor rgb="FFFF0000"/>
              <x14:axisColor rgb="FF000000"/>
            </x14:dataBar>
          </x14:cfRule>
          <xm:sqref>AG124</xm:sqref>
        </x14:conditionalFormatting>
        <x14:conditionalFormatting xmlns:xm="http://schemas.microsoft.com/office/excel/2006/main">
          <x14:cfRule type="dataBar" id="{DECFDBC6-AD21-40AA-9C71-DD12E15170A6}">
            <x14:dataBar minLength="0" maxLength="100" border="1" negativeBarBorderColorSameAsPositive="0">
              <x14:cfvo type="autoMin"/>
              <x14:cfvo type="autoMax"/>
              <x14:borderColor rgb="FF63C384"/>
              <x14:negativeFillColor rgb="FFFF0000"/>
              <x14:negativeBorderColor rgb="FFFF0000"/>
              <x14:axisColor rgb="FF000000"/>
            </x14:dataBar>
          </x14:cfRule>
          <xm:sqref>AG124</xm:sqref>
        </x14:conditionalFormatting>
        <x14:conditionalFormatting xmlns:xm="http://schemas.microsoft.com/office/excel/2006/main">
          <x14:cfRule type="dataBar" id="{3A4509FB-E411-4120-8C81-21A8A74AAFA3}">
            <x14:dataBar minLength="0" maxLength="100" border="1" negativeBarBorderColorSameAsPositive="0">
              <x14:cfvo type="autoMin"/>
              <x14:cfvo type="autoMax"/>
              <x14:borderColor rgb="FF63C384"/>
              <x14:negativeFillColor rgb="FFFF0000"/>
              <x14:negativeBorderColor rgb="FFFF0000"/>
              <x14:axisColor rgb="FF000000"/>
            </x14:dataBar>
          </x14:cfRule>
          <xm:sqref>AG125</xm:sqref>
        </x14:conditionalFormatting>
        <x14:conditionalFormatting xmlns:xm="http://schemas.microsoft.com/office/excel/2006/main">
          <x14:cfRule type="dataBar" id="{6D1BC673-3552-44DB-AD4E-DE9C1160C1B5}">
            <x14:dataBar minLength="0" maxLength="100" border="1" negativeBarBorderColorSameAsPositive="0">
              <x14:cfvo type="autoMin"/>
              <x14:cfvo type="autoMax"/>
              <x14:borderColor rgb="FF63C384"/>
              <x14:negativeFillColor rgb="FFFF0000"/>
              <x14:negativeBorderColor rgb="FFFF0000"/>
              <x14:axisColor rgb="FF000000"/>
            </x14:dataBar>
          </x14:cfRule>
          <xm:sqref>AG125</xm:sqref>
        </x14:conditionalFormatting>
        <x14:conditionalFormatting xmlns:xm="http://schemas.microsoft.com/office/excel/2006/main">
          <x14:cfRule type="dataBar" id="{3E432959-AF27-42FA-880F-08CD70B447C1}">
            <x14:dataBar minLength="0" maxLength="100" border="1" negativeBarBorderColorSameAsPositive="0">
              <x14:cfvo type="autoMin"/>
              <x14:cfvo type="autoMax"/>
              <x14:borderColor rgb="FF63C384"/>
              <x14:negativeFillColor rgb="FFFF0000"/>
              <x14:negativeBorderColor rgb="FFFF0000"/>
              <x14:axisColor rgb="FF000000"/>
            </x14:dataBar>
          </x14:cfRule>
          <xm:sqref>AG126</xm:sqref>
        </x14:conditionalFormatting>
        <x14:conditionalFormatting xmlns:xm="http://schemas.microsoft.com/office/excel/2006/main">
          <x14:cfRule type="dataBar" id="{32B5DD63-50D2-4D84-AA41-5429401BBCFF}">
            <x14:dataBar minLength="0" maxLength="100" border="1" negativeBarBorderColorSameAsPositive="0">
              <x14:cfvo type="autoMin"/>
              <x14:cfvo type="autoMax"/>
              <x14:borderColor rgb="FF63C384"/>
              <x14:negativeFillColor rgb="FFFF0000"/>
              <x14:negativeBorderColor rgb="FFFF0000"/>
              <x14:axisColor rgb="FF000000"/>
            </x14:dataBar>
          </x14:cfRule>
          <xm:sqref>AG126</xm:sqref>
        </x14:conditionalFormatting>
        <x14:conditionalFormatting xmlns:xm="http://schemas.microsoft.com/office/excel/2006/main">
          <x14:cfRule type="dataBar" id="{558163C9-6673-40DD-A651-D96201163397}">
            <x14:dataBar minLength="0" maxLength="100" border="1" negativeBarBorderColorSameAsPositive="0">
              <x14:cfvo type="autoMin"/>
              <x14:cfvo type="autoMax"/>
              <x14:borderColor rgb="FF63C384"/>
              <x14:negativeFillColor rgb="FFFF0000"/>
              <x14:negativeBorderColor rgb="FFFF0000"/>
              <x14:axisColor rgb="FF000000"/>
            </x14:dataBar>
          </x14:cfRule>
          <xm:sqref>AG126</xm:sqref>
        </x14:conditionalFormatting>
        <x14:conditionalFormatting xmlns:xm="http://schemas.microsoft.com/office/excel/2006/main">
          <x14:cfRule type="dataBar" id="{01058AF9-5602-4ED0-96FE-7320F638AE5F}">
            <x14:dataBar minLength="0" maxLength="100" border="1" negativeBarBorderColorSameAsPositive="0">
              <x14:cfvo type="autoMin"/>
              <x14:cfvo type="autoMax"/>
              <x14:borderColor rgb="FF63C384"/>
              <x14:negativeFillColor rgb="FFFF0000"/>
              <x14:negativeBorderColor rgb="FFFF0000"/>
              <x14:axisColor rgb="FF000000"/>
            </x14:dataBar>
          </x14:cfRule>
          <xm:sqref>AG126</xm:sqref>
        </x14:conditionalFormatting>
        <x14:conditionalFormatting xmlns:xm="http://schemas.microsoft.com/office/excel/2006/main">
          <x14:cfRule type="dataBar" id="{8899CB09-E12E-4425-B3D6-4346F5248673}">
            <x14:dataBar minLength="0" maxLength="100" border="1" negativeBarBorderColorSameAsPositive="0">
              <x14:cfvo type="autoMin"/>
              <x14:cfvo type="autoMax"/>
              <x14:borderColor rgb="FF63C384"/>
              <x14:negativeFillColor rgb="FFFF0000"/>
              <x14:negativeBorderColor rgb="FFFF0000"/>
              <x14:axisColor rgb="FF000000"/>
            </x14:dataBar>
          </x14:cfRule>
          <xm:sqref>AG127</xm:sqref>
        </x14:conditionalFormatting>
        <x14:conditionalFormatting xmlns:xm="http://schemas.microsoft.com/office/excel/2006/main">
          <x14:cfRule type="dataBar" id="{542848B7-F85A-4E92-98ED-2CF1654D1A36}">
            <x14:dataBar minLength="0" maxLength="100" border="1" negativeBarBorderColorSameAsPositive="0">
              <x14:cfvo type="autoMin"/>
              <x14:cfvo type="autoMax"/>
              <x14:borderColor rgb="FF63C384"/>
              <x14:negativeFillColor rgb="FFFF0000"/>
              <x14:negativeBorderColor rgb="FFFF0000"/>
              <x14:axisColor rgb="FF000000"/>
            </x14:dataBar>
          </x14:cfRule>
          <xm:sqref>AG127</xm:sqref>
        </x14:conditionalFormatting>
        <x14:conditionalFormatting xmlns:xm="http://schemas.microsoft.com/office/excel/2006/main">
          <x14:cfRule type="dataBar" id="{9894BF4C-6F2C-4DF4-A0C6-7DC0A0035C87}">
            <x14:dataBar minLength="0" maxLength="100" border="1" negativeBarBorderColorSameAsPositive="0">
              <x14:cfvo type="autoMin"/>
              <x14:cfvo type="autoMax"/>
              <x14:borderColor rgb="FF63C384"/>
              <x14:negativeFillColor rgb="FFFF0000"/>
              <x14:negativeBorderColor rgb="FFFF0000"/>
              <x14:axisColor rgb="FF000000"/>
            </x14:dataBar>
          </x14:cfRule>
          <xm:sqref>AG127</xm:sqref>
        </x14:conditionalFormatting>
        <x14:conditionalFormatting xmlns:xm="http://schemas.microsoft.com/office/excel/2006/main">
          <x14:cfRule type="dataBar" id="{B75E8334-6F2F-4715-AACC-79323FA2BFCD}">
            <x14:dataBar minLength="0" maxLength="100" border="1" negativeBarBorderColorSameAsPositive="0">
              <x14:cfvo type="autoMin"/>
              <x14:cfvo type="autoMax"/>
              <x14:borderColor rgb="FF63C384"/>
              <x14:negativeFillColor rgb="FFFF0000"/>
              <x14:negativeBorderColor rgb="FFFF0000"/>
              <x14:axisColor rgb="FF000000"/>
            </x14:dataBar>
          </x14:cfRule>
          <xm:sqref>AG127</xm:sqref>
        </x14:conditionalFormatting>
        <x14:conditionalFormatting xmlns:xm="http://schemas.microsoft.com/office/excel/2006/main">
          <x14:cfRule type="dataBar" id="{A3FB98AD-47CA-4830-9224-A46E819F4029}">
            <x14:dataBar minLength="0" maxLength="100" border="1" negativeBarBorderColorSameAsPositive="0">
              <x14:cfvo type="autoMin"/>
              <x14:cfvo type="autoMax"/>
              <x14:borderColor rgb="FF63C384"/>
              <x14:negativeFillColor rgb="FFFF0000"/>
              <x14:negativeBorderColor rgb="FFFF0000"/>
              <x14:axisColor rgb="FF000000"/>
            </x14:dataBar>
          </x14:cfRule>
          <xm:sqref>AG127</xm:sqref>
        </x14:conditionalFormatting>
        <x14:conditionalFormatting xmlns:xm="http://schemas.microsoft.com/office/excel/2006/main">
          <x14:cfRule type="dataBar" id="{00B36C19-C600-47D5-B74C-CF4A03B6B4FA}">
            <x14:dataBar minLength="0" maxLength="100" border="1" negativeBarBorderColorSameAsPositive="0">
              <x14:cfvo type="autoMin"/>
              <x14:cfvo type="autoMax"/>
              <x14:borderColor rgb="FF63C384"/>
              <x14:negativeFillColor rgb="FFFF0000"/>
              <x14:negativeBorderColor rgb="FFFF0000"/>
              <x14:axisColor rgb="FF000000"/>
            </x14:dataBar>
          </x14:cfRule>
          <xm:sqref>AG127</xm:sqref>
        </x14:conditionalFormatting>
        <x14:conditionalFormatting xmlns:xm="http://schemas.microsoft.com/office/excel/2006/main">
          <x14:cfRule type="dataBar" id="{08F06A26-9970-46CC-B4E7-DA5566FDE1B9}">
            <x14:dataBar minLength="0" maxLength="100" border="1" negativeBarBorderColorSameAsPositive="0">
              <x14:cfvo type="autoMin"/>
              <x14:cfvo type="autoMax"/>
              <x14:borderColor rgb="FF63C384"/>
              <x14:negativeFillColor rgb="FFFF0000"/>
              <x14:negativeBorderColor rgb="FFFF0000"/>
              <x14:axisColor rgb="FF000000"/>
            </x14:dataBar>
          </x14:cfRule>
          <xm:sqref>AG128</xm:sqref>
        </x14:conditionalFormatting>
        <x14:conditionalFormatting xmlns:xm="http://schemas.microsoft.com/office/excel/2006/main">
          <x14:cfRule type="dataBar" id="{D8D172A2-10D4-4FA6-BFD1-7B8C3F00F099}">
            <x14:dataBar minLength="0" maxLength="100" border="1" negativeBarBorderColorSameAsPositive="0">
              <x14:cfvo type="autoMin"/>
              <x14:cfvo type="autoMax"/>
              <x14:borderColor rgb="FF63C384"/>
              <x14:negativeFillColor rgb="FFFF0000"/>
              <x14:negativeBorderColor rgb="FFFF0000"/>
              <x14:axisColor rgb="FF000000"/>
            </x14:dataBar>
          </x14:cfRule>
          <xm:sqref>AG128</xm:sqref>
        </x14:conditionalFormatting>
        <x14:conditionalFormatting xmlns:xm="http://schemas.microsoft.com/office/excel/2006/main">
          <x14:cfRule type="dataBar" id="{141C49A1-2101-43F2-91D7-5F7FA7B1B1F9}">
            <x14:dataBar minLength="0" maxLength="100" border="1" negativeBarBorderColorSameAsPositive="0">
              <x14:cfvo type="autoMin"/>
              <x14:cfvo type="autoMax"/>
              <x14:borderColor rgb="FF63C384"/>
              <x14:negativeFillColor rgb="FFFF0000"/>
              <x14:negativeBorderColor rgb="FFFF0000"/>
              <x14:axisColor rgb="FF000000"/>
            </x14:dataBar>
          </x14:cfRule>
          <xm:sqref>AG129</xm:sqref>
        </x14:conditionalFormatting>
        <x14:conditionalFormatting xmlns:xm="http://schemas.microsoft.com/office/excel/2006/main">
          <x14:cfRule type="dataBar" id="{2FD4F2A5-2C15-4E79-9719-6EB54901CE15}">
            <x14:dataBar minLength="0" maxLength="100" border="1" negativeBarBorderColorSameAsPositive="0">
              <x14:cfvo type="autoMin"/>
              <x14:cfvo type="autoMax"/>
              <x14:borderColor rgb="FF63C384"/>
              <x14:negativeFillColor rgb="FFFF0000"/>
              <x14:negativeBorderColor rgb="FFFF0000"/>
              <x14:axisColor rgb="FF000000"/>
            </x14:dataBar>
          </x14:cfRule>
          <xm:sqref>AG129</xm:sqref>
        </x14:conditionalFormatting>
        <x14:conditionalFormatting xmlns:xm="http://schemas.microsoft.com/office/excel/2006/main">
          <x14:cfRule type="dataBar" id="{83E6A99B-BB47-4A82-A2AF-872DC57451C7}">
            <x14:dataBar minLength="0" maxLength="100" border="1" negativeBarBorderColorSameAsPositive="0">
              <x14:cfvo type="autoMin"/>
              <x14:cfvo type="autoMax"/>
              <x14:borderColor rgb="FF63C384"/>
              <x14:negativeFillColor rgb="FFFF0000"/>
              <x14:negativeBorderColor rgb="FFFF0000"/>
              <x14:axisColor rgb="FF000000"/>
            </x14:dataBar>
          </x14:cfRule>
          <xm:sqref>AG130</xm:sqref>
        </x14:conditionalFormatting>
        <x14:conditionalFormatting xmlns:xm="http://schemas.microsoft.com/office/excel/2006/main">
          <x14:cfRule type="dataBar" id="{558C2894-C565-4256-9BCE-5277187E9E6C}">
            <x14:dataBar minLength="0" maxLength="100" border="1" negativeBarBorderColorSameAsPositive="0">
              <x14:cfvo type="autoMin"/>
              <x14:cfvo type="autoMax"/>
              <x14:borderColor rgb="FF63C384"/>
              <x14:negativeFillColor rgb="FFFF0000"/>
              <x14:negativeBorderColor rgb="FFFF0000"/>
              <x14:axisColor rgb="FF000000"/>
            </x14:dataBar>
          </x14:cfRule>
          <xm:sqref>AG130</xm:sqref>
        </x14:conditionalFormatting>
        <x14:conditionalFormatting xmlns:xm="http://schemas.microsoft.com/office/excel/2006/main">
          <x14:cfRule type="dataBar" id="{ACB85D8C-7E6F-4872-878E-8732874805AD}">
            <x14:dataBar minLength="0" maxLength="100" border="1" negativeBarBorderColorSameAsPositive="0">
              <x14:cfvo type="autoMin"/>
              <x14:cfvo type="autoMax"/>
              <x14:borderColor rgb="FF63C384"/>
              <x14:negativeFillColor rgb="FFFF0000"/>
              <x14:negativeBorderColor rgb="FFFF0000"/>
              <x14:axisColor rgb="FF000000"/>
            </x14:dataBar>
          </x14:cfRule>
          <xm:sqref>AG130</xm:sqref>
        </x14:conditionalFormatting>
        <x14:conditionalFormatting xmlns:xm="http://schemas.microsoft.com/office/excel/2006/main">
          <x14:cfRule type="dataBar" id="{1F041DC0-B783-4014-AFA4-B5761B032E99}">
            <x14:dataBar minLength="0" maxLength="100" border="1" negativeBarBorderColorSameAsPositive="0">
              <x14:cfvo type="autoMin"/>
              <x14:cfvo type="autoMax"/>
              <x14:borderColor rgb="FF63C384"/>
              <x14:negativeFillColor rgb="FFFF0000"/>
              <x14:negativeBorderColor rgb="FFFF0000"/>
              <x14:axisColor rgb="FF000000"/>
            </x14:dataBar>
          </x14:cfRule>
          <xm:sqref>AG130</xm:sqref>
        </x14:conditionalFormatting>
        <x14:conditionalFormatting xmlns:xm="http://schemas.microsoft.com/office/excel/2006/main">
          <x14:cfRule type="dataBar" id="{DC12941C-8F0D-4332-8E38-41A5FECF76EF}">
            <x14:dataBar minLength="0" maxLength="100" border="1" negativeBarBorderColorSameAsPositive="0">
              <x14:cfvo type="autoMin"/>
              <x14:cfvo type="autoMax"/>
              <x14:borderColor rgb="FF63C384"/>
              <x14:negativeFillColor rgb="FFFF0000"/>
              <x14:negativeBorderColor rgb="FFFF0000"/>
              <x14:axisColor rgb="FF000000"/>
            </x14:dataBar>
          </x14:cfRule>
          <xm:sqref>AG131</xm:sqref>
        </x14:conditionalFormatting>
        <x14:conditionalFormatting xmlns:xm="http://schemas.microsoft.com/office/excel/2006/main">
          <x14:cfRule type="dataBar" id="{4629D814-FF43-4B97-A842-F016626D0D9F}">
            <x14:dataBar minLength="0" maxLength="100" border="1" negativeBarBorderColorSameAsPositive="0">
              <x14:cfvo type="autoMin"/>
              <x14:cfvo type="autoMax"/>
              <x14:borderColor rgb="FF63C384"/>
              <x14:negativeFillColor rgb="FFFF0000"/>
              <x14:negativeBorderColor rgb="FFFF0000"/>
              <x14:axisColor rgb="FF000000"/>
            </x14:dataBar>
          </x14:cfRule>
          <xm:sqref>AG131</xm:sqref>
        </x14:conditionalFormatting>
        <x14:conditionalFormatting xmlns:xm="http://schemas.microsoft.com/office/excel/2006/main">
          <x14:cfRule type="dataBar" id="{19D30D6A-7A18-4785-8369-647BF13A0D78}">
            <x14:dataBar minLength="0" maxLength="100" border="1" negativeBarBorderColorSameAsPositive="0">
              <x14:cfvo type="autoMin"/>
              <x14:cfvo type="autoMax"/>
              <x14:borderColor rgb="FF63C384"/>
              <x14:negativeFillColor rgb="FFFF0000"/>
              <x14:negativeBorderColor rgb="FFFF0000"/>
              <x14:axisColor rgb="FF000000"/>
            </x14:dataBar>
          </x14:cfRule>
          <xm:sqref>AG131</xm:sqref>
        </x14:conditionalFormatting>
        <x14:conditionalFormatting xmlns:xm="http://schemas.microsoft.com/office/excel/2006/main">
          <x14:cfRule type="dataBar" id="{00866AC3-AFFD-45AC-BB3F-DC15888E35FC}">
            <x14:dataBar minLength="0" maxLength="100" border="1" negativeBarBorderColorSameAsPositive="0">
              <x14:cfvo type="autoMin"/>
              <x14:cfvo type="autoMax"/>
              <x14:borderColor rgb="FF63C384"/>
              <x14:negativeFillColor rgb="FFFF0000"/>
              <x14:negativeBorderColor rgb="FFFF0000"/>
              <x14:axisColor rgb="FF000000"/>
            </x14:dataBar>
          </x14:cfRule>
          <xm:sqref>AG131</xm:sqref>
        </x14:conditionalFormatting>
        <x14:conditionalFormatting xmlns:xm="http://schemas.microsoft.com/office/excel/2006/main">
          <x14:cfRule type="dataBar" id="{525CFC93-3ED3-4B65-A2BC-85D2E7D6E252}">
            <x14:dataBar minLength="0" maxLength="100" border="1" negativeBarBorderColorSameAsPositive="0">
              <x14:cfvo type="autoMin"/>
              <x14:cfvo type="autoMax"/>
              <x14:borderColor rgb="FF63C384"/>
              <x14:negativeFillColor rgb="FFFF0000"/>
              <x14:negativeBorderColor rgb="FFFF0000"/>
              <x14:axisColor rgb="FF000000"/>
            </x14:dataBar>
          </x14:cfRule>
          <xm:sqref>AG132</xm:sqref>
        </x14:conditionalFormatting>
        <x14:conditionalFormatting xmlns:xm="http://schemas.microsoft.com/office/excel/2006/main">
          <x14:cfRule type="dataBar" id="{21DFB7FD-174D-4933-B2B5-3455290F2882}">
            <x14:dataBar minLength="0" maxLength="100" border="1" negativeBarBorderColorSameAsPositive="0">
              <x14:cfvo type="autoMin"/>
              <x14:cfvo type="autoMax"/>
              <x14:borderColor rgb="FF63C384"/>
              <x14:negativeFillColor rgb="FFFF0000"/>
              <x14:negativeBorderColor rgb="FFFF0000"/>
              <x14:axisColor rgb="FF000000"/>
            </x14:dataBar>
          </x14:cfRule>
          <xm:sqref>AG132</xm:sqref>
        </x14:conditionalFormatting>
        <x14:conditionalFormatting xmlns:xm="http://schemas.microsoft.com/office/excel/2006/main">
          <x14:cfRule type="dataBar" id="{43D7722B-DACC-40B4-9328-7F098700BA7B}">
            <x14:dataBar minLength="0" maxLength="100" border="1" negativeBarBorderColorSameAsPositive="0">
              <x14:cfvo type="autoMin"/>
              <x14:cfvo type="autoMax"/>
              <x14:borderColor rgb="FF63C384"/>
              <x14:negativeFillColor rgb="FFFF0000"/>
              <x14:negativeBorderColor rgb="FFFF0000"/>
              <x14:axisColor rgb="FF000000"/>
            </x14:dataBar>
          </x14:cfRule>
          <xm:sqref>AG133</xm:sqref>
        </x14:conditionalFormatting>
        <x14:conditionalFormatting xmlns:xm="http://schemas.microsoft.com/office/excel/2006/main">
          <x14:cfRule type="dataBar" id="{0467B4BD-F09F-4C96-9EE5-4D9609143CD4}">
            <x14:dataBar minLength="0" maxLength="100" border="1" negativeBarBorderColorSameAsPositive="0">
              <x14:cfvo type="autoMin"/>
              <x14:cfvo type="autoMax"/>
              <x14:borderColor rgb="FF63C384"/>
              <x14:negativeFillColor rgb="FFFF0000"/>
              <x14:negativeBorderColor rgb="FFFF0000"/>
              <x14:axisColor rgb="FF000000"/>
            </x14:dataBar>
          </x14:cfRule>
          <xm:sqref>AG133</xm:sqref>
        </x14:conditionalFormatting>
        <x14:conditionalFormatting xmlns:xm="http://schemas.microsoft.com/office/excel/2006/main">
          <x14:cfRule type="dataBar" id="{425AA579-79DE-48B5-B9D9-B1948A56CBE9}">
            <x14:dataBar minLength="0" maxLength="100" border="1" negativeBarBorderColorSameAsPositive="0">
              <x14:cfvo type="autoMin"/>
              <x14:cfvo type="autoMax"/>
              <x14:borderColor rgb="FF63C384"/>
              <x14:negativeFillColor rgb="FFFF0000"/>
              <x14:negativeBorderColor rgb="FFFF0000"/>
              <x14:axisColor rgb="FF000000"/>
            </x14:dataBar>
          </x14:cfRule>
          <xm:sqref>AG133</xm:sqref>
        </x14:conditionalFormatting>
        <x14:conditionalFormatting xmlns:xm="http://schemas.microsoft.com/office/excel/2006/main">
          <x14:cfRule type="dataBar" id="{A4AC74A0-5E40-4C91-9395-6A5F474FE9AF}">
            <x14:dataBar minLength="0" maxLength="100" border="1" negativeBarBorderColorSameAsPositive="0">
              <x14:cfvo type="autoMin"/>
              <x14:cfvo type="autoMax"/>
              <x14:borderColor rgb="FF63C384"/>
              <x14:negativeFillColor rgb="FFFF0000"/>
              <x14:negativeBorderColor rgb="FFFF0000"/>
              <x14:axisColor rgb="FF000000"/>
            </x14:dataBar>
          </x14:cfRule>
          <xm:sqref>AG133</xm:sqref>
        </x14:conditionalFormatting>
        <x14:conditionalFormatting xmlns:xm="http://schemas.microsoft.com/office/excel/2006/main">
          <x14:cfRule type="dataBar" id="{82B8F717-70EC-4FDF-972D-82C21BC4A005}">
            <x14:dataBar minLength="0" maxLength="100" border="1" negativeBarBorderColorSameAsPositive="0">
              <x14:cfvo type="autoMin"/>
              <x14:cfvo type="autoMax"/>
              <x14:borderColor rgb="FF63C384"/>
              <x14:negativeFillColor rgb="FFFF0000"/>
              <x14:negativeBorderColor rgb="FFFF0000"/>
              <x14:axisColor rgb="FF000000"/>
            </x14:dataBar>
          </x14:cfRule>
          <xm:sqref>AG135</xm:sqref>
        </x14:conditionalFormatting>
        <x14:conditionalFormatting xmlns:xm="http://schemas.microsoft.com/office/excel/2006/main">
          <x14:cfRule type="dataBar" id="{BAC92A25-5DF9-42D1-A029-B4361A0D7920}">
            <x14:dataBar minLength="0" maxLength="100" border="1" negativeBarBorderColorSameAsPositive="0">
              <x14:cfvo type="autoMin"/>
              <x14:cfvo type="autoMax"/>
              <x14:borderColor rgb="FF63C384"/>
              <x14:negativeFillColor rgb="FFFF0000"/>
              <x14:negativeBorderColor rgb="FFFF0000"/>
              <x14:axisColor rgb="FF000000"/>
            </x14:dataBar>
          </x14:cfRule>
          <xm:sqref>AG135</xm:sqref>
        </x14:conditionalFormatting>
        <x14:conditionalFormatting xmlns:xm="http://schemas.microsoft.com/office/excel/2006/main">
          <x14:cfRule type="dataBar" id="{488ABF00-4849-4BB6-B62B-5A3E3B3CC780}">
            <x14:dataBar minLength="0" maxLength="100" border="1" negativeBarBorderColorSameAsPositive="0">
              <x14:cfvo type="autoMin"/>
              <x14:cfvo type="autoMax"/>
              <x14:borderColor rgb="FF63C384"/>
              <x14:negativeFillColor rgb="FFFF0000"/>
              <x14:negativeBorderColor rgb="FFFF0000"/>
              <x14:axisColor rgb="FF000000"/>
            </x14:dataBar>
          </x14:cfRule>
          <xm:sqref>AG136</xm:sqref>
        </x14:conditionalFormatting>
        <x14:conditionalFormatting xmlns:xm="http://schemas.microsoft.com/office/excel/2006/main">
          <x14:cfRule type="dataBar" id="{DEB1E09D-23D7-4B8A-AFB7-C7333F702A13}">
            <x14:dataBar minLength="0" maxLength="100" border="1" negativeBarBorderColorSameAsPositive="0">
              <x14:cfvo type="autoMin"/>
              <x14:cfvo type="autoMax"/>
              <x14:borderColor rgb="FF63C384"/>
              <x14:negativeFillColor rgb="FFFF0000"/>
              <x14:negativeBorderColor rgb="FFFF0000"/>
              <x14:axisColor rgb="FF000000"/>
            </x14:dataBar>
          </x14:cfRule>
          <xm:sqref>AG136</xm:sqref>
        </x14:conditionalFormatting>
        <x14:conditionalFormatting xmlns:xm="http://schemas.microsoft.com/office/excel/2006/main">
          <x14:cfRule type="dataBar" id="{04EA8708-97AD-4437-99E2-A97A3FF2A8C5}">
            <x14:dataBar minLength="0" maxLength="100" border="1" negativeBarBorderColorSameAsPositive="0">
              <x14:cfvo type="autoMin"/>
              <x14:cfvo type="autoMax"/>
              <x14:borderColor rgb="FF63C384"/>
              <x14:negativeFillColor rgb="FFFF0000"/>
              <x14:negativeBorderColor rgb="FFFF0000"/>
              <x14:axisColor rgb="FF000000"/>
            </x14:dataBar>
          </x14:cfRule>
          <xm:sqref>AG136</xm:sqref>
        </x14:conditionalFormatting>
        <x14:conditionalFormatting xmlns:xm="http://schemas.microsoft.com/office/excel/2006/main">
          <x14:cfRule type="dataBar" id="{271BAE97-12E0-4193-822D-D5979DA6EF12}">
            <x14:dataBar minLength="0" maxLength="100" border="1" negativeBarBorderColorSameAsPositive="0">
              <x14:cfvo type="autoMin"/>
              <x14:cfvo type="autoMax"/>
              <x14:borderColor rgb="FF63C384"/>
              <x14:negativeFillColor rgb="FFFF0000"/>
              <x14:negativeBorderColor rgb="FFFF0000"/>
              <x14:axisColor rgb="FF000000"/>
            </x14:dataBar>
          </x14:cfRule>
          <xm:sqref>AG136</xm:sqref>
        </x14:conditionalFormatting>
        <x14:conditionalFormatting xmlns:xm="http://schemas.microsoft.com/office/excel/2006/main">
          <x14:cfRule type="dataBar" id="{7FB8C6DD-F367-4563-BE64-59117FAB9765}">
            <x14:dataBar minLength="0" maxLength="100" border="1" negativeBarBorderColorSameAsPositive="0">
              <x14:cfvo type="autoMin"/>
              <x14:cfvo type="autoMax"/>
              <x14:borderColor rgb="FF63C384"/>
              <x14:negativeFillColor rgb="FFFF0000"/>
              <x14:negativeBorderColor rgb="FFFF0000"/>
              <x14:axisColor rgb="FF000000"/>
            </x14:dataBar>
          </x14:cfRule>
          <xm:sqref>AG136</xm:sqref>
        </x14:conditionalFormatting>
        <x14:conditionalFormatting xmlns:xm="http://schemas.microsoft.com/office/excel/2006/main">
          <x14:cfRule type="dataBar" id="{D339E92C-01DF-41DF-8D3D-7A8E6C9A400F}">
            <x14:dataBar minLength="0" maxLength="100" border="1" negativeBarBorderColorSameAsPositive="0">
              <x14:cfvo type="autoMin"/>
              <x14:cfvo type="autoMax"/>
              <x14:borderColor rgb="FF63C384"/>
              <x14:negativeFillColor rgb="FFFF0000"/>
              <x14:negativeBorderColor rgb="FFFF0000"/>
              <x14:axisColor rgb="FF000000"/>
            </x14:dataBar>
          </x14:cfRule>
          <xm:sqref>AG136</xm:sqref>
        </x14:conditionalFormatting>
        <x14:conditionalFormatting xmlns:xm="http://schemas.microsoft.com/office/excel/2006/main">
          <x14:cfRule type="dataBar" id="{0B666857-E3F1-4F68-941A-A12BB312ABAC}">
            <x14:dataBar minLength="0" maxLength="100" border="1" negativeBarBorderColorSameAsPositive="0">
              <x14:cfvo type="autoMin"/>
              <x14:cfvo type="autoMax"/>
              <x14:borderColor rgb="FF63C384"/>
              <x14:negativeFillColor rgb="FFFF0000"/>
              <x14:negativeBorderColor rgb="FFFF0000"/>
              <x14:axisColor rgb="FF000000"/>
            </x14:dataBar>
          </x14:cfRule>
          <xm:sqref>AG136</xm:sqref>
        </x14:conditionalFormatting>
        <x14:conditionalFormatting xmlns:xm="http://schemas.microsoft.com/office/excel/2006/main">
          <x14:cfRule type="dataBar" id="{51EBC26E-E4AD-44A4-8640-C4E26958DF6A}">
            <x14:dataBar minLength="0" maxLength="100" border="1" negativeBarBorderColorSameAsPositive="0">
              <x14:cfvo type="autoMin"/>
              <x14:cfvo type="autoMax"/>
              <x14:borderColor rgb="FF63C384"/>
              <x14:negativeFillColor rgb="FFFF0000"/>
              <x14:negativeBorderColor rgb="FFFF0000"/>
              <x14:axisColor rgb="FF000000"/>
            </x14:dataBar>
          </x14:cfRule>
          <xm:sqref>AG136</xm:sqref>
        </x14:conditionalFormatting>
        <x14:conditionalFormatting xmlns:xm="http://schemas.microsoft.com/office/excel/2006/main">
          <x14:cfRule type="dataBar" id="{944AC312-575A-4F64-9360-F0E3D5FC44CD}">
            <x14:dataBar minLength="0" maxLength="100" border="1" negativeBarBorderColorSameAsPositive="0">
              <x14:cfvo type="autoMin"/>
              <x14:cfvo type="autoMax"/>
              <x14:borderColor rgb="FF63C384"/>
              <x14:negativeFillColor rgb="FFFF0000"/>
              <x14:negativeBorderColor rgb="FFFF0000"/>
              <x14:axisColor rgb="FF000000"/>
            </x14:dataBar>
          </x14:cfRule>
          <xm:sqref>AG137</xm:sqref>
        </x14:conditionalFormatting>
        <x14:conditionalFormatting xmlns:xm="http://schemas.microsoft.com/office/excel/2006/main">
          <x14:cfRule type="dataBar" id="{24D3CDE3-CEE8-4607-9D68-86DC13324C47}">
            <x14:dataBar minLength="0" maxLength="100" border="1" negativeBarBorderColorSameAsPositive="0">
              <x14:cfvo type="autoMin"/>
              <x14:cfvo type="autoMax"/>
              <x14:borderColor rgb="FF63C384"/>
              <x14:negativeFillColor rgb="FFFF0000"/>
              <x14:negativeBorderColor rgb="FFFF0000"/>
              <x14:axisColor rgb="FF000000"/>
            </x14:dataBar>
          </x14:cfRule>
          <xm:sqref>AG137</xm:sqref>
        </x14:conditionalFormatting>
        <x14:conditionalFormatting xmlns:xm="http://schemas.microsoft.com/office/excel/2006/main">
          <x14:cfRule type="dataBar" id="{73B9F7B2-2FF1-46E0-BEA4-B9B0C0653C52}">
            <x14:dataBar minLength="0" maxLength="100" border="1" negativeBarBorderColorSameAsPositive="0">
              <x14:cfvo type="autoMin"/>
              <x14:cfvo type="autoMax"/>
              <x14:borderColor rgb="FF63C384"/>
              <x14:negativeFillColor rgb="FFFF0000"/>
              <x14:negativeBorderColor rgb="FFFF0000"/>
              <x14:axisColor rgb="FF000000"/>
            </x14:dataBar>
          </x14:cfRule>
          <xm:sqref>AG137</xm:sqref>
        </x14:conditionalFormatting>
        <x14:conditionalFormatting xmlns:xm="http://schemas.microsoft.com/office/excel/2006/main">
          <x14:cfRule type="dataBar" id="{FD36F9DE-1D15-4A44-BA4C-F87369E7A6EC}">
            <x14:dataBar minLength="0" maxLength="100" border="1" negativeBarBorderColorSameAsPositive="0">
              <x14:cfvo type="autoMin"/>
              <x14:cfvo type="autoMax"/>
              <x14:borderColor rgb="FF63C384"/>
              <x14:negativeFillColor rgb="FFFF0000"/>
              <x14:negativeBorderColor rgb="FFFF0000"/>
              <x14:axisColor rgb="FF000000"/>
            </x14:dataBar>
          </x14:cfRule>
          <xm:sqref>AG137</xm:sqref>
        </x14:conditionalFormatting>
        <x14:conditionalFormatting xmlns:xm="http://schemas.microsoft.com/office/excel/2006/main">
          <x14:cfRule type="dataBar" id="{1AFB00C4-A1A0-4FA0-94E6-B4D8FA06685F}">
            <x14:dataBar minLength="0" maxLength="100" border="1" negativeBarBorderColorSameAsPositive="0">
              <x14:cfvo type="autoMin"/>
              <x14:cfvo type="autoMax"/>
              <x14:borderColor rgb="FF63C384"/>
              <x14:negativeFillColor rgb="FFFF0000"/>
              <x14:negativeBorderColor rgb="FFFF0000"/>
              <x14:axisColor rgb="FF000000"/>
            </x14:dataBar>
          </x14:cfRule>
          <xm:sqref>AG138</xm:sqref>
        </x14:conditionalFormatting>
        <x14:conditionalFormatting xmlns:xm="http://schemas.microsoft.com/office/excel/2006/main">
          <x14:cfRule type="dataBar" id="{E5544B52-D4A6-4DC9-9C44-EEB2C15963EB}">
            <x14:dataBar minLength="0" maxLength="100" border="1" negativeBarBorderColorSameAsPositive="0">
              <x14:cfvo type="autoMin"/>
              <x14:cfvo type="autoMax"/>
              <x14:borderColor rgb="FF63C384"/>
              <x14:negativeFillColor rgb="FFFF0000"/>
              <x14:negativeBorderColor rgb="FFFF0000"/>
              <x14:axisColor rgb="FF000000"/>
            </x14:dataBar>
          </x14:cfRule>
          <xm:sqref>AG138</xm:sqref>
        </x14:conditionalFormatting>
        <x14:conditionalFormatting xmlns:xm="http://schemas.microsoft.com/office/excel/2006/main">
          <x14:cfRule type="dataBar" id="{CD302BE0-D16E-40EB-B12B-38DB7B95B482}">
            <x14:dataBar minLength="0" maxLength="100" border="1" negativeBarBorderColorSameAsPositive="0">
              <x14:cfvo type="autoMin"/>
              <x14:cfvo type="autoMax"/>
              <x14:borderColor rgb="FF63C384"/>
              <x14:negativeFillColor rgb="FFFF0000"/>
              <x14:negativeBorderColor rgb="FFFF0000"/>
              <x14:axisColor rgb="FF000000"/>
            </x14:dataBar>
          </x14:cfRule>
          <xm:sqref>AG139</xm:sqref>
        </x14:conditionalFormatting>
        <x14:conditionalFormatting xmlns:xm="http://schemas.microsoft.com/office/excel/2006/main">
          <x14:cfRule type="dataBar" id="{B59C319E-2FE6-40E4-AB75-55809FD39A06}">
            <x14:dataBar minLength="0" maxLength="100" border="1" negativeBarBorderColorSameAsPositive="0">
              <x14:cfvo type="autoMin"/>
              <x14:cfvo type="autoMax"/>
              <x14:borderColor rgb="FF63C384"/>
              <x14:negativeFillColor rgb="FFFF0000"/>
              <x14:negativeBorderColor rgb="FFFF0000"/>
              <x14:axisColor rgb="FF000000"/>
            </x14:dataBar>
          </x14:cfRule>
          <xm:sqref>AG139</xm:sqref>
        </x14:conditionalFormatting>
        <x14:conditionalFormatting xmlns:xm="http://schemas.microsoft.com/office/excel/2006/main">
          <x14:cfRule type="dataBar" id="{47699EF3-D50E-4625-AE03-E8B66CF97364}">
            <x14:dataBar minLength="0" maxLength="100" border="1" negativeBarBorderColorSameAsPositive="0">
              <x14:cfvo type="autoMin"/>
              <x14:cfvo type="autoMax"/>
              <x14:borderColor rgb="FF63C384"/>
              <x14:negativeFillColor rgb="FFFF0000"/>
              <x14:negativeBorderColor rgb="FFFF0000"/>
              <x14:axisColor rgb="FF000000"/>
            </x14:dataBar>
          </x14:cfRule>
          <xm:sqref>AG139</xm:sqref>
        </x14:conditionalFormatting>
        <x14:conditionalFormatting xmlns:xm="http://schemas.microsoft.com/office/excel/2006/main">
          <x14:cfRule type="dataBar" id="{CB71A383-41DB-4EB6-9856-55E253E41728}">
            <x14:dataBar minLength="0" maxLength="100" border="1" negativeBarBorderColorSameAsPositive="0">
              <x14:cfvo type="autoMin"/>
              <x14:cfvo type="autoMax"/>
              <x14:borderColor rgb="FF63C384"/>
              <x14:negativeFillColor rgb="FFFF0000"/>
              <x14:negativeBorderColor rgb="FFFF0000"/>
              <x14:axisColor rgb="FF000000"/>
            </x14:dataBar>
          </x14:cfRule>
          <xm:sqref>AG139</xm:sqref>
        </x14:conditionalFormatting>
        <x14:conditionalFormatting xmlns:xm="http://schemas.microsoft.com/office/excel/2006/main">
          <x14:cfRule type="dataBar" id="{1C776A2A-5B7D-46FC-877E-7434ABB40ABD}">
            <x14:dataBar minLength="0" maxLength="100" border="1" negativeBarBorderColorSameAsPositive="0">
              <x14:cfvo type="autoMin"/>
              <x14:cfvo type="autoMax"/>
              <x14:borderColor rgb="FF63C384"/>
              <x14:negativeFillColor rgb="FFFF0000"/>
              <x14:negativeBorderColor rgb="FFFF0000"/>
              <x14:axisColor rgb="FF000000"/>
            </x14:dataBar>
          </x14:cfRule>
          <xm:sqref>AG140</xm:sqref>
        </x14:conditionalFormatting>
        <x14:conditionalFormatting xmlns:xm="http://schemas.microsoft.com/office/excel/2006/main">
          <x14:cfRule type="dataBar" id="{B1F151D7-5CA5-456F-A7A3-C76C3E89695C}">
            <x14:dataBar minLength="0" maxLength="100" border="1" negativeBarBorderColorSameAsPositive="0">
              <x14:cfvo type="autoMin"/>
              <x14:cfvo type="autoMax"/>
              <x14:borderColor rgb="FF63C384"/>
              <x14:negativeFillColor rgb="FFFF0000"/>
              <x14:negativeBorderColor rgb="FFFF0000"/>
              <x14:axisColor rgb="FF000000"/>
            </x14:dataBar>
          </x14:cfRule>
          <xm:sqref>AG140</xm:sqref>
        </x14:conditionalFormatting>
        <x14:conditionalFormatting xmlns:xm="http://schemas.microsoft.com/office/excel/2006/main">
          <x14:cfRule type="dataBar" id="{45C41315-4342-4A5F-BEF8-3AF99A3F712D}">
            <x14:dataBar minLength="0" maxLength="100" border="1" negativeBarBorderColorSameAsPositive="0">
              <x14:cfvo type="autoMin"/>
              <x14:cfvo type="autoMax"/>
              <x14:borderColor rgb="FF63C384"/>
              <x14:negativeFillColor rgb="FFFF0000"/>
              <x14:negativeBorderColor rgb="FFFF0000"/>
              <x14:axisColor rgb="FF000000"/>
            </x14:dataBar>
          </x14:cfRule>
          <xm:sqref>AG140</xm:sqref>
        </x14:conditionalFormatting>
        <x14:conditionalFormatting xmlns:xm="http://schemas.microsoft.com/office/excel/2006/main">
          <x14:cfRule type="dataBar" id="{1D0048F3-ABC7-46A7-8219-9706502F4EEB}">
            <x14:dataBar minLength="0" maxLength="100" border="1" negativeBarBorderColorSameAsPositive="0">
              <x14:cfvo type="autoMin"/>
              <x14:cfvo type="autoMax"/>
              <x14:borderColor rgb="FF63C384"/>
              <x14:negativeFillColor rgb="FFFF0000"/>
              <x14:negativeBorderColor rgb="FFFF0000"/>
              <x14:axisColor rgb="FF000000"/>
            </x14:dataBar>
          </x14:cfRule>
          <xm:sqref>AG140</xm:sqref>
        </x14:conditionalFormatting>
        <x14:conditionalFormatting xmlns:xm="http://schemas.microsoft.com/office/excel/2006/main">
          <x14:cfRule type="dataBar" id="{13A30DAE-64B4-46EF-95FB-6B6321F35347}">
            <x14:dataBar minLength="0" maxLength="100" border="1" negativeBarBorderColorSameAsPositive="0">
              <x14:cfvo type="autoMin"/>
              <x14:cfvo type="autoMax"/>
              <x14:borderColor rgb="FF63C384"/>
              <x14:negativeFillColor rgb="FFFF0000"/>
              <x14:negativeBorderColor rgb="FFFF0000"/>
              <x14:axisColor rgb="FF000000"/>
            </x14:dataBar>
          </x14:cfRule>
          <xm:sqref>AG140</xm:sqref>
        </x14:conditionalFormatting>
        <x14:conditionalFormatting xmlns:xm="http://schemas.microsoft.com/office/excel/2006/main">
          <x14:cfRule type="dataBar" id="{1BE3408A-FD6E-48E4-BA37-805B91B0FD71}">
            <x14:dataBar minLength="0" maxLength="100" border="1" negativeBarBorderColorSameAsPositive="0">
              <x14:cfvo type="autoMin"/>
              <x14:cfvo type="autoMax"/>
              <x14:borderColor rgb="FF63C384"/>
              <x14:negativeFillColor rgb="FFFF0000"/>
              <x14:negativeBorderColor rgb="FFFF0000"/>
              <x14:axisColor rgb="FF000000"/>
            </x14:dataBar>
          </x14:cfRule>
          <xm:sqref>AG140</xm:sqref>
        </x14:conditionalFormatting>
        <x14:conditionalFormatting xmlns:xm="http://schemas.microsoft.com/office/excel/2006/main">
          <x14:cfRule type="dataBar" id="{FD157525-3C54-4C9E-B0F2-677B2D834077}">
            <x14:dataBar minLength="0" maxLength="100" border="1" negativeBarBorderColorSameAsPositive="0">
              <x14:cfvo type="autoMin"/>
              <x14:cfvo type="autoMax"/>
              <x14:borderColor rgb="FF63C384"/>
              <x14:negativeFillColor rgb="FFFF0000"/>
              <x14:negativeBorderColor rgb="FFFF0000"/>
              <x14:axisColor rgb="FF000000"/>
            </x14:dataBar>
          </x14:cfRule>
          <xm:sqref>AG141</xm:sqref>
        </x14:conditionalFormatting>
        <x14:conditionalFormatting xmlns:xm="http://schemas.microsoft.com/office/excel/2006/main">
          <x14:cfRule type="dataBar" id="{4380C8D2-6ADC-487B-835E-357D65274C83}">
            <x14:dataBar minLength="0" maxLength="100" border="1" negativeBarBorderColorSameAsPositive="0">
              <x14:cfvo type="autoMin"/>
              <x14:cfvo type="autoMax"/>
              <x14:borderColor rgb="FF63C384"/>
              <x14:negativeFillColor rgb="FFFF0000"/>
              <x14:negativeBorderColor rgb="FFFF0000"/>
              <x14:axisColor rgb="FF000000"/>
            </x14:dataBar>
          </x14:cfRule>
          <xm:sqref>AG141</xm:sqref>
        </x14:conditionalFormatting>
        <x14:conditionalFormatting xmlns:xm="http://schemas.microsoft.com/office/excel/2006/main">
          <x14:cfRule type="dataBar" id="{66369792-4753-4CCC-BEEA-C5367E2BEC6A}">
            <x14:dataBar minLength="0" maxLength="100" border="1" negativeBarBorderColorSameAsPositive="0">
              <x14:cfvo type="autoMin"/>
              <x14:cfvo type="autoMax"/>
              <x14:borderColor rgb="FF63C384"/>
              <x14:negativeFillColor rgb="FFFF0000"/>
              <x14:negativeBorderColor rgb="FFFF0000"/>
              <x14:axisColor rgb="FF000000"/>
            </x14:dataBar>
          </x14:cfRule>
          <xm:sqref>AG141</xm:sqref>
        </x14:conditionalFormatting>
        <x14:conditionalFormatting xmlns:xm="http://schemas.microsoft.com/office/excel/2006/main">
          <x14:cfRule type="dataBar" id="{3FC1504E-DD0D-4C57-9F57-A2CD033359B7}">
            <x14:dataBar minLength="0" maxLength="100" border="1" negativeBarBorderColorSameAsPositive="0">
              <x14:cfvo type="autoMin"/>
              <x14:cfvo type="autoMax"/>
              <x14:borderColor rgb="FF63C384"/>
              <x14:negativeFillColor rgb="FFFF0000"/>
              <x14:negativeBorderColor rgb="FFFF0000"/>
              <x14:axisColor rgb="FF000000"/>
            </x14:dataBar>
          </x14:cfRule>
          <xm:sqref>AG141</xm:sqref>
        </x14:conditionalFormatting>
        <x14:conditionalFormatting xmlns:xm="http://schemas.microsoft.com/office/excel/2006/main">
          <x14:cfRule type="dataBar" id="{6AE51074-BB79-4EB1-84EC-1D8FA4E97767}">
            <x14:dataBar minLength="0" maxLength="100" border="1" negativeBarBorderColorSameAsPositive="0">
              <x14:cfvo type="autoMin"/>
              <x14:cfvo type="autoMax"/>
              <x14:borderColor rgb="FF63C384"/>
              <x14:negativeFillColor rgb="FFFF0000"/>
              <x14:negativeBorderColor rgb="FFFF0000"/>
              <x14:axisColor rgb="FF000000"/>
            </x14:dataBar>
          </x14:cfRule>
          <xm:sqref>AG142</xm:sqref>
        </x14:conditionalFormatting>
        <x14:conditionalFormatting xmlns:xm="http://schemas.microsoft.com/office/excel/2006/main">
          <x14:cfRule type="dataBar" id="{4918E797-32A1-43D8-B328-66D08D580F55}">
            <x14:dataBar minLength="0" maxLength="100" border="1" negativeBarBorderColorSameAsPositive="0">
              <x14:cfvo type="autoMin"/>
              <x14:cfvo type="autoMax"/>
              <x14:borderColor rgb="FF63C384"/>
              <x14:negativeFillColor rgb="FFFF0000"/>
              <x14:negativeBorderColor rgb="FFFF0000"/>
              <x14:axisColor rgb="FF000000"/>
            </x14:dataBar>
          </x14:cfRule>
          <xm:sqref>AG142</xm:sqref>
        </x14:conditionalFormatting>
        <x14:conditionalFormatting xmlns:xm="http://schemas.microsoft.com/office/excel/2006/main">
          <x14:cfRule type="dataBar" id="{DA4AE711-A497-4E6F-8DDE-D8949A6E4190}">
            <x14:dataBar minLength="0" maxLength="100" border="1" negativeBarBorderColorSameAsPositive="0">
              <x14:cfvo type="autoMin"/>
              <x14:cfvo type="autoMax"/>
              <x14:borderColor rgb="FF63C384"/>
              <x14:negativeFillColor rgb="FFFF0000"/>
              <x14:negativeBorderColor rgb="FFFF0000"/>
              <x14:axisColor rgb="FF000000"/>
            </x14:dataBar>
          </x14:cfRule>
          <xm:sqref>AG142</xm:sqref>
        </x14:conditionalFormatting>
        <x14:conditionalFormatting xmlns:xm="http://schemas.microsoft.com/office/excel/2006/main">
          <x14:cfRule type="dataBar" id="{5256A2D2-3FE9-499E-A794-77FC51CAD239}">
            <x14:dataBar minLength="0" maxLength="100" border="1" negativeBarBorderColorSameAsPositive="0">
              <x14:cfvo type="autoMin"/>
              <x14:cfvo type="autoMax"/>
              <x14:borderColor rgb="FF63C384"/>
              <x14:negativeFillColor rgb="FFFF0000"/>
              <x14:negativeBorderColor rgb="FFFF0000"/>
              <x14:axisColor rgb="FF000000"/>
            </x14:dataBar>
          </x14:cfRule>
          <xm:sqref>AG142</xm:sqref>
        </x14:conditionalFormatting>
        <x14:conditionalFormatting xmlns:xm="http://schemas.microsoft.com/office/excel/2006/main">
          <x14:cfRule type="dataBar" id="{AAD149A0-4371-46DA-96F6-E6B12BF15170}">
            <x14:dataBar minLength="0" maxLength="100" border="1" negativeBarBorderColorSameAsPositive="0">
              <x14:cfvo type="autoMin"/>
              <x14:cfvo type="autoMax"/>
              <x14:borderColor rgb="FF63C384"/>
              <x14:negativeFillColor rgb="FFFF0000"/>
              <x14:negativeBorderColor rgb="FFFF0000"/>
              <x14:axisColor rgb="FF000000"/>
            </x14:dataBar>
          </x14:cfRule>
          <xm:sqref>AG143</xm:sqref>
        </x14:conditionalFormatting>
        <x14:conditionalFormatting xmlns:xm="http://schemas.microsoft.com/office/excel/2006/main">
          <x14:cfRule type="dataBar" id="{7B7BE772-4811-4B63-B123-9D0601A28815}">
            <x14:dataBar minLength="0" maxLength="100" border="1" negativeBarBorderColorSameAsPositive="0">
              <x14:cfvo type="autoMin"/>
              <x14:cfvo type="autoMax"/>
              <x14:borderColor rgb="FF63C384"/>
              <x14:negativeFillColor rgb="FFFF0000"/>
              <x14:negativeBorderColor rgb="FFFF0000"/>
              <x14:axisColor rgb="FF000000"/>
            </x14:dataBar>
          </x14:cfRule>
          <xm:sqref>AG143</xm:sqref>
        </x14:conditionalFormatting>
        <x14:conditionalFormatting xmlns:xm="http://schemas.microsoft.com/office/excel/2006/main">
          <x14:cfRule type="dataBar" id="{84F1119A-7612-40F7-85A4-11A7CE1B653F}">
            <x14:dataBar minLength="0" maxLength="100" border="1" negativeBarBorderColorSameAsPositive="0">
              <x14:cfvo type="autoMin"/>
              <x14:cfvo type="autoMax"/>
              <x14:borderColor rgb="FF63C384"/>
              <x14:negativeFillColor rgb="FFFF0000"/>
              <x14:negativeBorderColor rgb="FFFF0000"/>
              <x14:axisColor rgb="FF000000"/>
            </x14:dataBar>
          </x14:cfRule>
          <xm:sqref>AG143</xm:sqref>
        </x14:conditionalFormatting>
        <x14:conditionalFormatting xmlns:xm="http://schemas.microsoft.com/office/excel/2006/main">
          <x14:cfRule type="dataBar" id="{BA2B7281-167D-4AA3-B808-5A63C22420FC}">
            <x14:dataBar minLength="0" maxLength="100" border="1" negativeBarBorderColorSameAsPositive="0">
              <x14:cfvo type="autoMin"/>
              <x14:cfvo type="autoMax"/>
              <x14:borderColor rgb="FF63C384"/>
              <x14:negativeFillColor rgb="FFFF0000"/>
              <x14:negativeBorderColor rgb="FFFF0000"/>
              <x14:axisColor rgb="FF000000"/>
            </x14:dataBar>
          </x14:cfRule>
          <xm:sqref>AG143</xm:sqref>
        </x14:conditionalFormatting>
        <x14:conditionalFormatting xmlns:xm="http://schemas.microsoft.com/office/excel/2006/main">
          <x14:cfRule type="dataBar" id="{539C2C9E-EC15-475C-A23B-48045E736C46}">
            <x14:dataBar minLength="0" maxLength="100" border="1" negativeBarBorderColorSameAsPositive="0">
              <x14:cfvo type="autoMin"/>
              <x14:cfvo type="autoMax"/>
              <x14:borderColor rgb="FF63C384"/>
              <x14:negativeFillColor rgb="FFFF0000"/>
              <x14:negativeBorderColor rgb="FFFF0000"/>
              <x14:axisColor rgb="FF000000"/>
            </x14:dataBar>
          </x14:cfRule>
          <xm:sqref>AG144:AG146</xm:sqref>
        </x14:conditionalFormatting>
        <x14:conditionalFormatting xmlns:xm="http://schemas.microsoft.com/office/excel/2006/main">
          <x14:cfRule type="dataBar" id="{98881E3D-DF39-4EFE-9F4F-B385DDF8B8A6}">
            <x14:dataBar minLength="0" maxLength="100" border="1" negativeBarBorderColorSameAsPositive="0">
              <x14:cfvo type="autoMin"/>
              <x14:cfvo type="autoMax"/>
              <x14:borderColor rgb="FF63C384"/>
              <x14:negativeFillColor rgb="FFFF0000"/>
              <x14:negativeBorderColor rgb="FFFF0000"/>
              <x14:axisColor rgb="FF000000"/>
            </x14:dataBar>
          </x14:cfRule>
          <xm:sqref>AG144:AG146</xm:sqref>
        </x14:conditionalFormatting>
        <x14:conditionalFormatting xmlns:xm="http://schemas.microsoft.com/office/excel/2006/main">
          <x14:cfRule type="dataBar" id="{C36BE9E3-88B7-492B-986A-E86D263C0F8A}">
            <x14:dataBar minLength="0" maxLength="100" border="1" negativeBarBorderColorSameAsPositive="0">
              <x14:cfvo type="autoMin"/>
              <x14:cfvo type="autoMax"/>
              <x14:borderColor rgb="FF63C384"/>
              <x14:negativeFillColor rgb="FFFF0000"/>
              <x14:negativeBorderColor rgb="FFFF0000"/>
              <x14:axisColor rgb="FF000000"/>
            </x14:dataBar>
          </x14:cfRule>
          <xm:sqref>AG147</xm:sqref>
        </x14:conditionalFormatting>
        <x14:conditionalFormatting xmlns:xm="http://schemas.microsoft.com/office/excel/2006/main">
          <x14:cfRule type="dataBar" id="{FAE30176-2AD3-4BC6-94C2-3F944DE1938E}">
            <x14:dataBar minLength="0" maxLength="100" border="1" negativeBarBorderColorSameAsPositive="0">
              <x14:cfvo type="autoMin"/>
              <x14:cfvo type="autoMax"/>
              <x14:borderColor rgb="FF63C384"/>
              <x14:negativeFillColor rgb="FFFF0000"/>
              <x14:negativeBorderColor rgb="FFFF0000"/>
              <x14:axisColor rgb="FF000000"/>
            </x14:dataBar>
          </x14:cfRule>
          <xm:sqref>AG147</xm:sqref>
        </x14:conditionalFormatting>
        <x14:conditionalFormatting xmlns:xm="http://schemas.microsoft.com/office/excel/2006/main">
          <x14:cfRule type="dataBar" id="{19683B55-273E-4F01-BFF6-DF641C5FE9D2}">
            <x14:dataBar minLength="0" maxLength="100" border="1" negativeBarBorderColorSameAsPositive="0">
              <x14:cfvo type="autoMin"/>
              <x14:cfvo type="autoMax"/>
              <x14:borderColor rgb="FF63C384"/>
              <x14:negativeFillColor rgb="FFFF0000"/>
              <x14:negativeBorderColor rgb="FFFF0000"/>
              <x14:axisColor rgb="FF000000"/>
            </x14:dataBar>
          </x14:cfRule>
          <xm:sqref>AG148</xm:sqref>
        </x14:conditionalFormatting>
        <x14:conditionalFormatting xmlns:xm="http://schemas.microsoft.com/office/excel/2006/main">
          <x14:cfRule type="dataBar" id="{306CE8F0-C596-4ED4-BCB9-20F942E4070F}">
            <x14:dataBar minLength="0" maxLength="100" border="1" negativeBarBorderColorSameAsPositive="0">
              <x14:cfvo type="autoMin"/>
              <x14:cfvo type="autoMax"/>
              <x14:borderColor rgb="FF63C384"/>
              <x14:negativeFillColor rgb="FFFF0000"/>
              <x14:negativeBorderColor rgb="FFFF0000"/>
              <x14:axisColor rgb="FF000000"/>
            </x14:dataBar>
          </x14:cfRule>
          <xm:sqref>AG148</xm:sqref>
        </x14:conditionalFormatting>
        <x14:conditionalFormatting xmlns:xm="http://schemas.microsoft.com/office/excel/2006/main">
          <x14:cfRule type="dataBar" id="{63D98036-5A7F-4DB1-9006-70507DFFBE3D}">
            <x14:dataBar minLength="0" maxLength="100" border="1" negativeBarBorderColorSameAsPositive="0">
              <x14:cfvo type="autoMin"/>
              <x14:cfvo type="autoMax"/>
              <x14:borderColor rgb="FF63C384"/>
              <x14:negativeFillColor rgb="FFFF0000"/>
              <x14:negativeBorderColor rgb="FFFF0000"/>
              <x14:axisColor rgb="FF000000"/>
            </x14:dataBar>
          </x14:cfRule>
          <xm:sqref>AG148</xm:sqref>
        </x14:conditionalFormatting>
        <x14:conditionalFormatting xmlns:xm="http://schemas.microsoft.com/office/excel/2006/main">
          <x14:cfRule type="dataBar" id="{70ACEBDE-5B98-4DF2-A30B-BF704DB7AD63}">
            <x14:dataBar minLength="0" maxLength="100" border="1" negativeBarBorderColorSameAsPositive="0">
              <x14:cfvo type="autoMin"/>
              <x14:cfvo type="autoMax"/>
              <x14:borderColor rgb="FF63C384"/>
              <x14:negativeFillColor rgb="FFFF0000"/>
              <x14:negativeBorderColor rgb="FFFF0000"/>
              <x14:axisColor rgb="FF000000"/>
            </x14:dataBar>
          </x14:cfRule>
          <xm:sqref>AG148</xm:sqref>
        </x14:conditionalFormatting>
        <x14:conditionalFormatting xmlns:xm="http://schemas.microsoft.com/office/excel/2006/main">
          <x14:cfRule type="dataBar" id="{67A69AF1-F5CC-4BD0-882A-54EDD0EBEA16}">
            <x14:dataBar minLength="0" maxLength="100" border="1" negativeBarBorderColorSameAsPositive="0">
              <x14:cfvo type="autoMin"/>
              <x14:cfvo type="autoMax"/>
              <x14:borderColor rgb="FF63C384"/>
              <x14:negativeFillColor rgb="FFFF0000"/>
              <x14:negativeBorderColor rgb="FFFF0000"/>
              <x14:axisColor rgb="FF000000"/>
            </x14:dataBar>
          </x14:cfRule>
          <xm:sqref>AG149</xm:sqref>
        </x14:conditionalFormatting>
        <x14:conditionalFormatting xmlns:xm="http://schemas.microsoft.com/office/excel/2006/main">
          <x14:cfRule type="dataBar" id="{40AE1E06-0568-4757-A85A-EBDD211DE1B6}">
            <x14:dataBar minLength="0" maxLength="100" border="1" negativeBarBorderColorSameAsPositive="0">
              <x14:cfvo type="autoMin"/>
              <x14:cfvo type="autoMax"/>
              <x14:borderColor rgb="FF63C384"/>
              <x14:negativeFillColor rgb="FFFF0000"/>
              <x14:negativeBorderColor rgb="FFFF0000"/>
              <x14:axisColor rgb="FF000000"/>
            </x14:dataBar>
          </x14:cfRule>
          <xm:sqref>AG149</xm:sqref>
        </x14:conditionalFormatting>
        <x14:conditionalFormatting xmlns:xm="http://schemas.microsoft.com/office/excel/2006/main">
          <x14:cfRule type="dataBar" id="{A8857722-1C67-420D-802B-9E5478AD6FFE}">
            <x14:dataBar minLength="0" maxLength="100" border="1" negativeBarBorderColorSameAsPositive="0">
              <x14:cfvo type="autoMin"/>
              <x14:cfvo type="autoMax"/>
              <x14:borderColor rgb="FF63C384"/>
              <x14:negativeFillColor rgb="FFFF0000"/>
              <x14:negativeBorderColor rgb="FFFF0000"/>
              <x14:axisColor rgb="FF000000"/>
            </x14:dataBar>
          </x14:cfRule>
          <xm:sqref>AG150</xm:sqref>
        </x14:conditionalFormatting>
        <x14:conditionalFormatting xmlns:xm="http://schemas.microsoft.com/office/excel/2006/main">
          <x14:cfRule type="dataBar" id="{7DFADDA6-C4D7-46FA-B36B-7F2D9D6D7D2B}">
            <x14:dataBar minLength="0" maxLength="100" border="1" negativeBarBorderColorSameAsPositive="0">
              <x14:cfvo type="autoMin"/>
              <x14:cfvo type="autoMax"/>
              <x14:borderColor rgb="FF63C384"/>
              <x14:negativeFillColor rgb="FFFF0000"/>
              <x14:negativeBorderColor rgb="FFFF0000"/>
              <x14:axisColor rgb="FF000000"/>
            </x14:dataBar>
          </x14:cfRule>
          <xm:sqref>AG150</xm:sqref>
        </x14:conditionalFormatting>
        <x14:conditionalFormatting xmlns:xm="http://schemas.microsoft.com/office/excel/2006/main">
          <x14:cfRule type="dataBar" id="{005E0A3B-FFFC-4494-99CB-0AB597A85136}">
            <x14:dataBar minLength="0" maxLength="100" border="1" negativeBarBorderColorSameAsPositive="0">
              <x14:cfvo type="autoMin"/>
              <x14:cfvo type="autoMax"/>
              <x14:borderColor rgb="FF63C384"/>
              <x14:negativeFillColor rgb="FFFF0000"/>
              <x14:negativeBorderColor rgb="FFFF0000"/>
              <x14:axisColor rgb="FF000000"/>
            </x14:dataBar>
          </x14:cfRule>
          <xm:sqref>AG151:AG152</xm:sqref>
        </x14:conditionalFormatting>
        <x14:conditionalFormatting xmlns:xm="http://schemas.microsoft.com/office/excel/2006/main">
          <x14:cfRule type="dataBar" id="{4D52955D-F436-47E2-B78E-51FE9348C676}">
            <x14:dataBar minLength="0" maxLength="100" border="1" negativeBarBorderColorSameAsPositive="0">
              <x14:cfvo type="autoMin"/>
              <x14:cfvo type="autoMax"/>
              <x14:borderColor rgb="FF63C384"/>
              <x14:negativeFillColor rgb="FFFF0000"/>
              <x14:negativeBorderColor rgb="FFFF0000"/>
              <x14:axisColor rgb="FF000000"/>
            </x14:dataBar>
          </x14:cfRule>
          <xm:sqref>AG151:AG152</xm:sqref>
        </x14:conditionalFormatting>
        <x14:conditionalFormatting xmlns:xm="http://schemas.microsoft.com/office/excel/2006/main">
          <x14:cfRule type="dataBar" id="{8309E394-97CC-417B-845B-C0C624173A58}">
            <x14:dataBar minLength="0" maxLength="100" border="1" negativeBarBorderColorSameAsPositive="0">
              <x14:cfvo type="autoMin"/>
              <x14:cfvo type="autoMax"/>
              <x14:borderColor rgb="FF63C384"/>
              <x14:negativeFillColor rgb="FFFF0000"/>
              <x14:negativeBorderColor rgb="FFFF0000"/>
              <x14:axisColor rgb="FF000000"/>
            </x14:dataBar>
          </x14:cfRule>
          <xm:sqref>AG153</xm:sqref>
        </x14:conditionalFormatting>
        <x14:conditionalFormatting xmlns:xm="http://schemas.microsoft.com/office/excel/2006/main">
          <x14:cfRule type="dataBar" id="{9A1E2A5D-E469-414C-BAF8-E8879AACE4D8}">
            <x14:dataBar minLength="0" maxLength="100" border="1" negativeBarBorderColorSameAsPositive="0">
              <x14:cfvo type="autoMin"/>
              <x14:cfvo type="autoMax"/>
              <x14:borderColor rgb="FF63C384"/>
              <x14:negativeFillColor rgb="FFFF0000"/>
              <x14:negativeBorderColor rgb="FFFF0000"/>
              <x14:axisColor rgb="FF000000"/>
            </x14:dataBar>
          </x14:cfRule>
          <xm:sqref>AG153</xm:sqref>
        </x14:conditionalFormatting>
        <x14:conditionalFormatting xmlns:xm="http://schemas.microsoft.com/office/excel/2006/main">
          <x14:cfRule type="dataBar" id="{C159566F-69D3-407F-9375-42186A873587}">
            <x14:dataBar minLength="0" maxLength="100" border="1" negativeBarBorderColorSameAsPositive="0">
              <x14:cfvo type="autoMin"/>
              <x14:cfvo type="autoMax"/>
              <x14:borderColor rgb="FF63C384"/>
              <x14:negativeFillColor rgb="FFFF0000"/>
              <x14:negativeBorderColor rgb="FFFF0000"/>
              <x14:axisColor rgb="FF000000"/>
            </x14:dataBar>
          </x14:cfRule>
          <xm:sqref>AG153</xm:sqref>
        </x14:conditionalFormatting>
        <x14:conditionalFormatting xmlns:xm="http://schemas.microsoft.com/office/excel/2006/main">
          <x14:cfRule type="dataBar" id="{1CA95A6D-5490-489D-8D76-87BCDBB232B7}">
            <x14:dataBar minLength="0" maxLength="100" border="1" negativeBarBorderColorSameAsPositive="0">
              <x14:cfvo type="autoMin"/>
              <x14:cfvo type="autoMax"/>
              <x14:borderColor rgb="FF63C384"/>
              <x14:negativeFillColor rgb="FFFF0000"/>
              <x14:negativeBorderColor rgb="FFFF0000"/>
              <x14:axisColor rgb="FF000000"/>
            </x14:dataBar>
          </x14:cfRule>
          <xm:sqref>AG153</xm:sqref>
        </x14:conditionalFormatting>
        <x14:conditionalFormatting xmlns:xm="http://schemas.microsoft.com/office/excel/2006/main">
          <x14:cfRule type="dataBar" id="{B81F348A-6816-49E9-A144-E4B6DD09939C}">
            <x14:dataBar minLength="0" maxLength="100" border="1" negativeBarBorderColorSameAsPositive="0">
              <x14:cfvo type="autoMin"/>
              <x14:cfvo type="autoMax"/>
              <x14:borderColor rgb="FF63C384"/>
              <x14:negativeFillColor rgb="FFFF0000"/>
              <x14:negativeBorderColor rgb="FFFF0000"/>
              <x14:axisColor rgb="FF000000"/>
            </x14:dataBar>
          </x14:cfRule>
          <xm:sqref>AG154</xm:sqref>
        </x14:conditionalFormatting>
        <x14:conditionalFormatting xmlns:xm="http://schemas.microsoft.com/office/excel/2006/main">
          <x14:cfRule type="dataBar" id="{D1C53350-66A6-463A-AC5B-5A67A1337BDD}">
            <x14:dataBar minLength="0" maxLength="100" border="1" negativeBarBorderColorSameAsPositive="0">
              <x14:cfvo type="autoMin"/>
              <x14:cfvo type="autoMax"/>
              <x14:borderColor rgb="FF63C384"/>
              <x14:negativeFillColor rgb="FFFF0000"/>
              <x14:negativeBorderColor rgb="FFFF0000"/>
              <x14:axisColor rgb="FF000000"/>
            </x14:dataBar>
          </x14:cfRule>
          <xm:sqref>AG154</xm:sqref>
        </x14:conditionalFormatting>
        <x14:conditionalFormatting xmlns:xm="http://schemas.microsoft.com/office/excel/2006/main">
          <x14:cfRule type="dataBar" id="{6F66782B-3A89-459F-8B0C-98FA34D1B714}">
            <x14:dataBar minLength="0" maxLength="100" border="1" negativeBarBorderColorSameAsPositive="0">
              <x14:cfvo type="autoMin"/>
              <x14:cfvo type="autoMax"/>
              <x14:borderColor rgb="FF63C384"/>
              <x14:negativeFillColor rgb="FFFF0000"/>
              <x14:negativeBorderColor rgb="FFFF0000"/>
              <x14:axisColor rgb="FF000000"/>
            </x14:dataBar>
          </x14:cfRule>
          <xm:sqref>AG154</xm:sqref>
        </x14:conditionalFormatting>
        <x14:conditionalFormatting xmlns:xm="http://schemas.microsoft.com/office/excel/2006/main">
          <x14:cfRule type="dataBar" id="{3A48E3CA-EAA5-4A79-9D14-B207B219B467}">
            <x14:dataBar minLength="0" maxLength="100" border="1" negativeBarBorderColorSameAsPositive="0">
              <x14:cfvo type="autoMin"/>
              <x14:cfvo type="autoMax"/>
              <x14:borderColor rgb="FF63C384"/>
              <x14:negativeFillColor rgb="FFFF0000"/>
              <x14:negativeBorderColor rgb="FFFF0000"/>
              <x14:axisColor rgb="FF000000"/>
            </x14:dataBar>
          </x14:cfRule>
          <xm:sqref>AG154</xm:sqref>
        </x14:conditionalFormatting>
        <x14:conditionalFormatting xmlns:xm="http://schemas.microsoft.com/office/excel/2006/main">
          <x14:cfRule type="dataBar" id="{58B74CA9-BE2E-451E-8F5D-B4EF0CF8EB25}">
            <x14:dataBar minLength="0" maxLength="100" border="1" negativeBarBorderColorSameAsPositive="0">
              <x14:cfvo type="autoMin"/>
              <x14:cfvo type="autoMax"/>
              <x14:borderColor rgb="FF63C384"/>
              <x14:negativeFillColor rgb="FFFF0000"/>
              <x14:negativeBorderColor rgb="FFFF0000"/>
              <x14:axisColor rgb="FF000000"/>
            </x14:dataBar>
          </x14:cfRule>
          <xm:sqref>AG155</xm:sqref>
        </x14:conditionalFormatting>
        <x14:conditionalFormatting xmlns:xm="http://schemas.microsoft.com/office/excel/2006/main">
          <x14:cfRule type="dataBar" id="{CF43346B-1535-4E74-B49D-5107DF8B5E47}">
            <x14:dataBar minLength="0" maxLength="100" border="1" negativeBarBorderColorSameAsPositive="0">
              <x14:cfvo type="autoMin"/>
              <x14:cfvo type="autoMax"/>
              <x14:borderColor rgb="FF63C384"/>
              <x14:negativeFillColor rgb="FFFF0000"/>
              <x14:negativeBorderColor rgb="FFFF0000"/>
              <x14:axisColor rgb="FF000000"/>
            </x14:dataBar>
          </x14:cfRule>
          <xm:sqref>AG155</xm:sqref>
        </x14:conditionalFormatting>
        <x14:conditionalFormatting xmlns:xm="http://schemas.microsoft.com/office/excel/2006/main">
          <x14:cfRule type="dataBar" id="{B2971559-2294-4125-9FE3-5FCA36BCD859}">
            <x14:dataBar minLength="0" maxLength="100" border="1" negativeBarBorderColorSameAsPositive="0">
              <x14:cfvo type="autoMin"/>
              <x14:cfvo type="autoMax"/>
              <x14:borderColor rgb="FF63C384"/>
              <x14:negativeFillColor rgb="FFFF0000"/>
              <x14:negativeBorderColor rgb="FFFF0000"/>
              <x14:axisColor rgb="FF000000"/>
            </x14:dataBar>
          </x14:cfRule>
          <xm:sqref>AG155</xm:sqref>
        </x14:conditionalFormatting>
        <x14:conditionalFormatting xmlns:xm="http://schemas.microsoft.com/office/excel/2006/main">
          <x14:cfRule type="dataBar" id="{EBAEB3C9-6EC8-4F4A-B89F-647F90230FE3}">
            <x14:dataBar minLength="0" maxLength="100" border="1" negativeBarBorderColorSameAsPositive="0">
              <x14:cfvo type="autoMin"/>
              <x14:cfvo type="autoMax"/>
              <x14:borderColor rgb="FF63C384"/>
              <x14:negativeFillColor rgb="FFFF0000"/>
              <x14:negativeBorderColor rgb="FFFF0000"/>
              <x14:axisColor rgb="FF000000"/>
            </x14:dataBar>
          </x14:cfRule>
          <xm:sqref>AG155</xm:sqref>
        </x14:conditionalFormatting>
        <x14:conditionalFormatting xmlns:xm="http://schemas.microsoft.com/office/excel/2006/main">
          <x14:cfRule type="dataBar" id="{FADECECA-C593-4339-A544-3B840D347479}">
            <x14:dataBar minLength="0" maxLength="100" border="1" negativeBarBorderColorSameAsPositive="0">
              <x14:cfvo type="autoMin"/>
              <x14:cfvo type="autoMax"/>
              <x14:borderColor rgb="FF63C384"/>
              <x14:negativeFillColor rgb="FFFF0000"/>
              <x14:negativeBorderColor rgb="FFFF0000"/>
              <x14:axisColor rgb="FF000000"/>
            </x14:dataBar>
          </x14:cfRule>
          <xm:sqref>AG155</xm:sqref>
        </x14:conditionalFormatting>
        <x14:conditionalFormatting xmlns:xm="http://schemas.microsoft.com/office/excel/2006/main">
          <x14:cfRule type="dataBar" id="{A3F5FE20-6963-4E0A-B9EC-FB1697AE86CC}">
            <x14:dataBar minLength="0" maxLength="100" border="1" negativeBarBorderColorSameAsPositive="0">
              <x14:cfvo type="autoMin"/>
              <x14:cfvo type="autoMax"/>
              <x14:borderColor rgb="FF63C384"/>
              <x14:negativeFillColor rgb="FFFF0000"/>
              <x14:negativeBorderColor rgb="FFFF0000"/>
              <x14:axisColor rgb="FF000000"/>
            </x14:dataBar>
          </x14:cfRule>
          <xm:sqref>AG155</xm:sqref>
        </x14:conditionalFormatting>
        <x14:conditionalFormatting xmlns:xm="http://schemas.microsoft.com/office/excel/2006/main">
          <x14:cfRule type="dataBar" id="{B76716C9-B68A-43C5-86AC-4F15CAB9BF8A}">
            <x14:dataBar minLength="0" maxLength="100" border="1" negativeBarBorderColorSameAsPositive="0">
              <x14:cfvo type="autoMin"/>
              <x14:cfvo type="autoMax"/>
              <x14:borderColor rgb="FF63C384"/>
              <x14:negativeFillColor rgb="FFFF0000"/>
              <x14:negativeBorderColor rgb="FFFF0000"/>
              <x14:axisColor rgb="FF000000"/>
            </x14:dataBar>
          </x14:cfRule>
          <xm:sqref>AG155</xm:sqref>
        </x14:conditionalFormatting>
        <x14:conditionalFormatting xmlns:xm="http://schemas.microsoft.com/office/excel/2006/main">
          <x14:cfRule type="dataBar" id="{F1B79D5E-10E1-4D3D-B4EE-F96D954BF15B}">
            <x14:dataBar minLength="0" maxLength="100" border="1" negativeBarBorderColorSameAsPositive="0">
              <x14:cfvo type="autoMin"/>
              <x14:cfvo type="autoMax"/>
              <x14:borderColor rgb="FF63C384"/>
              <x14:negativeFillColor rgb="FFFF0000"/>
              <x14:negativeBorderColor rgb="FFFF0000"/>
              <x14:axisColor rgb="FF000000"/>
            </x14:dataBar>
          </x14:cfRule>
          <xm:sqref>AG155</xm:sqref>
        </x14:conditionalFormatting>
        <x14:conditionalFormatting xmlns:xm="http://schemas.microsoft.com/office/excel/2006/main">
          <x14:cfRule type="dataBar" id="{910AFCD5-C6F4-4BBB-ABAE-243CD987C16A}">
            <x14:dataBar minLength="0" maxLength="100" border="1" negativeBarBorderColorSameAsPositive="0">
              <x14:cfvo type="autoMin"/>
              <x14:cfvo type="autoMax"/>
              <x14:borderColor rgb="FF63C384"/>
              <x14:negativeFillColor rgb="FFFF0000"/>
              <x14:negativeBorderColor rgb="FFFF0000"/>
              <x14:axisColor rgb="FF000000"/>
            </x14:dataBar>
          </x14:cfRule>
          <xm:sqref>AG156</xm:sqref>
        </x14:conditionalFormatting>
        <x14:conditionalFormatting xmlns:xm="http://schemas.microsoft.com/office/excel/2006/main">
          <x14:cfRule type="dataBar" id="{01E109D5-DFC9-4761-8151-44815D153400}">
            <x14:dataBar minLength="0" maxLength="100" border="1" negativeBarBorderColorSameAsPositive="0">
              <x14:cfvo type="autoMin"/>
              <x14:cfvo type="autoMax"/>
              <x14:borderColor rgb="FF63C384"/>
              <x14:negativeFillColor rgb="FFFF0000"/>
              <x14:negativeBorderColor rgb="FFFF0000"/>
              <x14:axisColor rgb="FF000000"/>
            </x14:dataBar>
          </x14:cfRule>
          <xm:sqref>AG156</xm:sqref>
        </x14:conditionalFormatting>
        <x14:conditionalFormatting xmlns:xm="http://schemas.microsoft.com/office/excel/2006/main">
          <x14:cfRule type="dataBar" id="{F23A7D41-3EE0-4FD9-8594-49283865F91E}">
            <x14:dataBar minLength="0" maxLength="100" border="1" negativeBarBorderColorSameAsPositive="0">
              <x14:cfvo type="autoMin"/>
              <x14:cfvo type="autoMax"/>
              <x14:borderColor rgb="FF63C384"/>
              <x14:negativeFillColor rgb="FFFF0000"/>
              <x14:negativeBorderColor rgb="FFFF0000"/>
              <x14:axisColor rgb="FF000000"/>
            </x14:dataBar>
          </x14:cfRule>
          <xm:sqref>AG157</xm:sqref>
        </x14:conditionalFormatting>
        <x14:conditionalFormatting xmlns:xm="http://schemas.microsoft.com/office/excel/2006/main">
          <x14:cfRule type="dataBar" id="{79B07522-85BD-4D62-A3C9-62D9501B7301}">
            <x14:dataBar minLength="0" maxLength="100" border="1" negativeBarBorderColorSameAsPositive="0">
              <x14:cfvo type="autoMin"/>
              <x14:cfvo type="autoMax"/>
              <x14:borderColor rgb="FF63C384"/>
              <x14:negativeFillColor rgb="FFFF0000"/>
              <x14:negativeBorderColor rgb="FFFF0000"/>
              <x14:axisColor rgb="FF000000"/>
            </x14:dataBar>
          </x14:cfRule>
          <xm:sqref>AG157</xm:sqref>
        </x14:conditionalFormatting>
        <x14:conditionalFormatting xmlns:xm="http://schemas.microsoft.com/office/excel/2006/main">
          <x14:cfRule type="dataBar" id="{BAD6AF3A-DE25-473E-B250-701264013054}">
            <x14:dataBar minLength="0" maxLength="100" border="1" negativeBarBorderColorSameAsPositive="0">
              <x14:cfvo type="autoMin"/>
              <x14:cfvo type="autoMax"/>
              <x14:borderColor rgb="FF63C384"/>
              <x14:negativeFillColor rgb="FFFF0000"/>
              <x14:negativeBorderColor rgb="FFFF0000"/>
              <x14:axisColor rgb="FF000000"/>
            </x14:dataBar>
          </x14:cfRule>
          <xm:sqref>AG158</xm:sqref>
        </x14:conditionalFormatting>
        <x14:conditionalFormatting xmlns:xm="http://schemas.microsoft.com/office/excel/2006/main">
          <x14:cfRule type="dataBar" id="{2D5A6796-62E8-48DB-86B0-FB509CD73D40}">
            <x14:dataBar minLength="0" maxLength="100" border="1" negativeBarBorderColorSameAsPositive="0">
              <x14:cfvo type="autoMin"/>
              <x14:cfvo type="autoMax"/>
              <x14:borderColor rgb="FF63C384"/>
              <x14:negativeFillColor rgb="FFFF0000"/>
              <x14:negativeBorderColor rgb="FFFF0000"/>
              <x14:axisColor rgb="FF000000"/>
            </x14:dataBar>
          </x14:cfRule>
          <xm:sqref>AG158</xm:sqref>
        </x14:conditionalFormatting>
        <x14:conditionalFormatting xmlns:xm="http://schemas.microsoft.com/office/excel/2006/main">
          <x14:cfRule type="dataBar" id="{C3563E83-4232-4854-A6E6-B0D0FEEBECDF}">
            <x14:dataBar minLength="0" maxLength="100" border="1" negativeBarBorderColorSameAsPositive="0">
              <x14:cfvo type="autoMin"/>
              <x14:cfvo type="autoMax"/>
              <x14:borderColor rgb="FF63C384"/>
              <x14:negativeFillColor rgb="FFFF0000"/>
              <x14:negativeBorderColor rgb="FFFF0000"/>
              <x14:axisColor rgb="FF000000"/>
            </x14:dataBar>
          </x14:cfRule>
          <xm:sqref>AG158</xm:sqref>
        </x14:conditionalFormatting>
        <x14:conditionalFormatting xmlns:xm="http://schemas.microsoft.com/office/excel/2006/main">
          <x14:cfRule type="dataBar" id="{5763CF49-9B27-4FAF-A1A5-C83D09150DF4}">
            <x14:dataBar minLength="0" maxLength="100" border="1" negativeBarBorderColorSameAsPositive="0">
              <x14:cfvo type="autoMin"/>
              <x14:cfvo type="autoMax"/>
              <x14:borderColor rgb="FF63C384"/>
              <x14:negativeFillColor rgb="FFFF0000"/>
              <x14:negativeBorderColor rgb="FFFF0000"/>
              <x14:axisColor rgb="FF000000"/>
            </x14:dataBar>
          </x14:cfRule>
          <xm:sqref>AG158</xm:sqref>
        </x14:conditionalFormatting>
        <x14:conditionalFormatting xmlns:xm="http://schemas.microsoft.com/office/excel/2006/main">
          <x14:cfRule type="dataBar" id="{C833A839-C7EA-4395-8D1E-BEE5353D10B9}">
            <x14:dataBar minLength="0" maxLength="100" border="1" negativeBarBorderColorSameAsPositive="0">
              <x14:cfvo type="autoMin"/>
              <x14:cfvo type="autoMax"/>
              <x14:borderColor rgb="FF63C384"/>
              <x14:negativeFillColor rgb="FFFF0000"/>
              <x14:negativeBorderColor rgb="FFFF0000"/>
              <x14:axisColor rgb="FF000000"/>
            </x14:dataBar>
          </x14:cfRule>
          <xm:sqref>AG159</xm:sqref>
        </x14:conditionalFormatting>
        <x14:conditionalFormatting xmlns:xm="http://schemas.microsoft.com/office/excel/2006/main">
          <x14:cfRule type="dataBar" id="{CDCAFF42-3D63-4A54-9215-7F181246ED6E}">
            <x14:dataBar minLength="0" maxLength="100" border="1" negativeBarBorderColorSameAsPositive="0">
              <x14:cfvo type="autoMin"/>
              <x14:cfvo type="autoMax"/>
              <x14:borderColor rgb="FF63C384"/>
              <x14:negativeFillColor rgb="FFFF0000"/>
              <x14:negativeBorderColor rgb="FFFF0000"/>
              <x14:axisColor rgb="FF000000"/>
            </x14:dataBar>
          </x14:cfRule>
          <xm:sqref>AG159</xm:sqref>
        </x14:conditionalFormatting>
        <x14:conditionalFormatting xmlns:xm="http://schemas.microsoft.com/office/excel/2006/main">
          <x14:cfRule type="dataBar" id="{9F16B8F0-1372-4F28-BDE4-84D25E5B80ED}">
            <x14:dataBar minLength="0" maxLength="100" border="1" negativeBarBorderColorSameAsPositive="0">
              <x14:cfvo type="autoMin"/>
              <x14:cfvo type="autoMax"/>
              <x14:borderColor rgb="FF63C384"/>
              <x14:negativeFillColor rgb="FFFF0000"/>
              <x14:negativeBorderColor rgb="FFFF0000"/>
              <x14:axisColor rgb="FF000000"/>
            </x14:dataBar>
          </x14:cfRule>
          <xm:sqref>AG160</xm:sqref>
        </x14:conditionalFormatting>
        <x14:conditionalFormatting xmlns:xm="http://schemas.microsoft.com/office/excel/2006/main">
          <x14:cfRule type="dataBar" id="{485E0DA1-7A59-4527-90EB-86822C4A4FDB}">
            <x14:dataBar minLength="0" maxLength="100" border="1" negativeBarBorderColorSameAsPositive="0">
              <x14:cfvo type="autoMin"/>
              <x14:cfvo type="autoMax"/>
              <x14:borderColor rgb="FF63C384"/>
              <x14:negativeFillColor rgb="FFFF0000"/>
              <x14:negativeBorderColor rgb="FFFF0000"/>
              <x14:axisColor rgb="FF000000"/>
            </x14:dataBar>
          </x14:cfRule>
          <xm:sqref>AG160</xm:sqref>
        </x14:conditionalFormatting>
        <x14:conditionalFormatting xmlns:xm="http://schemas.microsoft.com/office/excel/2006/main">
          <x14:cfRule type="dataBar" id="{8233777C-C4C2-4D9A-BE89-A4E19FCD53C8}">
            <x14:dataBar minLength="0" maxLength="100" border="1" negativeBarBorderColorSameAsPositive="0">
              <x14:cfvo type="autoMin"/>
              <x14:cfvo type="autoMax"/>
              <x14:borderColor rgb="FF63C384"/>
              <x14:negativeFillColor rgb="FFFF0000"/>
              <x14:negativeBorderColor rgb="FFFF0000"/>
              <x14:axisColor rgb="FF000000"/>
            </x14:dataBar>
          </x14:cfRule>
          <xm:sqref>AG160</xm:sqref>
        </x14:conditionalFormatting>
        <x14:conditionalFormatting xmlns:xm="http://schemas.microsoft.com/office/excel/2006/main">
          <x14:cfRule type="dataBar" id="{DCC8D3BF-12D3-4F8D-BA26-F65CEBBD0BA9}">
            <x14:dataBar minLength="0" maxLength="100" border="1" negativeBarBorderColorSameAsPositive="0">
              <x14:cfvo type="autoMin"/>
              <x14:cfvo type="autoMax"/>
              <x14:borderColor rgb="FF63C384"/>
              <x14:negativeFillColor rgb="FFFF0000"/>
              <x14:negativeBorderColor rgb="FFFF0000"/>
              <x14:axisColor rgb="FF000000"/>
            </x14:dataBar>
          </x14:cfRule>
          <xm:sqref>AG160</xm:sqref>
        </x14:conditionalFormatting>
        <x14:conditionalFormatting xmlns:xm="http://schemas.microsoft.com/office/excel/2006/main">
          <x14:cfRule type="dataBar" id="{4BCDAEBD-07DD-41EE-9100-B9FA9EA203F9}">
            <x14:dataBar minLength="0" maxLength="100" border="1" negativeBarBorderColorSameAsPositive="0">
              <x14:cfvo type="autoMin"/>
              <x14:cfvo type="autoMax"/>
              <x14:borderColor rgb="FF63C384"/>
              <x14:negativeFillColor rgb="FFFF0000"/>
              <x14:negativeBorderColor rgb="FFFF0000"/>
              <x14:axisColor rgb="FF000000"/>
            </x14:dataBar>
          </x14:cfRule>
          <xm:sqref>AG160</xm:sqref>
        </x14:conditionalFormatting>
        <x14:conditionalFormatting xmlns:xm="http://schemas.microsoft.com/office/excel/2006/main">
          <x14:cfRule type="dataBar" id="{07934477-85DC-4672-9226-3BB621687993}">
            <x14:dataBar minLength="0" maxLength="100" border="1" negativeBarBorderColorSameAsPositive="0">
              <x14:cfvo type="autoMin"/>
              <x14:cfvo type="autoMax"/>
              <x14:borderColor rgb="FF63C384"/>
              <x14:negativeFillColor rgb="FFFF0000"/>
              <x14:negativeBorderColor rgb="FFFF0000"/>
              <x14:axisColor rgb="FF000000"/>
            </x14:dataBar>
          </x14:cfRule>
          <xm:sqref>AG160</xm:sqref>
        </x14:conditionalFormatting>
        <x14:conditionalFormatting xmlns:xm="http://schemas.microsoft.com/office/excel/2006/main">
          <x14:cfRule type="dataBar" id="{3166676D-7E09-40B3-A1D3-0324E1C28CC6}">
            <x14:dataBar minLength="0" maxLength="100" border="1" negativeBarBorderColorSameAsPositive="0">
              <x14:cfvo type="autoMin"/>
              <x14:cfvo type="autoMax"/>
              <x14:borderColor rgb="FF63C384"/>
              <x14:negativeFillColor rgb="FFFF0000"/>
              <x14:negativeBorderColor rgb="FFFF0000"/>
              <x14:axisColor rgb="FF000000"/>
            </x14:dataBar>
          </x14:cfRule>
          <xm:sqref>AG161</xm:sqref>
        </x14:conditionalFormatting>
        <x14:conditionalFormatting xmlns:xm="http://schemas.microsoft.com/office/excel/2006/main">
          <x14:cfRule type="dataBar" id="{C9332786-3D6F-4690-A737-27E3156FFFFB}">
            <x14:dataBar minLength="0" maxLength="100" border="1" negativeBarBorderColorSameAsPositive="0">
              <x14:cfvo type="autoMin"/>
              <x14:cfvo type="autoMax"/>
              <x14:borderColor rgb="FF63C384"/>
              <x14:negativeFillColor rgb="FFFF0000"/>
              <x14:negativeBorderColor rgb="FFFF0000"/>
              <x14:axisColor rgb="FF000000"/>
            </x14:dataBar>
          </x14:cfRule>
          <xm:sqref>AG161</xm:sqref>
        </x14:conditionalFormatting>
        <x14:conditionalFormatting xmlns:xm="http://schemas.microsoft.com/office/excel/2006/main">
          <x14:cfRule type="dataBar" id="{9B51C2AD-C0E3-43DA-8122-33A5D318098C}">
            <x14:dataBar minLength="0" maxLength="100" border="1" negativeBarBorderColorSameAsPositive="0">
              <x14:cfvo type="autoMin"/>
              <x14:cfvo type="autoMax"/>
              <x14:borderColor rgb="FF63C384"/>
              <x14:negativeFillColor rgb="FFFF0000"/>
              <x14:negativeBorderColor rgb="FFFF0000"/>
              <x14:axisColor rgb="FF000000"/>
            </x14:dataBar>
          </x14:cfRule>
          <xm:sqref>AG161</xm:sqref>
        </x14:conditionalFormatting>
        <x14:conditionalFormatting xmlns:xm="http://schemas.microsoft.com/office/excel/2006/main">
          <x14:cfRule type="dataBar" id="{4B321841-941D-4B85-AAAE-22F5BE9B1DCA}">
            <x14:dataBar minLength="0" maxLength="100" border="1" negativeBarBorderColorSameAsPositive="0">
              <x14:cfvo type="autoMin"/>
              <x14:cfvo type="autoMax"/>
              <x14:borderColor rgb="FF63C384"/>
              <x14:negativeFillColor rgb="FFFF0000"/>
              <x14:negativeBorderColor rgb="FFFF0000"/>
              <x14:axisColor rgb="FF000000"/>
            </x14:dataBar>
          </x14:cfRule>
          <xm:sqref>AG161</xm:sqref>
        </x14:conditionalFormatting>
        <x14:conditionalFormatting xmlns:xm="http://schemas.microsoft.com/office/excel/2006/main">
          <x14:cfRule type="dataBar" id="{C87EA222-32B4-4747-A0AA-065F92F264B8}">
            <x14:dataBar minLength="0" maxLength="100" border="1" negativeBarBorderColorSameAsPositive="0">
              <x14:cfvo type="autoMin"/>
              <x14:cfvo type="autoMax"/>
              <x14:borderColor rgb="FF63C384"/>
              <x14:negativeFillColor rgb="FFFF0000"/>
              <x14:negativeBorderColor rgb="FFFF0000"/>
              <x14:axisColor rgb="FF000000"/>
            </x14:dataBar>
          </x14:cfRule>
          <xm:sqref>AG162</xm:sqref>
        </x14:conditionalFormatting>
        <x14:conditionalFormatting xmlns:xm="http://schemas.microsoft.com/office/excel/2006/main">
          <x14:cfRule type="dataBar" id="{0B98B0BA-E05C-4CCC-9F03-AC2CA9088AD0}">
            <x14:dataBar minLength="0" maxLength="100" border="1" negativeBarBorderColorSameAsPositive="0">
              <x14:cfvo type="autoMin"/>
              <x14:cfvo type="autoMax"/>
              <x14:borderColor rgb="FF63C384"/>
              <x14:negativeFillColor rgb="FFFF0000"/>
              <x14:negativeBorderColor rgb="FFFF0000"/>
              <x14:axisColor rgb="FF000000"/>
            </x14:dataBar>
          </x14:cfRule>
          <xm:sqref>AG162</xm:sqref>
        </x14:conditionalFormatting>
        <x14:conditionalFormatting xmlns:xm="http://schemas.microsoft.com/office/excel/2006/main">
          <x14:cfRule type="dataBar" id="{7F6E99F2-7810-4586-9840-9DD61B5F737F}">
            <x14:dataBar minLength="0" maxLength="100" border="1" negativeBarBorderColorSameAsPositive="0">
              <x14:cfvo type="autoMin"/>
              <x14:cfvo type="autoMax"/>
              <x14:borderColor rgb="FF63C384"/>
              <x14:negativeFillColor rgb="FFFF0000"/>
              <x14:negativeBorderColor rgb="FFFF0000"/>
              <x14:axisColor rgb="FF000000"/>
            </x14:dataBar>
          </x14:cfRule>
          <xm:sqref>AG162</xm:sqref>
        </x14:conditionalFormatting>
        <x14:conditionalFormatting xmlns:xm="http://schemas.microsoft.com/office/excel/2006/main">
          <x14:cfRule type="dataBar" id="{111496AC-37DA-400B-B808-322150EE0040}">
            <x14:dataBar minLength="0" maxLength="100" border="1" negativeBarBorderColorSameAsPositive="0">
              <x14:cfvo type="autoMin"/>
              <x14:cfvo type="autoMax"/>
              <x14:borderColor rgb="FF63C384"/>
              <x14:negativeFillColor rgb="FFFF0000"/>
              <x14:negativeBorderColor rgb="FFFF0000"/>
              <x14:axisColor rgb="FF000000"/>
            </x14:dataBar>
          </x14:cfRule>
          <xm:sqref>AG162</xm:sqref>
        </x14:conditionalFormatting>
        <x14:conditionalFormatting xmlns:xm="http://schemas.microsoft.com/office/excel/2006/main">
          <x14:cfRule type="dataBar" id="{67104BEE-5F75-433A-AFD0-0C664945735D}">
            <x14:dataBar minLength="0" maxLength="100" border="1" negativeBarBorderColorSameAsPositive="0">
              <x14:cfvo type="autoMin"/>
              <x14:cfvo type="autoMax"/>
              <x14:borderColor rgb="FF63C384"/>
              <x14:negativeFillColor rgb="FFFF0000"/>
              <x14:negativeBorderColor rgb="FFFF0000"/>
              <x14:axisColor rgb="FF000000"/>
            </x14:dataBar>
          </x14:cfRule>
          <xm:sqref>AG163</xm:sqref>
        </x14:conditionalFormatting>
        <x14:conditionalFormatting xmlns:xm="http://schemas.microsoft.com/office/excel/2006/main">
          <x14:cfRule type="dataBar" id="{AB25A85F-B8B9-4CEC-81C2-AC96D7C89766}">
            <x14:dataBar minLength="0" maxLength="100" border="1" negativeBarBorderColorSameAsPositive="0">
              <x14:cfvo type="autoMin"/>
              <x14:cfvo type="autoMax"/>
              <x14:borderColor rgb="FF63C384"/>
              <x14:negativeFillColor rgb="FFFF0000"/>
              <x14:negativeBorderColor rgb="FFFF0000"/>
              <x14:axisColor rgb="FF000000"/>
            </x14:dataBar>
          </x14:cfRule>
          <xm:sqref>AG163</xm:sqref>
        </x14:conditionalFormatting>
        <x14:conditionalFormatting xmlns:xm="http://schemas.microsoft.com/office/excel/2006/main">
          <x14:cfRule type="dataBar" id="{255E33D3-9784-4CC3-981E-009D7E44DFAE}">
            <x14:dataBar minLength="0" maxLength="100" border="1" negativeBarBorderColorSameAsPositive="0">
              <x14:cfvo type="autoMin"/>
              <x14:cfvo type="autoMax"/>
              <x14:borderColor rgb="FF63C384"/>
              <x14:negativeFillColor rgb="FFFF0000"/>
              <x14:negativeBorderColor rgb="FFFF0000"/>
              <x14:axisColor rgb="FF000000"/>
            </x14:dataBar>
          </x14:cfRule>
          <xm:sqref>AG163</xm:sqref>
        </x14:conditionalFormatting>
        <x14:conditionalFormatting xmlns:xm="http://schemas.microsoft.com/office/excel/2006/main">
          <x14:cfRule type="dataBar" id="{35A930E0-3A04-454C-AE9A-8AF4972063F5}">
            <x14:dataBar minLength="0" maxLength="100" border="1" negativeBarBorderColorSameAsPositive="0">
              <x14:cfvo type="autoMin"/>
              <x14:cfvo type="autoMax"/>
              <x14:borderColor rgb="FF63C384"/>
              <x14:negativeFillColor rgb="FFFF0000"/>
              <x14:negativeBorderColor rgb="FFFF0000"/>
              <x14:axisColor rgb="FF000000"/>
            </x14:dataBar>
          </x14:cfRule>
          <xm:sqref>AG163</xm:sqref>
        </x14:conditionalFormatting>
        <x14:conditionalFormatting xmlns:xm="http://schemas.microsoft.com/office/excel/2006/main">
          <x14:cfRule type="dataBar" id="{F29C919B-A5E0-4E9A-B9C3-EBDE9ED1DD90}">
            <x14:dataBar minLength="0" maxLength="100" border="1" negativeBarBorderColorSameAsPositive="0">
              <x14:cfvo type="autoMin"/>
              <x14:cfvo type="autoMax"/>
              <x14:borderColor rgb="FF63C384"/>
              <x14:negativeFillColor rgb="FFFF0000"/>
              <x14:negativeBorderColor rgb="FFFF0000"/>
              <x14:axisColor rgb="FF000000"/>
            </x14:dataBar>
          </x14:cfRule>
          <xm:sqref>AG164</xm:sqref>
        </x14:conditionalFormatting>
        <x14:conditionalFormatting xmlns:xm="http://schemas.microsoft.com/office/excel/2006/main">
          <x14:cfRule type="dataBar" id="{0B14D90C-C50A-4C67-A04C-4EF4B5EC276B}">
            <x14:dataBar minLength="0" maxLength="100" border="1" negativeBarBorderColorSameAsPositive="0">
              <x14:cfvo type="autoMin"/>
              <x14:cfvo type="autoMax"/>
              <x14:borderColor rgb="FF63C384"/>
              <x14:negativeFillColor rgb="FFFF0000"/>
              <x14:negativeBorderColor rgb="FFFF0000"/>
              <x14:axisColor rgb="FF000000"/>
            </x14:dataBar>
          </x14:cfRule>
          <xm:sqref>AG164</xm:sqref>
        </x14:conditionalFormatting>
        <x14:conditionalFormatting xmlns:xm="http://schemas.microsoft.com/office/excel/2006/main">
          <x14:cfRule type="dataBar" id="{11FB1450-5940-4511-A77E-986F9BB3FEBA}">
            <x14:dataBar minLength="0" maxLength="100" border="1" negativeBarBorderColorSameAsPositive="0">
              <x14:cfvo type="autoMin"/>
              <x14:cfvo type="autoMax"/>
              <x14:borderColor rgb="FF63C384"/>
              <x14:negativeFillColor rgb="FFFF0000"/>
              <x14:negativeBorderColor rgb="FFFF0000"/>
              <x14:axisColor rgb="FF000000"/>
            </x14:dataBar>
          </x14:cfRule>
          <xm:sqref>AG165</xm:sqref>
        </x14:conditionalFormatting>
        <x14:conditionalFormatting xmlns:xm="http://schemas.microsoft.com/office/excel/2006/main">
          <x14:cfRule type="dataBar" id="{89AD2FC6-086F-4ADF-A8EA-41A3B1071090}">
            <x14:dataBar minLength="0" maxLength="100" border="1" negativeBarBorderColorSameAsPositive="0">
              <x14:cfvo type="autoMin"/>
              <x14:cfvo type="autoMax"/>
              <x14:borderColor rgb="FF63C384"/>
              <x14:negativeFillColor rgb="FFFF0000"/>
              <x14:negativeBorderColor rgb="FFFF0000"/>
              <x14:axisColor rgb="FF000000"/>
            </x14:dataBar>
          </x14:cfRule>
          <xm:sqref>AG165</xm:sqref>
        </x14:conditionalFormatting>
        <x14:conditionalFormatting xmlns:xm="http://schemas.microsoft.com/office/excel/2006/main">
          <x14:cfRule type="dataBar" id="{1B8391BA-7627-45A4-98FE-98A99F928C9B}">
            <x14:dataBar minLength="0" maxLength="100" border="1" negativeBarBorderColorSameAsPositive="0">
              <x14:cfvo type="autoMin"/>
              <x14:cfvo type="autoMax"/>
              <x14:borderColor rgb="FF63C384"/>
              <x14:negativeFillColor rgb="FFFF0000"/>
              <x14:negativeBorderColor rgb="FFFF0000"/>
              <x14:axisColor rgb="FF000000"/>
            </x14:dataBar>
          </x14:cfRule>
          <xm:sqref>AG166</xm:sqref>
        </x14:conditionalFormatting>
        <x14:conditionalFormatting xmlns:xm="http://schemas.microsoft.com/office/excel/2006/main">
          <x14:cfRule type="dataBar" id="{85356C32-8771-4F3C-AC55-7D2B69B2306F}">
            <x14:dataBar minLength="0" maxLength="100" border="1" negativeBarBorderColorSameAsPositive="0">
              <x14:cfvo type="autoMin"/>
              <x14:cfvo type="autoMax"/>
              <x14:borderColor rgb="FF63C384"/>
              <x14:negativeFillColor rgb="FFFF0000"/>
              <x14:negativeBorderColor rgb="FFFF0000"/>
              <x14:axisColor rgb="FF000000"/>
            </x14:dataBar>
          </x14:cfRule>
          <xm:sqref>AG166</xm:sqref>
        </x14:conditionalFormatting>
        <x14:conditionalFormatting xmlns:xm="http://schemas.microsoft.com/office/excel/2006/main">
          <x14:cfRule type="dataBar" id="{1F7F4048-2FCC-494F-A7DF-007B64E42FFA}">
            <x14:dataBar minLength="0" maxLength="100" border="1" negativeBarBorderColorSameAsPositive="0">
              <x14:cfvo type="autoMin"/>
              <x14:cfvo type="autoMax"/>
              <x14:borderColor rgb="FF63C384"/>
              <x14:negativeFillColor rgb="FFFF0000"/>
              <x14:negativeBorderColor rgb="FFFF0000"/>
              <x14:axisColor rgb="FF000000"/>
            </x14:dataBar>
          </x14:cfRule>
          <xm:sqref>AG167</xm:sqref>
        </x14:conditionalFormatting>
        <x14:conditionalFormatting xmlns:xm="http://schemas.microsoft.com/office/excel/2006/main">
          <x14:cfRule type="dataBar" id="{831AB129-D949-401C-87F6-5C313A787DD8}">
            <x14:dataBar minLength="0" maxLength="100" border="1" negativeBarBorderColorSameAsPositive="0">
              <x14:cfvo type="autoMin"/>
              <x14:cfvo type="autoMax"/>
              <x14:borderColor rgb="FF63C384"/>
              <x14:negativeFillColor rgb="FFFF0000"/>
              <x14:negativeBorderColor rgb="FFFF0000"/>
              <x14:axisColor rgb="FF000000"/>
            </x14:dataBar>
          </x14:cfRule>
          <xm:sqref>AG167</xm:sqref>
        </x14:conditionalFormatting>
        <x14:conditionalFormatting xmlns:xm="http://schemas.microsoft.com/office/excel/2006/main">
          <x14:cfRule type="dataBar" id="{E5752508-DA21-41CB-A6E2-ECEF59B95BE0}">
            <x14:dataBar minLength="0" maxLength="100" border="1" negativeBarBorderColorSameAsPositive="0">
              <x14:cfvo type="autoMin"/>
              <x14:cfvo type="autoMax"/>
              <x14:borderColor rgb="FF63C384"/>
              <x14:negativeFillColor rgb="FFFF0000"/>
              <x14:negativeBorderColor rgb="FFFF0000"/>
              <x14:axisColor rgb="FF000000"/>
            </x14:dataBar>
          </x14:cfRule>
          <xm:sqref>AG167</xm:sqref>
        </x14:conditionalFormatting>
        <x14:conditionalFormatting xmlns:xm="http://schemas.microsoft.com/office/excel/2006/main">
          <x14:cfRule type="dataBar" id="{3E8F81D1-B44A-4DEF-BEE4-78268A1956F4}">
            <x14:dataBar minLength="0" maxLength="100" border="1" negativeBarBorderColorSameAsPositive="0">
              <x14:cfvo type="autoMin"/>
              <x14:cfvo type="autoMax"/>
              <x14:borderColor rgb="FF63C384"/>
              <x14:negativeFillColor rgb="FFFF0000"/>
              <x14:negativeBorderColor rgb="FFFF0000"/>
              <x14:axisColor rgb="FF000000"/>
            </x14:dataBar>
          </x14:cfRule>
          <xm:sqref>AG167</xm:sqref>
        </x14:conditionalFormatting>
        <x14:conditionalFormatting xmlns:xm="http://schemas.microsoft.com/office/excel/2006/main">
          <x14:cfRule type="dataBar" id="{646D7E8A-13AB-4956-A308-CE0973AC9A7D}">
            <x14:dataBar minLength="0" maxLength="100" border="1" negativeBarBorderColorSameAsPositive="0">
              <x14:cfvo type="autoMin"/>
              <x14:cfvo type="autoMax"/>
              <x14:borderColor rgb="FF63C384"/>
              <x14:negativeFillColor rgb="FFFF0000"/>
              <x14:negativeBorderColor rgb="FFFF0000"/>
              <x14:axisColor rgb="FF000000"/>
            </x14:dataBar>
          </x14:cfRule>
          <xm:sqref>AG168</xm:sqref>
        </x14:conditionalFormatting>
        <x14:conditionalFormatting xmlns:xm="http://schemas.microsoft.com/office/excel/2006/main">
          <x14:cfRule type="dataBar" id="{9AF39F6F-4C98-4511-9A16-BD70B48DE20A}">
            <x14:dataBar minLength="0" maxLength="100" border="1" negativeBarBorderColorSameAsPositive="0">
              <x14:cfvo type="autoMin"/>
              <x14:cfvo type="autoMax"/>
              <x14:borderColor rgb="FF63C384"/>
              <x14:negativeFillColor rgb="FFFF0000"/>
              <x14:negativeBorderColor rgb="FFFF0000"/>
              <x14:axisColor rgb="FF000000"/>
            </x14:dataBar>
          </x14:cfRule>
          <xm:sqref>AG168</xm:sqref>
        </x14:conditionalFormatting>
        <x14:conditionalFormatting xmlns:xm="http://schemas.microsoft.com/office/excel/2006/main">
          <x14:cfRule type="dataBar" id="{EAC64716-1B06-4C99-B930-148B5090470D}">
            <x14:dataBar minLength="0" maxLength="100" border="1" negativeBarBorderColorSameAsPositive="0">
              <x14:cfvo type="autoMin"/>
              <x14:cfvo type="autoMax"/>
              <x14:borderColor rgb="FF63C384"/>
              <x14:negativeFillColor rgb="FFFF0000"/>
              <x14:negativeBorderColor rgb="FFFF0000"/>
              <x14:axisColor rgb="FF000000"/>
            </x14:dataBar>
          </x14:cfRule>
          <xm:sqref>AG169</xm:sqref>
        </x14:conditionalFormatting>
        <x14:conditionalFormatting xmlns:xm="http://schemas.microsoft.com/office/excel/2006/main">
          <x14:cfRule type="dataBar" id="{935A7794-532C-4B00-8C21-9510B5D15988}">
            <x14:dataBar minLength="0" maxLength="100" border="1" negativeBarBorderColorSameAsPositive="0">
              <x14:cfvo type="autoMin"/>
              <x14:cfvo type="autoMax"/>
              <x14:borderColor rgb="FF63C384"/>
              <x14:negativeFillColor rgb="FFFF0000"/>
              <x14:negativeBorderColor rgb="FFFF0000"/>
              <x14:axisColor rgb="FF000000"/>
            </x14:dataBar>
          </x14:cfRule>
          <xm:sqref>AG169</xm:sqref>
        </x14:conditionalFormatting>
        <x14:conditionalFormatting xmlns:xm="http://schemas.microsoft.com/office/excel/2006/main">
          <x14:cfRule type="dataBar" id="{D32706C3-9AFD-4034-82C4-4A9F816C39A9}">
            <x14:dataBar minLength="0" maxLength="100" border="1" negativeBarBorderColorSameAsPositive="0">
              <x14:cfvo type="autoMin"/>
              <x14:cfvo type="autoMax"/>
              <x14:borderColor rgb="FF63C384"/>
              <x14:negativeFillColor rgb="FFFF0000"/>
              <x14:negativeBorderColor rgb="FFFF0000"/>
              <x14:axisColor rgb="FF000000"/>
            </x14:dataBar>
          </x14:cfRule>
          <xm:sqref>AG170:AG175</xm:sqref>
        </x14:conditionalFormatting>
        <x14:conditionalFormatting xmlns:xm="http://schemas.microsoft.com/office/excel/2006/main">
          <x14:cfRule type="dataBar" id="{31706D12-092F-4B19-A8B2-416EFC8EB7E2}">
            <x14:dataBar minLength="0" maxLength="100" border="1" negativeBarBorderColorSameAsPositive="0">
              <x14:cfvo type="autoMin"/>
              <x14:cfvo type="autoMax"/>
              <x14:borderColor rgb="FF63C384"/>
              <x14:negativeFillColor rgb="FFFF0000"/>
              <x14:negativeBorderColor rgb="FFFF0000"/>
              <x14:axisColor rgb="FF000000"/>
            </x14:dataBar>
          </x14:cfRule>
          <xm:sqref>AG170:AG175</xm:sqref>
        </x14:conditionalFormatting>
        <x14:conditionalFormatting xmlns:xm="http://schemas.microsoft.com/office/excel/2006/main">
          <x14:cfRule type="dataBar" id="{A239108D-B50C-45A8-BCB8-D28BE0807D68}">
            <x14:dataBar minLength="0" maxLength="100" border="1" negativeBarBorderColorSameAsPositive="0">
              <x14:cfvo type="autoMin"/>
              <x14:cfvo type="autoMax"/>
              <x14:borderColor rgb="FF63C384"/>
              <x14:negativeFillColor rgb="FFFF0000"/>
              <x14:negativeBorderColor rgb="FFFF0000"/>
              <x14:axisColor rgb="FF000000"/>
            </x14:dataBar>
          </x14:cfRule>
          <xm:sqref>AG176</xm:sqref>
        </x14:conditionalFormatting>
        <x14:conditionalFormatting xmlns:xm="http://schemas.microsoft.com/office/excel/2006/main">
          <x14:cfRule type="dataBar" id="{3E615924-171D-40F7-99E1-BE2A3E642071}">
            <x14:dataBar minLength="0" maxLength="100" border="1" negativeBarBorderColorSameAsPositive="0">
              <x14:cfvo type="autoMin"/>
              <x14:cfvo type="autoMax"/>
              <x14:borderColor rgb="FF63C384"/>
              <x14:negativeFillColor rgb="FFFF0000"/>
              <x14:negativeBorderColor rgb="FFFF0000"/>
              <x14:axisColor rgb="FF000000"/>
            </x14:dataBar>
          </x14:cfRule>
          <xm:sqref>AG176</xm:sqref>
        </x14:conditionalFormatting>
        <x14:conditionalFormatting xmlns:xm="http://schemas.microsoft.com/office/excel/2006/main">
          <x14:cfRule type="dataBar" id="{5764A3B1-998C-4A30-AA5B-EFE6FCBA8500}">
            <x14:dataBar minLength="0" maxLength="100" border="1" negativeBarBorderColorSameAsPositive="0">
              <x14:cfvo type="autoMin"/>
              <x14:cfvo type="autoMax"/>
              <x14:borderColor rgb="FF63C384"/>
              <x14:negativeFillColor rgb="FFFF0000"/>
              <x14:negativeBorderColor rgb="FFFF0000"/>
              <x14:axisColor rgb="FF000000"/>
            </x14:dataBar>
          </x14:cfRule>
          <xm:sqref>AG176</xm:sqref>
        </x14:conditionalFormatting>
        <x14:conditionalFormatting xmlns:xm="http://schemas.microsoft.com/office/excel/2006/main">
          <x14:cfRule type="dataBar" id="{13DC4215-4243-465B-8617-1257CA2C9897}">
            <x14:dataBar minLength="0" maxLength="100" border="1" negativeBarBorderColorSameAsPositive="0">
              <x14:cfvo type="autoMin"/>
              <x14:cfvo type="autoMax"/>
              <x14:borderColor rgb="FF63C384"/>
              <x14:negativeFillColor rgb="FFFF0000"/>
              <x14:negativeBorderColor rgb="FFFF0000"/>
              <x14:axisColor rgb="FF000000"/>
            </x14:dataBar>
          </x14:cfRule>
          <xm:sqref>AG176</xm:sqref>
        </x14:conditionalFormatting>
        <x14:conditionalFormatting xmlns:xm="http://schemas.microsoft.com/office/excel/2006/main">
          <x14:cfRule type="dataBar" id="{78DC28B9-1604-4007-84BF-F358811A3F4D}">
            <x14:dataBar minLength="0" maxLength="100" border="1" negativeBarBorderColorSameAsPositive="0">
              <x14:cfvo type="autoMin"/>
              <x14:cfvo type="autoMax"/>
              <x14:borderColor rgb="FF63C384"/>
              <x14:negativeFillColor rgb="FFFF0000"/>
              <x14:negativeBorderColor rgb="FFFF0000"/>
              <x14:axisColor rgb="FF000000"/>
            </x14:dataBar>
          </x14:cfRule>
          <xm:sqref>AG176</xm:sqref>
        </x14:conditionalFormatting>
        <x14:conditionalFormatting xmlns:xm="http://schemas.microsoft.com/office/excel/2006/main">
          <x14:cfRule type="dataBar" id="{4C841248-F2AE-401B-814B-46D3A0BF4C32}">
            <x14:dataBar minLength="0" maxLength="100" border="1" negativeBarBorderColorSameAsPositive="0">
              <x14:cfvo type="autoMin"/>
              <x14:cfvo type="autoMax"/>
              <x14:borderColor rgb="FF63C384"/>
              <x14:negativeFillColor rgb="FFFF0000"/>
              <x14:negativeBorderColor rgb="FFFF0000"/>
              <x14:axisColor rgb="FF000000"/>
            </x14:dataBar>
          </x14:cfRule>
          <xm:sqref>AG176</xm:sqref>
        </x14:conditionalFormatting>
        <x14:conditionalFormatting xmlns:xm="http://schemas.microsoft.com/office/excel/2006/main">
          <x14:cfRule type="dataBar" id="{F8A7BB9F-353F-4C75-9894-E527C1336EF3}">
            <x14:dataBar minLength="0" maxLength="100" border="1" negativeBarBorderColorSameAsPositive="0">
              <x14:cfvo type="autoMin"/>
              <x14:cfvo type="autoMax"/>
              <x14:borderColor rgb="FF63C384"/>
              <x14:negativeFillColor rgb="FFFF0000"/>
              <x14:negativeBorderColor rgb="FFFF0000"/>
              <x14:axisColor rgb="FF000000"/>
            </x14:dataBar>
          </x14:cfRule>
          <xm:sqref>AG176</xm:sqref>
        </x14:conditionalFormatting>
        <x14:conditionalFormatting xmlns:xm="http://schemas.microsoft.com/office/excel/2006/main">
          <x14:cfRule type="dataBar" id="{98C89775-B8BC-417B-8A96-33B71CFE8985}">
            <x14:dataBar minLength="0" maxLength="100" border="1" negativeBarBorderColorSameAsPositive="0">
              <x14:cfvo type="autoMin"/>
              <x14:cfvo type="autoMax"/>
              <x14:borderColor rgb="FF63C384"/>
              <x14:negativeFillColor rgb="FFFF0000"/>
              <x14:negativeBorderColor rgb="FFFF0000"/>
              <x14:axisColor rgb="FF000000"/>
            </x14:dataBar>
          </x14:cfRule>
          <xm:sqref>AG176</xm:sqref>
        </x14:conditionalFormatting>
        <x14:conditionalFormatting xmlns:xm="http://schemas.microsoft.com/office/excel/2006/main">
          <x14:cfRule type="dataBar" id="{66212920-5DB4-47C1-9AA9-26326E7E25D1}">
            <x14:dataBar minLength="0" maxLength="100" border="1" negativeBarBorderColorSameAsPositive="0">
              <x14:cfvo type="autoMin"/>
              <x14:cfvo type="autoMax"/>
              <x14:borderColor rgb="FF63C384"/>
              <x14:negativeFillColor rgb="FFFF0000"/>
              <x14:negativeBorderColor rgb="FFFF0000"/>
              <x14:axisColor rgb="FF000000"/>
            </x14:dataBar>
          </x14:cfRule>
          <xm:sqref>AG178</xm:sqref>
        </x14:conditionalFormatting>
        <x14:conditionalFormatting xmlns:xm="http://schemas.microsoft.com/office/excel/2006/main">
          <x14:cfRule type="dataBar" id="{C97EF0C5-020B-4552-BC89-DA74BE55E938}">
            <x14:dataBar minLength="0" maxLength="100" border="1" negativeBarBorderColorSameAsPositive="0">
              <x14:cfvo type="autoMin"/>
              <x14:cfvo type="autoMax"/>
              <x14:borderColor rgb="FF63C384"/>
              <x14:negativeFillColor rgb="FFFF0000"/>
              <x14:negativeBorderColor rgb="FFFF0000"/>
              <x14:axisColor rgb="FF000000"/>
            </x14:dataBar>
          </x14:cfRule>
          <xm:sqref>AG178</xm:sqref>
        </x14:conditionalFormatting>
        <x14:conditionalFormatting xmlns:xm="http://schemas.microsoft.com/office/excel/2006/main">
          <x14:cfRule type="dataBar" id="{DFE00C7F-EE3F-42A7-9AD3-61B0397A8C3A}">
            <x14:dataBar minLength="0" maxLength="100" border="1" negativeBarBorderColorSameAsPositive="0">
              <x14:cfvo type="autoMin"/>
              <x14:cfvo type="autoMax"/>
              <x14:borderColor rgb="FF63C384"/>
              <x14:negativeFillColor rgb="FFFF0000"/>
              <x14:negativeBorderColor rgb="FFFF0000"/>
              <x14:axisColor rgb="FF000000"/>
            </x14:dataBar>
          </x14:cfRule>
          <xm:sqref>AG179</xm:sqref>
        </x14:conditionalFormatting>
        <x14:conditionalFormatting xmlns:xm="http://schemas.microsoft.com/office/excel/2006/main">
          <x14:cfRule type="dataBar" id="{B051A888-B0E4-49D5-9FAE-07A97F2E5692}">
            <x14:dataBar minLength="0" maxLength="100" border="1" negativeBarBorderColorSameAsPositive="0">
              <x14:cfvo type="autoMin"/>
              <x14:cfvo type="autoMax"/>
              <x14:borderColor rgb="FF63C384"/>
              <x14:negativeFillColor rgb="FFFF0000"/>
              <x14:negativeBorderColor rgb="FFFF0000"/>
              <x14:axisColor rgb="FF000000"/>
            </x14:dataBar>
          </x14:cfRule>
          <xm:sqref>AG179</xm:sqref>
        </x14:conditionalFormatting>
        <x14:conditionalFormatting xmlns:xm="http://schemas.microsoft.com/office/excel/2006/main">
          <x14:cfRule type="dataBar" id="{5F52A01E-63F2-43DC-84CE-ED6CB79FED43}">
            <x14:dataBar minLength="0" maxLength="100" border="1" negativeBarBorderColorSameAsPositive="0">
              <x14:cfvo type="autoMin"/>
              <x14:cfvo type="autoMax"/>
              <x14:borderColor rgb="FF63C384"/>
              <x14:negativeFillColor rgb="FFFF0000"/>
              <x14:negativeBorderColor rgb="FFFF0000"/>
              <x14:axisColor rgb="FF000000"/>
            </x14:dataBar>
          </x14:cfRule>
          <xm:sqref>AG179</xm:sqref>
        </x14:conditionalFormatting>
        <x14:conditionalFormatting xmlns:xm="http://schemas.microsoft.com/office/excel/2006/main">
          <x14:cfRule type="dataBar" id="{945B380C-92E9-409B-9E76-263E9F6276CA}">
            <x14:dataBar minLength="0" maxLength="100" border="1" negativeBarBorderColorSameAsPositive="0">
              <x14:cfvo type="autoMin"/>
              <x14:cfvo type="autoMax"/>
              <x14:borderColor rgb="FF63C384"/>
              <x14:negativeFillColor rgb="FFFF0000"/>
              <x14:negativeBorderColor rgb="FFFF0000"/>
              <x14:axisColor rgb="FF000000"/>
            </x14:dataBar>
          </x14:cfRule>
          <xm:sqref>AG179</xm:sqref>
        </x14:conditionalFormatting>
        <x14:conditionalFormatting xmlns:xm="http://schemas.microsoft.com/office/excel/2006/main">
          <x14:cfRule type="dataBar" id="{3FD98DF6-432D-45AD-B591-60B6DF7BAA39}">
            <x14:dataBar minLength="0" maxLength="100" border="1" negativeBarBorderColorSameAsPositive="0">
              <x14:cfvo type="autoMin"/>
              <x14:cfvo type="autoMax"/>
              <x14:borderColor rgb="FF63C384"/>
              <x14:negativeFillColor rgb="FFFF0000"/>
              <x14:negativeBorderColor rgb="FFFF0000"/>
              <x14:axisColor rgb="FF000000"/>
            </x14:dataBar>
          </x14:cfRule>
          <xm:sqref>AG180</xm:sqref>
        </x14:conditionalFormatting>
        <x14:conditionalFormatting xmlns:xm="http://schemas.microsoft.com/office/excel/2006/main">
          <x14:cfRule type="dataBar" id="{5A322BD6-C56E-4E0E-82B4-C1E9181ADEB2}">
            <x14:dataBar minLength="0" maxLength="100" border="1" negativeBarBorderColorSameAsPositive="0">
              <x14:cfvo type="autoMin"/>
              <x14:cfvo type="autoMax"/>
              <x14:borderColor rgb="FF63C384"/>
              <x14:negativeFillColor rgb="FFFF0000"/>
              <x14:negativeBorderColor rgb="FFFF0000"/>
              <x14:axisColor rgb="FF000000"/>
            </x14:dataBar>
          </x14:cfRule>
          <xm:sqref>AG180</xm:sqref>
        </x14:conditionalFormatting>
        <x14:conditionalFormatting xmlns:xm="http://schemas.microsoft.com/office/excel/2006/main">
          <x14:cfRule type="dataBar" id="{A0A61C66-08FA-4C48-93C6-A1F7FBB598BB}">
            <x14:dataBar minLength="0" maxLength="100" border="1" negativeBarBorderColorSameAsPositive="0">
              <x14:cfvo type="autoMin"/>
              <x14:cfvo type="autoMax"/>
              <x14:borderColor rgb="FF63C384"/>
              <x14:negativeFillColor rgb="FFFF0000"/>
              <x14:negativeBorderColor rgb="FFFF0000"/>
              <x14:axisColor rgb="FF000000"/>
            </x14:dataBar>
          </x14:cfRule>
          <xm:sqref>AG180</xm:sqref>
        </x14:conditionalFormatting>
        <x14:conditionalFormatting xmlns:xm="http://schemas.microsoft.com/office/excel/2006/main">
          <x14:cfRule type="dataBar" id="{D58E8FC2-880F-4E9A-9579-7F13193B2F27}">
            <x14:dataBar minLength="0" maxLength="100" border="1" negativeBarBorderColorSameAsPositive="0">
              <x14:cfvo type="autoMin"/>
              <x14:cfvo type="autoMax"/>
              <x14:borderColor rgb="FF63C384"/>
              <x14:negativeFillColor rgb="FFFF0000"/>
              <x14:negativeBorderColor rgb="FFFF0000"/>
              <x14:axisColor rgb="FF000000"/>
            </x14:dataBar>
          </x14:cfRule>
          <xm:sqref>AG180</xm:sqref>
        </x14:conditionalFormatting>
        <x14:conditionalFormatting xmlns:xm="http://schemas.microsoft.com/office/excel/2006/main">
          <x14:cfRule type="dataBar" id="{ABF2250B-52D7-4A67-A803-AA174A3BE0D5}">
            <x14:dataBar minLength="0" maxLength="100" border="1" negativeBarBorderColorSameAsPositive="0">
              <x14:cfvo type="autoMin"/>
              <x14:cfvo type="autoMax"/>
              <x14:borderColor rgb="FF63C384"/>
              <x14:negativeFillColor rgb="FFFF0000"/>
              <x14:negativeBorderColor rgb="FFFF0000"/>
              <x14:axisColor rgb="FF000000"/>
            </x14:dataBar>
          </x14:cfRule>
          <xm:sqref>AG181:AG182</xm:sqref>
        </x14:conditionalFormatting>
        <x14:conditionalFormatting xmlns:xm="http://schemas.microsoft.com/office/excel/2006/main">
          <x14:cfRule type="dataBar" id="{45906D71-579E-4561-9A10-56E4163712E2}">
            <x14:dataBar minLength="0" maxLength="100" border="1" negativeBarBorderColorSameAsPositive="0">
              <x14:cfvo type="autoMin"/>
              <x14:cfvo type="autoMax"/>
              <x14:borderColor rgb="FF63C384"/>
              <x14:negativeFillColor rgb="FFFF0000"/>
              <x14:negativeBorderColor rgb="FFFF0000"/>
              <x14:axisColor rgb="FF000000"/>
            </x14:dataBar>
          </x14:cfRule>
          <xm:sqref>AG181:AG182</xm:sqref>
        </x14:conditionalFormatting>
        <x14:conditionalFormatting xmlns:xm="http://schemas.microsoft.com/office/excel/2006/main">
          <x14:cfRule type="dataBar" id="{5DF1B395-6155-4312-9729-217342A1761A}">
            <x14:dataBar minLength="0" maxLength="100" border="1" negativeBarBorderColorSameAsPositive="0">
              <x14:cfvo type="autoMin"/>
              <x14:cfvo type="autoMax"/>
              <x14:borderColor rgb="FF63C384"/>
              <x14:negativeFillColor rgb="FFFF0000"/>
              <x14:negativeBorderColor rgb="FFFF0000"/>
              <x14:axisColor rgb="FF000000"/>
            </x14:dataBar>
          </x14:cfRule>
          <xm:sqref>AG181:AG182</xm:sqref>
        </x14:conditionalFormatting>
        <x14:conditionalFormatting xmlns:xm="http://schemas.microsoft.com/office/excel/2006/main">
          <x14:cfRule type="dataBar" id="{3DE7CFAA-652C-492A-BA64-53652AC05364}">
            <x14:dataBar minLength="0" maxLength="100" border="1" negativeBarBorderColorSameAsPositive="0">
              <x14:cfvo type="autoMin"/>
              <x14:cfvo type="autoMax"/>
              <x14:borderColor rgb="FF63C384"/>
              <x14:negativeFillColor rgb="FFFF0000"/>
              <x14:negativeBorderColor rgb="FFFF0000"/>
              <x14:axisColor rgb="FF000000"/>
            </x14:dataBar>
          </x14:cfRule>
          <xm:sqref>AG181:AG182</xm:sqref>
        </x14:conditionalFormatting>
        <x14:conditionalFormatting xmlns:xm="http://schemas.microsoft.com/office/excel/2006/main">
          <x14:cfRule type="dataBar" id="{5FCE2B5F-AAF4-4B24-A2B0-E072908679B2}">
            <x14:dataBar minLength="0" maxLength="100" border="1" negativeBarBorderColorSameAsPositive="0">
              <x14:cfvo type="autoMin"/>
              <x14:cfvo type="autoMax"/>
              <x14:borderColor rgb="FF63C384"/>
              <x14:negativeFillColor rgb="FFFF0000"/>
              <x14:negativeBorderColor rgb="FFFF0000"/>
              <x14:axisColor rgb="FF000000"/>
            </x14:dataBar>
          </x14:cfRule>
          <xm:sqref>AG181:AG182</xm:sqref>
        </x14:conditionalFormatting>
        <x14:conditionalFormatting xmlns:xm="http://schemas.microsoft.com/office/excel/2006/main">
          <x14:cfRule type="dataBar" id="{84415798-1646-4FEF-9011-90DC3E276602}">
            <x14:dataBar minLength="0" maxLength="100" border="1" negativeBarBorderColorSameAsPositive="0">
              <x14:cfvo type="autoMin"/>
              <x14:cfvo type="autoMax"/>
              <x14:borderColor rgb="FF63C384"/>
              <x14:negativeFillColor rgb="FFFF0000"/>
              <x14:negativeBorderColor rgb="FFFF0000"/>
              <x14:axisColor rgb="FF000000"/>
            </x14:dataBar>
          </x14:cfRule>
          <xm:sqref>AG181:AG182</xm:sqref>
        </x14:conditionalFormatting>
        <x14:conditionalFormatting xmlns:xm="http://schemas.microsoft.com/office/excel/2006/main">
          <x14:cfRule type="dataBar" id="{D5F5112C-9015-4A76-A150-99BF4E740FE3}">
            <x14:dataBar minLength="0" maxLength="100" border="1" negativeBarBorderColorSameAsPositive="0">
              <x14:cfvo type="autoMin"/>
              <x14:cfvo type="autoMax"/>
              <x14:borderColor rgb="FF63C384"/>
              <x14:negativeFillColor rgb="FFFF0000"/>
              <x14:negativeBorderColor rgb="FFFF0000"/>
              <x14:axisColor rgb="FF000000"/>
            </x14:dataBar>
          </x14:cfRule>
          <xm:sqref>AG177</xm:sqref>
        </x14:conditionalFormatting>
        <x14:conditionalFormatting xmlns:xm="http://schemas.microsoft.com/office/excel/2006/main">
          <x14:cfRule type="dataBar" id="{42C5A387-80C2-433B-A053-84BB83D11E66}">
            <x14:dataBar minLength="0" maxLength="100" border="1" negativeBarBorderColorSameAsPositive="0">
              <x14:cfvo type="autoMin"/>
              <x14:cfvo type="autoMax"/>
              <x14:borderColor rgb="FF63C384"/>
              <x14:negativeFillColor rgb="FFFF0000"/>
              <x14:negativeBorderColor rgb="FFFF0000"/>
              <x14:axisColor rgb="FF000000"/>
            </x14:dataBar>
          </x14:cfRule>
          <xm:sqref>AG177</xm:sqref>
        </x14:conditionalFormatting>
        <x14:conditionalFormatting xmlns:xm="http://schemas.microsoft.com/office/excel/2006/main">
          <x14:cfRule type="dataBar" id="{DD087678-E748-42A5-86E8-9F29EF6DA7FF}">
            <x14:dataBar minLength="0" maxLength="100" border="1" negativeBarBorderColorSameAsPositive="0">
              <x14:cfvo type="autoMin"/>
              <x14:cfvo type="autoMax"/>
              <x14:borderColor rgb="FF63C384"/>
              <x14:negativeFillColor rgb="FFFF0000"/>
              <x14:negativeBorderColor rgb="FFFF0000"/>
              <x14:axisColor rgb="FF000000"/>
            </x14:dataBar>
          </x14:cfRule>
          <xm:sqref>AG177</xm:sqref>
        </x14:conditionalFormatting>
        <x14:conditionalFormatting xmlns:xm="http://schemas.microsoft.com/office/excel/2006/main">
          <x14:cfRule type="dataBar" id="{D530C392-5820-4791-9F7F-D17F20A5462E}">
            <x14:dataBar minLength="0" maxLength="100" border="1" negativeBarBorderColorSameAsPositive="0">
              <x14:cfvo type="autoMin"/>
              <x14:cfvo type="autoMax"/>
              <x14:borderColor rgb="FF63C384"/>
              <x14:negativeFillColor rgb="FFFF0000"/>
              <x14:negativeBorderColor rgb="FFFF0000"/>
              <x14:axisColor rgb="FF000000"/>
            </x14:dataBar>
          </x14:cfRule>
          <xm:sqref>AG177</xm:sqref>
        </x14:conditionalFormatting>
        <x14:conditionalFormatting xmlns:xm="http://schemas.microsoft.com/office/excel/2006/main">
          <x14:cfRule type="dataBar" id="{0E0BFC7A-56D7-461F-90B5-B1516728C3FF}">
            <x14:dataBar minLength="0" maxLength="100" border="1" negativeBarBorderColorSameAsPositive="0">
              <x14:cfvo type="autoMin"/>
              <x14:cfvo type="autoMax"/>
              <x14:borderColor rgb="FF63C384"/>
              <x14:negativeFillColor rgb="FFFF0000"/>
              <x14:negativeBorderColor rgb="FFFF0000"/>
              <x14:axisColor rgb="FF000000"/>
            </x14:dataBar>
          </x14:cfRule>
          <xm:sqref>AG183</xm:sqref>
        </x14:conditionalFormatting>
        <x14:conditionalFormatting xmlns:xm="http://schemas.microsoft.com/office/excel/2006/main">
          <x14:cfRule type="dataBar" id="{E171A1ED-5281-4036-AA62-FB4F4426811E}">
            <x14:dataBar minLength="0" maxLength="100" border="1" negativeBarBorderColorSameAsPositive="0">
              <x14:cfvo type="autoMin"/>
              <x14:cfvo type="autoMax"/>
              <x14:borderColor rgb="FF63C384"/>
              <x14:negativeFillColor rgb="FFFF0000"/>
              <x14:negativeBorderColor rgb="FFFF0000"/>
              <x14:axisColor rgb="FF000000"/>
            </x14:dataBar>
          </x14:cfRule>
          <xm:sqref>AG183</xm:sqref>
        </x14:conditionalFormatting>
        <x14:conditionalFormatting xmlns:xm="http://schemas.microsoft.com/office/excel/2006/main">
          <x14:cfRule type="dataBar" id="{612FEEDD-54CD-4E24-912F-E6ECD7807947}">
            <x14:dataBar minLength="0" maxLength="100" border="1" negativeBarBorderColorSameAsPositive="0">
              <x14:cfvo type="autoMin"/>
              <x14:cfvo type="autoMax"/>
              <x14:borderColor rgb="FF63C384"/>
              <x14:negativeFillColor rgb="FFFF0000"/>
              <x14:negativeBorderColor rgb="FFFF0000"/>
              <x14:axisColor rgb="FF000000"/>
            </x14:dataBar>
          </x14:cfRule>
          <xm:sqref>AG183</xm:sqref>
        </x14:conditionalFormatting>
        <x14:conditionalFormatting xmlns:xm="http://schemas.microsoft.com/office/excel/2006/main">
          <x14:cfRule type="dataBar" id="{AA3C37E4-5254-4EA7-8654-D9CF002DA6ED}">
            <x14:dataBar minLength="0" maxLength="100" border="1" negativeBarBorderColorSameAsPositive="0">
              <x14:cfvo type="autoMin"/>
              <x14:cfvo type="autoMax"/>
              <x14:borderColor rgb="FF63C384"/>
              <x14:negativeFillColor rgb="FFFF0000"/>
              <x14:negativeBorderColor rgb="FFFF0000"/>
              <x14:axisColor rgb="FF000000"/>
            </x14:dataBar>
          </x14:cfRule>
          <xm:sqref>AG183</xm:sqref>
        </x14:conditionalFormatting>
        <x14:conditionalFormatting xmlns:xm="http://schemas.microsoft.com/office/excel/2006/main">
          <x14:cfRule type="dataBar" id="{E5498501-3446-4A41-BD55-35354313DB68}">
            <x14:dataBar minLength="0" maxLength="100" border="1" negativeBarBorderColorSameAsPositive="0">
              <x14:cfvo type="autoMin"/>
              <x14:cfvo type="autoMax"/>
              <x14:borderColor rgb="FF63C384"/>
              <x14:negativeFillColor rgb="FFFF0000"/>
              <x14:negativeBorderColor rgb="FFFF0000"/>
              <x14:axisColor rgb="FF000000"/>
            </x14:dataBar>
          </x14:cfRule>
          <xm:sqref>AG184</xm:sqref>
        </x14:conditionalFormatting>
        <x14:conditionalFormatting xmlns:xm="http://schemas.microsoft.com/office/excel/2006/main">
          <x14:cfRule type="dataBar" id="{FCF97E88-E459-4872-9084-F7A2C511A48D}">
            <x14:dataBar minLength="0" maxLength="100" border="1" negativeBarBorderColorSameAsPositive="0">
              <x14:cfvo type="autoMin"/>
              <x14:cfvo type="autoMax"/>
              <x14:borderColor rgb="FF63C384"/>
              <x14:negativeFillColor rgb="FFFF0000"/>
              <x14:negativeBorderColor rgb="FFFF0000"/>
              <x14:axisColor rgb="FF000000"/>
            </x14:dataBar>
          </x14:cfRule>
          <xm:sqref>AG184</xm:sqref>
        </x14:conditionalFormatting>
        <x14:conditionalFormatting xmlns:xm="http://schemas.microsoft.com/office/excel/2006/main">
          <x14:cfRule type="dataBar" id="{CC18B304-77BE-4D16-B663-41F72925DE70}">
            <x14:dataBar minLength="0" maxLength="100" border="1" negativeBarBorderColorSameAsPositive="0">
              <x14:cfvo type="autoMin"/>
              <x14:cfvo type="autoMax"/>
              <x14:borderColor rgb="FF63C384"/>
              <x14:negativeFillColor rgb="FFFF0000"/>
              <x14:negativeBorderColor rgb="FFFF0000"/>
              <x14:axisColor rgb="FF000000"/>
            </x14:dataBar>
          </x14:cfRule>
          <xm:sqref>AG184</xm:sqref>
        </x14:conditionalFormatting>
        <x14:conditionalFormatting xmlns:xm="http://schemas.microsoft.com/office/excel/2006/main">
          <x14:cfRule type="dataBar" id="{1DFC6995-3746-4A25-9776-DD4E6E284EB5}">
            <x14:dataBar minLength="0" maxLength="100" border="1" negativeBarBorderColorSameAsPositive="0">
              <x14:cfvo type="autoMin"/>
              <x14:cfvo type="autoMax"/>
              <x14:borderColor rgb="FF63C384"/>
              <x14:negativeFillColor rgb="FFFF0000"/>
              <x14:negativeBorderColor rgb="FFFF0000"/>
              <x14:axisColor rgb="FF000000"/>
            </x14:dataBar>
          </x14:cfRule>
          <xm:sqref>AG184</xm:sqref>
        </x14:conditionalFormatting>
        <x14:conditionalFormatting xmlns:xm="http://schemas.microsoft.com/office/excel/2006/main">
          <x14:cfRule type="dataBar" id="{CBE4B54F-71BA-4F21-9BC0-BE7D8F8FD7D7}">
            <x14:dataBar minLength="0" maxLength="100" border="1" negativeBarBorderColorSameAsPositive="0">
              <x14:cfvo type="autoMin"/>
              <x14:cfvo type="autoMax"/>
              <x14:borderColor rgb="FF63C384"/>
              <x14:negativeFillColor rgb="FFFF0000"/>
              <x14:negativeBorderColor rgb="FFFF0000"/>
              <x14:axisColor rgb="FF000000"/>
            </x14:dataBar>
          </x14:cfRule>
          <xm:sqref>AG185</xm:sqref>
        </x14:conditionalFormatting>
        <x14:conditionalFormatting xmlns:xm="http://schemas.microsoft.com/office/excel/2006/main">
          <x14:cfRule type="dataBar" id="{78186BAC-DCA7-4E3E-B81C-54C40B7B9338}">
            <x14:dataBar minLength="0" maxLength="100" border="1" negativeBarBorderColorSameAsPositive="0">
              <x14:cfvo type="autoMin"/>
              <x14:cfvo type="autoMax"/>
              <x14:borderColor rgb="FF63C384"/>
              <x14:negativeFillColor rgb="FFFF0000"/>
              <x14:negativeBorderColor rgb="FFFF0000"/>
              <x14:axisColor rgb="FF000000"/>
            </x14:dataBar>
          </x14:cfRule>
          <xm:sqref>AG185</xm:sqref>
        </x14:conditionalFormatting>
        <x14:conditionalFormatting xmlns:xm="http://schemas.microsoft.com/office/excel/2006/main">
          <x14:cfRule type="dataBar" id="{FCAB3A49-341F-411A-98FB-5BA9885AD904}">
            <x14:dataBar minLength="0" maxLength="100" border="1" negativeBarBorderColorSameAsPositive="0">
              <x14:cfvo type="autoMin"/>
              <x14:cfvo type="autoMax"/>
              <x14:borderColor rgb="FF63C384"/>
              <x14:negativeFillColor rgb="FFFF0000"/>
              <x14:negativeBorderColor rgb="FFFF0000"/>
              <x14:axisColor rgb="FF000000"/>
            </x14:dataBar>
          </x14:cfRule>
          <xm:sqref>AG186</xm:sqref>
        </x14:conditionalFormatting>
        <x14:conditionalFormatting xmlns:xm="http://schemas.microsoft.com/office/excel/2006/main">
          <x14:cfRule type="dataBar" id="{1F86DF77-6292-4A1C-B392-6D7218512D0C}">
            <x14:dataBar minLength="0" maxLength="100" border="1" negativeBarBorderColorSameAsPositive="0">
              <x14:cfvo type="autoMin"/>
              <x14:cfvo type="autoMax"/>
              <x14:borderColor rgb="FF63C384"/>
              <x14:negativeFillColor rgb="FFFF0000"/>
              <x14:negativeBorderColor rgb="FFFF0000"/>
              <x14:axisColor rgb="FF000000"/>
            </x14:dataBar>
          </x14:cfRule>
          <xm:sqref>AG186</xm:sqref>
        </x14:conditionalFormatting>
        <x14:conditionalFormatting xmlns:xm="http://schemas.microsoft.com/office/excel/2006/main">
          <x14:cfRule type="dataBar" id="{1C586B28-5563-4402-AF5B-654ECF3092DA}">
            <x14:dataBar minLength="0" maxLength="100" border="1" negativeBarBorderColorSameAsPositive="0">
              <x14:cfvo type="autoMin"/>
              <x14:cfvo type="autoMax"/>
              <x14:borderColor rgb="FF63C384"/>
              <x14:negativeFillColor rgb="FFFF0000"/>
              <x14:negativeBorderColor rgb="FFFF0000"/>
              <x14:axisColor rgb="FF000000"/>
            </x14:dataBar>
          </x14:cfRule>
          <xm:sqref>AG187</xm:sqref>
        </x14:conditionalFormatting>
        <x14:conditionalFormatting xmlns:xm="http://schemas.microsoft.com/office/excel/2006/main">
          <x14:cfRule type="dataBar" id="{B2818112-0B48-4AAD-91E9-11BC0E8E7B22}">
            <x14:dataBar minLength="0" maxLength="100" border="1" negativeBarBorderColorSameAsPositive="0">
              <x14:cfvo type="autoMin"/>
              <x14:cfvo type="autoMax"/>
              <x14:borderColor rgb="FF63C384"/>
              <x14:negativeFillColor rgb="FFFF0000"/>
              <x14:negativeBorderColor rgb="FFFF0000"/>
              <x14:axisColor rgb="FF000000"/>
            </x14:dataBar>
          </x14:cfRule>
          <xm:sqref>AG187</xm:sqref>
        </x14:conditionalFormatting>
        <x14:conditionalFormatting xmlns:xm="http://schemas.microsoft.com/office/excel/2006/main">
          <x14:cfRule type="dataBar" id="{2240C733-EB48-4228-A7F5-07BF1AB96BF9}">
            <x14:dataBar minLength="0" maxLength="100" border="1" negativeBarBorderColorSameAsPositive="0">
              <x14:cfvo type="autoMin"/>
              <x14:cfvo type="autoMax"/>
              <x14:borderColor rgb="FF63C384"/>
              <x14:negativeFillColor rgb="FFFF0000"/>
              <x14:negativeBorderColor rgb="FFFF0000"/>
              <x14:axisColor rgb="FF000000"/>
            </x14:dataBar>
          </x14:cfRule>
          <xm:sqref>AG188</xm:sqref>
        </x14:conditionalFormatting>
        <x14:conditionalFormatting xmlns:xm="http://schemas.microsoft.com/office/excel/2006/main">
          <x14:cfRule type="dataBar" id="{C9A43AF1-B9A8-490C-84F6-DC74D789168C}">
            <x14:dataBar minLength="0" maxLength="100" border="1" negativeBarBorderColorSameAsPositive="0">
              <x14:cfvo type="autoMin"/>
              <x14:cfvo type="autoMax"/>
              <x14:borderColor rgb="FF63C384"/>
              <x14:negativeFillColor rgb="FFFF0000"/>
              <x14:negativeBorderColor rgb="FFFF0000"/>
              <x14:axisColor rgb="FF000000"/>
            </x14:dataBar>
          </x14:cfRule>
          <xm:sqref>AG188</xm:sqref>
        </x14:conditionalFormatting>
        <x14:conditionalFormatting xmlns:xm="http://schemas.microsoft.com/office/excel/2006/main">
          <x14:cfRule type="dataBar" id="{1655EA40-5159-4FCE-9B55-2DE921E20541}">
            <x14:dataBar minLength="0" maxLength="100" border="1" negativeBarBorderColorSameAsPositive="0">
              <x14:cfvo type="autoMin"/>
              <x14:cfvo type="autoMax"/>
              <x14:borderColor rgb="FF63C384"/>
              <x14:negativeFillColor rgb="FFFF0000"/>
              <x14:negativeBorderColor rgb="FFFF0000"/>
              <x14:axisColor rgb="FF000000"/>
            </x14:dataBar>
          </x14:cfRule>
          <xm:sqref>AG189</xm:sqref>
        </x14:conditionalFormatting>
        <x14:conditionalFormatting xmlns:xm="http://schemas.microsoft.com/office/excel/2006/main">
          <x14:cfRule type="dataBar" id="{D782CF07-0B19-4CB3-89C0-22688209EA33}">
            <x14:dataBar minLength="0" maxLength="100" border="1" negativeBarBorderColorSameAsPositive="0">
              <x14:cfvo type="autoMin"/>
              <x14:cfvo type="autoMax"/>
              <x14:borderColor rgb="FF63C384"/>
              <x14:negativeFillColor rgb="FFFF0000"/>
              <x14:negativeBorderColor rgb="FFFF0000"/>
              <x14:axisColor rgb="FF000000"/>
            </x14:dataBar>
          </x14:cfRule>
          <xm:sqref>AG189</xm:sqref>
        </x14:conditionalFormatting>
        <x14:conditionalFormatting xmlns:xm="http://schemas.microsoft.com/office/excel/2006/main">
          <x14:cfRule type="dataBar" id="{E4B5BB8B-D01D-4DB7-B1D3-399610C083EF}">
            <x14:dataBar minLength="0" maxLength="100" border="1" negativeBarBorderColorSameAsPositive="0">
              <x14:cfvo type="autoMin"/>
              <x14:cfvo type="autoMax"/>
              <x14:borderColor rgb="FF63C384"/>
              <x14:negativeFillColor rgb="FFFF0000"/>
              <x14:negativeBorderColor rgb="FFFF0000"/>
              <x14:axisColor rgb="FF000000"/>
            </x14:dataBar>
          </x14:cfRule>
          <xm:sqref>AG189</xm:sqref>
        </x14:conditionalFormatting>
        <x14:conditionalFormatting xmlns:xm="http://schemas.microsoft.com/office/excel/2006/main">
          <x14:cfRule type="dataBar" id="{436D7FAA-47DB-4EC9-A8E1-A371F241FA6B}">
            <x14:dataBar minLength="0" maxLength="100" border="1" negativeBarBorderColorSameAsPositive="0">
              <x14:cfvo type="autoMin"/>
              <x14:cfvo type="autoMax"/>
              <x14:borderColor rgb="FF63C384"/>
              <x14:negativeFillColor rgb="FFFF0000"/>
              <x14:negativeBorderColor rgb="FFFF0000"/>
              <x14:axisColor rgb="FF000000"/>
            </x14:dataBar>
          </x14:cfRule>
          <xm:sqref>AG189</xm:sqref>
        </x14:conditionalFormatting>
        <x14:conditionalFormatting xmlns:xm="http://schemas.microsoft.com/office/excel/2006/main">
          <x14:cfRule type="dataBar" id="{7B5F66B8-C07E-4C01-A6A0-73ABA9D894C2}">
            <x14:dataBar minLength="0" maxLength="100" border="1" negativeBarBorderColorSameAsPositive="0">
              <x14:cfvo type="autoMin"/>
              <x14:cfvo type="autoMax"/>
              <x14:borderColor rgb="FF63C384"/>
              <x14:negativeFillColor rgb="FFFF0000"/>
              <x14:negativeBorderColor rgb="FFFF0000"/>
              <x14:axisColor rgb="FF000000"/>
            </x14:dataBar>
          </x14:cfRule>
          <xm:sqref>AG190</xm:sqref>
        </x14:conditionalFormatting>
        <x14:conditionalFormatting xmlns:xm="http://schemas.microsoft.com/office/excel/2006/main">
          <x14:cfRule type="dataBar" id="{50494AB1-3AE9-4CD9-9570-D2A618DE1E2E}">
            <x14:dataBar minLength="0" maxLength="100" border="1" negativeBarBorderColorSameAsPositive="0">
              <x14:cfvo type="autoMin"/>
              <x14:cfvo type="autoMax"/>
              <x14:borderColor rgb="FF63C384"/>
              <x14:negativeFillColor rgb="FFFF0000"/>
              <x14:negativeBorderColor rgb="FFFF0000"/>
              <x14:axisColor rgb="FF000000"/>
            </x14:dataBar>
          </x14:cfRule>
          <xm:sqref>AG190</xm:sqref>
        </x14:conditionalFormatting>
        <x14:conditionalFormatting xmlns:xm="http://schemas.microsoft.com/office/excel/2006/main">
          <x14:cfRule type="dataBar" id="{50E120DA-21F4-401A-9F64-743A3FCB00F0}">
            <x14:dataBar minLength="0" maxLength="100" border="1" negativeBarBorderColorSameAsPositive="0">
              <x14:cfvo type="autoMin"/>
              <x14:cfvo type="autoMax"/>
              <x14:borderColor rgb="FF63C384"/>
              <x14:negativeFillColor rgb="FFFF0000"/>
              <x14:negativeBorderColor rgb="FFFF0000"/>
              <x14:axisColor rgb="FF000000"/>
            </x14:dataBar>
          </x14:cfRule>
          <xm:sqref>AG191</xm:sqref>
        </x14:conditionalFormatting>
        <x14:conditionalFormatting xmlns:xm="http://schemas.microsoft.com/office/excel/2006/main">
          <x14:cfRule type="dataBar" id="{A28D8AD5-457D-44BA-93C4-5CA2F0D23C35}">
            <x14:dataBar minLength="0" maxLength="100" border="1" negativeBarBorderColorSameAsPositive="0">
              <x14:cfvo type="autoMin"/>
              <x14:cfvo type="autoMax"/>
              <x14:borderColor rgb="FF63C384"/>
              <x14:negativeFillColor rgb="FFFF0000"/>
              <x14:negativeBorderColor rgb="FFFF0000"/>
              <x14:axisColor rgb="FF000000"/>
            </x14:dataBar>
          </x14:cfRule>
          <xm:sqref>AG191</xm:sqref>
        </x14:conditionalFormatting>
        <x14:conditionalFormatting xmlns:xm="http://schemas.microsoft.com/office/excel/2006/main">
          <x14:cfRule type="dataBar" id="{FEA7C785-3F5B-422D-B4C9-72B6CA1AAA0D}">
            <x14:dataBar minLength="0" maxLength="100" border="1" negativeBarBorderColorSameAsPositive="0">
              <x14:cfvo type="autoMin"/>
              <x14:cfvo type="autoMax"/>
              <x14:borderColor rgb="FF63C384"/>
              <x14:negativeFillColor rgb="FFFF0000"/>
              <x14:negativeBorderColor rgb="FFFF0000"/>
              <x14:axisColor rgb="FF000000"/>
            </x14:dataBar>
          </x14:cfRule>
          <xm:sqref>AG191</xm:sqref>
        </x14:conditionalFormatting>
        <x14:conditionalFormatting xmlns:xm="http://schemas.microsoft.com/office/excel/2006/main">
          <x14:cfRule type="dataBar" id="{8F2F69E2-F85F-495D-8F7E-3002842F064A}">
            <x14:dataBar minLength="0" maxLength="100" border="1" negativeBarBorderColorSameAsPositive="0">
              <x14:cfvo type="autoMin"/>
              <x14:cfvo type="autoMax"/>
              <x14:borderColor rgb="FF63C384"/>
              <x14:negativeFillColor rgb="FFFF0000"/>
              <x14:negativeBorderColor rgb="FFFF0000"/>
              <x14:axisColor rgb="FF000000"/>
            </x14:dataBar>
          </x14:cfRule>
          <xm:sqref>AG191</xm:sqref>
        </x14:conditionalFormatting>
        <x14:conditionalFormatting xmlns:xm="http://schemas.microsoft.com/office/excel/2006/main">
          <x14:cfRule type="dataBar" id="{AE7DF5E6-8DE3-4508-A317-577625B1D550}">
            <x14:dataBar minLength="0" maxLength="100" border="1" negativeBarBorderColorSameAsPositive="0">
              <x14:cfvo type="autoMin"/>
              <x14:cfvo type="autoMax"/>
              <x14:borderColor rgb="FF63C384"/>
              <x14:negativeFillColor rgb="FFFF0000"/>
              <x14:negativeBorderColor rgb="FFFF0000"/>
              <x14:axisColor rgb="FF000000"/>
            </x14:dataBar>
          </x14:cfRule>
          <xm:sqref>AG191</xm:sqref>
        </x14:conditionalFormatting>
        <x14:conditionalFormatting xmlns:xm="http://schemas.microsoft.com/office/excel/2006/main">
          <x14:cfRule type="dataBar" id="{0400FE27-2C21-4498-BC45-8D0A9F8A35ED}">
            <x14:dataBar minLength="0" maxLength="100" border="1" negativeBarBorderColorSameAsPositive="0">
              <x14:cfvo type="autoMin"/>
              <x14:cfvo type="autoMax"/>
              <x14:borderColor rgb="FF63C384"/>
              <x14:negativeFillColor rgb="FFFF0000"/>
              <x14:negativeBorderColor rgb="FFFF0000"/>
              <x14:axisColor rgb="FF000000"/>
            </x14:dataBar>
          </x14:cfRule>
          <xm:sqref>AG191</xm:sqref>
        </x14:conditionalFormatting>
        <x14:conditionalFormatting xmlns:xm="http://schemas.microsoft.com/office/excel/2006/main">
          <x14:cfRule type="dataBar" id="{CA850AE6-CAC5-4983-A265-2F9EF6D78328}">
            <x14:dataBar minLength="0" maxLength="100" border="1" negativeBarBorderColorSameAsPositive="0">
              <x14:cfvo type="autoMin"/>
              <x14:cfvo type="autoMax"/>
              <x14:borderColor rgb="FF63C384"/>
              <x14:negativeFillColor rgb="FFFF0000"/>
              <x14:negativeBorderColor rgb="FFFF0000"/>
              <x14:axisColor rgb="FF000000"/>
            </x14:dataBar>
          </x14:cfRule>
          <xm:sqref>AG191</xm:sqref>
        </x14:conditionalFormatting>
        <x14:conditionalFormatting xmlns:xm="http://schemas.microsoft.com/office/excel/2006/main">
          <x14:cfRule type="dataBar" id="{D5EDEEF8-8B45-4D00-84E8-DEE18F60776B}">
            <x14:dataBar minLength="0" maxLength="100" border="1" negativeBarBorderColorSameAsPositive="0">
              <x14:cfvo type="autoMin"/>
              <x14:cfvo type="autoMax"/>
              <x14:borderColor rgb="FF63C384"/>
              <x14:negativeFillColor rgb="FFFF0000"/>
              <x14:negativeBorderColor rgb="FFFF0000"/>
              <x14:axisColor rgb="FF000000"/>
            </x14:dataBar>
          </x14:cfRule>
          <xm:sqref>AG191</xm:sqref>
        </x14:conditionalFormatting>
        <x14:conditionalFormatting xmlns:xm="http://schemas.microsoft.com/office/excel/2006/main">
          <x14:cfRule type="dataBar" id="{21D094DC-CE4D-4585-8842-0A03AE00A94B}">
            <x14:dataBar minLength="0" maxLength="100" border="1" negativeBarBorderColorSameAsPositive="0">
              <x14:cfvo type="autoMin"/>
              <x14:cfvo type="autoMax"/>
              <x14:borderColor rgb="FF63C384"/>
              <x14:negativeFillColor rgb="FFFF0000"/>
              <x14:negativeBorderColor rgb="FFFF0000"/>
              <x14:axisColor rgb="FF000000"/>
            </x14:dataBar>
          </x14:cfRule>
          <xm:sqref>AG192:AG193</xm:sqref>
        </x14:conditionalFormatting>
        <x14:conditionalFormatting xmlns:xm="http://schemas.microsoft.com/office/excel/2006/main">
          <x14:cfRule type="dataBar" id="{96A51294-AA3D-4AB0-AD32-BB36D81C5CD2}">
            <x14:dataBar minLength="0" maxLength="100" border="1" negativeBarBorderColorSameAsPositive="0">
              <x14:cfvo type="autoMin"/>
              <x14:cfvo type="autoMax"/>
              <x14:borderColor rgb="FF63C384"/>
              <x14:negativeFillColor rgb="FFFF0000"/>
              <x14:negativeBorderColor rgb="FFFF0000"/>
              <x14:axisColor rgb="FF000000"/>
            </x14:dataBar>
          </x14:cfRule>
          <xm:sqref>AG192:AG193</xm:sqref>
        </x14:conditionalFormatting>
        <x14:conditionalFormatting xmlns:xm="http://schemas.microsoft.com/office/excel/2006/main">
          <x14:cfRule type="dataBar" id="{387C2E6C-9D61-425F-8CE3-8265FD38F2A3}">
            <x14:dataBar minLength="0" maxLength="100" border="1" negativeBarBorderColorSameAsPositive="0">
              <x14:cfvo type="autoMin"/>
              <x14:cfvo type="autoMax"/>
              <x14:borderColor rgb="FF63C384"/>
              <x14:negativeFillColor rgb="FFFF0000"/>
              <x14:negativeBorderColor rgb="FFFF0000"/>
              <x14:axisColor rgb="FF000000"/>
            </x14:dataBar>
          </x14:cfRule>
          <xm:sqref>AG192:AG193</xm:sqref>
        </x14:conditionalFormatting>
        <x14:conditionalFormatting xmlns:xm="http://schemas.microsoft.com/office/excel/2006/main">
          <x14:cfRule type="dataBar" id="{4488B979-F675-4133-B9D5-39F0475AC694}">
            <x14:dataBar minLength="0" maxLength="100" border="1" negativeBarBorderColorSameAsPositive="0">
              <x14:cfvo type="autoMin"/>
              <x14:cfvo type="autoMax"/>
              <x14:borderColor rgb="FF63C384"/>
              <x14:negativeFillColor rgb="FFFF0000"/>
              <x14:negativeBorderColor rgb="FFFF0000"/>
              <x14:axisColor rgb="FF000000"/>
            </x14:dataBar>
          </x14:cfRule>
          <xm:sqref>AG192:AG193</xm:sqref>
        </x14:conditionalFormatting>
        <x14:conditionalFormatting xmlns:xm="http://schemas.microsoft.com/office/excel/2006/main">
          <x14:cfRule type="dataBar" id="{1485A337-56CD-4171-965D-7CFF04490699}">
            <x14:dataBar minLength="0" maxLength="100" border="1" negativeBarBorderColorSameAsPositive="0">
              <x14:cfvo type="autoMin"/>
              <x14:cfvo type="autoMax"/>
              <x14:borderColor rgb="FF63C384"/>
              <x14:negativeFillColor rgb="FFFF0000"/>
              <x14:negativeBorderColor rgb="FFFF0000"/>
              <x14:axisColor rgb="FF000000"/>
            </x14:dataBar>
          </x14:cfRule>
          <xm:sqref>AG194</xm:sqref>
        </x14:conditionalFormatting>
        <x14:conditionalFormatting xmlns:xm="http://schemas.microsoft.com/office/excel/2006/main">
          <x14:cfRule type="dataBar" id="{4EDFCC42-2793-4A4C-B2F2-265F71B38B35}">
            <x14:dataBar minLength="0" maxLength="100" border="1" negativeBarBorderColorSameAsPositive="0">
              <x14:cfvo type="autoMin"/>
              <x14:cfvo type="autoMax"/>
              <x14:borderColor rgb="FF63C384"/>
              <x14:negativeFillColor rgb="FFFF0000"/>
              <x14:negativeBorderColor rgb="FFFF0000"/>
              <x14:axisColor rgb="FF000000"/>
            </x14:dataBar>
          </x14:cfRule>
          <xm:sqref>AG194</xm:sqref>
        </x14:conditionalFormatting>
        <x14:conditionalFormatting xmlns:xm="http://schemas.microsoft.com/office/excel/2006/main">
          <x14:cfRule type="dataBar" id="{14368FE4-349C-482E-8F50-2B0975AE44D7}">
            <x14:dataBar minLength="0" maxLength="100" border="1" negativeBarBorderColorSameAsPositive="0">
              <x14:cfvo type="autoMin"/>
              <x14:cfvo type="autoMax"/>
              <x14:borderColor rgb="FF63C384"/>
              <x14:negativeFillColor rgb="FFFF0000"/>
              <x14:negativeBorderColor rgb="FFFF0000"/>
              <x14:axisColor rgb="FF000000"/>
            </x14:dataBar>
          </x14:cfRule>
          <xm:sqref>AG194</xm:sqref>
        </x14:conditionalFormatting>
        <x14:conditionalFormatting xmlns:xm="http://schemas.microsoft.com/office/excel/2006/main">
          <x14:cfRule type="dataBar" id="{02AB4F7C-5E94-4C31-BCF5-0BB1E1285A85}">
            <x14:dataBar minLength="0" maxLength="100" border="1" negativeBarBorderColorSameAsPositive="0">
              <x14:cfvo type="autoMin"/>
              <x14:cfvo type="autoMax"/>
              <x14:borderColor rgb="FF63C384"/>
              <x14:negativeFillColor rgb="FFFF0000"/>
              <x14:negativeBorderColor rgb="FFFF0000"/>
              <x14:axisColor rgb="FF000000"/>
            </x14:dataBar>
          </x14:cfRule>
          <xm:sqref>AG194</xm:sqref>
        </x14:conditionalFormatting>
        <x14:conditionalFormatting xmlns:xm="http://schemas.microsoft.com/office/excel/2006/main">
          <x14:cfRule type="dataBar" id="{A70F09B3-DABC-4A9C-A1C7-B7F578B154D5}">
            <x14:dataBar minLength="0" maxLength="100" border="1" negativeBarBorderColorSameAsPositive="0">
              <x14:cfvo type="autoMin"/>
              <x14:cfvo type="autoMax"/>
              <x14:borderColor rgb="FF63C384"/>
              <x14:negativeFillColor rgb="FFFF0000"/>
              <x14:negativeBorderColor rgb="FFFF0000"/>
              <x14:axisColor rgb="FF000000"/>
            </x14:dataBar>
          </x14:cfRule>
          <xm:sqref>AG195</xm:sqref>
        </x14:conditionalFormatting>
        <x14:conditionalFormatting xmlns:xm="http://schemas.microsoft.com/office/excel/2006/main">
          <x14:cfRule type="dataBar" id="{DDD9F605-4E85-4657-88A8-21C9335DF7E5}">
            <x14:dataBar minLength="0" maxLength="100" border="1" negativeBarBorderColorSameAsPositive="0">
              <x14:cfvo type="autoMin"/>
              <x14:cfvo type="autoMax"/>
              <x14:borderColor rgb="FF63C384"/>
              <x14:negativeFillColor rgb="FFFF0000"/>
              <x14:negativeBorderColor rgb="FFFF0000"/>
              <x14:axisColor rgb="FF000000"/>
            </x14:dataBar>
          </x14:cfRule>
          <xm:sqref>AG195</xm:sqref>
        </x14:conditionalFormatting>
        <x14:conditionalFormatting xmlns:xm="http://schemas.microsoft.com/office/excel/2006/main">
          <x14:cfRule type="dataBar" id="{6E7F8485-7928-4F40-96DF-3113EFA17673}">
            <x14:dataBar minLength="0" maxLength="100" border="1" negativeBarBorderColorSameAsPositive="0">
              <x14:cfvo type="autoMin"/>
              <x14:cfvo type="autoMax"/>
              <x14:borderColor rgb="FF63C384"/>
              <x14:negativeFillColor rgb="FFFF0000"/>
              <x14:negativeBorderColor rgb="FFFF0000"/>
              <x14:axisColor rgb="FF000000"/>
            </x14:dataBar>
          </x14:cfRule>
          <xm:sqref>AG195</xm:sqref>
        </x14:conditionalFormatting>
        <x14:conditionalFormatting xmlns:xm="http://schemas.microsoft.com/office/excel/2006/main">
          <x14:cfRule type="dataBar" id="{E0D49CC3-4A98-4F5D-95EB-ABEA0010DDD0}">
            <x14:dataBar minLength="0" maxLength="100" border="1" negativeBarBorderColorSameAsPositive="0">
              <x14:cfvo type="autoMin"/>
              <x14:cfvo type="autoMax"/>
              <x14:borderColor rgb="FF63C384"/>
              <x14:negativeFillColor rgb="FFFF0000"/>
              <x14:negativeBorderColor rgb="FFFF0000"/>
              <x14:axisColor rgb="FF000000"/>
            </x14:dataBar>
          </x14:cfRule>
          <xm:sqref>AG195</xm:sqref>
        </x14:conditionalFormatting>
        <x14:conditionalFormatting xmlns:xm="http://schemas.microsoft.com/office/excel/2006/main">
          <x14:cfRule type="dataBar" id="{F649C134-4CCE-4732-8ED0-98494296F3A1}">
            <x14:dataBar minLength="0" maxLength="100" border="1" negativeBarBorderColorSameAsPositive="0">
              <x14:cfvo type="autoMin"/>
              <x14:cfvo type="autoMax"/>
              <x14:borderColor rgb="FF63C384"/>
              <x14:negativeFillColor rgb="FFFF0000"/>
              <x14:negativeBorderColor rgb="FFFF0000"/>
              <x14:axisColor rgb="FF000000"/>
            </x14:dataBar>
          </x14:cfRule>
          <xm:sqref>AG196</xm:sqref>
        </x14:conditionalFormatting>
        <x14:conditionalFormatting xmlns:xm="http://schemas.microsoft.com/office/excel/2006/main">
          <x14:cfRule type="dataBar" id="{ADEBCC04-929A-48F8-92F9-47612FFFFC83}">
            <x14:dataBar minLength="0" maxLength="100" border="1" negativeBarBorderColorSameAsPositive="0">
              <x14:cfvo type="autoMin"/>
              <x14:cfvo type="autoMax"/>
              <x14:borderColor rgb="FF63C384"/>
              <x14:negativeFillColor rgb="FFFF0000"/>
              <x14:negativeBorderColor rgb="FFFF0000"/>
              <x14:axisColor rgb="FF000000"/>
            </x14:dataBar>
          </x14:cfRule>
          <xm:sqref>AG196</xm:sqref>
        </x14:conditionalFormatting>
        <x14:conditionalFormatting xmlns:xm="http://schemas.microsoft.com/office/excel/2006/main">
          <x14:cfRule type="dataBar" id="{74E243F0-F226-4A35-9F59-3FA1086FAE50}">
            <x14:dataBar minLength="0" maxLength="100" border="1" negativeBarBorderColorSameAsPositive="0">
              <x14:cfvo type="autoMin"/>
              <x14:cfvo type="autoMax"/>
              <x14:borderColor rgb="FF63C384"/>
              <x14:negativeFillColor rgb="FFFF0000"/>
              <x14:negativeBorderColor rgb="FFFF0000"/>
              <x14:axisColor rgb="FF000000"/>
            </x14:dataBar>
          </x14:cfRule>
          <xm:sqref>AG197</xm:sqref>
        </x14:conditionalFormatting>
        <x14:conditionalFormatting xmlns:xm="http://schemas.microsoft.com/office/excel/2006/main">
          <x14:cfRule type="dataBar" id="{69C6787C-111D-4AFE-95F8-47753EEF04C2}">
            <x14:dataBar minLength="0" maxLength="100" border="1" negativeBarBorderColorSameAsPositive="0">
              <x14:cfvo type="autoMin"/>
              <x14:cfvo type="autoMax"/>
              <x14:borderColor rgb="FF63C384"/>
              <x14:negativeFillColor rgb="FFFF0000"/>
              <x14:negativeBorderColor rgb="FFFF0000"/>
              <x14:axisColor rgb="FF000000"/>
            </x14:dataBar>
          </x14:cfRule>
          <xm:sqref>AG197</xm:sqref>
        </x14:conditionalFormatting>
        <x14:conditionalFormatting xmlns:xm="http://schemas.microsoft.com/office/excel/2006/main">
          <x14:cfRule type="dataBar" id="{5D2D1794-19E8-4D04-8F86-1772E371F147}">
            <x14:dataBar minLength="0" maxLength="100" border="1" negativeBarBorderColorSameAsPositive="0">
              <x14:cfvo type="autoMin"/>
              <x14:cfvo type="autoMax"/>
              <x14:borderColor rgb="FF63C384"/>
              <x14:negativeFillColor rgb="FFFF0000"/>
              <x14:negativeBorderColor rgb="FFFF0000"/>
              <x14:axisColor rgb="FF000000"/>
            </x14:dataBar>
          </x14:cfRule>
          <xm:sqref>AG197</xm:sqref>
        </x14:conditionalFormatting>
        <x14:conditionalFormatting xmlns:xm="http://schemas.microsoft.com/office/excel/2006/main">
          <x14:cfRule type="dataBar" id="{D5FAA062-421C-4D94-A39E-F1AF8716A9BB}">
            <x14:dataBar minLength="0" maxLength="100" border="1" negativeBarBorderColorSameAsPositive="0">
              <x14:cfvo type="autoMin"/>
              <x14:cfvo type="autoMax"/>
              <x14:borderColor rgb="FF63C384"/>
              <x14:negativeFillColor rgb="FFFF0000"/>
              <x14:negativeBorderColor rgb="FFFF0000"/>
              <x14:axisColor rgb="FF000000"/>
            </x14:dataBar>
          </x14:cfRule>
          <xm:sqref>AG197</xm:sqref>
        </x14:conditionalFormatting>
        <x14:conditionalFormatting xmlns:xm="http://schemas.microsoft.com/office/excel/2006/main">
          <x14:cfRule type="dataBar" id="{51F747E5-D4C5-4220-B248-F08EC357F9B4}">
            <x14:dataBar minLength="0" maxLength="100" border="1" negativeBarBorderColorSameAsPositive="0">
              <x14:cfvo type="autoMin"/>
              <x14:cfvo type="autoMax"/>
              <x14:borderColor rgb="FF63C384"/>
              <x14:negativeFillColor rgb="FFFF0000"/>
              <x14:negativeBorderColor rgb="FFFF0000"/>
              <x14:axisColor rgb="FF000000"/>
            </x14:dataBar>
          </x14:cfRule>
          <xm:sqref>AG197</xm:sqref>
        </x14:conditionalFormatting>
        <x14:conditionalFormatting xmlns:xm="http://schemas.microsoft.com/office/excel/2006/main">
          <x14:cfRule type="dataBar" id="{4743FECC-DFB3-4FD8-9D85-56D54D6E8F5E}">
            <x14:dataBar minLength="0" maxLength="100" border="1" negativeBarBorderColorSameAsPositive="0">
              <x14:cfvo type="autoMin"/>
              <x14:cfvo type="autoMax"/>
              <x14:borderColor rgb="FF63C384"/>
              <x14:negativeFillColor rgb="FFFF0000"/>
              <x14:negativeBorderColor rgb="FFFF0000"/>
              <x14:axisColor rgb="FF000000"/>
            </x14:dataBar>
          </x14:cfRule>
          <xm:sqref>AG197</xm:sqref>
        </x14:conditionalFormatting>
        <x14:conditionalFormatting xmlns:xm="http://schemas.microsoft.com/office/excel/2006/main">
          <x14:cfRule type="dataBar" id="{A6A2A3FB-2ED1-45AD-B5F2-91187F2646D8}">
            <x14:dataBar minLength="0" maxLength="100" border="1" negativeBarBorderColorSameAsPositive="0">
              <x14:cfvo type="autoMin"/>
              <x14:cfvo type="autoMax"/>
              <x14:borderColor rgb="FF63C384"/>
              <x14:negativeFillColor rgb="FFFF0000"/>
              <x14:negativeBorderColor rgb="FFFF0000"/>
              <x14:axisColor rgb="FF000000"/>
            </x14:dataBar>
          </x14:cfRule>
          <xm:sqref>AG198</xm:sqref>
        </x14:conditionalFormatting>
        <x14:conditionalFormatting xmlns:xm="http://schemas.microsoft.com/office/excel/2006/main">
          <x14:cfRule type="dataBar" id="{14DF41BB-C0C7-4D11-AD38-A6FE2365C09C}">
            <x14:dataBar minLength="0" maxLength="100" border="1" negativeBarBorderColorSameAsPositive="0">
              <x14:cfvo type="autoMin"/>
              <x14:cfvo type="autoMax"/>
              <x14:borderColor rgb="FF63C384"/>
              <x14:negativeFillColor rgb="FFFF0000"/>
              <x14:negativeBorderColor rgb="FFFF0000"/>
              <x14:axisColor rgb="FF000000"/>
            </x14:dataBar>
          </x14:cfRule>
          <xm:sqref>AG198</xm:sqref>
        </x14:conditionalFormatting>
        <x14:conditionalFormatting xmlns:xm="http://schemas.microsoft.com/office/excel/2006/main">
          <x14:cfRule type="dataBar" id="{0709A2C1-B3A0-4691-A8F0-F12151090CCF}">
            <x14:dataBar minLength="0" maxLength="100" border="1" negativeBarBorderColorSameAsPositive="0">
              <x14:cfvo type="autoMin"/>
              <x14:cfvo type="autoMax"/>
              <x14:borderColor rgb="FF63C384"/>
              <x14:negativeFillColor rgb="FFFF0000"/>
              <x14:negativeBorderColor rgb="FFFF0000"/>
              <x14:axisColor rgb="FF000000"/>
            </x14:dataBar>
          </x14:cfRule>
          <xm:sqref>AG199</xm:sqref>
        </x14:conditionalFormatting>
        <x14:conditionalFormatting xmlns:xm="http://schemas.microsoft.com/office/excel/2006/main">
          <x14:cfRule type="dataBar" id="{638E4E39-FD01-4EB7-997C-F926B9C24860}">
            <x14:dataBar minLength="0" maxLength="100" border="1" negativeBarBorderColorSameAsPositive="0">
              <x14:cfvo type="autoMin"/>
              <x14:cfvo type="autoMax"/>
              <x14:borderColor rgb="FF63C384"/>
              <x14:negativeFillColor rgb="FFFF0000"/>
              <x14:negativeBorderColor rgb="FFFF0000"/>
              <x14:axisColor rgb="FF000000"/>
            </x14:dataBar>
          </x14:cfRule>
          <xm:sqref>AG199</xm:sqref>
        </x14:conditionalFormatting>
        <x14:conditionalFormatting xmlns:xm="http://schemas.microsoft.com/office/excel/2006/main">
          <x14:cfRule type="dataBar" id="{C2C749C9-5F43-4707-BD1F-F8697FE98C0A}">
            <x14:dataBar minLength="0" maxLength="100" border="1" negativeBarBorderColorSameAsPositive="0">
              <x14:cfvo type="autoMin"/>
              <x14:cfvo type="autoMax"/>
              <x14:borderColor rgb="FF63C384"/>
              <x14:negativeFillColor rgb="FFFF0000"/>
              <x14:negativeBorderColor rgb="FFFF0000"/>
              <x14:axisColor rgb="FF000000"/>
            </x14:dataBar>
          </x14:cfRule>
          <xm:sqref>AG199</xm:sqref>
        </x14:conditionalFormatting>
        <x14:conditionalFormatting xmlns:xm="http://schemas.microsoft.com/office/excel/2006/main">
          <x14:cfRule type="dataBar" id="{2826D3AC-3FF5-4D43-97EC-5049CCED1E26}">
            <x14:dataBar minLength="0" maxLength="100" border="1" negativeBarBorderColorSameAsPositive="0">
              <x14:cfvo type="autoMin"/>
              <x14:cfvo type="autoMax"/>
              <x14:borderColor rgb="FF63C384"/>
              <x14:negativeFillColor rgb="FFFF0000"/>
              <x14:negativeBorderColor rgb="FFFF0000"/>
              <x14:axisColor rgb="FF000000"/>
            </x14:dataBar>
          </x14:cfRule>
          <xm:sqref>AG199</xm:sqref>
        </x14:conditionalFormatting>
        <x14:conditionalFormatting xmlns:xm="http://schemas.microsoft.com/office/excel/2006/main">
          <x14:cfRule type="dataBar" id="{F20B7B55-1BA8-4994-9670-D063580B897A}">
            <x14:dataBar minLength="0" maxLength="100" border="1" negativeBarBorderColorSameAsPositive="0">
              <x14:cfvo type="autoMin"/>
              <x14:cfvo type="autoMax"/>
              <x14:borderColor rgb="FF63C384"/>
              <x14:negativeFillColor rgb="FFFF0000"/>
              <x14:negativeBorderColor rgb="FFFF0000"/>
              <x14:axisColor rgb="FF000000"/>
            </x14:dataBar>
          </x14:cfRule>
          <xm:sqref>AG200</xm:sqref>
        </x14:conditionalFormatting>
        <x14:conditionalFormatting xmlns:xm="http://schemas.microsoft.com/office/excel/2006/main">
          <x14:cfRule type="dataBar" id="{CFCB1FA4-7B35-4CF4-9D01-F04907B4A948}">
            <x14:dataBar minLength="0" maxLength="100" border="1" negativeBarBorderColorSameAsPositive="0">
              <x14:cfvo type="autoMin"/>
              <x14:cfvo type="autoMax"/>
              <x14:borderColor rgb="FF63C384"/>
              <x14:negativeFillColor rgb="FFFF0000"/>
              <x14:negativeBorderColor rgb="FFFF0000"/>
              <x14:axisColor rgb="FF000000"/>
            </x14:dataBar>
          </x14:cfRule>
          <xm:sqref>AG200</xm:sqref>
        </x14:conditionalFormatting>
        <x14:conditionalFormatting xmlns:xm="http://schemas.microsoft.com/office/excel/2006/main">
          <x14:cfRule type="dataBar" id="{CA1F8149-D786-4207-AA7D-629880256064}">
            <x14:dataBar minLength="0" maxLength="100" border="1" negativeBarBorderColorSameAsPositive="0">
              <x14:cfvo type="autoMin"/>
              <x14:cfvo type="autoMax"/>
              <x14:borderColor rgb="FF63C384"/>
              <x14:negativeFillColor rgb="FFFF0000"/>
              <x14:negativeBorderColor rgb="FFFF0000"/>
              <x14:axisColor rgb="FF000000"/>
            </x14:dataBar>
          </x14:cfRule>
          <xm:sqref>AG200</xm:sqref>
        </x14:conditionalFormatting>
        <x14:conditionalFormatting xmlns:xm="http://schemas.microsoft.com/office/excel/2006/main">
          <x14:cfRule type="dataBar" id="{48AE5A51-40CB-4AD1-9A09-D92C8CA995FD}">
            <x14:dataBar minLength="0" maxLength="100" border="1" negativeBarBorderColorSameAsPositive="0">
              <x14:cfvo type="autoMin"/>
              <x14:cfvo type="autoMax"/>
              <x14:borderColor rgb="FF63C384"/>
              <x14:negativeFillColor rgb="FFFF0000"/>
              <x14:negativeBorderColor rgb="FFFF0000"/>
              <x14:axisColor rgb="FF000000"/>
            </x14:dataBar>
          </x14:cfRule>
          <xm:sqref>AG200</xm:sqref>
        </x14:conditionalFormatting>
        <x14:conditionalFormatting xmlns:xm="http://schemas.microsoft.com/office/excel/2006/main">
          <x14:cfRule type="dataBar" id="{CAF0D058-062C-4BD7-9A8B-40CC9616C0A1}">
            <x14:dataBar minLength="0" maxLength="100" border="1" negativeBarBorderColorSameAsPositive="0">
              <x14:cfvo type="autoMin"/>
              <x14:cfvo type="autoMax"/>
              <x14:borderColor rgb="FF63C384"/>
              <x14:negativeFillColor rgb="FFFF0000"/>
              <x14:negativeBorderColor rgb="FFFF0000"/>
              <x14:axisColor rgb="FF000000"/>
            </x14:dataBar>
          </x14:cfRule>
          <xm:sqref>AG201</xm:sqref>
        </x14:conditionalFormatting>
        <x14:conditionalFormatting xmlns:xm="http://schemas.microsoft.com/office/excel/2006/main">
          <x14:cfRule type="dataBar" id="{2851D978-1BF3-4760-8477-913BB859D479}">
            <x14:dataBar minLength="0" maxLength="100" border="1" negativeBarBorderColorSameAsPositive="0">
              <x14:cfvo type="autoMin"/>
              <x14:cfvo type="autoMax"/>
              <x14:borderColor rgb="FF63C384"/>
              <x14:negativeFillColor rgb="FFFF0000"/>
              <x14:negativeBorderColor rgb="FFFF0000"/>
              <x14:axisColor rgb="FF000000"/>
            </x14:dataBar>
          </x14:cfRule>
          <xm:sqref>AG201</xm:sqref>
        </x14:conditionalFormatting>
        <x14:conditionalFormatting xmlns:xm="http://schemas.microsoft.com/office/excel/2006/main">
          <x14:cfRule type="dataBar" id="{67AA302D-3934-48E3-9ACD-0071AF8CAC17}">
            <x14:dataBar minLength="0" maxLength="100" border="1" negativeBarBorderColorSameAsPositive="0">
              <x14:cfvo type="autoMin"/>
              <x14:cfvo type="autoMax"/>
              <x14:borderColor rgb="FF63C384"/>
              <x14:negativeFillColor rgb="FFFF0000"/>
              <x14:negativeBorderColor rgb="FFFF0000"/>
              <x14:axisColor rgb="FF000000"/>
            </x14:dataBar>
          </x14:cfRule>
          <xm:sqref>AG201</xm:sqref>
        </x14:conditionalFormatting>
        <x14:conditionalFormatting xmlns:xm="http://schemas.microsoft.com/office/excel/2006/main">
          <x14:cfRule type="dataBar" id="{9D203D97-0487-48CE-95ED-F7C242B0236C}">
            <x14:dataBar minLength="0" maxLength="100" border="1" negativeBarBorderColorSameAsPositive="0">
              <x14:cfvo type="autoMin"/>
              <x14:cfvo type="autoMax"/>
              <x14:borderColor rgb="FF63C384"/>
              <x14:negativeFillColor rgb="FFFF0000"/>
              <x14:negativeBorderColor rgb="FFFF0000"/>
              <x14:axisColor rgb="FF000000"/>
            </x14:dataBar>
          </x14:cfRule>
          <xm:sqref>AG201</xm:sqref>
        </x14:conditionalFormatting>
        <x14:conditionalFormatting xmlns:xm="http://schemas.microsoft.com/office/excel/2006/main">
          <x14:cfRule type="dataBar" id="{647BB784-4DE6-45EA-A987-2960FA402721}">
            <x14:dataBar minLength="0" maxLength="100" border="1" negativeBarBorderColorSameAsPositive="0">
              <x14:cfvo type="autoMin"/>
              <x14:cfvo type="autoMax"/>
              <x14:borderColor rgb="FF63C384"/>
              <x14:negativeFillColor rgb="FFFF0000"/>
              <x14:negativeBorderColor rgb="FFFF0000"/>
              <x14:axisColor rgb="FF000000"/>
            </x14:dataBar>
          </x14:cfRule>
          <xm:sqref>AG202</xm:sqref>
        </x14:conditionalFormatting>
        <x14:conditionalFormatting xmlns:xm="http://schemas.microsoft.com/office/excel/2006/main">
          <x14:cfRule type="dataBar" id="{15E7D9B6-D922-47DE-8787-F10B4B4F5CD9}">
            <x14:dataBar minLength="0" maxLength="100" border="1" negativeBarBorderColorSameAsPositive="0">
              <x14:cfvo type="autoMin"/>
              <x14:cfvo type="autoMax"/>
              <x14:borderColor rgb="FF63C384"/>
              <x14:negativeFillColor rgb="FFFF0000"/>
              <x14:negativeBorderColor rgb="FFFF0000"/>
              <x14:axisColor rgb="FF000000"/>
            </x14:dataBar>
          </x14:cfRule>
          <xm:sqref>AG202</xm:sqref>
        </x14:conditionalFormatting>
        <x14:conditionalFormatting xmlns:xm="http://schemas.microsoft.com/office/excel/2006/main">
          <x14:cfRule type="dataBar" id="{C6606326-0FCC-4712-B121-8EA0AD28C0EC}">
            <x14:dataBar minLength="0" maxLength="100" border="1" negativeBarBorderColorSameAsPositive="0">
              <x14:cfvo type="autoMin"/>
              <x14:cfvo type="autoMax"/>
              <x14:borderColor rgb="FF63C384"/>
              <x14:negativeFillColor rgb="FFFF0000"/>
              <x14:negativeBorderColor rgb="FFFF0000"/>
              <x14:axisColor rgb="FF000000"/>
            </x14:dataBar>
          </x14:cfRule>
          <xm:sqref>AG203</xm:sqref>
        </x14:conditionalFormatting>
        <x14:conditionalFormatting xmlns:xm="http://schemas.microsoft.com/office/excel/2006/main">
          <x14:cfRule type="dataBar" id="{536156D7-C8A7-4B2F-B0F0-F9B3AB25963C}">
            <x14:dataBar minLength="0" maxLength="100" border="1" negativeBarBorderColorSameAsPositive="0">
              <x14:cfvo type="autoMin"/>
              <x14:cfvo type="autoMax"/>
              <x14:borderColor rgb="FF63C384"/>
              <x14:negativeFillColor rgb="FFFF0000"/>
              <x14:negativeBorderColor rgb="FFFF0000"/>
              <x14:axisColor rgb="FF000000"/>
            </x14:dataBar>
          </x14:cfRule>
          <xm:sqref>AG203</xm:sqref>
        </x14:conditionalFormatting>
        <x14:conditionalFormatting xmlns:xm="http://schemas.microsoft.com/office/excel/2006/main">
          <x14:cfRule type="dataBar" id="{3A3BE7C7-301E-4BA0-930A-51235F62F7CD}">
            <x14:dataBar minLength="0" maxLength="100" border="1" negativeBarBorderColorSameAsPositive="0">
              <x14:cfvo type="autoMin"/>
              <x14:cfvo type="autoMax"/>
              <x14:borderColor rgb="FF63C384"/>
              <x14:negativeFillColor rgb="FFFF0000"/>
              <x14:negativeBorderColor rgb="FFFF0000"/>
              <x14:axisColor rgb="FF000000"/>
            </x14:dataBar>
          </x14:cfRule>
          <xm:sqref>AG204:AG208</xm:sqref>
        </x14:conditionalFormatting>
        <x14:conditionalFormatting xmlns:xm="http://schemas.microsoft.com/office/excel/2006/main">
          <x14:cfRule type="dataBar" id="{65462F7D-8D18-4543-AF04-F6FC2D9D436D}">
            <x14:dataBar minLength="0" maxLength="100" border="1" negativeBarBorderColorSameAsPositive="0">
              <x14:cfvo type="autoMin"/>
              <x14:cfvo type="autoMax"/>
              <x14:borderColor rgb="FF63C384"/>
              <x14:negativeFillColor rgb="FFFF0000"/>
              <x14:negativeBorderColor rgb="FFFF0000"/>
              <x14:axisColor rgb="FF000000"/>
            </x14:dataBar>
          </x14:cfRule>
          <xm:sqref>AG204:AG208</xm:sqref>
        </x14:conditionalFormatting>
        <x14:conditionalFormatting xmlns:xm="http://schemas.microsoft.com/office/excel/2006/main">
          <x14:cfRule type="dataBar" id="{50CCB624-EE08-4B0F-A9FC-739DD96F1B92}">
            <x14:dataBar minLength="0" maxLength="100" border="1" negativeBarBorderColorSameAsPositive="0">
              <x14:cfvo type="autoMin"/>
              <x14:cfvo type="autoMax"/>
              <x14:borderColor rgb="FF63C384"/>
              <x14:negativeFillColor rgb="FFFF0000"/>
              <x14:negativeBorderColor rgb="FFFF0000"/>
              <x14:axisColor rgb="FF000000"/>
            </x14:dataBar>
          </x14:cfRule>
          <xm:sqref>AG209</xm:sqref>
        </x14:conditionalFormatting>
        <x14:conditionalFormatting xmlns:xm="http://schemas.microsoft.com/office/excel/2006/main">
          <x14:cfRule type="dataBar" id="{CAFBE4B1-DC7D-4650-A2B5-C91772CF8041}">
            <x14:dataBar minLength="0" maxLength="100" border="1" negativeBarBorderColorSameAsPositive="0">
              <x14:cfvo type="autoMin"/>
              <x14:cfvo type="autoMax"/>
              <x14:borderColor rgb="FF63C384"/>
              <x14:negativeFillColor rgb="FFFF0000"/>
              <x14:negativeBorderColor rgb="FFFF0000"/>
              <x14:axisColor rgb="FF000000"/>
            </x14:dataBar>
          </x14:cfRule>
          <xm:sqref>AG209</xm:sqref>
        </x14:conditionalFormatting>
        <x14:conditionalFormatting xmlns:xm="http://schemas.microsoft.com/office/excel/2006/main">
          <x14:cfRule type="dataBar" id="{1DAC8927-6F41-437A-82FF-5325578413CE}">
            <x14:dataBar minLength="0" maxLength="100" border="1" negativeBarBorderColorSameAsPositive="0">
              <x14:cfvo type="autoMin"/>
              <x14:cfvo type="autoMax"/>
              <x14:borderColor rgb="FF63C384"/>
              <x14:negativeFillColor rgb="FFFF0000"/>
              <x14:negativeBorderColor rgb="FFFF0000"/>
              <x14:axisColor rgb="FF000000"/>
            </x14:dataBar>
          </x14:cfRule>
          <xm:sqref>AG209</xm:sqref>
        </x14:conditionalFormatting>
        <x14:conditionalFormatting xmlns:xm="http://schemas.microsoft.com/office/excel/2006/main">
          <x14:cfRule type="dataBar" id="{54CB36FE-54C2-4035-9BB9-D836E0448B4C}">
            <x14:dataBar minLength="0" maxLength="100" border="1" negativeBarBorderColorSameAsPositive="0">
              <x14:cfvo type="autoMin"/>
              <x14:cfvo type="autoMax"/>
              <x14:borderColor rgb="FF63C384"/>
              <x14:negativeFillColor rgb="FFFF0000"/>
              <x14:negativeBorderColor rgb="FFFF0000"/>
              <x14:axisColor rgb="FF000000"/>
            </x14:dataBar>
          </x14:cfRule>
          <xm:sqref>AG209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64A38-7F83-4332-8272-568C25D3A1D8}">
  <sheetPr codeName="Tabelle24"/>
  <dimension ref="A1:XEK221"/>
  <sheetViews>
    <sheetView zoomScaleNormal="100" workbookViewId="0"/>
  </sheetViews>
  <sheetFormatPr baseColWidth="10" defaultColWidth="11.42578125" defaultRowHeight="15" x14ac:dyDescent="0.25"/>
  <cols>
    <col min="2" max="2" width="11.42578125" style="1"/>
    <col min="3" max="3" width="35.7109375" customWidth="1"/>
    <col min="6" max="6" width="11.42578125" style="48"/>
    <col min="14" max="14" width="13.85546875" customWidth="1"/>
  </cols>
  <sheetData>
    <row r="1" spans="1:16365" x14ac:dyDescent="0.25">
      <c r="A1" s="63" t="s">
        <v>845</v>
      </c>
      <c r="B1" s="96" t="s">
        <v>846</v>
      </c>
      <c r="C1" s="63" t="s">
        <v>847</v>
      </c>
      <c r="D1" s="63" t="s">
        <v>706</v>
      </c>
      <c r="E1" s="63" t="s">
        <v>682</v>
      </c>
      <c r="F1" s="95" t="s">
        <v>848</v>
      </c>
      <c r="G1" s="63" t="s">
        <v>844</v>
      </c>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87"/>
      <c r="BLW1" s="87"/>
      <c r="BLX1" s="87"/>
      <c r="BLY1" s="87"/>
      <c r="BLZ1" s="87"/>
      <c r="BMA1" s="87"/>
      <c r="BMB1" s="87"/>
      <c r="BMC1" s="87"/>
      <c r="BMD1" s="87"/>
      <c r="BME1" s="87"/>
      <c r="BMF1" s="87"/>
      <c r="BMG1" s="87"/>
      <c r="BMH1" s="87"/>
      <c r="BMI1" s="87"/>
      <c r="BMJ1" s="87"/>
      <c r="BMK1" s="87"/>
      <c r="BML1" s="87"/>
      <c r="BMM1" s="87"/>
      <c r="BMN1" s="87"/>
      <c r="BMO1" s="87"/>
      <c r="BMP1" s="87"/>
      <c r="BMQ1" s="87"/>
      <c r="BMR1" s="87"/>
      <c r="BMS1" s="87"/>
      <c r="BMT1" s="87"/>
      <c r="BMU1" s="87"/>
      <c r="BMV1" s="87"/>
      <c r="BMW1" s="87"/>
      <c r="BMX1" s="87"/>
      <c r="BMY1" s="87"/>
      <c r="BMZ1" s="87"/>
      <c r="BNA1" s="87"/>
      <c r="BNB1" s="87"/>
      <c r="BNC1" s="87"/>
      <c r="BND1" s="87"/>
      <c r="BNE1" s="87"/>
      <c r="BNF1" s="87"/>
      <c r="BNG1" s="87"/>
      <c r="BNH1" s="87"/>
      <c r="BNI1" s="87"/>
      <c r="BNJ1" s="87"/>
      <c r="BNK1" s="87"/>
      <c r="BNL1" s="87"/>
      <c r="BNM1" s="87"/>
      <c r="BNN1" s="87"/>
      <c r="BNO1" s="87"/>
      <c r="BNP1" s="87"/>
      <c r="BNQ1" s="87"/>
      <c r="BNR1" s="87"/>
      <c r="BNS1" s="87"/>
      <c r="BNT1" s="87"/>
      <c r="BNU1" s="87"/>
      <c r="BNV1" s="87"/>
      <c r="BNW1" s="87"/>
      <c r="BNX1" s="87"/>
      <c r="BNY1" s="87"/>
      <c r="BNZ1" s="87"/>
      <c r="BOA1" s="87"/>
      <c r="BOB1" s="87"/>
      <c r="BOC1" s="87"/>
      <c r="BOD1" s="87"/>
      <c r="BOE1" s="87"/>
      <c r="BOF1" s="87"/>
      <c r="BOG1" s="87"/>
      <c r="BOH1" s="87"/>
      <c r="BOI1" s="87"/>
      <c r="BOJ1" s="87"/>
      <c r="BOK1" s="87"/>
      <c r="BOL1" s="87"/>
      <c r="BOM1" s="87"/>
      <c r="BON1" s="87"/>
      <c r="BOO1" s="87"/>
      <c r="BOP1" s="87"/>
      <c r="BOQ1" s="87"/>
      <c r="BOR1" s="87"/>
      <c r="BOS1" s="87"/>
      <c r="BOT1" s="87"/>
      <c r="BOU1" s="87"/>
      <c r="BOV1" s="87"/>
      <c r="BOW1" s="87"/>
      <c r="BOX1" s="87"/>
      <c r="BOY1" s="87"/>
      <c r="BOZ1" s="87"/>
      <c r="BPA1" s="87"/>
      <c r="BPB1" s="87"/>
      <c r="BPC1" s="87"/>
      <c r="BPD1" s="87"/>
      <c r="BPE1" s="87"/>
      <c r="BPF1" s="87"/>
      <c r="BPG1" s="87"/>
      <c r="BPH1" s="87"/>
      <c r="BPI1" s="87"/>
      <c r="BPJ1" s="87"/>
      <c r="BPK1" s="87"/>
      <c r="BPL1" s="87"/>
      <c r="BPM1" s="87"/>
      <c r="BPN1" s="87"/>
      <c r="BPO1" s="87"/>
      <c r="BPP1" s="87"/>
      <c r="BPQ1" s="87"/>
      <c r="BPR1" s="87"/>
      <c r="BPS1" s="87"/>
      <c r="BPT1" s="87"/>
      <c r="BPU1" s="87"/>
      <c r="BPV1" s="87"/>
      <c r="BPW1" s="87"/>
      <c r="BPX1" s="87"/>
      <c r="BPY1" s="87"/>
      <c r="BPZ1" s="87"/>
      <c r="BQA1" s="87"/>
      <c r="BQB1" s="87"/>
      <c r="BQC1" s="87"/>
      <c r="BQD1" s="87"/>
      <c r="BQE1" s="87"/>
      <c r="BQF1" s="87"/>
      <c r="BQG1" s="87"/>
      <c r="BQH1" s="87"/>
      <c r="BQI1" s="87"/>
      <c r="BQJ1" s="87"/>
      <c r="BQK1" s="87"/>
      <c r="BQL1" s="87"/>
      <c r="BQM1" s="87"/>
      <c r="BQN1" s="87"/>
      <c r="BQO1" s="87"/>
      <c r="BQP1" s="87"/>
      <c r="BQQ1" s="87"/>
      <c r="BQR1" s="87"/>
      <c r="BQS1" s="87"/>
      <c r="BQT1" s="87"/>
      <c r="BQU1" s="87"/>
      <c r="BQV1" s="87"/>
      <c r="BQW1" s="87"/>
      <c r="BQX1" s="87"/>
      <c r="BQY1" s="87"/>
      <c r="BQZ1" s="87"/>
      <c r="BRA1" s="87"/>
      <c r="BRB1" s="87"/>
      <c r="BRC1" s="87"/>
      <c r="BRD1" s="87"/>
      <c r="BRE1" s="87"/>
      <c r="BRF1" s="87"/>
      <c r="BRG1" s="87"/>
      <c r="BRH1" s="87"/>
      <c r="BRI1" s="87"/>
      <c r="BRJ1" s="87"/>
      <c r="BRK1" s="87"/>
      <c r="BRL1" s="87"/>
      <c r="BRM1" s="87"/>
      <c r="BRN1" s="87"/>
      <c r="BRO1" s="87"/>
      <c r="BRP1" s="87"/>
      <c r="BRQ1" s="87"/>
      <c r="BRR1" s="87"/>
      <c r="BRS1" s="87"/>
      <c r="BRT1" s="87"/>
      <c r="BRU1" s="87"/>
      <c r="BRV1" s="87"/>
      <c r="BRW1" s="87"/>
      <c r="BRX1" s="87"/>
      <c r="BRY1" s="87"/>
      <c r="BRZ1" s="87"/>
      <c r="BSA1" s="87"/>
      <c r="BSB1" s="87"/>
      <c r="BSC1" s="87"/>
      <c r="BSD1" s="87"/>
      <c r="BSE1" s="87"/>
      <c r="BSF1" s="87"/>
      <c r="BSG1" s="87"/>
      <c r="BSH1" s="87"/>
      <c r="BSI1" s="87"/>
      <c r="BSJ1" s="87"/>
      <c r="BSK1" s="87"/>
      <c r="BSL1" s="87"/>
      <c r="BSM1" s="87"/>
      <c r="BSN1" s="87"/>
      <c r="BSO1" s="87"/>
      <c r="BSP1" s="87"/>
      <c r="BSQ1" s="87"/>
      <c r="BSR1" s="87"/>
      <c r="BSS1" s="87"/>
      <c r="BST1" s="87"/>
      <c r="BSU1" s="87"/>
      <c r="BSV1" s="87"/>
      <c r="BSW1" s="87"/>
      <c r="BSX1" s="87"/>
      <c r="BSY1" s="87"/>
      <c r="BSZ1" s="87"/>
      <c r="BTA1" s="87"/>
      <c r="BTB1" s="87"/>
      <c r="BTC1" s="87"/>
      <c r="BTD1" s="87"/>
      <c r="BTE1" s="87"/>
      <c r="BTF1" s="87"/>
      <c r="BTG1" s="87"/>
      <c r="BTH1" s="87"/>
      <c r="BTI1" s="87"/>
      <c r="BTJ1" s="87"/>
      <c r="BTK1" s="87"/>
      <c r="BTL1" s="87"/>
      <c r="BTM1" s="87"/>
      <c r="BTN1" s="87"/>
      <c r="BTO1" s="87"/>
      <c r="BTP1" s="87"/>
      <c r="BTQ1" s="87"/>
      <c r="BTR1" s="87"/>
      <c r="BTS1" s="87"/>
      <c r="BTT1" s="87"/>
      <c r="BTU1" s="87"/>
      <c r="BTV1" s="87"/>
      <c r="BTW1" s="87"/>
      <c r="BTX1" s="87"/>
      <c r="BTY1" s="87"/>
      <c r="BTZ1" s="87"/>
      <c r="BUA1" s="87"/>
      <c r="BUB1" s="87"/>
      <c r="BUC1" s="87"/>
      <c r="BUD1" s="87"/>
      <c r="BUE1" s="87"/>
      <c r="BUF1" s="87"/>
      <c r="BUG1" s="87"/>
      <c r="BUH1" s="87"/>
      <c r="BUI1" s="87"/>
      <c r="BUJ1" s="87"/>
      <c r="BUK1" s="87"/>
      <c r="BUL1" s="87"/>
      <c r="BUM1" s="87"/>
      <c r="BUN1" s="87"/>
      <c r="BUO1" s="87"/>
      <c r="BUP1" s="87"/>
      <c r="BUQ1" s="87"/>
      <c r="BUR1" s="87"/>
      <c r="BUS1" s="87"/>
      <c r="BUT1" s="87"/>
      <c r="BUU1" s="87"/>
      <c r="BUV1" s="87"/>
      <c r="BUW1" s="87"/>
      <c r="BUX1" s="87"/>
      <c r="BUY1" s="87"/>
      <c r="BUZ1" s="87"/>
      <c r="BVA1" s="87"/>
      <c r="BVB1" s="87"/>
      <c r="BVC1" s="87"/>
      <c r="BVD1" s="87"/>
      <c r="BVE1" s="87"/>
      <c r="BVF1" s="87"/>
      <c r="BVG1" s="87"/>
      <c r="BVH1" s="87"/>
      <c r="BVI1" s="87"/>
      <c r="BVJ1" s="87"/>
      <c r="BVK1" s="87"/>
      <c r="BVL1" s="87"/>
      <c r="BVM1" s="87"/>
      <c r="BVN1" s="87"/>
      <c r="BVO1" s="87"/>
      <c r="BVP1" s="87"/>
      <c r="BVQ1" s="87"/>
      <c r="BVR1" s="87"/>
      <c r="BVS1" s="87"/>
      <c r="BVT1" s="87"/>
      <c r="BVU1" s="87"/>
      <c r="BVV1" s="87"/>
      <c r="BVW1" s="87"/>
      <c r="BVX1" s="87"/>
      <c r="BVY1" s="87"/>
      <c r="BVZ1" s="87"/>
      <c r="BWA1" s="87"/>
      <c r="BWB1" s="87"/>
      <c r="BWC1" s="87"/>
      <c r="BWD1" s="87"/>
      <c r="BWE1" s="87"/>
      <c r="BWF1" s="87"/>
      <c r="BWG1" s="87"/>
      <c r="BWH1" s="87"/>
      <c r="BWI1" s="87"/>
      <c r="BWJ1" s="87"/>
      <c r="BWK1" s="87"/>
      <c r="BWL1" s="87"/>
      <c r="BWM1" s="87"/>
      <c r="BWN1" s="87"/>
      <c r="BWO1" s="87"/>
      <c r="BWP1" s="87"/>
      <c r="BWQ1" s="87"/>
      <c r="BWR1" s="87"/>
      <c r="BWS1" s="87"/>
      <c r="BWT1" s="87"/>
      <c r="BWU1" s="87"/>
      <c r="BWV1" s="87"/>
      <c r="BWW1" s="87"/>
      <c r="BWX1" s="87"/>
      <c r="BWY1" s="87"/>
      <c r="BWZ1" s="87"/>
      <c r="BXA1" s="87"/>
      <c r="BXB1" s="87"/>
      <c r="BXC1" s="87"/>
      <c r="BXD1" s="87"/>
      <c r="BXE1" s="87"/>
      <c r="BXF1" s="87"/>
      <c r="BXG1" s="87"/>
      <c r="BXH1" s="87"/>
      <c r="BXI1" s="87"/>
      <c r="BXJ1" s="87"/>
      <c r="BXK1" s="87"/>
      <c r="BXL1" s="87"/>
      <c r="BXM1" s="87"/>
      <c r="BXN1" s="87"/>
      <c r="BXO1" s="87"/>
      <c r="BXP1" s="87"/>
      <c r="BXQ1" s="87"/>
      <c r="BXR1" s="87"/>
      <c r="BXS1" s="87"/>
      <c r="BXT1" s="87"/>
      <c r="BXU1" s="87"/>
      <c r="BXV1" s="87"/>
      <c r="BXW1" s="87"/>
      <c r="BXX1" s="87"/>
      <c r="BXY1" s="87"/>
      <c r="BXZ1" s="87"/>
      <c r="BYA1" s="87"/>
      <c r="BYB1" s="87"/>
      <c r="BYC1" s="87"/>
      <c r="BYD1" s="87"/>
      <c r="BYE1" s="87"/>
      <c r="BYF1" s="87"/>
      <c r="BYG1" s="87"/>
      <c r="BYH1" s="87"/>
      <c r="BYI1" s="87"/>
      <c r="BYJ1" s="87"/>
      <c r="BYK1" s="87"/>
      <c r="BYL1" s="87"/>
      <c r="BYM1" s="87"/>
      <c r="BYN1" s="87"/>
      <c r="BYO1" s="87"/>
      <c r="BYP1" s="87"/>
      <c r="BYQ1" s="87"/>
      <c r="BYR1" s="87"/>
      <c r="BYS1" s="87"/>
      <c r="BYT1" s="87"/>
      <c r="BYU1" s="87"/>
      <c r="BYV1" s="87"/>
      <c r="BYW1" s="87"/>
      <c r="BYX1" s="87"/>
      <c r="BYY1" s="87"/>
      <c r="BYZ1" s="87"/>
      <c r="BZA1" s="87"/>
      <c r="BZB1" s="87"/>
      <c r="BZC1" s="87"/>
      <c r="BZD1" s="87"/>
      <c r="BZE1" s="87"/>
      <c r="BZF1" s="87"/>
      <c r="BZG1" s="87"/>
      <c r="BZH1" s="87"/>
      <c r="BZI1" s="87"/>
      <c r="BZJ1" s="87"/>
      <c r="BZK1" s="87"/>
      <c r="BZL1" s="87"/>
      <c r="BZM1" s="87"/>
      <c r="BZN1" s="87"/>
      <c r="BZO1" s="87"/>
      <c r="BZP1" s="87"/>
      <c r="BZQ1" s="87"/>
      <c r="BZR1" s="87"/>
      <c r="BZS1" s="87"/>
      <c r="BZT1" s="87"/>
      <c r="BZU1" s="87"/>
      <c r="BZV1" s="87"/>
      <c r="BZW1" s="87"/>
      <c r="BZX1" s="87"/>
      <c r="BZY1" s="87"/>
      <c r="BZZ1" s="87"/>
      <c r="CAA1" s="87"/>
      <c r="CAB1" s="87"/>
      <c r="CAC1" s="87"/>
      <c r="CAD1" s="87"/>
      <c r="CAE1" s="87"/>
      <c r="CAF1" s="87"/>
      <c r="CAG1" s="87"/>
      <c r="CAH1" s="87"/>
      <c r="CAI1" s="87"/>
      <c r="CAJ1" s="87"/>
      <c r="CAK1" s="87"/>
      <c r="CAL1" s="87"/>
      <c r="CAM1" s="87"/>
      <c r="CAN1" s="87"/>
      <c r="CAO1" s="87"/>
      <c r="CAP1" s="87"/>
      <c r="CAQ1" s="87"/>
      <c r="CAR1" s="87"/>
      <c r="CAS1" s="87"/>
      <c r="CAT1" s="87"/>
      <c r="CAU1" s="87"/>
      <c r="CAV1" s="87"/>
      <c r="CAW1" s="87"/>
      <c r="CAX1" s="87"/>
      <c r="CAY1" s="87"/>
      <c r="CAZ1" s="87"/>
      <c r="CBA1" s="87"/>
      <c r="CBB1" s="87"/>
      <c r="CBC1" s="87"/>
      <c r="CBD1" s="87"/>
      <c r="CBE1" s="87"/>
      <c r="CBF1" s="87"/>
      <c r="CBG1" s="87"/>
      <c r="CBH1" s="87"/>
      <c r="CBI1" s="87"/>
      <c r="CBJ1" s="87"/>
      <c r="CBK1" s="87"/>
      <c r="CBL1" s="87"/>
      <c r="CBM1" s="87"/>
      <c r="CBN1" s="87"/>
      <c r="CBO1" s="87"/>
      <c r="CBP1" s="87"/>
      <c r="CBQ1" s="87"/>
      <c r="CBR1" s="87"/>
      <c r="CBS1" s="87"/>
      <c r="CBT1" s="87"/>
      <c r="CBU1" s="87"/>
      <c r="CBV1" s="87"/>
      <c r="CBW1" s="87"/>
      <c r="CBX1" s="87"/>
      <c r="CBY1" s="87"/>
      <c r="CBZ1" s="87"/>
      <c r="CCA1" s="87"/>
      <c r="CCB1" s="87"/>
      <c r="CCC1" s="87"/>
      <c r="CCD1" s="87"/>
      <c r="CCE1" s="87"/>
      <c r="CCF1" s="87"/>
      <c r="CCG1" s="87"/>
      <c r="CCH1" s="87"/>
      <c r="CCI1" s="87"/>
      <c r="CCJ1" s="87"/>
      <c r="CCK1" s="87"/>
      <c r="CCL1" s="87"/>
      <c r="CCM1" s="87"/>
      <c r="CCN1" s="87"/>
      <c r="CCO1" s="87"/>
      <c r="CCP1" s="87"/>
      <c r="CCQ1" s="87"/>
      <c r="CCR1" s="87"/>
      <c r="CCS1" s="87"/>
      <c r="CCT1" s="87"/>
      <c r="CCU1" s="87"/>
      <c r="CCV1" s="87"/>
      <c r="CCW1" s="87"/>
      <c r="CCX1" s="87"/>
      <c r="CCY1" s="87"/>
      <c r="CCZ1" s="87"/>
      <c r="CDA1" s="87"/>
      <c r="CDB1" s="87"/>
      <c r="CDC1" s="87"/>
      <c r="CDD1" s="87"/>
      <c r="CDE1" s="87"/>
      <c r="CDF1" s="87"/>
      <c r="CDG1" s="87"/>
      <c r="CDH1" s="87"/>
      <c r="CDI1" s="87"/>
      <c r="CDJ1" s="87"/>
      <c r="CDK1" s="87"/>
      <c r="CDL1" s="87"/>
      <c r="CDM1" s="87"/>
      <c r="CDN1" s="87"/>
      <c r="CDO1" s="87"/>
      <c r="CDP1" s="87"/>
      <c r="CDQ1" s="87"/>
      <c r="CDR1" s="87"/>
      <c r="CDS1" s="87"/>
      <c r="CDT1" s="87"/>
      <c r="CDU1" s="87"/>
      <c r="CDV1" s="87"/>
      <c r="CDW1" s="87"/>
      <c r="CDX1" s="87"/>
      <c r="CDY1" s="87"/>
      <c r="CDZ1" s="87"/>
      <c r="CEA1" s="87"/>
      <c r="CEB1" s="87"/>
      <c r="CEC1" s="87"/>
      <c r="CED1" s="87"/>
      <c r="CEE1" s="87"/>
      <c r="CEF1" s="87"/>
      <c r="CEG1" s="87"/>
      <c r="CEH1" s="87"/>
      <c r="CEI1" s="87"/>
      <c r="CEJ1" s="87"/>
      <c r="CEK1" s="87"/>
      <c r="CEL1" s="87"/>
      <c r="CEM1" s="87"/>
      <c r="CEN1" s="87"/>
      <c r="CEO1" s="87"/>
      <c r="CEP1" s="87"/>
      <c r="CEQ1" s="87"/>
      <c r="CER1" s="87"/>
      <c r="CES1" s="87"/>
      <c r="CET1" s="87"/>
      <c r="CEU1" s="87"/>
      <c r="CEV1" s="87"/>
      <c r="CEW1" s="87"/>
      <c r="CEX1" s="87"/>
      <c r="CEY1" s="87"/>
      <c r="CEZ1" s="87"/>
      <c r="CFA1" s="87"/>
      <c r="CFB1" s="87"/>
      <c r="CFC1" s="87"/>
      <c r="CFD1" s="87"/>
      <c r="CFE1" s="87"/>
      <c r="CFF1" s="87"/>
      <c r="CFG1" s="87"/>
      <c r="CFH1" s="87"/>
      <c r="CFI1" s="87"/>
      <c r="CFJ1" s="87"/>
      <c r="CFK1" s="87"/>
      <c r="CFL1" s="87"/>
      <c r="CFM1" s="87"/>
      <c r="CFN1" s="87"/>
      <c r="CFO1" s="87"/>
      <c r="CFP1" s="87"/>
      <c r="CFQ1" s="87"/>
      <c r="CFR1" s="87"/>
      <c r="CFS1" s="87"/>
      <c r="CFT1" s="87"/>
      <c r="CFU1" s="87"/>
      <c r="CFV1" s="87"/>
      <c r="CFW1" s="87"/>
      <c r="CFX1" s="87"/>
      <c r="CFY1" s="87"/>
      <c r="CFZ1" s="87"/>
      <c r="CGA1" s="87"/>
      <c r="CGB1" s="87"/>
      <c r="CGC1" s="87"/>
      <c r="CGD1" s="87"/>
      <c r="CGE1" s="87"/>
      <c r="CGF1" s="87"/>
      <c r="CGG1" s="87"/>
      <c r="CGH1" s="87"/>
      <c r="CGI1" s="87"/>
      <c r="CGJ1" s="87"/>
      <c r="CGK1" s="87"/>
      <c r="CGL1" s="87"/>
      <c r="CGM1" s="87"/>
      <c r="CGN1" s="87"/>
      <c r="CGO1" s="87"/>
      <c r="CGP1" s="87"/>
      <c r="CGQ1" s="87"/>
      <c r="CGR1" s="87"/>
      <c r="CGS1" s="87"/>
      <c r="CGT1" s="87"/>
      <c r="CGU1" s="87"/>
      <c r="CGV1" s="87"/>
      <c r="CGW1" s="87"/>
      <c r="CGX1" s="87"/>
      <c r="CGY1" s="87"/>
      <c r="CGZ1" s="87"/>
      <c r="CHA1" s="87"/>
      <c r="CHB1" s="87"/>
      <c r="CHC1" s="87"/>
      <c r="CHD1" s="87"/>
      <c r="CHE1" s="87"/>
      <c r="CHF1" s="87"/>
      <c r="CHG1" s="87"/>
      <c r="CHH1" s="87"/>
      <c r="CHI1" s="87"/>
      <c r="CHJ1" s="87"/>
      <c r="CHK1" s="87"/>
      <c r="CHL1" s="87"/>
      <c r="CHM1" s="87"/>
      <c r="CHN1" s="87"/>
      <c r="CHO1" s="87"/>
      <c r="CHP1" s="87"/>
      <c r="CHQ1" s="87"/>
      <c r="CHR1" s="87"/>
      <c r="CHS1" s="87"/>
      <c r="CHT1" s="87"/>
      <c r="CHU1" s="87"/>
      <c r="CHV1" s="87"/>
      <c r="CHW1" s="87"/>
      <c r="CHX1" s="87"/>
      <c r="CHY1" s="87"/>
      <c r="CHZ1" s="87"/>
      <c r="CIA1" s="87"/>
      <c r="CIB1" s="87"/>
      <c r="CIC1" s="87"/>
      <c r="CID1" s="87"/>
      <c r="CIE1" s="87"/>
      <c r="CIF1" s="87"/>
      <c r="CIG1" s="87"/>
      <c r="CIH1" s="87"/>
      <c r="CII1" s="87"/>
      <c r="CIJ1" s="87"/>
      <c r="CIK1" s="87"/>
      <c r="CIL1" s="87"/>
      <c r="CIM1" s="87"/>
      <c r="CIN1" s="87"/>
      <c r="CIO1" s="87"/>
      <c r="CIP1" s="87"/>
      <c r="CIQ1" s="87"/>
      <c r="CIR1" s="87"/>
      <c r="CIS1" s="87"/>
      <c r="CIT1" s="87"/>
      <c r="CIU1" s="87"/>
      <c r="CIV1" s="87"/>
      <c r="CIW1" s="87"/>
      <c r="CIX1" s="87"/>
      <c r="CIY1" s="87"/>
      <c r="CIZ1" s="87"/>
      <c r="CJA1" s="87"/>
      <c r="CJB1" s="87"/>
      <c r="CJC1" s="87"/>
      <c r="CJD1" s="87"/>
      <c r="CJE1" s="87"/>
      <c r="CJF1" s="87"/>
      <c r="CJG1" s="87"/>
      <c r="CJH1" s="87"/>
      <c r="CJI1" s="87"/>
      <c r="CJJ1" s="87"/>
      <c r="CJK1" s="87"/>
      <c r="CJL1" s="87"/>
      <c r="CJM1" s="87"/>
      <c r="CJN1" s="87"/>
      <c r="CJO1" s="87"/>
      <c r="CJP1" s="87"/>
      <c r="CJQ1" s="87"/>
      <c r="CJR1" s="87"/>
      <c r="CJS1" s="87"/>
      <c r="CJT1" s="87"/>
      <c r="CJU1" s="87"/>
      <c r="CJV1" s="87"/>
      <c r="CJW1" s="87"/>
      <c r="CJX1" s="87"/>
      <c r="CJY1" s="87"/>
      <c r="CJZ1" s="87"/>
      <c r="CKA1" s="87"/>
      <c r="CKB1" s="87"/>
      <c r="CKC1" s="87"/>
      <c r="CKD1" s="87"/>
      <c r="CKE1" s="87"/>
      <c r="CKF1" s="87"/>
      <c r="CKG1" s="87"/>
      <c r="CKH1" s="87"/>
      <c r="CKI1" s="87"/>
      <c r="CKJ1" s="87"/>
      <c r="CKK1" s="87"/>
      <c r="CKL1" s="87"/>
      <c r="CKM1" s="87"/>
      <c r="CKN1" s="87"/>
      <c r="CKO1" s="87"/>
      <c r="CKP1" s="87"/>
      <c r="CKQ1" s="87"/>
      <c r="CKR1" s="87"/>
      <c r="CKS1" s="87"/>
      <c r="CKT1" s="87"/>
      <c r="CKU1" s="87"/>
      <c r="CKV1" s="87"/>
      <c r="CKW1" s="87"/>
      <c r="CKX1" s="87"/>
      <c r="CKY1" s="87"/>
      <c r="CKZ1" s="87"/>
      <c r="CLA1" s="87"/>
      <c r="CLB1" s="87"/>
      <c r="CLC1" s="87"/>
      <c r="CLD1" s="87"/>
      <c r="CLE1" s="87"/>
      <c r="CLF1" s="87"/>
      <c r="CLG1" s="87"/>
      <c r="CLH1" s="87"/>
      <c r="CLI1" s="87"/>
      <c r="CLJ1" s="87"/>
      <c r="CLK1" s="87"/>
      <c r="CLL1" s="87"/>
      <c r="CLM1" s="87"/>
      <c r="CLN1" s="87"/>
      <c r="CLO1" s="87"/>
      <c r="CLP1" s="87"/>
      <c r="CLQ1" s="87"/>
      <c r="CLR1" s="87"/>
      <c r="CLS1" s="87"/>
      <c r="CLT1" s="87"/>
      <c r="CLU1" s="87"/>
      <c r="CLV1" s="87"/>
      <c r="CLW1" s="87"/>
      <c r="CLX1" s="87"/>
      <c r="CLY1" s="87"/>
      <c r="CLZ1" s="87"/>
      <c r="CMA1" s="87"/>
      <c r="CMB1" s="87"/>
      <c r="CMC1" s="87"/>
      <c r="CMD1" s="87"/>
      <c r="CME1" s="87"/>
      <c r="CMF1" s="87"/>
      <c r="CMG1" s="87"/>
      <c r="CMH1" s="87"/>
      <c r="CMI1" s="87"/>
      <c r="CMJ1" s="87"/>
      <c r="CMK1" s="87"/>
      <c r="CML1" s="87"/>
      <c r="CMM1" s="87"/>
      <c r="CMN1" s="87"/>
      <c r="CMO1" s="87"/>
      <c r="CMP1" s="87"/>
      <c r="CMQ1" s="87"/>
      <c r="CMR1" s="87"/>
      <c r="CMS1" s="87"/>
      <c r="CMT1" s="87"/>
      <c r="CMU1" s="87"/>
      <c r="CMV1" s="87"/>
      <c r="CMW1" s="87"/>
      <c r="CMX1" s="87"/>
      <c r="CMY1" s="87"/>
      <c r="CMZ1" s="87"/>
      <c r="CNA1" s="87"/>
      <c r="CNB1" s="87"/>
      <c r="CNC1" s="87"/>
      <c r="CND1" s="87"/>
      <c r="CNE1" s="87"/>
      <c r="CNF1" s="87"/>
      <c r="CNG1" s="87"/>
      <c r="CNH1" s="87"/>
      <c r="CNI1" s="87"/>
      <c r="CNJ1" s="87"/>
      <c r="CNK1" s="87"/>
      <c r="CNL1" s="87"/>
      <c r="CNM1" s="87"/>
      <c r="CNN1" s="87"/>
      <c r="CNO1" s="87"/>
      <c r="CNP1" s="87"/>
      <c r="CNQ1" s="87"/>
      <c r="CNR1" s="87"/>
      <c r="CNS1" s="87"/>
      <c r="CNT1" s="87"/>
      <c r="CNU1" s="87"/>
      <c r="CNV1" s="87"/>
      <c r="CNW1" s="87"/>
      <c r="CNX1" s="87"/>
      <c r="CNY1" s="87"/>
      <c r="CNZ1" s="87"/>
      <c r="COA1" s="87"/>
      <c r="COB1" s="87"/>
      <c r="COC1" s="87"/>
      <c r="COD1" s="87"/>
      <c r="COE1" s="87"/>
      <c r="COF1" s="87"/>
      <c r="COG1" s="87"/>
      <c r="COH1" s="87"/>
      <c r="COI1" s="87"/>
      <c r="COJ1" s="87"/>
      <c r="COK1" s="87"/>
      <c r="COL1" s="87"/>
      <c r="COM1" s="87"/>
      <c r="CON1" s="87"/>
      <c r="COO1" s="87"/>
      <c r="COP1" s="87"/>
      <c r="COQ1" s="87"/>
      <c r="COR1" s="87"/>
      <c r="COS1" s="87"/>
      <c r="COT1" s="87"/>
      <c r="COU1" s="87"/>
      <c r="COV1" s="87"/>
      <c r="COW1" s="87"/>
      <c r="COX1" s="87"/>
      <c r="COY1" s="87"/>
      <c r="COZ1" s="87"/>
      <c r="CPA1" s="87"/>
      <c r="CPB1" s="87"/>
      <c r="CPC1" s="87"/>
      <c r="CPD1" s="87"/>
      <c r="CPE1" s="87"/>
      <c r="CPF1" s="87"/>
      <c r="CPG1" s="87"/>
      <c r="CPH1" s="87"/>
      <c r="CPI1" s="87"/>
      <c r="CPJ1" s="87"/>
      <c r="CPK1" s="87"/>
      <c r="CPL1" s="87"/>
      <c r="CPM1" s="87"/>
      <c r="CPN1" s="87"/>
      <c r="CPO1" s="87"/>
      <c r="CPP1" s="87"/>
      <c r="CPQ1" s="87"/>
      <c r="CPR1" s="87"/>
      <c r="CPS1" s="87"/>
      <c r="CPT1" s="87"/>
      <c r="CPU1" s="87"/>
      <c r="CPV1" s="87"/>
      <c r="CPW1" s="87"/>
      <c r="CPX1" s="87"/>
      <c r="CPY1" s="87"/>
      <c r="CPZ1" s="87"/>
      <c r="CQA1" s="87"/>
      <c r="CQB1" s="87"/>
      <c r="CQC1" s="87"/>
      <c r="CQD1" s="87"/>
      <c r="CQE1" s="87"/>
      <c r="CQF1" s="87"/>
      <c r="CQG1" s="87"/>
      <c r="CQH1" s="87"/>
      <c r="CQI1" s="87"/>
      <c r="CQJ1" s="87"/>
      <c r="CQK1" s="87"/>
      <c r="CQL1" s="87"/>
      <c r="CQM1" s="87"/>
      <c r="CQN1" s="87"/>
      <c r="CQO1" s="87"/>
      <c r="CQP1" s="87"/>
      <c r="CQQ1" s="87"/>
      <c r="CQR1" s="87"/>
      <c r="CQS1" s="87"/>
      <c r="CQT1" s="87"/>
      <c r="CQU1" s="87"/>
      <c r="CQV1" s="87"/>
      <c r="CQW1" s="87"/>
      <c r="CQX1" s="87"/>
      <c r="CQY1" s="87"/>
      <c r="CQZ1" s="87"/>
      <c r="CRA1" s="87"/>
      <c r="CRB1" s="87"/>
      <c r="CRC1" s="87"/>
      <c r="CRD1" s="87"/>
      <c r="CRE1" s="87"/>
      <c r="CRF1" s="87"/>
      <c r="CRG1" s="87"/>
      <c r="CRH1" s="87"/>
      <c r="CRI1" s="87"/>
      <c r="CRJ1" s="87"/>
      <c r="CRK1" s="87"/>
      <c r="CRL1" s="87"/>
      <c r="CRM1" s="87"/>
      <c r="CRN1" s="87"/>
      <c r="CRO1" s="87"/>
      <c r="CRP1" s="87"/>
      <c r="CRQ1" s="87"/>
      <c r="CRR1" s="87"/>
      <c r="CRS1" s="87"/>
      <c r="CRT1" s="87"/>
      <c r="CRU1" s="87"/>
      <c r="CRV1" s="87"/>
      <c r="CRW1" s="87"/>
      <c r="CRX1" s="87"/>
      <c r="CRY1" s="87"/>
      <c r="CRZ1" s="87"/>
      <c r="CSA1" s="87"/>
      <c r="CSB1" s="87"/>
      <c r="CSC1" s="87"/>
      <c r="CSD1" s="87"/>
      <c r="CSE1" s="87"/>
      <c r="CSF1" s="87"/>
      <c r="CSG1" s="87"/>
      <c r="CSH1" s="87"/>
      <c r="CSI1" s="87"/>
      <c r="CSJ1" s="87"/>
      <c r="CSK1" s="87"/>
      <c r="CSL1" s="87"/>
      <c r="CSM1" s="87"/>
      <c r="CSN1" s="87"/>
      <c r="CSO1" s="87"/>
      <c r="CSP1" s="87"/>
      <c r="CSQ1" s="87"/>
      <c r="CSR1" s="87"/>
      <c r="CSS1" s="87"/>
      <c r="CST1" s="87"/>
      <c r="CSU1" s="87"/>
      <c r="CSV1" s="87"/>
      <c r="CSW1" s="87"/>
      <c r="CSX1" s="87"/>
      <c r="CSY1" s="87"/>
      <c r="CSZ1" s="87"/>
      <c r="CTA1" s="87"/>
      <c r="CTB1" s="87"/>
      <c r="CTC1" s="87"/>
      <c r="CTD1" s="87"/>
      <c r="CTE1" s="87"/>
      <c r="CTF1" s="87"/>
      <c r="CTG1" s="87"/>
      <c r="CTH1" s="87"/>
      <c r="CTI1" s="87"/>
      <c r="CTJ1" s="87"/>
      <c r="CTK1" s="87"/>
      <c r="CTL1" s="87"/>
      <c r="CTM1" s="87"/>
      <c r="CTN1" s="87"/>
      <c r="CTO1" s="87"/>
      <c r="CTP1" s="87"/>
      <c r="CTQ1" s="87"/>
      <c r="CTR1" s="87"/>
      <c r="CTS1" s="87"/>
      <c r="CTT1" s="87"/>
      <c r="CTU1" s="87"/>
      <c r="CTV1" s="87"/>
      <c r="CTW1" s="87"/>
      <c r="CTX1" s="87"/>
      <c r="CTY1" s="87"/>
      <c r="CTZ1" s="87"/>
      <c r="CUA1" s="87"/>
      <c r="CUB1" s="87"/>
      <c r="CUC1" s="87"/>
      <c r="CUD1" s="87"/>
      <c r="CUE1" s="87"/>
      <c r="CUF1" s="87"/>
      <c r="CUG1" s="87"/>
      <c r="CUH1" s="87"/>
      <c r="CUI1" s="87"/>
      <c r="CUJ1" s="87"/>
      <c r="CUK1" s="87"/>
      <c r="CUL1" s="87"/>
      <c r="CUM1" s="87"/>
      <c r="CUN1" s="87"/>
      <c r="CUO1" s="87"/>
      <c r="CUP1" s="87"/>
      <c r="CUQ1" s="87"/>
      <c r="CUR1" s="87"/>
      <c r="CUS1" s="87"/>
      <c r="CUT1" s="87"/>
      <c r="CUU1" s="87"/>
      <c r="CUV1" s="87"/>
      <c r="CUW1" s="87"/>
      <c r="CUX1" s="87"/>
      <c r="CUY1" s="87"/>
      <c r="CUZ1" s="87"/>
      <c r="CVA1" s="87"/>
      <c r="CVB1" s="87"/>
      <c r="CVC1" s="87"/>
      <c r="CVD1" s="87"/>
      <c r="CVE1" s="87"/>
      <c r="CVF1" s="87"/>
      <c r="CVG1" s="87"/>
      <c r="CVH1" s="87"/>
      <c r="CVI1" s="87"/>
      <c r="CVJ1" s="87"/>
      <c r="CVK1" s="87"/>
      <c r="CVL1" s="87"/>
      <c r="CVM1" s="87"/>
      <c r="CVN1" s="87"/>
      <c r="CVO1" s="87"/>
      <c r="CVP1" s="87"/>
      <c r="CVQ1" s="87"/>
      <c r="CVR1" s="87"/>
      <c r="CVS1" s="87"/>
      <c r="CVT1" s="87"/>
      <c r="CVU1" s="87"/>
      <c r="CVV1" s="87"/>
      <c r="CVW1" s="87"/>
      <c r="CVX1" s="87"/>
      <c r="CVY1" s="87"/>
      <c r="CVZ1" s="87"/>
      <c r="CWA1" s="87"/>
      <c r="CWB1" s="87"/>
      <c r="CWC1" s="87"/>
      <c r="CWD1" s="87"/>
      <c r="CWE1" s="87"/>
      <c r="CWF1" s="87"/>
      <c r="CWG1" s="87"/>
      <c r="CWH1" s="87"/>
      <c r="CWI1" s="87"/>
      <c r="CWJ1" s="87"/>
      <c r="CWK1" s="87"/>
      <c r="CWL1" s="87"/>
      <c r="CWM1" s="87"/>
      <c r="CWN1" s="87"/>
      <c r="CWO1" s="87"/>
      <c r="CWP1" s="87"/>
      <c r="CWQ1" s="87"/>
      <c r="CWR1" s="87"/>
      <c r="CWS1" s="87"/>
      <c r="CWT1" s="87"/>
      <c r="CWU1" s="87"/>
      <c r="CWV1" s="87"/>
      <c r="CWW1" s="87"/>
      <c r="CWX1" s="87"/>
      <c r="CWY1" s="87"/>
      <c r="CWZ1" s="87"/>
      <c r="CXA1" s="87"/>
      <c r="CXB1" s="87"/>
      <c r="CXC1" s="87"/>
      <c r="CXD1" s="87"/>
      <c r="CXE1" s="87"/>
      <c r="CXF1" s="87"/>
      <c r="CXG1" s="87"/>
      <c r="CXH1" s="87"/>
      <c r="CXI1" s="87"/>
      <c r="CXJ1" s="87"/>
      <c r="CXK1" s="87"/>
      <c r="CXL1" s="87"/>
      <c r="CXM1" s="87"/>
      <c r="CXN1" s="87"/>
      <c r="CXO1" s="87"/>
      <c r="CXP1" s="87"/>
      <c r="CXQ1" s="87"/>
      <c r="CXR1" s="87"/>
      <c r="CXS1" s="87"/>
      <c r="CXT1" s="87"/>
      <c r="CXU1" s="87"/>
      <c r="CXV1" s="87"/>
      <c r="CXW1" s="87"/>
      <c r="CXX1" s="87"/>
      <c r="CXY1" s="87"/>
      <c r="CXZ1" s="87"/>
      <c r="CYA1" s="87"/>
      <c r="CYB1" s="87"/>
      <c r="CYC1" s="87"/>
      <c r="CYD1" s="87"/>
      <c r="CYE1" s="87"/>
      <c r="CYF1" s="87"/>
      <c r="CYG1" s="87"/>
      <c r="CYH1" s="87"/>
      <c r="CYI1" s="87"/>
      <c r="CYJ1" s="87"/>
      <c r="CYK1" s="87"/>
      <c r="CYL1" s="87"/>
      <c r="CYM1" s="87"/>
      <c r="CYN1" s="87"/>
      <c r="CYO1" s="87"/>
      <c r="CYP1" s="87"/>
      <c r="CYQ1" s="87"/>
      <c r="CYR1" s="87"/>
      <c r="CYS1" s="87"/>
      <c r="CYT1" s="87"/>
      <c r="CYU1" s="87"/>
      <c r="CYV1" s="87"/>
      <c r="CYW1" s="87"/>
      <c r="CYX1" s="87"/>
      <c r="CYY1" s="87"/>
      <c r="CYZ1" s="87"/>
      <c r="CZA1" s="87"/>
      <c r="CZB1" s="87"/>
      <c r="CZC1" s="87"/>
      <c r="CZD1" s="87"/>
      <c r="CZE1" s="87"/>
      <c r="CZF1" s="87"/>
      <c r="CZG1" s="87"/>
      <c r="CZH1" s="87"/>
      <c r="CZI1" s="87"/>
      <c r="CZJ1" s="87"/>
      <c r="CZK1" s="87"/>
      <c r="CZL1" s="87"/>
      <c r="CZM1" s="87"/>
      <c r="CZN1" s="87"/>
      <c r="CZO1" s="87"/>
      <c r="CZP1" s="87"/>
      <c r="CZQ1" s="87"/>
      <c r="CZR1" s="87"/>
      <c r="CZS1" s="87"/>
      <c r="CZT1" s="87"/>
      <c r="CZU1" s="87"/>
      <c r="CZV1" s="87"/>
      <c r="CZW1" s="87"/>
      <c r="CZX1" s="87"/>
      <c r="CZY1" s="87"/>
      <c r="CZZ1" s="87"/>
      <c r="DAA1" s="87"/>
      <c r="DAB1" s="87"/>
      <c r="DAC1" s="87"/>
      <c r="DAD1" s="87"/>
      <c r="DAE1" s="87"/>
      <c r="DAF1" s="87"/>
      <c r="DAG1" s="87"/>
      <c r="DAH1" s="87"/>
      <c r="DAI1" s="87"/>
      <c r="DAJ1" s="87"/>
      <c r="DAK1" s="87"/>
      <c r="DAL1" s="87"/>
      <c r="DAM1" s="87"/>
      <c r="DAN1" s="87"/>
      <c r="DAO1" s="87"/>
      <c r="DAP1" s="87"/>
      <c r="DAQ1" s="87"/>
      <c r="DAR1" s="87"/>
      <c r="DAS1" s="87"/>
      <c r="DAT1" s="87"/>
      <c r="DAU1" s="87"/>
      <c r="DAV1" s="87"/>
      <c r="DAW1" s="87"/>
      <c r="DAX1" s="87"/>
      <c r="DAY1" s="87"/>
      <c r="DAZ1" s="87"/>
      <c r="DBA1" s="87"/>
      <c r="DBB1" s="87"/>
      <c r="DBC1" s="87"/>
      <c r="DBD1" s="87"/>
      <c r="DBE1" s="87"/>
      <c r="DBF1" s="87"/>
      <c r="DBG1" s="87"/>
      <c r="DBH1" s="87"/>
      <c r="DBI1" s="87"/>
      <c r="DBJ1" s="87"/>
      <c r="DBK1" s="87"/>
      <c r="DBL1" s="87"/>
      <c r="DBM1" s="87"/>
      <c r="DBN1" s="87"/>
      <c r="DBO1" s="87"/>
      <c r="DBP1" s="87"/>
      <c r="DBQ1" s="87"/>
      <c r="DBR1" s="87"/>
      <c r="DBS1" s="87"/>
      <c r="DBT1" s="87"/>
      <c r="DBU1" s="87"/>
      <c r="DBV1" s="87"/>
      <c r="DBW1" s="87"/>
      <c r="DBX1" s="87"/>
      <c r="DBY1" s="87"/>
      <c r="DBZ1" s="87"/>
      <c r="DCA1" s="87"/>
      <c r="DCB1" s="87"/>
      <c r="DCC1" s="87"/>
      <c r="DCD1" s="87"/>
      <c r="DCE1" s="87"/>
      <c r="DCF1" s="87"/>
      <c r="DCG1" s="87"/>
      <c r="DCH1" s="87"/>
      <c r="DCI1" s="87"/>
      <c r="DCJ1" s="87"/>
      <c r="DCK1" s="87"/>
      <c r="DCL1" s="87"/>
      <c r="DCM1" s="87"/>
      <c r="DCN1" s="87"/>
      <c r="DCO1" s="87"/>
      <c r="DCP1" s="87"/>
      <c r="DCQ1" s="87"/>
      <c r="DCR1" s="87"/>
      <c r="DCS1" s="87"/>
      <c r="DCT1" s="87"/>
      <c r="DCU1" s="87"/>
      <c r="DCV1" s="87"/>
      <c r="DCW1" s="87"/>
      <c r="DCX1" s="87"/>
      <c r="DCY1" s="87"/>
      <c r="DCZ1" s="87"/>
      <c r="DDA1" s="87"/>
      <c r="DDB1" s="87"/>
      <c r="DDC1" s="87"/>
      <c r="DDD1" s="87"/>
      <c r="DDE1" s="87"/>
      <c r="DDF1" s="87"/>
      <c r="DDG1" s="87"/>
      <c r="DDH1" s="87"/>
      <c r="DDI1" s="87"/>
      <c r="DDJ1" s="87"/>
      <c r="DDK1" s="87"/>
      <c r="DDL1" s="87"/>
      <c r="DDM1" s="87"/>
      <c r="DDN1" s="87"/>
      <c r="DDO1" s="87"/>
      <c r="DDP1" s="87"/>
      <c r="DDQ1" s="87"/>
      <c r="DDR1" s="87"/>
      <c r="DDS1" s="87"/>
      <c r="DDT1" s="87"/>
      <c r="DDU1" s="87"/>
      <c r="DDV1" s="87"/>
      <c r="DDW1" s="87"/>
      <c r="DDX1" s="87"/>
      <c r="DDY1" s="87"/>
      <c r="DDZ1" s="87"/>
      <c r="DEA1" s="87"/>
      <c r="DEB1" s="87"/>
      <c r="DEC1" s="87"/>
      <c r="DED1" s="87"/>
      <c r="DEE1" s="87"/>
      <c r="DEF1" s="87"/>
      <c r="DEG1" s="87"/>
      <c r="DEH1" s="87"/>
      <c r="DEI1" s="87"/>
      <c r="DEJ1" s="87"/>
      <c r="DEK1" s="87"/>
      <c r="DEL1" s="87"/>
      <c r="DEM1" s="87"/>
      <c r="DEN1" s="87"/>
      <c r="DEO1" s="87"/>
      <c r="DEP1" s="87"/>
      <c r="DEQ1" s="87"/>
      <c r="DER1" s="87"/>
      <c r="DES1" s="87"/>
      <c r="DET1" s="87"/>
      <c r="DEU1" s="87"/>
      <c r="DEV1" s="87"/>
      <c r="DEW1" s="87"/>
      <c r="DEX1" s="87"/>
      <c r="DEY1" s="87"/>
      <c r="DEZ1" s="87"/>
      <c r="DFA1" s="87"/>
      <c r="DFB1" s="87"/>
      <c r="DFC1" s="87"/>
      <c r="DFD1" s="87"/>
      <c r="DFE1" s="87"/>
      <c r="DFF1" s="87"/>
      <c r="DFG1" s="87"/>
      <c r="DFH1" s="87"/>
      <c r="DFI1" s="87"/>
      <c r="DFJ1" s="87"/>
      <c r="DFK1" s="87"/>
      <c r="DFL1" s="87"/>
      <c r="DFM1" s="87"/>
      <c r="DFN1" s="87"/>
      <c r="DFO1" s="87"/>
      <c r="DFP1" s="87"/>
      <c r="DFQ1" s="87"/>
      <c r="DFR1" s="87"/>
      <c r="DFS1" s="87"/>
      <c r="DFT1" s="87"/>
      <c r="DFU1" s="87"/>
      <c r="DFV1" s="87"/>
      <c r="DFW1" s="87"/>
      <c r="DFX1" s="87"/>
      <c r="DFY1" s="87"/>
      <c r="DFZ1" s="87"/>
      <c r="DGA1" s="87"/>
      <c r="DGB1" s="87"/>
      <c r="DGC1" s="87"/>
      <c r="DGD1" s="87"/>
      <c r="DGE1" s="87"/>
      <c r="DGF1" s="87"/>
      <c r="DGG1" s="87"/>
      <c r="DGH1" s="87"/>
      <c r="DGI1" s="87"/>
      <c r="DGJ1" s="87"/>
      <c r="DGK1" s="87"/>
      <c r="DGL1" s="87"/>
      <c r="DGM1" s="87"/>
      <c r="DGN1" s="87"/>
      <c r="DGO1" s="87"/>
      <c r="DGP1" s="87"/>
      <c r="DGQ1" s="87"/>
      <c r="DGR1" s="87"/>
      <c r="DGS1" s="87"/>
      <c r="DGT1" s="87"/>
      <c r="DGU1" s="87"/>
      <c r="DGV1" s="87"/>
      <c r="DGW1" s="87"/>
      <c r="DGX1" s="87"/>
      <c r="DGY1" s="87"/>
      <c r="DGZ1" s="87"/>
      <c r="DHA1" s="87"/>
      <c r="DHB1" s="87"/>
      <c r="DHC1" s="87"/>
      <c r="DHD1" s="87"/>
      <c r="DHE1" s="87"/>
      <c r="DHF1" s="87"/>
      <c r="DHG1" s="87"/>
      <c r="DHH1" s="87"/>
      <c r="DHI1" s="87"/>
      <c r="DHJ1" s="87"/>
      <c r="DHK1" s="87"/>
      <c r="DHL1" s="87"/>
      <c r="DHM1" s="87"/>
      <c r="DHN1" s="87"/>
      <c r="DHO1" s="87"/>
      <c r="DHP1" s="87"/>
      <c r="DHQ1" s="87"/>
      <c r="DHR1" s="87"/>
      <c r="DHS1" s="87"/>
      <c r="DHT1" s="87"/>
      <c r="DHU1" s="87"/>
      <c r="DHV1" s="87"/>
      <c r="DHW1" s="87"/>
      <c r="DHX1" s="87"/>
      <c r="DHY1" s="87"/>
      <c r="DHZ1" s="87"/>
      <c r="DIA1" s="87"/>
      <c r="DIB1" s="87"/>
      <c r="DIC1" s="87"/>
      <c r="DID1" s="87"/>
      <c r="DIE1" s="87"/>
      <c r="DIF1" s="87"/>
      <c r="DIG1" s="87"/>
      <c r="DIH1" s="87"/>
      <c r="DII1" s="87"/>
      <c r="DIJ1" s="87"/>
      <c r="DIK1" s="87"/>
      <c r="DIL1" s="87"/>
      <c r="DIM1" s="87"/>
      <c r="DIN1" s="87"/>
      <c r="DIO1" s="87"/>
      <c r="DIP1" s="87"/>
      <c r="DIQ1" s="87"/>
      <c r="DIR1" s="87"/>
      <c r="DIS1" s="87"/>
      <c r="DIT1" s="87"/>
      <c r="DIU1" s="87"/>
      <c r="DIV1" s="87"/>
      <c r="DIW1" s="87"/>
      <c r="DIX1" s="87"/>
      <c r="DIY1" s="87"/>
      <c r="DIZ1" s="87"/>
      <c r="DJA1" s="87"/>
      <c r="DJB1" s="87"/>
      <c r="DJC1" s="87"/>
      <c r="DJD1" s="87"/>
      <c r="DJE1" s="87"/>
      <c r="DJF1" s="87"/>
      <c r="DJG1" s="87"/>
      <c r="DJH1" s="87"/>
      <c r="DJI1" s="87"/>
      <c r="DJJ1" s="87"/>
      <c r="DJK1" s="87"/>
      <c r="DJL1" s="87"/>
      <c r="DJM1" s="87"/>
      <c r="DJN1" s="87"/>
      <c r="DJO1" s="87"/>
      <c r="DJP1" s="87"/>
      <c r="DJQ1" s="87"/>
      <c r="DJR1" s="87"/>
      <c r="DJS1" s="87"/>
      <c r="DJT1" s="87"/>
      <c r="DJU1" s="87"/>
      <c r="DJV1" s="87"/>
      <c r="DJW1" s="87"/>
      <c r="DJX1" s="87"/>
      <c r="DJY1" s="87"/>
      <c r="DJZ1" s="87"/>
      <c r="DKA1" s="87"/>
      <c r="DKB1" s="87"/>
      <c r="DKC1" s="87"/>
      <c r="DKD1" s="87"/>
      <c r="DKE1" s="87"/>
      <c r="DKF1" s="87"/>
      <c r="DKG1" s="87"/>
      <c r="DKH1" s="87"/>
      <c r="DKI1" s="87"/>
      <c r="DKJ1" s="87"/>
      <c r="DKK1" s="87"/>
      <c r="DKL1" s="87"/>
      <c r="DKM1" s="87"/>
      <c r="DKN1" s="87"/>
      <c r="DKO1" s="87"/>
      <c r="DKP1" s="87"/>
      <c r="DKQ1" s="87"/>
      <c r="DKR1" s="87"/>
      <c r="DKS1" s="87"/>
      <c r="DKT1" s="87"/>
      <c r="DKU1" s="87"/>
      <c r="DKV1" s="87"/>
      <c r="DKW1" s="87"/>
      <c r="DKX1" s="87"/>
      <c r="DKY1" s="87"/>
      <c r="DKZ1" s="87"/>
      <c r="DLA1" s="87"/>
      <c r="DLB1" s="87"/>
      <c r="DLC1" s="87"/>
      <c r="DLD1" s="87"/>
      <c r="DLE1" s="87"/>
      <c r="DLF1" s="87"/>
      <c r="DLG1" s="87"/>
      <c r="DLH1" s="87"/>
      <c r="DLI1" s="87"/>
      <c r="DLJ1" s="87"/>
      <c r="DLK1" s="87"/>
      <c r="DLL1" s="87"/>
      <c r="DLM1" s="87"/>
      <c r="DLN1" s="87"/>
      <c r="DLO1" s="87"/>
      <c r="DLP1" s="87"/>
      <c r="DLQ1" s="87"/>
      <c r="DLR1" s="87"/>
      <c r="DLS1" s="87"/>
      <c r="DLT1" s="87"/>
      <c r="DLU1" s="87"/>
      <c r="DLV1" s="87"/>
      <c r="DLW1" s="87"/>
      <c r="DLX1" s="87"/>
      <c r="DLY1" s="87"/>
      <c r="DLZ1" s="87"/>
      <c r="DMA1" s="87"/>
      <c r="DMB1" s="87"/>
      <c r="DMC1" s="87"/>
      <c r="DMD1" s="87"/>
      <c r="DME1" s="87"/>
      <c r="DMF1" s="87"/>
      <c r="DMG1" s="87"/>
      <c r="DMH1" s="87"/>
      <c r="DMI1" s="87"/>
      <c r="DMJ1" s="87"/>
      <c r="DMK1" s="87"/>
      <c r="DML1" s="87"/>
      <c r="DMM1" s="87"/>
      <c r="DMN1" s="87"/>
      <c r="DMO1" s="87"/>
      <c r="DMP1" s="87"/>
      <c r="DMQ1" s="87"/>
      <c r="DMR1" s="87"/>
      <c r="DMS1" s="87"/>
      <c r="DMT1" s="87"/>
      <c r="DMU1" s="87"/>
      <c r="DMV1" s="87"/>
      <c r="DMW1" s="87"/>
      <c r="DMX1" s="87"/>
      <c r="DMY1" s="87"/>
      <c r="DMZ1" s="87"/>
      <c r="DNA1" s="87"/>
      <c r="DNB1" s="87"/>
      <c r="DNC1" s="87"/>
      <c r="DND1" s="87"/>
      <c r="DNE1" s="87"/>
      <c r="DNF1" s="87"/>
      <c r="DNG1" s="87"/>
      <c r="DNH1" s="87"/>
      <c r="DNI1" s="87"/>
      <c r="DNJ1" s="87"/>
      <c r="DNK1" s="87"/>
      <c r="DNL1" s="87"/>
      <c r="DNM1" s="87"/>
      <c r="DNN1" s="87"/>
      <c r="DNO1" s="87"/>
      <c r="DNP1" s="87"/>
      <c r="DNQ1" s="87"/>
      <c r="DNR1" s="87"/>
      <c r="DNS1" s="87"/>
      <c r="DNT1" s="87"/>
      <c r="DNU1" s="87"/>
      <c r="DNV1" s="87"/>
      <c r="DNW1" s="87"/>
      <c r="DNX1" s="87"/>
      <c r="DNY1" s="87"/>
      <c r="DNZ1" s="87"/>
      <c r="DOA1" s="87"/>
      <c r="DOB1" s="87"/>
      <c r="DOC1" s="87"/>
      <c r="DOD1" s="87"/>
      <c r="DOE1" s="87"/>
      <c r="DOF1" s="87"/>
      <c r="DOG1" s="87"/>
      <c r="DOH1" s="87"/>
      <c r="DOI1" s="87"/>
      <c r="DOJ1" s="87"/>
      <c r="DOK1" s="87"/>
      <c r="DOL1" s="87"/>
      <c r="DOM1" s="87"/>
      <c r="DON1" s="87"/>
      <c r="DOO1" s="87"/>
      <c r="DOP1" s="87"/>
      <c r="DOQ1" s="87"/>
      <c r="DOR1" s="87"/>
      <c r="DOS1" s="87"/>
      <c r="DOT1" s="87"/>
      <c r="DOU1" s="87"/>
      <c r="DOV1" s="87"/>
      <c r="DOW1" s="87"/>
      <c r="DOX1" s="87"/>
      <c r="DOY1" s="87"/>
      <c r="DOZ1" s="87"/>
      <c r="DPA1" s="87"/>
      <c r="DPB1" s="87"/>
      <c r="DPC1" s="87"/>
      <c r="DPD1" s="87"/>
      <c r="DPE1" s="87"/>
      <c r="DPF1" s="87"/>
      <c r="DPG1" s="87"/>
      <c r="DPH1" s="87"/>
      <c r="DPI1" s="87"/>
      <c r="DPJ1" s="87"/>
      <c r="DPK1" s="87"/>
      <c r="DPL1" s="87"/>
      <c r="DPM1" s="87"/>
      <c r="DPN1" s="87"/>
      <c r="DPO1" s="87"/>
      <c r="DPP1" s="87"/>
      <c r="DPQ1" s="87"/>
      <c r="DPR1" s="87"/>
      <c r="DPS1" s="87"/>
      <c r="DPT1" s="87"/>
      <c r="DPU1" s="87"/>
      <c r="DPV1" s="87"/>
      <c r="DPW1" s="87"/>
      <c r="DPX1" s="87"/>
      <c r="DPY1" s="87"/>
      <c r="DPZ1" s="87"/>
      <c r="DQA1" s="87"/>
      <c r="DQB1" s="87"/>
      <c r="DQC1" s="87"/>
      <c r="DQD1" s="87"/>
      <c r="DQE1" s="87"/>
      <c r="DQF1" s="87"/>
      <c r="DQG1" s="87"/>
      <c r="DQH1" s="87"/>
      <c r="DQI1" s="87"/>
      <c r="DQJ1" s="87"/>
      <c r="DQK1" s="87"/>
      <c r="DQL1" s="87"/>
      <c r="DQM1" s="87"/>
      <c r="DQN1" s="87"/>
      <c r="DQO1" s="87"/>
      <c r="DQP1" s="87"/>
      <c r="DQQ1" s="87"/>
      <c r="DQR1" s="87"/>
      <c r="DQS1" s="87"/>
      <c r="DQT1" s="87"/>
      <c r="DQU1" s="87"/>
      <c r="DQV1" s="87"/>
      <c r="DQW1" s="87"/>
      <c r="DQX1" s="87"/>
      <c r="DQY1" s="87"/>
      <c r="DQZ1" s="87"/>
      <c r="DRA1" s="87"/>
      <c r="DRB1" s="87"/>
      <c r="DRC1" s="87"/>
      <c r="DRD1" s="87"/>
      <c r="DRE1" s="87"/>
      <c r="DRF1" s="87"/>
      <c r="DRG1" s="87"/>
      <c r="DRH1" s="87"/>
      <c r="DRI1" s="87"/>
      <c r="DRJ1" s="87"/>
      <c r="DRK1" s="87"/>
      <c r="DRL1" s="87"/>
      <c r="DRM1" s="87"/>
      <c r="DRN1" s="87"/>
      <c r="DRO1" s="87"/>
      <c r="DRP1" s="87"/>
      <c r="DRQ1" s="87"/>
      <c r="DRR1" s="87"/>
      <c r="DRS1" s="87"/>
      <c r="DRT1" s="87"/>
      <c r="DRU1" s="87"/>
      <c r="DRV1" s="87"/>
      <c r="DRW1" s="87"/>
      <c r="DRX1" s="87"/>
      <c r="DRY1" s="87"/>
      <c r="DRZ1" s="87"/>
      <c r="DSA1" s="87"/>
      <c r="DSB1" s="87"/>
      <c r="DSC1" s="87"/>
      <c r="DSD1" s="87"/>
      <c r="DSE1" s="87"/>
      <c r="DSF1" s="87"/>
      <c r="DSG1" s="87"/>
      <c r="DSH1" s="87"/>
      <c r="DSI1" s="87"/>
      <c r="DSJ1" s="87"/>
      <c r="DSK1" s="87"/>
      <c r="DSL1" s="87"/>
      <c r="DSM1" s="87"/>
      <c r="DSN1" s="87"/>
      <c r="DSO1" s="87"/>
      <c r="DSP1" s="87"/>
      <c r="DSQ1" s="87"/>
      <c r="DSR1" s="87"/>
      <c r="DSS1" s="87"/>
      <c r="DST1" s="87"/>
      <c r="DSU1" s="87"/>
      <c r="DSV1" s="87"/>
      <c r="DSW1" s="87"/>
      <c r="DSX1" s="87"/>
      <c r="DSY1" s="87"/>
      <c r="DSZ1" s="87"/>
      <c r="DTA1" s="87"/>
      <c r="DTB1" s="87"/>
      <c r="DTC1" s="87"/>
      <c r="DTD1" s="87"/>
      <c r="DTE1" s="87"/>
      <c r="DTF1" s="87"/>
      <c r="DTG1" s="87"/>
      <c r="DTH1" s="87"/>
      <c r="DTI1" s="87"/>
      <c r="DTJ1" s="87"/>
      <c r="DTK1" s="87"/>
      <c r="DTL1" s="87"/>
      <c r="DTM1" s="87"/>
      <c r="DTN1" s="87"/>
      <c r="DTO1" s="87"/>
      <c r="DTP1" s="87"/>
      <c r="DTQ1" s="87"/>
      <c r="DTR1" s="87"/>
      <c r="DTS1" s="87"/>
      <c r="DTT1" s="87"/>
      <c r="DTU1" s="87"/>
      <c r="DTV1" s="87"/>
      <c r="DTW1" s="87"/>
      <c r="DTX1" s="87"/>
      <c r="DTY1" s="87"/>
      <c r="DTZ1" s="87"/>
      <c r="DUA1" s="87"/>
      <c r="DUB1" s="87"/>
      <c r="DUC1" s="87"/>
      <c r="DUD1" s="87"/>
      <c r="DUE1" s="87"/>
      <c r="DUF1" s="87"/>
      <c r="DUG1" s="87"/>
      <c r="DUH1" s="87"/>
      <c r="DUI1" s="87"/>
      <c r="DUJ1" s="87"/>
      <c r="DUK1" s="87"/>
      <c r="DUL1" s="87"/>
      <c r="DUM1" s="87"/>
      <c r="DUN1" s="87"/>
      <c r="DUO1" s="87"/>
      <c r="DUP1" s="87"/>
      <c r="DUQ1" s="87"/>
      <c r="DUR1" s="87"/>
      <c r="DUS1" s="87"/>
      <c r="DUT1" s="87"/>
      <c r="DUU1" s="87"/>
      <c r="DUV1" s="87"/>
      <c r="DUW1" s="87"/>
      <c r="DUX1" s="87"/>
      <c r="DUY1" s="87"/>
      <c r="DUZ1" s="87"/>
      <c r="DVA1" s="87"/>
      <c r="DVB1" s="87"/>
      <c r="DVC1" s="87"/>
      <c r="DVD1" s="87"/>
      <c r="DVE1" s="87"/>
      <c r="DVF1" s="87"/>
      <c r="DVG1" s="87"/>
      <c r="DVH1" s="87"/>
      <c r="DVI1" s="87"/>
      <c r="DVJ1" s="87"/>
      <c r="DVK1" s="87"/>
      <c r="DVL1" s="87"/>
      <c r="DVM1" s="87"/>
      <c r="DVN1" s="87"/>
      <c r="DVO1" s="87"/>
      <c r="DVP1" s="87"/>
      <c r="DVQ1" s="87"/>
      <c r="DVR1" s="87"/>
      <c r="DVS1" s="87"/>
      <c r="DVT1" s="87"/>
      <c r="DVU1" s="87"/>
      <c r="DVV1" s="87"/>
      <c r="DVW1" s="87"/>
      <c r="DVX1" s="87"/>
      <c r="DVY1" s="87"/>
      <c r="DVZ1" s="87"/>
      <c r="DWA1" s="87"/>
      <c r="DWB1" s="87"/>
      <c r="DWC1" s="87"/>
      <c r="DWD1" s="87"/>
      <c r="DWE1" s="87"/>
      <c r="DWF1" s="87"/>
      <c r="DWG1" s="87"/>
      <c r="DWH1" s="87"/>
      <c r="DWI1" s="87"/>
      <c r="DWJ1" s="87"/>
      <c r="DWK1" s="87"/>
      <c r="DWL1" s="87"/>
      <c r="DWM1" s="87"/>
      <c r="DWN1" s="87"/>
      <c r="DWO1" s="87"/>
      <c r="DWP1" s="87"/>
      <c r="DWQ1" s="87"/>
      <c r="DWR1" s="87"/>
      <c r="DWS1" s="87"/>
      <c r="DWT1" s="87"/>
      <c r="DWU1" s="87"/>
      <c r="DWV1" s="87"/>
      <c r="DWW1" s="87"/>
      <c r="DWX1" s="87"/>
      <c r="DWY1" s="87"/>
      <c r="DWZ1" s="87"/>
      <c r="DXA1" s="87"/>
      <c r="DXB1" s="87"/>
      <c r="DXC1" s="87"/>
      <c r="DXD1" s="87"/>
      <c r="DXE1" s="87"/>
      <c r="DXF1" s="87"/>
      <c r="DXG1" s="87"/>
      <c r="DXH1" s="87"/>
      <c r="DXI1" s="87"/>
      <c r="DXJ1" s="87"/>
      <c r="DXK1" s="87"/>
      <c r="DXL1" s="87"/>
      <c r="DXM1" s="87"/>
      <c r="DXN1" s="87"/>
      <c r="DXO1" s="87"/>
      <c r="DXP1" s="87"/>
      <c r="DXQ1" s="87"/>
      <c r="DXR1" s="87"/>
      <c r="DXS1" s="87"/>
      <c r="DXT1" s="87"/>
      <c r="DXU1" s="87"/>
      <c r="DXV1" s="87"/>
      <c r="DXW1" s="87"/>
      <c r="DXX1" s="87"/>
      <c r="DXY1" s="87"/>
      <c r="DXZ1" s="87"/>
      <c r="DYA1" s="87"/>
      <c r="DYB1" s="87"/>
      <c r="DYC1" s="87"/>
      <c r="DYD1" s="87"/>
      <c r="DYE1" s="87"/>
      <c r="DYF1" s="87"/>
      <c r="DYG1" s="87"/>
      <c r="DYH1" s="87"/>
      <c r="DYI1" s="87"/>
      <c r="DYJ1" s="87"/>
      <c r="DYK1" s="87"/>
      <c r="DYL1" s="87"/>
      <c r="DYM1" s="87"/>
      <c r="DYN1" s="87"/>
      <c r="DYO1" s="87"/>
      <c r="DYP1" s="87"/>
      <c r="DYQ1" s="87"/>
      <c r="DYR1" s="87"/>
      <c r="DYS1" s="87"/>
      <c r="DYT1" s="87"/>
      <c r="DYU1" s="87"/>
      <c r="DYV1" s="87"/>
      <c r="DYW1" s="87"/>
      <c r="DYX1" s="87"/>
      <c r="DYY1" s="87"/>
      <c r="DYZ1" s="87"/>
      <c r="DZA1" s="87"/>
      <c r="DZB1" s="87"/>
      <c r="DZC1" s="87"/>
      <c r="DZD1" s="87"/>
      <c r="DZE1" s="87"/>
      <c r="DZF1" s="87"/>
      <c r="DZG1" s="87"/>
      <c r="DZH1" s="87"/>
      <c r="DZI1" s="87"/>
      <c r="DZJ1" s="87"/>
      <c r="DZK1" s="87"/>
      <c r="DZL1" s="87"/>
      <c r="DZM1" s="87"/>
      <c r="DZN1" s="87"/>
      <c r="DZO1" s="87"/>
      <c r="DZP1" s="87"/>
      <c r="DZQ1" s="87"/>
      <c r="DZR1" s="87"/>
      <c r="DZS1" s="87"/>
      <c r="DZT1" s="87"/>
      <c r="DZU1" s="87"/>
      <c r="DZV1" s="87"/>
      <c r="DZW1" s="87"/>
      <c r="DZX1" s="87"/>
      <c r="DZY1" s="87"/>
      <c r="DZZ1" s="87"/>
      <c r="EAA1" s="87"/>
      <c r="EAB1" s="87"/>
      <c r="EAC1" s="87"/>
      <c r="EAD1" s="87"/>
      <c r="EAE1" s="87"/>
      <c r="EAF1" s="87"/>
      <c r="EAG1" s="87"/>
      <c r="EAH1" s="87"/>
      <c r="EAI1" s="87"/>
      <c r="EAJ1" s="87"/>
      <c r="EAK1" s="87"/>
      <c r="EAL1" s="87"/>
      <c r="EAM1" s="87"/>
      <c r="EAN1" s="87"/>
      <c r="EAO1" s="87"/>
      <c r="EAP1" s="87"/>
      <c r="EAQ1" s="87"/>
      <c r="EAR1" s="87"/>
      <c r="EAS1" s="87"/>
      <c r="EAT1" s="87"/>
      <c r="EAU1" s="87"/>
      <c r="EAV1" s="87"/>
      <c r="EAW1" s="87"/>
      <c r="EAX1" s="87"/>
      <c r="EAY1" s="87"/>
      <c r="EAZ1" s="87"/>
      <c r="EBA1" s="87"/>
      <c r="EBB1" s="87"/>
      <c r="EBC1" s="87"/>
      <c r="EBD1" s="87"/>
      <c r="EBE1" s="87"/>
      <c r="EBF1" s="87"/>
      <c r="EBG1" s="87"/>
      <c r="EBH1" s="87"/>
      <c r="EBI1" s="87"/>
      <c r="EBJ1" s="87"/>
      <c r="EBK1" s="87"/>
      <c r="EBL1" s="87"/>
      <c r="EBM1" s="87"/>
      <c r="EBN1" s="87"/>
      <c r="EBO1" s="87"/>
      <c r="EBP1" s="87"/>
      <c r="EBQ1" s="87"/>
      <c r="EBR1" s="87"/>
      <c r="EBS1" s="87"/>
      <c r="EBT1" s="87"/>
      <c r="EBU1" s="87"/>
      <c r="EBV1" s="87"/>
      <c r="EBW1" s="87"/>
      <c r="EBX1" s="87"/>
      <c r="EBY1" s="87"/>
      <c r="EBZ1" s="87"/>
      <c r="ECA1" s="87"/>
      <c r="ECB1" s="87"/>
      <c r="ECC1" s="87"/>
      <c r="ECD1" s="87"/>
      <c r="ECE1" s="87"/>
      <c r="ECF1" s="87"/>
      <c r="ECG1" s="87"/>
      <c r="ECH1" s="87"/>
      <c r="ECI1" s="87"/>
      <c r="ECJ1" s="87"/>
      <c r="ECK1" s="87"/>
      <c r="ECL1" s="87"/>
      <c r="ECM1" s="87"/>
      <c r="ECN1" s="87"/>
      <c r="ECO1" s="87"/>
      <c r="ECP1" s="87"/>
      <c r="ECQ1" s="87"/>
      <c r="ECR1" s="87"/>
      <c r="ECS1" s="87"/>
      <c r="ECT1" s="87"/>
      <c r="ECU1" s="87"/>
      <c r="ECV1" s="87"/>
      <c r="ECW1" s="87"/>
      <c r="ECX1" s="87"/>
      <c r="ECY1" s="87"/>
      <c r="ECZ1" s="87"/>
      <c r="EDA1" s="87"/>
      <c r="EDB1" s="87"/>
      <c r="EDC1" s="87"/>
      <c r="EDD1" s="87"/>
      <c r="EDE1" s="87"/>
      <c r="EDF1" s="87"/>
      <c r="EDG1" s="87"/>
      <c r="EDH1" s="87"/>
      <c r="EDI1" s="87"/>
      <c r="EDJ1" s="87"/>
      <c r="EDK1" s="87"/>
      <c r="EDL1" s="87"/>
      <c r="EDM1" s="87"/>
      <c r="EDN1" s="87"/>
      <c r="EDO1" s="87"/>
      <c r="EDP1" s="87"/>
      <c r="EDQ1" s="87"/>
      <c r="EDR1" s="87"/>
      <c r="EDS1" s="87"/>
      <c r="EDT1" s="87"/>
      <c r="EDU1" s="87"/>
      <c r="EDV1" s="87"/>
      <c r="EDW1" s="87"/>
      <c r="EDX1" s="87"/>
      <c r="EDY1" s="87"/>
      <c r="EDZ1" s="87"/>
      <c r="EEA1" s="87"/>
      <c r="EEB1" s="87"/>
      <c r="EEC1" s="87"/>
      <c r="EED1" s="87"/>
      <c r="EEE1" s="87"/>
      <c r="EEF1" s="87"/>
      <c r="EEG1" s="87"/>
      <c r="EEH1" s="87"/>
      <c r="EEI1" s="87"/>
      <c r="EEJ1" s="87"/>
      <c r="EEK1" s="87"/>
      <c r="EEL1" s="87"/>
      <c r="EEM1" s="87"/>
      <c r="EEN1" s="87"/>
      <c r="EEO1" s="87"/>
      <c r="EEP1" s="87"/>
      <c r="EEQ1" s="87"/>
      <c r="EER1" s="87"/>
      <c r="EES1" s="87"/>
      <c r="EET1" s="87"/>
      <c r="EEU1" s="87"/>
      <c r="EEV1" s="87"/>
      <c r="EEW1" s="87"/>
      <c r="EEX1" s="87"/>
      <c r="EEY1" s="87"/>
      <c r="EEZ1" s="87"/>
      <c r="EFA1" s="87"/>
      <c r="EFB1" s="87"/>
      <c r="EFC1" s="87"/>
      <c r="EFD1" s="87"/>
      <c r="EFE1" s="87"/>
      <c r="EFF1" s="87"/>
      <c r="EFG1" s="87"/>
      <c r="EFH1" s="87"/>
      <c r="EFI1" s="87"/>
      <c r="EFJ1" s="87"/>
      <c r="EFK1" s="87"/>
      <c r="EFL1" s="87"/>
      <c r="EFM1" s="87"/>
      <c r="EFN1" s="87"/>
      <c r="EFO1" s="87"/>
      <c r="EFP1" s="87"/>
      <c r="EFQ1" s="87"/>
      <c r="EFR1" s="87"/>
      <c r="EFS1" s="87"/>
      <c r="EFT1" s="87"/>
      <c r="EFU1" s="87"/>
      <c r="EFV1" s="87"/>
      <c r="EFW1" s="87"/>
      <c r="EFX1" s="87"/>
      <c r="EFY1" s="87"/>
      <c r="EFZ1" s="87"/>
      <c r="EGA1" s="87"/>
      <c r="EGB1" s="87"/>
      <c r="EGC1" s="87"/>
      <c r="EGD1" s="87"/>
      <c r="EGE1" s="87"/>
      <c r="EGF1" s="87"/>
      <c r="EGG1" s="87"/>
      <c r="EGH1" s="87"/>
      <c r="EGI1" s="87"/>
      <c r="EGJ1" s="87"/>
      <c r="EGK1" s="87"/>
      <c r="EGL1" s="87"/>
      <c r="EGM1" s="87"/>
      <c r="EGN1" s="87"/>
      <c r="EGO1" s="87"/>
      <c r="EGP1" s="87"/>
      <c r="EGQ1" s="87"/>
      <c r="EGR1" s="87"/>
      <c r="EGS1" s="87"/>
      <c r="EGT1" s="87"/>
      <c r="EGU1" s="87"/>
      <c r="EGV1" s="87"/>
      <c r="EGW1" s="87"/>
      <c r="EGX1" s="87"/>
      <c r="EGY1" s="87"/>
      <c r="EGZ1" s="87"/>
      <c r="EHA1" s="87"/>
      <c r="EHB1" s="87"/>
      <c r="EHC1" s="87"/>
      <c r="EHD1" s="87"/>
      <c r="EHE1" s="87"/>
      <c r="EHF1" s="87"/>
      <c r="EHG1" s="87"/>
      <c r="EHH1" s="87"/>
      <c r="EHI1" s="87"/>
      <c r="EHJ1" s="87"/>
      <c r="EHK1" s="87"/>
      <c r="EHL1" s="87"/>
      <c r="EHM1" s="87"/>
      <c r="EHN1" s="87"/>
      <c r="EHO1" s="87"/>
      <c r="EHP1" s="87"/>
      <c r="EHQ1" s="87"/>
      <c r="EHR1" s="87"/>
      <c r="EHS1" s="87"/>
      <c r="EHT1" s="87"/>
      <c r="EHU1" s="87"/>
      <c r="EHV1" s="87"/>
      <c r="EHW1" s="87"/>
      <c r="EHX1" s="87"/>
      <c r="EHY1" s="87"/>
      <c r="EHZ1" s="87"/>
      <c r="EIA1" s="87"/>
      <c r="EIB1" s="87"/>
      <c r="EIC1" s="87"/>
      <c r="EID1" s="87"/>
      <c r="EIE1" s="87"/>
      <c r="EIF1" s="87"/>
      <c r="EIG1" s="87"/>
      <c r="EIH1" s="87"/>
      <c r="EII1" s="87"/>
      <c r="EIJ1" s="87"/>
      <c r="EIK1" s="87"/>
      <c r="EIL1" s="87"/>
      <c r="EIM1" s="87"/>
      <c r="EIN1" s="87"/>
      <c r="EIO1" s="87"/>
      <c r="EIP1" s="87"/>
      <c r="EIQ1" s="87"/>
      <c r="EIR1" s="87"/>
      <c r="EIS1" s="87"/>
      <c r="EIT1" s="87"/>
      <c r="EIU1" s="87"/>
      <c r="EIV1" s="87"/>
      <c r="EIW1" s="87"/>
      <c r="EIX1" s="87"/>
      <c r="EIY1" s="87"/>
      <c r="EIZ1" s="87"/>
      <c r="EJA1" s="87"/>
      <c r="EJB1" s="87"/>
      <c r="EJC1" s="87"/>
      <c r="EJD1" s="87"/>
      <c r="EJE1" s="87"/>
      <c r="EJF1" s="87"/>
      <c r="EJG1" s="87"/>
      <c r="EJH1" s="87"/>
      <c r="EJI1" s="87"/>
      <c r="EJJ1" s="87"/>
      <c r="EJK1" s="87"/>
      <c r="EJL1" s="87"/>
      <c r="EJM1" s="87"/>
      <c r="EJN1" s="87"/>
      <c r="EJO1" s="87"/>
      <c r="EJP1" s="87"/>
      <c r="EJQ1" s="87"/>
      <c r="EJR1" s="87"/>
      <c r="EJS1" s="87"/>
      <c r="EJT1" s="87"/>
      <c r="EJU1" s="87"/>
      <c r="EJV1" s="87"/>
      <c r="EJW1" s="87"/>
      <c r="EJX1" s="87"/>
      <c r="EJY1" s="87"/>
      <c r="EJZ1" s="87"/>
      <c r="EKA1" s="87"/>
      <c r="EKB1" s="87"/>
      <c r="EKC1" s="87"/>
      <c r="EKD1" s="87"/>
      <c r="EKE1" s="87"/>
      <c r="EKF1" s="87"/>
      <c r="EKG1" s="87"/>
      <c r="EKH1" s="87"/>
      <c r="EKI1" s="87"/>
      <c r="EKJ1" s="87"/>
      <c r="EKK1" s="87"/>
      <c r="EKL1" s="87"/>
      <c r="EKM1" s="87"/>
      <c r="EKN1" s="87"/>
      <c r="EKO1" s="87"/>
      <c r="EKP1" s="87"/>
      <c r="EKQ1" s="87"/>
      <c r="EKR1" s="87"/>
      <c r="EKS1" s="87"/>
      <c r="EKT1" s="87"/>
      <c r="EKU1" s="87"/>
      <c r="EKV1" s="87"/>
      <c r="EKW1" s="87"/>
      <c r="EKX1" s="87"/>
      <c r="EKY1" s="87"/>
      <c r="EKZ1" s="87"/>
      <c r="ELA1" s="87"/>
      <c r="ELB1" s="87"/>
      <c r="ELC1" s="87"/>
      <c r="ELD1" s="87"/>
      <c r="ELE1" s="87"/>
      <c r="ELF1" s="87"/>
      <c r="ELG1" s="87"/>
      <c r="ELH1" s="87"/>
      <c r="ELI1" s="87"/>
      <c r="ELJ1" s="87"/>
      <c r="ELK1" s="87"/>
      <c r="ELL1" s="87"/>
      <c r="ELM1" s="87"/>
      <c r="ELN1" s="87"/>
      <c r="ELO1" s="87"/>
      <c r="ELP1" s="87"/>
      <c r="ELQ1" s="87"/>
      <c r="ELR1" s="87"/>
      <c r="ELS1" s="87"/>
      <c r="ELT1" s="87"/>
      <c r="ELU1" s="87"/>
      <c r="ELV1" s="87"/>
      <c r="ELW1" s="87"/>
      <c r="ELX1" s="87"/>
      <c r="ELY1" s="87"/>
      <c r="ELZ1" s="87"/>
      <c r="EMA1" s="87"/>
      <c r="EMB1" s="87"/>
      <c r="EMC1" s="87"/>
      <c r="EMD1" s="87"/>
      <c r="EME1" s="87"/>
      <c r="EMF1" s="87"/>
      <c r="EMG1" s="87"/>
      <c r="EMH1" s="87"/>
      <c r="EMI1" s="87"/>
      <c r="EMJ1" s="87"/>
      <c r="EMK1" s="87"/>
      <c r="EML1" s="87"/>
      <c r="EMM1" s="87"/>
      <c r="EMN1" s="87"/>
      <c r="EMO1" s="87"/>
      <c r="EMP1" s="87"/>
      <c r="EMQ1" s="87"/>
      <c r="EMR1" s="87"/>
      <c r="EMS1" s="87"/>
      <c r="EMT1" s="87"/>
      <c r="EMU1" s="87"/>
      <c r="EMV1" s="87"/>
      <c r="EMW1" s="87"/>
      <c r="EMX1" s="87"/>
      <c r="EMY1" s="87"/>
      <c r="EMZ1" s="87"/>
      <c r="ENA1" s="87"/>
      <c r="ENB1" s="87"/>
      <c r="ENC1" s="87"/>
      <c r="END1" s="87"/>
      <c r="ENE1" s="87"/>
      <c r="ENF1" s="87"/>
      <c r="ENG1" s="87"/>
      <c r="ENH1" s="87"/>
      <c r="ENI1" s="87"/>
      <c r="ENJ1" s="87"/>
      <c r="ENK1" s="87"/>
      <c r="ENL1" s="87"/>
      <c r="ENM1" s="87"/>
      <c r="ENN1" s="87"/>
      <c r="ENO1" s="87"/>
      <c r="ENP1" s="87"/>
      <c r="ENQ1" s="87"/>
      <c r="ENR1" s="87"/>
      <c r="ENS1" s="87"/>
      <c r="ENT1" s="87"/>
      <c r="ENU1" s="87"/>
      <c r="ENV1" s="87"/>
      <c r="ENW1" s="87"/>
      <c r="ENX1" s="87"/>
      <c r="ENY1" s="87"/>
      <c r="ENZ1" s="87"/>
      <c r="EOA1" s="87"/>
      <c r="EOB1" s="87"/>
      <c r="EOC1" s="87"/>
      <c r="EOD1" s="87"/>
      <c r="EOE1" s="87"/>
      <c r="EOF1" s="87"/>
      <c r="EOG1" s="87"/>
      <c r="EOH1" s="87"/>
      <c r="EOI1" s="87"/>
      <c r="EOJ1" s="87"/>
      <c r="EOK1" s="87"/>
      <c r="EOL1" s="87"/>
      <c r="EOM1" s="87"/>
      <c r="EON1" s="87"/>
      <c r="EOO1" s="87"/>
      <c r="EOP1" s="87"/>
      <c r="EOQ1" s="87"/>
      <c r="EOR1" s="87"/>
      <c r="EOS1" s="87"/>
      <c r="EOT1" s="87"/>
      <c r="EOU1" s="87"/>
      <c r="EOV1" s="87"/>
      <c r="EOW1" s="87"/>
      <c r="EOX1" s="87"/>
      <c r="EOY1" s="87"/>
      <c r="EOZ1" s="87"/>
      <c r="EPA1" s="87"/>
      <c r="EPB1" s="87"/>
      <c r="EPC1" s="87"/>
      <c r="EPD1" s="87"/>
      <c r="EPE1" s="87"/>
      <c r="EPF1" s="87"/>
      <c r="EPG1" s="87"/>
      <c r="EPH1" s="87"/>
      <c r="EPI1" s="87"/>
      <c r="EPJ1" s="87"/>
      <c r="EPK1" s="87"/>
      <c r="EPL1" s="87"/>
      <c r="EPM1" s="87"/>
      <c r="EPN1" s="87"/>
      <c r="EPO1" s="87"/>
      <c r="EPP1" s="87"/>
      <c r="EPQ1" s="87"/>
      <c r="EPR1" s="87"/>
      <c r="EPS1" s="87"/>
      <c r="EPT1" s="87"/>
      <c r="EPU1" s="87"/>
      <c r="EPV1" s="87"/>
      <c r="EPW1" s="87"/>
      <c r="EPX1" s="87"/>
      <c r="EPY1" s="87"/>
      <c r="EPZ1" s="87"/>
      <c r="EQA1" s="87"/>
      <c r="EQB1" s="87"/>
      <c r="EQC1" s="87"/>
      <c r="EQD1" s="87"/>
      <c r="EQE1" s="87"/>
      <c r="EQF1" s="87"/>
      <c r="EQG1" s="87"/>
      <c r="EQH1" s="87"/>
      <c r="EQI1" s="87"/>
      <c r="EQJ1" s="87"/>
      <c r="EQK1" s="87"/>
      <c r="EQL1" s="87"/>
      <c r="EQM1" s="87"/>
      <c r="EQN1" s="87"/>
      <c r="EQO1" s="87"/>
      <c r="EQP1" s="87"/>
      <c r="EQQ1" s="87"/>
      <c r="EQR1" s="87"/>
      <c r="EQS1" s="87"/>
      <c r="EQT1" s="87"/>
      <c r="EQU1" s="87"/>
      <c r="EQV1" s="87"/>
      <c r="EQW1" s="87"/>
      <c r="EQX1" s="87"/>
      <c r="EQY1" s="87"/>
      <c r="EQZ1" s="87"/>
      <c r="ERA1" s="87"/>
      <c r="ERB1" s="87"/>
      <c r="ERC1" s="87"/>
      <c r="ERD1" s="87"/>
      <c r="ERE1" s="87"/>
      <c r="ERF1" s="87"/>
      <c r="ERG1" s="87"/>
      <c r="ERH1" s="87"/>
      <c r="ERI1" s="87"/>
      <c r="ERJ1" s="87"/>
      <c r="ERK1" s="87"/>
      <c r="ERL1" s="87"/>
      <c r="ERM1" s="87"/>
      <c r="ERN1" s="87"/>
      <c r="ERO1" s="87"/>
      <c r="ERP1" s="87"/>
      <c r="ERQ1" s="87"/>
      <c r="ERR1" s="87"/>
      <c r="ERS1" s="87"/>
      <c r="ERT1" s="87"/>
      <c r="ERU1" s="87"/>
      <c r="ERV1" s="87"/>
      <c r="ERW1" s="87"/>
      <c r="ERX1" s="87"/>
      <c r="ERY1" s="87"/>
      <c r="ERZ1" s="87"/>
      <c r="ESA1" s="87"/>
      <c r="ESB1" s="87"/>
      <c r="ESC1" s="87"/>
      <c r="ESD1" s="87"/>
      <c r="ESE1" s="87"/>
      <c r="ESF1" s="87"/>
      <c r="ESG1" s="87"/>
      <c r="ESH1" s="87"/>
      <c r="ESI1" s="87"/>
      <c r="ESJ1" s="87"/>
      <c r="ESK1" s="87"/>
      <c r="ESL1" s="87"/>
      <c r="ESM1" s="87"/>
      <c r="ESN1" s="87"/>
      <c r="ESO1" s="87"/>
      <c r="ESP1" s="87"/>
      <c r="ESQ1" s="87"/>
      <c r="ESR1" s="87"/>
      <c r="ESS1" s="87"/>
      <c r="EST1" s="87"/>
      <c r="ESU1" s="87"/>
      <c r="ESV1" s="87"/>
      <c r="ESW1" s="87"/>
      <c r="ESX1" s="87"/>
      <c r="ESY1" s="87"/>
      <c r="ESZ1" s="87"/>
      <c r="ETA1" s="87"/>
      <c r="ETB1" s="87"/>
      <c r="ETC1" s="87"/>
      <c r="ETD1" s="87"/>
      <c r="ETE1" s="87"/>
      <c r="ETF1" s="87"/>
      <c r="ETG1" s="87"/>
      <c r="ETH1" s="87"/>
      <c r="ETI1" s="87"/>
      <c r="ETJ1" s="87"/>
      <c r="ETK1" s="87"/>
      <c r="ETL1" s="87"/>
      <c r="ETM1" s="87"/>
      <c r="ETN1" s="87"/>
      <c r="ETO1" s="87"/>
      <c r="ETP1" s="87"/>
      <c r="ETQ1" s="87"/>
      <c r="ETR1" s="87"/>
      <c r="ETS1" s="87"/>
      <c r="ETT1" s="87"/>
      <c r="ETU1" s="87"/>
      <c r="ETV1" s="87"/>
      <c r="ETW1" s="87"/>
      <c r="ETX1" s="87"/>
      <c r="ETY1" s="87"/>
      <c r="ETZ1" s="87"/>
      <c r="EUA1" s="87"/>
      <c r="EUB1" s="87"/>
      <c r="EUC1" s="87"/>
      <c r="EUD1" s="87"/>
      <c r="EUE1" s="87"/>
      <c r="EUF1" s="87"/>
      <c r="EUG1" s="87"/>
      <c r="EUH1" s="87"/>
      <c r="EUI1" s="87"/>
      <c r="EUJ1" s="87"/>
      <c r="EUK1" s="87"/>
      <c r="EUL1" s="87"/>
      <c r="EUM1" s="87"/>
      <c r="EUN1" s="87"/>
      <c r="EUO1" s="87"/>
      <c r="EUP1" s="87"/>
      <c r="EUQ1" s="87"/>
      <c r="EUR1" s="87"/>
      <c r="EUS1" s="87"/>
      <c r="EUT1" s="87"/>
      <c r="EUU1" s="87"/>
      <c r="EUV1" s="87"/>
      <c r="EUW1" s="87"/>
      <c r="EUX1" s="87"/>
      <c r="EUY1" s="87"/>
      <c r="EUZ1" s="87"/>
      <c r="EVA1" s="87"/>
      <c r="EVB1" s="87"/>
      <c r="EVC1" s="87"/>
      <c r="EVD1" s="87"/>
      <c r="EVE1" s="87"/>
      <c r="EVF1" s="87"/>
      <c r="EVG1" s="87"/>
      <c r="EVH1" s="87"/>
      <c r="EVI1" s="87"/>
      <c r="EVJ1" s="87"/>
      <c r="EVK1" s="87"/>
      <c r="EVL1" s="87"/>
      <c r="EVM1" s="87"/>
      <c r="EVN1" s="87"/>
      <c r="EVO1" s="87"/>
      <c r="EVP1" s="87"/>
      <c r="EVQ1" s="87"/>
      <c r="EVR1" s="87"/>
      <c r="EVS1" s="87"/>
      <c r="EVT1" s="87"/>
      <c r="EVU1" s="87"/>
      <c r="EVV1" s="87"/>
      <c r="EVW1" s="87"/>
      <c r="EVX1" s="87"/>
      <c r="EVY1" s="87"/>
      <c r="EVZ1" s="87"/>
      <c r="EWA1" s="87"/>
      <c r="EWB1" s="87"/>
      <c r="EWC1" s="87"/>
      <c r="EWD1" s="87"/>
      <c r="EWE1" s="87"/>
      <c r="EWF1" s="87"/>
      <c r="EWG1" s="87"/>
      <c r="EWH1" s="87"/>
      <c r="EWI1" s="87"/>
      <c r="EWJ1" s="87"/>
      <c r="EWK1" s="87"/>
      <c r="EWL1" s="87"/>
      <c r="EWM1" s="87"/>
      <c r="EWN1" s="87"/>
      <c r="EWO1" s="87"/>
      <c r="EWP1" s="87"/>
      <c r="EWQ1" s="87"/>
      <c r="EWR1" s="87"/>
      <c r="EWS1" s="87"/>
      <c r="EWT1" s="87"/>
      <c r="EWU1" s="87"/>
      <c r="EWV1" s="87"/>
      <c r="EWW1" s="87"/>
      <c r="EWX1" s="87"/>
      <c r="EWY1" s="87"/>
      <c r="EWZ1" s="87"/>
      <c r="EXA1" s="87"/>
      <c r="EXB1" s="87"/>
      <c r="EXC1" s="87"/>
      <c r="EXD1" s="87"/>
      <c r="EXE1" s="87"/>
      <c r="EXF1" s="87"/>
      <c r="EXG1" s="87"/>
      <c r="EXH1" s="87"/>
      <c r="EXI1" s="87"/>
      <c r="EXJ1" s="87"/>
      <c r="EXK1" s="87"/>
      <c r="EXL1" s="87"/>
      <c r="EXM1" s="87"/>
      <c r="EXN1" s="87"/>
      <c r="EXO1" s="87"/>
      <c r="EXP1" s="87"/>
      <c r="EXQ1" s="87"/>
      <c r="EXR1" s="87"/>
      <c r="EXS1" s="87"/>
      <c r="EXT1" s="87"/>
      <c r="EXU1" s="87"/>
      <c r="EXV1" s="87"/>
      <c r="EXW1" s="87"/>
      <c r="EXX1" s="87"/>
      <c r="EXY1" s="87"/>
      <c r="EXZ1" s="87"/>
      <c r="EYA1" s="87"/>
      <c r="EYB1" s="87"/>
      <c r="EYC1" s="87"/>
      <c r="EYD1" s="87"/>
      <c r="EYE1" s="87"/>
      <c r="EYF1" s="87"/>
      <c r="EYG1" s="87"/>
      <c r="EYH1" s="87"/>
      <c r="EYI1" s="87"/>
      <c r="EYJ1" s="87"/>
      <c r="EYK1" s="87"/>
      <c r="EYL1" s="87"/>
      <c r="EYM1" s="87"/>
      <c r="EYN1" s="87"/>
      <c r="EYO1" s="87"/>
      <c r="EYP1" s="87"/>
      <c r="EYQ1" s="87"/>
      <c r="EYR1" s="87"/>
      <c r="EYS1" s="87"/>
      <c r="EYT1" s="87"/>
      <c r="EYU1" s="87"/>
      <c r="EYV1" s="87"/>
      <c r="EYW1" s="87"/>
      <c r="EYX1" s="87"/>
      <c r="EYY1" s="87"/>
      <c r="EYZ1" s="87"/>
      <c r="EZA1" s="87"/>
      <c r="EZB1" s="87"/>
      <c r="EZC1" s="87"/>
      <c r="EZD1" s="87"/>
      <c r="EZE1" s="87"/>
      <c r="EZF1" s="87"/>
      <c r="EZG1" s="87"/>
      <c r="EZH1" s="87"/>
      <c r="EZI1" s="87"/>
      <c r="EZJ1" s="87"/>
      <c r="EZK1" s="87"/>
      <c r="EZL1" s="87"/>
      <c r="EZM1" s="87"/>
      <c r="EZN1" s="87"/>
      <c r="EZO1" s="87"/>
      <c r="EZP1" s="87"/>
      <c r="EZQ1" s="87"/>
      <c r="EZR1" s="87"/>
      <c r="EZS1" s="87"/>
      <c r="EZT1" s="87"/>
      <c r="EZU1" s="87"/>
      <c r="EZV1" s="87"/>
      <c r="EZW1" s="87"/>
      <c r="EZX1" s="87"/>
      <c r="EZY1" s="87"/>
      <c r="EZZ1" s="87"/>
      <c r="FAA1" s="87"/>
      <c r="FAB1" s="87"/>
      <c r="FAC1" s="87"/>
      <c r="FAD1" s="87"/>
      <c r="FAE1" s="87"/>
      <c r="FAF1" s="87"/>
      <c r="FAG1" s="87"/>
      <c r="FAH1" s="87"/>
      <c r="FAI1" s="87"/>
      <c r="FAJ1" s="87"/>
      <c r="FAK1" s="87"/>
      <c r="FAL1" s="87"/>
      <c r="FAM1" s="87"/>
      <c r="FAN1" s="87"/>
      <c r="FAO1" s="87"/>
      <c r="FAP1" s="87"/>
      <c r="FAQ1" s="87"/>
      <c r="FAR1" s="87"/>
      <c r="FAS1" s="87"/>
      <c r="FAT1" s="87"/>
      <c r="FAU1" s="87"/>
      <c r="FAV1" s="87"/>
      <c r="FAW1" s="87"/>
      <c r="FAX1" s="87"/>
      <c r="FAY1" s="87"/>
      <c r="FAZ1" s="87"/>
      <c r="FBA1" s="87"/>
      <c r="FBB1" s="87"/>
      <c r="FBC1" s="87"/>
      <c r="FBD1" s="87"/>
      <c r="FBE1" s="87"/>
      <c r="FBF1" s="87"/>
      <c r="FBG1" s="87"/>
      <c r="FBH1" s="87"/>
      <c r="FBI1" s="87"/>
      <c r="FBJ1" s="87"/>
      <c r="FBK1" s="87"/>
      <c r="FBL1" s="87"/>
      <c r="FBM1" s="87"/>
      <c r="FBN1" s="87"/>
      <c r="FBO1" s="87"/>
      <c r="FBP1" s="87"/>
      <c r="FBQ1" s="87"/>
      <c r="FBR1" s="87"/>
      <c r="FBS1" s="87"/>
      <c r="FBT1" s="87"/>
      <c r="FBU1" s="87"/>
      <c r="FBV1" s="87"/>
      <c r="FBW1" s="87"/>
      <c r="FBX1" s="87"/>
      <c r="FBY1" s="87"/>
      <c r="FBZ1" s="87"/>
      <c r="FCA1" s="87"/>
      <c r="FCB1" s="87"/>
      <c r="FCC1" s="87"/>
      <c r="FCD1" s="87"/>
      <c r="FCE1" s="87"/>
      <c r="FCF1" s="87"/>
      <c r="FCG1" s="87"/>
      <c r="FCH1" s="87"/>
      <c r="FCI1" s="87"/>
      <c r="FCJ1" s="87"/>
      <c r="FCK1" s="87"/>
      <c r="FCL1" s="87"/>
      <c r="FCM1" s="87"/>
      <c r="FCN1" s="87"/>
      <c r="FCO1" s="87"/>
      <c r="FCP1" s="87"/>
      <c r="FCQ1" s="87"/>
      <c r="FCR1" s="87"/>
      <c r="FCS1" s="87"/>
      <c r="FCT1" s="87"/>
      <c r="FCU1" s="87"/>
      <c r="FCV1" s="87"/>
      <c r="FCW1" s="87"/>
      <c r="FCX1" s="87"/>
      <c r="FCY1" s="87"/>
      <c r="FCZ1" s="87"/>
      <c r="FDA1" s="87"/>
      <c r="FDB1" s="87"/>
      <c r="FDC1" s="87"/>
      <c r="FDD1" s="87"/>
      <c r="FDE1" s="87"/>
      <c r="FDF1" s="87"/>
      <c r="FDG1" s="87"/>
      <c r="FDH1" s="87"/>
      <c r="FDI1" s="87"/>
      <c r="FDJ1" s="87"/>
      <c r="FDK1" s="87"/>
      <c r="FDL1" s="87"/>
      <c r="FDM1" s="87"/>
      <c r="FDN1" s="87"/>
      <c r="FDO1" s="87"/>
      <c r="FDP1" s="87"/>
      <c r="FDQ1" s="87"/>
      <c r="FDR1" s="87"/>
      <c r="FDS1" s="87"/>
      <c r="FDT1" s="87"/>
      <c r="FDU1" s="87"/>
      <c r="FDV1" s="87"/>
      <c r="FDW1" s="87"/>
      <c r="FDX1" s="87"/>
      <c r="FDY1" s="87"/>
      <c r="FDZ1" s="87"/>
      <c r="FEA1" s="87"/>
      <c r="FEB1" s="87"/>
      <c r="FEC1" s="87"/>
      <c r="FED1" s="87"/>
      <c r="FEE1" s="87"/>
      <c r="FEF1" s="87"/>
      <c r="FEG1" s="87"/>
      <c r="FEH1" s="87"/>
      <c r="FEI1" s="87"/>
      <c r="FEJ1" s="87"/>
      <c r="FEK1" s="87"/>
      <c r="FEL1" s="87"/>
      <c r="FEM1" s="87"/>
      <c r="FEN1" s="87"/>
      <c r="FEO1" s="87"/>
      <c r="FEP1" s="87"/>
      <c r="FEQ1" s="87"/>
      <c r="FER1" s="87"/>
      <c r="FES1" s="87"/>
      <c r="FET1" s="87"/>
      <c r="FEU1" s="87"/>
      <c r="FEV1" s="87"/>
      <c r="FEW1" s="87"/>
      <c r="FEX1" s="87"/>
      <c r="FEY1" s="87"/>
      <c r="FEZ1" s="87"/>
      <c r="FFA1" s="87"/>
      <c r="FFB1" s="87"/>
      <c r="FFC1" s="87"/>
      <c r="FFD1" s="87"/>
      <c r="FFE1" s="87"/>
      <c r="FFF1" s="87"/>
      <c r="FFG1" s="87"/>
      <c r="FFH1" s="87"/>
      <c r="FFI1" s="87"/>
      <c r="FFJ1" s="87"/>
      <c r="FFK1" s="87"/>
      <c r="FFL1" s="87"/>
      <c r="FFM1" s="87"/>
      <c r="FFN1" s="87"/>
      <c r="FFO1" s="87"/>
      <c r="FFP1" s="87"/>
      <c r="FFQ1" s="87"/>
      <c r="FFR1" s="87"/>
      <c r="FFS1" s="87"/>
      <c r="FFT1" s="87"/>
      <c r="FFU1" s="87"/>
      <c r="FFV1" s="87"/>
      <c r="FFW1" s="87"/>
      <c r="FFX1" s="87"/>
      <c r="FFY1" s="87"/>
      <c r="FFZ1" s="87"/>
      <c r="FGA1" s="87"/>
      <c r="FGB1" s="87"/>
      <c r="FGC1" s="87"/>
      <c r="FGD1" s="87"/>
      <c r="FGE1" s="87"/>
      <c r="FGF1" s="87"/>
      <c r="FGG1" s="87"/>
      <c r="FGH1" s="87"/>
      <c r="FGI1" s="87"/>
      <c r="FGJ1" s="87"/>
      <c r="FGK1" s="87"/>
      <c r="FGL1" s="87"/>
      <c r="FGM1" s="87"/>
      <c r="FGN1" s="87"/>
      <c r="FGO1" s="87"/>
      <c r="FGP1" s="87"/>
      <c r="FGQ1" s="87"/>
      <c r="FGR1" s="87"/>
      <c r="FGS1" s="87"/>
      <c r="FGT1" s="87"/>
      <c r="FGU1" s="87"/>
      <c r="FGV1" s="87"/>
      <c r="FGW1" s="87"/>
      <c r="FGX1" s="87"/>
      <c r="FGY1" s="87"/>
      <c r="FGZ1" s="87"/>
      <c r="FHA1" s="87"/>
      <c r="FHB1" s="87"/>
      <c r="FHC1" s="87"/>
      <c r="FHD1" s="87"/>
      <c r="FHE1" s="87"/>
      <c r="FHF1" s="87"/>
      <c r="FHG1" s="87"/>
      <c r="FHH1" s="87"/>
      <c r="FHI1" s="87"/>
      <c r="FHJ1" s="87"/>
      <c r="FHK1" s="87"/>
      <c r="FHL1" s="87"/>
      <c r="FHM1" s="87"/>
      <c r="FHN1" s="87"/>
      <c r="FHO1" s="87"/>
      <c r="FHP1" s="87"/>
      <c r="FHQ1" s="87"/>
      <c r="FHR1" s="87"/>
      <c r="FHS1" s="87"/>
      <c r="FHT1" s="87"/>
      <c r="FHU1" s="87"/>
      <c r="FHV1" s="87"/>
      <c r="FHW1" s="87"/>
      <c r="FHX1" s="87"/>
      <c r="FHY1" s="87"/>
      <c r="FHZ1" s="87"/>
      <c r="FIA1" s="87"/>
      <c r="FIB1" s="87"/>
      <c r="FIC1" s="87"/>
      <c r="FID1" s="87"/>
      <c r="FIE1" s="87"/>
      <c r="FIF1" s="87"/>
      <c r="FIG1" s="87"/>
      <c r="FIH1" s="87"/>
      <c r="FII1" s="87"/>
      <c r="FIJ1" s="87"/>
      <c r="FIK1" s="87"/>
      <c r="FIL1" s="87"/>
      <c r="FIM1" s="87"/>
      <c r="FIN1" s="87"/>
      <c r="FIO1" s="87"/>
      <c r="FIP1" s="87"/>
      <c r="FIQ1" s="87"/>
      <c r="FIR1" s="87"/>
      <c r="FIS1" s="87"/>
      <c r="FIT1" s="87"/>
      <c r="FIU1" s="87"/>
      <c r="FIV1" s="87"/>
      <c r="FIW1" s="87"/>
      <c r="FIX1" s="87"/>
      <c r="FIY1" s="87"/>
      <c r="FIZ1" s="87"/>
      <c r="FJA1" s="87"/>
      <c r="FJB1" s="87"/>
      <c r="FJC1" s="87"/>
      <c r="FJD1" s="87"/>
      <c r="FJE1" s="87"/>
      <c r="FJF1" s="87"/>
      <c r="FJG1" s="87"/>
      <c r="FJH1" s="87"/>
      <c r="FJI1" s="87"/>
      <c r="FJJ1" s="87"/>
      <c r="FJK1" s="87"/>
      <c r="FJL1" s="87"/>
      <c r="FJM1" s="87"/>
      <c r="FJN1" s="87"/>
      <c r="FJO1" s="87"/>
      <c r="FJP1" s="87"/>
      <c r="FJQ1" s="87"/>
      <c r="FJR1" s="87"/>
      <c r="FJS1" s="87"/>
      <c r="FJT1" s="87"/>
      <c r="FJU1" s="87"/>
      <c r="FJV1" s="87"/>
      <c r="FJW1" s="87"/>
      <c r="FJX1" s="87"/>
      <c r="FJY1" s="87"/>
      <c r="FJZ1" s="87"/>
      <c r="FKA1" s="87"/>
      <c r="FKB1" s="87"/>
      <c r="FKC1" s="87"/>
      <c r="FKD1" s="87"/>
      <c r="FKE1" s="87"/>
      <c r="FKF1" s="87"/>
      <c r="FKG1" s="87"/>
      <c r="FKH1" s="87"/>
      <c r="FKI1" s="87"/>
      <c r="FKJ1" s="87"/>
      <c r="FKK1" s="87"/>
      <c r="FKL1" s="87"/>
      <c r="FKM1" s="87"/>
      <c r="FKN1" s="87"/>
      <c r="FKO1" s="87"/>
      <c r="FKP1" s="87"/>
      <c r="FKQ1" s="87"/>
      <c r="FKR1" s="87"/>
      <c r="FKS1" s="87"/>
      <c r="FKT1" s="87"/>
      <c r="FKU1" s="87"/>
      <c r="FKV1" s="87"/>
      <c r="FKW1" s="87"/>
      <c r="FKX1" s="87"/>
      <c r="FKY1" s="87"/>
      <c r="FKZ1" s="87"/>
      <c r="FLA1" s="87"/>
      <c r="FLB1" s="87"/>
      <c r="FLC1" s="87"/>
      <c r="FLD1" s="87"/>
      <c r="FLE1" s="87"/>
      <c r="FLF1" s="87"/>
      <c r="FLG1" s="87"/>
      <c r="FLH1" s="87"/>
      <c r="FLI1" s="87"/>
      <c r="FLJ1" s="87"/>
      <c r="FLK1" s="87"/>
      <c r="FLL1" s="87"/>
      <c r="FLM1" s="87"/>
      <c r="FLN1" s="87"/>
      <c r="FLO1" s="87"/>
      <c r="FLP1" s="87"/>
      <c r="FLQ1" s="87"/>
      <c r="FLR1" s="87"/>
      <c r="FLS1" s="87"/>
      <c r="FLT1" s="87"/>
      <c r="FLU1" s="87"/>
      <c r="FLV1" s="87"/>
      <c r="FLW1" s="87"/>
      <c r="FLX1" s="87"/>
      <c r="FLY1" s="87"/>
      <c r="FLZ1" s="87"/>
      <c r="FMA1" s="87"/>
      <c r="FMB1" s="87"/>
      <c r="FMC1" s="87"/>
      <c r="FMD1" s="87"/>
      <c r="FME1" s="87"/>
      <c r="FMF1" s="87"/>
      <c r="FMG1" s="87"/>
      <c r="FMH1" s="87"/>
      <c r="FMI1" s="87"/>
      <c r="FMJ1" s="87"/>
      <c r="FMK1" s="87"/>
      <c r="FML1" s="87"/>
      <c r="FMM1" s="87"/>
      <c r="FMN1" s="87"/>
      <c r="FMO1" s="87"/>
      <c r="FMP1" s="87"/>
      <c r="FMQ1" s="87"/>
      <c r="FMR1" s="87"/>
      <c r="FMS1" s="87"/>
      <c r="FMT1" s="87"/>
      <c r="FMU1" s="87"/>
      <c r="FMV1" s="87"/>
      <c r="FMW1" s="87"/>
      <c r="FMX1" s="87"/>
      <c r="FMY1" s="87"/>
      <c r="FMZ1" s="87"/>
      <c r="FNA1" s="87"/>
      <c r="FNB1" s="87"/>
      <c r="FNC1" s="87"/>
      <c r="FND1" s="87"/>
      <c r="FNE1" s="87"/>
      <c r="FNF1" s="87"/>
      <c r="FNG1" s="87"/>
      <c r="FNH1" s="87"/>
      <c r="FNI1" s="87"/>
      <c r="FNJ1" s="87"/>
      <c r="FNK1" s="87"/>
      <c r="FNL1" s="87"/>
      <c r="FNM1" s="87"/>
      <c r="FNN1" s="87"/>
      <c r="FNO1" s="87"/>
      <c r="FNP1" s="87"/>
      <c r="FNQ1" s="87"/>
      <c r="FNR1" s="87"/>
      <c r="FNS1" s="87"/>
      <c r="FNT1" s="87"/>
      <c r="FNU1" s="87"/>
      <c r="FNV1" s="87"/>
      <c r="FNW1" s="87"/>
      <c r="FNX1" s="87"/>
      <c r="FNY1" s="87"/>
      <c r="FNZ1" s="87"/>
      <c r="FOA1" s="87"/>
      <c r="FOB1" s="87"/>
      <c r="FOC1" s="87"/>
      <c r="FOD1" s="87"/>
      <c r="FOE1" s="87"/>
      <c r="FOF1" s="87"/>
      <c r="FOG1" s="87"/>
      <c r="FOH1" s="87"/>
      <c r="FOI1" s="87"/>
      <c r="FOJ1" s="87"/>
      <c r="FOK1" s="87"/>
      <c r="FOL1" s="87"/>
      <c r="FOM1" s="87"/>
      <c r="FON1" s="87"/>
      <c r="FOO1" s="87"/>
      <c r="FOP1" s="87"/>
      <c r="FOQ1" s="87"/>
      <c r="FOR1" s="87"/>
      <c r="FOS1" s="87"/>
      <c r="FOT1" s="87"/>
      <c r="FOU1" s="87"/>
      <c r="FOV1" s="87"/>
      <c r="FOW1" s="87"/>
      <c r="FOX1" s="87"/>
      <c r="FOY1" s="87"/>
      <c r="FOZ1" s="87"/>
      <c r="FPA1" s="87"/>
      <c r="FPB1" s="87"/>
      <c r="FPC1" s="87"/>
      <c r="FPD1" s="87"/>
      <c r="FPE1" s="87"/>
      <c r="FPF1" s="87"/>
      <c r="FPG1" s="87"/>
      <c r="FPH1" s="87"/>
      <c r="FPI1" s="87"/>
      <c r="FPJ1" s="87"/>
      <c r="FPK1" s="87"/>
      <c r="FPL1" s="87"/>
      <c r="FPM1" s="87"/>
      <c r="FPN1" s="87"/>
      <c r="FPO1" s="87"/>
      <c r="FPP1" s="87"/>
      <c r="FPQ1" s="87"/>
      <c r="FPR1" s="87"/>
      <c r="FPS1" s="87"/>
      <c r="FPT1" s="87"/>
      <c r="FPU1" s="87"/>
      <c r="FPV1" s="87"/>
      <c r="FPW1" s="87"/>
      <c r="FPX1" s="87"/>
      <c r="FPY1" s="87"/>
      <c r="FPZ1" s="87"/>
      <c r="FQA1" s="87"/>
      <c r="FQB1" s="87"/>
      <c r="FQC1" s="87"/>
      <c r="FQD1" s="87"/>
      <c r="FQE1" s="87"/>
      <c r="FQF1" s="87"/>
      <c r="FQG1" s="87"/>
      <c r="FQH1" s="87"/>
      <c r="FQI1" s="87"/>
      <c r="FQJ1" s="87"/>
      <c r="FQK1" s="87"/>
      <c r="FQL1" s="87"/>
      <c r="FQM1" s="87"/>
      <c r="FQN1" s="87"/>
      <c r="FQO1" s="87"/>
      <c r="FQP1" s="87"/>
      <c r="FQQ1" s="87"/>
      <c r="FQR1" s="87"/>
      <c r="FQS1" s="87"/>
      <c r="FQT1" s="87"/>
      <c r="FQU1" s="87"/>
      <c r="FQV1" s="87"/>
      <c r="FQW1" s="87"/>
      <c r="FQX1" s="87"/>
      <c r="FQY1" s="87"/>
      <c r="FQZ1" s="87"/>
      <c r="FRA1" s="87"/>
      <c r="FRB1" s="87"/>
      <c r="FRC1" s="87"/>
      <c r="FRD1" s="87"/>
      <c r="FRE1" s="87"/>
      <c r="FRF1" s="87"/>
      <c r="FRG1" s="87"/>
      <c r="FRH1" s="87"/>
      <c r="FRI1" s="87"/>
      <c r="FRJ1" s="87"/>
      <c r="FRK1" s="87"/>
      <c r="FRL1" s="87"/>
      <c r="FRM1" s="87"/>
      <c r="FRN1" s="87"/>
      <c r="FRO1" s="87"/>
      <c r="FRP1" s="87"/>
      <c r="FRQ1" s="87"/>
      <c r="FRR1" s="87"/>
      <c r="FRS1" s="87"/>
      <c r="FRT1" s="87"/>
      <c r="FRU1" s="87"/>
      <c r="FRV1" s="87"/>
      <c r="FRW1" s="87"/>
      <c r="FRX1" s="87"/>
      <c r="FRY1" s="87"/>
      <c r="FRZ1" s="87"/>
      <c r="FSA1" s="87"/>
      <c r="FSB1" s="87"/>
      <c r="FSC1" s="87"/>
      <c r="FSD1" s="87"/>
      <c r="FSE1" s="87"/>
      <c r="FSF1" s="87"/>
      <c r="FSG1" s="87"/>
      <c r="FSH1" s="87"/>
      <c r="FSI1" s="87"/>
      <c r="FSJ1" s="87"/>
      <c r="FSK1" s="87"/>
      <c r="FSL1" s="87"/>
      <c r="FSM1" s="87"/>
      <c r="FSN1" s="87"/>
      <c r="FSO1" s="87"/>
      <c r="FSP1" s="87"/>
      <c r="FSQ1" s="87"/>
      <c r="FSR1" s="87"/>
      <c r="FSS1" s="87"/>
      <c r="FST1" s="87"/>
      <c r="FSU1" s="87"/>
      <c r="FSV1" s="87"/>
      <c r="FSW1" s="87"/>
      <c r="FSX1" s="87"/>
      <c r="FSY1" s="87"/>
      <c r="FSZ1" s="87"/>
      <c r="FTA1" s="87"/>
      <c r="FTB1" s="87"/>
      <c r="FTC1" s="87"/>
      <c r="FTD1" s="87"/>
      <c r="FTE1" s="87"/>
      <c r="FTF1" s="87"/>
      <c r="FTG1" s="87"/>
      <c r="FTH1" s="87"/>
      <c r="FTI1" s="87"/>
      <c r="FTJ1" s="87"/>
      <c r="FTK1" s="87"/>
      <c r="FTL1" s="87"/>
      <c r="FTM1" s="87"/>
      <c r="FTN1" s="87"/>
      <c r="FTO1" s="87"/>
      <c r="FTP1" s="87"/>
      <c r="FTQ1" s="87"/>
      <c r="FTR1" s="87"/>
      <c r="FTS1" s="87"/>
      <c r="FTT1" s="87"/>
      <c r="FTU1" s="87"/>
      <c r="FTV1" s="87"/>
      <c r="FTW1" s="87"/>
      <c r="FTX1" s="87"/>
      <c r="FTY1" s="87"/>
      <c r="FTZ1" s="87"/>
      <c r="FUA1" s="87"/>
      <c r="FUB1" s="87"/>
      <c r="FUC1" s="87"/>
      <c r="FUD1" s="87"/>
      <c r="FUE1" s="87"/>
      <c r="FUF1" s="87"/>
      <c r="FUG1" s="87"/>
      <c r="FUH1" s="87"/>
      <c r="FUI1" s="87"/>
      <c r="FUJ1" s="87"/>
      <c r="FUK1" s="87"/>
      <c r="FUL1" s="87"/>
      <c r="FUM1" s="87"/>
      <c r="FUN1" s="87"/>
      <c r="FUO1" s="87"/>
      <c r="FUP1" s="87"/>
      <c r="FUQ1" s="87"/>
      <c r="FUR1" s="87"/>
      <c r="FUS1" s="87"/>
      <c r="FUT1" s="87"/>
      <c r="FUU1" s="87"/>
      <c r="FUV1" s="87"/>
      <c r="FUW1" s="87"/>
      <c r="FUX1" s="87"/>
      <c r="FUY1" s="87"/>
      <c r="FUZ1" s="87"/>
      <c r="FVA1" s="87"/>
      <c r="FVB1" s="87"/>
      <c r="FVC1" s="87"/>
      <c r="FVD1" s="87"/>
      <c r="FVE1" s="87"/>
      <c r="FVF1" s="87"/>
      <c r="FVG1" s="87"/>
      <c r="FVH1" s="87"/>
      <c r="FVI1" s="87"/>
      <c r="FVJ1" s="87"/>
      <c r="FVK1" s="87"/>
      <c r="FVL1" s="87"/>
      <c r="FVM1" s="87"/>
      <c r="FVN1" s="87"/>
      <c r="FVO1" s="87"/>
      <c r="FVP1" s="87"/>
      <c r="FVQ1" s="87"/>
      <c r="FVR1" s="87"/>
      <c r="FVS1" s="87"/>
      <c r="FVT1" s="87"/>
      <c r="FVU1" s="87"/>
      <c r="FVV1" s="87"/>
      <c r="FVW1" s="87"/>
      <c r="FVX1" s="87"/>
      <c r="FVY1" s="87"/>
      <c r="FVZ1" s="87"/>
      <c r="FWA1" s="87"/>
      <c r="FWB1" s="87"/>
      <c r="FWC1" s="87"/>
      <c r="FWD1" s="87"/>
      <c r="FWE1" s="87"/>
      <c r="FWF1" s="87"/>
      <c r="FWG1" s="87"/>
      <c r="FWH1" s="87"/>
      <c r="FWI1" s="87"/>
      <c r="FWJ1" s="87"/>
      <c r="FWK1" s="87"/>
      <c r="FWL1" s="87"/>
      <c r="FWM1" s="87"/>
      <c r="FWN1" s="87"/>
      <c r="FWO1" s="87"/>
      <c r="FWP1" s="87"/>
      <c r="FWQ1" s="87"/>
      <c r="FWR1" s="87"/>
      <c r="FWS1" s="87"/>
      <c r="FWT1" s="87"/>
      <c r="FWU1" s="87"/>
      <c r="FWV1" s="87"/>
      <c r="FWW1" s="87"/>
      <c r="FWX1" s="87"/>
      <c r="FWY1" s="87"/>
      <c r="FWZ1" s="87"/>
      <c r="FXA1" s="87"/>
      <c r="FXB1" s="87"/>
      <c r="FXC1" s="87"/>
      <c r="FXD1" s="87"/>
      <c r="FXE1" s="87"/>
      <c r="FXF1" s="87"/>
      <c r="FXG1" s="87"/>
      <c r="FXH1" s="87"/>
      <c r="FXI1" s="87"/>
      <c r="FXJ1" s="87"/>
      <c r="FXK1" s="87"/>
      <c r="FXL1" s="87"/>
      <c r="FXM1" s="87"/>
      <c r="FXN1" s="87"/>
      <c r="FXO1" s="87"/>
      <c r="FXP1" s="87"/>
      <c r="FXQ1" s="87"/>
      <c r="FXR1" s="87"/>
      <c r="FXS1" s="87"/>
      <c r="FXT1" s="87"/>
      <c r="FXU1" s="87"/>
      <c r="FXV1" s="87"/>
      <c r="FXW1" s="87"/>
      <c r="FXX1" s="87"/>
      <c r="FXY1" s="87"/>
      <c r="FXZ1" s="87"/>
      <c r="FYA1" s="87"/>
      <c r="FYB1" s="87"/>
      <c r="FYC1" s="87"/>
      <c r="FYD1" s="87"/>
      <c r="FYE1" s="87"/>
      <c r="FYF1" s="87"/>
      <c r="FYG1" s="87"/>
      <c r="FYH1" s="87"/>
      <c r="FYI1" s="87"/>
      <c r="FYJ1" s="87"/>
      <c r="FYK1" s="87"/>
      <c r="FYL1" s="87"/>
      <c r="FYM1" s="87"/>
      <c r="FYN1" s="87"/>
      <c r="FYO1" s="87"/>
      <c r="FYP1" s="87"/>
      <c r="FYQ1" s="87"/>
      <c r="FYR1" s="87"/>
      <c r="FYS1" s="87"/>
      <c r="FYT1" s="87"/>
      <c r="FYU1" s="87"/>
      <c r="FYV1" s="87"/>
      <c r="FYW1" s="87"/>
      <c r="FYX1" s="87"/>
      <c r="FYY1" s="87"/>
      <c r="FYZ1" s="87"/>
      <c r="FZA1" s="87"/>
      <c r="FZB1" s="87"/>
      <c r="FZC1" s="87"/>
      <c r="FZD1" s="87"/>
      <c r="FZE1" s="87"/>
      <c r="FZF1" s="87"/>
      <c r="FZG1" s="87"/>
      <c r="FZH1" s="87"/>
      <c r="FZI1" s="87"/>
      <c r="FZJ1" s="87"/>
      <c r="FZK1" s="87"/>
      <c r="FZL1" s="87"/>
      <c r="FZM1" s="87"/>
      <c r="FZN1" s="87"/>
      <c r="FZO1" s="87"/>
      <c r="FZP1" s="87"/>
      <c r="FZQ1" s="87"/>
      <c r="FZR1" s="87"/>
      <c r="FZS1" s="87"/>
      <c r="FZT1" s="87"/>
      <c r="FZU1" s="87"/>
      <c r="FZV1" s="87"/>
      <c r="FZW1" s="87"/>
      <c r="FZX1" s="87"/>
      <c r="FZY1" s="87"/>
      <c r="FZZ1" s="87"/>
      <c r="GAA1" s="87"/>
      <c r="GAB1" s="87"/>
      <c r="GAC1" s="87"/>
      <c r="GAD1" s="87"/>
      <c r="GAE1" s="87"/>
      <c r="GAF1" s="87"/>
      <c r="GAG1" s="87"/>
      <c r="GAH1" s="87"/>
      <c r="GAI1" s="87"/>
      <c r="GAJ1" s="87"/>
      <c r="GAK1" s="87"/>
      <c r="GAL1" s="87"/>
      <c r="GAM1" s="87"/>
      <c r="GAN1" s="87"/>
      <c r="GAO1" s="87"/>
      <c r="GAP1" s="87"/>
      <c r="GAQ1" s="87"/>
      <c r="GAR1" s="87"/>
      <c r="GAS1" s="87"/>
      <c r="GAT1" s="87"/>
      <c r="GAU1" s="87"/>
      <c r="GAV1" s="87"/>
      <c r="GAW1" s="87"/>
      <c r="GAX1" s="87"/>
      <c r="GAY1" s="87"/>
      <c r="GAZ1" s="87"/>
      <c r="GBA1" s="87"/>
      <c r="GBB1" s="87"/>
      <c r="GBC1" s="87"/>
      <c r="GBD1" s="87"/>
      <c r="GBE1" s="87"/>
      <c r="GBF1" s="87"/>
      <c r="GBG1" s="87"/>
      <c r="GBH1" s="87"/>
      <c r="GBI1" s="87"/>
      <c r="GBJ1" s="87"/>
      <c r="GBK1" s="87"/>
      <c r="GBL1" s="87"/>
      <c r="GBM1" s="87"/>
      <c r="GBN1" s="87"/>
      <c r="GBO1" s="87"/>
      <c r="GBP1" s="87"/>
      <c r="GBQ1" s="87"/>
      <c r="GBR1" s="87"/>
      <c r="GBS1" s="87"/>
      <c r="GBT1" s="87"/>
      <c r="GBU1" s="87"/>
      <c r="GBV1" s="87"/>
      <c r="GBW1" s="87"/>
      <c r="GBX1" s="87"/>
      <c r="GBY1" s="87"/>
      <c r="GBZ1" s="87"/>
      <c r="GCA1" s="87"/>
      <c r="GCB1" s="87"/>
      <c r="GCC1" s="87"/>
      <c r="GCD1" s="87"/>
      <c r="GCE1" s="87"/>
      <c r="GCF1" s="87"/>
      <c r="GCG1" s="87"/>
      <c r="GCH1" s="87"/>
      <c r="GCI1" s="87"/>
      <c r="GCJ1" s="87"/>
      <c r="GCK1" s="87"/>
      <c r="GCL1" s="87"/>
      <c r="GCM1" s="87"/>
      <c r="GCN1" s="87"/>
      <c r="GCO1" s="87"/>
      <c r="GCP1" s="87"/>
      <c r="GCQ1" s="87"/>
      <c r="GCR1" s="87"/>
      <c r="GCS1" s="87"/>
      <c r="GCT1" s="87"/>
      <c r="GCU1" s="87"/>
      <c r="GCV1" s="87"/>
      <c r="GCW1" s="87"/>
      <c r="GCX1" s="87"/>
      <c r="GCY1" s="87"/>
      <c r="GCZ1" s="87"/>
      <c r="GDA1" s="87"/>
      <c r="GDB1" s="87"/>
      <c r="GDC1" s="87"/>
      <c r="GDD1" s="87"/>
      <c r="GDE1" s="87"/>
      <c r="GDF1" s="87"/>
      <c r="GDG1" s="87"/>
      <c r="GDH1" s="87"/>
      <c r="GDI1" s="87"/>
      <c r="GDJ1" s="87"/>
      <c r="GDK1" s="87"/>
      <c r="GDL1" s="87"/>
      <c r="GDM1" s="87"/>
      <c r="GDN1" s="87"/>
      <c r="GDO1" s="87"/>
      <c r="GDP1" s="87"/>
      <c r="GDQ1" s="87"/>
      <c r="GDR1" s="87"/>
      <c r="GDS1" s="87"/>
      <c r="GDT1" s="87"/>
      <c r="GDU1" s="87"/>
      <c r="GDV1" s="87"/>
      <c r="GDW1" s="87"/>
      <c r="GDX1" s="87"/>
      <c r="GDY1" s="87"/>
      <c r="GDZ1" s="87"/>
      <c r="GEA1" s="87"/>
      <c r="GEB1" s="87"/>
      <c r="GEC1" s="87"/>
      <c r="GED1" s="87"/>
      <c r="GEE1" s="87"/>
      <c r="GEF1" s="87"/>
      <c r="GEG1" s="87"/>
      <c r="GEH1" s="87"/>
      <c r="GEI1" s="87"/>
      <c r="GEJ1" s="87"/>
      <c r="GEK1" s="87"/>
      <c r="GEL1" s="87"/>
      <c r="GEM1" s="87"/>
      <c r="GEN1" s="87"/>
      <c r="GEO1" s="87"/>
      <c r="GEP1" s="87"/>
      <c r="GEQ1" s="87"/>
      <c r="GER1" s="87"/>
      <c r="GES1" s="87"/>
      <c r="GET1" s="87"/>
      <c r="GEU1" s="87"/>
      <c r="GEV1" s="87"/>
      <c r="GEW1" s="87"/>
      <c r="GEX1" s="87"/>
      <c r="GEY1" s="87"/>
      <c r="GEZ1" s="87"/>
      <c r="GFA1" s="87"/>
      <c r="GFB1" s="87"/>
      <c r="GFC1" s="87"/>
      <c r="GFD1" s="87"/>
      <c r="GFE1" s="87"/>
      <c r="GFF1" s="87"/>
      <c r="GFG1" s="87"/>
      <c r="GFH1" s="87"/>
      <c r="GFI1" s="87"/>
      <c r="GFJ1" s="87"/>
      <c r="GFK1" s="87"/>
      <c r="GFL1" s="87"/>
      <c r="GFM1" s="87"/>
      <c r="GFN1" s="87"/>
      <c r="GFO1" s="87"/>
      <c r="GFP1" s="87"/>
      <c r="GFQ1" s="87"/>
      <c r="GFR1" s="87"/>
      <c r="GFS1" s="87"/>
      <c r="GFT1" s="87"/>
      <c r="GFU1" s="87"/>
      <c r="GFV1" s="87"/>
      <c r="GFW1" s="87"/>
      <c r="GFX1" s="87"/>
      <c r="GFY1" s="87"/>
      <c r="GFZ1" s="87"/>
      <c r="GGA1" s="87"/>
      <c r="GGB1" s="87"/>
      <c r="GGC1" s="87"/>
      <c r="GGD1" s="87"/>
      <c r="GGE1" s="87"/>
      <c r="GGF1" s="87"/>
      <c r="GGG1" s="87"/>
      <c r="GGH1" s="87"/>
      <c r="GGI1" s="87"/>
      <c r="GGJ1" s="87"/>
      <c r="GGK1" s="87"/>
      <c r="GGL1" s="87"/>
      <c r="GGM1" s="87"/>
      <c r="GGN1" s="87"/>
      <c r="GGO1" s="87"/>
      <c r="GGP1" s="87"/>
      <c r="GGQ1" s="87"/>
      <c r="GGR1" s="87"/>
      <c r="GGS1" s="87"/>
      <c r="GGT1" s="87"/>
      <c r="GGU1" s="87"/>
      <c r="GGV1" s="87"/>
      <c r="GGW1" s="87"/>
      <c r="GGX1" s="87"/>
      <c r="GGY1" s="87"/>
      <c r="GGZ1" s="87"/>
      <c r="GHA1" s="87"/>
      <c r="GHB1" s="87"/>
      <c r="GHC1" s="87"/>
      <c r="GHD1" s="87"/>
      <c r="GHE1" s="87"/>
      <c r="GHF1" s="87"/>
      <c r="GHG1" s="87"/>
      <c r="GHH1" s="87"/>
      <c r="GHI1" s="87"/>
      <c r="GHJ1" s="87"/>
      <c r="GHK1" s="87"/>
      <c r="GHL1" s="87"/>
      <c r="GHM1" s="87"/>
      <c r="GHN1" s="87"/>
      <c r="GHO1" s="87"/>
      <c r="GHP1" s="87"/>
      <c r="GHQ1" s="87"/>
      <c r="GHR1" s="87"/>
      <c r="GHS1" s="87"/>
      <c r="GHT1" s="87"/>
      <c r="GHU1" s="87"/>
      <c r="GHV1" s="87"/>
      <c r="GHW1" s="87"/>
      <c r="GHX1" s="87"/>
      <c r="GHY1" s="87"/>
      <c r="GHZ1" s="87"/>
      <c r="GIA1" s="87"/>
      <c r="GIB1" s="87"/>
      <c r="GIC1" s="87"/>
      <c r="GID1" s="87"/>
      <c r="GIE1" s="87"/>
      <c r="GIF1" s="87"/>
      <c r="GIG1" s="87"/>
      <c r="GIH1" s="87"/>
      <c r="GII1" s="87"/>
      <c r="GIJ1" s="87"/>
      <c r="GIK1" s="87"/>
      <c r="GIL1" s="87"/>
      <c r="GIM1" s="87"/>
      <c r="GIN1" s="87"/>
      <c r="GIO1" s="87"/>
      <c r="GIP1" s="87"/>
      <c r="GIQ1" s="87"/>
      <c r="GIR1" s="87"/>
      <c r="GIS1" s="87"/>
      <c r="GIT1" s="87"/>
      <c r="GIU1" s="87"/>
      <c r="GIV1" s="87"/>
      <c r="GIW1" s="87"/>
      <c r="GIX1" s="87"/>
      <c r="GIY1" s="87"/>
      <c r="GIZ1" s="87"/>
      <c r="GJA1" s="87"/>
      <c r="GJB1" s="87"/>
      <c r="GJC1" s="87"/>
      <c r="GJD1" s="87"/>
      <c r="GJE1" s="87"/>
      <c r="GJF1" s="87"/>
      <c r="GJG1" s="87"/>
      <c r="GJH1" s="87"/>
      <c r="GJI1" s="87"/>
      <c r="GJJ1" s="87"/>
      <c r="GJK1" s="87"/>
      <c r="GJL1" s="87"/>
      <c r="GJM1" s="87"/>
      <c r="GJN1" s="87"/>
      <c r="GJO1" s="87"/>
      <c r="GJP1" s="87"/>
      <c r="GJQ1" s="87"/>
      <c r="GJR1" s="87"/>
      <c r="GJS1" s="87"/>
      <c r="GJT1" s="87"/>
      <c r="GJU1" s="87"/>
      <c r="GJV1" s="87"/>
      <c r="GJW1" s="87"/>
      <c r="GJX1" s="87"/>
      <c r="GJY1" s="87"/>
      <c r="GJZ1" s="87"/>
      <c r="GKA1" s="87"/>
      <c r="GKB1" s="87"/>
      <c r="GKC1" s="87"/>
      <c r="GKD1" s="87"/>
      <c r="GKE1" s="87"/>
      <c r="GKF1" s="87"/>
      <c r="GKG1" s="87"/>
      <c r="GKH1" s="87"/>
      <c r="GKI1" s="87"/>
      <c r="GKJ1" s="87"/>
      <c r="GKK1" s="87"/>
      <c r="GKL1" s="87"/>
      <c r="GKM1" s="87"/>
      <c r="GKN1" s="87"/>
      <c r="GKO1" s="87"/>
      <c r="GKP1" s="87"/>
      <c r="GKQ1" s="87"/>
      <c r="GKR1" s="87"/>
      <c r="GKS1" s="87"/>
      <c r="GKT1" s="87"/>
      <c r="GKU1" s="87"/>
      <c r="GKV1" s="87"/>
      <c r="GKW1" s="87"/>
      <c r="GKX1" s="87"/>
      <c r="GKY1" s="87"/>
      <c r="GKZ1" s="87"/>
      <c r="GLA1" s="87"/>
      <c r="GLB1" s="87"/>
      <c r="GLC1" s="87"/>
      <c r="GLD1" s="87"/>
      <c r="GLE1" s="87"/>
      <c r="GLF1" s="87"/>
      <c r="GLG1" s="87"/>
      <c r="GLH1" s="87"/>
      <c r="GLI1" s="87"/>
      <c r="GLJ1" s="87"/>
      <c r="GLK1" s="87"/>
      <c r="GLL1" s="87"/>
      <c r="GLM1" s="87"/>
      <c r="GLN1" s="87"/>
      <c r="GLO1" s="87"/>
      <c r="GLP1" s="87"/>
      <c r="GLQ1" s="87"/>
      <c r="GLR1" s="87"/>
      <c r="GLS1" s="87"/>
      <c r="GLT1" s="87"/>
      <c r="GLU1" s="87"/>
      <c r="GLV1" s="87"/>
      <c r="GLW1" s="87"/>
      <c r="GLX1" s="87"/>
      <c r="GLY1" s="87"/>
      <c r="GLZ1" s="87"/>
      <c r="GMA1" s="87"/>
      <c r="GMB1" s="87"/>
      <c r="GMC1" s="87"/>
      <c r="GMD1" s="87"/>
      <c r="GME1" s="87"/>
      <c r="GMF1" s="87"/>
      <c r="GMG1" s="87"/>
      <c r="GMH1" s="87"/>
      <c r="GMI1" s="87"/>
      <c r="GMJ1" s="87"/>
      <c r="GMK1" s="87"/>
      <c r="GML1" s="87"/>
      <c r="GMM1" s="87"/>
      <c r="GMN1" s="87"/>
      <c r="GMO1" s="87"/>
      <c r="GMP1" s="87"/>
      <c r="GMQ1" s="87"/>
      <c r="GMR1" s="87"/>
      <c r="GMS1" s="87"/>
      <c r="GMT1" s="87"/>
      <c r="GMU1" s="87"/>
      <c r="GMV1" s="87"/>
      <c r="GMW1" s="87"/>
      <c r="GMX1" s="87"/>
      <c r="GMY1" s="87"/>
      <c r="GMZ1" s="87"/>
      <c r="GNA1" s="87"/>
      <c r="GNB1" s="87"/>
      <c r="GNC1" s="87"/>
      <c r="GND1" s="87"/>
      <c r="GNE1" s="87"/>
      <c r="GNF1" s="87"/>
      <c r="GNG1" s="87"/>
      <c r="GNH1" s="87"/>
      <c r="GNI1" s="87"/>
      <c r="GNJ1" s="87"/>
      <c r="GNK1" s="87"/>
      <c r="GNL1" s="87"/>
      <c r="GNM1" s="87"/>
      <c r="GNN1" s="87"/>
      <c r="GNO1" s="87"/>
      <c r="GNP1" s="87"/>
      <c r="GNQ1" s="87"/>
      <c r="GNR1" s="87"/>
      <c r="GNS1" s="87"/>
      <c r="GNT1" s="87"/>
      <c r="GNU1" s="87"/>
      <c r="GNV1" s="87"/>
      <c r="GNW1" s="87"/>
      <c r="GNX1" s="87"/>
      <c r="GNY1" s="87"/>
      <c r="GNZ1" s="87"/>
      <c r="GOA1" s="87"/>
      <c r="GOB1" s="87"/>
      <c r="GOC1" s="87"/>
      <c r="GOD1" s="87"/>
      <c r="GOE1" s="87"/>
      <c r="GOF1" s="87"/>
      <c r="GOG1" s="87"/>
      <c r="GOH1" s="87"/>
      <c r="GOI1" s="87"/>
      <c r="GOJ1" s="87"/>
      <c r="GOK1" s="87"/>
      <c r="GOL1" s="87"/>
      <c r="GOM1" s="87"/>
      <c r="GON1" s="87"/>
      <c r="GOO1" s="87"/>
      <c r="GOP1" s="87"/>
      <c r="GOQ1" s="87"/>
      <c r="GOR1" s="87"/>
      <c r="GOS1" s="87"/>
      <c r="GOT1" s="87"/>
      <c r="GOU1" s="87"/>
      <c r="GOV1" s="87"/>
      <c r="GOW1" s="87"/>
      <c r="GOX1" s="87"/>
      <c r="GOY1" s="87"/>
      <c r="GOZ1" s="87"/>
      <c r="GPA1" s="87"/>
      <c r="GPB1" s="87"/>
      <c r="GPC1" s="87"/>
      <c r="GPD1" s="87"/>
      <c r="GPE1" s="87"/>
      <c r="GPF1" s="87"/>
      <c r="GPG1" s="87"/>
      <c r="GPH1" s="87"/>
      <c r="GPI1" s="87"/>
      <c r="GPJ1" s="87"/>
      <c r="GPK1" s="87"/>
      <c r="GPL1" s="87"/>
      <c r="GPM1" s="87"/>
      <c r="GPN1" s="87"/>
      <c r="GPO1" s="87"/>
      <c r="GPP1" s="87"/>
      <c r="GPQ1" s="87"/>
      <c r="GPR1" s="87"/>
      <c r="GPS1" s="87"/>
      <c r="GPT1" s="87"/>
      <c r="GPU1" s="87"/>
      <c r="GPV1" s="87"/>
      <c r="GPW1" s="87"/>
      <c r="GPX1" s="87"/>
      <c r="GPY1" s="87"/>
      <c r="GPZ1" s="87"/>
      <c r="GQA1" s="87"/>
      <c r="GQB1" s="87"/>
      <c r="GQC1" s="87"/>
      <c r="GQD1" s="87"/>
      <c r="GQE1" s="87"/>
      <c r="GQF1" s="87"/>
      <c r="GQG1" s="87"/>
      <c r="GQH1" s="87"/>
      <c r="GQI1" s="87"/>
      <c r="GQJ1" s="87"/>
      <c r="GQK1" s="87"/>
      <c r="GQL1" s="87"/>
      <c r="GQM1" s="87"/>
      <c r="GQN1" s="87"/>
      <c r="GQO1" s="87"/>
      <c r="GQP1" s="87"/>
      <c r="GQQ1" s="87"/>
      <c r="GQR1" s="87"/>
      <c r="GQS1" s="87"/>
      <c r="GQT1" s="87"/>
      <c r="GQU1" s="87"/>
      <c r="GQV1" s="87"/>
      <c r="GQW1" s="87"/>
      <c r="GQX1" s="87"/>
      <c r="GQY1" s="87"/>
      <c r="GQZ1" s="87"/>
      <c r="GRA1" s="87"/>
      <c r="GRB1" s="87"/>
      <c r="GRC1" s="87"/>
      <c r="GRD1" s="87"/>
      <c r="GRE1" s="87"/>
      <c r="GRF1" s="87"/>
      <c r="GRG1" s="87"/>
      <c r="GRH1" s="87"/>
      <c r="GRI1" s="87"/>
      <c r="GRJ1" s="87"/>
      <c r="GRK1" s="87"/>
      <c r="GRL1" s="87"/>
      <c r="GRM1" s="87"/>
      <c r="GRN1" s="87"/>
      <c r="GRO1" s="87"/>
      <c r="GRP1" s="87"/>
      <c r="GRQ1" s="87"/>
      <c r="GRR1" s="87"/>
      <c r="GRS1" s="87"/>
      <c r="GRT1" s="87"/>
      <c r="GRU1" s="87"/>
      <c r="GRV1" s="87"/>
      <c r="GRW1" s="87"/>
      <c r="GRX1" s="87"/>
      <c r="GRY1" s="87"/>
      <c r="GRZ1" s="87"/>
      <c r="GSA1" s="87"/>
      <c r="GSB1" s="87"/>
      <c r="GSC1" s="87"/>
      <c r="GSD1" s="87"/>
      <c r="GSE1" s="87"/>
      <c r="GSF1" s="87"/>
      <c r="GSG1" s="87"/>
      <c r="GSH1" s="87"/>
      <c r="GSI1" s="87"/>
      <c r="GSJ1" s="87"/>
      <c r="GSK1" s="87"/>
      <c r="GSL1" s="87"/>
      <c r="GSM1" s="87"/>
      <c r="GSN1" s="87"/>
      <c r="GSO1" s="87"/>
      <c r="GSP1" s="87"/>
      <c r="GSQ1" s="87"/>
      <c r="GSR1" s="87"/>
      <c r="GSS1" s="87"/>
      <c r="GST1" s="87"/>
      <c r="GSU1" s="87"/>
      <c r="GSV1" s="87"/>
      <c r="GSW1" s="87"/>
      <c r="GSX1" s="87"/>
      <c r="GSY1" s="87"/>
      <c r="GSZ1" s="87"/>
      <c r="GTA1" s="87"/>
      <c r="GTB1" s="87"/>
      <c r="GTC1" s="87"/>
      <c r="GTD1" s="87"/>
      <c r="GTE1" s="87"/>
      <c r="GTF1" s="87"/>
      <c r="GTG1" s="87"/>
      <c r="GTH1" s="87"/>
      <c r="GTI1" s="87"/>
      <c r="GTJ1" s="87"/>
      <c r="GTK1" s="87"/>
      <c r="GTL1" s="87"/>
      <c r="GTM1" s="87"/>
      <c r="GTN1" s="87"/>
      <c r="GTO1" s="87"/>
      <c r="GTP1" s="87"/>
      <c r="GTQ1" s="87"/>
      <c r="GTR1" s="87"/>
      <c r="GTS1" s="87"/>
      <c r="GTT1" s="87"/>
      <c r="GTU1" s="87"/>
      <c r="GTV1" s="87"/>
      <c r="GTW1" s="87"/>
      <c r="GTX1" s="87"/>
      <c r="GTY1" s="87"/>
      <c r="GTZ1" s="87"/>
      <c r="GUA1" s="87"/>
      <c r="GUB1" s="87"/>
      <c r="GUC1" s="87"/>
      <c r="GUD1" s="87"/>
      <c r="GUE1" s="87"/>
      <c r="GUF1" s="87"/>
      <c r="GUG1" s="87"/>
      <c r="GUH1" s="87"/>
      <c r="GUI1" s="87"/>
      <c r="GUJ1" s="87"/>
      <c r="GUK1" s="87"/>
      <c r="GUL1" s="87"/>
      <c r="GUM1" s="87"/>
      <c r="GUN1" s="87"/>
      <c r="GUO1" s="87"/>
      <c r="GUP1" s="87"/>
      <c r="GUQ1" s="87"/>
      <c r="GUR1" s="87"/>
      <c r="GUS1" s="87"/>
      <c r="GUT1" s="87"/>
      <c r="GUU1" s="87"/>
      <c r="GUV1" s="87"/>
      <c r="GUW1" s="87"/>
      <c r="GUX1" s="87"/>
      <c r="GUY1" s="87"/>
      <c r="GUZ1" s="87"/>
      <c r="GVA1" s="87"/>
      <c r="GVB1" s="87"/>
      <c r="GVC1" s="87"/>
      <c r="GVD1" s="87"/>
      <c r="GVE1" s="87"/>
      <c r="GVF1" s="87"/>
      <c r="GVG1" s="87"/>
      <c r="GVH1" s="87"/>
      <c r="GVI1" s="87"/>
      <c r="GVJ1" s="87"/>
      <c r="GVK1" s="87"/>
      <c r="GVL1" s="87"/>
      <c r="GVM1" s="87"/>
      <c r="GVN1" s="87"/>
      <c r="GVO1" s="87"/>
      <c r="GVP1" s="87"/>
      <c r="GVQ1" s="87"/>
      <c r="GVR1" s="87"/>
      <c r="GVS1" s="87"/>
      <c r="GVT1" s="87"/>
      <c r="GVU1" s="87"/>
      <c r="GVV1" s="87"/>
      <c r="GVW1" s="87"/>
      <c r="GVX1" s="87"/>
      <c r="GVY1" s="87"/>
      <c r="GVZ1" s="87"/>
      <c r="GWA1" s="87"/>
      <c r="GWB1" s="87"/>
      <c r="GWC1" s="87"/>
      <c r="GWD1" s="87"/>
      <c r="GWE1" s="87"/>
      <c r="GWF1" s="87"/>
      <c r="GWG1" s="87"/>
      <c r="GWH1" s="87"/>
      <c r="GWI1" s="87"/>
      <c r="GWJ1" s="87"/>
      <c r="GWK1" s="87"/>
      <c r="GWL1" s="87"/>
      <c r="GWM1" s="87"/>
      <c r="GWN1" s="87"/>
      <c r="GWO1" s="87"/>
      <c r="GWP1" s="87"/>
      <c r="GWQ1" s="87"/>
      <c r="GWR1" s="87"/>
      <c r="GWS1" s="87"/>
      <c r="GWT1" s="87"/>
      <c r="GWU1" s="87"/>
      <c r="GWV1" s="87"/>
      <c r="GWW1" s="87"/>
      <c r="GWX1" s="87"/>
      <c r="GWY1" s="87"/>
      <c r="GWZ1" s="87"/>
      <c r="GXA1" s="87"/>
      <c r="GXB1" s="87"/>
      <c r="GXC1" s="87"/>
      <c r="GXD1" s="87"/>
      <c r="GXE1" s="87"/>
      <c r="GXF1" s="87"/>
      <c r="GXG1" s="87"/>
      <c r="GXH1" s="87"/>
      <c r="GXI1" s="87"/>
      <c r="GXJ1" s="87"/>
      <c r="GXK1" s="87"/>
      <c r="GXL1" s="87"/>
      <c r="GXM1" s="87"/>
      <c r="GXN1" s="87"/>
      <c r="GXO1" s="87"/>
      <c r="GXP1" s="87"/>
      <c r="GXQ1" s="87"/>
      <c r="GXR1" s="87"/>
      <c r="GXS1" s="87"/>
      <c r="GXT1" s="87"/>
      <c r="GXU1" s="87"/>
      <c r="GXV1" s="87"/>
      <c r="GXW1" s="87"/>
      <c r="GXX1" s="87"/>
      <c r="GXY1" s="87"/>
      <c r="GXZ1" s="87"/>
      <c r="GYA1" s="87"/>
      <c r="GYB1" s="87"/>
      <c r="GYC1" s="87"/>
      <c r="GYD1" s="87"/>
      <c r="GYE1" s="87"/>
      <c r="GYF1" s="87"/>
      <c r="GYG1" s="87"/>
      <c r="GYH1" s="87"/>
      <c r="GYI1" s="87"/>
      <c r="GYJ1" s="87"/>
      <c r="GYK1" s="87"/>
      <c r="GYL1" s="87"/>
      <c r="GYM1" s="87"/>
      <c r="GYN1" s="87"/>
      <c r="GYO1" s="87"/>
      <c r="GYP1" s="87"/>
      <c r="GYQ1" s="87"/>
      <c r="GYR1" s="87"/>
      <c r="GYS1" s="87"/>
      <c r="GYT1" s="87"/>
      <c r="GYU1" s="87"/>
      <c r="GYV1" s="87"/>
      <c r="GYW1" s="87"/>
      <c r="GYX1" s="87"/>
      <c r="GYY1" s="87"/>
      <c r="GYZ1" s="87"/>
      <c r="GZA1" s="87"/>
      <c r="GZB1" s="87"/>
      <c r="GZC1" s="87"/>
      <c r="GZD1" s="87"/>
      <c r="GZE1" s="87"/>
      <c r="GZF1" s="87"/>
      <c r="GZG1" s="87"/>
      <c r="GZH1" s="87"/>
      <c r="GZI1" s="87"/>
      <c r="GZJ1" s="87"/>
      <c r="GZK1" s="87"/>
      <c r="GZL1" s="87"/>
      <c r="GZM1" s="87"/>
      <c r="GZN1" s="87"/>
      <c r="GZO1" s="87"/>
      <c r="GZP1" s="87"/>
      <c r="GZQ1" s="87"/>
      <c r="GZR1" s="87"/>
      <c r="GZS1" s="87"/>
      <c r="GZT1" s="87"/>
      <c r="GZU1" s="87"/>
      <c r="GZV1" s="87"/>
      <c r="GZW1" s="87"/>
      <c r="GZX1" s="87"/>
      <c r="GZY1" s="87"/>
      <c r="GZZ1" s="87"/>
      <c r="HAA1" s="87"/>
      <c r="HAB1" s="87"/>
      <c r="HAC1" s="87"/>
      <c r="HAD1" s="87"/>
      <c r="HAE1" s="87"/>
      <c r="HAF1" s="87"/>
      <c r="HAG1" s="87"/>
      <c r="HAH1" s="87"/>
      <c r="HAI1" s="87"/>
      <c r="HAJ1" s="87"/>
      <c r="HAK1" s="87"/>
      <c r="HAL1" s="87"/>
      <c r="HAM1" s="87"/>
      <c r="HAN1" s="87"/>
      <c r="HAO1" s="87"/>
      <c r="HAP1" s="87"/>
      <c r="HAQ1" s="87"/>
      <c r="HAR1" s="87"/>
      <c r="HAS1" s="87"/>
      <c r="HAT1" s="87"/>
      <c r="HAU1" s="87"/>
      <c r="HAV1" s="87"/>
      <c r="HAW1" s="87"/>
      <c r="HAX1" s="87"/>
      <c r="HAY1" s="87"/>
      <c r="HAZ1" s="87"/>
      <c r="HBA1" s="87"/>
      <c r="HBB1" s="87"/>
      <c r="HBC1" s="87"/>
      <c r="HBD1" s="87"/>
      <c r="HBE1" s="87"/>
      <c r="HBF1" s="87"/>
      <c r="HBG1" s="87"/>
      <c r="HBH1" s="87"/>
      <c r="HBI1" s="87"/>
      <c r="HBJ1" s="87"/>
      <c r="HBK1" s="87"/>
      <c r="HBL1" s="87"/>
      <c r="HBM1" s="87"/>
      <c r="HBN1" s="87"/>
      <c r="HBO1" s="87"/>
      <c r="HBP1" s="87"/>
      <c r="HBQ1" s="87"/>
      <c r="HBR1" s="87"/>
      <c r="HBS1" s="87"/>
      <c r="HBT1" s="87"/>
      <c r="HBU1" s="87"/>
      <c r="HBV1" s="87"/>
      <c r="HBW1" s="87"/>
      <c r="HBX1" s="87"/>
      <c r="HBY1" s="87"/>
      <c r="HBZ1" s="87"/>
      <c r="HCA1" s="87"/>
      <c r="HCB1" s="87"/>
      <c r="HCC1" s="87"/>
      <c r="HCD1" s="87"/>
      <c r="HCE1" s="87"/>
      <c r="HCF1" s="87"/>
      <c r="HCG1" s="87"/>
      <c r="HCH1" s="87"/>
      <c r="HCI1" s="87"/>
      <c r="HCJ1" s="87"/>
      <c r="HCK1" s="87"/>
      <c r="HCL1" s="87"/>
      <c r="HCM1" s="87"/>
      <c r="HCN1" s="87"/>
      <c r="HCO1" s="87"/>
      <c r="HCP1" s="87"/>
      <c r="HCQ1" s="87"/>
      <c r="HCR1" s="87"/>
      <c r="HCS1" s="87"/>
      <c r="HCT1" s="87"/>
      <c r="HCU1" s="87"/>
      <c r="HCV1" s="87"/>
      <c r="HCW1" s="87"/>
      <c r="HCX1" s="87"/>
      <c r="HCY1" s="87"/>
      <c r="HCZ1" s="87"/>
      <c r="HDA1" s="87"/>
      <c r="HDB1" s="87"/>
      <c r="HDC1" s="87"/>
      <c r="HDD1" s="87"/>
      <c r="HDE1" s="87"/>
      <c r="HDF1" s="87"/>
      <c r="HDG1" s="87"/>
      <c r="HDH1" s="87"/>
      <c r="HDI1" s="87"/>
      <c r="HDJ1" s="87"/>
      <c r="HDK1" s="87"/>
      <c r="HDL1" s="87"/>
      <c r="HDM1" s="87"/>
      <c r="HDN1" s="87"/>
      <c r="HDO1" s="87"/>
      <c r="HDP1" s="87"/>
      <c r="HDQ1" s="87"/>
      <c r="HDR1" s="87"/>
      <c r="HDS1" s="87"/>
      <c r="HDT1" s="87"/>
      <c r="HDU1" s="87"/>
      <c r="HDV1" s="87"/>
      <c r="HDW1" s="87"/>
      <c r="HDX1" s="87"/>
      <c r="HDY1" s="87"/>
      <c r="HDZ1" s="87"/>
      <c r="HEA1" s="87"/>
      <c r="HEB1" s="87"/>
      <c r="HEC1" s="87"/>
      <c r="HED1" s="87"/>
      <c r="HEE1" s="87"/>
      <c r="HEF1" s="87"/>
      <c r="HEG1" s="87"/>
      <c r="HEH1" s="87"/>
      <c r="HEI1" s="87"/>
      <c r="HEJ1" s="87"/>
      <c r="HEK1" s="87"/>
      <c r="HEL1" s="87"/>
      <c r="HEM1" s="87"/>
      <c r="HEN1" s="87"/>
      <c r="HEO1" s="87"/>
      <c r="HEP1" s="87"/>
      <c r="HEQ1" s="87"/>
      <c r="HER1" s="87"/>
      <c r="HES1" s="87"/>
      <c r="HET1" s="87"/>
      <c r="HEU1" s="87"/>
      <c r="HEV1" s="87"/>
      <c r="HEW1" s="87"/>
      <c r="HEX1" s="87"/>
      <c r="HEY1" s="87"/>
      <c r="HEZ1" s="87"/>
      <c r="HFA1" s="87"/>
      <c r="HFB1" s="87"/>
      <c r="HFC1" s="87"/>
      <c r="HFD1" s="87"/>
      <c r="HFE1" s="87"/>
      <c r="HFF1" s="87"/>
      <c r="HFG1" s="87"/>
      <c r="HFH1" s="87"/>
      <c r="HFI1" s="87"/>
      <c r="HFJ1" s="87"/>
      <c r="HFK1" s="87"/>
      <c r="HFL1" s="87"/>
      <c r="HFM1" s="87"/>
      <c r="HFN1" s="87"/>
      <c r="HFO1" s="87"/>
      <c r="HFP1" s="87"/>
      <c r="HFQ1" s="87"/>
      <c r="HFR1" s="87"/>
      <c r="HFS1" s="87"/>
      <c r="HFT1" s="87"/>
      <c r="HFU1" s="87"/>
      <c r="HFV1" s="87"/>
      <c r="HFW1" s="87"/>
      <c r="HFX1" s="87"/>
      <c r="HFY1" s="87"/>
      <c r="HFZ1" s="87"/>
      <c r="HGA1" s="87"/>
      <c r="HGB1" s="87"/>
      <c r="HGC1" s="87"/>
      <c r="HGD1" s="87"/>
      <c r="HGE1" s="87"/>
      <c r="HGF1" s="87"/>
      <c r="HGG1" s="87"/>
      <c r="HGH1" s="87"/>
      <c r="HGI1" s="87"/>
      <c r="HGJ1" s="87"/>
      <c r="HGK1" s="87"/>
      <c r="HGL1" s="87"/>
      <c r="HGM1" s="87"/>
      <c r="HGN1" s="87"/>
      <c r="HGO1" s="87"/>
      <c r="HGP1" s="87"/>
      <c r="HGQ1" s="87"/>
      <c r="HGR1" s="87"/>
      <c r="HGS1" s="87"/>
      <c r="HGT1" s="87"/>
      <c r="HGU1" s="87"/>
      <c r="HGV1" s="87"/>
      <c r="HGW1" s="87"/>
      <c r="HGX1" s="87"/>
      <c r="HGY1" s="87"/>
      <c r="HGZ1" s="87"/>
      <c r="HHA1" s="87"/>
      <c r="HHB1" s="87"/>
      <c r="HHC1" s="87"/>
      <c r="HHD1" s="87"/>
      <c r="HHE1" s="87"/>
      <c r="HHF1" s="87"/>
      <c r="HHG1" s="87"/>
      <c r="HHH1" s="87"/>
      <c r="HHI1" s="87"/>
      <c r="HHJ1" s="87"/>
      <c r="HHK1" s="87"/>
      <c r="HHL1" s="87"/>
      <c r="HHM1" s="87"/>
      <c r="HHN1" s="87"/>
      <c r="HHO1" s="87"/>
      <c r="HHP1" s="87"/>
      <c r="HHQ1" s="87"/>
      <c r="HHR1" s="87"/>
      <c r="HHS1" s="87"/>
      <c r="HHT1" s="87"/>
      <c r="HHU1" s="87"/>
      <c r="HHV1" s="87"/>
      <c r="HHW1" s="87"/>
      <c r="HHX1" s="87"/>
      <c r="HHY1" s="87"/>
      <c r="HHZ1" s="87"/>
      <c r="HIA1" s="87"/>
      <c r="HIB1" s="87"/>
      <c r="HIC1" s="87"/>
      <c r="HID1" s="87"/>
      <c r="HIE1" s="87"/>
      <c r="HIF1" s="87"/>
      <c r="HIG1" s="87"/>
      <c r="HIH1" s="87"/>
      <c r="HII1" s="87"/>
      <c r="HIJ1" s="87"/>
      <c r="HIK1" s="87"/>
      <c r="HIL1" s="87"/>
      <c r="HIM1" s="87"/>
      <c r="HIN1" s="87"/>
      <c r="HIO1" s="87"/>
      <c r="HIP1" s="87"/>
      <c r="HIQ1" s="87"/>
      <c r="HIR1" s="87"/>
      <c r="HIS1" s="87"/>
      <c r="HIT1" s="87"/>
      <c r="HIU1" s="87"/>
      <c r="HIV1" s="87"/>
      <c r="HIW1" s="87"/>
      <c r="HIX1" s="87"/>
      <c r="HIY1" s="87"/>
      <c r="HIZ1" s="87"/>
      <c r="HJA1" s="87"/>
      <c r="HJB1" s="87"/>
      <c r="HJC1" s="87"/>
      <c r="HJD1" s="87"/>
      <c r="HJE1" s="87"/>
      <c r="HJF1" s="87"/>
      <c r="HJG1" s="87"/>
      <c r="HJH1" s="87"/>
      <c r="HJI1" s="87"/>
      <c r="HJJ1" s="87"/>
      <c r="HJK1" s="87"/>
      <c r="HJL1" s="87"/>
      <c r="HJM1" s="87"/>
      <c r="HJN1" s="87"/>
      <c r="HJO1" s="87"/>
      <c r="HJP1" s="87"/>
      <c r="HJQ1" s="87"/>
      <c r="HJR1" s="87"/>
      <c r="HJS1" s="87"/>
      <c r="HJT1" s="87"/>
      <c r="HJU1" s="87"/>
      <c r="HJV1" s="87"/>
      <c r="HJW1" s="87"/>
      <c r="HJX1" s="87"/>
      <c r="HJY1" s="87"/>
      <c r="HJZ1" s="87"/>
      <c r="HKA1" s="87"/>
      <c r="HKB1" s="87"/>
      <c r="HKC1" s="87"/>
      <c r="HKD1" s="87"/>
      <c r="HKE1" s="87"/>
      <c r="HKF1" s="87"/>
      <c r="HKG1" s="87"/>
      <c r="HKH1" s="87"/>
      <c r="HKI1" s="87"/>
      <c r="HKJ1" s="87"/>
      <c r="HKK1" s="87"/>
      <c r="HKL1" s="87"/>
      <c r="HKM1" s="87"/>
      <c r="HKN1" s="87"/>
      <c r="HKO1" s="87"/>
      <c r="HKP1" s="87"/>
      <c r="HKQ1" s="87"/>
      <c r="HKR1" s="87"/>
      <c r="HKS1" s="87"/>
      <c r="HKT1" s="87"/>
      <c r="HKU1" s="87"/>
      <c r="HKV1" s="87"/>
      <c r="HKW1" s="87"/>
      <c r="HKX1" s="87"/>
      <c r="HKY1" s="87"/>
      <c r="HKZ1" s="87"/>
      <c r="HLA1" s="87"/>
      <c r="HLB1" s="87"/>
      <c r="HLC1" s="87"/>
      <c r="HLD1" s="87"/>
      <c r="HLE1" s="87"/>
      <c r="HLF1" s="87"/>
      <c r="HLG1" s="87"/>
      <c r="HLH1" s="87"/>
      <c r="HLI1" s="87"/>
      <c r="HLJ1" s="87"/>
      <c r="HLK1" s="87"/>
      <c r="HLL1" s="87"/>
      <c r="HLM1" s="87"/>
      <c r="HLN1" s="87"/>
      <c r="HLO1" s="87"/>
      <c r="HLP1" s="87"/>
      <c r="HLQ1" s="87"/>
      <c r="HLR1" s="87"/>
      <c r="HLS1" s="87"/>
      <c r="HLT1" s="87"/>
      <c r="HLU1" s="87"/>
      <c r="HLV1" s="87"/>
      <c r="HLW1" s="87"/>
      <c r="HLX1" s="87"/>
      <c r="HLY1" s="87"/>
      <c r="HLZ1" s="87"/>
      <c r="HMA1" s="87"/>
      <c r="HMB1" s="87"/>
      <c r="HMC1" s="87"/>
      <c r="HMD1" s="87"/>
      <c r="HME1" s="87"/>
      <c r="HMF1" s="87"/>
      <c r="HMG1" s="87"/>
      <c r="HMH1" s="87"/>
      <c r="HMI1" s="87"/>
      <c r="HMJ1" s="87"/>
      <c r="HMK1" s="87"/>
      <c r="HML1" s="87"/>
      <c r="HMM1" s="87"/>
      <c r="HMN1" s="87"/>
      <c r="HMO1" s="87"/>
      <c r="HMP1" s="87"/>
      <c r="HMQ1" s="87"/>
      <c r="HMR1" s="87"/>
      <c r="HMS1" s="87"/>
      <c r="HMT1" s="87"/>
      <c r="HMU1" s="87"/>
      <c r="HMV1" s="87"/>
      <c r="HMW1" s="87"/>
      <c r="HMX1" s="87"/>
      <c r="HMY1" s="87"/>
      <c r="HMZ1" s="87"/>
      <c r="HNA1" s="87"/>
      <c r="HNB1" s="87"/>
      <c r="HNC1" s="87"/>
      <c r="HND1" s="87"/>
      <c r="HNE1" s="87"/>
      <c r="HNF1" s="87"/>
      <c r="HNG1" s="87"/>
      <c r="HNH1" s="87"/>
      <c r="HNI1" s="87"/>
      <c r="HNJ1" s="87"/>
      <c r="HNK1" s="87"/>
      <c r="HNL1" s="87"/>
      <c r="HNM1" s="87"/>
      <c r="HNN1" s="87"/>
      <c r="HNO1" s="87"/>
      <c r="HNP1" s="87"/>
      <c r="HNQ1" s="87"/>
      <c r="HNR1" s="87"/>
      <c r="HNS1" s="87"/>
      <c r="HNT1" s="87"/>
      <c r="HNU1" s="87"/>
      <c r="HNV1" s="87"/>
      <c r="HNW1" s="87"/>
      <c r="HNX1" s="87"/>
      <c r="HNY1" s="87"/>
      <c r="HNZ1" s="87"/>
      <c r="HOA1" s="87"/>
      <c r="HOB1" s="87"/>
      <c r="HOC1" s="87"/>
      <c r="HOD1" s="87"/>
      <c r="HOE1" s="87"/>
      <c r="HOF1" s="87"/>
      <c r="HOG1" s="87"/>
      <c r="HOH1" s="87"/>
      <c r="HOI1" s="87"/>
      <c r="HOJ1" s="87"/>
      <c r="HOK1" s="87"/>
      <c r="HOL1" s="87"/>
      <c r="HOM1" s="87"/>
      <c r="HON1" s="87"/>
      <c r="HOO1" s="87"/>
      <c r="HOP1" s="87"/>
      <c r="HOQ1" s="87"/>
      <c r="HOR1" s="87"/>
      <c r="HOS1" s="87"/>
      <c r="HOT1" s="87"/>
      <c r="HOU1" s="87"/>
      <c r="HOV1" s="87"/>
      <c r="HOW1" s="87"/>
      <c r="HOX1" s="87"/>
      <c r="HOY1" s="87"/>
      <c r="HOZ1" s="87"/>
      <c r="HPA1" s="87"/>
      <c r="HPB1" s="87"/>
      <c r="HPC1" s="87"/>
      <c r="HPD1" s="87"/>
      <c r="HPE1" s="87"/>
      <c r="HPF1" s="87"/>
      <c r="HPG1" s="87"/>
      <c r="HPH1" s="87"/>
      <c r="HPI1" s="87"/>
      <c r="HPJ1" s="87"/>
      <c r="HPK1" s="87"/>
      <c r="HPL1" s="87"/>
      <c r="HPM1" s="87"/>
      <c r="HPN1" s="87"/>
      <c r="HPO1" s="87"/>
      <c r="HPP1" s="87"/>
      <c r="HPQ1" s="87"/>
      <c r="HPR1" s="87"/>
      <c r="HPS1" s="87"/>
      <c r="HPT1" s="87"/>
      <c r="HPU1" s="87"/>
      <c r="HPV1" s="87"/>
      <c r="HPW1" s="87"/>
      <c r="HPX1" s="87"/>
      <c r="HPY1" s="87"/>
      <c r="HPZ1" s="87"/>
      <c r="HQA1" s="87"/>
      <c r="HQB1" s="87"/>
      <c r="HQC1" s="87"/>
      <c r="HQD1" s="87"/>
      <c r="HQE1" s="87"/>
      <c r="HQF1" s="87"/>
      <c r="HQG1" s="87"/>
      <c r="HQH1" s="87"/>
      <c r="HQI1" s="87"/>
      <c r="HQJ1" s="87"/>
      <c r="HQK1" s="87"/>
      <c r="HQL1" s="87"/>
      <c r="HQM1" s="87"/>
      <c r="HQN1" s="87"/>
      <c r="HQO1" s="87"/>
      <c r="HQP1" s="87"/>
      <c r="HQQ1" s="87"/>
      <c r="HQR1" s="87"/>
      <c r="HQS1" s="87"/>
      <c r="HQT1" s="87"/>
      <c r="HQU1" s="87"/>
      <c r="HQV1" s="87"/>
      <c r="HQW1" s="87"/>
      <c r="HQX1" s="87"/>
      <c r="HQY1" s="87"/>
      <c r="HQZ1" s="87"/>
      <c r="HRA1" s="87"/>
      <c r="HRB1" s="87"/>
      <c r="HRC1" s="87"/>
      <c r="HRD1" s="87"/>
      <c r="HRE1" s="87"/>
      <c r="HRF1" s="87"/>
      <c r="HRG1" s="87"/>
      <c r="HRH1" s="87"/>
      <c r="HRI1" s="87"/>
      <c r="HRJ1" s="87"/>
      <c r="HRK1" s="87"/>
      <c r="HRL1" s="87"/>
      <c r="HRM1" s="87"/>
      <c r="HRN1" s="87"/>
      <c r="HRO1" s="87"/>
      <c r="HRP1" s="87"/>
      <c r="HRQ1" s="87"/>
      <c r="HRR1" s="87"/>
      <c r="HRS1" s="87"/>
      <c r="HRT1" s="87"/>
      <c r="HRU1" s="87"/>
      <c r="HRV1" s="87"/>
      <c r="HRW1" s="87"/>
      <c r="HRX1" s="87"/>
      <c r="HRY1" s="87"/>
      <c r="HRZ1" s="87"/>
      <c r="HSA1" s="87"/>
      <c r="HSB1" s="87"/>
      <c r="HSC1" s="87"/>
      <c r="HSD1" s="87"/>
      <c r="HSE1" s="87"/>
      <c r="HSF1" s="87"/>
      <c r="HSG1" s="87"/>
      <c r="HSH1" s="87"/>
      <c r="HSI1" s="87"/>
      <c r="HSJ1" s="87"/>
      <c r="HSK1" s="87"/>
      <c r="HSL1" s="87"/>
      <c r="HSM1" s="87"/>
      <c r="HSN1" s="87"/>
      <c r="HSO1" s="87"/>
      <c r="HSP1" s="87"/>
      <c r="HSQ1" s="87"/>
      <c r="HSR1" s="87"/>
      <c r="HSS1" s="87"/>
      <c r="HST1" s="87"/>
      <c r="HSU1" s="87"/>
      <c r="HSV1" s="87"/>
      <c r="HSW1" s="87"/>
      <c r="HSX1" s="87"/>
      <c r="HSY1" s="87"/>
      <c r="HSZ1" s="87"/>
      <c r="HTA1" s="87"/>
      <c r="HTB1" s="87"/>
      <c r="HTC1" s="87"/>
      <c r="HTD1" s="87"/>
      <c r="HTE1" s="87"/>
      <c r="HTF1" s="87"/>
      <c r="HTG1" s="87"/>
      <c r="HTH1" s="87"/>
      <c r="HTI1" s="87"/>
      <c r="HTJ1" s="87"/>
      <c r="HTK1" s="87"/>
      <c r="HTL1" s="87"/>
      <c r="HTM1" s="87"/>
      <c r="HTN1" s="87"/>
      <c r="HTO1" s="87"/>
      <c r="HTP1" s="87"/>
      <c r="HTQ1" s="87"/>
      <c r="HTR1" s="87"/>
      <c r="HTS1" s="87"/>
      <c r="HTT1" s="87"/>
      <c r="HTU1" s="87"/>
      <c r="HTV1" s="87"/>
      <c r="HTW1" s="87"/>
      <c r="HTX1" s="87"/>
      <c r="HTY1" s="87"/>
      <c r="HTZ1" s="87"/>
      <c r="HUA1" s="87"/>
      <c r="HUB1" s="87"/>
      <c r="HUC1" s="87"/>
      <c r="HUD1" s="87"/>
      <c r="HUE1" s="87"/>
      <c r="HUF1" s="87"/>
      <c r="HUG1" s="87"/>
      <c r="HUH1" s="87"/>
      <c r="HUI1" s="87"/>
      <c r="HUJ1" s="87"/>
      <c r="HUK1" s="87"/>
      <c r="HUL1" s="87"/>
      <c r="HUM1" s="87"/>
      <c r="HUN1" s="87"/>
      <c r="HUO1" s="87"/>
      <c r="HUP1" s="87"/>
      <c r="HUQ1" s="87"/>
      <c r="HUR1" s="87"/>
      <c r="HUS1" s="87"/>
      <c r="HUT1" s="87"/>
      <c r="HUU1" s="87"/>
      <c r="HUV1" s="87"/>
      <c r="HUW1" s="87"/>
      <c r="HUX1" s="87"/>
      <c r="HUY1" s="87"/>
      <c r="HUZ1" s="87"/>
      <c r="HVA1" s="87"/>
      <c r="HVB1" s="87"/>
      <c r="HVC1" s="87"/>
      <c r="HVD1" s="87"/>
      <c r="HVE1" s="87"/>
      <c r="HVF1" s="87"/>
      <c r="HVG1" s="87"/>
      <c r="HVH1" s="87"/>
      <c r="HVI1" s="87"/>
      <c r="HVJ1" s="87"/>
      <c r="HVK1" s="87"/>
      <c r="HVL1" s="87"/>
      <c r="HVM1" s="87"/>
      <c r="HVN1" s="87"/>
      <c r="HVO1" s="87"/>
      <c r="HVP1" s="87"/>
      <c r="HVQ1" s="87"/>
      <c r="HVR1" s="87"/>
      <c r="HVS1" s="87"/>
      <c r="HVT1" s="87"/>
      <c r="HVU1" s="87"/>
      <c r="HVV1" s="87"/>
      <c r="HVW1" s="87"/>
      <c r="HVX1" s="87"/>
      <c r="HVY1" s="87"/>
      <c r="HVZ1" s="87"/>
      <c r="HWA1" s="87"/>
      <c r="HWB1" s="87"/>
      <c r="HWC1" s="87"/>
      <c r="HWD1" s="87"/>
      <c r="HWE1" s="87"/>
      <c r="HWF1" s="87"/>
      <c r="HWG1" s="87"/>
      <c r="HWH1" s="87"/>
      <c r="HWI1" s="87"/>
      <c r="HWJ1" s="87"/>
      <c r="HWK1" s="87"/>
      <c r="HWL1" s="87"/>
      <c r="HWM1" s="87"/>
      <c r="HWN1" s="87"/>
      <c r="HWO1" s="87"/>
      <c r="HWP1" s="87"/>
      <c r="HWQ1" s="87"/>
      <c r="HWR1" s="87"/>
      <c r="HWS1" s="87"/>
      <c r="HWT1" s="87"/>
      <c r="HWU1" s="87"/>
      <c r="HWV1" s="87"/>
      <c r="HWW1" s="87"/>
      <c r="HWX1" s="87"/>
      <c r="HWY1" s="87"/>
      <c r="HWZ1" s="87"/>
      <c r="HXA1" s="87"/>
      <c r="HXB1" s="87"/>
      <c r="HXC1" s="87"/>
      <c r="HXD1" s="87"/>
      <c r="HXE1" s="87"/>
      <c r="HXF1" s="87"/>
      <c r="HXG1" s="87"/>
      <c r="HXH1" s="87"/>
      <c r="HXI1" s="87"/>
      <c r="HXJ1" s="87"/>
      <c r="HXK1" s="87"/>
      <c r="HXL1" s="87"/>
      <c r="HXM1" s="87"/>
      <c r="HXN1" s="87"/>
      <c r="HXO1" s="87"/>
      <c r="HXP1" s="87"/>
      <c r="HXQ1" s="87"/>
      <c r="HXR1" s="87"/>
      <c r="HXS1" s="87"/>
      <c r="HXT1" s="87"/>
      <c r="HXU1" s="87"/>
      <c r="HXV1" s="87"/>
      <c r="HXW1" s="87"/>
      <c r="HXX1" s="87"/>
      <c r="HXY1" s="87"/>
      <c r="HXZ1" s="87"/>
      <c r="HYA1" s="87"/>
      <c r="HYB1" s="87"/>
      <c r="HYC1" s="87"/>
      <c r="HYD1" s="87"/>
      <c r="HYE1" s="87"/>
      <c r="HYF1" s="87"/>
      <c r="HYG1" s="87"/>
      <c r="HYH1" s="87"/>
      <c r="HYI1" s="87"/>
      <c r="HYJ1" s="87"/>
      <c r="HYK1" s="87"/>
      <c r="HYL1" s="87"/>
      <c r="HYM1" s="87"/>
      <c r="HYN1" s="87"/>
      <c r="HYO1" s="87"/>
      <c r="HYP1" s="87"/>
      <c r="HYQ1" s="87"/>
      <c r="HYR1" s="87"/>
      <c r="HYS1" s="87"/>
      <c r="HYT1" s="87"/>
      <c r="HYU1" s="87"/>
      <c r="HYV1" s="87"/>
      <c r="HYW1" s="87"/>
      <c r="HYX1" s="87"/>
      <c r="HYY1" s="87"/>
      <c r="HYZ1" s="87"/>
      <c r="HZA1" s="87"/>
      <c r="HZB1" s="87"/>
      <c r="HZC1" s="87"/>
      <c r="HZD1" s="87"/>
      <c r="HZE1" s="87"/>
      <c r="HZF1" s="87"/>
      <c r="HZG1" s="87"/>
      <c r="HZH1" s="87"/>
      <c r="HZI1" s="87"/>
      <c r="HZJ1" s="87"/>
      <c r="HZK1" s="87"/>
      <c r="HZL1" s="87"/>
      <c r="HZM1" s="87"/>
      <c r="HZN1" s="87"/>
      <c r="HZO1" s="87"/>
      <c r="HZP1" s="87"/>
      <c r="HZQ1" s="87"/>
      <c r="HZR1" s="87"/>
      <c r="HZS1" s="87"/>
      <c r="HZT1" s="87"/>
      <c r="HZU1" s="87"/>
      <c r="HZV1" s="87"/>
      <c r="HZW1" s="87"/>
      <c r="HZX1" s="87"/>
      <c r="HZY1" s="87"/>
      <c r="HZZ1" s="87"/>
      <c r="IAA1" s="87"/>
      <c r="IAB1" s="87"/>
      <c r="IAC1" s="87"/>
      <c r="IAD1" s="87"/>
      <c r="IAE1" s="87"/>
      <c r="IAF1" s="87"/>
      <c r="IAG1" s="87"/>
      <c r="IAH1" s="87"/>
      <c r="IAI1" s="87"/>
      <c r="IAJ1" s="87"/>
      <c r="IAK1" s="87"/>
      <c r="IAL1" s="87"/>
      <c r="IAM1" s="87"/>
      <c r="IAN1" s="87"/>
      <c r="IAO1" s="87"/>
      <c r="IAP1" s="87"/>
      <c r="IAQ1" s="87"/>
      <c r="IAR1" s="87"/>
      <c r="IAS1" s="87"/>
      <c r="IAT1" s="87"/>
      <c r="IAU1" s="87"/>
      <c r="IAV1" s="87"/>
      <c r="IAW1" s="87"/>
      <c r="IAX1" s="87"/>
      <c r="IAY1" s="87"/>
      <c r="IAZ1" s="87"/>
      <c r="IBA1" s="87"/>
      <c r="IBB1" s="87"/>
      <c r="IBC1" s="87"/>
      <c r="IBD1" s="87"/>
      <c r="IBE1" s="87"/>
      <c r="IBF1" s="87"/>
      <c r="IBG1" s="87"/>
      <c r="IBH1" s="87"/>
      <c r="IBI1" s="87"/>
      <c r="IBJ1" s="87"/>
      <c r="IBK1" s="87"/>
      <c r="IBL1" s="87"/>
      <c r="IBM1" s="87"/>
      <c r="IBN1" s="87"/>
      <c r="IBO1" s="87"/>
      <c r="IBP1" s="87"/>
      <c r="IBQ1" s="87"/>
      <c r="IBR1" s="87"/>
      <c r="IBS1" s="87"/>
      <c r="IBT1" s="87"/>
      <c r="IBU1" s="87"/>
      <c r="IBV1" s="87"/>
      <c r="IBW1" s="87"/>
      <c r="IBX1" s="87"/>
      <c r="IBY1" s="87"/>
      <c r="IBZ1" s="87"/>
      <c r="ICA1" s="87"/>
      <c r="ICB1" s="87"/>
      <c r="ICC1" s="87"/>
      <c r="ICD1" s="87"/>
      <c r="ICE1" s="87"/>
      <c r="ICF1" s="87"/>
      <c r="ICG1" s="87"/>
      <c r="ICH1" s="87"/>
      <c r="ICI1" s="87"/>
      <c r="ICJ1" s="87"/>
      <c r="ICK1" s="87"/>
      <c r="ICL1" s="87"/>
      <c r="ICM1" s="87"/>
      <c r="ICN1" s="87"/>
      <c r="ICO1" s="87"/>
      <c r="ICP1" s="87"/>
      <c r="ICQ1" s="87"/>
      <c r="ICR1" s="87"/>
      <c r="ICS1" s="87"/>
      <c r="ICT1" s="87"/>
      <c r="ICU1" s="87"/>
      <c r="ICV1" s="87"/>
      <c r="ICW1" s="87"/>
      <c r="ICX1" s="87"/>
      <c r="ICY1" s="87"/>
      <c r="ICZ1" s="87"/>
      <c r="IDA1" s="87"/>
      <c r="IDB1" s="87"/>
      <c r="IDC1" s="87"/>
      <c r="IDD1" s="87"/>
      <c r="IDE1" s="87"/>
      <c r="IDF1" s="87"/>
      <c r="IDG1" s="87"/>
      <c r="IDH1" s="87"/>
      <c r="IDI1" s="87"/>
      <c r="IDJ1" s="87"/>
      <c r="IDK1" s="87"/>
      <c r="IDL1" s="87"/>
      <c r="IDM1" s="87"/>
      <c r="IDN1" s="87"/>
      <c r="IDO1" s="87"/>
      <c r="IDP1" s="87"/>
      <c r="IDQ1" s="87"/>
      <c r="IDR1" s="87"/>
      <c r="IDS1" s="87"/>
      <c r="IDT1" s="87"/>
      <c r="IDU1" s="87"/>
      <c r="IDV1" s="87"/>
      <c r="IDW1" s="87"/>
      <c r="IDX1" s="87"/>
      <c r="IDY1" s="87"/>
      <c r="IDZ1" s="87"/>
      <c r="IEA1" s="87"/>
      <c r="IEB1" s="87"/>
      <c r="IEC1" s="87"/>
      <c r="IED1" s="87"/>
      <c r="IEE1" s="87"/>
      <c r="IEF1" s="87"/>
      <c r="IEG1" s="87"/>
      <c r="IEH1" s="87"/>
      <c r="IEI1" s="87"/>
      <c r="IEJ1" s="87"/>
      <c r="IEK1" s="87"/>
      <c r="IEL1" s="87"/>
      <c r="IEM1" s="87"/>
      <c r="IEN1" s="87"/>
      <c r="IEO1" s="87"/>
      <c r="IEP1" s="87"/>
      <c r="IEQ1" s="87"/>
      <c r="IER1" s="87"/>
      <c r="IES1" s="87"/>
      <c r="IET1" s="87"/>
      <c r="IEU1" s="87"/>
      <c r="IEV1" s="87"/>
      <c r="IEW1" s="87"/>
      <c r="IEX1" s="87"/>
      <c r="IEY1" s="87"/>
      <c r="IEZ1" s="87"/>
      <c r="IFA1" s="87"/>
      <c r="IFB1" s="87"/>
      <c r="IFC1" s="87"/>
      <c r="IFD1" s="87"/>
      <c r="IFE1" s="87"/>
      <c r="IFF1" s="87"/>
      <c r="IFG1" s="87"/>
      <c r="IFH1" s="87"/>
      <c r="IFI1" s="87"/>
      <c r="IFJ1" s="87"/>
      <c r="IFK1" s="87"/>
      <c r="IFL1" s="87"/>
      <c r="IFM1" s="87"/>
      <c r="IFN1" s="87"/>
      <c r="IFO1" s="87"/>
      <c r="IFP1" s="87"/>
      <c r="IFQ1" s="87"/>
      <c r="IFR1" s="87"/>
      <c r="IFS1" s="87"/>
      <c r="IFT1" s="87"/>
      <c r="IFU1" s="87"/>
      <c r="IFV1" s="87"/>
      <c r="IFW1" s="87"/>
      <c r="IFX1" s="87"/>
      <c r="IFY1" s="87"/>
      <c r="IFZ1" s="87"/>
      <c r="IGA1" s="87"/>
      <c r="IGB1" s="87"/>
      <c r="IGC1" s="87"/>
      <c r="IGD1" s="87"/>
      <c r="IGE1" s="87"/>
      <c r="IGF1" s="87"/>
      <c r="IGG1" s="87"/>
      <c r="IGH1" s="87"/>
      <c r="IGI1" s="87"/>
      <c r="IGJ1" s="87"/>
      <c r="IGK1" s="87"/>
      <c r="IGL1" s="87"/>
      <c r="IGM1" s="87"/>
      <c r="IGN1" s="87"/>
      <c r="IGO1" s="87"/>
      <c r="IGP1" s="87"/>
      <c r="IGQ1" s="87"/>
      <c r="IGR1" s="87"/>
      <c r="IGS1" s="87"/>
      <c r="IGT1" s="87"/>
      <c r="IGU1" s="87"/>
      <c r="IGV1" s="87"/>
      <c r="IGW1" s="87"/>
      <c r="IGX1" s="87"/>
      <c r="IGY1" s="87"/>
      <c r="IGZ1" s="87"/>
      <c r="IHA1" s="87"/>
      <c r="IHB1" s="87"/>
      <c r="IHC1" s="87"/>
      <c r="IHD1" s="87"/>
      <c r="IHE1" s="87"/>
      <c r="IHF1" s="87"/>
      <c r="IHG1" s="87"/>
      <c r="IHH1" s="87"/>
      <c r="IHI1" s="87"/>
      <c r="IHJ1" s="87"/>
      <c r="IHK1" s="87"/>
      <c r="IHL1" s="87"/>
      <c r="IHM1" s="87"/>
      <c r="IHN1" s="87"/>
      <c r="IHO1" s="87"/>
      <c r="IHP1" s="87"/>
      <c r="IHQ1" s="87"/>
      <c r="IHR1" s="87"/>
      <c r="IHS1" s="87"/>
      <c r="IHT1" s="87"/>
      <c r="IHU1" s="87"/>
      <c r="IHV1" s="87"/>
      <c r="IHW1" s="87"/>
      <c r="IHX1" s="87"/>
      <c r="IHY1" s="87"/>
      <c r="IHZ1" s="87"/>
      <c r="IIA1" s="87"/>
      <c r="IIB1" s="87"/>
      <c r="IIC1" s="87"/>
      <c r="IID1" s="87"/>
      <c r="IIE1" s="87"/>
      <c r="IIF1" s="87"/>
      <c r="IIG1" s="87"/>
      <c r="IIH1" s="87"/>
      <c r="III1" s="87"/>
      <c r="IIJ1" s="87"/>
      <c r="IIK1" s="87"/>
      <c r="IIL1" s="87"/>
      <c r="IIM1" s="87"/>
      <c r="IIN1" s="87"/>
      <c r="IIO1" s="87"/>
      <c r="IIP1" s="87"/>
      <c r="IIQ1" s="87"/>
      <c r="IIR1" s="87"/>
      <c r="IIS1" s="87"/>
      <c r="IIT1" s="87"/>
      <c r="IIU1" s="87"/>
      <c r="IIV1" s="87"/>
      <c r="IIW1" s="87"/>
      <c r="IIX1" s="87"/>
      <c r="IIY1" s="87"/>
      <c r="IIZ1" s="87"/>
      <c r="IJA1" s="87"/>
      <c r="IJB1" s="87"/>
      <c r="IJC1" s="87"/>
      <c r="IJD1" s="87"/>
      <c r="IJE1" s="87"/>
      <c r="IJF1" s="87"/>
      <c r="IJG1" s="87"/>
      <c r="IJH1" s="87"/>
      <c r="IJI1" s="87"/>
      <c r="IJJ1" s="87"/>
      <c r="IJK1" s="87"/>
      <c r="IJL1" s="87"/>
      <c r="IJM1" s="87"/>
      <c r="IJN1" s="87"/>
      <c r="IJO1" s="87"/>
      <c r="IJP1" s="87"/>
      <c r="IJQ1" s="87"/>
      <c r="IJR1" s="87"/>
      <c r="IJS1" s="87"/>
      <c r="IJT1" s="87"/>
      <c r="IJU1" s="87"/>
      <c r="IJV1" s="87"/>
      <c r="IJW1" s="87"/>
      <c r="IJX1" s="87"/>
      <c r="IJY1" s="87"/>
      <c r="IJZ1" s="87"/>
      <c r="IKA1" s="87"/>
      <c r="IKB1" s="87"/>
      <c r="IKC1" s="87"/>
      <c r="IKD1" s="87"/>
      <c r="IKE1" s="87"/>
      <c r="IKF1" s="87"/>
      <c r="IKG1" s="87"/>
      <c r="IKH1" s="87"/>
      <c r="IKI1" s="87"/>
      <c r="IKJ1" s="87"/>
      <c r="IKK1" s="87"/>
      <c r="IKL1" s="87"/>
      <c r="IKM1" s="87"/>
      <c r="IKN1" s="87"/>
      <c r="IKO1" s="87"/>
      <c r="IKP1" s="87"/>
      <c r="IKQ1" s="87"/>
      <c r="IKR1" s="87"/>
      <c r="IKS1" s="87"/>
      <c r="IKT1" s="87"/>
      <c r="IKU1" s="87"/>
      <c r="IKV1" s="87"/>
      <c r="IKW1" s="87"/>
      <c r="IKX1" s="87"/>
      <c r="IKY1" s="87"/>
      <c r="IKZ1" s="87"/>
      <c r="ILA1" s="87"/>
      <c r="ILB1" s="87"/>
      <c r="ILC1" s="87"/>
      <c r="ILD1" s="87"/>
      <c r="ILE1" s="87"/>
      <c r="ILF1" s="87"/>
      <c r="ILG1" s="87"/>
      <c r="ILH1" s="87"/>
      <c r="ILI1" s="87"/>
      <c r="ILJ1" s="87"/>
      <c r="ILK1" s="87"/>
      <c r="ILL1" s="87"/>
      <c r="ILM1" s="87"/>
      <c r="ILN1" s="87"/>
      <c r="ILO1" s="87"/>
      <c r="ILP1" s="87"/>
      <c r="ILQ1" s="87"/>
      <c r="ILR1" s="87"/>
      <c r="ILS1" s="87"/>
      <c r="ILT1" s="87"/>
      <c r="ILU1" s="87"/>
      <c r="ILV1" s="87"/>
      <c r="ILW1" s="87"/>
      <c r="ILX1" s="87"/>
      <c r="ILY1" s="87"/>
      <c r="ILZ1" s="87"/>
      <c r="IMA1" s="87"/>
      <c r="IMB1" s="87"/>
      <c r="IMC1" s="87"/>
      <c r="IMD1" s="87"/>
      <c r="IME1" s="87"/>
      <c r="IMF1" s="87"/>
      <c r="IMG1" s="87"/>
      <c r="IMH1" s="87"/>
      <c r="IMI1" s="87"/>
      <c r="IMJ1" s="87"/>
      <c r="IMK1" s="87"/>
      <c r="IML1" s="87"/>
      <c r="IMM1" s="87"/>
      <c r="IMN1" s="87"/>
      <c r="IMO1" s="87"/>
      <c r="IMP1" s="87"/>
      <c r="IMQ1" s="87"/>
      <c r="IMR1" s="87"/>
      <c r="IMS1" s="87"/>
      <c r="IMT1" s="87"/>
      <c r="IMU1" s="87"/>
      <c r="IMV1" s="87"/>
      <c r="IMW1" s="87"/>
      <c r="IMX1" s="87"/>
      <c r="IMY1" s="87"/>
      <c r="IMZ1" s="87"/>
      <c r="INA1" s="87"/>
      <c r="INB1" s="87"/>
      <c r="INC1" s="87"/>
      <c r="IND1" s="87"/>
      <c r="INE1" s="87"/>
      <c r="INF1" s="87"/>
      <c r="ING1" s="87"/>
      <c r="INH1" s="87"/>
      <c r="INI1" s="87"/>
      <c r="INJ1" s="87"/>
      <c r="INK1" s="87"/>
      <c r="INL1" s="87"/>
      <c r="INM1" s="87"/>
      <c r="INN1" s="87"/>
      <c r="INO1" s="87"/>
      <c r="INP1" s="87"/>
      <c r="INQ1" s="87"/>
      <c r="INR1" s="87"/>
      <c r="INS1" s="87"/>
      <c r="INT1" s="87"/>
      <c r="INU1" s="87"/>
      <c r="INV1" s="87"/>
      <c r="INW1" s="87"/>
      <c r="INX1" s="87"/>
      <c r="INY1" s="87"/>
      <c r="INZ1" s="87"/>
      <c r="IOA1" s="87"/>
      <c r="IOB1" s="87"/>
      <c r="IOC1" s="87"/>
      <c r="IOD1" s="87"/>
      <c r="IOE1" s="87"/>
      <c r="IOF1" s="87"/>
      <c r="IOG1" s="87"/>
      <c r="IOH1" s="87"/>
      <c r="IOI1" s="87"/>
      <c r="IOJ1" s="87"/>
      <c r="IOK1" s="87"/>
      <c r="IOL1" s="87"/>
      <c r="IOM1" s="87"/>
      <c r="ION1" s="87"/>
      <c r="IOO1" s="87"/>
      <c r="IOP1" s="87"/>
      <c r="IOQ1" s="87"/>
      <c r="IOR1" s="87"/>
      <c r="IOS1" s="87"/>
      <c r="IOT1" s="87"/>
      <c r="IOU1" s="87"/>
      <c r="IOV1" s="87"/>
      <c r="IOW1" s="87"/>
      <c r="IOX1" s="87"/>
      <c r="IOY1" s="87"/>
      <c r="IOZ1" s="87"/>
      <c r="IPA1" s="87"/>
      <c r="IPB1" s="87"/>
      <c r="IPC1" s="87"/>
      <c r="IPD1" s="87"/>
      <c r="IPE1" s="87"/>
      <c r="IPF1" s="87"/>
      <c r="IPG1" s="87"/>
      <c r="IPH1" s="87"/>
      <c r="IPI1" s="87"/>
      <c r="IPJ1" s="87"/>
      <c r="IPK1" s="87"/>
      <c r="IPL1" s="87"/>
      <c r="IPM1" s="87"/>
      <c r="IPN1" s="87"/>
      <c r="IPO1" s="87"/>
      <c r="IPP1" s="87"/>
      <c r="IPQ1" s="87"/>
      <c r="IPR1" s="87"/>
      <c r="IPS1" s="87"/>
      <c r="IPT1" s="87"/>
      <c r="IPU1" s="87"/>
      <c r="IPV1" s="87"/>
      <c r="IPW1" s="87"/>
      <c r="IPX1" s="87"/>
      <c r="IPY1" s="87"/>
      <c r="IPZ1" s="87"/>
      <c r="IQA1" s="87"/>
      <c r="IQB1" s="87"/>
      <c r="IQC1" s="87"/>
      <c r="IQD1" s="87"/>
      <c r="IQE1" s="87"/>
      <c r="IQF1" s="87"/>
      <c r="IQG1" s="87"/>
      <c r="IQH1" s="87"/>
      <c r="IQI1" s="87"/>
      <c r="IQJ1" s="87"/>
      <c r="IQK1" s="87"/>
      <c r="IQL1" s="87"/>
      <c r="IQM1" s="87"/>
      <c r="IQN1" s="87"/>
      <c r="IQO1" s="87"/>
      <c r="IQP1" s="87"/>
      <c r="IQQ1" s="87"/>
      <c r="IQR1" s="87"/>
      <c r="IQS1" s="87"/>
      <c r="IQT1" s="87"/>
      <c r="IQU1" s="87"/>
      <c r="IQV1" s="87"/>
      <c r="IQW1" s="87"/>
      <c r="IQX1" s="87"/>
      <c r="IQY1" s="87"/>
      <c r="IQZ1" s="87"/>
      <c r="IRA1" s="87"/>
      <c r="IRB1" s="87"/>
      <c r="IRC1" s="87"/>
      <c r="IRD1" s="87"/>
      <c r="IRE1" s="87"/>
      <c r="IRF1" s="87"/>
      <c r="IRG1" s="87"/>
      <c r="IRH1" s="87"/>
      <c r="IRI1" s="87"/>
      <c r="IRJ1" s="87"/>
      <c r="IRK1" s="87"/>
      <c r="IRL1" s="87"/>
      <c r="IRM1" s="87"/>
      <c r="IRN1" s="87"/>
      <c r="IRO1" s="87"/>
      <c r="IRP1" s="87"/>
      <c r="IRQ1" s="87"/>
      <c r="IRR1" s="87"/>
      <c r="IRS1" s="87"/>
      <c r="IRT1" s="87"/>
      <c r="IRU1" s="87"/>
      <c r="IRV1" s="87"/>
      <c r="IRW1" s="87"/>
      <c r="IRX1" s="87"/>
      <c r="IRY1" s="87"/>
      <c r="IRZ1" s="87"/>
      <c r="ISA1" s="87"/>
      <c r="ISB1" s="87"/>
      <c r="ISC1" s="87"/>
      <c r="ISD1" s="87"/>
      <c r="ISE1" s="87"/>
      <c r="ISF1" s="87"/>
      <c r="ISG1" s="87"/>
      <c r="ISH1" s="87"/>
      <c r="ISI1" s="87"/>
      <c r="ISJ1" s="87"/>
      <c r="ISK1" s="87"/>
      <c r="ISL1" s="87"/>
      <c r="ISM1" s="87"/>
      <c r="ISN1" s="87"/>
      <c r="ISO1" s="87"/>
      <c r="ISP1" s="87"/>
      <c r="ISQ1" s="87"/>
      <c r="ISR1" s="87"/>
      <c r="ISS1" s="87"/>
      <c r="IST1" s="87"/>
      <c r="ISU1" s="87"/>
      <c r="ISV1" s="87"/>
      <c r="ISW1" s="87"/>
      <c r="ISX1" s="87"/>
      <c r="ISY1" s="87"/>
      <c r="ISZ1" s="87"/>
      <c r="ITA1" s="87"/>
      <c r="ITB1" s="87"/>
      <c r="ITC1" s="87"/>
      <c r="ITD1" s="87"/>
      <c r="ITE1" s="87"/>
      <c r="ITF1" s="87"/>
      <c r="ITG1" s="87"/>
      <c r="ITH1" s="87"/>
      <c r="ITI1" s="87"/>
      <c r="ITJ1" s="87"/>
      <c r="ITK1" s="87"/>
      <c r="ITL1" s="87"/>
      <c r="ITM1" s="87"/>
      <c r="ITN1" s="87"/>
      <c r="ITO1" s="87"/>
      <c r="ITP1" s="87"/>
      <c r="ITQ1" s="87"/>
      <c r="ITR1" s="87"/>
      <c r="ITS1" s="87"/>
      <c r="ITT1" s="87"/>
      <c r="ITU1" s="87"/>
      <c r="ITV1" s="87"/>
      <c r="ITW1" s="87"/>
      <c r="ITX1" s="87"/>
      <c r="ITY1" s="87"/>
      <c r="ITZ1" s="87"/>
      <c r="IUA1" s="87"/>
      <c r="IUB1" s="87"/>
      <c r="IUC1" s="87"/>
      <c r="IUD1" s="87"/>
      <c r="IUE1" s="87"/>
      <c r="IUF1" s="87"/>
      <c r="IUG1" s="87"/>
      <c r="IUH1" s="87"/>
      <c r="IUI1" s="87"/>
      <c r="IUJ1" s="87"/>
      <c r="IUK1" s="87"/>
      <c r="IUL1" s="87"/>
      <c r="IUM1" s="87"/>
      <c r="IUN1" s="87"/>
      <c r="IUO1" s="87"/>
      <c r="IUP1" s="87"/>
      <c r="IUQ1" s="87"/>
      <c r="IUR1" s="87"/>
      <c r="IUS1" s="87"/>
      <c r="IUT1" s="87"/>
      <c r="IUU1" s="87"/>
      <c r="IUV1" s="87"/>
      <c r="IUW1" s="87"/>
      <c r="IUX1" s="87"/>
      <c r="IUY1" s="87"/>
      <c r="IUZ1" s="87"/>
      <c r="IVA1" s="87"/>
      <c r="IVB1" s="87"/>
      <c r="IVC1" s="87"/>
      <c r="IVD1" s="87"/>
      <c r="IVE1" s="87"/>
      <c r="IVF1" s="87"/>
      <c r="IVG1" s="87"/>
      <c r="IVH1" s="87"/>
      <c r="IVI1" s="87"/>
      <c r="IVJ1" s="87"/>
      <c r="IVK1" s="87"/>
      <c r="IVL1" s="87"/>
      <c r="IVM1" s="87"/>
      <c r="IVN1" s="87"/>
      <c r="IVO1" s="87"/>
      <c r="IVP1" s="87"/>
      <c r="IVQ1" s="87"/>
      <c r="IVR1" s="87"/>
      <c r="IVS1" s="87"/>
      <c r="IVT1" s="87"/>
      <c r="IVU1" s="87"/>
      <c r="IVV1" s="87"/>
      <c r="IVW1" s="87"/>
      <c r="IVX1" s="87"/>
      <c r="IVY1" s="87"/>
      <c r="IVZ1" s="87"/>
      <c r="IWA1" s="87"/>
      <c r="IWB1" s="87"/>
      <c r="IWC1" s="87"/>
      <c r="IWD1" s="87"/>
      <c r="IWE1" s="87"/>
      <c r="IWF1" s="87"/>
      <c r="IWG1" s="87"/>
      <c r="IWH1" s="87"/>
      <c r="IWI1" s="87"/>
      <c r="IWJ1" s="87"/>
      <c r="IWK1" s="87"/>
      <c r="IWL1" s="87"/>
      <c r="IWM1" s="87"/>
      <c r="IWN1" s="87"/>
      <c r="IWO1" s="87"/>
      <c r="IWP1" s="87"/>
      <c r="IWQ1" s="87"/>
      <c r="IWR1" s="87"/>
      <c r="IWS1" s="87"/>
      <c r="IWT1" s="87"/>
      <c r="IWU1" s="87"/>
      <c r="IWV1" s="87"/>
      <c r="IWW1" s="87"/>
      <c r="IWX1" s="87"/>
      <c r="IWY1" s="87"/>
      <c r="IWZ1" s="87"/>
      <c r="IXA1" s="87"/>
      <c r="IXB1" s="87"/>
      <c r="IXC1" s="87"/>
      <c r="IXD1" s="87"/>
      <c r="IXE1" s="87"/>
      <c r="IXF1" s="87"/>
      <c r="IXG1" s="87"/>
      <c r="IXH1" s="87"/>
      <c r="IXI1" s="87"/>
      <c r="IXJ1" s="87"/>
      <c r="IXK1" s="87"/>
      <c r="IXL1" s="87"/>
      <c r="IXM1" s="87"/>
      <c r="IXN1" s="87"/>
      <c r="IXO1" s="87"/>
      <c r="IXP1" s="87"/>
      <c r="IXQ1" s="87"/>
      <c r="IXR1" s="87"/>
      <c r="IXS1" s="87"/>
      <c r="IXT1" s="87"/>
      <c r="IXU1" s="87"/>
      <c r="IXV1" s="87"/>
      <c r="IXW1" s="87"/>
      <c r="IXX1" s="87"/>
      <c r="IXY1" s="87"/>
      <c r="IXZ1" s="87"/>
      <c r="IYA1" s="87"/>
      <c r="IYB1" s="87"/>
      <c r="IYC1" s="87"/>
      <c r="IYD1" s="87"/>
      <c r="IYE1" s="87"/>
      <c r="IYF1" s="87"/>
      <c r="IYG1" s="87"/>
      <c r="IYH1" s="87"/>
      <c r="IYI1" s="87"/>
      <c r="IYJ1" s="87"/>
      <c r="IYK1" s="87"/>
      <c r="IYL1" s="87"/>
      <c r="IYM1" s="87"/>
      <c r="IYN1" s="87"/>
      <c r="IYO1" s="87"/>
      <c r="IYP1" s="87"/>
      <c r="IYQ1" s="87"/>
      <c r="IYR1" s="87"/>
      <c r="IYS1" s="87"/>
      <c r="IYT1" s="87"/>
      <c r="IYU1" s="87"/>
      <c r="IYV1" s="87"/>
      <c r="IYW1" s="87"/>
      <c r="IYX1" s="87"/>
      <c r="IYY1" s="87"/>
      <c r="IYZ1" s="87"/>
      <c r="IZA1" s="87"/>
      <c r="IZB1" s="87"/>
      <c r="IZC1" s="87"/>
      <c r="IZD1" s="87"/>
      <c r="IZE1" s="87"/>
      <c r="IZF1" s="87"/>
      <c r="IZG1" s="87"/>
      <c r="IZH1" s="87"/>
      <c r="IZI1" s="87"/>
      <c r="IZJ1" s="87"/>
      <c r="IZK1" s="87"/>
      <c r="IZL1" s="87"/>
      <c r="IZM1" s="87"/>
      <c r="IZN1" s="87"/>
      <c r="IZO1" s="87"/>
      <c r="IZP1" s="87"/>
      <c r="IZQ1" s="87"/>
      <c r="IZR1" s="87"/>
      <c r="IZS1" s="87"/>
      <c r="IZT1" s="87"/>
      <c r="IZU1" s="87"/>
      <c r="IZV1" s="87"/>
      <c r="IZW1" s="87"/>
      <c r="IZX1" s="87"/>
      <c r="IZY1" s="87"/>
      <c r="IZZ1" s="87"/>
      <c r="JAA1" s="87"/>
      <c r="JAB1" s="87"/>
      <c r="JAC1" s="87"/>
      <c r="JAD1" s="87"/>
      <c r="JAE1" s="87"/>
      <c r="JAF1" s="87"/>
      <c r="JAG1" s="87"/>
      <c r="JAH1" s="87"/>
      <c r="JAI1" s="87"/>
      <c r="JAJ1" s="87"/>
      <c r="JAK1" s="87"/>
      <c r="JAL1" s="87"/>
      <c r="JAM1" s="87"/>
      <c r="JAN1" s="87"/>
      <c r="JAO1" s="87"/>
      <c r="JAP1" s="87"/>
      <c r="JAQ1" s="87"/>
      <c r="JAR1" s="87"/>
      <c r="JAS1" s="87"/>
      <c r="JAT1" s="87"/>
      <c r="JAU1" s="87"/>
      <c r="JAV1" s="87"/>
      <c r="JAW1" s="87"/>
      <c r="JAX1" s="87"/>
      <c r="JAY1" s="87"/>
      <c r="JAZ1" s="87"/>
      <c r="JBA1" s="87"/>
      <c r="JBB1" s="87"/>
      <c r="JBC1" s="87"/>
      <c r="JBD1" s="87"/>
      <c r="JBE1" s="87"/>
      <c r="JBF1" s="87"/>
      <c r="JBG1" s="87"/>
      <c r="JBH1" s="87"/>
      <c r="JBI1" s="87"/>
      <c r="JBJ1" s="87"/>
      <c r="JBK1" s="87"/>
      <c r="JBL1" s="87"/>
      <c r="JBM1" s="87"/>
      <c r="JBN1" s="87"/>
      <c r="JBO1" s="87"/>
      <c r="JBP1" s="87"/>
      <c r="JBQ1" s="87"/>
      <c r="JBR1" s="87"/>
      <c r="JBS1" s="87"/>
      <c r="JBT1" s="87"/>
      <c r="JBU1" s="87"/>
      <c r="JBV1" s="87"/>
      <c r="JBW1" s="87"/>
      <c r="JBX1" s="87"/>
      <c r="JBY1" s="87"/>
      <c r="JBZ1" s="87"/>
      <c r="JCA1" s="87"/>
      <c r="JCB1" s="87"/>
      <c r="JCC1" s="87"/>
      <c r="JCD1" s="87"/>
      <c r="JCE1" s="87"/>
      <c r="JCF1" s="87"/>
      <c r="JCG1" s="87"/>
      <c r="JCH1" s="87"/>
      <c r="JCI1" s="87"/>
      <c r="JCJ1" s="87"/>
      <c r="JCK1" s="87"/>
      <c r="JCL1" s="87"/>
      <c r="JCM1" s="87"/>
      <c r="JCN1" s="87"/>
      <c r="JCO1" s="87"/>
      <c r="JCP1" s="87"/>
      <c r="JCQ1" s="87"/>
      <c r="JCR1" s="87"/>
      <c r="JCS1" s="87"/>
      <c r="JCT1" s="87"/>
      <c r="JCU1" s="87"/>
      <c r="JCV1" s="87"/>
      <c r="JCW1" s="87"/>
      <c r="JCX1" s="87"/>
      <c r="JCY1" s="87"/>
      <c r="JCZ1" s="87"/>
      <c r="JDA1" s="87"/>
      <c r="JDB1" s="87"/>
      <c r="JDC1" s="87"/>
      <c r="JDD1" s="87"/>
      <c r="JDE1" s="87"/>
      <c r="JDF1" s="87"/>
      <c r="JDG1" s="87"/>
      <c r="JDH1" s="87"/>
      <c r="JDI1" s="87"/>
      <c r="JDJ1" s="87"/>
      <c r="JDK1" s="87"/>
      <c r="JDL1" s="87"/>
      <c r="JDM1" s="87"/>
      <c r="JDN1" s="87"/>
      <c r="JDO1" s="87"/>
      <c r="JDP1" s="87"/>
      <c r="JDQ1" s="87"/>
      <c r="JDR1" s="87"/>
      <c r="JDS1" s="87"/>
      <c r="JDT1" s="87"/>
      <c r="JDU1" s="87"/>
      <c r="JDV1" s="87"/>
      <c r="JDW1" s="87"/>
      <c r="JDX1" s="87"/>
      <c r="JDY1" s="87"/>
      <c r="JDZ1" s="87"/>
      <c r="JEA1" s="87"/>
      <c r="JEB1" s="87"/>
      <c r="JEC1" s="87"/>
      <c r="JED1" s="87"/>
      <c r="JEE1" s="87"/>
      <c r="JEF1" s="87"/>
      <c r="JEG1" s="87"/>
      <c r="JEH1" s="87"/>
      <c r="JEI1" s="87"/>
      <c r="JEJ1" s="87"/>
      <c r="JEK1" s="87"/>
      <c r="JEL1" s="87"/>
      <c r="JEM1" s="87"/>
      <c r="JEN1" s="87"/>
      <c r="JEO1" s="87"/>
      <c r="JEP1" s="87"/>
      <c r="JEQ1" s="87"/>
      <c r="JER1" s="87"/>
      <c r="JES1" s="87"/>
      <c r="JET1" s="87"/>
      <c r="JEU1" s="87"/>
      <c r="JEV1" s="87"/>
      <c r="JEW1" s="87"/>
      <c r="JEX1" s="87"/>
      <c r="JEY1" s="87"/>
      <c r="JEZ1" s="87"/>
      <c r="JFA1" s="87"/>
      <c r="JFB1" s="87"/>
      <c r="JFC1" s="87"/>
      <c r="JFD1" s="87"/>
      <c r="JFE1" s="87"/>
      <c r="JFF1" s="87"/>
      <c r="JFG1" s="87"/>
      <c r="JFH1" s="87"/>
      <c r="JFI1" s="87"/>
      <c r="JFJ1" s="87"/>
      <c r="JFK1" s="87"/>
      <c r="JFL1" s="87"/>
      <c r="JFM1" s="87"/>
      <c r="JFN1" s="87"/>
      <c r="JFO1" s="87"/>
      <c r="JFP1" s="87"/>
      <c r="JFQ1" s="87"/>
      <c r="JFR1" s="87"/>
      <c r="JFS1" s="87"/>
      <c r="JFT1" s="87"/>
      <c r="JFU1" s="87"/>
      <c r="JFV1" s="87"/>
      <c r="JFW1" s="87"/>
      <c r="JFX1" s="87"/>
      <c r="JFY1" s="87"/>
      <c r="JFZ1" s="87"/>
      <c r="JGA1" s="87"/>
      <c r="JGB1" s="87"/>
      <c r="JGC1" s="87"/>
      <c r="JGD1" s="87"/>
      <c r="JGE1" s="87"/>
      <c r="JGF1" s="87"/>
      <c r="JGG1" s="87"/>
      <c r="JGH1" s="87"/>
      <c r="JGI1" s="87"/>
      <c r="JGJ1" s="87"/>
      <c r="JGK1" s="87"/>
      <c r="JGL1" s="87"/>
      <c r="JGM1" s="87"/>
      <c r="JGN1" s="87"/>
      <c r="JGO1" s="87"/>
      <c r="JGP1" s="87"/>
      <c r="JGQ1" s="87"/>
      <c r="JGR1" s="87"/>
      <c r="JGS1" s="87"/>
      <c r="JGT1" s="87"/>
      <c r="JGU1" s="87"/>
      <c r="JGV1" s="87"/>
      <c r="JGW1" s="87"/>
      <c r="JGX1" s="87"/>
      <c r="JGY1" s="87"/>
      <c r="JGZ1" s="87"/>
      <c r="JHA1" s="87"/>
      <c r="JHB1" s="87"/>
      <c r="JHC1" s="87"/>
      <c r="JHD1" s="87"/>
      <c r="JHE1" s="87"/>
      <c r="JHF1" s="87"/>
      <c r="JHG1" s="87"/>
      <c r="JHH1" s="87"/>
      <c r="JHI1" s="87"/>
      <c r="JHJ1" s="87"/>
      <c r="JHK1" s="87"/>
      <c r="JHL1" s="87"/>
      <c r="JHM1" s="87"/>
      <c r="JHN1" s="87"/>
      <c r="JHO1" s="87"/>
      <c r="JHP1" s="87"/>
      <c r="JHQ1" s="87"/>
      <c r="JHR1" s="87"/>
      <c r="JHS1" s="87"/>
      <c r="JHT1" s="87"/>
      <c r="JHU1" s="87"/>
      <c r="JHV1" s="87"/>
      <c r="JHW1" s="87"/>
      <c r="JHX1" s="87"/>
      <c r="JHY1" s="87"/>
      <c r="JHZ1" s="87"/>
      <c r="JIA1" s="87"/>
      <c r="JIB1" s="87"/>
      <c r="JIC1" s="87"/>
      <c r="JID1" s="87"/>
      <c r="JIE1" s="87"/>
      <c r="JIF1" s="87"/>
      <c r="JIG1" s="87"/>
      <c r="JIH1" s="87"/>
      <c r="JII1" s="87"/>
      <c r="JIJ1" s="87"/>
      <c r="JIK1" s="87"/>
      <c r="JIL1" s="87"/>
      <c r="JIM1" s="87"/>
      <c r="JIN1" s="87"/>
      <c r="JIO1" s="87"/>
      <c r="JIP1" s="87"/>
      <c r="JIQ1" s="87"/>
      <c r="JIR1" s="87"/>
      <c r="JIS1" s="87"/>
      <c r="JIT1" s="87"/>
      <c r="JIU1" s="87"/>
      <c r="JIV1" s="87"/>
      <c r="JIW1" s="87"/>
      <c r="JIX1" s="87"/>
      <c r="JIY1" s="87"/>
      <c r="JIZ1" s="87"/>
      <c r="JJA1" s="87"/>
      <c r="JJB1" s="87"/>
      <c r="JJC1" s="87"/>
      <c r="JJD1" s="87"/>
      <c r="JJE1" s="87"/>
      <c r="JJF1" s="87"/>
      <c r="JJG1" s="87"/>
      <c r="JJH1" s="87"/>
      <c r="JJI1" s="87"/>
      <c r="JJJ1" s="87"/>
      <c r="JJK1" s="87"/>
      <c r="JJL1" s="87"/>
      <c r="JJM1" s="87"/>
      <c r="JJN1" s="87"/>
      <c r="JJO1" s="87"/>
      <c r="JJP1" s="87"/>
      <c r="JJQ1" s="87"/>
      <c r="JJR1" s="87"/>
      <c r="JJS1" s="87"/>
      <c r="JJT1" s="87"/>
      <c r="JJU1" s="87"/>
      <c r="JJV1" s="87"/>
      <c r="JJW1" s="87"/>
      <c r="JJX1" s="87"/>
      <c r="JJY1" s="87"/>
      <c r="JJZ1" s="87"/>
      <c r="JKA1" s="87"/>
      <c r="JKB1" s="87"/>
      <c r="JKC1" s="87"/>
      <c r="JKD1" s="87"/>
      <c r="JKE1" s="87"/>
      <c r="JKF1" s="87"/>
      <c r="JKG1" s="87"/>
      <c r="JKH1" s="87"/>
      <c r="JKI1" s="87"/>
      <c r="JKJ1" s="87"/>
      <c r="JKK1" s="87"/>
      <c r="JKL1" s="87"/>
      <c r="JKM1" s="87"/>
      <c r="JKN1" s="87"/>
      <c r="JKO1" s="87"/>
      <c r="JKP1" s="87"/>
      <c r="JKQ1" s="87"/>
      <c r="JKR1" s="87"/>
      <c r="JKS1" s="87"/>
      <c r="JKT1" s="87"/>
      <c r="JKU1" s="87"/>
      <c r="JKV1" s="87"/>
      <c r="JKW1" s="87"/>
      <c r="JKX1" s="87"/>
      <c r="JKY1" s="87"/>
      <c r="JKZ1" s="87"/>
      <c r="JLA1" s="87"/>
      <c r="JLB1" s="87"/>
      <c r="JLC1" s="87"/>
      <c r="JLD1" s="87"/>
      <c r="JLE1" s="87"/>
      <c r="JLF1" s="87"/>
      <c r="JLG1" s="87"/>
      <c r="JLH1" s="87"/>
      <c r="JLI1" s="87"/>
      <c r="JLJ1" s="87"/>
      <c r="JLK1" s="87"/>
      <c r="JLL1" s="87"/>
      <c r="JLM1" s="87"/>
      <c r="JLN1" s="87"/>
      <c r="JLO1" s="87"/>
      <c r="JLP1" s="87"/>
      <c r="JLQ1" s="87"/>
      <c r="JLR1" s="87"/>
      <c r="JLS1" s="87"/>
      <c r="JLT1" s="87"/>
      <c r="JLU1" s="87"/>
      <c r="JLV1" s="87"/>
      <c r="JLW1" s="87"/>
      <c r="JLX1" s="87"/>
      <c r="JLY1" s="87"/>
      <c r="JLZ1" s="87"/>
      <c r="JMA1" s="87"/>
      <c r="JMB1" s="87"/>
      <c r="JMC1" s="87"/>
      <c r="JMD1" s="87"/>
      <c r="JME1" s="87"/>
      <c r="JMF1" s="87"/>
      <c r="JMG1" s="87"/>
      <c r="JMH1" s="87"/>
      <c r="JMI1" s="87"/>
      <c r="JMJ1" s="87"/>
      <c r="JMK1" s="87"/>
      <c r="JML1" s="87"/>
      <c r="JMM1" s="87"/>
      <c r="JMN1" s="87"/>
      <c r="JMO1" s="87"/>
      <c r="JMP1" s="87"/>
      <c r="JMQ1" s="87"/>
      <c r="JMR1" s="87"/>
      <c r="JMS1" s="87"/>
      <c r="JMT1" s="87"/>
      <c r="JMU1" s="87"/>
      <c r="JMV1" s="87"/>
      <c r="JMW1" s="87"/>
      <c r="JMX1" s="87"/>
      <c r="JMY1" s="87"/>
      <c r="JMZ1" s="87"/>
      <c r="JNA1" s="87"/>
      <c r="JNB1" s="87"/>
      <c r="JNC1" s="87"/>
      <c r="JND1" s="87"/>
      <c r="JNE1" s="87"/>
      <c r="JNF1" s="87"/>
      <c r="JNG1" s="87"/>
      <c r="JNH1" s="87"/>
      <c r="JNI1" s="87"/>
      <c r="JNJ1" s="87"/>
      <c r="JNK1" s="87"/>
      <c r="JNL1" s="87"/>
      <c r="JNM1" s="87"/>
      <c r="JNN1" s="87"/>
      <c r="JNO1" s="87"/>
      <c r="JNP1" s="87"/>
      <c r="JNQ1" s="87"/>
      <c r="JNR1" s="87"/>
      <c r="JNS1" s="87"/>
      <c r="JNT1" s="87"/>
      <c r="JNU1" s="87"/>
      <c r="JNV1" s="87"/>
      <c r="JNW1" s="87"/>
      <c r="JNX1" s="87"/>
      <c r="JNY1" s="87"/>
      <c r="JNZ1" s="87"/>
      <c r="JOA1" s="87"/>
      <c r="JOB1" s="87"/>
      <c r="JOC1" s="87"/>
      <c r="JOD1" s="87"/>
      <c r="JOE1" s="87"/>
      <c r="JOF1" s="87"/>
      <c r="JOG1" s="87"/>
      <c r="JOH1" s="87"/>
      <c r="JOI1" s="87"/>
      <c r="JOJ1" s="87"/>
      <c r="JOK1" s="87"/>
      <c r="JOL1" s="87"/>
      <c r="JOM1" s="87"/>
      <c r="JON1" s="87"/>
      <c r="JOO1" s="87"/>
      <c r="JOP1" s="87"/>
      <c r="JOQ1" s="87"/>
      <c r="JOR1" s="87"/>
      <c r="JOS1" s="87"/>
      <c r="JOT1" s="87"/>
      <c r="JOU1" s="87"/>
      <c r="JOV1" s="87"/>
      <c r="JOW1" s="87"/>
      <c r="JOX1" s="87"/>
      <c r="JOY1" s="87"/>
      <c r="JOZ1" s="87"/>
      <c r="JPA1" s="87"/>
      <c r="JPB1" s="87"/>
      <c r="JPC1" s="87"/>
      <c r="JPD1" s="87"/>
      <c r="JPE1" s="87"/>
      <c r="JPF1" s="87"/>
      <c r="JPG1" s="87"/>
      <c r="JPH1" s="87"/>
      <c r="JPI1" s="87"/>
      <c r="JPJ1" s="87"/>
      <c r="JPK1" s="87"/>
      <c r="JPL1" s="87"/>
      <c r="JPM1" s="87"/>
      <c r="JPN1" s="87"/>
      <c r="JPO1" s="87"/>
      <c r="JPP1" s="87"/>
      <c r="JPQ1" s="87"/>
      <c r="JPR1" s="87"/>
      <c r="JPS1" s="87"/>
      <c r="JPT1" s="87"/>
      <c r="JPU1" s="87"/>
      <c r="JPV1" s="87"/>
      <c r="JPW1" s="87"/>
      <c r="JPX1" s="87"/>
      <c r="JPY1" s="87"/>
      <c r="JPZ1" s="87"/>
      <c r="JQA1" s="87"/>
      <c r="JQB1" s="87"/>
      <c r="JQC1" s="87"/>
      <c r="JQD1" s="87"/>
      <c r="JQE1" s="87"/>
      <c r="JQF1" s="87"/>
      <c r="JQG1" s="87"/>
      <c r="JQH1" s="87"/>
      <c r="JQI1" s="87"/>
      <c r="JQJ1" s="87"/>
      <c r="JQK1" s="87"/>
      <c r="JQL1" s="87"/>
      <c r="JQM1" s="87"/>
      <c r="JQN1" s="87"/>
      <c r="JQO1" s="87"/>
      <c r="JQP1" s="87"/>
      <c r="JQQ1" s="87"/>
      <c r="JQR1" s="87"/>
      <c r="JQS1" s="87"/>
      <c r="JQT1" s="87"/>
      <c r="JQU1" s="87"/>
      <c r="JQV1" s="87"/>
      <c r="JQW1" s="87"/>
      <c r="JQX1" s="87"/>
      <c r="JQY1" s="87"/>
      <c r="JQZ1" s="87"/>
      <c r="JRA1" s="87"/>
      <c r="JRB1" s="87"/>
      <c r="JRC1" s="87"/>
      <c r="JRD1" s="87"/>
      <c r="JRE1" s="87"/>
      <c r="JRF1" s="87"/>
      <c r="JRG1" s="87"/>
      <c r="JRH1" s="87"/>
      <c r="JRI1" s="87"/>
      <c r="JRJ1" s="87"/>
      <c r="JRK1" s="87"/>
      <c r="JRL1" s="87"/>
      <c r="JRM1" s="87"/>
      <c r="JRN1" s="87"/>
      <c r="JRO1" s="87"/>
      <c r="JRP1" s="87"/>
      <c r="JRQ1" s="87"/>
      <c r="JRR1" s="87"/>
      <c r="JRS1" s="87"/>
      <c r="JRT1" s="87"/>
      <c r="JRU1" s="87"/>
      <c r="JRV1" s="87"/>
      <c r="JRW1" s="87"/>
      <c r="JRX1" s="87"/>
      <c r="JRY1" s="87"/>
      <c r="JRZ1" s="87"/>
      <c r="JSA1" s="87"/>
      <c r="JSB1" s="87"/>
      <c r="JSC1" s="87"/>
      <c r="JSD1" s="87"/>
      <c r="JSE1" s="87"/>
      <c r="JSF1" s="87"/>
      <c r="JSG1" s="87"/>
      <c r="JSH1" s="87"/>
      <c r="JSI1" s="87"/>
      <c r="JSJ1" s="87"/>
      <c r="JSK1" s="87"/>
      <c r="JSL1" s="87"/>
      <c r="JSM1" s="87"/>
      <c r="JSN1" s="87"/>
      <c r="JSO1" s="87"/>
      <c r="JSP1" s="87"/>
      <c r="JSQ1" s="87"/>
      <c r="JSR1" s="87"/>
      <c r="JSS1" s="87"/>
      <c r="JST1" s="87"/>
      <c r="JSU1" s="87"/>
      <c r="JSV1" s="87"/>
      <c r="JSW1" s="87"/>
      <c r="JSX1" s="87"/>
      <c r="JSY1" s="87"/>
      <c r="JSZ1" s="87"/>
      <c r="JTA1" s="87"/>
      <c r="JTB1" s="87"/>
      <c r="JTC1" s="87"/>
      <c r="JTD1" s="87"/>
      <c r="JTE1" s="87"/>
      <c r="JTF1" s="87"/>
      <c r="JTG1" s="87"/>
      <c r="JTH1" s="87"/>
      <c r="JTI1" s="87"/>
      <c r="JTJ1" s="87"/>
      <c r="JTK1" s="87"/>
      <c r="JTL1" s="87"/>
      <c r="JTM1" s="87"/>
      <c r="JTN1" s="87"/>
      <c r="JTO1" s="87"/>
      <c r="JTP1" s="87"/>
      <c r="JTQ1" s="87"/>
      <c r="JTR1" s="87"/>
      <c r="JTS1" s="87"/>
      <c r="JTT1" s="87"/>
      <c r="JTU1" s="87"/>
      <c r="JTV1" s="87"/>
      <c r="JTW1" s="87"/>
      <c r="JTX1" s="87"/>
      <c r="JTY1" s="87"/>
      <c r="JTZ1" s="87"/>
      <c r="JUA1" s="87"/>
      <c r="JUB1" s="87"/>
      <c r="JUC1" s="87"/>
      <c r="JUD1" s="87"/>
      <c r="JUE1" s="87"/>
      <c r="JUF1" s="87"/>
      <c r="JUG1" s="87"/>
      <c r="JUH1" s="87"/>
      <c r="JUI1" s="87"/>
      <c r="JUJ1" s="87"/>
      <c r="JUK1" s="87"/>
      <c r="JUL1" s="87"/>
      <c r="JUM1" s="87"/>
      <c r="JUN1" s="87"/>
      <c r="JUO1" s="87"/>
      <c r="JUP1" s="87"/>
      <c r="JUQ1" s="87"/>
      <c r="JUR1" s="87"/>
      <c r="JUS1" s="87"/>
      <c r="JUT1" s="87"/>
      <c r="JUU1" s="87"/>
      <c r="JUV1" s="87"/>
      <c r="JUW1" s="87"/>
      <c r="JUX1" s="87"/>
      <c r="JUY1" s="87"/>
      <c r="JUZ1" s="87"/>
      <c r="JVA1" s="87"/>
      <c r="JVB1" s="87"/>
      <c r="JVC1" s="87"/>
      <c r="JVD1" s="87"/>
      <c r="JVE1" s="87"/>
      <c r="JVF1" s="87"/>
      <c r="JVG1" s="87"/>
      <c r="JVH1" s="87"/>
      <c r="JVI1" s="87"/>
      <c r="JVJ1" s="87"/>
      <c r="JVK1" s="87"/>
      <c r="JVL1" s="87"/>
      <c r="JVM1" s="87"/>
      <c r="JVN1" s="87"/>
      <c r="JVO1" s="87"/>
      <c r="JVP1" s="87"/>
      <c r="JVQ1" s="87"/>
      <c r="JVR1" s="87"/>
      <c r="JVS1" s="87"/>
      <c r="JVT1" s="87"/>
      <c r="JVU1" s="87"/>
      <c r="JVV1" s="87"/>
      <c r="JVW1" s="87"/>
      <c r="JVX1" s="87"/>
      <c r="JVY1" s="87"/>
      <c r="JVZ1" s="87"/>
      <c r="JWA1" s="87"/>
      <c r="JWB1" s="87"/>
      <c r="JWC1" s="87"/>
      <c r="JWD1" s="87"/>
      <c r="JWE1" s="87"/>
      <c r="JWF1" s="87"/>
      <c r="JWG1" s="87"/>
      <c r="JWH1" s="87"/>
      <c r="JWI1" s="87"/>
      <c r="JWJ1" s="87"/>
      <c r="JWK1" s="87"/>
      <c r="JWL1" s="87"/>
      <c r="JWM1" s="87"/>
      <c r="JWN1" s="87"/>
      <c r="JWO1" s="87"/>
      <c r="JWP1" s="87"/>
      <c r="JWQ1" s="87"/>
      <c r="JWR1" s="87"/>
      <c r="JWS1" s="87"/>
      <c r="JWT1" s="87"/>
      <c r="JWU1" s="87"/>
      <c r="JWV1" s="87"/>
      <c r="JWW1" s="87"/>
      <c r="JWX1" s="87"/>
      <c r="JWY1" s="87"/>
      <c r="JWZ1" s="87"/>
      <c r="JXA1" s="87"/>
      <c r="JXB1" s="87"/>
      <c r="JXC1" s="87"/>
      <c r="JXD1" s="87"/>
      <c r="JXE1" s="87"/>
      <c r="JXF1" s="87"/>
      <c r="JXG1" s="87"/>
      <c r="JXH1" s="87"/>
      <c r="JXI1" s="87"/>
      <c r="JXJ1" s="87"/>
      <c r="JXK1" s="87"/>
      <c r="JXL1" s="87"/>
      <c r="JXM1" s="87"/>
      <c r="JXN1" s="87"/>
      <c r="JXO1" s="87"/>
      <c r="JXP1" s="87"/>
      <c r="JXQ1" s="87"/>
      <c r="JXR1" s="87"/>
      <c r="JXS1" s="87"/>
      <c r="JXT1" s="87"/>
      <c r="JXU1" s="87"/>
      <c r="JXV1" s="87"/>
      <c r="JXW1" s="87"/>
      <c r="JXX1" s="87"/>
      <c r="JXY1" s="87"/>
      <c r="JXZ1" s="87"/>
      <c r="JYA1" s="87"/>
      <c r="JYB1" s="87"/>
      <c r="JYC1" s="87"/>
      <c r="JYD1" s="87"/>
      <c r="JYE1" s="87"/>
      <c r="JYF1" s="87"/>
      <c r="JYG1" s="87"/>
      <c r="JYH1" s="87"/>
      <c r="JYI1" s="87"/>
      <c r="JYJ1" s="87"/>
      <c r="JYK1" s="87"/>
      <c r="JYL1" s="87"/>
      <c r="JYM1" s="87"/>
      <c r="JYN1" s="87"/>
      <c r="JYO1" s="87"/>
      <c r="JYP1" s="87"/>
      <c r="JYQ1" s="87"/>
      <c r="JYR1" s="87"/>
      <c r="JYS1" s="87"/>
      <c r="JYT1" s="87"/>
      <c r="JYU1" s="87"/>
      <c r="JYV1" s="87"/>
      <c r="JYW1" s="87"/>
      <c r="JYX1" s="87"/>
      <c r="JYY1" s="87"/>
      <c r="JYZ1" s="87"/>
      <c r="JZA1" s="87"/>
      <c r="JZB1" s="87"/>
      <c r="JZC1" s="87"/>
      <c r="JZD1" s="87"/>
      <c r="JZE1" s="87"/>
      <c r="JZF1" s="87"/>
      <c r="JZG1" s="87"/>
      <c r="JZH1" s="87"/>
      <c r="JZI1" s="87"/>
      <c r="JZJ1" s="87"/>
      <c r="JZK1" s="87"/>
      <c r="JZL1" s="87"/>
      <c r="JZM1" s="87"/>
      <c r="JZN1" s="87"/>
      <c r="JZO1" s="87"/>
      <c r="JZP1" s="87"/>
      <c r="JZQ1" s="87"/>
      <c r="JZR1" s="87"/>
      <c r="JZS1" s="87"/>
      <c r="JZT1" s="87"/>
      <c r="JZU1" s="87"/>
      <c r="JZV1" s="87"/>
      <c r="JZW1" s="87"/>
      <c r="JZX1" s="87"/>
      <c r="JZY1" s="87"/>
      <c r="JZZ1" s="87"/>
      <c r="KAA1" s="87"/>
      <c r="KAB1" s="87"/>
      <c r="KAC1" s="87"/>
      <c r="KAD1" s="87"/>
      <c r="KAE1" s="87"/>
      <c r="KAF1" s="87"/>
      <c r="KAG1" s="87"/>
      <c r="KAH1" s="87"/>
      <c r="KAI1" s="87"/>
      <c r="KAJ1" s="87"/>
      <c r="KAK1" s="87"/>
      <c r="KAL1" s="87"/>
      <c r="KAM1" s="87"/>
      <c r="KAN1" s="87"/>
      <c r="KAO1" s="87"/>
      <c r="KAP1" s="87"/>
      <c r="KAQ1" s="87"/>
      <c r="KAR1" s="87"/>
      <c r="KAS1" s="87"/>
      <c r="KAT1" s="87"/>
      <c r="KAU1" s="87"/>
      <c r="KAV1" s="87"/>
      <c r="KAW1" s="87"/>
      <c r="KAX1" s="87"/>
      <c r="KAY1" s="87"/>
      <c r="KAZ1" s="87"/>
      <c r="KBA1" s="87"/>
      <c r="KBB1" s="87"/>
      <c r="KBC1" s="87"/>
      <c r="KBD1" s="87"/>
      <c r="KBE1" s="87"/>
      <c r="KBF1" s="87"/>
      <c r="KBG1" s="87"/>
      <c r="KBH1" s="87"/>
      <c r="KBI1" s="87"/>
      <c r="KBJ1" s="87"/>
      <c r="KBK1" s="87"/>
      <c r="KBL1" s="87"/>
      <c r="KBM1" s="87"/>
      <c r="KBN1" s="87"/>
      <c r="KBO1" s="87"/>
      <c r="KBP1" s="87"/>
      <c r="KBQ1" s="87"/>
      <c r="KBR1" s="87"/>
      <c r="KBS1" s="87"/>
      <c r="KBT1" s="87"/>
      <c r="KBU1" s="87"/>
      <c r="KBV1" s="87"/>
      <c r="KBW1" s="87"/>
      <c r="KBX1" s="87"/>
      <c r="KBY1" s="87"/>
      <c r="KBZ1" s="87"/>
      <c r="KCA1" s="87"/>
      <c r="KCB1" s="87"/>
      <c r="KCC1" s="87"/>
      <c r="KCD1" s="87"/>
      <c r="KCE1" s="87"/>
      <c r="KCF1" s="87"/>
      <c r="KCG1" s="87"/>
      <c r="KCH1" s="87"/>
      <c r="KCI1" s="87"/>
      <c r="KCJ1" s="87"/>
      <c r="KCK1" s="87"/>
      <c r="KCL1" s="87"/>
      <c r="KCM1" s="87"/>
      <c r="KCN1" s="87"/>
      <c r="KCO1" s="87"/>
      <c r="KCP1" s="87"/>
      <c r="KCQ1" s="87"/>
      <c r="KCR1" s="87"/>
      <c r="KCS1" s="87"/>
      <c r="KCT1" s="87"/>
      <c r="KCU1" s="87"/>
      <c r="KCV1" s="87"/>
      <c r="KCW1" s="87"/>
      <c r="KCX1" s="87"/>
      <c r="KCY1" s="87"/>
      <c r="KCZ1" s="87"/>
      <c r="KDA1" s="87"/>
      <c r="KDB1" s="87"/>
      <c r="KDC1" s="87"/>
      <c r="KDD1" s="87"/>
      <c r="KDE1" s="87"/>
      <c r="KDF1" s="87"/>
      <c r="KDG1" s="87"/>
      <c r="KDH1" s="87"/>
      <c r="KDI1" s="87"/>
      <c r="KDJ1" s="87"/>
      <c r="KDK1" s="87"/>
      <c r="KDL1" s="87"/>
      <c r="KDM1" s="87"/>
      <c r="KDN1" s="87"/>
      <c r="KDO1" s="87"/>
      <c r="KDP1" s="87"/>
      <c r="KDQ1" s="87"/>
      <c r="KDR1" s="87"/>
      <c r="KDS1" s="87"/>
      <c r="KDT1" s="87"/>
      <c r="KDU1" s="87"/>
      <c r="KDV1" s="87"/>
      <c r="KDW1" s="87"/>
      <c r="KDX1" s="87"/>
      <c r="KDY1" s="87"/>
      <c r="KDZ1" s="87"/>
      <c r="KEA1" s="87"/>
      <c r="KEB1" s="87"/>
      <c r="KEC1" s="87"/>
      <c r="KED1" s="87"/>
      <c r="KEE1" s="87"/>
      <c r="KEF1" s="87"/>
      <c r="KEG1" s="87"/>
      <c r="KEH1" s="87"/>
      <c r="KEI1" s="87"/>
      <c r="KEJ1" s="87"/>
      <c r="KEK1" s="87"/>
      <c r="KEL1" s="87"/>
      <c r="KEM1" s="87"/>
      <c r="KEN1" s="87"/>
      <c r="KEO1" s="87"/>
      <c r="KEP1" s="87"/>
      <c r="KEQ1" s="87"/>
      <c r="KER1" s="87"/>
      <c r="KES1" s="87"/>
      <c r="KET1" s="87"/>
      <c r="KEU1" s="87"/>
      <c r="KEV1" s="87"/>
      <c r="KEW1" s="87"/>
      <c r="KEX1" s="87"/>
      <c r="KEY1" s="87"/>
      <c r="KEZ1" s="87"/>
      <c r="KFA1" s="87"/>
      <c r="KFB1" s="87"/>
      <c r="KFC1" s="87"/>
      <c r="KFD1" s="87"/>
      <c r="KFE1" s="87"/>
      <c r="KFF1" s="87"/>
      <c r="KFG1" s="87"/>
      <c r="KFH1" s="87"/>
      <c r="KFI1" s="87"/>
      <c r="KFJ1" s="87"/>
      <c r="KFK1" s="87"/>
      <c r="KFL1" s="87"/>
      <c r="KFM1" s="87"/>
      <c r="KFN1" s="87"/>
      <c r="KFO1" s="87"/>
      <c r="KFP1" s="87"/>
      <c r="KFQ1" s="87"/>
      <c r="KFR1" s="87"/>
      <c r="KFS1" s="87"/>
      <c r="KFT1" s="87"/>
      <c r="KFU1" s="87"/>
      <c r="KFV1" s="87"/>
      <c r="KFW1" s="87"/>
      <c r="KFX1" s="87"/>
      <c r="KFY1" s="87"/>
      <c r="KFZ1" s="87"/>
      <c r="KGA1" s="87"/>
      <c r="KGB1" s="87"/>
      <c r="KGC1" s="87"/>
      <c r="KGD1" s="87"/>
      <c r="KGE1" s="87"/>
      <c r="KGF1" s="87"/>
      <c r="KGG1" s="87"/>
      <c r="KGH1" s="87"/>
      <c r="KGI1" s="87"/>
      <c r="KGJ1" s="87"/>
      <c r="KGK1" s="87"/>
      <c r="KGL1" s="87"/>
      <c r="KGM1" s="87"/>
      <c r="KGN1" s="87"/>
      <c r="KGO1" s="87"/>
      <c r="KGP1" s="87"/>
      <c r="KGQ1" s="87"/>
      <c r="KGR1" s="87"/>
      <c r="KGS1" s="87"/>
      <c r="KGT1" s="87"/>
      <c r="KGU1" s="87"/>
      <c r="KGV1" s="87"/>
      <c r="KGW1" s="87"/>
      <c r="KGX1" s="87"/>
      <c r="KGY1" s="87"/>
      <c r="KGZ1" s="87"/>
      <c r="KHA1" s="87"/>
      <c r="KHB1" s="87"/>
      <c r="KHC1" s="87"/>
      <c r="KHD1" s="87"/>
      <c r="KHE1" s="87"/>
      <c r="KHF1" s="87"/>
      <c r="KHG1" s="87"/>
      <c r="KHH1" s="87"/>
      <c r="KHI1" s="87"/>
      <c r="KHJ1" s="87"/>
      <c r="KHK1" s="87"/>
      <c r="KHL1" s="87"/>
      <c r="KHM1" s="87"/>
      <c r="KHN1" s="87"/>
      <c r="KHO1" s="87"/>
      <c r="KHP1" s="87"/>
      <c r="KHQ1" s="87"/>
      <c r="KHR1" s="87"/>
      <c r="KHS1" s="87"/>
      <c r="KHT1" s="87"/>
      <c r="KHU1" s="87"/>
      <c r="KHV1" s="87"/>
      <c r="KHW1" s="87"/>
      <c r="KHX1" s="87"/>
      <c r="KHY1" s="87"/>
      <c r="KHZ1" s="87"/>
      <c r="KIA1" s="87"/>
      <c r="KIB1" s="87"/>
      <c r="KIC1" s="87"/>
      <c r="KID1" s="87"/>
      <c r="KIE1" s="87"/>
      <c r="KIF1" s="87"/>
      <c r="KIG1" s="87"/>
      <c r="KIH1" s="87"/>
      <c r="KII1" s="87"/>
      <c r="KIJ1" s="87"/>
      <c r="KIK1" s="87"/>
      <c r="KIL1" s="87"/>
      <c r="KIM1" s="87"/>
      <c r="KIN1" s="87"/>
      <c r="KIO1" s="87"/>
      <c r="KIP1" s="87"/>
      <c r="KIQ1" s="87"/>
      <c r="KIR1" s="87"/>
      <c r="KIS1" s="87"/>
      <c r="KIT1" s="87"/>
      <c r="KIU1" s="87"/>
      <c r="KIV1" s="87"/>
      <c r="KIW1" s="87"/>
      <c r="KIX1" s="87"/>
      <c r="KIY1" s="87"/>
      <c r="KIZ1" s="87"/>
      <c r="KJA1" s="87"/>
      <c r="KJB1" s="87"/>
      <c r="KJC1" s="87"/>
      <c r="KJD1" s="87"/>
      <c r="KJE1" s="87"/>
      <c r="KJF1" s="87"/>
      <c r="KJG1" s="87"/>
      <c r="KJH1" s="87"/>
      <c r="KJI1" s="87"/>
      <c r="KJJ1" s="87"/>
      <c r="KJK1" s="87"/>
      <c r="KJL1" s="87"/>
      <c r="KJM1" s="87"/>
      <c r="KJN1" s="87"/>
      <c r="KJO1" s="87"/>
      <c r="KJP1" s="87"/>
      <c r="KJQ1" s="87"/>
      <c r="KJR1" s="87"/>
      <c r="KJS1" s="87"/>
      <c r="KJT1" s="87"/>
      <c r="KJU1" s="87"/>
      <c r="KJV1" s="87"/>
      <c r="KJW1" s="87"/>
      <c r="KJX1" s="87"/>
      <c r="KJY1" s="87"/>
      <c r="KJZ1" s="87"/>
      <c r="KKA1" s="87"/>
      <c r="KKB1" s="87"/>
      <c r="KKC1" s="87"/>
      <c r="KKD1" s="87"/>
      <c r="KKE1" s="87"/>
      <c r="KKF1" s="87"/>
      <c r="KKG1" s="87"/>
      <c r="KKH1" s="87"/>
      <c r="KKI1" s="87"/>
      <c r="KKJ1" s="87"/>
      <c r="KKK1" s="87"/>
      <c r="KKL1" s="87"/>
      <c r="KKM1" s="87"/>
      <c r="KKN1" s="87"/>
      <c r="KKO1" s="87"/>
      <c r="KKP1" s="87"/>
      <c r="KKQ1" s="87"/>
      <c r="KKR1" s="87"/>
      <c r="KKS1" s="87"/>
      <c r="KKT1" s="87"/>
      <c r="KKU1" s="87"/>
      <c r="KKV1" s="87"/>
      <c r="KKW1" s="87"/>
      <c r="KKX1" s="87"/>
      <c r="KKY1" s="87"/>
      <c r="KKZ1" s="87"/>
      <c r="KLA1" s="87"/>
      <c r="KLB1" s="87"/>
      <c r="KLC1" s="87"/>
      <c r="KLD1" s="87"/>
      <c r="KLE1" s="87"/>
      <c r="KLF1" s="87"/>
      <c r="KLG1" s="87"/>
      <c r="KLH1" s="87"/>
      <c r="KLI1" s="87"/>
      <c r="KLJ1" s="87"/>
      <c r="KLK1" s="87"/>
      <c r="KLL1" s="87"/>
      <c r="KLM1" s="87"/>
      <c r="KLN1" s="87"/>
      <c r="KLO1" s="87"/>
      <c r="KLP1" s="87"/>
      <c r="KLQ1" s="87"/>
      <c r="KLR1" s="87"/>
      <c r="KLS1" s="87"/>
      <c r="KLT1" s="87"/>
      <c r="KLU1" s="87"/>
      <c r="KLV1" s="87"/>
      <c r="KLW1" s="87"/>
      <c r="KLX1" s="87"/>
      <c r="KLY1" s="87"/>
      <c r="KLZ1" s="87"/>
      <c r="KMA1" s="87"/>
      <c r="KMB1" s="87"/>
      <c r="KMC1" s="87"/>
      <c r="KMD1" s="87"/>
      <c r="KME1" s="87"/>
      <c r="KMF1" s="87"/>
      <c r="KMG1" s="87"/>
      <c r="KMH1" s="87"/>
      <c r="KMI1" s="87"/>
      <c r="KMJ1" s="87"/>
      <c r="KMK1" s="87"/>
      <c r="KML1" s="87"/>
      <c r="KMM1" s="87"/>
      <c r="KMN1" s="87"/>
      <c r="KMO1" s="87"/>
      <c r="KMP1" s="87"/>
      <c r="KMQ1" s="87"/>
      <c r="KMR1" s="87"/>
      <c r="KMS1" s="87"/>
      <c r="KMT1" s="87"/>
      <c r="KMU1" s="87"/>
      <c r="KMV1" s="87"/>
      <c r="KMW1" s="87"/>
      <c r="KMX1" s="87"/>
      <c r="KMY1" s="87"/>
      <c r="KMZ1" s="87"/>
      <c r="KNA1" s="87"/>
      <c r="KNB1" s="87"/>
      <c r="KNC1" s="87"/>
      <c r="KND1" s="87"/>
      <c r="KNE1" s="87"/>
      <c r="KNF1" s="87"/>
      <c r="KNG1" s="87"/>
      <c r="KNH1" s="87"/>
      <c r="KNI1" s="87"/>
      <c r="KNJ1" s="87"/>
      <c r="KNK1" s="87"/>
      <c r="KNL1" s="87"/>
      <c r="KNM1" s="87"/>
      <c r="KNN1" s="87"/>
      <c r="KNO1" s="87"/>
      <c r="KNP1" s="87"/>
      <c r="KNQ1" s="87"/>
      <c r="KNR1" s="87"/>
      <c r="KNS1" s="87"/>
      <c r="KNT1" s="87"/>
      <c r="KNU1" s="87"/>
      <c r="KNV1" s="87"/>
      <c r="KNW1" s="87"/>
      <c r="KNX1" s="87"/>
      <c r="KNY1" s="87"/>
      <c r="KNZ1" s="87"/>
      <c r="KOA1" s="87"/>
      <c r="KOB1" s="87"/>
      <c r="KOC1" s="87"/>
      <c r="KOD1" s="87"/>
      <c r="KOE1" s="87"/>
      <c r="KOF1" s="87"/>
      <c r="KOG1" s="87"/>
      <c r="KOH1" s="87"/>
      <c r="KOI1" s="87"/>
      <c r="KOJ1" s="87"/>
      <c r="KOK1" s="87"/>
      <c r="KOL1" s="87"/>
      <c r="KOM1" s="87"/>
      <c r="KON1" s="87"/>
      <c r="KOO1" s="87"/>
      <c r="KOP1" s="87"/>
      <c r="KOQ1" s="87"/>
      <c r="KOR1" s="87"/>
      <c r="KOS1" s="87"/>
      <c r="KOT1" s="87"/>
      <c r="KOU1" s="87"/>
      <c r="KOV1" s="87"/>
      <c r="KOW1" s="87"/>
      <c r="KOX1" s="87"/>
      <c r="KOY1" s="87"/>
      <c r="KOZ1" s="87"/>
      <c r="KPA1" s="87"/>
      <c r="KPB1" s="87"/>
      <c r="KPC1" s="87"/>
      <c r="KPD1" s="87"/>
      <c r="KPE1" s="87"/>
      <c r="KPF1" s="87"/>
      <c r="KPG1" s="87"/>
      <c r="KPH1" s="87"/>
      <c r="KPI1" s="87"/>
      <c r="KPJ1" s="87"/>
      <c r="KPK1" s="87"/>
      <c r="KPL1" s="87"/>
      <c r="KPM1" s="87"/>
      <c r="KPN1" s="87"/>
      <c r="KPO1" s="87"/>
      <c r="KPP1" s="87"/>
      <c r="KPQ1" s="87"/>
      <c r="KPR1" s="87"/>
      <c r="KPS1" s="87"/>
      <c r="KPT1" s="87"/>
      <c r="KPU1" s="87"/>
      <c r="KPV1" s="87"/>
      <c r="KPW1" s="87"/>
      <c r="KPX1" s="87"/>
      <c r="KPY1" s="87"/>
      <c r="KPZ1" s="87"/>
      <c r="KQA1" s="87"/>
      <c r="KQB1" s="87"/>
      <c r="KQC1" s="87"/>
      <c r="KQD1" s="87"/>
      <c r="KQE1" s="87"/>
      <c r="KQF1" s="87"/>
      <c r="KQG1" s="87"/>
      <c r="KQH1" s="87"/>
      <c r="KQI1" s="87"/>
      <c r="KQJ1" s="87"/>
      <c r="KQK1" s="87"/>
      <c r="KQL1" s="87"/>
      <c r="KQM1" s="87"/>
      <c r="KQN1" s="87"/>
      <c r="KQO1" s="87"/>
      <c r="KQP1" s="87"/>
      <c r="KQQ1" s="87"/>
      <c r="KQR1" s="87"/>
      <c r="KQS1" s="87"/>
      <c r="KQT1" s="87"/>
      <c r="KQU1" s="87"/>
      <c r="KQV1" s="87"/>
      <c r="KQW1" s="87"/>
      <c r="KQX1" s="87"/>
      <c r="KQY1" s="87"/>
      <c r="KQZ1" s="87"/>
      <c r="KRA1" s="87"/>
      <c r="KRB1" s="87"/>
      <c r="KRC1" s="87"/>
      <c r="KRD1" s="87"/>
      <c r="KRE1" s="87"/>
      <c r="KRF1" s="87"/>
      <c r="KRG1" s="87"/>
      <c r="KRH1" s="87"/>
      <c r="KRI1" s="87"/>
      <c r="KRJ1" s="87"/>
      <c r="KRK1" s="87"/>
      <c r="KRL1" s="87"/>
      <c r="KRM1" s="87"/>
      <c r="KRN1" s="87"/>
      <c r="KRO1" s="87"/>
      <c r="KRP1" s="87"/>
      <c r="KRQ1" s="87"/>
      <c r="KRR1" s="87"/>
      <c r="KRS1" s="87"/>
      <c r="KRT1" s="87"/>
      <c r="KRU1" s="87"/>
      <c r="KRV1" s="87"/>
      <c r="KRW1" s="87"/>
      <c r="KRX1" s="87"/>
      <c r="KRY1" s="87"/>
      <c r="KRZ1" s="87"/>
      <c r="KSA1" s="87"/>
      <c r="KSB1" s="87"/>
      <c r="KSC1" s="87"/>
      <c r="KSD1" s="87"/>
      <c r="KSE1" s="87"/>
      <c r="KSF1" s="87"/>
      <c r="KSG1" s="87"/>
      <c r="KSH1" s="87"/>
      <c r="KSI1" s="87"/>
      <c r="KSJ1" s="87"/>
      <c r="KSK1" s="87"/>
      <c r="KSL1" s="87"/>
      <c r="KSM1" s="87"/>
      <c r="KSN1" s="87"/>
      <c r="KSO1" s="87"/>
      <c r="KSP1" s="87"/>
      <c r="KSQ1" s="87"/>
      <c r="KSR1" s="87"/>
      <c r="KSS1" s="87"/>
      <c r="KST1" s="87"/>
      <c r="KSU1" s="87"/>
      <c r="KSV1" s="87"/>
      <c r="KSW1" s="87"/>
      <c r="KSX1" s="87"/>
      <c r="KSY1" s="87"/>
      <c r="KSZ1" s="87"/>
      <c r="KTA1" s="87"/>
      <c r="KTB1" s="87"/>
      <c r="KTC1" s="87"/>
      <c r="KTD1" s="87"/>
      <c r="KTE1" s="87"/>
      <c r="KTF1" s="87"/>
      <c r="KTG1" s="87"/>
      <c r="KTH1" s="87"/>
      <c r="KTI1" s="87"/>
      <c r="KTJ1" s="87"/>
      <c r="KTK1" s="87"/>
      <c r="KTL1" s="87"/>
      <c r="KTM1" s="87"/>
      <c r="KTN1" s="87"/>
      <c r="KTO1" s="87"/>
      <c r="KTP1" s="87"/>
      <c r="KTQ1" s="87"/>
      <c r="KTR1" s="87"/>
      <c r="KTS1" s="87"/>
      <c r="KTT1" s="87"/>
      <c r="KTU1" s="87"/>
      <c r="KTV1" s="87"/>
      <c r="KTW1" s="87"/>
      <c r="KTX1" s="87"/>
      <c r="KTY1" s="87"/>
      <c r="KTZ1" s="87"/>
      <c r="KUA1" s="87"/>
      <c r="KUB1" s="87"/>
      <c r="KUC1" s="87"/>
      <c r="KUD1" s="87"/>
      <c r="KUE1" s="87"/>
      <c r="KUF1" s="87"/>
      <c r="KUG1" s="87"/>
      <c r="KUH1" s="87"/>
      <c r="KUI1" s="87"/>
      <c r="KUJ1" s="87"/>
      <c r="KUK1" s="87"/>
      <c r="KUL1" s="87"/>
      <c r="KUM1" s="87"/>
      <c r="KUN1" s="87"/>
      <c r="KUO1" s="87"/>
      <c r="KUP1" s="87"/>
      <c r="KUQ1" s="87"/>
      <c r="KUR1" s="87"/>
      <c r="KUS1" s="87"/>
      <c r="KUT1" s="87"/>
      <c r="KUU1" s="87"/>
      <c r="KUV1" s="87"/>
      <c r="KUW1" s="87"/>
      <c r="KUX1" s="87"/>
      <c r="KUY1" s="87"/>
      <c r="KUZ1" s="87"/>
      <c r="KVA1" s="87"/>
      <c r="KVB1" s="87"/>
      <c r="KVC1" s="87"/>
      <c r="KVD1" s="87"/>
      <c r="KVE1" s="87"/>
      <c r="KVF1" s="87"/>
      <c r="KVG1" s="87"/>
      <c r="KVH1" s="87"/>
      <c r="KVI1" s="87"/>
      <c r="KVJ1" s="87"/>
      <c r="KVK1" s="87"/>
      <c r="KVL1" s="87"/>
      <c r="KVM1" s="87"/>
      <c r="KVN1" s="87"/>
      <c r="KVO1" s="87"/>
      <c r="KVP1" s="87"/>
      <c r="KVQ1" s="87"/>
      <c r="KVR1" s="87"/>
      <c r="KVS1" s="87"/>
      <c r="KVT1" s="87"/>
      <c r="KVU1" s="87"/>
      <c r="KVV1" s="87"/>
      <c r="KVW1" s="87"/>
      <c r="KVX1" s="87"/>
      <c r="KVY1" s="87"/>
      <c r="KVZ1" s="87"/>
      <c r="KWA1" s="87"/>
      <c r="KWB1" s="87"/>
      <c r="KWC1" s="87"/>
      <c r="KWD1" s="87"/>
      <c r="KWE1" s="87"/>
      <c r="KWF1" s="87"/>
      <c r="KWG1" s="87"/>
      <c r="KWH1" s="87"/>
      <c r="KWI1" s="87"/>
      <c r="KWJ1" s="87"/>
      <c r="KWK1" s="87"/>
      <c r="KWL1" s="87"/>
      <c r="KWM1" s="87"/>
      <c r="KWN1" s="87"/>
      <c r="KWO1" s="87"/>
      <c r="KWP1" s="87"/>
      <c r="KWQ1" s="87"/>
      <c r="KWR1" s="87"/>
      <c r="KWS1" s="87"/>
      <c r="KWT1" s="87"/>
      <c r="KWU1" s="87"/>
      <c r="KWV1" s="87"/>
      <c r="KWW1" s="87"/>
      <c r="KWX1" s="87"/>
      <c r="KWY1" s="87"/>
      <c r="KWZ1" s="87"/>
      <c r="KXA1" s="87"/>
      <c r="KXB1" s="87"/>
      <c r="KXC1" s="87"/>
      <c r="KXD1" s="87"/>
      <c r="KXE1" s="87"/>
      <c r="KXF1" s="87"/>
      <c r="KXG1" s="87"/>
      <c r="KXH1" s="87"/>
      <c r="KXI1" s="87"/>
      <c r="KXJ1" s="87"/>
      <c r="KXK1" s="87"/>
      <c r="KXL1" s="87"/>
      <c r="KXM1" s="87"/>
      <c r="KXN1" s="87"/>
      <c r="KXO1" s="87"/>
      <c r="KXP1" s="87"/>
      <c r="KXQ1" s="87"/>
      <c r="KXR1" s="87"/>
      <c r="KXS1" s="87"/>
      <c r="KXT1" s="87"/>
      <c r="KXU1" s="87"/>
      <c r="KXV1" s="87"/>
      <c r="KXW1" s="87"/>
      <c r="KXX1" s="87"/>
      <c r="KXY1" s="87"/>
      <c r="KXZ1" s="87"/>
      <c r="KYA1" s="87"/>
      <c r="KYB1" s="87"/>
      <c r="KYC1" s="87"/>
      <c r="KYD1" s="87"/>
      <c r="KYE1" s="87"/>
      <c r="KYF1" s="87"/>
      <c r="KYG1" s="87"/>
      <c r="KYH1" s="87"/>
      <c r="KYI1" s="87"/>
      <c r="KYJ1" s="87"/>
      <c r="KYK1" s="87"/>
      <c r="KYL1" s="87"/>
      <c r="KYM1" s="87"/>
      <c r="KYN1" s="87"/>
      <c r="KYO1" s="87"/>
      <c r="KYP1" s="87"/>
      <c r="KYQ1" s="87"/>
      <c r="KYR1" s="87"/>
      <c r="KYS1" s="87"/>
      <c r="KYT1" s="87"/>
      <c r="KYU1" s="87"/>
      <c r="KYV1" s="87"/>
      <c r="KYW1" s="87"/>
      <c r="KYX1" s="87"/>
      <c r="KYY1" s="87"/>
      <c r="KYZ1" s="87"/>
      <c r="KZA1" s="87"/>
      <c r="KZB1" s="87"/>
      <c r="KZC1" s="87"/>
      <c r="KZD1" s="87"/>
      <c r="KZE1" s="87"/>
      <c r="KZF1" s="87"/>
      <c r="KZG1" s="87"/>
      <c r="KZH1" s="87"/>
      <c r="KZI1" s="87"/>
      <c r="KZJ1" s="87"/>
      <c r="KZK1" s="87"/>
      <c r="KZL1" s="87"/>
      <c r="KZM1" s="87"/>
      <c r="KZN1" s="87"/>
      <c r="KZO1" s="87"/>
      <c r="KZP1" s="87"/>
      <c r="KZQ1" s="87"/>
      <c r="KZR1" s="87"/>
      <c r="KZS1" s="87"/>
      <c r="KZT1" s="87"/>
      <c r="KZU1" s="87"/>
      <c r="KZV1" s="87"/>
      <c r="KZW1" s="87"/>
      <c r="KZX1" s="87"/>
      <c r="KZY1" s="87"/>
      <c r="KZZ1" s="87"/>
      <c r="LAA1" s="87"/>
      <c r="LAB1" s="87"/>
      <c r="LAC1" s="87"/>
      <c r="LAD1" s="87"/>
      <c r="LAE1" s="87"/>
      <c r="LAF1" s="87"/>
      <c r="LAG1" s="87"/>
      <c r="LAH1" s="87"/>
      <c r="LAI1" s="87"/>
      <c r="LAJ1" s="87"/>
      <c r="LAK1" s="87"/>
      <c r="LAL1" s="87"/>
      <c r="LAM1" s="87"/>
      <c r="LAN1" s="87"/>
      <c r="LAO1" s="87"/>
      <c r="LAP1" s="87"/>
      <c r="LAQ1" s="87"/>
      <c r="LAR1" s="87"/>
      <c r="LAS1" s="87"/>
      <c r="LAT1" s="87"/>
      <c r="LAU1" s="87"/>
      <c r="LAV1" s="87"/>
      <c r="LAW1" s="87"/>
      <c r="LAX1" s="87"/>
      <c r="LAY1" s="87"/>
      <c r="LAZ1" s="87"/>
      <c r="LBA1" s="87"/>
      <c r="LBB1" s="87"/>
      <c r="LBC1" s="87"/>
      <c r="LBD1" s="87"/>
      <c r="LBE1" s="87"/>
      <c r="LBF1" s="87"/>
      <c r="LBG1" s="87"/>
      <c r="LBH1" s="87"/>
      <c r="LBI1" s="87"/>
      <c r="LBJ1" s="87"/>
      <c r="LBK1" s="87"/>
      <c r="LBL1" s="87"/>
      <c r="LBM1" s="87"/>
      <c r="LBN1" s="87"/>
      <c r="LBO1" s="87"/>
      <c r="LBP1" s="87"/>
      <c r="LBQ1" s="87"/>
      <c r="LBR1" s="87"/>
      <c r="LBS1" s="87"/>
      <c r="LBT1" s="87"/>
      <c r="LBU1" s="87"/>
      <c r="LBV1" s="87"/>
      <c r="LBW1" s="87"/>
      <c r="LBX1" s="87"/>
      <c r="LBY1" s="87"/>
      <c r="LBZ1" s="87"/>
      <c r="LCA1" s="87"/>
      <c r="LCB1" s="87"/>
      <c r="LCC1" s="87"/>
      <c r="LCD1" s="87"/>
      <c r="LCE1" s="87"/>
      <c r="LCF1" s="87"/>
      <c r="LCG1" s="87"/>
      <c r="LCH1" s="87"/>
      <c r="LCI1" s="87"/>
      <c r="LCJ1" s="87"/>
      <c r="LCK1" s="87"/>
      <c r="LCL1" s="87"/>
      <c r="LCM1" s="87"/>
      <c r="LCN1" s="87"/>
      <c r="LCO1" s="87"/>
      <c r="LCP1" s="87"/>
      <c r="LCQ1" s="87"/>
      <c r="LCR1" s="87"/>
      <c r="LCS1" s="87"/>
      <c r="LCT1" s="87"/>
      <c r="LCU1" s="87"/>
      <c r="LCV1" s="87"/>
      <c r="LCW1" s="87"/>
      <c r="LCX1" s="87"/>
      <c r="LCY1" s="87"/>
      <c r="LCZ1" s="87"/>
      <c r="LDA1" s="87"/>
      <c r="LDB1" s="87"/>
      <c r="LDC1" s="87"/>
      <c r="LDD1" s="87"/>
      <c r="LDE1" s="87"/>
      <c r="LDF1" s="87"/>
      <c r="LDG1" s="87"/>
      <c r="LDH1" s="87"/>
      <c r="LDI1" s="87"/>
      <c r="LDJ1" s="87"/>
      <c r="LDK1" s="87"/>
      <c r="LDL1" s="87"/>
      <c r="LDM1" s="87"/>
      <c r="LDN1" s="87"/>
      <c r="LDO1" s="87"/>
      <c r="LDP1" s="87"/>
      <c r="LDQ1" s="87"/>
      <c r="LDR1" s="87"/>
      <c r="LDS1" s="87"/>
      <c r="LDT1" s="87"/>
      <c r="LDU1" s="87"/>
      <c r="LDV1" s="87"/>
      <c r="LDW1" s="87"/>
      <c r="LDX1" s="87"/>
      <c r="LDY1" s="87"/>
      <c r="LDZ1" s="87"/>
      <c r="LEA1" s="87"/>
      <c r="LEB1" s="87"/>
      <c r="LEC1" s="87"/>
      <c r="LED1" s="87"/>
      <c r="LEE1" s="87"/>
      <c r="LEF1" s="87"/>
      <c r="LEG1" s="87"/>
      <c r="LEH1" s="87"/>
      <c r="LEI1" s="87"/>
      <c r="LEJ1" s="87"/>
      <c r="LEK1" s="87"/>
      <c r="LEL1" s="87"/>
      <c r="LEM1" s="87"/>
      <c r="LEN1" s="87"/>
      <c r="LEO1" s="87"/>
      <c r="LEP1" s="87"/>
      <c r="LEQ1" s="87"/>
      <c r="LER1" s="87"/>
      <c r="LES1" s="87"/>
      <c r="LET1" s="87"/>
      <c r="LEU1" s="87"/>
      <c r="LEV1" s="87"/>
      <c r="LEW1" s="87"/>
      <c r="LEX1" s="87"/>
      <c r="LEY1" s="87"/>
      <c r="LEZ1" s="87"/>
      <c r="LFA1" s="87"/>
      <c r="LFB1" s="87"/>
      <c r="LFC1" s="87"/>
      <c r="LFD1" s="87"/>
      <c r="LFE1" s="87"/>
      <c r="LFF1" s="87"/>
      <c r="LFG1" s="87"/>
      <c r="LFH1" s="87"/>
      <c r="LFI1" s="87"/>
      <c r="LFJ1" s="87"/>
      <c r="LFK1" s="87"/>
      <c r="LFL1" s="87"/>
      <c r="LFM1" s="87"/>
      <c r="LFN1" s="87"/>
      <c r="LFO1" s="87"/>
      <c r="LFP1" s="87"/>
      <c r="LFQ1" s="87"/>
      <c r="LFR1" s="87"/>
      <c r="LFS1" s="87"/>
      <c r="LFT1" s="87"/>
      <c r="LFU1" s="87"/>
      <c r="LFV1" s="87"/>
      <c r="LFW1" s="87"/>
      <c r="LFX1" s="87"/>
      <c r="LFY1" s="87"/>
      <c r="LFZ1" s="87"/>
      <c r="LGA1" s="87"/>
      <c r="LGB1" s="87"/>
      <c r="LGC1" s="87"/>
      <c r="LGD1" s="87"/>
      <c r="LGE1" s="87"/>
      <c r="LGF1" s="87"/>
      <c r="LGG1" s="87"/>
      <c r="LGH1" s="87"/>
      <c r="LGI1" s="87"/>
      <c r="LGJ1" s="87"/>
      <c r="LGK1" s="87"/>
      <c r="LGL1" s="87"/>
      <c r="LGM1" s="87"/>
      <c r="LGN1" s="87"/>
      <c r="LGO1" s="87"/>
      <c r="LGP1" s="87"/>
      <c r="LGQ1" s="87"/>
      <c r="LGR1" s="87"/>
      <c r="LGS1" s="87"/>
      <c r="LGT1" s="87"/>
      <c r="LGU1" s="87"/>
      <c r="LGV1" s="87"/>
      <c r="LGW1" s="87"/>
      <c r="LGX1" s="87"/>
      <c r="LGY1" s="87"/>
      <c r="LGZ1" s="87"/>
      <c r="LHA1" s="87"/>
      <c r="LHB1" s="87"/>
      <c r="LHC1" s="87"/>
      <c r="LHD1" s="87"/>
      <c r="LHE1" s="87"/>
      <c r="LHF1" s="87"/>
      <c r="LHG1" s="87"/>
      <c r="LHH1" s="87"/>
      <c r="LHI1" s="87"/>
      <c r="LHJ1" s="87"/>
      <c r="LHK1" s="87"/>
      <c r="LHL1" s="87"/>
      <c r="LHM1" s="87"/>
      <c r="LHN1" s="87"/>
      <c r="LHO1" s="87"/>
      <c r="LHP1" s="87"/>
      <c r="LHQ1" s="87"/>
      <c r="LHR1" s="87"/>
      <c r="LHS1" s="87"/>
      <c r="LHT1" s="87"/>
      <c r="LHU1" s="87"/>
      <c r="LHV1" s="87"/>
      <c r="LHW1" s="87"/>
      <c r="LHX1" s="87"/>
      <c r="LHY1" s="87"/>
      <c r="LHZ1" s="87"/>
      <c r="LIA1" s="87"/>
      <c r="LIB1" s="87"/>
      <c r="LIC1" s="87"/>
      <c r="LID1" s="87"/>
      <c r="LIE1" s="87"/>
      <c r="LIF1" s="87"/>
      <c r="LIG1" s="87"/>
      <c r="LIH1" s="87"/>
      <c r="LII1" s="87"/>
      <c r="LIJ1" s="87"/>
      <c r="LIK1" s="87"/>
      <c r="LIL1" s="87"/>
      <c r="LIM1" s="87"/>
      <c r="LIN1" s="87"/>
      <c r="LIO1" s="87"/>
      <c r="LIP1" s="87"/>
      <c r="LIQ1" s="87"/>
      <c r="LIR1" s="87"/>
      <c r="LIS1" s="87"/>
      <c r="LIT1" s="87"/>
      <c r="LIU1" s="87"/>
      <c r="LIV1" s="87"/>
      <c r="LIW1" s="87"/>
      <c r="LIX1" s="87"/>
      <c r="LIY1" s="87"/>
      <c r="LIZ1" s="87"/>
      <c r="LJA1" s="87"/>
      <c r="LJB1" s="87"/>
      <c r="LJC1" s="87"/>
      <c r="LJD1" s="87"/>
      <c r="LJE1" s="87"/>
      <c r="LJF1" s="87"/>
      <c r="LJG1" s="87"/>
      <c r="LJH1" s="87"/>
      <c r="LJI1" s="87"/>
      <c r="LJJ1" s="87"/>
      <c r="LJK1" s="87"/>
      <c r="LJL1" s="87"/>
      <c r="LJM1" s="87"/>
      <c r="LJN1" s="87"/>
      <c r="LJO1" s="87"/>
      <c r="LJP1" s="87"/>
      <c r="LJQ1" s="87"/>
      <c r="LJR1" s="87"/>
      <c r="LJS1" s="87"/>
      <c r="LJT1" s="87"/>
      <c r="LJU1" s="87"/>
      <c r="LJV1" s="87"/>
      <c r="LJW1" s="87"/>
      <c r="LJX1" s="87"/>
      <c r="LJY1" s="87"/>
      <c r="LJZ1" s="87"/>
      <c r="LKA1" s="87"/>
      <c r="LKB1" s="87"/>
      <c r="LKC1" s="87"/>
      <c r="LKD1" s="87"/>
      <c r="LKE1" s="87"/>
      <c r="LKF1" s="87"/>
      <c r="LKG1" s="87"/>
      <c r="LKH1" s="87"/>
      <c r="LKI1" s="87"/>
      <c r="LKJ1" s="87"/>
      <c r="LKK1" s="87"/>
      <c r="LKL1" s="87"/>
      <c r="LKM1" s="87"/>
      <c r="LKN1" s="87"/>
      <c r="LKO1" s="87"/>
      <c r="LKP1" s="87"/>
      <c r="LKQ1" s="87"/>
      <c r="LKR1" s="87"/>
      <c r="LKS1" s="87"/>
      <c r="LKT1" s="87"/>
      <c r="LKU1" s="87"/>
      <c r="LKV1" s="87"/>
      <c r="LKW1" s="87"/>
      <c r="LKX1" s="87"/>
      <c r="LKY1" s="87"/>
      <c r="LKZ1" s="87"/>
      <c r="LLA1" s="87"/>
      <c r="LLB1" s="87"/>
      <c r="LLC1" s="87"/>
      <c r="LLD1" s="87"/>
      <c r="LLE1" s="87"/>
      <c r="LLF1" s="87"/>
      <c r="LLG1" s="87"/>
      <c r="LLH1" s="87"/>
      <c r="LLI1" s="87"/>
      <c r="LLJ1" s="87"/>
      <c r="LLK1" s="87"/>
      <c r="LLL1" s="87"/>
      <c r="LLM1" s="87"/>
      <c r="LLN1" s="87"/>
      <c r="LLO1" s="87"/>
      <c r="LLP1" s="87"/>
      <c r="LLQ1" s="87"/>
      <c r="LLR1" s="87"/>
      <c r="LLS1" s="87"/>
      <c r="LLT1" s="87"/>
      <c r="LLU1" s="87"/>
      <c r="LLV1" s="87"/>
      <c r="LLW1" s="87"/>
      <c r="LLX1" s="87"/>
      <c r="LLY1" s="87"/>
      <c r="LLZ1" s="87"/>
      <c r="LMA1" s="87"/>
      <c r="LMB1" s="87"/>
      <c r="LMC1" s="87"/>
      <c r="LMD1" s="87"/>
      <c r="LME1" s="87"/>
      <c r="LMF1" s="87"/>
      <c r="LMG1" s="87"/>
      <c r="LMH1" s="87"/>
      <c r="LMI1" s="87"/>
      <c r="LMJ1" s="87"/>
      <c r="LMK1" s="87"/>
      <c r="LML1" s="87"/>
      <c r="LMM1" s="87"/>
      <c r="LMN1" s="87"/>
      <c r="LMO1" s="87"/>
      <c r="LMP1" s="87"/>
      <c r="LMQ1" s="87"/>
      <c r="LMR1" s="87"/>
      <c r="LMS1" s="87"/>
      <c r="LMT1" s="87"/>
      <c r="LMU1" s="87"/>
      <c r="LMV1" s="87"/>
      <c r="LMW1" s="87"/>
      <c r="LMX1" s="87"/>
      <c r="LMY1" s="87"/>
      <c r="LMZ1" s="87"/>
      <c r="LNA1" s="87"/>
      <c r="LNB1" s="87"/>
      <c r="LNC1" s="87"/>
      <c r="LND1" s="87"/>
      <c r="LNE1" s="87"/>
      <c r="LNF1" s="87"/>
      <c r="LNG1" s="87"/>
      <c r="LNH1" s="87"/>
      <c r="LNI1" s="87"/>
      <c r="LNJ1" s="87"/>
      <c r="LNK1" s="87"/>
      <c r="LNL1" s="87"/>
      <c r="LNM1" s="87"/>
      <c r="LNN1" s="87"/>
      <c r="LNO1" s="87"/>
      <c r="LNP1" s="87"/>
      <c r="LNQ1" s="87"/>
      <c r="LNR1" s="87"/>
      <c r="LNS1" s="87"/>
      <c r="LNT1" s="87"/>
      <c r="LNU1" s="87"/>
      <c r="LNV1" s="87"/>
      <c r="LNW1" s="87"/>
      <c r="LNX1" s="87"/>
      <c r="LNY1" s="87"/>
      <c r="LNZ1" s="87"/>
      <c r="LOA1" s="87"/>
      <c r="LOB1" s="87"/>
      <c r="LOC1" s="87"/>
      <c r="LOD1" s="87"/>
      <c r="LOE1" s="87"/>
      <c r="LOF1" s="87"/>
      <c r="LOG1" s="87"/>
      <c r="LOH1" s="87"/>
      <c r="LOI1" s="87"/>
      <c r="LOJ1" s="87"/>
      <c r="LOK1" s="87"/>
      <c r="LOL1" s="87"/>
      <c r="LOM1" s="87"/>
      <c r="LON1" s="87"/>
      <c r="LOO1" s="87"/>
      <c r="LOP1" s="87"/>
      <c r="LOQ1" s="87"/>
      <c r="LOR1" s="87"/>
      <c r="LOS1" s="87"/>
      <c r="LOT1" s="87"/>
      <c r="LOU1" s="87"/>
      <c r="LOV1" s="87"/>
      <c r="LOW1" s="87"/>
      <c r="LOX1" s="87"/>
      <c r="LOY1" s="87"/>
      <c r="LOZ1" s="87"/>
      <c r="LPA1" s="87"/>
      <c r="LPB1" s="87"/>
      <c r="LPC1" s="87"/>
      <c r="LPD1" s="87"/>
      <c r="LPE1" s="87"/>
      <c r="LPF1" s="87"/>
      <c r="LPG1" s="87"/>
      <c r="LPH1" s="87"/>
      <c r="LPI1" s="87"/>
      <c r="LPJ1" s="87"/>
      <c r="LPK1" s="87"/>
      <c r="LPL1" s="87"/>
      <c r="LPM1" s="87"/>
      <c r="LPN1" s="87"/>
      <c r="LPO1" s="87"/>
      <c r="LPP1" s="87"/>
      <c r="LPQ1" s="87"/>
      <c r="LPR1" s="87"/>
      <c r="LPS1" s="87"/>
      <c r="LPT1" s="87"/>
      <c r="LPU1" s="87"/>
      <c r="LPV1" s="87"/>
      <c r="LPW1" s="87"/>
      <c r="LPX1" s="87"/>
      <c r="LPY1" s="87"/>
      <c r="LPZ1" s="87"/>
      <c r="LQA1" s="87"/>
      <c r="LQB1" s="87"/>
      <c r="LQC1" s="87"/>
      <c r="LQD1" s="87"/>
      <c r="LQE1" s="87"/>
      <c r="LQF1" s="87"/>
      <c r="LQG1" s="87"/>
      <c r="LQH1" s="87"/>
      <c r="LQI1" s="87"/>
      <c r="LQJ1" s="87"/>
      <c r="LQK1" s="87"/>
      <c r="LQL1" s="87"/>
      <c r="LQM1" s="87"/>
      <c r="LQN1" s="87"/>
      <c r="LQO1" s="87"/>
      <c r="LQP1" s="87"/>
      <c r="LQQ1" s="87"/>
      <c r="LQR1" s="87"/>
      <c r="LQS1" s="87"/>
      <c r="LQT1" s="87"/>
      <c r="LQU1" s="87"/>
      <c r="LQV1" s="87"/>
      <c r="LQW1" s="87"/>
      <c r="LQX1" s="87"/>
      <c r="LQY1" s="87"/>
      <c r="LQZ1" s="87"/>
      <c r="LRA1" s="87"/>
      <c r="LRB1" s="87"/>
      <c r="LRC1" s="87"/>
      <c r="LRD1" s="87"/>
      <c r="LRE1" s="87"/>
      <c r="LRF1" s="87"/>
      <c r="LRG1" s="87"/>
      <c r="LRH1" s="87"/>
      <c r="LRI1" s="87"/>
      <c r="LRJ1" s="87"/>
      <c r="LRK1" s="87"/>
      <c r="LRL1" s="87"/>
      <c r="LRM1" s="87"/>
      <c r="LRN1" s="87"/>
      <c r="LRO1" s="87"/>
      <c r="LRP1" s="87"/>
      <c r="LRQ1" s="87"/>
      <c r="LRR1" s="87"/>
      <c r="LRS1" s="87"/>
      <c r="LRT1" s="87"/>
      <c r="LRU1" s="87"/>
      <c r="LRV1" s="87"/>
      <c r="LRW1" s="87"/>
      <c r="LRX1" s="87"/>
      <c r="LRY1" s="87"/>
      <c r="LRZ1" s="87"/>
      <c r="LSA1" s="87"/>
      <c r="LSB1" s="87"/>
      <c r="LSC1" s="87"/>
      <c r="LSD1" s="87"/>
      <c r="LSE1" s="87"/>
      <c r="LSF1" s="87"/>
      <c r="LSG1" s="87"/>
      <c r="LSH1" s="87"/>
      <c r="LSI1" s="87"/>
      <c r="LSJ1" s="87"/>
      <c r="LSK1" s="87"/>
      <c r="LSL1" s="87"/>
      <c r="LSM1" s="87"/>
      <c r="LSN1" s="87"/>
      <c r="LSO1" s="87"/>
      <c r="LSP1" s="87"/>
      <c r="LSQ1" s="87"/>
      <c r="LSR1" s="87"/>
      <c r="LSS1" s="87"/>
      <c r="LST1" s="87"/>
      <c r="LSU1" s="87"/>
      <c r="LSV1" s="87"/>
      <c r="LSW1" s="87"/>
      <c r="LSX1" s="87"/>
      <c r="LSY1" s="87"/>
      <c r="LSZ1" s="87"/>
      <c r="LTA1" s="87"/>
      <c r="LTB1" s="87"/>
      <c r="LTC1" s="87"/>
      <c r="LTD1" s="87"/>
      <c r="LTE1" s="87"/>
      <c r="LTF1" s="87"/>
      <c r="LTG1" s="87"/>
      <c r="LTH1" s="87"/>
      <c r="LTI1" s="87"/>
      <c r="LTJ1" s="87"/>
      <c r="LTK1" s="87"/>
      <c r="LTL1" s="87"/>
      <c r="LTM1" s="87"/>
      <c r="LTN1" s="87"/>
      <c r="LTO1" s="87"/>
      <c r="LTP1" s="87"/>
      <c r="LTQ1" s="87"/>
      <c r="LTR1" s="87"/>
      <c r="LTS1" s="87"/>
      <c r="LTT1" s="87"/>
      <c r="LTU1" s="87"/>
      <c r="LTV1" s="87"/>
      <c r="LTW1" s="87"/>
      <c r="LTX1" s="87"/>
      <c r="LTY1" s="87"/>
      <c r="LTZ1" s="87"/>
      <c r="LUA1" s="87"/>
      <c r="LUB1" s="87"/>
      <c r="LUC1" s="87"/>
      <c r="LUD1" s="87"/>
      <c r="LUE1" s="87"/>
      <c r="LUF1" s="87"/>
      <c r="LUG1" s="87"/>
      <c r="LUH1" s="87"/>
      <c r="LUI1" s="87"/>
      <c r="LUJ1" s="87"/>
      <c r="LUK1" s="87"/>
      <c r="LUL1" s="87"/>
      <c r="LUM1" s="87"/>
      <c r="LUN1" s="87"/>
      <c r="LUO1" s="87"/>
      <c r="LUP1" s="87"/>
      <c r="LUQ1" s="87"/>
      <c r="LUR1" s="87"/>
      <c r="LUS1" s="87"/>
      <c r="LUT1" s="87"/>
      <c r="LUU1" s="87"/>
      <c r="LUV1" s="87"/>
      <c r="LUW1" s="87"/>
      <c r="LUX1" s="87"/>
      <c r="LUY1" s="87"/>
      <c r="LUZ1" s="87"/>
      <c r="LVA1" s="87"/>
      <c r="LVB1" s="87"/>
      <c r="LVC1" s="87"/>
      <c r="LVD1" s="87"/>
      <c r="LVE1" s="87"/>
      <c r="LVF1" s="87"/>
      <c r="LVG1" s="87"/>
      <c r="LVH1" s="87"/>
      <c r="LVI1" s="87"/>
      <c r="LVJ1" s="87"/>
      <c r="LVK1" s="87"/>
      <c r="LVL1" s="87"/>
      <c r="LVM1" s="87"/>
      <c r="LVN1" s="87"/>
      <c r="LVO1" s="87"/>
      <c r="LVP1" s="87"/>
      <c r="LVQ1" s="87"/>
      <c r="LVR1" s="87"/>
      <c r="LVS1" s="87"/>
      <c r="LVT1" s="87"/>
      <c r="LVU1" s="87"/>
      <c r="LVV1" s="87"/>
      <c r="LVW1" s="87"/>
      <c r="LVX1" s="87"/>
      <c r="LVY1" s="87"/>
      <c r="LVZ1" s="87"/>
      <c r="LWA1" s="87"/>
      <c r="LWB1" s="87"/>
      <c r="LWC1" s="87"/>
      <c r="LWD1" s="87"/>
      <c r="LWE1" s="87"/>
      <c r="LWF1" s="87"/>
      <c r="LWG1" s="87"/>
      <c r="LWH1" s="87"/>
      <c r="LWI1" s="87"/>
      <c r="LWJ1" s="87"/>
      <c r="LWK1" s="87"/>
      <c r="LWL1" s="87"/>
      <c r="LWM1" s="87"/>
      <c r="LWN1" s="87"/>
      <c r="LWO1" s="87"/>
      <c r="LWP1" s="87"/>
      <c r="LWQ1" s="87"/>
      <c r="LWR1" s="87"/>
      <c r="LWS1" s="87"/>
      <c r="LWT1" s="87"/>
      <c r="LWU1" s="87"/>
      <c r="LWV1" s="87"/>
      <c r="LWW1" s="87"/>
      <c r="LWX1" s="87"/>
      <c r="LWY1" s="87"/>
      <c r="LWZ1" s="87"/>
      <c r="LXA1" s="87"/>
      <c r="LXB1" s="87"/>
      <c r="LXC1" s="87"/>
      <c r="LXD1" s="87"/>
      <c r="LXE1" s="87"/>
      <c r="LXF1" s="87"/>
      <c r="LXG1" s="87"/>
      <c r="LXH1" s="87"/>
      <c r="LXI1" s="87"/>
      <c r="LXJ1" s="87"/>
      <c r="LXK1" s="87"/>
      <c r="LXL1" s="87"/>
      <c r="LXM1" s="87"/>
      <c r="LXN1" s="87"/>
      <c r="LXO1" s="87"/>
      <c r="LXP1" s="87"/>
      <c r="LXQ1" s="87"/>
      <c r="LXR1" s="87"/>
      <c r="LXS1" s="87"/>
      <c r="LXT1" s="87"/>
      <c r="LXU1" s="87"/>
      <c r="LXV1" s="87"/>
      <c r="LXW1" s="87"/>
      <c r="LXX1" s="87"/>
      <c r="LXY1" s="87"/>
      <c r="LXZ1" s="87"/>
      <c r="LYA1" s="87"/>
      <c r="LYB1" s="87"/>
      <c r="LYC1" s="87"/>
      <c r="LYD1" s="87"/>
      <c r="LYE1" s="87"/>
      <c r="LYF1" s="87"/>
      <c r="LYG1" s="87"/>
      <c r="LYH1" s="87"/>
      <c r="LYI1" s="87"/>
      <c r="LYJ1" s="87"/>
      <c r="LYK1" s="87"/>
      <c r="LYL1" s="87"/>
      <c r="LYM1" s="87"/>
      <c r="LYN1" s="87"/>
      <c r="LYO1" s="87"/>
      <c r="LYP1" s="87"/>
      <c r="LYQ1" s="87"/>
      <c r="LYR1" s="87"/>
      <c r="LYS1" s="87"/>
      <c r="LYT1" s="87"/>
      <c r="LYU1" s="87"/>
      <c r="LYV1" s="87"/>
      <c r="LYW1" s="87"/>
      <c r="LYX1" s="87"/>
      <c r="LYY1" s="87"/>
      <c r="LYZ1" s="87"/>
      <c r="LZA1" s="87"/>
      <c r="LZB1" s="87"/>
      <c r="LZC1" s="87"/>
      <c r="LZD1" s="87"/>
      <c r="LZE1" s="87"/>
      <c r="LZF1" s="87"/>
      <c r="LZG1" s="87"/>
      <c r="LZH1" s="87"/>
      <c r="LZI1" s="87"/>
      <c r="LZJ1" s="87"/>
      <c r="LZK1" s="87"/>
      <c r="LZL1" s="87"/>
      <c r="LZM1" s="87"/>
      <c r="LZN1" s="87"/>
      <c r="LZO1" s="87"/>
      <c r="LZP1" s="87"/>
      <c r="LZQ1" s="87"/>
      <c r="LZR1" s="87"/>
      <c r="LZS1" s="87"/>
      <c r="LZT1" s="87"/>
      <c r="LZU1" s="87"/>
      <c r="LZV1" s="87"/>
      <c r="LZW1" s="87"/>
      <c r="LZX1" s="87"/>
      <c r="LZY1" s="87"/>
      <c r="LZZ1" s="87"/>
      <c r="MAA1" s="87"/>
      <c r="MAB1" s="87"/>
      <c r="MAC1" s="87"/>
      <c r="MAD1" s="87"/>
      <c r="MAE1" s="87"/>
      <c r="MAF1" s="87"/>
      <c r="MAG1" s="87"/>
      <c r="MAH1" s="87"/>
      <c r="MAI1" s="87"/>
      <c r="MAJ1" s="87"/>
      <c r="MAK1" s="87"/>
      <c r="MAL1" s="87"/>
      <c r="MAM1" s="87"/>
      <c r="MAN1" s="87"/>
      <c r="MAO1" s="87"/>
      <c r="MAP1" s="87"/>
      <c r="MAQ1" s="87"/>
      <c r="MAR1" s="87"/>
      <c r="MAS1" s="87"/>
      <c r="MAT1" s="87"/>
      <c r="MAU1" s="87"/>
      <c r="MAV1" s="87"/>
      <c r="MAW1" s="87"/>
      <c r="MAX1" s="87"/>
      <c r="MAY1" s="87"/>
      <c r="MAZ1" s="87"/>
      <c r="MBA1" s="87"/>
      <c r="MBB1" s="87"/>
      <c r="MBC1" s="87"/>
      <c r="MBD1" s="87"/>
      <c r="MBE1" s="87"/>
      <c r="MBF1" s="87"/>
      <c r="MBG1" s="87"/>
      <c r="MBH1" s="87"/>
      <c r="MBI1" s="87"/>
      <c r="MBJ1" s="87"/>
      <c r="MBK1" s="87"/>
      <c r="MBL1" s="87"/>
      <c r="MBM1" s="87"/>
      <c r="MBN1" s="87"/>
      <c r="MBO1" s="87"/>
      <c r="MBP1" s="87"/>
      <c r="MBQ1" s="87"/>
      <c r="MBR1" s="87"/>
      <c r="MBS1" s="87"/>
      <c r="MBT1" s="87"/>
      <c r="MBU1" s="87"/>
      <c r="MBV1" s="87"/>
      <c r="MBW1" s="87"/>
      <c r="MBX1" s="87"/>
      <c r="MBY1" s="87"/>
      <c r="MBZ1" s="87"/>
      <c r="MCA1" s="87"/>
      <c r="MCB1" s="87"/>
      <c r="MCC1" s="87"/>
      <c r="MCD1" s="87"/>
      <c r="MCE1" s="87"/>
      <c r="MCF1" s="87"/>
      <c r="MCG1" s="87"/>
      <c r="MCH1" s="87"/>
      <c r="MCI1" s="87"/>
      <c r="MCJ1" s="87"/>
      <c r="MCK1" s="87"/>
      <c r="MCL1" s="87"/>
      <c r="MCM1" s="87"/>
      <c r="MCN1" s="87"/>
      <c r="MCO1" s="87"/>
      <c r="MCP1" s="87"/>
      <c r="MCQ1" s="87"/>
      <c r="MCR1" s="87"/>
      <c r="MCS1" s="87"/>
      <c r="MCT1" s="87"/>
      <c r="MCU1" s="87"/>
      <c r="MCV1" s="87"/>
      <c r="MCW1" s="87"/>
      <c r="MCX1" s="87"/>
      <c r="MCY1" s="87"/>
      <c r="MCZ1" s="87"/>
      <c r="MDA1" s="87"/>
      <c r="MDB1" s="87"/>
      <c r="MDC1" s="87"/>
      <c r="MDD1" s="87"/>
      <c r="MDE1" s="87"/>
      <c r="MDF1" s="87"/>
      <c r="MDG1" s="87"/>
      <c r="MDH1" s="87"/>
      <c r="MDI1" s="87"/>
      <c r="MDJ1" s="87"/>
      <c r="MDK1" s="87"/>
      <c r="MDL1" s="87"/>
      <c r="MDM1" s="87"/>
      <c r="MDN1" s="87"/>
      <c r="MDO1" s="87"/>
      <c r="MDP1" s="87"/>
      <c r="MDQ1" s="87"/>
      <c r="MDR1" s="87"/>
      <c r="MDS1" s="87"/>
      <c r="MDT1" s="87"/>
      <c r="MDU1" s="87"/>
      <c r="MDV1" s="87"/>
      <c r="MDW1" s="87"/>
      <c r="MDX1" s="87"/>
      <c r="MDY1" s="87"/>
      <c r="MDZ1" s="87"/>
      <c r="MEA1" s="87"/>
      <c r="MEB1" s="87"/>
      <c r="MEC1" s="87"/>
      <c r="MED1" s="87"/>
      <c r="MEE1" s="87"/>
      <c r="MEF1" s="87"/>
      <c r="MEG1" s="87"/>
      <c r="MEH1" s="87"/>
      <c r="MEI1" s="87"/>
      <c r="MEJ1" s="87"/>
      <c r="MEK1" s="87"/>
      <c r="MEL1" s="87"/>
      <c r="MEM1" s="87"/>
      <c r="MEN1" s="87"/>
      <c r="MEO1" s="87"/>
      <c r="MEP1" s="87"/>
      <c r="MEQ1" s="87"/>
      <c r="MER1" s="87"/>
      <c r="MES1" s="87"/>
      <c r="MET1" s="87"/>
      <c r="MEU1" s="87"/>
      <c r="MEV1" s="87"/>
      <c r="MEW1" s="87"/>
      <c r="MEX1" s="87"/>
      <c r="MEY1" s="87"/>
      <c r="MEZ1" s="87"/>
      <c r="MFA1" s="87"/>
      <c r="MFB1" s="87"/>
      <c r="MFC1" s="87"/>
      <c r="MFD1" s="87"/>
      <c r="MFE1" s="87"/>
      <c r="MFF1" s="87"/>
      <c r="MFG1" s="87"/>
      <c r="MFH1" s="87"/>
      <c r="MFI1" s="87"/>
      <c r="MFJ1" s="87"/>
      <c r="MFK1" s="87"/>
      <c r="MFL1" s="87"/>
      <c r="MFM1" s="87"/>
      <c r="MFN1" s="87"/>
      <c r="MFO1" s="87"/>
      <c r="MFP1" s="87"/>
      <c r="MFQ1" s="87"/>
      <c r="MFR1" s="87"/>
      <c r="MFS1" s="87"/>
      <c r="MFT1" s="87"/>
      <c r="MFU1" s="87"/>
      <c r="MFV1" s="87"/>
      <c r="MFW1" s="87"/>
      <c r="MFX1" s="87"/>
      <c r="MFY1" s="87"/>
      <c r="MFZ1" s="87"/>
      <c r="MGA1" s="87"/>
      <c r="MGB1" s="87"/>
      <c r="MGC1" s="87"/>
      <c r="MGD1" s="87"/>
      <c r="MGE1" s="87"/>
      <c r="MGF1" s="87"/>
      <c r="MGG1" s="87"/>
      <c r="MGH1" s="87"/>
      <c r="MGI1" s="87"/>
      <c r="MGJ1" s="87"/>
      <c r="MGK1" s="87"/>
      <c r="MGL1" s="87"/>
      <c r="MGM1" s="87"/>
      <c r="MGN1" s="87"/>
      <c r="MGO1" s="87"/>
      <c r="MGP1" s="87"/>
      <c r="MGQ1" s="87"/>
      <c r="MGR1" s="87"/>
      <c r="MGS1" s="87"/>
      <c r="MGT1" s="87"/>
      <c r="MGU1" s="87"/>
      <c r="MGV1" s="87"/>
      <c r="MGW1" s="87"/>
      <c r="MGX1" s="87"/>
      <c r="MGY1" s="87"/>
      <c r="MGZ1" s="87"/>
      <c r="MHA1" s="87"/>
      <c r="MHB1" s="87"/>
      <c r="MHC1" s="87"/>
      <c r="MHD1" s="87"/>
      <c r="MHE1" s="87"/>
      <c r="MHF1" s="87"/>
      <c r="MHG1" s="87"/>
      <c r="MHH1" s="87"/>
      <c r="MHI1" s="87"/>
      <c r="MHJ1" s="87"/>
      <c r="MHK1" s="87"/>
      <c r="MHL1" s="87"/>
      <c r="MHM1" s="87"/>
      <c r="MHN1" s="87"/>
      <c r="MHO1" s="87"/>
      <c r="MHP1" s="87"/>
      <c r="MHQ1" s="87"/>
      <c r="MHR1" s="87"/>
      <c r="MHS1" s="87"/>
      <c r="MHT1" s="87"/>
      <c r="MHU1" s="87"/>
      <c r="MHV1" s="87"/>
      <c r="MHW1" s="87"/>
      <c r="MHX1" s="87"/>
      <c r="MHY1" s="87"/>
      <c r="MHZ1" s="87"/>
      <c r="MIA1" s="87"/>
      <c r="MIB1" s="87"/>
      <c r="MIC1" s="87"/>
      <c r="MID1" s="87"/>
      <c r="MIE1" s="87"/>
      <c r="MIF1" s="87"/>
      <c r="MIG1" s="87"/>
      <c r="MIH1" s="87"/>
      <c r="MII1" s="87"/>
      <c r="MIJ1" s="87"/>
      <c r="MIK1" s="87"/>
      <c r="MIL1" s="87"/>
      <c r="MIM1" s="87"/>
      <c r="MIN1" s="87"/>
      <c r="MIO1" s="87"/>
      <c r="MIP1" s="87"/>
      <c r="MIQ1" s="87"/>
      <c r="MIR1" s="87"/>
      <c r="MIS1" s="87"/>
      <c r="MIT1" s="87"/>
      <c r="MIU1" s="87"/>
      <c r="MIV1" s="87"/>
      <c r="MIW1" s="87"/>
      <c r="MIX1" s="87"/>
      <c r="MIY1" s="87"/>
      <c r="MIZ1" s="87"/>
      <c r="MJA1" s="87"/>
      <c r="MJB1" s="87"/>
      <c r="MJC1" s="87"/>
      <c r="MJD1" s="87"/>
      <c r="MJE1" s="87"/>
      <c r="MJF1" s="87"/>
      <c r="MJG1" s="87"/>
      <c r="MJH1" s="87"/>
      <c r="MJI1" s="87"/>
      <c r="MJJ1" s="87"/>
      <c r="MJK1" s="87"/>
      <c r="MJL1" s="87"/>
      <c r="MJM1" s="87"/>
      <c r="MJN1" s="87"/>
      <c r="MJO1" s="87"/>
      <c r="MJP1" s="87"/>
      <c r="MJQ1" s="87"/>
      <c r="MJR1" s="87"/>
      <c r="MJS1" s="87"/>
      <c r="MJT1" s="87"/>
      <c r="MJU1" s="87"/>
      <c r="MJV1" s="87"/>
      <c r="MJW1" s="87"/>
      <c r="MJX1" s="87"/>
      <c r="MJY1" s="87"/>
      <c r="MJZ1" s="87"/>
      <c r="MKA1" s="87"/>
      <c r="MKB1" s="87"/>
      <c r="MKC1" s="87"/>
      <c r="MKD1" s="87"/>
      <c r="MKE1" s="87"/>
      <c r="MKF1" s="87"/>
      <c r="MKG1" s="87"/>
      <c r="MKH1" s="87"/>
      <c r="MKI1" s="87"/>
      <c r="MKJ1" s="87"/>
      <c r="MKK1" s="87"/>
      <c r="MKL1" s="87"/>
      <c r="MKM1" s="87"/>
      <c r="MKN1" s="87"/>
      <c r="MKO1" s="87"/>
      <c r="MKP1" s="87"/>
      <c r="MKQ1" s="87"/>
      <c r="MKR1" s="87"/>
      <c r="MKS1" s="87"/>
      <c r="MKT1" s="87"/>
      <c r="MKU1" s="87"/>
      <c r="MKV1" s="87"/>
      <c r="MKW1" s="87"/>
      <c r="MKX1" s="87"/>
      <c r="MKY1" s="87"/>
      <c r="MKZ1" s="87"/>
      <c r="MLA1" s="87"/>
      <c r="MLB1" s="87"/>
      <c r="MLC1" s="87"/>
      <c r="MLD1" s="87"/>
      <c r="MLE1" s="87"/>
      <c r="MLF1" s="87"/>
      <c r="MLG1" s="87"/>
      <c r="MLH1" s="87"/>
      <c r="MLI1" s="87"/>
      <c r="MLJ1" s="87"/>
      <c r="MLK1" s="87"/>
      <c r="MLL1" s="87"/>
      <c r="MLM1" s="87"/>
      <c r="MLN1" s="87"/>
      <c r="MLO1" s="87"/>
      <c r="MLP1" s="87"/>
      <c r="MLQ1" s="87"/>
      <c r="MLR1" s="87"/>
      <c r="MLS1" s="87"/>
      <c r="MLT1" s="87"/>
      <c r="MLU1" s="87"/>
      <c r="MLV1" s="87"/>
      <c r="MLW1" s="87"/>
      <c r="MLX1" s="87"/>
      <c r="MLY1" s="87"/>
      <c r="MLZ1" s="87"/>
      <c r="MMA1" s="87"/>
      <c r="MMB1" s="87"/>
      <c r="MMC1" s="87"/>
      <c r="MMD1" s="87"/>
      <c r="MME1" s="87"/>
      <c r="MMF1" s="87"/>
      <c r="MMG1" s="87"/>
      <c r="MMH1" s="87"/>
      <c r="MMI1" s="87"/>
      <c r="MMJ1" s="87"/>
      <c r="MMK1" s="87"/>
      <c r="MML1" s="87"/>
      <c r="MMM1" s="87"/>
      <c r="MMN1" s="87"/>
      <c r="MMO1" s="87"/>
      <c r="MMP1" s="87"/>
      <c r="MMQ1" s="87"/>
      <c r="MMR1" s="87"/>
      <c r="MMS1" s="87"/>
      <c r="MMT1" s="87"/>
      <c r="MMU1" s="87"/>
      <c r="MMV1" s="87"/>
      <c r="MMW1" s="87"/>
      <c r="MMX1" s="87"/>
      <c r="MMY1" s="87"/>
      <c r="MMZ1" s="87"/>
      <c r="MNA1" s="87"/>
      <c r="MNB1" s="87"/>
      <c r="MNC1" s="87"/>
      <c r="MND1" s="87"/>
      <c r="MNE1" s="87"/>
      <c r="MNF1" s="87"/>
      <c r="MNG1" s="87"/>
      <c r="MNH1" s="87"/>
      <c r="MNI1" s="87"/>
      <c r="MNJ1" s="87"/>
      <c r="MNK1" s="87"/>
      <c r="MNL1" s="87"/>
      <c r="MNM1" s="87"/>
      <c r="MNN1" s="87"/>
      <c r="MNO1" s="87"/>
      <c r="MNP1" s="87"/>
      <c r="MNQ1" s="87"/>
      <c r="MNR1" s="87"/>
      <c r="MNS1" s="87"/>
      <c r="MNT1" s="87"/>
      <c r="MNU1" s="87"/>
      <c r="MNV1" s="87"/>
      <c r="MNW1" s="87"/>
      <c r="MNX1" s="87"/>
      <c r="MNY1" s="87"/>
      <c r="MNZ1" s="87"/>
      <c r="MOA1" s="87"/>
      <c r="MOB1" s="87"/>
      <c r="MOC1" s="87"/>
      <c r="MOD1" s="87"/>
      <c r="MOE1" s="87"/>
      <c r="MOF1" s="87"/>
      <c r="MOG1" s="87"/>
      <c r="MOH1" s="87"/>
      <c r="MOI1" s="87"/>
      <c r="MOJ1" s="87"/>
      <c r="MOK1" s="87"/>
      <c r="MOL1" s="87"/>
      <c r="MOM1" s="87"/>
      <c r="MON1" s="87"/>
      <c r="MOO1" s="87"/>
      <c r="MOP1" s="87"/>
      <c r="MOQ1" s="87"/>
      <c r="MOR1" s="87"/>
      <c r="MOS1" s="87"/>
      <c r="MOT1" s="87"/>
      <c r="MOU1" s="87"/>
      <c r="MOV1" s="87"/>
      <c r="MOW1" s="87"/>
      <c r="MOX1" s="87"/>
      <c r="MOY1" s="87"/>
      <c r="MOZ1" s="87"/>
      <c r="MPA1" s="87"/>
      <c r="MPB1" s="87"/>
      <c r="MPC1" s="87"/>
      <c r="MPD1" s="87"/>
      <c r="MPE1" s="87"/>
      <c r="MPF1" s="87"/>
      <c r="MPG1" s="87"/>
      <c r="MPH1" s="87"/>
      <c r="MPI1" s="87"/>
      <c r="MPJ1" s="87"/>
      <c r="MPK1" s="87"/>
      <c r="MPL1" s="87"/>
      <c r="MPM1" s="87"/>
      <c r="MPN1" s="87"/>
      <c r="MPO1" s="87"/>
      <c r="MPP1" s="87"/>
      <c r="MPQ1" s="87"/>
      <c r="MPR1" s="87"/>
      <c r="MPS1" s="87"/>
      <c r="MPT1" s="87"/>
      <c r="MPU1" s="87"/>
      <c r="MPV1" s="87"/>
      <c r="MPW1" s="87"/>
      <c r="MPX1" s="87"/>
      <c r="MPY1" s="87"/>
      <c r="MPZ1" s="87"/>
      <c r="MQA1" s="87"/>
      <c r="MQB1" s="87"/>
      <c r="MQC1" s="87"/>
      <c r="MQD1" s="87"/>
      <c r="MQE1" s="87"/>
      <c r="MQF1" s="87"/>
      <c r="MQG1" s="87"/>
      <c r="MQH1" s="87"/>
      <c r="MQI1" s="87"/>
      <c r="MQJ1" s="87"/>
      <c r="MQK1" s="87"/>
      <c r="MQL1" s="87"/>
      <c r="MQM1" s="87"/>
      <c r="MQN1" s="87"/>
      <c r="MQO1" s="87"/>
      <c r="MQP1" s="87"/>
      <c r="MQQ1" s="87"/>
      <c r="MQR1" s="87"/>
      <c r="MQS1" s="87"/>
      <c r="MQT1" s="87"/>
      <c r="MQU1" s="87"/>
      <c r="MQV1" s="87"/>
      <c r="MQW1" s="87"/>
      <c r="MQX1" s="87"/>
      <c r="MQY1" s="87"/>
      <c r="MQZ1" s="87"/>
      <c r="MRA1" s="87"/>
      <c r="MRB1" s="87"/>
      <c r="MRC1" s="87"/>
      <c r="MRD1" s="87"/>
      <c r="MRE1" s="87"/>
      <c r="MRF1" s="87"/>
      <c r="MRG1" s="87"/>
      <c r="MRH1" s="87"/>
      <c r="MRI1" s="87"/>
      <c r="MRJ1" s="87"/>
      <c r="MRK1" s="87"/>
      <c r="MRL1" s="87"/>
      <c r="MRM1" s="87"/>
      <c r="MRN1" s="87"/>
      <c r="MRO1" s="87"/>
      <c r="MRP1" s="87"/>
      <c r="MRQ1" s="87"/>
      <c r="MRR1" s="87"/>
      <c r="MRS1" s="87"/>
      <c r="MRT1" s="87"/>
      <c r="MRU1" s="87"/>
      <c r="MRV1" s="87"/>
      <c r="MRW1" s="87"/>
      <c r="MRX1" s="87"/>
      <c r="MRY1" s="87"/>
      <c r="MRZ1" s="87"/>
      <c r="MSA1" s="87"/>
      <c r="MSB1" s="87"/>
      <c r="MSC1" s="87"/>
      <c r="MSD1" s="87"/>
      <c r="MSE1" s="87"/>
      <c r="MSF1" s="87"/>
      <c r="MSG1" s="87"/>
      <c r="MSH1" s="87"/>
      <c r="MSI1" s="87"/>
      <c r="MSJ1" s="87"/>
      <c r="MSK1" s="87"/>
      <c r="MSL1" s="87"/>
      <c r="MSM1" s="87"/>
      <c r="MSN1" s="87"/>
      <c r="MSO1" s="87"/>
      <c r="MSP1" s="87"/>
      <c r="MSQ1" s="87"/>
      <c r="MSR1" s="87"/>
      <c r="MSS1" s="87"/>
      <c r="MST1" s="87"/>
      <c r="MSU1" s="87"/>
      <c r="MSV1" s="87"/>
      <c r="MSW1" s="87"/>
      <c r="MSX1" s="87"/>
      <c r="MSY1" s="87"/>
      <c r="MSZ1" s="87"/>
      <c r="MTA1" s="87"/>
      <c r="MTB1" s="87"/>
      <c r="MTC1" s="87"/>
      <c r="MTD1" s="87"/>
      <c r="MTE1" s="87"/>
      <c r="MTF1" s="87"/>
      <c r="MTG1" s="87"/>
      <c r="MTH1" s="87"/>
      <c r="MTI1" s="87"/>
      <c r="MTJ1" s="87"/>
      <c r="MTK1" s="87"/>
      <c r="MTL1" s="87"/>
      <c r="MTM1" s="87"/>
      <c r="MTN1" s="87"/>
      <c r="MTO1" s="87"/>
      <c r="MTP1" s="87"/>
      <c r="MTQ1" s="87"/>
      <c r="MTR1" s="87"/>
      <c r="MTS1" s="87"/>
      <c r="MTT1" s="87"/>
      <c r="MTU1" s="87"/>
      <c r="MTV1" s="87"/>
      <c r="MTW1" s="87"/>
      <c r="MTX1" s="87"/>
      <c r="MTY1" s="87"/>
      <c r="MTZ1" s="87"/>
      <c r="MUA1" s="87"/>
      <c r="MUB1" s="87"/>
      <c r="MUC1" s="87"/>
      <c r="MUD1" s="87"/>
      <c r="MUE1" s="87"/>
      <c r="MUF1" s="87"/>
      <c r="MUG1" s="87"/>
      <c r="MUH1" s="87"/>
      <c r="MUI1" s="87"/>
      <c r="MUJ1" s="87"/>
      <c r="MUK1" s="87"/>
      <c r="MUL1" s="87"/>
      <c r="MUM1" s="87"/>
      <c r="MUN1" s="87"/>
      <c r="MUO1" s="87"/>
      <c r="MUP1" s="87"/>
      <c r="MUQ1" s="87"/>
      <c r="MUR1" s="87"/>
      <c r="MUS1" s="87"/>
      <c r="MUT1" s="87"/>
      <c r="MUU1" s="87"/>
      <c r="MUV1" s="87"/>
      <c r="MUW1" s="87"/>
      <c r="MUX1" s="87"/>
      <c r="MUY1" s="87"/>
      <c r="MUZ1" s="87"/>
      <c r="MVA1" s="87"/>
      <c r="MVB1" s="87"/>
      <c r="MVC1" s="87"/>
      <c r="MVD1" s="87"/>
      <c r="MVE1" s="87"/>
      <c r="MVF1" s="87"/>
      <c r="MVG1" s="87"/>
      <c r="MVH1" s="87"/>
      <c r="MVI1" s="87"/>
      <c r="MVJ1" s="87"/>
      <c r="MVK1" s="87"/>
      <c r="MVL1" s="87"/>
      <c r="MVM1" s="87"/>
      <c r="MVN1" s="87"/>
      <c r="MVO1" s="87"/>
      <c r="MVP1" s="87"/>
      <c r="MVQ1" s="87"/>
      <c r="MVR1" s="87"/>
      <c r="MVS1" s="87"/>
      <c r="MVT1" s="87"/>
      <c r="MVU1" s="87"/>
      <c r="MVV1" s="87"/>
      <c r="MVW1" s="87"/>
      <c r="MVX1" s="87"/>
      <c r="MVY1" s="87"/>
      <c r="MVZ1" s="87"/>
      <c r="MWA1" s="87"/>
      <c r="MWB1" s="87"/>
      <c r="MWC1" s="87"/>
      <c r="MWD1" s="87"/>
      <c r="MWE1" s="87"/>
      <c r="MWF1" s="87"/>
      <c r="MWG1" s="87"/>
      <c r="MWH1" s="87"/>
      <c r="MWI1" s="87"/>
      <c r="MWJ1" s="87"/>
      <c r="MWK1" s="87"/>
      <c r="MWL1" s="87"/>
      <c r="MWM1" s="87"/>
      <c r="MWN1" s="87"/>
      <c r="MWO1" s="87"/>
      <c r="MWP1" s="87"/>
      <c r="MWQ1" s="87"/>
      <c r="MWR1" s="87"/>
      <c r="MWS1" s="87"/>
      <c r="MWT1" s="87"/>
      <c r="MWU1" s="87"/>
      <c r="MWV1" s="87"/>
      <c r="MWW1" s="87"/>
      <c r="MWX1" s="87"/>
      <c r="MWY1" s="87"/>
      <c r="MWZ1" s="87"/>
      <c r="MXA1" s="87"/>
      <c r="MXB1" s="87"/>
      <c r="MXC1" s="87"/>
      <c r="MXD1" s="87"/>
      <c r="MXE1" s="87"/>
      <c r="MXF1" s="87"/>
      <c r="MXG1" s="87"/>
      <c r="MXH1" s="87"/>
      <c r="MXI1" s="87"/>
      <c r="MXJ1" s="87"/>
      <c r="MXK1" s="87"/>
      <c r="MXL1" s="87"/>
      <c r="MXM1" s="87"/>
      <c r="MXN1" s="87"/>
      <c r="MXO1" s="87"/>
      <c r="MXP1" s="87"/>
      <c r="MXQ1" s="87"/>
      <c r="MXR1" s="87"/>
      <c r="MXS1" s="87"/>
      <c r="MXT1" s="87"/>
      <c r="MXU1" s="87"/>
      <c r="MXV1" s="87"/>
      <c r="MXW1" s="87"/>
      <c r="MXX1" s="87"/>
      <c r="MXY1" s="87"/>
      <c r="MXZ1" s="87"/>
      <c r="MYA1" s="87"/>
      <c r="MYB1" s="87"/>
      <c r="MYC1" s="87"/>
      <c r="MYD1" s="87"/>
      <c r="MYE1" s="87"/>
      <c r="MYF1" s="87"/>
      <c r="MYG1" s="87"/>
      <c r="MYH1" s="87"/>
      <c r="MYI1" s="87"/>
      <c r="MYJ1" s="87"/>
      <c r="MYK1" s="87"/>
      <c r="MYL1" s="87"/>
      <c r="MYM1" s="87"/>
      <c r="MYN1" s="87"/>
      <c r="MYO1" s="87"/>
      <c r="MYP1" s="87"/>
      <c r="MYQ1" s="87"/>
      <c r="MYR1" s="87"/>
      <c r="MYS1" s="87"/>
      <c r="MYT1" s="87"/>
      <c r="MYU1" s="87"/>
      <c r="MYV1" s="87"/>
      <c r="MYW1" s="87"/>
      <c r="MYX1" s="87"/>
      <c r="MYY1" s="87"/>
      <c r="MYZ1" s="87"/>
      <c r="MZA1" s="87"/>
      <c r="MZB1" s="87"/>
      <c r="MZC1" s="87"/>
      <c r="MZD1" s="87"/>
      <c r="MZE1" s="87"/>
      <c r="MZF1" s="87"/>
      <c r="MZG1" s="87"/>
      <c r="MZH1" s="87"/>
      <c r="MZI1" s="87"/>
      <c r="MZJ1" s="87"/>
      <c r="MZK1" s="87"/>
      <c r="MZL1" s="87"/>
      <c r="MZM1" s="87"/>
      <c r="MZN1" s="87"/>
      <c r="MZO1" s="87"/>
      <c r="MZP1" s="87"/>
      <c r="MZQ1" s="87"/>
      <c r="MZR1" s="87"/>
      <c r="MZS1" s="87"/>
      <c r="MZT1" s="87"/>
      <c r="MZU1" s="87"/>
      <c r="MZV1" s="87"/>
      <c r="MZW1" s="87"/>
      <c r="MZX1" s="87"/>
      <c r="MZY1" s="87"/>
      <c r="MZZ1" s="87"/>
      <c r="NAA1" s="87"/>
      <c r="NAB1" s="87"/>
      <c r="NAC1" s="87"/>
      <c r="NAD1" s="87"/>
      <c r="NAE1" s="87"/>
      <c r="NAF1" s="87"/>
      <c r="NAG1" s="87"/>
      <c r="NAH1" s="87"/>
      <c r="NAI1" s="87"/>
      <c r="NAJ1" s="87"/>
      <c r="NAK1" s="87"/>
      <c r="NAL1" s="87"/>
      <c r="NAM1" s="87"/>
      <c r="NAN1" s="87"/>
      <c r="NAO1" s="87"/>
      <c r="NAP1" s="87"/>
      <c r="NAQ1" s="87"/>
      <c r="NAR1" s="87"/>
      <c r="NAS1" s="87"/>
      <c r="NAT1" s="87"/>
      <c r="NAU1" s="87"/>
      <c r="NAV1" s="87"/>
      <c r="NAW1" s="87"/>
      <c r="NAX1" s="87"/>
      <c r="NAY1" s="87"/>
      <c r="NAZ1" s="87"/>
      <c r="NBA1" s="87"/>
      <c r="NBB1" s="87"/>
      <c r="NBC1" s="87"/>
      <c r="NBD1" s="87"/>
      <c r="NBE1" s="87"/>
      <c r="NBF1" s="87"/>
      <c r="NBG1" s="87"/>
      <c r="NBH1" s="87"/>
      <c r="NBI1" s="87"/>
      <c r="NBJ1" s="87"/>
      <c r="NBK1" s="87"/>
      <c r="NBL1" s="87"/>
      <c r="NBM1" s="87"/>
      <c r="NBN1" s="87"/>
      <c r="NBO1" s="87"/>
      <c r="NBP1" s="87"/>
      <c r="NBQ1" s="87"/>
      <c r="NBR1" s="87"/>
      <c r="NBS1" s="87"/>
      <c r="NBT1" s="87"/>
      <c r="NBU1" s="87"/>
      <c r="NBV1" s="87"/>
      <c r="NBW1" s="87"/>
      <c r="NBX1" s="87"/>
      <c r="NBY1" s="87"/>
      <c r="NBZ1" s="87"/>
      <c r="NCA1" s="87"/>
      <c r="NCB1" s="87"/>
      <c r="NCC1" s="87"/>
      <c r="NCD1" s="87"/>
      <c r="NCE1" s="87"/>
      <c r="NCF1" s="87"/>
      <c r="NCG1" s="87"/>
      <c r="NCH1" s="87"/>
      <c r="NCI1" s="87"/>
      <c r="NCJ1" s="87"/>
      <c r="NCK1" s="87"/>
      <c r="NCL1" s="87"/>
      <c r="NCM1" s="87"/>
      <c r="NCN1" s="87"/>
      <c r="NCO1" s="87"/>
      <c r="NCP1" s="87"/>
      <c r="NCQ1" s="87"/>
      <c r="NCR1" s="87"/>
      <c r="NCS1" s="87"/>
      <c r="NCT1" s="87"/>
      <c r="NCU1" s="87"/>
      <c r="NCV1" s="87"/>
      <c r="NCW1" s="87"/>
      <c r="NCX1" s="87"/>
      <c r="NCY1" s="87"/>
      <c r="NCZ1" s="87"/>
      <c r="NDA1" s="87"/>
      <c r="NDB1" s="87"/>
      <c r="NDC1" s="87"/>
      <c r="NDD1" s="87"/>
      <c r="NDE1" s="87"/>
      <c r="NDF1" s="87"/>
      <c r="NDG1" s="87"/>
      <c r="NDH1" s="87"/>
      <c r="NDI1" s="87"/>
      <c r="NDJ1" s="87"/>
      <c r="NDK1" s="87"/>
      <c r="NDL1" s="87"/>
      <c r="NDM1" s="87"/>
      <c r="NDN1" s="87"/>
      <c r="NDO1" s="87"/>
      <c r="NDP1" s="87"/>
      <c r="NDQ1" s="87"/>
      <c r="NDR1" s="87"/>
      <c r="NDS1" s="87"/>
      <c r="NDT1" s="87"/>
      <c r="NDU1" s="87"/>
      <c r="NDV1" s="87"/>
      <c r="NDW1" s="87"/>
      <c r="NDX1" s="87"/>
      <c r="NDY1" s="87"/>
      <c r="NDZ1" s="87"/>
      <c r="NEA1" s="87"/>
      <c r="NEB1" s="87"/>
      <c r="NEC1" s="87"/>
      <c r="NED1" s="87"/>
      <c r="NEE1" s="87"/>
      <c r="NEF1" s="87"/>
      <c r="NEG1" s="87"/>
      <c r="NEH1" s="87"/>
      <c r="NEI1" s="87"/>
      <c r="NEJ1" s="87"/>
      <c r="NEK1" s="87"/>
      <c r="NEL1" s="87"/>
      <c r="NEM1" s="87"/>
      <c r="NEN1" s="87"/>
      <c r="NEO1" s="87"/>
      <c r="NEP1" s="87"/>
      <c r="NEQ1" s="87"/>
      <c r="NER1" s="87"/>
      <c r="NES1" s="87"/>
      <c r="NET1" s="87"/>
      <c r="NEU1" s="87"/>
      <c r="NEV1" s="87"/>
      <c r="NEW1" s="87"/>
      <c r="NEX1" s="87"/>
      <c r="NEY1" s="87"/>
      <c r="NEZ1" s="87"/>
      <c r="NFA1" s="87"/>
      <c r="NFB1" s="87"/>
      <c r="NFC1" s="87"/>
      <c r="NFD1" s="87"/>
      <c r="NFE1" s="87"/>
      <c r="NFF1" s="87"/>
      <c r="NFG1" s="87"/>
      <c r="NFH1" s="87"/>
      <c r="NFI1" s="87"/>
      <c r="NFJ1" s="87"/>
      <c r="NFK1" s="87"/>
      <c r="NFL1" s="87"/>
      <c r="NFM1" s="87"/>
      <c r="NFN1" s="87"/>
      <c r="NFO1" s="87"/>
      <c r="NFP1" s="87"/>
      <c r="NFQ1" s="87"/>
      <c r="NFR1" s="87"/>
      <c r="NFS1" s="87"/>
      <c r="NFT1" s="87"/>
      <c r="NFU1" s="87"/>
      <c r="NFV1" s="87"/>
      <c r="NFW1" s="87"/>
      <c r="NFX1" s="87"/>
      <c r="NFY1" s="87"/>
      <c r="NFZ1" s="87"/>
      <c r="NGA1" s="87"/>
      <c r="NGB1" s="87"/>
      <c r="NGC1" s="87"/>
      <c r="NGD1" s="87"/>
      <c r="NGE1" s="87"/>
      <c r="NGF1" s="87"/>
      <c r="NGG1" s="87"/>
      <c r="NGH1" s="87"/>
      <c r="NGI1" s="87"/>
      <c r="NGJ1" s="87"/>
      <c r="NGK1" s="87"/>
      <c r="NGL1" s="87"/>
      <c r="NGM1" s="87"/>
      <c r="NGN1" s="87"/>
      <c r="NGO1" s="87"/>
      <c r="NGP1" s="87"/>
      <c r="NGQ1" s="87"/>
      <c r="NGR1" s="87"/>
      <c r="NGS1" s="87"/>
      <c r="NGT1" s="87"/>
      <c r="NGU1" s="87"/>
      <c r="NGV1" s="87"/>
      <c r="NGW1" s="87"/>
      <c r="NGX1" s="87"/>
      <c r="NGY1" s="87"/>
      <c r="NGZ1" s="87"/>
      <c r="NHA1" s="87"/>
      <c r="NHB1" s="87"/>
      <c r="NHC1" s="87"/>
      <c r="NHD1" s="87"/>
      <c r="NHE1" s="87"/>
      <c r="NHF1" s="87"/>
      <c r="NHG1" s="87"/>
      <c r="NHH1" s="87"/>
      <c r="NHI1" s="87"/>
      <c r="NHJ1" s="87"/>
      <c r="NHK1" s="87"/>
      <c r="NHL1" s="87"/>
      <c r="NHM1" s="87"/>
      <c r="NHN1" s="87"/>
      <c r="NHO1" s="87"/>
      <c r="NHP1" s="87"/>
      <c r="NHQ1" s="87"/>
      <c r="NHR1" s="87"/>
      <c r="NHS1" s="87"/>
      <c r="NHT1" s="87"/>
      <c r="NHU1" s="87"/>
      <c r="NHV1" s="87"/>
      <c r="NHW1" s="87"/>
      <c r="NHX1" s="87"/>
      <c r="NHY1" s="87"/>
      <c r="NHZ1" s="87"/>
      <c r="NIA1" s="87"/>
      <c r="NIB1" s="87"/>
      <c r="NIC1" s="87"/>
      <c r="NID1" s="87"/>
      <c r="NIE1" s="87"/>
      <c r="NIF1" s="87"/>
      <c r="NIG1" s="87"/>
      <c r="NIH1" s="87"/>
      <c r="NII1" s="87"/>
      <c r="NIJ1" s="87"/>
      <c r="NIK1" s="87"/>
      <c r="NIL1" s="87"/>
      <c r="NIM1" s="87"/>
      <c r="NIN1" s="87"/>
      <c r="NIO1" s="87"/>
      <c r="NIP1" s="87"/>
      <c r="NIQ1" s="87"/>
      <c r="NIR1" s="87"/>
      <c r="NIS1" s="87"/>
      <c r="NIT1" s="87"/>
      <c r="NIU1" s="87"/>
      <c r="NIV1" s="87"/>
      <c r="NIW1" s="87"/>
      <c r="NIX1" s="87"/>
      <c r="NIY1" s="87"/>
      <c r="NIZ1" s="87"/>
      <c r="NJA1" s="87"/>
      <c r="NJB1" s="87"/>
      <c r="NJC1" s="87"/>
      <c r="NJD1" s="87"/>
      <c r="NJE1" s="87"/>
      <c r="NJF1" s="87"/>
      <c r="NJG1" s="87"/>
      <c r="NJH1" s="87"/>
      <c r="NJI1" s="87"/>
      <c r="NJJ1" s="87"/>
      <c r="NJK1" s="87"/>
      <c r="NJL1" s="87"/>
      <c r="NJM1" s="87"/>
      <c r="NJN1" s="87"/>
      <c r="NJO1" s="87"/>
      <c r="NJP1" s="87"/>
      <c r="NJQ1" s="87"/>
      <c r="NJR1" s="87"/>
      <c r="NJS1" s="87"/>
      <c r="NJT1" s="87"/>
      <c r="NJU1" s="87"/>
      <c r="NJV1" s="87"/>
      <c r="NJW1" s="87"/>
      <c r="NJX1" s="87"/>
      <c r="NJY1" s="87"/>
      <c r="NJZ1" s="87"/>
      <c r="NKA1" s="87"/>
      <c r="NKB1" s="87"/>
      <c r="NKC1" s="87"/>
      <c r="NKD1" s="87"/>
      <c r="NKE1" s="87"/>
      <c r="NKF1" s="87"/>
      <c r="NKG1" s="87"/>
      <c r="NKH1" s="87"/>
      <c r="NKI1" s="87"/>
      <c r="NKJ1" s="87"/>
      <c r="NKK1" s="87"/>
      <c r="NKL1" s="87"/>
      <c r="NKM1" s="87"/>
      <c r="NKN1" s="87"/>
      <c r="NKO1" s="87"/>
      <c r="NKP1" s="87"/>
      <c r="NKQ1" s="87"/>
      <c r="NKR1" s="87"/>
      <c r="NKS1" s="87"/>
      <c r="NKT1" s="87"/>
      <c r="NKU1" s="87"/>
      <c r="NKV1" s="87"/>
      <c r="NKW1" s="87"/>
      <c r="NKX1" s="87"/>
      <c r="NKY1" s="87"/>
      <c r="NKZ1" s="87"/>
      <c r="NLA1" s="87"/>
      <c r="NLB1" s="87"/>
      <c r="NLC1" s="87"/>
      <c r="NLD1" s="87"/>
      <c r="NLE1" s="87"/>
      <c r="NLF1" s="87"/>
      <c r="NLG1" s="87"/>
      <c r="NLH1" s="87"/>
      <c r="NLI1" s="87"/>
      <c r="NLJ1" s="87"/>
      <c r="NLK1" s="87"/>
      <c r="NLL1" s="87"/>
      <c r="NLM1" s="87"/>
      <c r="NLN1" s="87"/>
      <c r="NLO1" s="87"/>
      <c r="NLP1" s="87"/>
      <c r="NLQ1" s="87"/>
      <c r="NLR1" s="87"/>
      <c r="NLS1" s="87"/>
      <c r="NLT1" s="87"/>
      <c r="NLU1" s="87"/>
      <c r="NLV1" s="87"/>
      <c r="NLW1" s="87"/>
      <c r="NLX1" s="87"/>
      <c r="NLY1" s="87"/>
      <c r="NLZ1" s="87"/>
      <c r="NMA1" s="87"/>
      <c r="NMB1" s="87"/>
      <c r="NMC1" s="87"/>
      <c r="NMD1" s="87"/>
      <c r="NME1" s="87"/>
      <c r="NMF1" s="87"/>
      <c r="NMG1" s="87"/>
      <c r="NMH1" s="87"/>
      <c r="NMI1" s="87"/>
      <c r="NMJ1" s="87"/>
      <c r="NMK1" s="87"/>
      <c r="NML1" s="87"/>
      <c r="NMM1" s="87"/>
      <c r="NMN1" s="87"/>
      <c r="NMO1" s="87"/>
      <c r="NMP1" s="87"/>
      <c r="NMQ1" s="87"/>
      <c r="NMR1" s="87"/>
      <c r="NMS1" s="87"/>
      <c r="NMT1" s="87"/>
      <c r="NMU1" s="87"/>
      <c r="NMV1" s="87"/>
      <c r="NMW1" s="87"/>
      <c r="NMX1" s="87"/>
      <c r="NMY1" s="87"/>
      <c r="NMZ1" s="87"/>
      <c r="NNA1" s="87"/>
      <c r="NNB1" s="87"/>
      <c r="NNC1" s="87"/>
      <c r="NND1" s="87"/>
      <c r="NNE1" s="87"/>
      <c r="NNF1" s="87"/>
      <c r="NNG1" s="87"/>
      <c r="NNH1" s="87"/>
      <c r="NNI1" s="87"/>
      <c r="NNJ1" s="87"/>
      <c r="NNK1" s="87"/>
      <c r="NNL1" s="87"/>
      <c r="NNM1" s="87"/>
      <c r="NNN1" s="87"/>
      <c r="NNO1" s="87"/>
      <c r="NNP1" s="87"/>
      <c r="NNQ1" s="87"/>
      <c r="NNR1" s="87"/>
      <c r="NNS1" s="87"/>
      <c r="NNT1" s="87"/>
      <c r="NNU1" s="87"/>
      <c r="NNV1" s="87"/>
      <c r="NNW1" s="87"/>
      <c r="NNX1" s="87"/>
      <c r="NNY1" s="87"/>
      <c r="NNZ1" s="87"/>
      <c r="NOA1" s="87"/>
      <c r="NOB1" s="87"/>
      <c r="NOC1" s="87"/>
      <c r="NOD1" s="87"/>
      <c r="NOE1" s="87"/>
      <c r="NOF1" s="87"/>
      <c r="NOG1" s="87"/>
      <c r="NOH1" s="87"/>
      <c r="NOI1" s="87"/>
      <c r="NOJ1" s="87"/>
      <c r="NOK1" s="87"/>
      <c r="NOL1" s="87"/>
      <c r="NOM1" s="87"/>
      <c r="NON1" s="87"/>
      <c r="NOO1" s="87"/>
      <c r="NOP1" s="87"/>
      <c r="NOQ1" s="87"/>
      <c r="NOR1" s="87"/>
      <c r="NOS1" s="87"/>
      <c r="NOT1" s="87"/>
      <c r="NOU1" s="87"/>
      <c r="NOV1" s="87"/>
      <c r="NOW1" s="87"/>
      <c r="NOX1" s="87"/>
      <c r="NOY1" s="87"/>
      <c r="NOZ1" s="87"/>
      <c r="NPA1" s="87"/>
      <c r="NPB1" s="87"/>
      <c r="NPC1" s="87"/>
      <c r="NPD1" s="87"/>
      <c r="NPE1" s="87"/>
      <c r="NPF1" s="87"/>
      <c r="NPG1" s="87"/>
      <c r="NPH1" s="87"/>
      <c r="NPI1" s="87"/>
      <c r="NPJ1" s="87"/>
      <c r="NPK1" s="87"/>
      <c r="NPL1" s="87"/>
      <c r="NPM1" s="87"/>
      <c r="NPN1" s="87"/>
      <c r="NPO1" s="87"/>
      <c r="NPP1" s="87"/>
      <c r="NPQ1" s="87"/>
      <c r="NPR1" s="87"/>
      <c r="NPS1" s="87"/>
      <c r="NPT1" s="87"/>
      <c r="NPU1" s="87"/>
      <c r="NPV1" s="87"/>
      <c r="NPW1" s="87"/>
      <c r="NPX1" s="87"/>
      <c r="NPY1" s="87"/>
      <c r="NPZ1" s="87"/>
      <c r="NQA1" s="87"/>
      <c r="NQB1" s="87"/>
      <c r="NQC1" s="87"/>
      <c r="NQD1" s="87"/>
      <c r="NQE1" s="87"/>
      <c r="NQF1" s="87"/>
      <c r="NQG1" s="87"/>
      <c r="NQH1" s="87"/>
      <c r="NQI1" s="87"/>
      <c r="NQJ1" s="87"/>
      <c r="NQK1" s="87"/>
      <c r="NQL1" s="87"/>
      <c r="NQM1" s="87"/>
      <c r="NQN1" s="87"/>
      <c r="NQO1" s="87"/>
      <c r="NQP1" s="87"/>
      <c r="NQQ1" s="87"/>
      <c r="NQR1" s="87"/>
      <c r="NQS1" s="87"/>
      <c r="NQT1" s="87"/>
      <c r="NQU1" s="87"/>
      <c r="NQV1" s="87"/>
      <c r="NQW1" s="87"/>
      <c r="NQX1" s="87"/>
      <c r="NQY1" s="87"/>
      <c r="NQZ1" s="87"/>
      <c r="NRA1" s="87"/>
      <c r="NRB1" s="87"/>
      <c r="NRC1" s="87"/>
      <c r="NRD1" s="87"/>
      <c r="NRE1" s="87"/>
      <c r="NRF1" s="87"/>
      <c r="NRG1" s="87"/>
      <c r="NRH1" s="87"/>
      <c r="NRI1" s="87"/>
      <c r="NRJ1" s="87"/>
      <c r="NRK1" s="87"/>
      <c r="NRL1" s="87"/>
      <c r="NRM1" s="87"/>
      <c r="NRN1" s="87"/>
      <c r="NRO1" s="87"/>
      <c r="NRP1" s="87"/>
      <c r="NRQ1" s="87"/>
      <c r="NRR1" s="87"/>
      <c r="NRS1" s="87"/>
      <c r="NRT1" s="87"/>
      <c r="NRU1" s="87"/>
      <c r="NRV1" s="87"/>
      <c r="NRW1" s="87"/>
      <c r="NRX1" s="87"/>
      <c r="NRY1" s="87"/>
      <c r="NRZ1" s="87"/>
      <c r="NSA1" s="87"/>
      <c r="NSB1" s="87"/>
      <c r="NSC1" s="87"/>
      <c r="NSD1" s="87"/>
      <c r="NSE1" s="87"/>
      <c r="NSF1" s="87"/>
      <c r="NSG1" s="87"/>
      <c r="NSH1" s="87"/>
      <c r="NSI1" s="87"/>
      <c r="NSJ1" s="87"/>
      <c r="NSK1" s="87"/>
      <c r="NSL1" s="87"/>
      <c r="NSM1" s="87"/>
      <c r="NSN1" s="87"/>
      <c r="NSO1" s="87"/>
      <c r="NSP1" s="87"/>
      <c r="NSQ1" s="87"/>
      <c r="NSR1" s="87"/>
      <c r="NSS1" s="87"/>
      <c r="NST1" s="87"/>
      <c r="NSU1" s="87"/>
      <c r="NSV1" s="87"/>
      <c r="NSW1" s="87"/>
      <c r="NSX1" s="87"/>
      <c r="NSY1" s="87"/>
      <c r="NSZ1" s="87"/>
      <c r="NTA1" s="87"/>
      <c r="NTB1" s="87"/>
      <c r="NTC1" s="87"/>
      <c r="NTD1" s="87"/>
      <c r="NTE1" s="87"/>
      <c r="NTF1" s="87"/>
      <c r="NTG1" s="87"/>
      <c r="NTH1" s="87"/>
      <c r="NTI1" s="87"/>
      <c r="NTJ1" s="87"/>
      <c r="NTK1" s="87"/>
      <c r="NTL1" s="87"/>
      <c r="NTM1" s="87"/>
      <c r="NTN1" s="87"/>
      <c r="NTO1" s="87"/>
      <c r="NTP1" s="87"/>
      <c r="NTQ1" s="87"/>
      <c r="NTR1" s="87"/>
      <c r="NTS1" s="87"/>
      <c r="NTT1" s="87"/>
      <c r="NTU1" s="87"/>
      <c r="NTV1" s="87"/>
      <c r="NTW1" s="87"/>
      <c r="NTX1" s="87"/>
      <c r="NTY1" s="87"/>
      <c r="NTZ1" s="87"/>
      <c r="NUA1" s="87"/>
      <c r="NUB1" s="87"/>
      <c r="NUC1" s="87"/>
      <c r="NUD1" s="87"/>
      <c r="NUE1" s="87"/>
      <c r="NUF1" s="87"/>
      <c r="NUG1" s="87"/>
      <c r="NUH1" s="87"/>
      <c r="NUI1" s="87"/>
      <c r="NUJ1" s="87"/>
      <c r="NUK1" s="87"/>
      <c r="NUL1" s="87"/>
      <c r="NUM1" s="87"/>
      <c r="NUN1" s="87"/>
      <c r="NUO1" s="87"/>
      <c r="NUP1" s="87"/>
      <c r="NUQ1" s="87"/>
      <c r="NUR1" s="87"/>
      <c r="NUS1" s="87"/>
      <c r="NUT1" s="87"/>
      <c r="NUU1" s="87"/>
      <c r="NUV1" s="87"/>
      <c r="NUW1" s="87"/>
      <c r="NUX1" s="87"/>
      <c r="NUY1" s="87"/>
      <c r="NUZ1" s="87"/>
      <c r="NVA1" s="87"/>
      <c r="NVB1" s="87"/>
      <c r="NVC1" s="87"/>
      <c r="NVD1" s="87"/>
      <c r="NVE1" s="87"/>
      <c r="NVF1" s="87"/>
      <c r="NVG1" s="87"/>
      <c r="NVH1" s="87"/>
      <c r="NVI1" s="87"/>
      <c r="NVJ1" s="87"/>
      <c r="NVK1" s="87"/>
      <c r="NVL1" s="87"/>
      <c r="NVM1" s="87"/>
      <c r="NVN1" s="87"/>
      <c r="NVO1" s="87"/>
      <c r="NVP1" s="87"/>
      <c r="NVQ1" s="87"/>
      <c r="NVR1" s="87"/>
      <c r="NVS1" s="87"/>
      <c r="NVT1" s="87"/>
      <c r="NVU1" s="87"/>
      <c r="NVV1" s="87"/>
      <c r="NVW1" s="87"/>
      <c r="NVX1" s="87"/>
      <c r="NVY1" s="87"/>
      <c r="NVZ1" s="87"/>
      <c r="NWA1" s="87"/>
      <c r="NWB1" s="87"/>
      <c r="NWC1" s="87"/>
      <c r="NWD1" s="87"/>
      <c r="NWE1" s="87"/>
      <c r="NWF1" s="87"/>
      <c r="NWG1" s="87"/>
      <c r="NWH1" s="87"/>
      <c r="NWI1" s="87"/>
      <c r="NWJ1" s="87"/>
      <c r="NWK1" s="87"/>
      <c r="NWL1" s="87"/>
      <c r="NWM1" s="87"/>
      <c r="NWN1" s="87"/>
      <c r="NWO1" s="87"/>
      <c r="NWP1" s="87"/>
      <c r="NWQ1" s="87"/>
      <c r="NWR1" s="87"/>
      <c r="NWS1" s="87"/>
      <c r="NWT1" s="87"/>
      <c r="NWU1" s="87"/>
      <c r="NWV1" s="87"/>
      <c r="NWW1" s="87"/>
      <c r="NWX1" s="87"/>
      <c r="NWY1" s="87"/>
      <c r="NWZ1" s="87"/>
      <c r="NXA1" s="87"/>
      <c r="NXB1" s="87"/>
      <c r="NXC1" s="87"/>
      <c r="NXD1" s="87"/>
      <c r="NXE1" s="87"/>
      <c r="NXF1" s="87"/>
      <c r="NXG1" s="87"/>
      <c r="NXH1" s="87"/>
      <c r="NXI1" s="87"/>
      <c r="NXJ1" s="87"/>
      <c r="NXK1" s="87"/>
      <c r="NXL1" s="87"/>
      <c r="NXM1" s="87"/>
      <c r="NXN1" s="87"/>
      <c r="NXO1" s="87"/>
      <c r="NXP1" s="87"/>
      <c r="NXQ1" s="87"/>
      <c r="NXR1" s="87"/>
      <c r="NXS1" s="87"/>
      <c r="NXT1" s="87"/>
      <c r="NXU1" s="87"/>
      <c r="NXV1" s="87"/>
      <c r="NXW1" s="87"/>
      <c r="NXX1" s="87"/>
      <c r="NXY1" s="87"/>
      <c r="NXZ1" s="87"/>
      <c r="NYA1" s="87"/>
      <c r="NYB1" s="87"/>
      <c r="NYC1" s="87"/>
      <c r="NYD1" s="87"/>
      <c r="NYE1" s="87"/>
      <c r="NYF1" s="87"/>
      <c r="NYG1" s="87"/>
      <c r="NYH1" s="87"/>
      <c r="NYI1" s="87"/>
      <c r="NYJ1" s="87"/>
      <c r="NYK1" s="87"/>
      <c r="NYL1" s="87"/>
      <c r="NYM1" s="87"/>
      <c r="NYN1" s="87"/>
      <c r="NYO1" s="87"/>
      <c r="NYP1" s="87"/>
      <c r="NYQ1" s="87"/>
      <c r="NYR1" s="87"/>
      <c r="NYS1" s="87"/>
      <c r="NYT1" s="87"/>
      <c r="NYU1" s="87"/>
      <c r="NYV1" s="87"/>
      <c r="NYW1" s="87"/>
      <c r="NYX1" s="87"/>
      <c r="NYY1" s="87"/>
      <c r="NYZ1" s="87"/>
      <c r="NZA1" s="87"/>
      <c r="NZB1" s="87"/>
      <c r="NZC1" s="87"/>
      <c r="NZD1" s="87"/>
      <c r="NZE1" s="87"/>
      <c r="NZF1" s="87"/>
      <c r="NZG1" s="87"/>
      <c r="NZH1" s="87"/>
      <c r="NZI1" s="87"/>
      <c r="NZJ1" s="87"/>
      <c r="NZK1" s="87"/>
      <c r="NZL1" s="87"/>
      <c r="NZM1" s="87"/>
      <c r="NZN1" s="87"/>
      <c r="NZO1" s="87"/>
      <c r="NZP1" s="87"/>
      <c r="NZQ1" s="87"/>
      <c r="NZR1" s="87"/>
      <c r="NZS1" s="87"/>
      <c r="NZT1" s="87"/>
      <c r="NZU1" s="87"/>
      <c r="NZV1" s="87"/>
      <c r="NZW1" s="87"/>
      <c r="NZX1" s="87"/>
      <c r="NZY1" s="87"/>
      <c r="NZZ1" s="87"/>
      <c r="OAA1" s="87"/>
      <c r="OAB1" s="87"/>
      <c r="OAC1" s="87"/>
      <c r="OAD1" s="87"/>
      <c r="OAE1" s="87"/>
      <c r="OAF1" s="87"/>
      <c r="OAG1" s="87"/>
      <c r="OAH1" s="87"/>
      <c r="OAI1" s="87"/>
      <c r="OAJ1" s="87"/>
      <c r="OAK1" s="87"/>
      <c r="OAL1" s="87"/>
      <c r="OAM1" s="87"/>
      <c r="OAN1" s="87"/>
      <c r="OAO1" s="87"/>
      <c r="OAP1" s="87"/>
      <c r="OAQ1" s="87"/>
      <c r="OAR1" s="87"/>
      <c r="OAS1" s="87"/>
      <c r="OAT1" s="87"/>
      <c r="OAU1" s="87"/>
      <c r="OAV1" s="87"/>
      <c r="OAW1" s="87"/>
      <c r="OAX1" s="87"/>
      <c r="OAY1" s="87"/>
      <c r="OAZ1" s="87"/>
      <c r="OBA1" s="87"/>
      <c r="OBB1" s="87"/>
      <c r="OBC1" s="87"/>
      <c r="OBD1" s="87"/>
      <c r="OBE1" s="87"/>
      <c r="OBF1" s="87"/>
      <c r="OBG1" s="87"/>
      <c r="OBH1" s="87"/>
      <c r="OBI1" s="87"/>
      <c r="OBJ1" s="87"/>
      <c r="OBK1" s="87"/>
      <c r="OBL1" s="87"/>
      <c r="OBM1" s="87"/>
      <c r="OBN1" s="87"/>
      <c r="OBO1" s="87"/>
      <c r="OBP1" s="87"/>
      <c r="OBQ1" s="87"/>
      <c r="OBR1" s="87"/>
      <c r="OBS1" s="87"/>
      <c r="OBT1" s="87"/>
      <c r="OBU1" s="87"/>
      <c r="OBV1" s="87"/>
      <c r="OBW1" s="87"/>
      <c r="OBX1" s="87"/>
      <c r="OBY1" s="87"/>
      <c r="OBZ1" s="87"/>
      <c r="OCA1" s="87"/>
      <c r="OCB1" s="87"/>
      <c r="OCC1" s="87"/>
      <c r="OCD1" s="87"/>
      <c r="OCE1" s="87"/>
      <c r="OCF1" s="87"/>
      <c r="OCG1" s="87"/>
      <c r="OCH1" s="87"/>
      <c r="OCI1" s="87"/>
      <c r="OCJ1" s="87"/>
      <c r="OCK1" s="87"/>
      <c r="OCL1" s="87"/>
      <c r="OCM1" s="87"/>
      <c r="OCN1" s="87"/>
      <c r="OCO1" s="87"/>
      <c r="OCP1" s="87"/>
      <c r="OCQ1" s="87"/>
      <c r="OCR1" s="87"/>
      <c r="OCS1" s="87"/>
      <c r="OCT1" s="87"/>
      <c r="OCU1" s="87"/>
      <c r="OCV1" s="87"/>
      <c r="OCW1" s="87"/>
      <c r="OCX1" s="87"/>
      <c r="OCY1" s="87"/>
      <c r="OCZ1" s="87"/>
      <c r="ODA1" s="87"/>
      <c r="ODB1" s="87"/>
      <c r="ODC1" s="87"/>
      <c r="ODD1" s="87"/>
      <c r="ODE1" s="87"/>
      <c r="ODF1" s="87"/>
      <c r="ODG1" s="87"/>
      <c r="ODH1" s="87"/>
      <c r="ODI1" s="87"/>
      <c r="ODJ1" s="87"/>
      <c r="ODK1" s="87"/>
      <c r="ODL1" s="87"/>
      <c r="ODM1" s="87"/>
      <c r="ODN1" s="87"/>
      <c r="ODO1" s="87"/>
      <c r="ODP1" s="87"/>
      <c r="ODQ1" s="87"/>
      <c r="ODR1" s="87"/>
      <c r="ODS1" s="87"/>
      <c r="ODT1" s="87"/>
      <c r="ODU1" s="87"/>
      <c r="ODV1" s="87"/>
      <c r="ODW1" s="87"/>
      <c r="ODX1" s="87"/>
      <c r="ODY1" s="87"/>
      <c r="ODZ1" s="87"/>
      <c r="OEA1" s="87"/>
      <c r="OEB1" s="87"/>
      <c r="OEC1" s="87"/>
      <c r="OED1" s="87"/>
      <c r="OEE1" s="87"/>
      <c r="OEF1" s="87"/>
      <c r="OEG1" s="87"/>
      <c r="OEH1" s="87"/>
      <c r="OEI1" s="87"/>
      <c r="OEJ1" s="87"/>
      <c r="OEK1" s="87"/>
      <c r="OEL1" s="87"/>
      <c r="OEM1" s="87"/>
      <c r="OEN1" s="87"/>
      <c r="OEO1" s="87"/>
      <c r="OEP1" s="87"/>
      <c r="OEQ1" s="87"/>
      <c r="OER1" s="87"/>
      <c r="OES1" s="87"/>
      <c r="OET1" s="87"/>
      <c r="OEU1" s="87"/>
      <c r="OEV1" s="87"/>
      <c r="OEW1" s="87"/>
      <c r="OEX1" s="87"/>
      <c r="OEY1" s="87"/>
      <c r="OEZ1" s="87"/>
      <c r="OFA1" s="87"/>
      <c r="OFB1" s="87"/>
      <c r="OFC1" s="87"/>
      <c r="OFD1" s="87"/>
      <c r="OFE1" s="87"/>
      <c r="OFF1" s="87"/>
      <c r="OFG1" s="87"/>
      <c r="OFH1" s="87"/>
      <c r="OFI1" s="87"/>
      <c r="OFJ1" s="87"/>
      <c r="OFK1" s="87"/>
      <c r="OFL1" s="87"/>
      <c r="OFM1" s="87"/>
      <c r="OFN1" s="87"/>
      <c r="OFO1" s="87"/>
      <c r="OFP1" s="87"/>
      <c r="OFQ1" s="87"/>
      <c r="OFR1" s="87"/>
      <c r="OFS1" s="87"/>
      <c r="OFT1" s="87"/>
      <c r="OFU1" s="87"/>
      <c r="OFV1" s="87"/>
      <c r="OFW1" s="87"/>
      <c r="OFX1" s="87"/>
      <c r="OFY1" s="87"/>
      <c r="OFZ1" s="87"/>
      <c r="OGA1" s="87"/>
      <c r="OGB1" s="87"/>
      <c r="OGC1" s="87"/>
      <c r="OGD1" s="87"/>
      <c r="OGE1" s="87"/>
      <c r="OGF1" s="87"/>
      <c r="OGG1" s="87"/>
      <c r="OGH1" s="87"/>
      <c r="OGI1" s="87"/>
      <c r="OGJ1" s="87"/>
      <c r="OGK1" s="87"/>
      <c r="OGL1" s="87"/>
      <c r="OGM1" s="87"/>
      <c r="OGN1" s="87"/>
      <c r="OGO1" s="87"/>
      <c r="OGP1" s="87"/>
      <c r="OGQ1" s="87"/>
      <c r="OGR1" s="87"/>
      <c r="OGS1" s="87"/>
      <c r="OGT1" s="87"/>
      <c r="OGU1" s="87"/>
      <c r="OGV1" s="87"/>
      <c r="OGW1" s="87"/>
      <c r="OGX1" s="87"/>
      <c r="OGY1" s="87"/>
      <c r="OGZ1" s="87"/>
      <c r="OHA1" s="87"/>
      <c r="OHB1" s="87"/>
      <c r="OHC1" s="87"/>
      <c r="OHD1" s="87"/>
      <c r="OHE1" s="87"/>
      <c r="OHF1" s="87"/>
      <c r="OHG1" s="87"/>
      <c r="OHH1" s="87"/>
      <c r="OHI1" s="87"/>
      <c r="OHJ1" s="87"/>
      <c r="OHK1" s="87"/>
      <c r="OHL1" s="87"/>
      <c r="OHM1" s="87"/>
      <c r="OHN1" s="87"/>
      <c r="OHO1" s="87"/>
      <c r="OHP1" s="87"/>
      <c r="OHQ1" s="87"/>
      <c r="OHR1" s="87"/>
      <c r="OHS1" s="87"/>
      <c r="OHT1" s="87"/>
      <c r="OHU1" s="87"/>
      <c r="OHV1" s="87"/>
      <c r="OHW1" s="87"/>
      <c r="OHX1" s="87"/>
      <c r="OHY1" s="87"/>
      <c r="OHZ1" s="87"/>
      <c r="OIA1" s="87"/>
      <c r="OIB1" s="87"/>
      <c r="OIC1" s="87"/>
      <c r="OID1" s="87"/>
      <c r="OIE1" s="87"/>
      <c r="OIF1" s="87"/>
      <c r="OIG1" s="87"/>
      <c r="OIH1" s="87"/>
      <c r="OII1" s="87"/>
      <c r="OIJ1" s="87"/>
      <c r="OIK1" s="87"/>
      <c r="OIL1" s="87"/>
      <c r="OIM1" s="87"/>
      <c r="OIN1" s="87"/>
      <c r="OIO1" s="87"/>
      <c r="OIP1" s="87"/>
      <c r="OIQ1" s="87"/>
      <c r="OIR1" s="87"/>
      <c r="OIS1" s="87"/>
      <c r="OIT1" s="87"/>
      <c r="OIU1" s="87"/>
      <c r="OIV1" s="87"/>
      <c r="OIW1" s="87"/>
      <c r="OIX1" s="87"/>
      <c r="OIY1" s="87"/>
      <c r="OIZ1" s="87"/>
      <c r="OJA1" s="87"/>
      <c r="OJB1" s="87"/>
      <c r="OJC1" s="87"/>
      <c r="OJD1" s="87"/>
      <c r="OJE1" s="87"/>
      <c r="OJF1" s="87"/>
      <c r="OJG1" s="87"/>
      <c r="OJH1" s="87"/>
      <c r="OJI1" s="87"/>
      <c r="OJJ1" s="87"/>
      <c r="OJK1" s="87"/>
      <c r="OJL1" s="87"/>
      <c r="OJM1" s="87"/>
      <c r="OJN1" s="87"/>
      <c r="OJO1" s="87"/>
      <c r="OJP1" s="87"/>
      <c r="OJQ1" s="87"/>
      <c r="OJR1" s="87"/>
      <c r="OJS1" s="87"/>
      <c r="OJT1" s="87"/>
      <c r="OJU1" s="87"/>
      <c r="OJV1" s="87"/>
      <c r="OJW1" s="87"/>
      <c r="OJX1" s="87"/>
      <c r="OJY1" s="87"/>
      <c r="OJZ1" s="87"/>
      <c r="OKA1" s="87"/>
      <c r="OKB1" s="87"/>
      <c r="OKC1" s="87"/>
      <c r="OKD1" s="87"/>
      <c r="OKE1" s="87"/>
      <c r="OKF1" s="87"/>
      <c r="OKG1" s="87"/>
      <c r="OKH1" s="87"/>
      <c r="OKI1" s="87"/>
      <c r="OKJ1" s="87"/>
      <c r="OKK1" s="87"/>
      <c r="OKL1" s="87"/>
      <c r="OKM1" s="87"/>
      <c r="OKN1" s="87"/>
      <c r="OKO1" s="87"/>
      <c r="OKP1" s="87"/>
      <c r="OKQ1" s="87"/>
      <c r="OKR1" s="87"/>
      <c r="OKS1" s="87"/>
      <c r="OKT1" s="87"/>
      <c r="OKU1" s="87"/>
      <c r="OKV1" s="87"/>
      <c r="OKW1" s="87"/>
      <c r="OKX1" s="87"/>
      <c r="OKY1" s="87"/>
      <c r="OKZ1" s="87"/>
      <c r="OLA1" s="87"/>
      <c r="OLB1" s="87"/>
      <c r="OLC1" s="87"/>
      <c r="OLD1" s="87"/>
      <c r="OLE1" s="87"/>
      <c r="OLF1" s="87"/>
      <c r="OLG1" s="87"/>
      <c r="OLH1" s="87"/>
      <c r="OLI1" s="87"/>
      <c r="OLJ1" s="87"/>
      <c r="OLK1" s="87"/>
      <c r="OLL1" s="87"/>
      <c r="OLM1" s="87"/>
      <c r="OLN1" s="87"/>
      <c r="OLO1" s="87"/>
      <c r="OLP1" s="87"/>
      <c r="OLQ1" s="87"/>
      <c r="OLR1" s="87"/>
      <c r="OLS1" s="87"/>
      <c r="OLT1" s="87"/>
      <c r="OLU1" s="87"/>
      <c r="OLV1" s="87"/>
      <c r="OLW1" s="87"/>
      <c r="OLX1" s="87"/>
      <c r="OLY1" s="87"/>
      <c r="OLZ1" s="87"/>
      <c r="OMA1" s="87"/>
      <c r="OMB1" s="87"/>
      <c r="OMC1" s="87"/>
      <c r="OMD1" s="87"/>
      <c r="OME1" s="87"/>
      <c r="OMF1" s="87"/>
      <c r="OMG1" s="87"/>
      <c r="OMH1" s="87"/>
      <c r="OMI1" s="87"/>
      <c r="OMJ1" s="87"/>
      <c r="OMK1" s="87"/>
      <c r="OML1" s="87"/>
      <c r="OMM1" s="87"/>
      <c r="OMN1" s="87"/>
      <c r="OMO1" s="87"/>
      <c r="OMP1" s="87"/>
      <c r="OMQ1" s="87"/>
      <c r="OMR1" s="87"/>
      <c r="OMS1" s="87"/>
      <c r="OMT1" s="87"/>
      <c r="OMU1" s="87"/>
      <c r="OMV1" s="87"/>
      <c r="OMW1" s="87"/>
      <c r="OMX1" s="87"/>
      <c r="OMY1" s="87"/>
      <c r="OMZ1" s="87"/>
      <c r="ONA1" s="87"/>
      <c r="ONB1" s="87"/>
      <c r="ONC1" s="87"/>
      <c r="OND1" s="87"/>
      <c r="ONE1" s="87"/>
      <c r="ONF1" s="87"/>
      <c r="ONG1" s="87"/>
      <c r="ONH1" s="87"/>
      <c r="ONI1" s="87"/>
      <c r="ONJ1" s="87"/>
      <c r="ONK1" s="87"/>
      <c r="ONL1" s="87"/>
      <c r="ONM1" s="87"/>
      <c r="ONN1" s="87"/>
      <c r="ONO1" s="87"/>
      <c r="ONP1" s="87"/>
      <c r="ONQ1" s="87"/>
      <c r="ONR1" s="87"/>
      <c r="ONS1" s="87"/>
      <c r="ONT1" s="87"/>
      <c r="ONU1" s="87"/>
      <c r="ONV1" s="87"/>
      <c r="ONW1" s="87"/>
      <c r="ONX1" s="87"/>
      <c r="ONY1" s="87"/>
      <c r="ONZ1" s="87"/>
      <c r="OOA1" s="87"/>
      <c r="OOB1" s="87"/>
      <c r="OOC1" s="87"/>
      <c r="OOD1" s="87"/>
      <c r="OOE1" s="87"/>
      <c r="OOF1" s="87"/>
      <c r="OOG1" s="87"/>
      <c r="OOH1" s="87"/>
      <c r="OOI1" s="87"/>
      <c r="OOJ1" s="87"/>
      <c r="OOK1" s="87"/>
      <c r="OOL1" s="87"/>
      <c r="OOM1" s="87"/>
      <c r="OON1" s="87"/>
      <c r="OOO1" s="87"/>
      <c r="OOP1" s="87"/>
      <c r="OOQ1" s="87"/>
      <c r="OOR1" s="87"/>
      <c r="OOS1" s="87"/>
      <c r="OOT1" s="87"/>
      <c r="OOU1" s="87"/>
      <c r="OOV1" s="87"/>
      <c r="OOW1" s="87"/>
      <c r="OOX1" s="87"/>
      <c r="OOY1" s="87"/>
      <c r="OOZ1" s="87"/>
      <c r="OPA1" s="87"/>
      <c r="OPB1" s="87"/>
      <c r="OPC1" s="87"/>
      <c r="OPD1" s="87"/>
      <c r="OPE1" s="87"/>
      <c r="OPF1" s="87"/>
      <c r="OPG1" s="87"/>
      <c r="OPH1" s="87"/>
      <c r="OPI1" s="87"/>
      <c r="OPJ1" s="87"/>
      <c r="OPK1" s="87"/>
      <c r="OPL1" s="87"/>
      <c r="OPM1" s="87"/>
      <c r="OPN1" s="87"/>
      <c r="OPO1" s="87"/>
      <c r="OPP1" s="87"/>
      <c r="OPQ1" s="87"/>
      <c r="OPR1" s="87"/>
      <c r="OPS1" s="87"/>
      <c r="OPT1" s="87"/>
      <c r="OPU1" s="87"/>
      <c r="OPV1" s="87"/>
      <c r="OPW1" s="87"/>
      <c r="OPX1" s="87"/>
      <c r="OPY1" s="87"/>
      <c r="OPZ1" s="87"/>
      <c r="OQA1" s="87"/>
      <c r="OQB1" s="87"/>
      <c r="OQC1" s="87"/>
      <c r="OQD1" s="87"/>
      <c r="OQE1" s="87"/>
      <c r="OQF1" s="87"/>
      <c r="OQG1" s="87"/>
      <c r="OQH1" s="87"/>
      <c r="OQI1" s="87"/>
      <c r="OQJ1" s="87"/>
      <c r="OQK1" s="87"/>
      <c r="OQL1" s="87"/>
      <c r="OQM1" s="87"/>
      <c r="OQN1" s="87"/>
      <c r="OQO1" s="87"/>
      <c r="OQP1" s="87"/>
      <c r="OQQ1" s="87"/>
      <c r="OQR1" s="87"/>
      <c r="OQS1" s="87"/>
      <c r="OQT1" s="87"/>
      <c r="OQU1" s="87"/>
      <c r="OQV1" s="87"/>
      <c r="OQW1" s="87"/>
      <c r="OQX1" s="87"/>
      <c r="OQY1" s="87"/>
      <c r="OQZ1" s="87"/>
      <c r="ORA1" s="87"/>
      <c r="ORB1" s="87"/>
      <c r="ORC1" s="87"/>
      <c r="ORD1" s="87"/>
      <c r="ORE1" s="87"/>
      <c r="ORF1" s="87"/>
      <c r="ORG1" s="87"/>
      <c r="ORH1" s="87"/>
      <c r="ORI1" s="87"/>
      <c r="ORJ1" s="87"/>
      <c r="ORK1" s="87"/>
      <c r="ORL1" s="87"/>
      <c r="ORM1" s="87"/>
      <c r="ORN1" s="87"/>
      <c r="ORO1" s="87"/>
      <c r="ORP1" s="87"/>
      <c r="ORQ1" s="87"/>
      <c r="ORR1" s="87"/>
      <c r="ORS1" s="87"/>
      <c r="ORT1" s="87"/>
      <c r="ORU1" s="87"/>
      <c r="ORV1" s="87"/>
      <c r="ORW1" s="87"/>
      <c r="ORX1" s="87"/>
      <c r="ORY1" s="87"/>
      <c r="ORZ1" s="87"/>
      <c r="OSA1" s="87"/>
      <c r="OSB1" s="87"/>
      <c r="OSC1" s="87"/>
      <c r="OSD1" s="87"/>
      <c r="OSE1" s="87"/>
      <c r="OSF1" s="87"/>
      <c r="OSG1" s="87"/>
      <c r="OSH1" s="87"/>
      <c r="OSI1" s="87"/>
      <c r="OSJ1" s="87"/>
      <c r="OSK1" s="87"/>
      <c r="OSL1" s="87"/>
      <c r="OSM1" s="87"/>
      <c r="OSN1" s="87"/>
      <c r="OSO1" s="87"/>
      <c r="OSP1" s="87"/>
      <c r="OSQ1" s="87"/>
      <c r="OSR1" s="87"/>
      <c r="OSS1" s="87"/>
      <c r="OST1" s="87"/>
      <c r="OSU1" s="87"/>
      <c r="OSV1" s="87"/>
      <c r="OSW1" s="87"/>
      <c r="OSX1" s="87"/>
      <c r="OSY1" s="87"/>
      <c r="OSZ1" s="87"/>
      <c r="OTA1" s="87"/>
      <c r="OTB1" s="87"/>
      <c r="OTC1" s="87"/>
      <c r="OTD1" s="87"/>
      <c r="OTE1" s="87"/>
      <c r="OTF1" s="87"/>
      <c r="OTG1" s="87"/>
      <c r="OTH1" s="87"/>
      <c r="OTI1" s="87"/>
      <c r="OTJ1" s="87"/>
      <c r="OTK1" s="87"/>
      <c r="OTL1" s="87"/>
      <c r="OTM1" s="87"/>
      <c r="OTN1" s="87"/>
      <c r="OTO1" s="87"/>
      <c r="OTP1" s="87"/>
      <c r="OTQ1" s="87"/>
      <c r="OTR1" s="87"/>
      <c r="OTS1" s="87"/>
      <c r="OTT1" s="87"/>
      <c r="OTU1" s="87"/>
      <c r="OTV1" s="87"/>
      <c r="OTW1" s="87"/>
      <c r="OTX1" s="87"/>
      <c r="OTY1" s="87"/>
      <c r="OTZ1" s="87"/>
      <c r="OUA1" s="87"/>
      <c r="OUB1" s="87"/>
      <c r="OUC1" s="87"/>
      <c r="OUD1" s="87"/>
      <c r="OUE1" s="87"/>
      <c r="OUF1" s="87"/>
      <c r="OUG1" s="87"/>
      <c r="OUH1" s="87"/>
      <c r="OUI1" s="87"/>
      <c r="OUJ1" s="87"/>
      <c r="OUK1" s="87"/>
      <c r="OUL1" s="87"/>
      <c r="OUM1" s="87"/>
      <c r="OUN1" s="87"/>
      <c r="OUO1" s="87"/>
      <c r="OUP1" s="87"/>
      <c r="OUQ1" s="87"/>
      <c r="OUR1" s="87"/>
      <c r="OUS1" s="87"/>
      <c r="OUT1" s="87"/>
      <c r="OUU1" s="87"/>
      <c r="OUV1" s="87"/>
      <c r="OUW1" s="87"/>
      <c r="OUX1" s="87"/>
      <c r="OUY1" s="87"/>
      <c r="OUZ1" s="87"/>
      <c r="OVA1" s="87"/>
      <c r="OVB1" s="87"/>
      <c r="OVC1" s="87"/>
      <c r="OVD1" s="87"/>
      <c r="OVE1" s="87"/>
      <c r="OVF1" s="87"/>
      <c r="OVG1" s="87"/>
      <c r="OVH1" s="87"/>
      <c r="OVI1" s="87"/>
      <c r="OVJ1" s="87"/>
      <c r="OVK1" s="87"/>
      <c r="OVL1" s="87"/>
      <c r="OVM1" s="87"/>
      <c r="OVN1" s="87"/>
      <c r="OVO1" s="87"/>
      <c r="OVP1" s="87"/>
      <c r="OVQ1" s="87"/>
      <c r="OVR1" s="87"/>
      <c r="OVS1" s="87"/>
      <c r="OVT1" s="87"/>
      <c r="OVU1" s="87"/>
      <c r="OVV1" s="87"/>
      <c r="OVW1" s="87"/>
      <c r="OVX1" s="87"/>
      <c r="OVY1" s="87"/>
      <c r="OVZ1" s="87"/>
      <c r="OWA1" s="87"/>
      <c r="OWB1" s="87"/>
      <c r="OWC1" s="87"/>
      <c r="OWD1" s="87"/>
      <c r="OWE1" s="87"/>
      <c r="OWF1" s="87"/>
      <c r="OWG1" s="87"/>
      <c r="OWH1" s="87"/>
      <c r="OWI1" s="87"/>
      <c r="OWJ1" s="87"/>
      <c r="OWK1" s="87"/>
      <c r="OWL1" s="87"/>
      <c r="OWM1" s="87"/>
      <c r="OWN1" s="87"/>
      <c r="OWO1" s="87"/>
      <c r="OWP1" s="87"/>
      <c r="OWQ1" s="87"/>
      <c r="OWR1" s="87"/>
      <c r="OWS1" s="87"/>
      <c r="OWT1" s="87"/>
      <c r="OWU1" s="87"/>
      <c r="OWV1" s="87"/>
      <c r="OWW1" s="87"/>
      <c r="OWX1" s="87"/>
      <c r="OWY1" s="87"/>
      <c r="OWZ1" s="87"/>
      <c r="OXA1" s="87"/>
      <c r="OXB1" s="87"/>
      <c r="OXC1" s="87"/>
      <c r="OXD1" s="87"/>
      <c r="OXE1" s="87"/>
      <c r="OXF1" s="87"/>
      <c r="OXG1" s="87"/>
      <c r="OXH1" s="87"/>
      <c r="OXI1" s="87"/>
      <c r="OXJ1" s="87"/>
      <c r="OXK1" s="87"/>
      <c r="OXL1" s="87"/>
      <c r="OXM1" s="87"/>
      <c r="OXN1" s="87"/>
      <c r="OXO1" s="87"/>
      <c r="OXP1" s="87"/>
      <c r="OXQ1" s="87"/>
      <c r="OXR1" s="87"/>
      <c r="OXS1" s="87"/>
      <c r="OXT1" s="87"/>
      <c r="OXU1" s="87"/>
      <c r="OXV1" s="87"/>
      <c r="OXW1" s="87"/>
      <c r="OXX1" s="87"/>
      <c r="OXY1" s="87"/>
      <c r="OXZ1" s="87"/>
      <c r="OYA1" s="87"/>
      <c r="OYB1" s="87"/>
      <c r="OYC1" s="87"/>
      <c r="OYD1" s="87"/>
      <c r="OYE1" s="87"/>
      <c r="OYF1" s="87"/>
      <c r="OYG1" s="87"/>
      <c r="OYH1" s="87"/>
      <c r="OYI1" s="87"/>
      <c r="OYJ1" s="87"/>
      <c r="OYK1" s="87"/>
      <c r="OYL1" s="87"/>
      <c r="OYM1" s="87"/>
      <c r="OYN1" s="87"/>
      <c r="OYO1" s="87"/>
      <c r="OYP1" s="87"/>
      <c r="OYQ1" s="87"/>
      <c r="OYR1" s="87"/>
      <c r="OYS1" s="87"/>
      <c r="OYT1" s="87"/>
      <c r="OYU1" s="87"/>
      <c r="OYV1" s="87"/>
      <c r="OYW1" s="87"/>
      <c r="OYX1" s="87"/>
      <c r="OYY1" s="87"/>
      <c r="OYZ1" s="87"/>
      <c r="OZA1" s="87"/>
      <c r="OZB1" s="87"/>
      <c r="OZC1" s="87"/>
      <c r="OZD1" s="87"/>
      <c r="OZE1" s="87"/>
      <c r="OZF1" s="87"/>
      <c r="OZG1" s="87"/>
      <c r="OZH1" s="87"/>
      <c r="OZI1" s="87"/>
      <c r="OZJ1" s="87"/>
      <c r="OZK1" s="87"/>
      <c r="OZL1" s="87"/>
      <c r="OZM1" s="87"/>
      <c r="OZN1" s="87"/>
      <c r="OZO1" s="87"/>
      <c r="OZP1" s="87"/>
      <c r="OZQ1" s="87"/>
      <c r="OZR1" s="87"/>
      <c r="OZS1" s="87"/>
      <c r="OZT1" s="87"/>
      <c r="OZU1" s="87"/>
      <c r="OZV1" s="87"/>
      <c r="OZW1" s="87"/>
      <c r="OZX1" s="87"/>
      <c r="OZY1" s="87"/>
      <c r="OZZ1" s="87"/>
      <c r="PAA1" s="87"/>
      <c r="PAB1" s="87"/>
      <c r="PAC1" s="87"/>
      <c r="PAD1" s="87"/>
      <c r="PAE1" s="87"/>
      <c r="PAF1" s="87"/>
      <c r="PAG1" s="87"/>
      <c r="PAH1" s="87"/>
      <c r="PAI1" s="87"/>
      <c r="PAJ1" s="87"/>
      <c r="PAK1" s="87"/>
      <c r="PAL1" s="87"/>
      <c r="PAM1" s="87"/>
      <c r="PAN1" s="87"/>
      <c r="PAO1" s="87"/>
      <c r="PAP1" s="87"/>
      <c r="PAQ1" s="87"/>
      <c r="PAR1" s="87"/>
      <c r="PAS1" s="87"/>
      <c r="PAT1" s="87"/>
      <c r="PAU1" s="87"/>
      <c r="PAV1" s="87"/>
      <c r="PAW1" s="87"/>
      <c r="PAX1" s="87"/>
      <c r="PAY1" s="87"/>
      <c r="PAZ1" s="87"/>
      <c r="PBA1" s="87"/>
      <c r="PBB1" s="87"/>
      <c r="PBC1" s="87"/>
      <c r="PBD1" s="87"/>
      <c r="PBE1" s="87"/>
      <c r="PBF1" s="87"/>
      <c r="PBG1" s="87"/>
      <c r="PBH1" s="87"/>
      <c r="PBI1" s="87"/>
      <c r="PBJ1" s="87"/>
      <c r="PBK1" s="87"/>
      <c r="PBL1" s="87"/>
      <c r="PBM1" s="87"/>
      <c r="PBN1" s="87"/>
      <c r="PBO1" s="87"/>
      <c r="PBP1" s="87"/>
      <c r="PBQ1" s="87"/>
      <c r="PBR1" s="87"/>
      <c r="PBS1" s="87"/>
      <c r="PBT1" s="87"/>
      <c r="PBU1" s="87"/>
      <c r="PBV1" s="87"/>
      <c r="PBW1" s="87"/>
      <c r="PBX1" s="87"/>
      <c r="PBY1" s="87"/>
      <c r="PBZ1" s="87"/>
      <c r="PCA1" s="87"/>
      <c r="PCB1" s="87"/>
      <c r="PCC1" s="87"/>
      <c r="PCD1" s="87"/>
      <c r="PCE1" s="87"/>
      <c r="PCF1" s="87"/>
      <c r="PCG1" s="87"/>
      <c r="PCH1" s="87"/>
      <c r="PCI1" s="87"/>
      <c r="PCJ1" s="87"/>
      <c r="PCK1" s="87"/>
      <c r="PCL1" s="87"/>
      <c r="PCM1" s="87"/>
      <c r="PCN1" s="87"/>
      <c r="PCO1" s="87"/>
      <c r="PCP1" s="87"/>
      <c r="PCQ1" s="87"/>
      <c r="PCR1" s="87"/>
      <c r="PCS1" s="87"/>
      <c r="PCT1" s="87"/>
      <c r="PCU1" s="87"/>
      <c r="PCV1" s="87"/>
      <c r="PCW1" s="87"/>
      <c r="PCX1" s="87"/>
      <c r="PCY1" s="87"/>
      <c r="PCZ1" s="87"/>
      <c r="PDA1" s="87"/>
      <c r="PDB1" s="87"/>
      <c r="PDC1" s="87"/>
      <c r="PDD1" s="87"/>
      <c r="PDE1" s="87"/>
      <c r="PDF1" s="87"/>
      <c r="PDG1" s="87"/>
      <c r="PDH1" s="87"/>
      <c r="PDI1" s="87"/>
      <c r="PDJ1" s="87"/>
      <c r="PDK1" s="87"/>
      <c r="PDL1" s="87"/>
      <c r="PDM1" s="87"/>
      <c r="PDN1" s="87"/>
      <c r="PDO1" s="87"/>
      <c r="PDP1" s="87"/>
      <c r="PDQ1" s="87"/>
      <c r="PDR1" s="87"/>
      <c r="PDS1" s="87"/>
      <c r="PDT1" s="87"/>
      <c r="PDU1" s="87"/>
      <c r="PDV1" s="87"/>
      <c r="PDW1" s="87"/>
      <c r="PDX1" s="87"/>
      <c r="PDY1" s="87"/>
      <c r="PDZ1" s="87"/>
      <c r="PEA1" s="87"/>
      <c r="PEB1" s="87"/>
      <c r="PEC1" s="87"/>
      <c r="PED1" s="87"/>
      <c r="PEE1" s="87"/>
      <c r="PEF1" s="87"/>
      <c r="PEG1" s="87"/>
      <c r="PEH1" s="87"/>
      <c r="PEI1" s="87"/>
      <c r="PEJ1" s="87"/>
      <c r="PEK1" s="87"/>
      <c r="PEL1" s="87"/>
      <c r="PEM1" s="87"/>
      <c r="PEN1" s="87"/>
      <c r="PEO1" s="87"/>
      <c r="PEP1" s="87"/>
      <c r="PEQ1" s="87"/>
      <c r="PER1" s="87"/>
      <c r="PES1" s="87"/>
      <c r="PET1" s="87"/>
      <c r="PEU1" s="87"/>
      <c r="PEV1" s="87"/>
      <c r="PEW1" s="87"/>
      <c r="PEX1" s="87"/>
      <c r="PEY1" s="87"/>
      <c r="PEZ1" s="87"/>
      <c r="PFA1" s="87"/>
      <c r="PFB1" s="87"/>
      <c r="PFC1" s="87"/>
      <c r="PFD1" s="87"/>
      <c r="PFE1" s="87"/>
      <c r="PFF1" s="87"/>
      <c r="PFG1" s="87"/>
      <c r="PFH1" s="87"/>
      <c r="PFI1" s="87"/>
      <c r="PFJ1" s="87"/>
      <c r="PFK1" s="87"/>
      <c r="PFL1" s="87"/>
      <c r="PFM1" s="87"/>
      <c r="PFN1" s="87"/>
      <c r="PFO1" s="87"/>
      <c r="PFP1" s="87"/>
      <c r="PFQ1" s="87"/>
      <c r="PFR1" s="87"/>
      <c r="PFS1" s="87"/>
      <c r="PFT1" s="87"/>
      <c r="PFU1" s="87"/>
      <c r="PFV1" s="87"/>
      <c r="PFW1" s="87"/>
      <c r="PFX1" s="87"/>
      <c r="PFY1" s="87"/>
      <c r="PFZ1" s="87"/>
      <c r="PGA1" s="87"/>
      <c r="PGB1" s="87"/>
      <c r="PGC1" s="87"/>
      <c r="PGD1" s="87"/>
      <c r="PGE1" s="87"/>
      <c r="PGF1" s="87"/>
      <c r="PGG1" s="87"/>
      <c r="PGH1" s="87"/>
      <c r="PGI1" s="87"/>
      <c r="PGJ1" s="87"/>
      <c r="PGK1" s="87"/>
      <c r="PGL1" s="87"/>
      <c r="PGM1" s="87"/>
      <c r="PGN1" s="87"/>
      <c r="PGO1" s="87"/>
      <c r="PGP1" s="87"/>
      <c r="PGQ1" s="87"/>
      <c r="PGR1" s="87"/>
      <c r="PGS1" s="87"/>
      <c r="PGT1" s="87"/>
      <c r="PGU1" s="87"/>
      <c r="PGV1" s="87"/>
      <c r="PGW1" s="87"/>
      <c r="PGX1" s="87"/>
      <c r="PGY1" s="87"/>
      <c r="PGZ1" s="87"/>
      <c r="PHA1" s="87"/>
      <c r="PHB1" s="87"/>
      <c r="PHC1" s="87"/>
      <c r="PHD1" s="87"/>
      <c r="PHE1" s="87"/>
      <c r="PHF1" s="87"/>
      <c r="PHG1" s="87"/>
      <c r="PHH1" s="87"/>
      <c r="PHI1" s="87"/>
      <c r="PHJ1" s="87"/>
      <c r="PHK1" s="87"/>
      <c r="PHL1" s="87"/>
      <c r="PHM1" s="87"/>
      <c r="PHN1" s="87"/>
      <c r="PHO1" s="87"/>
      <c r="PHP1" s="87"/>
      <c r="PHQ1" s="87"/>
      <c r="PHR1" s="87"/>
      <c r="PHS1" s="87"/>
      <c r="PHT1" s="87"/>
      <c r="PHU1" s="87"/>
      <c r="PHV1" s="87"/>
      <c r="PHW1" s="87"/>
      <c r="PHX1" s="87"/>
      <c r="PHY1" s="87"/>
      <c r="PHZ1" s="87"/>
      <c r="PIA1" s="87"/>
      <c r="PIB1" s="87"/>
      <c r="PIC1" s="87"/>
      <c r="PID1" s="87"/>
      <c r="PIE1" s="87"/>
      <c r="PIF1" s="87"/>
      <c r="PIG1" s="87"/>
      <c r="PIH1" s="87"/>
      <c r="PII1" s="87"/>
      <c r="PIJ1" s="87"/>
      <c r="PIK1" s="87"/>
      <c r="PIL1" s="87"/>
      <c r="PIM1" s="87"/>
      <c r="PIN1" s="87"/>
      <c r="PIO1" s="87"/>
      <c r="PIP1" s="87"/>
      <c r="PIQ1" s="87"/>
      <c r="PIR1" s="87"/>
      <c r="PIS1" s="87"/>
      <c r="PIT1" s="87"/>
      <c r="PIU1" s="87"/>
      <c r="PIV1" s="87"/>
      <c r="PIW1" s="87"/>
      <c r="PIX1" s="87"/>
      <c r="PIY1" s="87"/>
      <c r="PIZ1" s="87"/>
      <c r="PJA1" s="87"/>
      <c r="PJB1" s="87"/>
      <c r="PJC1" s="87"/>
      <c r="PJD1" s="87"/>
      <c r="PJE1" s="87"/>
      <c r="PJF1" s="87"/>
      <c r="PJG1" s="87"/>
      <c r="PJH1" s="87"/>
      <c r="PJI1" s="87"/>
      <c r="PJJ1" s="87"/>
      <c r="PJK1" s="87"/>
      <c r="PJL1" s="87"/>
      <c r="PJM1" s="87"/>
      <c r="PJN1" s="87"/>
      <c r="PJO1" s="87"/>
      <c r="PJP1" s="87"/>
      <c r="PJQ1" s="87"/>
      <c r="PJR1" s="87"/>
      <c r="PJS1" s="87"/>
      <c r="PJT1" s="87"/>
      <c r="PJU1" s="87"/>
      <c r="PJV1" s="87"/>
      <c r="PJW1" s="87"/>
      <c r="PJX1" s="87"/>
      <c r="PJY1" s="87"/>
      <c r="PJZ1" s="87"/>
      <c r="PKA1" s="87"/>
      <c r="PKB1" s="87"/>
      <c r="PKC1" s="87"/>
      <c r="PKD1" s="87"/>
      <c r="PKE1" s="87"/>
      <c r="PKF1" s="87"/>
      <c r="PKG1" s="87"/>
      <c r="PKH1" s="87"/>
      <c r="PKI1" s="87"/>
      <c r="PKJ1" s="87"/>
      <c r="PKK1" s="87"/>
      <c r="PKL1" s="87"/>
      <c r="PKM1" s="87"/>
      <c r="PKN1" s="87"/>
      <c r="PKO1" s="87"/>
      <c r="PKP1" s="87"/>
      <c r="PKQ1" s="87"/>
      <c r="PKR1" s="87"/>
      <c r="PKS1" s="87"/>
      <c r="PKT1" s="87"/>
      <c r="PKU1" s="87"/>
      <c r="PKV1" s="87"/>
      <c r="PKW1" s="87"/>
      <c r="PKX1" s="87"/>
      <c r="PKY1" s="87"/>
      <c r="PKZ1" s="87"/>
      <c r="PLA1" s="87"/>
      <c r="PLB1" s="87"/>
      <c r="PLC1" s="87"/>
      <c r="PLD1" s="87"/>
      <c r="PLE1" s="87"/>
      <c r="PLF1" s="87"/>
      <c r="PLG1" s="87"/>
      <c r="PLH1" s="87"/>
      <c r="PLI1" s="87"/>
      <c r="PLJ1" s="87"/>
      <c r="PLK1" s="87"/>
      <c r="PLL1" s="87"/>
      <c r="PLM1" s="87"/>
      <c r="PLN1" s="87"/>
      <c r="PLO1" s="87"/>
      <c r="PLP1" s="87"/>
      <c r="PLQ1" s="87"/>
      <c r="PLR1" s="87"/>
      <c r="PLS1" s="87"/>
      <c r="PLT1" s="87"/>
      <c r="PLU1" s="87"/>
      <c r="PLV1" s="87"/>
      <c r="PLW1" s="87"/>
      <c r="PLX1" s="87"/>
      <c r="PLY1" s="87"/>
      <c r="PLZ1" s="87"/>
      <c r="PMA1" s="87"/>
      <c r="PMB1" s="87"/>
      <c r="PMC1" s="87"/>
      <c r="PMD1" s="87"/>
      <c r="PME1" s="87"/>
      <c r="PMF1" s="87"/>
      <c r="PMG1" s="87"/>
      <c r="PMH1" s="87"/>
      <c r="PMI1" s="87"/>
      <c r="PMJ1" s="87"/>
      <c r="PMK1" s="87"/>
      <c r="PML1" s="87"/>
      <c r="PMM1" s="87"/>
      <c r="PMN1" s="87"/>
      <c r="PMO1" s="87"/>
      <c r="PMP1" s="87"/>
      <c r="PMQ1" s="87"/>
      <c r="PMR1" s="87"/>
      <c r="PMS1" s="87"/>
      <c r="PMT1" s="87"/>
      <c r="PMU1" s="87"/>
      <c r="PMV1" s="87"/>
      <c r="PMW1" s="87"/>
      <c r="PMX1" s="87"/>
      <c r="PMY1" s="87"/>
      <c r="PMZ1" s="87"/>
      <c r="PNA1" s="87"/>
      <c r="PNB1" s="87"/>
      <c r="PNC1" s="87"/>
      <c r="PND1" s="87"/>
      <c r="PNE1" s="87"/>
      <c r="PNF1" s="87"/>
      <c r="PNG1" s="87"/>
      <c r="PNH1" s="87"/>
      <c r="PNI1" s="87"/>
      <c r="PNJ1" s="87"/>
      <c r="PNK1" s="87"/>
      <c r="PNL1" s="87"/>
      <c r="PNM1" s="87"/>
      <c r="PNN1" s="87"/>
      <c r="PNO1" s="87"/>
      <c r="PNP1" s="87"/>
      <c r="PNQ1" s="87"/>
      <c r="PNR1" s="87"/>
      <c r="PNS1" s="87"/>
      <c r="PNT1" s="87"/>
      <c r="PNU1" s="87"/>
      <c r="PNV1" s="87"/>
      <c r="PNW1" s="87"/>
      <c r="PNX1" s="87"/>
      <c r="PNY1" s="87"/>
      <c r="PNZ1" s="87"/>
      <c r="POA1" s="87"/>
      <c r="POB1" s="87"/>
      <c r="POC1" s="87"/>
      <c r="POD1" s="87"/>
      <c r="POE1" s="87"/>
      <c r="POF1" s="87"/>
      <c r="POG1" s="87"/>
      <c r="POH1" s="87"/>
      <c r="POI1" s="87"/>
      <c r="POJ1" s="87"/>
      <c r="POK1" s="87"/>
      <c r="POL1" s="87"/>
      <c r="POM1" s="87"/>
      <c r="PON1" s="87"/>
      <c r="POO1" s="87"/>
      <c r="POP1" s="87"/>
      <c r="POQ1" s="87"/>
      <c r="POR1" s="87"/>
      <c r="POS1" s="87"/>
      <c r="POT1" s="87"/>
      <c r="POU1" s="87"/>
      <c r="POV1" s="87"/>
      <c r="POW1" s="87"/>
      <c r="POX1" s="87"/>
      <c r="POY1" s="87"/>
      <c r="POZ1" s="87"/>
      <c r="PPA1" s="87"/>
      <c r="PPB1" s="87"/>
      <c r="PPC1" s="87"/>
      <c r="PPD1" s="87"/>
      <c r="PPE1" s="87"/>
      <c r="PPF1" s="87"/>
      <c r="PPG1" s="87"/>
      <c r="PPH1" s="87"/>
      <c r="PPI1" s="87"/>
      <c r="PPJ1" s="87"/>
      <c r="PPK1" s="87"/>
      <c r="PPL1" s="87"/>
      <c r="PPM1" s="87"/>
      <c r="PPN1" s="87"/>
      <c r="PPO1" s="87"/>
      <c r="PPP1" s="87"/>
      <c r="PPQ1" s="87"/>
      <c r="PPR1" s="87"/>
      <c r="PPS1" s="87"/>
      <c r="PPT1" s="87"/>
      <c r="PPU1" s="87"/>
      <c r="PPV1" s="87"/>
      <c r="PPW1" s="87"/>
      <c r="PPX1" s="87"/>
      <c r="PPY1" s="87"/>
      <c r="PPZ1" s="87"/>
      <c r="PQA1" s="87"/>
      <c r="PQB1" s="87"/>
      <c r="PQC1" s="87"/>
      <c r="PQD1" s="87"/>
      <c r="PQE1" s="87"/>
      <c r="PQF1" s="87"/>
      <c r="PQG1" s="87"/>
      <c r="PQH1" s="87"/>
      <c r="PQI1" s="87"/>
      <c r="PQJ1" s="87"/>
      <c r="PQK1" s="87"/>
      <c r="PQL1" s="87"/>
      <c r="PQM1" s="87"/>
      <c r="PQN1" s="87"/>
      <c r="PQO1" s="87"/>
      <c r="PQP1" s="87"/>
      <c r="PQQ1" s="87"/>
      <c r="PQR1" s="87"/>
      <c r="PQS1" s="87"/>
      <c r="PQT1" s="87"/>
      <c r="PQU1" s="87"/>
      <c r="PQV1" s="87"/>
      <c r="PQW1" s="87"/>
      <c r="PQX1" s="87"/>
      <c r="PQY1" s="87"/>
      <c r="PQZ1" s="87"/>
      <c r="PRA1" s="87"/>
      <c r="PRB1" s="87"/>
      <c r="PRC1" s="87"/>
      <c r="PRD1" s="87"/>
      <c r="PRE1" s="87"/>
      <c r="PRF1" s="87"/>
      <c r="PRG1" s="87"/>
      <c r="PRH1" s="87"/>
      <c r="PRI1" s="87"/>
      <c r="PRJ1" s="87"/>
      <c r="PRK1" s="87"/>
      <c r="PRL1" s="87"/>
      <c r="PRM1" s="87"/>
      <c r="PRN1" s="87"/>
      <c r="PRO1" s="87"/>
      <c r="PRP1" s="87"/>
      <c r="PRQ1" s="87"/>
      <c r="PRR1" s="87"/>
      <c r="PRS1" s="87"/>
      <c r="PRT1" s="87"/>
      <c r="PRU1" s="87"/>
      <c r="PRV1" s="87"/>
      <c r="PRW1" s="87"/>
      <c r="PRX1" s="87"/>
      <c r="PRY1" s="87"/>
      <c r="PRZ1" s="87"/>
      <c r="PSA1" s="87"/>
      <c r="PSB1" s="87"/>
      <c r="PSC1" s="87"/>
      <c r="PSD1" s="87"/>
      <c r="PSE1" s="87"/>
      <c r="PSF1" s="87"/>
      <c r="PSG1" s="87"/>
      <c r="PSH1" s="87"/>
      <c r="PSI1" s="87"/>
      <c r="PSJ1" s="87"/>
      <c r="PSK1" s="87"/>
      <c r="PSL1" s="87"/>
      <c r="PSM1" s="87"/>
      <c r="PSN1" s="87"/>
      <c r="PSO1" s="87"/>
      <c r="PSP1" s="87"/>
      <c r="PSQ1" s="87"/>
      <c r="PSR1" s="87"/>
      <c r="PSS1" s="87"/>
      <c r="PST1" s="87"/>
      <c r="PSU1" s="87"/>
      <c r="PSV1" s="87"/>
      <c r="PSW1" s="87"/>
      <c r="PSX1" s="87"/>
      <c r="PSY1" s="87"/>
      <c r="PSZ1" s="87"/>
      <c r="PTA1" s="87"/>
      <c r="PTB1" s="87"/>
      <c r="PTC1" s="87"/>
      <c r="PTD1" s="87"/>
      <c r="PTE1" s="87"/>
      <c r="PTF1" s="87"/>
      <c r="PTG1" s="87"/>
      <c r="PTH1" s="87"/>
      <c r="PTI1" s="87"/>
      <c r="PTJ1" s="87"/>
      <c r="PTK1" s="87"/>
      <c r="PTL1" s="87"/>
      <c r="PTM1" s="87"/>
      <c r="PTN1" s="87"/>
      <c r="PTO1" s="87"/>
      <c r="PTP1" s="87"/>
      <c r="PTQ1" s="87"/>
      <c r="PTR1" s="87"/>
      <c r="PTS1" s="87"/>
      <c r="PTT1" s="87"/>
      <c r="PTU1" s="87"/>
      <c r="PTV1" s="87"/>
      <c r="PTW1" s="87"/>
      <c r="PTX1" s="87"/>
      <c r="PTY1" s="87"/>
      <c r="PTZ1" s="87"/>
      <c r="PUA1" s="87"/>
      <c r="PUB1" s="87"/>
      <c r="PUC1" s="87"/>
      <c r="PUD1" s="87"/>
      <c r="PUE1" s="87"/>
      <c r="PUF1" s="87"/>
      <c r="PUG1" s="87"/>
      <c r="PUH1" s="87"/>
      <c r="PUI1" s="87"/>
      <c r="PUJ1" s="87"/>
      <c r="PUK1" s="87"/>
      <c r="PUL1" s="87"/>
      <c r="PUM1" s="87"/>
      <c r="PUN1" s="87"/>
      <c r="PUO1" s="87"/>
      <c r="PUP1" s="87"/>
      <c r="PUQ1" s="87"/>
      <c r="PUR1" s="87"/>
      <c r="PUS1" s="87"/>
      <c r="PUT1" s="87"/>
      <c r="PUU1" s="87"/>
      <c r="PUV1" s="87"/>
      <c r="PUW1" s="87"/>
      <c r="PUX1" s="87"/>
      <c r="PUY1" s="87"/>
      <c r="PUZ1" s="87"/>
      <c r="PVA1" s="87"/>
      <c r="PVB1" s="87"/>
      <c r="PVC1" s="87"/>
      <c r="PVD1" s="87"/>
      <c r="PVE1" s="87"/>
      <c r="PVF1" s="87"/>
      <c r="PVG1" s="87"/>
      <c r="PVH1" s="87"/>
      <c r="PVI1" s="87"/>
      <c r="PVJ1" s="87"/>
      <c r="PVK1" s="87"/>
      <c r="PVL1" s="87"/>
      <c r="PVM1" s="87"/>
      <c r="PVN1" s="87"/>
      <c r="PVO1" s="87"/>
      <c r="PVP1" s="87"/>
      <c r="PVQ1" s="87"/>
      <c r="PVR1" s="87"/>
      <c r="PVS1" s="87"/>
      <c r="PVT1" s="87"/>
      <c r="PVU1" s="87"/>
      <c r="PVV1" s="87"/>
      <c r="PVW1" s="87"/>
      <c r="PVX1" s="87"/>
      <c r="PVY1" s="87"/>
      <c r="PVZ1" s="87"/>
      <c r="PWA1" s="87"/>
      <c r="PWB1" s="87"/>
      <c r="PWC1" s="87"/>
      <c r="PWD1" s="87"/>
      <c r="PWE1" s="87"/>
      <c r="PWF1" s="87"/>
      <c r="PWG1" s="87"/>
      <c r="PWH1" s="87"/>
      <c r="PWI1" s="87"/>
      <c r="PWJ1" s="87"/>
      <c r="PWK1" s="87"/>
      <c r="PWL1" s="87"/>
      <c r="PWM1" s="87"/>
      <c r="PWN1" s="87"/>
      <c r="PWO1" s="87"/>
      <c r="PWP1" s="87"/>
      <c r="PWQ1" s="87"/>
      <c r="PWR1" s="87"/>
      <c r="PWS1" s="87"/>
      <c r="PWT1" s="87"/>
      <c r="PWU1" s="87"/>
      <c r="PWV1" s="87"/>
      <c r="PWW1" s="87"/>
      <c r="PWX1" s="87"/>
      <c r="PWY1" s="87"/>
      <c r="PWZ1" s="87"/>
      <c r="PXA1" s="87"/>
      <c r="PXB1" s="87"/>
      <c r="PXC1" s="87"/>
      <c r="PXD1" s="87"/>
      <c r="PXE1" s="87"/>
      <c r="PXF1" s="87"/>
      <c r="PXG1" s="87"/>
      <c r="PXH1" s="87"/>
      <c r="PXI1" s="87"/>
      <c r="PXJ1" s="87"/>
      <c r="PXK1" s="87"/>
      <c r="PXL1" s="87"/>
      <c r="PXM1" s="87"/>
      <c r="PXN1" s="87"/>
      <c r="PXO1" s="87"/>
      <c r="PXP1" s="87"/>
      <c r="PXQ1" s="87"/>
      <c r="PXR1" s="87"/>
      <c r="PXS1" s="87"/>
      <c r="PXT1" s="87"/>
      <c r="PXU1" s="87"/>
      <c r="PXV1" s="87"/>
      <c r="PXW1" s="87"/>
      <c r="PXX1" s="87"/>
      <c r="PXY1" s="87"/>
      <c r="PXZ1" s="87"/>
      <c r="PYA1" s="87"/>
      <c r="PYB1" s="87"/>
      <c r="PYC1" s="87"/>
      <c r="PYD1" s="87"/>
      <c r="PYE1" s="87"/>
      <c r="PYF1" s="87"/>
      <c r="PYG1" s="87"/>
      <c r="PYH1" s="87"/>
      <c r="PYI1" s="87"/>
      <c r="PYJ1" s="87"/>
      <c r="PYK1" s="87"/>
      <c r="PYL1" s="87"/>
      <c r="PYM1" s="87"/>
      <c r="PYN1" s="87"/>
      <c r="PYO1" s="87"/>
      <c r="PYP1" s="87"/>
      <c r="PYQ1" s="87"/>
      <c r="PYR1" s="87"/>
      <c r="PYS1" s="87"/>
      <c r="PYT1" s="87"/>
      <c r="PYU1" s="87"/>
      <c r="PYV1" s="87"/>
      <c r="PYW1" s="87"/>
      <c r="PYX1" s="87"/>
      <c r="PYY1" s="87"/>
      <c r="PYZ1" s="87"/>
      <c r="PZA1" s="87"/>
      <c r="PZB1" s="87"/>
      <c r="PZC1" s="87"/>
      <c r="PZD1" s="87"/>
      <c r="PZE1" s="87"/>
      <c r="PZF1" s="87"/>
      <c r="PZG1" s="87"/>
      <c r="PZH1" s="87"/>
      <c r="PZI1" s="87"/>
      <c r="PZJ1" s="87"/>
      <c r="PZK1" s="87"/>
      <c r="PZL1" s="87"/>
      <c r="PZM1" s="87"/>
      <c r="PZN1" s="87"/>
      <c r="PZO1" s="87"/>
      <c r="PZP1" s="87"/>
      <c r="PZQ1" s="87"/>
      <c r="PZR1" s="87"/>
      <c r="PZS1" s="87"/>
      <c r="PZT1" s="87"/>
      <c r="PZU1" s="87"/>
      <c r="PZV1" s="87"/>
      <c r="PZW1" s="87"/>
      <c r="PZX1" s="87"/>
      <c r="PZY1" s="87"/>
      <c r="PZZ1" s="87"/>
      <c r="QAA1" s="87"/>
      <c r="QAB1" s="87"/>
      <c r="QAC1" s="87"/>
      <c r="QAD1" s="87"/>
      <c r="QAE1" s="87"/>
      <c r="QAF1" s="87"/>
      <c r="QAG1" s="87"/>
      <c r="QAH1" s="87"/>
      <c r="QAI1" s="87"/>
      <c r="QAJ1" s="87"/>
      <c r="QAK1" s="87"/>
      <c r="QAL1" s="87"/>
      <c r="QAM1" s="87"/>
      <c r="QAN1" s="87"/>
      <c r="QAO1" s="87"/>
      <c r="QAP1" s="87"/>
      <c r="QAQ1" s="87"/>
      <c r="QAR1" s="87"/>
      <c r="QAS1" s="87"/>
      <c r="QAT1" s="87"/>
      <c r="QAU1" s="87"/>
      <c r="QAV1" s="87"/>
      <c r="QAW1" s="87"/>
      <c r="QAX1" s="87"/>
      <c r="QAY1" s="87"/>
      <c r="QAZ1" s="87"/>
      <c r="QBA1" s="87"/>
      <c r="QBB1" s="87"/>
      <c r="QBC1" s="87"/>
      <c r="QBD1" s="87"/>
      <c r="QBE1" s="87"/>
      <c r="QBF1" s="87"/>
      <c r="QBG1" s="87"/>
      <c r="QBH1" s="87"/>
      <c r="QBI1" s="87"/>
      <c r="QBJ1" s="87"/>
      <c r="QBK1" s="87"/>
      <c r="QBL1" s="87"/>
      <c r="QBM1" s="87"/>
      <c r="QBN1" s="87"/>
      <c r="QBO1" s="87"/>
      <c r="QBP1" s="87"/>
      <c r="QBQ1" s="87"/>
      <c r="QBR1" s="87"/>
      <c r="QBS1" s="87"/>
      <c r="QBT1" s="87"/>
      <c r="QBU1" s="87"/>
      <c r="QBV1" s="87"/>
      <c r="QBW1" s="87"/>
      <c r="QBX1" s="87"/>
      <c r="QBY1" s="87"/>
      <c r="QBZ1" s="87"/>
      <c r="QCA1" s="87"/>
      <c r="QCB1" s="87"/>
      <c r="QCC1" s="87"/>
      <c r="QCD1" s="87"/>
      <c r="QCE1" s="87"/>
      <c r="QCF1" s="87"/>
      <c r="QCG1" s="87"/>
      <c r="QCH1" s="87"/>
      <c r="QCI1" s="87"/>
      <c r="QCJ1" s="87"/>
      <c r="QCK1" s="87"/>
      <c r="QCL1" s="87"/>
      <c r="QCM1" s="87"/>
      <c r="QCN1" s="87"/>
      <c r="QCO1" s="87"/>
      <c r="QCP1" s="87"/>
      <c r="QCQ1" s="87"/>
      <c r="QCR1" s="87"/>
      <c r="QCS1" s="87"/>
      <c r="QCT1" s="87"/>
      <c r="QCU1" s="87"/>
      <c r="QCV1" s="87"/>
      <c r="QCW1" s="87"/>
      <c r="QCX1" s="87"/>
      <c r="QCY1" s="87"/>
      <c r="QCZ1" s="87"/>
      <c r="QDA1" s="87"/>
      <c r="QDB1" s="87"/>
      <c r="QDC1" s="87"/>
      <c r="QDD1" s="87"/>
      <c r="QDE1" s="87"/>
      <c r="QDF1" s="87"/>
      <c r="QDG1" s="87"/>
      <c r="QDH1" s="87"/>
      <c r="QDI1" s="87"/>
      <c r="QDJ1" s="87"/>
      <c r="QDK1" s="87"/>
      <c r="QDL1" s="87"/>
      <c r="QDM1" s="87"/>
      <c r="QDN1" s="87"/>
      <c r="QDO1" s="87"/>
      <c r="QDP1" s="87"/>
      <c r="QDQ1" s="87"/>
      <c r="QDR1" s="87"/>
      <c r="QDS1" s="87"/>
      <c r="QDT1" s="87"/>
      <c r="QDU1" s="87"/>
      <c r="QDV1" s="87"/>
      <c r="QDW1" s="87"/>
      <c r="QDX1" s="87"/>
      <c r="QDY1" s="87"/>
      <c r="QDZ1" s="87"/>
      <c r="QEA1" s="87"/>
      <c r="QEB1" s="87"/>
      <c r="QEC1" s="87"/>
      <c r="QED1" s="87"/>
      <c r="QEE1" s="87"/>
      <c r="QEF1" s="87"/>
      <c r="QEG1" s="87"/>
      <c r="QEH1" s="87"/>
      <c r="QEI1" s="87"/>
      <c r="QEJ1" s="87"/>
      <c r="QEK1" s="87"/>
      <c r="QEL1" s="87"/>
      <c r="QEM1" s="87"/>
      <c r="QEN1" s="87"/>
      <c r="QEO1" s="87"/>
      <c r="QEP1" s="87"/>
      <c r="QEQ1" s="87"/>
      <c r="QER1" s="87"/>
      <c r="QES1" s="87"/>
      <c r="QET1" s="87"/>
      <c r="QEU1" s="87"/>
      <c r="QEV1" s="87"/>
      <c r="QEW1" s="87"/>
      <c r="QEX1" s="87"/>
      <c r="QEY1" s="87"/>
      <c r="QEZ1" s="87"/>
      <c r="QFA1" s="87"/>
      <c r="QFB1" s="87"/>
      <c r="QFC1" s="87"/>
      <c r="QFD1" s="87"/>
      <c r="QFE1" s="87"/>
      <c r="QFF1" s="87"/>
      <c r="QFG1" s="87"/>
      <c r="QFH1" s="87"/>
      <c r="QFI1" s="87"/>
      <c r="QFJ1" s="87"/>
      <c r="QFK1" s="87"/>
      <c r="QFL1" s="87"/>
      <c r="QFM1" s="87"/>
      <c r="QFN1" s="87"/>
      <c r="QFO1" s="87"/>
      <c r="QFP1" s="87"/>
      <c r="QFQ1" s="87"/>
      <c r="QFR1" s="87"/>
      <c r="QFS1" s="87"/>
      <c r="QFT1" s="87"/>
      <c r="QFU1" s="87"/>
      <c r="QFV1" s="87"/>
      <c r="QFW1" s="87"/>
      <c r="QFX1" s="87"/>
      <c r="QFY1" s="87"/>
      <c r="QFZ1" s="87"/>
      <c r="QGA1" s="87"/>
      <c r="QGB1" s="87"/>
      <c r="QGC1" s="87"/>
      <c r="QGD1" s="87"/>
      <c r="QGE1" s="87"/>
      <c r="QGF1" s="87"/>
      <c r="QGG1" s="87"/>
      <c r="QGH1" s="87"/>
      <c r="QGI1" s="87"/>
      <c r="QGJ1" s="87"/>
      <c r="QGK1" s="87"/>
      <c r="QGL1" s="87"/>
      <c r="QGM1" s="87"/>
      <c r="QGN1" s="87"/>
      <c r="QGO1" s="87"/>
      <c r="QGP1" s="87"/>
      <c r="QGQ1" s="87"/>
      <c r="QGR1" s="87"/>
      <c r="QGS1" s="87"/>
      <c r="QGT1" s="87"/>
      <c r="QGU1" s="87"/>
      <c r="QGV1" s="87"/>
      <c r="QGW1" s="87"/>
      <c r="QGX1" s="87"/>
      <c r="QGY1" s="87"/>
      <c r="QGZ1" s="87"/>
      <c r="QHA1" s="87"/>
      <c r="QHB1" s="87"/>
      <c r="QHC1" s="87"/>
      <c r="QHD1" s="87"/>
      <c r="QHE1" s="87"/>
      <c r="QHF1" s="87"/>
      <c r="QHG1" s="87"/>
      <c r="QHH1" s="87"/>
      <c r="QHI1" s="87"/>
      <c r="QHJ1" s="87"/>
      <c r="QHK1" s="87"/>
      <c r="QHL1" s="87"/>
      <c r="QHM1" s="87"/>
      <c r="QHN1" s="87"/>
      <c r="QHO1" s="87"/>
      <c r="QHP1" s="87"/>
      <c r="QHQ1" s="87"/>
      <c r="QHR1" s="87"/>
      <c r="QHS1" s="87"/>
      <c r="QHT1" s="87"/>
      <c r="QHU1" s="87"/>
      <c r="QHV1" s="87"/>
      <c r="QHW1" s="87"/>
      <c r="QHX1" s="87"/>
      <c r="QHY1" s="87"/>
      <c r="QHZ1" s="87"/>
      <c r="QIA1" s="87"/>
      <c r="QIB1" s="87"/>
      <c r="QIC1" s="87"/>
      <c r="QID1" s="87"/>
      <c r="QIE1" s="87"/>
      <c r="QIF1" s="87"/>
      <c r="QIG1" s="87"/>
      <c r="QIH1" s="87"/>
      <c r="QII1" s="87"/>
      <c r="QIJ1" s="87"/>
      <c r="QIK1" s="87"/>
      <c r="QIL1" s="87"/>
      <c r="QIM1" s="87"/>
      <c r="QIN1" s="87"/>
      <c r="QIO1" s="87"/>
      <c r="QIP1" s="87"/>
      <c r="QIQ1" s="87"/>
      <c r="QIR1" s="87"/>
      <c r="QIS1" s="87"/>
      <c r="QIT1" s="87"/>
      <c r="QIU1" s="87"/>
      <c r="QIV1" s="87"/>
      <c r="QIW1" s="87"/>
      <c r="QIX1" s="87"/>
      <c r="QIY1" s="87"/>
      <c r="QIZ1" s="87"/>
      <c r="QJA1" s="87"/>
      <c r="QJB1" s="87"/>
      <c r="QJC1" s="87"/>
      <c r="QJD1" s="87"/>
      <c r="QJE1" s="87"/>
      <c r="QJF1" s="87"/>
      <c r="QJG1" s="87"/>
      <c r="QJH1" s="87"/>
      <c r="QJI1" s="87"/>
      <c r="QJJ1" s="87"/>
      <c r="QJK1" s="87"/>
      <c r="QJL1" s="87"/>
      <c r="QJM1" s="87"/>
      <c r="QJN1" s="87"/>
      <c r="QJO1" s="87"/>
      <c r="QJP1" s="87"/>
      <c r="QJQ1" s="87"/>
      <c r="QJR1" s="87"/>
      <c r="QJS1" s="87"/>
      <c r="QJT1" s="87"/>
      <c r="QJU1" s="87"/>
      <c r="QJV1" s="87"/>
      <c r="QJW1" s="87"/>
      <c r="QJX1" s="87"/>
      <c r="QJY1" s="87"/>
      <c r="QJZ1" s="87"/>
      <c r="QKA1" s="87"/>
      <c r="QKB1" s="87"/>
      <c r="QKC1" s="87"/>
      <c r="QKD1" s="87"/>
      <c r="QKE1" s="87"/>
      <c r="QKF1" s="87"/>
      <c r="QKG1" s="87"/>
      <c r="QKH1" s="87"/>
      <c r="QKI1" s="87"/>
      <c r="QKJ1" s="87"/>
      <c r="QKK1" s="87"/>
      <c r="QKL1" s="87"/>
      <c r="QKM1" s="87"/>
      <c r="QKN1" s="87"/>
      <c r="QKO1" s="87"/>
      <c r="QKP1" s="87"/>
      <c r="QKQ1" s="87"/>
      <c r="QKR1" s="87"/>
      <c r="QKS1" s="87"/>
      <c r="QKT1" s="87"/>
      <c r="QKU1" s="87"/>
      <c r="QKV1" s="87"/>
      <c r="QKW1" s="87"/>
      <c r="QKX1" s="87"/>
      <c r="QKY1" s="87"/>
      <c r="QKZ1" s="87"/>
      <c r="QLA1" s="87"/>
      <c r="QLB1" s="87"/>
      <c r="QLC1" s="87"/>
      <c r="QLD1" s="87"/>
      <c r="QLE1" s="87"/>
      <c r="QLF1" s="87"/>
      <c r="QLG1" s="87"/>
      <c r="QLH1" s="87"/>
      <c r="QLI1" s="87"/>
      <c r="QLJ1" s="87"/>
      <c r="QLK1" s="87"/>
      <c r="QLL1" s="87"/>
      <c r="QLM1" s="87"/>
      <c r="QLN1" s="87"/>
      <c r="QLO1" s="87"/>
      <c r="QLP1" s="87"/>
      <c r="QLQ1" s="87"/>
      <c r="QLR1" s="87"/>
      <c r="QLS1" s="87"/>
      <c r="QLT1" s="87"/>
      <c r="QLU1" s="87"/>
      <c r="QLV1" s="87"/>
      <c r="QLW1" s="87"/>
      <c r="QLX1" s="87"/>
      <c r="QLY1" s="87"/>
      <c r="QLZ1" s="87"/>
      <c r="QMA1" s="87"/>
      <c r="QMB1" s="87"/>
      <c r="QMC1" s="87"/>
      <c r="QMD1" s="87"/>
      <c r="QME1" s="87"/>
      <c r="QMF1" s="87"/>
      <c r="QMG1" s="87"/>
      <c r="QMH1" s="87"/>
      <c r="QMI1" s="87"/>
      <c r="QMJ1" s="87"/>
      <c r="QMK1" s="87"/>
      <c r="QML1" s="87"/>
      <c r="QMM1" s="87"/>
      <c r="QMN1" s="87"/>
      <c r="QMO1" s="87"/>
      <c r="QMP1" s="87"/>
      <c r="QMQ1" s="87"/>
      <c r="QMR1" s="87"/>
      <c r="QMS1" s="87"/>
      <c r="QMT1" s="87"/>
      <c r="QMU1" s="87"/>
      <c r="QMV1" s="87"/>
      <c r="QMW1" s="87"/>
      <c r="QMX1" s="87"/>
      <c r="QMY1" s="87"/>
      <c r="QMZ1" s="87"/>
      <c r="QNA1" s="87"/>
      <c r="QNB1" s="87"/>
      <c r="QNC1" s="87"/>
      <c r="QND1" s="87"/>
      <c r="QNE1" s="87"/>
      <c r="QNF1" s="87"/>
      <c r="QNG1" s="87"/>
      <c r="QNH1" s="87"/>
      <c r="QNI1" s="87"/>
      <c r="QNJ1" s="87"/>
      <c r="QNK1" s="87"/>
      <c r="QNL1" s="87"/>
      <c r="QNM1" s="87"/>
      <c r="QNN1" s="87"/>
      <c r="QNO1" s="87"/>
      <c r="QNP1" s="87"/>
      <c r="QNQ1" s="87"/>
      <c r="QNR1" s="87"/>
      <c r="QNS1" s="87"/>
      <c r="QNT1" s="87"/>
      <c r="QNU1" s="87"/>
      <c r="QNV1" s="87"/>
      <c r="QNW1" s="87"/>
      <c r="QNX1" s="87"/>
      <c r="QNY1" s="87"/>
      <c r="QNZ1" s="87"/>
      <c r="QOA1" s="87"/>
      <c r="QOB1" s="87"/>
      <c r="QOC1" s="87"/>
      <c r="QOD1" s="87"/>
      <c r="QOE1" s="87"/>
      <c r="QOF1" s="87"/>
      <c r="QOG1" s="87"/>
      <c r="QOH1" s="87"/>
      <c r="QOI1" s="87"/>
      <c r="QOJ1" s="87"/>
      <c r="QOK1" s="87"/>
      <c r="QOL1" s="87"/>
      <c r="QOM1" s="87"/>
      <c r="QON1" s="87"/>
      <c r="QOO1" s="87"/>
      <c r="QOP1" s="87"/>
      <c r="QOQ1" s="87"/>
      <c r="QOR1" s="87"/>
      <c r="QOS1" s="87"/>
      <c r="QOT1" s="87"/>
      <c r="QOU1" s="87"/>
      <c r="QOV1" s="87"/>
      <c r="QOW1" s="87"/>
      <c r="QOX1" s="87"/>
      <c r="QOY1" s="87"/>
      <c r="QOZ1" s="87"/>
      <c r="QPA1" s="87"/>
      <c r="QPB1" s="87"/>
      <c r="QPC1" s="87"/>
      <c r="QPD1" s="87"/>
      <c r="QPE1" s="87"/>
      <c r="QPF1" s="87"/>
      <c r="QPG1" s="87"/>
      <c r="QPH1" s="87"/>
      <c r="QPI1" s="87"/>
      <c r="QPJ1" s="87"/>
      <c r="QPK1" s="87"/>
      <c r="QPL1" s="87"/>
      <c r="QPM1" s="87"/>
      <c r="QPN1" s="87"/>
      <c r="QPO1" s="87"/>
      <c r="QPP1" s="87"/>
      <c r="QPQ1" s="87"/>
      <c r="QPR1" s="87"/>
      <c r="QPS1" s="87"/>
      <c r="QPT1" s="87"/>
      <c r="QPU1" s="87"/>
      <c r="QPV1" s="87"/>
      <c r="QPW1" s="87"/>
      <c r="QPX1" s="87"/>
      <c r="QPY1" s="87"/>
      <c r="QPZ1" s="87"/>
      <c r="QQA1" s="87"/>
      <c r="QQB1" s="87"/>
      <c r="QQC1" s="87"/>
      <c r="QQD1" s="87"/>
      <c r="QQE1" s="87"/>
      <c r="QQF1" s="87"/>
      <c r="QQG1" s="87"/>
      <c r="QQH1" s="87"/>
      <c r="QQI1" s="87"/>
      <c r="QQJ1" s="87"/>
      <c r="QQK1" s="87"/>
      <c r="QQL1" s="87"/>
      <c r="QQM1" s="87"/>
      <c r="QQN1" s="87"/>
      <c r="QQO1" s="87"/>
      <c r="QQP1" s="87"/>
      <c r="QQQ1" s="87"/>
      <c r="QQR1" s="87"/>
      <c r="QQS1" s="87"/>
      <c r="QQT1" s="87"/>
      <c r="QQU1" s="87"/>
      <c r="QQV1" s="87"/>
      <c r="QQW1" s="87"/>
      <c r="QQX1" s="87"/>
      <c r="QQY1" s="87"/>
      <c r="QQZ1" s="87"/>
      <c r="QRA1" s="87"/>
      <c r="QRB1" s="87"/>
      <c r="QRC1" s="87"/>
      <c r="QRD1" s="87"/>
      <c r="QRE1" s="87"/>
      <c r="QRF1" s="87"/>
      <c r="QRG1" s="87"/>
      <c r="QRH1" s="87"/>
      <c r="QRI1" s="87"/>
      <c r="QRJ1" s="87"/>
      <c r="QRK1" s="87"/>
      <c r="QRL1" s="87"/>
      <c r="QRM1" s="87"/>
      <c r="QRN1" s="87"/>
      <c r="QRO1" s="87"/>
      <c r="QRP1" s="87"/>
      <c r="QRQ1" s="87"/>
      <c r="QRR1" s="87"/>
      <c r="QRS1" s="87"/>
      <c r="QRT1" s="87"/>
      <c r="QRU1" s="87"/>
      <c r="QRV1" s="87"/>
      <c r="QRW1" s="87"/>
      <c r="QRX1" s="87"/>
      <c r="QRY1" s="87"/>
      <c r="QRZ1" s="87"/>
      <c r="QSA1" s="87"/>
      <c r="QSB1" s="87"/>
      <c r="QSC1" s="87"/>
      <c r="QSD1" s="87"/>
      <c r="QSE1" s="87"/>
      <c r="QSF1" s="87"/>
      <c r="QSG1" s="87"/>
      <c r="QSH1" s="87"/>
      <c r="QSI1" s="87"/>
      <c r="QSJ1" s="87"/>
      <c r="QSK1" s="87"/>
      <c r="QSL1" s="87"/>
      <c r="QSM1" s="87"/>
      <c r="QSN1" s="87"/>
      <c r="QSO1" s="87"/>
      <c r="QSP1" s="87"/>
      <c r="QSQ1" s="87"/>
      <c r="QSR1" s="87"/>
      <c r="QSS1" s="87"/>
      <c r="QST1" s="87"/>
      <c r="QSU1" s="87"/>
      <c r="QSV1" s="87"/>
      <c r="QSW1" s="87"/>
      <c r="QSX1" s="87"/>
      <c r="QSY1" s="87"/>
      <c r="QSZ1" s="87"/>
      <c r="QTA1" s="87"/>
      <c r="QTB1" s="87"/>
      <c r="QTC1" s="87"/>
      <c r="QTD1" s="87"/>
      <c r="QTE1" s="87"/>
      <c r="QTF1" s="87"/>
      <c r="QTG1" s="87"/>
      <c r="QTH1" s="87"/>
      <c r="QTI1" s="87"/>
      <c r="QTJ1" s="87"/>
      <c r="QTK1" s="87"/>
      <c r="QTL1" s="87"/>
      <c r="QTM1" s="87"/>
      <c r="QTN1" s="87"/>
      <c r="QTO1" s="87"/>
      <c r="QTP1" s="87"/>
      <c r="QTQ1" s="87"/>
      <c r="QTR1" s="87"/>
      <c r="QTS1" s="87"/>
      <c r="QTT1" s="87"/>
      <c r="QTU1" s="87"/>
      <c r="QTV1" s="87"/>
      <c r="QTW1" s="87"/>
      <c r="QTX1" s="87"/>
      <c r="QTY1" s="87"/>
      <c r="QTZ1" s="87"/>
      <c r="QUA1" s="87"/>
      <c r="QUB1" s="87"/>
      <c r="QUC1" s="87"/>
      <c r="QUD1" s="87"/>
      <c r="QUE1" s="87"/>
      <c r="QUF1" s="87"/>
      <c r="QUG1" s="87"/>
      <c r="QUH1" s="87"/>
      <c r="QUI1" s="87"/>
      <c r="QUJ1" s="87"/>
      <c r="QUK1" s="87"/>
      <c r="QUL1" s="87"/>
      <c r="QUM1" s="87"/>
      <c r="QUN1" s="87"/>
      <c r="QUO1" s="87"/>
      <c r="QUP1" s="87"/>
      <c r="QUQ1" s="87"/>
      <c r="QUR1" s="87"/>
      <c r="QUS1" s="87"/>
      <c r="QUT1" s="87"/>
      <c r="QUU1" s="87"/>
      <c r="QUV1" s="87"/>
      <c r="QUW1" s="87"/>
      <c r="QUX1" s="87"/>
      <c r="QUY1" s="87"/>
      <c r="QUZ1" s="87"/>
      <c r="QVA1" s="87"/>
      <c r="QVB1" s="87"/>
      <c r="QVC1" s="87"/>
      <c r="QVD1" s="87"/>
      <c r="QVE1" s="87"/>
      <c r="QVF1" s="87"/>
      <c r="QVG1" s="87"/>
      <c r="QVH1" s="87"/>
      <c r="QVI1" s="87"/>
      <c r="QVJ1" s="87"/>
      <c r="QVK1" s="87"/>
      <c r="QVL1" s="87"/>
      <c r="QVM1" s="87"/>
      <c r="QVN1" s="87"/>
      <c r="QVO1" s="87"/>
      <c r="QVP1" s="87"/>
      <c r="QVQ1" s="87"/>
      <c r="QVR1" s="87"/>
      <c r="QVS1" s="87"/>
      <c r="QVT1" s="87"/>
      <c r="QVU1" s="87"/>
      <c r="QVV1" s="87"/>
      <c r="QVW1" s="87"/>
      <c r="QVX1" s="87"/>
      <c r="QVY1" s="87"/>
      <c r="QVZ1" s="87"/>
      <c r="QWA1" s="87"/>
      <c r="QWB1" s="87"/>
      <c r="QWC1" s="87"/>
      <c r="QWD1" s="87"/>
      <c r="QWE1" s="87"/>
      <c r="QWF1" s="87"/>
      <c r="QWG1" s="87"/>
      <c r="QWH1" s="87"/>
      <c r="QWI1" s="87"/>
      <c r="QWJ1" s="87"/>
      <c r="QWK1" s="87"/>
      <c r="QWL1" s="87"/>
      <c r="QWM1" s="87"/>
      <c r="QWN1" s="87"/>
      <c r="QWO1" s="87"/>
      <c r="QWP1" s="87"/>
      <c r="QWQ1" s="87"/>
      <c r="QWR1" s="87"/>
      <c r="QWS1" s="87"/>
      <c r="QWT1" s="87"/>
      <c r="QWU1" s="87"/>
      <c r="QWV1" s="87"/>
      <c r="QWW1" s="87"/>
      <c r="QWX1" s="87"/>
      <c r="QWY1" s="87"/>
      <c r="QWZ1" s="87"/>
      <c r="QXA1" s="87"/>
      <c r="QXB1" s="87"/>
      <c r="QXC1" s="87"/>
      <c r="QXD1" s="87"/>
      <c r="QXE1" s="87"/>
      <c r="QXF1" s="87"/>
      <c r="QXG1" s="87"/>
      <c r="QXH1" s="87"/>
      <c r="QXI1" s="87"/>
      <c r="QXJ1" s="87"/>
      <c r="QXK1" s="87"/>
      <c r="QXL1" s="87"/>
      <c r="QXM1" s="87"/>
      <c r="QXN1" s="87"/>
      <c r="QXO1" s="87"/>
      <c r="QXP1" s="87"/>
      <c r="QXQ1" s="87"/>
      <c r="QXR1" s="87"/>
      <c r="QXS1" s="87"/>
      <c r="QXT1" s="87"/>
      <c r="QXU1" s="87"/>
      <c r="QXV1" s="87"/>
      <c r="QXW1" s="87"/>
      <c r="QXX1" s="87"/>
      <c r="QXY1" s="87"/>
      <c r="QXZ1" s="87"/>
      <c r="QYA1" s="87"/>
      <c r="QYB1" s="87"/>
      <c r="QYC1" s="87"/>
      <c r="QYD1" s="87"/>
      <c r="QYE1" s="87"/>
      <c r="QYF1" s="87"/>
      <c r="QYG1" s="87"/>
      <c r="QYH1" s="87"/>
      <c r="QYI1" s="87"/>
      <c r="QYJ1" s="87"/>
      <c r="QYK1" s="87"/>
      <c r="QYL1" s="87"/>
      <c r="QYM1" s="87"/>
      <c r="QYN1" s="87"/>
      <c r="QYO1" s="87"/>
      <c r="QYP1" s="87"/>
      <c r="QYQ1" s="87"/>
      <c r="QYR1" s="87"/>
      <c r="QYS1" s="87"/>
      <c r="QYT1" s="87"/>
      <c r="QYU1" s="87"/>
      <c r="QYV1" s="87"/>
      <c r="QYW1" s="87"/>
      <c r="QYX1" s="87"/>
      <c r="QYY1" s="87"/>
      <c r="QYZ1" s="87"/>
      <c r="QZA1" s="87"/>
      <c r="QZB1" s="87"/>
      <c r="QZC1" s="87"/>
      <c r="QZD1" s="87"/>
      <c r="QZE1" s="87"/>
      <c r="QZF1" s="87"/>
      <c r="QZG1" s="87"/>
      <c r="QZH1" s="87"/>
      <c r="QZI1" s="87"/>
      <c r="QZJ1" s="87"/>
      <c r="QZK1" s="87"/>
      <c r="QZL1" s="87"/>
      <c r="QZM1" s="87"/>
      <c r="QZN1" s="87"/>
      <c r="QZO1" s="87"/>
      <c r="QZP1" s="87"/>
      <c r="QZQ1" s="87"/>
      <c r="QZR1" s="87"/>
      <c r="QZS1" s="87"/>
      <c r="QZT1" s="87"/>
      <c r="QZU1" s="87"/>
      <c r="QZV1" s="87"/>
      <c r="QZW1" s="87"/>
      <c r="QZX1" s="87"/>
      <c r="QZY1" s="87"/>
      <c r="QZZ1" s="87"/>
      <c r="RAA1" s="87"/>
      <c r="RAB1" s="87"/>
      <c r="RAC1" s="87"/>
      <c r="RAD1" s="87"/>
      <c r="RAE1" s="87"/>
      <c r="RAF1" s="87"/>
      <c r="RAG1" s="87"/>
      <c r="RAH1" s="87"/>
      <c r="RAI1" s="87"/>
      <c r="RAJ1" s="87"/>
      <c r="RAK1" s="87"/>
      <c r="RAL1" s="87"/>
      <c r="RAM1" s="87"/>
      <c r="RAN1" s="87"/>
      <c r="RAO1" s="87"/>
      <c r="RAP1" s="87"/>
      <c r="RAQ1" s="87"/>
      <c r="RAR1" s="87"/>
      <c r="RAS1" s="87"/>
      <c r="RAT1" s="87"/>
      <c r="RAU1" s="87"/>
      <c r="RAV1" s="87"/>
      <c r="RAW1" s="87"/>
      <c r="RAX1" s="87"/>
      <c r="RAY1" s="87"/>
      <c r="RAZ1" s="87"/>
      <c r="RBA1" s="87"/>
      <c r="RBB1" s="87"/>
      <c r="RBC1" s="87"/>
      <c r="RBD1" s="87"/>
      <c r="RBE1" s="87"/>
      <c r="RBF1" s="87"/>
      <c r="RBG1" s="87"/>
      <c r="RBH1" s="87"/>
      <c r="RBI1" s="87"/>
      <c r="RBJ1" s="87"/>
      <c r="RBK1" s="87"/>
      <c r="RBL1" s="87"/>
      <c r="RBM1" s="87"/>
      <c r="RBN1" s="87"/>
      <c r="RBO1" s="87"/>
      <c r="RBP1" s="87"/>
      <c r="RBQ1" s="87"/>
      <c r="RBR1" s="87"/>
      <c r="RBS1" s="87"/>
      <c r="RBT1" s="87"/>
      <c r="RBU1" s="87"/>
      <c r="RBV1" s="87"/>
      <c r="RBW1" s="87"/>
      <c r="RBX1" s="87"/>
      <c r="RBY1" s="87"/>
      <c r="RBZ1" s="87"/>
      <c r="RCA1" s="87"/>
      <c r="RCB1" s="87"/>
      <c r="RCC1" s="87"/>
      <c r="RCD1" s="87"/>
      <c r="RCE1" s="87"/>
      <c r="RCF1" s="87"/>
      <c r="RCG1" s="87"/>
      <c r="RCH1" s="87"/>
      <c r="RCI1" s="87"/>
      <c r="RCJ1" s="87"/>
      <c r="RCK1" s="87"/>
      <c r="RCL1" s="87"/>
      <c r="RCM1" s="87"/>
      <c r="RCN1" s="87"/>
      <c r="RCO1" s="87"/>
      <c r="RCP1" s="87"/>
      <c r="RCQ1" s="87"/>
      <c r="RCR1" s="87"/>
      <c r="RCS1" s="87"/>
      <c r="RCT1" s="87"/>
      <c r="RCU1" s="87"/>
      <c r="RCV1" s="87"/>
      <c r="RCW1" s="87"/>
      <c r="RCX1" s="87"/>
      <c r="RCY1" s="87"/>
      <c r="RCZ1" s="87"/>
      <c r="RDA1" s="87"/>
      <c r="RDB1" s="87"/>
      <c r="RDC1" s="87"/>
      <c r="RDD1" s="87"/>
      <c r="RDE1" s="87"/>
      <c r="RDF1" s="87"/>
      <c r="RDG1" s="87"/>
      <c r="RDH1" s="87"/>
      <c r="RDI1" s="87"/>
      <c r="RDJ1" s="87"/>
      <c r="RDK1" s="87"/>
      <c r="RDL1" s="87"/>
      <c r="RDM1" s="87"/>
      <c r="RDN1" s="87"/>
      <c r="RDO1" s="87"/>
      <c r="RDP1" s="87"/>
      <c r="RDQ1" s="87"/>
      <c r="RDR1" s="87"/>
      <c r="RDS1" s="87"/>
      <c r="RDT1" s="87"/>
      <c r="RDU1" s="87"/>
      <c r="RDV1" s="87"/>
      <c r="RDW1" s="87"/>
      <c r="RDX1" s="87"/>
      <c r="RDY1" s="87"/>
      <c r="RDZ1" s="87"/>
      <c r="REA1" s="87"/>
      <c r="REB1" s="87"/>
      <c r="REC1" s="87"/>
      <c r="RED1" s="87"/>
      <c r="REE1" s="87"/>
      <c r="REF1" s="87"/>
      <c r="REG1" s="87"/>
      <c r="REH1" s="87"/>
      <c r="REI1" s="87"/>
      <c r="REJ1" s="87"/>
      <c r="REK1" s="87"/>
      <c r="REL1" s="87"/>
      <c r="REM1" s="87"/>
      <c r="REN1" s="87"/>
      <c r="REO1" s="87"/>
      <c r="REP1" s="87"/>
      <c r="REQ1" s="87"/>
      <c r="RER1" s="87"/>
      <c r="RES1" s="87"/>
      <c r="RET1" s="87"/>
      <c r="REU1" s="87"/>
      <c r="REV1" s="87"/>
      <c r="REW1" s="87"/>
      <c r="REX1" s="87"/>
      <c r="REY1" s="87"/>
      <c r="REZ1" s="87"/>
      <c r="RFA1" s="87"/>
      <c r="RFB1" s="87"/>
      <c r="RFC1" s="87"/>
      <c r="RFD1" s="87"/>
      <c r="RFE1" s="87"/>
      <c r="RFF1" s="87"/>
      <c r="RFG1" s="87"/>
      <c r="RFH1" s="87"/>
      <c r="RFI1" s="87"/>
      <c r="RFJ1" s="87"/>
      <c r="RFK1" s="87"/>
      <c r="RFL1" s="87"/>
      <c r="RFM1" s="87"/>
      <c r="RFN1" s="87"/>
      <c r="RFO1" s="87"/>
      <c r="RFP1" s="87"/>
      <c r="RFQ1" s="87"/>
      <c r="RFR1" s="87"/>
      <c r="RFS1" s="87"/>
      <c r="RFT1" s="87"/>
      <c r="RFU1" s="87"/>
      <c r="RFV1" s="87"/>
      <c r="RFW1" s="87"/>
      <c r="RFX1" s="87"/>
      <c r="RFY1" s="87"/>
      <c r="RFZ1" s="87"/>
      <c r="RGA1" s="87"/>
      <c r="RGB1" s="87"/>
      <c r="RGC1" s="87"/>
      <c r="RGD1" s="87"/>
      <c r="RGE1" s="87"/>
      <c r="RGF1" s="87"/>
      <c r="RGG1" s="87"/>
      <c r="RGH1" s="87"/>
      <c r="RGI1" s="87"/>
      <c r="RGJ1" s="87"/>
      <c r="RGK1" s="87"/>
      <c r="RGL1" s="87"/>
      <c r="RGM1" s="87"/>
      <c r="RGN1" s="87"/>
      <c r="RGO1" s="87"/>
      <c r="RGP1" s="87"/>
      <c r="RGQ1" s="87"/>
      <c r="RGR1" s="87"/>
      <c r="RGS1" s="87"/>
      <c r="RGT1" s="87"/>
      <c r="RGU1" s="87"/>
      <c r="RGV1" s="87"/>
      <c r="RGW1" s="87"/>
      <c r="RGX1" s="87"/>
      <c r="RGY1" s="87"/>
      <c r="RGZ1" s="87"/>
      <c r="RHA1" s="87"/>
      <c r="RHB1" s="87"/>
      <c r="RHC1" s="87"/>
      <c r="RHD1" s="87"/>
      <c r="RHE1" s="87"/>
      <c r="RHF1" s="87"/>
      <c r="RHG1" s="87"/>
      <c r="RHH1" s="87"/>
      <c r="RHI1" s="87"/>
      <c r="RHJ1" s="87"/>
      <c r="RHK1" s="87"/>
      <c r="RHL1" s="87"/>
      <c r="RHM1" s="87"/>
      <c r="RHN1" s="87"/>
      <c r="RHO1" s="87"/>
      <c r="RHP1" s="87"/>
      <c r="RHQ1" s="87"/>
      <c r="RHR1" s="87"/>
      <c r="RHS1" s="87"/>
      <c r="RHT1" s="87"/>
      <c r="RHU1" s="87"/>
      <c r="RHV1" s="87"/>
      <c r="RHW1" s="87"/>
      <c r="RHX1" s="87"/>
      <c r="RHY1" s="87"/>
      <c r="RHZ1" s="87"/>
      <c r="RIA1" s="87"/>
      <c r="RIB1" s="87"/>
      <c r="RIC1" s="87"/>
      <c r="RID1" s="87"/>
      <c r="RIE1" s="87"/>
      <c r="RIF1" s="87"/>
      <c r="RIG1" s="87"/>
      <c r="RIH1" s="87"/>
      <c r="RII1" s="87"/>
      <c r="RIJ1" s="87"/>
      <c r="RIK1" s="87"/>
      <c r="RIL1" s="87"/>
      <c r="RIM1" s="87"/>
      <c r="RIN1" s="87"/>
      <c r="RIO1" s="87"/>
      <c r="RIP1" s="87"/>
      <c r="RIQ1" s="87"/>
      <c r="RIR1" s="87"/>
      <c r="RIS1" s="87"/>
      <c r="RIT1" s="87"/>
      <c r="RIU1" s="87"/>
      <c r="RIV1" s="87"/>
      <c r="RIW1" s="87"/>
      <c r="RIX1" s="87"/>
      <c r="RIY1" s="87"/>
      <c r="RIZ1" s="87"/>
      <c r="RJA1" s="87"/>
      <c r="RJB1" s="87"/>
      <c r="RJC1" s="87"/>
      <c r="RJD1" s="87"/>
      <c r="RJE1" s="87"/>
      <c r="RJF1" s="87"/>
      <c r="RJG1" s="87"/>
      <c r="RJH1" s="87"/>
      <c r="RJI1" s="87"/>
      <c r="RJJ1" s="87"/>
      <c r="RJK1" s="87"/>
      <c r="RJL1" s="87"/>
      <c r="RJM1" s="87"/>
      <c r="RJN1" s="87"/>
      <c r="RJO1" s="87"/>
      <c r="RJP1" s="87"/>
      <c r="RJQ1" s="87"/>
      <c r="RJR1" s="87"/>
      <c r="RJS1" s="87"/>
      <c r="RJT1" s="87"/>
      <c r="RJU1" s="87"/>
      <c r="RJV1" s="87"/>
      <c r="RJW1" s="87"/>
      <c r="RJX1" s="87"/>
      <c r="RJY1" s="87"/>
      <c r="RJZ1" s="87"/>
      <c r="RKA1" s="87"/>
      <c r="RKB1" s="87"/>
      <c r="RKC1" s="87"/>
      <c r="RKD1" s="87"/>
      <c r="RKE1" s="87"/>
      <c r="RKF1" s="87"/>
      <c r="RKG1" s="87"/>
      <c r="RKH1" s="87"/>
      <c r="RKI1" s="87"/>
      <c r="RKJ1" s="87"/>
      <c r="RKK1" s="87"/>
      <c r="RKL1" s="87"/>
      <c r="RKM1" s="87"/>
      <c r="RKN1" s="87"/>
      <c r="RKO1" s="87"/>
      <c r="RKP1" s="87"/>
      <c r="RKQ1" s="87"/>
      <c r="RKR1" s="87"/>
      <c r="RKS1" s="87"/>
      <c r="RKT1" s="87"/>
      <c r="RKU1" s="87"/>
      <c r="RKV1" s="87"/>
      <c r="RKW1" s="87"/>
      <c r="RKX1" s="87"/>
      <c r="RKY1" s="87"/>
      <c r="RKZ1" s="87"/>
      <c r="RLA1" s="87"/>
      <c r="RLB1" s="87"/>
      <c r="RLC1" s="87"/>
      <c r="RLD1" s="87"/>
      <c r="RLE1" s="87"/>
      <c r="RLF1" s="87"/>
      <c r="RLG1" s="87"/>
      <c r="RLH1" s="87"/>
      <c r="RLI1" s="87"/>
      <c r="RLJ1" s="87"/>
      <c r="RLK1" s="87"/>
      <c r="RLL1" s="87"/>
      <c r="RLM1" s="87"/>
      <c r="RLN1" s="87"/>
      <c r="RLO1" s="87"/>
      <c r="RLP1" s="87"/>
      <c r="RLQ1" s="87"/>
      <c r="RLR1" s="87"/>
      <c r="RLS1" s="87"/>
      <c r="RLT1" s="87"/>
      <c r="RLU1" s="87"/>
      <c r="RLV1" s="87"/>
      <c r="RLW1" s="87"/>
      <c r="RLX1" s="87"/>
      <c r="RLY1" s="87"/>
      <c r="RLZ1" s="87"/>
      <c r="RMA1" s="87"/>
      <c r="RMB1" s="87"/>
      <c r="RMC1" s="87"/>
      <c r="RMD1" s="87"/>
      <c r="RME1" s="87"/>
      <c r="RMF1" s="87"/>
      <c r="RMG1" s="87"/>
      <c r="RMH1" s="87"/>
      <c r="RMI1" s="87"/>
      <c r="RMJ1" s="87"/>
      <c r="RMK1" s="87"/>
      <c r="RML1" s="87"/>
      <c r="RMM1" s="87"/>
      <c r="RMN1" s="87"/>
      <c r="RMO1" s="87"/>
      <c r="RMP1" s="87"/>
      <c r="RMQ1" s="87"/>
      <c r="RMR1" s="87"/>
      <c r="RMS1" s="87"/>
      <c r="RMT1" s="87"/>
      <c r="RMU1" s="87"/>
      <c r="RMV1" s="87"/>
      <c r="RMW1" s="87"/>
      <c r="RMX1" s="87"/>
      <c r="RMY1" s="87"/>
      <c r="RMZ1" s="87"/>
      <c r="RNA1" s="87"/>
      <c r="RNB1" s="87"/>
      <c r="RNC1" s="87"/>
      <c r="RND1" s="87"/>
      <c r="RNE1" s="87"/>
      <c r="RNF1" s="87"/>
      <c r="RNG1" s="87"/>
      <c r="RNH1" s="87"/>
      <c r="RNI1" s="87"/>
      <c r="RNJ1" s="87"/>
      <c r="RNK1" s="87"/>
      <c r="RNL1" s="87"/>
      <c r="RNM1" s="87"/>
      <c r="RNN1" s="87"/>
      <c r="RNO1" s="87"/>
      <c r="RNP1" s="87"/>
      <c r="RNQ1" s="87"/>
      <c r="RNR1" s="87"/>
      <c r="RNS1" s="87"/>
      <c r="RNT1" s="87"/>
      <c r="RNU1" s="87"/>
      <c r="RNV1" s="87"/>
      <c r="RNW1" s="87"/>
      <c r="RNX1" s="87"/>
      <c r="RNY1" s="87"/>
      <c r="RNZ1" s="87"/>
      <c r="ROA1" s="87"/>
      <c r="ROB1" s="87"/>
      <c r="ROC1" s="87"/>
      <c r="ROD1" s="87"/>
      <c r="ROE1" s="87"/>
      <c r="ROF1" s="87"/>
      <c r="ROG1" s="87"/>
      <c r="ROH1" s="87"/>
      <c r="ROI1" s="87"/>
      <c r="ROJ1" s="87"/>
      <c r="ROK1" s="87"/>
      <c r="ROL1" s="87"/>
      <c r="ROM1" s="87"/>
      <c r="RON1" s="87"/>
      <c r="ROO1" s="87"/>
      <c r="ROP1" s="87"/>
      <c r="ROQ1" s="87"/>
      <c r="ROR1" s="87"/>
      <c r="ROS1" s="87"/>
      <c r="ROT1" s="87"/>
      <c r="ROU1" s="87"/>
      <c r="ROV1" s="87"/>
      <c r="ROW1" s="87"/>
      <c r="ROX1" s="87"/>
      <c r="ROY1" s="87"/>
      <c r="ROZ1" s="87"/>
      <c r="RPA1" s="87"/>
      <c r="RPB1" s="87"/>
      <c r="RPC1" s="87"/>
      <c r="RPD1" s="87"/>
      <c r="RPE1" s="87"/>
      <c r="RPF1" s="87"/>
      <c r="RPG1" s="87"/>
      <c r="RPH1" s="87"/>
      <c r="RPI1" s="87"/>
      <c r="RPJ1" s="87"/>
      <c r="RPK1" s="87"/>
      <c r="RPL1" s="87"/>
      <c r="RPM1" s="87"/>
      <c r="RPN1" s="87"/>
      <c r="RPO1" s="87"/>
      <c r="RPP1" s="87"/>
      <c r="RPQ1" s="87"/>
      <c r="RPR1" s="87"/>
      <c r="RPS1" s="87"/>
      <c r="RPT1" s="87"/>
      <c r="RPU1" s="87"/>
      <c r="RPV1" s="87"/>
      <c r="RPW1" s="87"/>
      <c r="RPX1" s="87"/>
      <c r="RPY1" s="87"/>
      <c r="RPZ1" s="87"/>
      <c r="RQA1" s="87"/>
      <c r="RQB1" s="87"/>
      <c r="RQC1" s="87"/>
      <c r="RQD1" s="87"/>
      <c r="RQE1" s="87"/>
      <c r="RQF1" s="87"/>
      <c r="RQG1" s="87"/>
      <c r="RQH1" s="87"/>
      <c r="RQI1" s="87"/>
      <c r="RQJ1" s="87"/>
      <c r="RQK1" s="87"/>
      <c r="RQL1" s="87"/>
      <c r="RQM1" s="87"/>
      <c r="RQN1" s="87"/>
      <c r="RQO1" s="87"/>
      <c r="RQP1" s="87"/>
      <c r="RQQ1" s="87"/>
      <c r="RQR1" s="87"/>
      <c r="RQS1" s="87"/>
      <c r="RQT1" s="87"/>
      <c r="RQU1" s="87"/>
      <c r="RQV1" s="87"/>
      <c r="RQW1" s="87"/>
      <c r="RQX1" s="87"/>
      <c r="RQY1" s="87"/>
      <c r="RQZ1" s="87"/>
      <c r="RRA1" s="87"/>
      <c r="RRB1" s="87"/>
      <c r="RRC1" s="87"/>
      <c r="RRD1" s="87"/>
      <c r="RRE1" s="87"/>
      <c r="RRF1" s="87"/>
      <c r="RRG1" s="87"/>
      <c r="RRH1" s="87"/>
      <c r="RRI1" s="87"/>
      <c r="RRJ1" s="87"/>
      <c r="RRK1" s="87"/>
      <c r="RRL1" s="87"/>
      <c r="RRM1" s="87"/>
      <c r="RRN1" s="87"/>
      <c r="RRO1" s="87"/>
      <c r="RRP1" s="87"/>
      <c r="RRQ1" s="87"/>
      <c r="RRR1" s="87"/>
      <c r="RRS1" s="87"/>
      <c r="RRT1" s="87"/>
      <c r="RRU1" s="87"/>
      <c r="RRV1" s="87"/>
      <c r="RRW1" s="87"/>
      <c r="RRX1" s="87"/>
      <c r="RRY1" s="87"/>
      <c r="RRZ1" s="87"/>
      <c r="RSA1" s="87"/>
      <c r="RSB1" s="87"/>
      <c r="RSC1" s="87"/>
      <c r="RSD1" s="87"/>
      <c r="RSE1" s="87"/>
      <c r="RSF1" s="87"/>
      <c r="RSG1" s="87"/>
      <c r="RSH1" s="87"/>
      <c r="RSI1" s="87"/>
      <c r="RSJ1" s="87"/>
      <c r="RSK1" s="87"/>
      <c r="RSL1" s="87"/>
      <c r="RSM1" s="87"/>
      <c r="RSN1" s="87"/>
      <c r="RSO1" s="87"/>
      <c r="RSP1" s="87"/>
      <c r="RSQ1" s="87"/>
      <c r="RSR1" s="87"/>
      <c r="RSS1" s="87"/>
      <c r="RST1" s="87"/>
      <c r="RSU1" s="87"/>
      <c r="RSV1" s="87"/>
      <c r="RSW1" s="87"/>
      <c r="RSX1" s="87"/>
      <c r="RSY1" s="87"/>
      <c r="RSZ1" s="87"/>
      <c r="RTA1" s="87"/>
      <c r="RTB1" s="87"/>
      <c r="RTC1" s="87"/>
      <c r="RTD1" s="87"/>
      <c r="RTE1" s="87"/>
      <c r="RTF1" s="87"/>
      <c r="RTG1" s="87"/>
      <c r="RTH1" s="87"/>
      <c r="RTI1" s="87"/>
      <c r="RTJ1" s="87"/>
      <c r="RTK1" s="87"/>
      <c r="RTL1" s="87"/>
      <c r="RTM1" s="87"/>
      <c r="RTN1" s="87"/>
      <c r="RTO1" s="87"/>
      <c r="RTP1" s="87"/>
      <c r="RTQ1" s="87"/>
      <c r="RTR1" s="87"/>
      <c r="RTS1" s="87"/>
      <c r="RTT1" s="87"/>
      <c r="RTU1" s="87"/>
      <c r="RTV1" s="87"/>
      <c r="RTW1" s="87"/>
      <c r="RTX1" s="87"/>
      <c r="RTY1" s="87"/>
      <c r="RTZ1" s="87"/>
      <c r="RUA1" s="87"/>
      <c r="RUB1" s="87"/>
      <c r="RUC1" s="87"/>
      <c r="RUD1" s="87"/>
      <c r="RUE1" s="87"/>
      <c r="RUF1" s="87"/>
      <c r="RUG1" s="87"/>
      <c r="RUH1" s="87"/>
      <c r="RUI1" s="87"/>
      <c r="RUJ1" s="87"/>
      <c r="RUK1" s="87"/>
      <c r="RUL1" s="87"/>
      <c r="RUM1" s="87"/>
      <c r="RUN1" s="87"/>
      <c r="RUO1" s="87"/>
      <c r="RUP1" s="87"/>
      <c r="RUQ1" s="87"/>
      <c r="RUR1" s="87"/>
      <c r="RUS1" s="87"/>
      <c r="RUT1" s="87"/>
      <c r="RUU1" s="87"/>
      <c r="RUV1" s="87"/>
      <c r="RUW1" s="87"/>
      <c r="RUX1" s="87"/>
      <c r="RUY1" s="87"/>
      <c r="RUZ1" s="87"/>
      <c r="RVA1" s="87"/>
      <c r="RVB1" s="87"/>
      <c r="RVC1" s="87"/>
      <c r="RVD1" s="87"/>
      <c r="RVE1" s="87"/>
      <c r="RVF1" s="87"/>
      <c r="RVG1" s="87"/>
      <c r="RVH1" s="87"/>
      <c r="RVI1" s="87"/>
      <c r="RVJ1" s="87"/>
      <c r="RVK1" s="87"/>
      <c r="RVL1" s="87"/>
      <c r="RVM1" s="87"/>
      <c r="RVN1" s="87"/>
      <c r="RVO1" s="87"/>
      <c r="RVP1" s="87"/>
      <c r="RVQ1" s="87"/>
      <c r="RVR1" s="87"/>
      <c r="RVS1" s="87"/>
      <c r="RVT1" s="87"/>
      <c r="RVU1" s="87"/>
      <c r="RVV1" s="87"/>
      <c r="RVW1" s="87"/>
      <c r="RVX1" s="87"/>
      <c r="RVY1" s="87"/>
      <c r="RVZ1" s="87"/>
      <c r="RWA1" s="87"/>
      <c r="RWB1" s="87"/>
      <c r="RWC1" s="87"/>
      <c r="RWD1" s="87"/>
      <c r="RWE1" s="87"/>
      <c r="RWF1" s="87"/>
      <c r="RWG1" s="87"/>
      <c r="RWH1" s="87"/>
      <c r="RWI1" s="87"/>
      <c r="RWJ1" s="87"/>
      <c r="RWK1" s="87"/>
      <c r="RWL1" s="87"/>
      <c r="RWM1" s="87"/>
      <c r="RWN1" s="87"/>
      <c r="RWO1" s="87"/>
      <c r="RWP1" s="87"/>
      <c r="RWQ1" s="87"/>
      <c r="RWR1" s="87"/>
      <c r="RWS1" s="87"/>
      <c r="RWT1" s="87"/>
      <c r="RWU1" s="87"/>
      <c r="RWV1" s="87"/>
      <c r="RWW1" s="87"/>
      <c r="RWX1" s="87"/>
      <c r="RWY1" s="87"/>
      <c r="RWZ1" s="87"/>
      <c r="RXA1" s="87"/>
      <c r="RXB1" s="87"/>
      <c r="RXC1" s="87"/>
      <c r="RXD1" s="87"/>
      <c r="RXE1" s="87"/>
      <c r="RXF1" s="87"/>
      <c r="RXG1" s="87"/>
      <c r="RXH1" s="87"/>
      <c r="RXI1" s="87"/>
      <c r="RXJ1" s="87"/>
      <c r="RXK1" s="87"/>
      <c r="RXL1" s="87"/>
      <c r="RXM1" s="87"/>
      <c r="RXN1" s="87"/>
      <c r="RXO1" s="87"/>
      <c r="RXP1" s="87"/>
      <c r="RXQ1" s="87"/>
      <c r="RXR1" s="87"/>
      <c r="RXS1" s="87"/>
      <c r="RXT1" s="87"/>
      <c r="RXU1" s="87"/>
      <c r="RXV1" s="87"/>
      <c r="RXW1" s="87"/>
      <c r="RXX1" s="87"/>
      <c r="RXY1" s="87"/>
      <c r="RXZ1" s="87"/>
      <c r="RYA1" s="87"/>
      <c r="RYB1" s="87"/>
      <c r="RYC1" s="87"/>
      <c r="RYD1" s="87"/>
      <c r="RYE1" s="87"/>
      <c r="RYF1" s="87"/>
      <c r="RYG1" s="87"/>
      <c r="RYH1" s="87"/>
      <c r="RYI1" s="87"/>
      <c r="RYJ1" s="87"/>
      <c r="RYK1" s="87"/>
      <c r="RYL1" s="87"/>
      <c r="RYM1" s="87"/>
      <c r="RYN1" s="87"/>
      <c r="RYO1" s="87"/>
      <c r="RYP1" s="87"/>
      <c r="RYQ1" s="87"/>
      <c r="RYR1" s="87"/>
      <c r="RYS1" s="87"/>
      <c r="RYT1" s="87"/>
      <c r="RYU1" s="87"/>
      <c r="RYV1" s="87"/>
      <c r="RYW1" s="87"/>
      <c r="RYX1" s="87"/>
      <c r="RYY1" s="87"/>
      <c r="RYZ1" s="87"/>
      <c r="RZA1" s="87"/>
      <c r="RZB1" s="87"/>
      <c r="RZC1" s="87"/>
      <c r="RZD1" s="87"/>
      <c r="RZE1" s="87"/>
      <c r="RZF1" s="87"/>
      <c r="RZG1" s="87"/>
      <c r="RZH1" s="87"/>
      <c r="RZI1" s="87"/>
      <c r="RZJ1" s="87"/>
      <c r="RZK1" s="87"/>
      <c r="RZL1" s="87"/>
      <c r="RZM1" s="87"/>
      <c r="RZN1" s="87"/>
      <c r="RZO1" s="87"/>
      <c r="RZP1" s="87"/>
      <c r="RZQ1" s="87"/>
      <c r="RZR1" s="87"/>
      <c r="RZS1" s="87"/>
      <c r="RZT1" s="87"/>
      <c r="RZU1" s="87"/>
      <c r="RZV1" s="87"/>
      <c r="RZW1" s="87"/>
      <c r="RZX1" s="87"/>
      <c r="RZY1" s="87"/>
      <c r="RZZ1" s="87"/>
      <c r="SAA1" s="87"/>
      <c r="SAB1" s="87"/>
      <c r="SAC1" s="87"/>
      <c r="SAD1" s="87"/>
      <c r="SAE1" s="87"/>
      <c r="SAF1" s="87"/>
      <c r="SAG1" s="87"/>
      <c r="SAH1" s="87"/>
      <c r="SAI1" s="87"/>
      <c r="SAJ1" s="87"/>
      <c r="SAK1" s="87"/>
      <c r="SAL1" s="87"/>
      <c r="SAM1" s="87"/>
      <c r="SAN1" s="87"/>
      <c r="SAO1" s="87"/>
      <c r="SAP1" s="87"/>
      <c r="SAQ1" s="87"/>
      <c r="SAR1" s="87"/>
      <c r="SAS1" s="87"/>
      <c r="SAT1" s="87"/>
      <c r="SAU1" s="87"/>
      <c r="SAV1" s="87"/>
      <c r="SAW1" s="87"/>
      <c r="SAX1" s="87"/>
      <c r="SAY1" s="87"/>
      <c r="SAZ1" s="87"/>
      <c r="SBA1" s="87"/>
      <c r="SBB1" s="87"/>
      <c r="SBC1" s="87"/>
      <c r="SBD1" s="87"/>
      <c r="SBE1" s="87"/>
      <c r="SBF1" s="87"/>
      <c r="SBG1" s="87"/>
      <c r="SBH1" s="87"/>
      <c r="SBI1" s="87"/>
      <c r="SBJ1" s="87"/>
      <c r="SBK1" s="87"/>
      <c r="SBL1" s="87"/>
      <c r="SBM1" s="87"/>
      <c r="SBN1" s="87"/>
      <c r="SBO1" s="87"/>
      <c r="SBP1" s="87"/>
      <c r="SBQ1" s="87"/>
      <c r="SBR1" s="87"/>
      <c r="SBS1" s="87"/>
      <c r="SBT1" s="87"/>
      <c r="SBU1" s="87"/>
      <c r="SBV1" s="87"/>
      <c r="SBW1" s="87"/>
      <c r="SBX1" s="87"/>
      <c r="SBY1" s="87"/>
      <c r="SBZ1" s="87"/>
      <c r="SCA1" s="87"/>
      <c r="SCB1" s="87"/>
      <c r="SCC1" s="87"/>
      <c r="SCD1" s="87"/>
      <c r="SCE1" s="87"/>
      <c r="SCF1" s="87"/>
      <c r="SCG1" s="87"/>
      <c r="SCH1" s="87"/>
      <c r="SCI1" s="87"/>
      <c r="SCJ1" s="87"/>
      <c r="SCK1" s="87"/>
      <c r="SCL1" s="87"/>
      <c r="SCM1" s="87"/>
      <c r="SCN1" s="87"/>
      <c r="SCO1" s="87"/>
      <c r="SCP1" s="87"/>
      <c r="SCQ1" s="87"/>
      <c r="SCR1" s="87"/>
      <c r="SCS1" s="87"/>
      <c r="SCT1" s="87"/>
      <c r="SCU1" s="87"/>
      <c r="SCV1" s="87"/>
      <c r="SCW1" s="87"/>
      <c r="SCX1" s="87"/>
      <c r="SCY1" s="87"/>
      <c r="SCZ1" s="87"/>
      <c r="SDA1" s="87"/>
      <c r="SDB1" s="87"/>
      <c r="SDC1" s="87"/>
      <c r="SDD1" s="87"/>
      <c r="SDE1" s="87"/>
      <c r="SDF1" s="87"/>
      <c r="SDG1" s="87"/>
      <c r="SDH1" s="87"/>
      <c r="SDI1" s="87"/>
      <c r="SDJ1" s="87"/>
      <c r="SDK1" s="87"/>
      <c r="SDL1" s="87"/>
      <c r="SDM1" s="87"/>
      <c r="SDN1" s="87"/>
      <c r="SDO1" s="87"/>
      <c r="SDP1" s="87"/>
      <c r="SDQ1" s="87"/>
      <c r="SDR1" s="87"/>
      <c r="SDS1" s="87"/>
      <c r="SDT1" s="87"/>
      <c r="SDU1" s="87"/>
      <c r="SDV1" s="87"/>
      <c r="SDW1" s="87"/>
      <c r="SDX1" s="87"/>
      <c r="SDY1" s="87"/>
      <c r="SDZ1" s="87"/>
      <c r="SEA1" s="87"/>
      <c r="SEB1" s="87"/>
      <c r="SEC1" s="87"/>
      <c r="SED1" s="87"/>
      <c r="SEE1" s="87"/>
      <c r="SEF1" s="87"/>
      <c r="SEG1" s="87"/>
      <c r="SEH1" s="87"/>
      <c r="SEI1" s="87"/>
      <c r="SEJ1" s="87"/>
      <c r="SEK1" s="87"/>
      <c r="SEL1" s="87"/>
      <c r="SEM1" s="87"/>
      <c r="SEN1" s="87"/>
      <c r="SEO1" s="87"/>
      <c r="SEP1" s="87"/>
      <c r="SEQ1" s="87"/>
      <c r="SER1" s="87"/>
      <c r="SES1" s="87"/>
      <c r="SET1" s="87"/>
      <c r="SEU1" s="87"/>
      <c r="SEV1" s="87"/>
      <c r="SEW1" s="87"/>
      <c r="SEX1" s="87"/>
      <c r="SEY1" s="87"/>
      <c r="SEZ1" s="87"/>
      <c r="SFA1" s="87"/>
      <c r="SFB1" s="87"/>
      <c r="SFC1" s="87"/>
      <c r="SFD1" s="87"/>
      <c r="SFE1" s="87"/>
      <c r="SFF1" s="87"/>
      <c r="SFG1" s="87"/>
      <c r="SFH1" s="87"/>
      <c r="SFI1" s="87"/>
      <c r="SFJ1" s="87"/>
      <c r="SFK1" s="87"/>
      <c r="SFL1" s="87"/>
      <c r="SFM1" s="87"/>
      <c r="SFN1" s="87"/>
      <c r="SFO1" s="87"/>
      <c r="SFP1" s="87"/>
      <c r="SFQ1" s="87"/>
      <c r="SFR1" s="87"/>
      <c r="SFS1" s="87"/>
      <c r="SFT1" s="87"/>
      <c r="SFU1" s="87"/>
      <c r="SFV1" s="87"/>
      <c r="SFW1" s="87"/>
      <c r="SFX1" s="87"/>
      <c r="SFY1" s="87"/>
      <c r="SFZ1" s="87"/>
      <c r="SGA1" s="87"/>
      <c r="SGB1" s="87"/>
      <c r="SGC1" s="87"/>
      <c r="SGD1" s="87"/>
      <c r="SGE1" s="87"/>
      <c r="SGF1" s="87"/>
      <c r="SGG1" s="87"/>
      <c r="SGH1" s="87"/>
      <c r="SGI1" s="87"/>
      <c r="SGJ1" s="87"/>
      <c r="SGK1" s="87"/>
      <c r="SGL1" s="87"/>
      <c r="SGM1" s="87"/>
      <c r="SGN1" s="87"/>
      <c r="SGO1" s="87"/>
      <c r="SGP1" s="87"/>
      <c r="SGQ1" s="87"/>
      <c r="SGR1" s="87"/>
      <c r="SGS1" s="87"/>
      <c r="SGT1" s="87"/>
      <c r="SGU1" s="87"/>
      <c r="SGV1" s="87"/>
      <c r="SGW1" s="87"/>
      <c r="SGX1" s="87"/>
      <c r="SGY1" s="87"/>
      <c r="SGZ1" s="87"/>
      <c r="SHA1" s="87"/>
      <c r="SHB1" s="87"/>
      <c r="SHC1" s="87"/>
      <c r="SHD1" s="87"/>
      <c r="SHE1" s="87"/>
      <c r="SHF1" s="87"/>
      <c r="SHG1" s="87"/>
      <c r="SHH1" s="87"/>
      <c r="SHI1" s="87"/>
      <c r="SHJ1" s="87"/>
      <c r="SHK1" s="87"/>
      <c r="SHL1" s="87"/>
      <c r="SHM1" s="87"/>
      <c r="SHN1" s="87"/>
      <c r="SHO1" s="87"/>
      <c r="SHP1" s="87"/>
      <c r="SHQ1" s="87"/>
      <c r="SHR1" s="87"/>
      <c r="SHS1" s="87"/>
      <c r="SHT1" s="87"/>
      <c r="SHU1" s="87"/>
      <c r="SHV1" s="87"/>
      <c r="SHW1" s="87"/>
      <c r="SHX1" s="87"/>
      <c r="SHY1" s="87"/>
      <c r="SHZ1" s="87"/>
      <c r="SIA1" s="87"/>
      <c r="SIB1" s="87"/>
      <c r="SIC1" s="87"/>
      <c r="SID1" s="87"/>
      <c r="SIE1" s="87"/>
      <c r="SIF1" s="87"/>
      <c r="SIG1" s="87"/>
      <c r="SIH1" s="87"/>
      <c r="SII1" s="87"/>
      <c r="SIJ1" s="87"/>
      <c r="SIK1" s="87"/>
      <c r="SIL1" s="87"/>
      <c r="SIM1" s="87"/>
      <c r="SIN1" s="87"/>
      <c r="SIO1" s="87"/>
      <c r="SIP1" s="87"/>
      <c r="SIQ1" s="87"/>
      <c r="SIR1" s="87"/>
      <c r="SIS1" s="87"/>
      <c r="SIT1" s="87"/>
      <c r="SIU1" s="87"/>
      <c r="SIV1" s="87"/>
      <c r="SIW1" s="87"/>
      <c r="SIX1" s="87"/>
      <c r="SIY1" s="87"/>
      <c r="SIZ1" s="87"/>
      <c r="SJA1" s="87"/>
      <c r="SJB1" s="87"/>
      <c r="SJC1" s="87"/>
      <c r="SJD1" s="87"/>
      <c r="SJE1" s="87"/>
      <c r="SJF1" s="87"/>
      <c r="SJG1" s="87"/>
      <c r="SJH1" s="87"/>
      <c r="SJI1" s="87"/>
      <c r="SJJ1" s="87"/>
      <c r="SJK1" s="87"/>
      <c r="SJL1" s="87"/>
      <c r="SJM1" s="87"/>
      <c r="SJN1" s="87"/>
      <c r="SJO1" s="87"/>
      <c r="SJP1" s="87"/>
      <c r="SJQ1" s="87"/>
      <c r="SJR1" s="87"/>
      <c r="SJS1" s="87"/>
      <c r="SJT1" s="87"/>
      <c r="SJU1" s="87"/>
      <c r="SJV1" s="87"/>
      <c r="SJW1" s="87"/>
      <c r="SJX1" s="87"/>
      <c r="SJY1" s="87"/>
      <c r="SJZ1" s="87"/>
      <c r="SKA1" s="87"/>
      <c r="SKB1" s="87"/>
      <c r="SKC1" s="87"/>
      <c r="SKD1" s="87"/>
      <c r="SKE1" s="87"/>
      <c r="SKF1" s="87"/>
      <c r="SKG1" s="87"/>
      <c r="SKH1" s="87"/>
      <c r="SKI1" s="87"/>
      <c r="SKJ1" s="87"/>
      <c r="SKK1" s="87"/>
      <c r="SKL1" s="87"/>
      <c r="SKM1" s="87"/>
      <c r="SKN1" s="87"/>
      <c r="SKO1" s="87"/>
      <c r="SKP1" s="87"/>
      <c r="SKQ1" s="87"/>
      <c r="SKR1" s="87"/>
      <c r="SKS1" s="87"/>
      <c r="SKT1" s="87"/>
      <c r="SKU1" s="87"/>
      <c r="SKV1" s="87"/>
      <c r="SKW1" s="87"/>
      <c r="SKX1" s="87"/>
      <c r="SKY1" s="87"/>
      <c r="SKZ1" s="87"/>
      <c r="SLA1" s="87"/>
      <c r="SLB1" s="87"/>
      <c r="SLC1" s="87"/>
      <c r="SLD1" s="87"/>
      <c r="SLE1" s="87"/>
      <c r="SLF1" s="87"/>
      <c r="SLG1" s="87"/>
      <c r="SLH1" s="87"/>
      <c r="SLI1" s="87"/>
      <c r="SLJ1" s="87"/>
      <c r="SLK1" s="87"/>
      <c r="SLL1" s="87"/>
      <c r="SLM1" s="87"/>
      <c r="SLN1" s="87"/>
      <c r="SLO1" s="87"/>
      <c r="SLP1" s="87"/>
      <c r="SLQ1" s="87"/>
      <c r="SLR1" s="87"/>
      <c r="SLS1" s="87"/>
      <c r="SLT1" s="87"/>
      <c r="SLU1" s="87"/>
      <c r="SLV1" s="87"/>
      <c r="SLW1" s="87"/>
      <c r="SLX1" s="87"/>
      <c r="SLY1" s="87"/>
      <c r="SLZ1" s="87"/>
      <c r="SMA1" s="87"/>
      <c r="SMB1" s="87"/>
      <c r="SMC1" s="87"/>
      <c r="SMD1" s="87"/>
      <c r="SME1" s="87"/>
      <c r="SMF1" s="87"/>
      <c r="SMG1" s="87"/>
      <c r="SMH1" s="87"/>
      <c r="SMI1" s="87"/>
      <c r="SMJ1" s="87"/>
      <c r="SMK1" s="87"/>
      <c r="SML1" s="87"/>
      <c r="SMM1" s="87"/>
      <c r="SMN1" s="87"/>
      <c r="SMO1" s="87"/>
      <c r="SMP1" s="87"/>
      <c r="SMQ1" s="87"/>
      <c r="SMR1" s="87"/>
      <c r="SMS1" s="87"/>
      <c r="SMT1" s="87"/>
      <c r="SMU1" s="87"/>
      <c r="SMV1" s="87"/>
      <c r="SMW1" s="87"/>
      <c r="SMX1" s="87"/>
      <c r="SMY1" s="87"/>
      <c r="SMZ1" s="87"/>
      <c r="SNA1" s="87"/>
      <c r="SNB1" s="87"/>
      <c r="SNC1" s="87"/>
      <c r="SND1" s="87"/>
      <c r="SNE1" s="87"/>
      <c r="SNF1" s="87"/>
      <c r="SNG1" s="87"/>
      <c r="SNH1" s="87"/>
      <c r="SNI1" s="87"/>
      <c r="SNJ1" s="87"/>
      <c r="SNK1" s="87"/>
      <c r="SNL1" s="87"/>
      <c r="SNM1" s="87"/>
      <c r="SNN1" s="87"/>
      <c r="SNO1" s="87"/>
      <c r="SNP1" s="87"/>
      <c r="SNQ1" s="87"/>
      <c r="SNR1" s="87"/>
      <c r="SNS1" s="87"/>
      <c r="SNT1" s="87"/>
      <c r="SNU1" s="87"/>
      <c r="SNV1" s="87"/>
      <c r="SNW1" s="87"/>
      <c r="SNX1" s="87"/>
      <c r="SNY1" s="87"/>
      <c r="SNZ1" s="87"/>
      <c r="SOA1" s="87"/>
      <c r="SOB1" s="87"/>
      <c r="SOC1" s="87"/>
      <c r="SOD1" s="87"/>
      <c r="SOE1" s="87"/>
      <c r="SOF1" s="87"/>
      <c r="SOG1" s="87"/>
      <c r="SOH1" s="87"/>
      <c r="SOI1" s="87"/>
      <c r="SOJ1" s="87"/>
      <c r="SOK1" s="87"/>
      <c r="SOL1" s="87"/>
      <c r="SOM1" s="87"/>
      <c r="SON1" s="87"/>
      <c r="SOO1" s="87"/>
      <c r="SOP1" s="87"/>
      <c r="SOQ1" s="87"/>
      <c r="SOR1" s="87"/>
      <c r="SOS1" s="87"/>
      <c r="SOT1" s="87"/>
      <c r="SOU1" s="87"/>
      <c r="SOV1" s="87"/>
      <c r="SOW1" s="87"/>
      <c r="SOX1" s="87"/>
      <c r="SOY1" s="87"/>
      <c r="SOZ1" s="87"/>
      <c r="SPA1" s="87"/>
      <c r="SPB1" s="87"/>
      <c r="SPC1" s="87"/>
      <c r="SPD1" s="87"/>
      <c r="SPE1" s="87"/>
      <c r="SPF1" s="87"/>
      <c r="SPG1" s="87"/>
      <c r="SPH1" s="87"/>
      <c r="SPI1" s="87"/>
      <c r="SPJ1" s="87"/>
      <c r="SPK1" s="87"/>
      <c r="SPL1" s="87"/>
      <c r="SPM1" s="87"/>
      <c r="SPN1" s="87"/>
      <c r="SPO1" s="87"/>
      <c r="SPP1" s="87"/>
      <c r="SPQ1" s="87"/>
      <c r="SPR1" s="87"/>
      <c r="SPS1" s="87"/>
      <c r="SPT1" s="87"/>
      <c r="SPU1" s="87"/>
      <c r="SPV1" s="87"/>
      <c r="SPW1" s="87"/>
      <c r="SPX1" s="87"/>
      <c r="SPY1" s="87"/>
      <c r="SPZ1" s="87"/>
      <c r="SQA1" s="87"/>
      <c r="SQB1" s="87"/>
      <c r="SQC1" s="87"/>
      <c r="SQD1" s="87"/>
      <c r="SQE1" s="87"/>
      <c r="SQF1" s="87"/>
      <c r="SQG1" s="87"/>
      <c r="SQH1" s="87"/>
      <c r="SQI1" s="87"/>
      <c r="SQJ1" s="87"/>
      <c r="SQK1" s="87"/>
      <c r="SQL1" s="87"/>
      <c r="SQM1" s="87"/>
      <c r="SQN1" s="87"/>
      <c r="SQO1" s="87"/>
      <c r="SQP1" s="87"/>
      <c r="SQQ1" s="87"/>
      <c r="SQR1" s="87"/>
      <c r="SQS1" s="87"/>
      <c r="SQT1" s="87"/>
      <c r="SQU1" s="87"/>
      <c r="SQV1" s="87"/>
      <c r="SQW1" s="87"/>
      <c r="SQX1" s="87"/>
      <c r="SQY1" s="87"/>
      <c r="SQZ1" s="87"/>
      <c r="SRA1" s="87"/>
      <c r="SRB1" s="87"/>
      <c r="SRC1" s="87"/>
      <c r="SRD1" s="87"/>
      <c r="SRE1" s="87"/>
      <c r="SRF1" s="87"/>
      <c r="SRG1" s="87"/>
      <c r="SRH1" s="87"/>
      <c r="SRI1" s="87"/>
      <c r="SRJ1" s="87"/>
      <c r="SRK1" s="87"/>
      <c r="SRL1" s="87"/>
      <c r="SRM1" s="87"/>
      <c r="SRN1" s="87"/>
      <c r="SRO1" s="87"/>
      <c r="SRP1" s="87"/>
      <c r="SRQ1" s="87"/>
      <c r="SRR1" s="87"/>
      <c r="SRS1" s="87"/>
      <c r="SRT1" s="87"/>
      <c r="SRU1" s="87"/>
      <c r="SRV1" s="87"/>
      <c r="SRW1" s="87"/>
      <c r="SRX1" s="87"/>
      <c r="SRY1" s="87"/>
      <c r="SRZ1" s="87"/>
      <c r="SSA1" s="87"/>
      <c r="SSB1" s="87"/>
      <c r="SSC1" s="87"/>
      <c r="SSD1" s="87"/>
      <c r="SSE1" s="87"/>
      <c r="SSF1" s="87"/>
      <c r="SSG1" s="87"/>
      <c r="SSH1" s="87"/>
      <c r="SSI1" s="87"/>
      <c r="SSJ1" s="87"/>
      <c r="SSK1" s="87"/>
      <c r="SSL1" s="87"/>
      <c r="SSM1" s="87"/>
      <c r="SSN1" s="87"/>
      <c r="SSO1" s="87"/>
      <c r="SSP1" s="87"/>
      <c r="SSQ1" s="87"/>
      <c r="SSR1" s="87"/>
      <c r="SSS1" s="87"/>
      <c r="SST1" s="87"/>
      <c r="SSU1" s="87"/>
      <c r="SSV1" s="87"/>
      <c r="SSW1" s="87"/>
      <c r="SSX1" s="87"/>
      <c r="SSY1" s="87"/>
      <c r="SSZ1" s="87"/>
      <c r="STA1" s="87"/>
      <c r="STB1" s="87"/>
      <c r="STC1" s="87"/>
      <c r="STD1" s="87"/>
      <c r="STE1" s="87"/>
      <c r="STF1" s="87"/>
      <c r="STG1" s="87"/>
      <c r="STH1" s="87"/>
      <c r="STI1" s="87"/>
      <c r="STJ1" s="87"/>
      <c r="STK1" s="87"/>
      <c r="STL1" s="87"/>
      <c r="STM1" s="87"/>
      <c r="STN1" s="87"/>
      <c r="STO1" s="87"/>
      <c r="STP1" s="87"/>
      <c r="STQ1" s="87"/>
      <c r="STR1" s="87"/>
      <c r="STS1" s="87"/>
      <c r="STT1" s="87"/>
      <c r="STU1" s="87"/>
      <c r="STV1" s="87"/>
      <c r="STW1" s="87"/>
      <c r="STX1" s="87"/>
      <c r="STY1" s="87"/>
      <c r="STZ1" s="87"/>
      <c r="SUA1" s="87"/>
      <c r="SUB1" s="87"/>
      <c r="SUC1" s="87"/>
      <c r="SUD1" s="87"/>
      <c r="SUE1" s="87"/>
      <c r="SUF1" s="87"/>
      <c r="SUG1" s="87"/>
      <c r="SUH1" s="87"/>
      <c r="SUI1" s="87"/>
      <c r="SUJ1" s="87"/>
      <c r="SUK1" s="87"/>
      <c r="SUL1" s="87"/>
      <c r="SUM1" s="87"/>
      <c r="SUN1" s="87"/>
      <c r="SUO1" s="87"/>
      <c r="SUP1" s="87"/>
      <c r="SUQ1" s="87"/>
      <c r="SUR1" s="87"/>
      <c r="SUS1" s="87"/>
      <c r="SUT1" s="87"/>
      <c r="SUU1" s="87"/>
      <c r="SUV1" s="87"/>
      <c r="SUW1" s="87"/>
      <c r="SUX1" s="87"/>
      <c r="SUY1" s="87"/>
      <c r="SUZ1" s="87"/>
      <c r="SVA1" s="87"/>
      <c r="SVB1" s="87"/>
      <c r="SVC1" s="87"/>
      <c r="SVD1" s="87"/>
      <c r="SVE1" s="87"/>
      <c r="SVF1" s="87"/>
      <c r="SVG1" s="87"/>
      <c r="SVH1" s="87"/>
      <c r="SVI1" s="87"/>
      <c r="SVJ1" s="87"/>
      <c r="SVK1" s="87"/>
      <c r="SVL1" s="87"/>
      <c r="SVM1" s="87"/>
      <c r="SVN1" s="87"/>
      <c r="SVO1" s="87"/>
      <c r="SVP1" s="87"/>
      <c r="SVQ1" s="87"/>
      <c r="SVR1" s="87"/>
      <c r="SVS1" s="87"/>
      <c r="SVT1" s="87"/>
      <c r="SVU1" s="87"/>
      <c r="SVV1" s="87"/>
      <c r="SVW1" s="87"/>
      <c r="SVX1" s="87"/>
      <c r="SVY1" s="87"/>
      <c r="SVZ1" s="87"/>
      <c r="SWA1" s="87"/>
      <c r="SWB1" s="87"/>
      <c r="SWC1" s="87"/>
      <c r="SWD1" s="87"/>
      <c r="SWE1" s="87"/>
      <c r="SWF1" s="87"/>
      <c r="SWG1" s="87"/>
      <c r="SWH1" s="87"/>
      <c r="SWI1" s="87"/>
      <c r="SWJ1" s="87"/>
      <c r="SWK1" s="87"/>
      <c r="SWL1" s="87"/>
      <c r="SWM1" s="87"/>
      <c r="SWN1" s="87"/>
      <c r="SWO1" s="87"/>
      <c r="SWP1" s="87"/>
      <c r="SWQ1" s="87"/>
      <c r="SWR1" s="87"/>
      <c r="SWS1" s="87"/>
      <c r="SWT1" s="87"/>
      <c r="SWU1" s="87"/>
      <c r="SWV1" s="87"/>
      <c r="SWW1" s="87"/>
      <c r="SWX1" s="87"/>
      <c r="SWY1" s="87"/>
      <c r="SWZ1" s="87"/>
      <c r="SXA1" s="87"/>
      <c r="SXB1" s="87"/>
      <c r="SXC1" s="87"/>
      <c r="SXD1" s="87"/>
      <c r="SXE1" s="87"/>
      <c r="SXF1" s="87"/>
      <c r="SXG1" s="87"/>
      <c r="SXH1" s="87"/>
      <c r="SXI1" s="87"/>
      <c r="SXJ1" s="87"/>
      <c r="SXK1" s="87"/>
      <c r="SXL1" s="87"/>
      <c r="SXM1" s="87"/>
      <c r="SXN1" s="87"/>
      <c r="SXO1" s="87"/>
      <c r="SXP1" s="87"/>
      <c r="SXQ1" s="87"/>
      <c r="SXR1" s="87"/>
      <c r="SXS1" s="87"/>
      <c r="SXT1" s="87"/>
      <c r="SXU1" s="87"/>
      <c r="SXV1" s="87"/>
      <c r="SXW1" s="87"/>
      <c r="SXX1" s="87"/>
      <c r="SXY1" s="87"/>
      <c r="SXZ1" s="87"/>
      <c r="SYA1" s="87"/>
      <c r="SYB1" s="87"/>
      <c r="SYC1" s="87"/>
      <c r="SYD1" s="87"/>
      <c r="SYE1" s="87"/>
      <c r="SYF1" s="87"/>
      <c r="SYG1" s="87"/>
      <c r="SYH1" s="87"/>
      <c r="SYI1" s="87"/>
      <c r="SYJ1" s="87"/>
      <c r="SYK1" s="87"/>
      <c r="SYL1" s="87"/>
      <c r="SYM1" s="87"/>
      <c r="SYN1" s="87"/>
      <c r="SYO1" s="87"/>
      <c r="SYP1" s="87"/>
      <c r="SYQ1" s="87"/>
      <c r="SYR1" s="87"/>
      <c r="SYS1" s="87"/>
      <c r="SYT1" s="87"/>
      <c r="SYU1" s="87"/>
      <c r="SYV1" s="87"/>
      <c r="SYW1" s="87"/>
      <c r="SYX1" s="87"/>
      <c r="SYY1" s="87"/>
      <c r="SYZ1" s="87"/>
      <c r="SZA1" s="87"/>
      <c r="SZB1" s="87"/>
      <c r="SZC1" s="87"/>
      <c r="SZD1" s="87"/>
      <c r="SZE1" s="87"/>
      <c r="SZF1" s="87"/>
      <c r="SZG1" s="87"/>
      <c r="SZH1" s="87"/>
      <c r="SZI1" s="87"/>
      <c r="SZJ1" s="87"/>
      <c r="SZK1" s="87"/>
      <c r="SZL1" s="87"/>
      <c r="SZM1" s="87"/>
      <c r="SZN1" s="87"/>
      <c r="SZO1" s="87"/>
      <c r="SZP1" s="87"/>
      <c r="SZQ1" s="87"/>
      <c r="SZR1" s="87"/>
      <c r="SZS1" s="87"/>
      <c r="SZT1" s="87"/>
      <c r="SZU1" s="87"/>
      <c r="SZV1" s="87"/>
      <c r="SZW1" s="87"/>
      <c r="SZX1" s="87"/>
      <c r="SZY1" s="87"/>
      <c r="SZZ1" s="87"/>
      <c r="TAA1" s="87"/>
      <c r="TAB1" s="87"/>
      <c r="TAC1" s="87"/>
      <c r="TAD1" s="87"/>
      <c r="TAE1" s="87"/>
      <c r="TAF1" s="87"/>
      <c r="TAG1" s="87"/>
      <c r="TAH1" s="87"/>
      <c r="TAI1" s="87"/>
      <c r="TAJ1" s="87"/>
      <c r="TAK1" s="87"/>
      <c r="TAL1" s="87"/>
      <c r="TAM1" s="87"/>
      <c r="TAN1" s="87"/>
      <c r="TAO1" s="87"/>
      <c r="TAP1" s="87"/>
      <c r="TAQ1" s="87"/>
      <c r="TAR1" s="87"/>
      <c r="TAS1" s="87"/>
      <c r="TAT1" s="87"/>
      <c r="TAU1" s="87"/>
      <c r="TAV1" s="87"/>
      <c r="TAW1" s="87"/>
      <c r="TAX1" s="87"/>
      <c r="TAY1" s="87"/>
      <c r="TAZ1" s="87"/>
      <c r="TBA1" s="87"/>
      <c r="TBB1" s="87"/>
      <c r="TBC1" s="87"/>
      <c r="TBD1" s="87"/>
      <c r="TBE1" s="87"/>
      <c r="TBF1" s="87"/>
      <c r="TBG1" s="87"/>
      <c r="TBH1" s="87"/>
      <c r="TBI1" s="87"/>
      <c r="TBJ1" s="87"/>
      <c r="TBK1" s="87"/>
      <c r="TBL1" s="87"/>
      <c r="TBM1" s="87"/>
      <c r="TBN1" s="87"/>
      <c r="TBO1" s="87"/>
      <c r="TBP1" s="87"/>
      <c r="TBQ1" s="87"/>
      <c r="TBR1" s="87"/>
      <c r="TBS1" s="87"/>
      <c r="TBT1" s="87"/>
      <c r="TBU1" s="87"/>
      <c r="TBV1" s="87"/>
      <c r="TBW1" s="87"/>
      <c r="TBX1" s="87"/>
      <c r="TBY1" s="87"/>
      <c r="TBZ1" s="87"/>
      <c r="TCA1" s="87"/>
      <c r="TCB1" s="87"/>
      <c r="TCC1" s="87"/>
      <c r="TCD1" s="87"/>
      <c r="TCE1" s="87"/>
      <c r="TCF1" s="87"/>
      <c r="TCG1" s="87"/>
      <c r="TCH1" s="87"/>
      <c r="TCI1" s="87"/>
      <c r="TCJ1" s="87"/>
      <c r="TCK1" s="87"/>
      <c r="TCL1" s="87"/>
      <c r="TCM1" s="87"/>
      <c r="TCN1" s="87"/>
      <c r="TCO1" s="87"/>
      <c r="TCP1" s="87"/>
      <c r="TCQ1" s="87"/>
      <c r="TCR1" s="87"/>
      <c r="TCS1" s="87"/>
      <c r="TCT1" s="87"/>
      <c r="TCU1" s="87"/>
      <c r="TCV1" s="87"/>
      <c r="TCW1" s="87"/>
      <c r="TCX1" s="87"/>
      <c r="TCY1" s="87"/>
      <c r="TCZ1" s="87"/>
      <c r="TDA1" s="87"/>
      <c r="TDB1" s="87"/>
      <c r="TDC1" s="87"/>
      <c r="TDD1" s="87"/>
      <c r="TDE1" s="87"/>
      <c r="TDF1" s="87"/>
      <c r="TDG1" s="87"/>
      <c r="TDH1" s="87"/>
      <c r="TDI1" s="87"/>
      <c r="TDJ1" s="87"/>
      <c r="TDK1" s="87"/>
      <c r="TDL1" s="87"/>
      <c r="TDM1" s="87"/>
      <c r="TDN1" s="87"/>
      <c r="TDO1" s="87"/>
      <c r="TDP1" s="87"/>
      <c r="TDQ1" s="87"/>
      <c r="TDR1" s="87"/>
      <c r="TDS1" s="87"/>
      <c r="TDT1" s="87"/>
      <c r="TDU1" s="87"/>
      <c r="TDV1" s="87"/>
      <c r="TDW1" s="87"/>
      <c r="TDX1" s="87"/>
      <c r="TDY1" s="87"/>
      <c r="TDZ1" s="87"/>
      <c r="TEA1" s="87"/>
      <c r="TEB1" s="87"/>
      <c r="TEC1" s="87"/>
      <c r="TED1" s="87"/>
      <c r="TEE1" s="87"/>
      <c r="TEF1" s="87"/>
      <c r="TEG1" s="87"/>
      <c r="TEH1" s="87"/>
      <c r="TEI1" s="87"/>
      <c r="TEJ1" s="87"/>
      <c r="TEK1" s="87"/>
      <c r="TEL1" s="87"/>
      <c r="TEM1" s="87"/>
      <c r="TEN1" s="87"/>
      <c r="TEO1" s="87"/>
      <c r="TEP1" s="87"/>
      <c r="TEQ1" s="87"/>
      <c r="TER1" s="87"/>
      <c r="TES1" s="87"/>
      <c r="TET1" s="87"/>
      <c r="TEU1" s="87"/>
      <c r="TEV1" s="87"/>
      <c r="TEW1" s="87"/>
      <c r="TEX1" s="87"/>
      <c r="TEY1" s="87"/>
      <c r="TEZ1" s="87"/>
      <c r="TFA1" s="87"/>
      <c r="TFB1" s="87"/>
      <c r="TFC1" s="87"/>
      <c r="TFD1" s="87"/>
      <c r="TFE1" s="87"/>
      <c r="TFF1" s="87"/>
      <c r="TFG1" s="87"/>
      <c r="TFH1" s="87"/>
      <c r="TFI1" s="87"/>
      <c r="TFJ1" s="87"/>
      <c r="TFK1" s="87"/>
      <c r="TFL1" s="87"/>
      <c r="TFM1" s="87"/>
      <c r="TFN1" s="87"/>
      <c r="TFO1" s="87"/>
      <c r="TFP1" s="87"/>
      <c r="TFQ1" s="87"/>
      <c r="TFR1" s="87"/>
      <c r="TFS1" s="87"/>
      <c r="TFT1" s="87"/>
      <c r="TFU1" s="87"/>
      <c r="TFV1" s="87"/>
      <c r="TFW1" s="87"/>
      <c r="TFX1" s="87"/>
      <c r="TFY1" s="87"/>
      <c r="TFZ1" s="87"/>
      <c r="TGA1" s="87"/>
      <c r="TGB1" s="87"/>
      <c r="TGC1" s="87"/>
      <c r="TGD1" s="87"/>
      <c r="TGE1" s="87"/>
      <c r="TGF1" s="87"/>
      <c r="TGG1" s="87"/>
      <c r="TGH1" s="87"/>
      <c r="TGI1" s="87"/>
      <c r="TGJ1" s="87"/>
      <c r="TGK1" s="87"/>
      <c r="TGL1" s="87"/>
      <c r="TGM1" s="87"/>
      <c r="TGN1" s="87"/>
      <c r="TGO1" s="87"/>
      <c r="TGP1" s="87"/>
      <c r="TGQ1" s="87"/>
      <c r="TGR1" s="87"/>
      <c r="TGS1" s="87"/>
      <c r="TGT1" s="87"/>
      <c r="TGU1" s="87"/>
      <c r="TGV1" s="87"/>
      <c r="TGW1" s="87"/>
      <c r="TGX1" s="87"/>
      <c r="TGY1" s="87"/>
      <c r="TGZ1" s="87"/>
      <c r="THA1" s="87"/>
      <c r="THB1" s="87"/>
      <c r="THC1" s="87"/>
      <c r="THD1" s="87"/>
      <c r="THE1" s="87"/>
      <c r="THF1" s="87"/>
      <c r="THG1" s="87"/>
      <c r="THH1" s="87"/>
      <c r="THI1" s="87"/>
      <c r="THJ1" s="87"/>
      <c r="THK1" s="87"/>
      <c r="THL1" s="87"/>
      <c r="THM1" s="87"/>
      <c r="THN1" s="87"/>
      <c r="THO1" s="87"/>
      <c r="THP1" s="87"/>
      <c r="THQ1" s="87"/>
      <c r="THR1" s="87"/>
      <c r="THS1" s="87"/>
      <c r="THT1" s="87"/>
      <c r="THU1" s="87"/>
      <c r="THV1" s="87"/>
      <c r="THW1" s="87"/>
      <c r="THX1" s="87"/>
      <c r="THY1" s="87"/>
      <c r="THZ1" s="87"/>
      <c r="TIA1" s="87"/>
      <c r="TIB1" s="87"/>
      <c r="TIC1" s="87"/>
      <c r="TID1" s="87"/>
      <c r="TIE1" s="87"/>
      <c r="TIF1" s="87"/>
      <c r="TIG1" s="87"/>
      <c r="TIH1" s="87"/>
      <c r="TII1" s="87"/>
      <c r="TIJ1" s="87"/>
      <c r="TIK1" s="87"/>
      <c r="TIL1" s="87"/>
      <c r="TIM1" s="87"/>
      <c r="TIN1" s="87"/>
      <c r="TIO1" s="87"/>
      <c r="TIP1" s="87"/>
      <c r="TIQ1" s="87"/>
      <c r="TIR1" s="87"/>
      <c r="TIS1" s="87"/>
      <c r="TIT1" s="87"/>
      <c r="TIU1" s="87"/>
      <c r="TIV1" s="87"/>
      <c r="TIW1" s="87"/>
      <c r="TIX1" s="87"/>
      <c r="TIY1" s="87"/>
      <c r="TIZ1" s="87"/>
      <c r="TJA1" s="87"/>
      <c r="TJB1" s="87"/>
      <c r="TJC1" s="87"/>
      <c r="TJD1" s="87"/>
      <c r="TJE1" s="87"/>
      <c r="TJF1" s="87"/>
      <c r="TJG1" s="87"/>
      <c r="TJH1" s="87"/>
      <c r="TJI1" s="87"/>
      <c r="TJJ1" s="87"/>
      <c r="TJK1" s="87"/>
      <c r="TJL1" s="87"/>
      <c r="TJM1" s="87"/>
      <c r="TJN1" s="87"/>
      <c r="TJO1" s="87"/>
      <c r="TJP1" s="87"/>
      <c r="TJQ1" s="87"/>
      <c r="TJR1" s="87"/>
      <c r="TJS1" s="87"/>
      <c r="TJT1" s="87"/>
      <c r="TJU1" s="87"/>
      <c r="TJV1" s="87"/>
      <c r="TJW1" s="87"/>
      <c r="TJX1" s="87"/>
      <c r="TJY1" s="87"/>
      <c r="TJZ1" s="87"/>
      <c r="TKA1" s="87"/>
      <c r="TKB1" s="87"/>
      <c r="TKC1" s="87"/>
      <c r="TKD1" s="87"/>
      <c r="TKE1" s="87"/>
      <c r="TKF1" s="87"/>
      <c r="TKG1" s="87"/>
      <c r="TKH1" s="87"/>
      <c r="TKI1" s="87"/>
      <c r="TKJ1" s="87"/>
      <c r="TKK1" s="87"/>
      <c r="TKL1" s="87"/>
      <c r="TKM1" s="87"/>
      <c r="TKN1" s="87"/>
      <c r="TKO1" s="87"/>
      <c r="TKP1" s="87"/>
      <c r="TKQ1" s="87"/>
      <c r="TKR1" s="87"/>
      <c r="TKS1" s="87"/>
      <c r="TKT1" s="87"/>
      <c r="TKU1" s="87"/>
      <c r="TKV1" s="87"/>
      <c r="TKW1" s="87"/>
      <c r="TKX1" s="87"/>
      <c r="TKY1" s="87"/>
      <c r="TKZ1" s="87"/>
      <c r="TLA1" s="87"/>
      <c r="TLB1" s="87"/>
      <c r="TLC1" s="87"/>
      <c r="TLD1" s="87"/>
      <c r="TLE1" s="87"/>
      <c r="TLF1" s="87"/>
      <c r="TLG1" s="87"/>
      <c r="TLH1" s="87"/>
      <c r="TLI1" s="87"/>
      <c r="TLJ1" s="87"/>
      <c r="TLK1" s="87"/>
      <c r="TLL1" s="87"/>
      <c r="TLM1" s="87"/>
      <c r="TLN1" s="87"/>
      <c r="TLO1" s="87"/>
      <c r="TLP1" s="87"/>
      <c r="TLQ1" s="87"/>
      <c r="TLR1" s="87"/>
      <c r="TLS1" s="87"/>
      <c r="TLT1" s="87"/>
      <c r="TLU1" s="87"/>
      <c r="TLV1" s="87"/>
      <c r="TLW1" s="87"/>
      <c r="TLX1" s="87"/>
      <c r="TLY1" s="87"/>
      <c r="TLZ1" s="87"/>
      <c r="TMA1" s="87"/>
      <c r="TMB1" s="87"/>
      <c r="TMC1" s="87"/>
      <c r="TMD1" s="87"/>
      <c r="TME1" s="87"/>
      <c r="TMF1" s="87"/>
      <c r="TMG1" s="87"/>
      <c r="TMH1" s="87"/>
      <c r="TMI1" s="87"/>
      <c r="TMJ1" s="87"/>
      <c r="TMK1" s="87"/>
      <c r="TML1" s="87"/>
      <c r="TMM1" s="87"/>
      <c r="TMN1" s="87"/>
      <c r="TMO1" s="87"/>
      <c r="TMP1" s="87"/>
      <c r="TMQ1" s="87"/>
      <c r="TMR1" s="87"/>
      <c r="TMS1" s="87"/>
      <c r="TMT1" s="87"/>
      <c r="TMU1" s="87"/>
      <c r="TMV1" s="87"/>
      <c r="TMW1" s="87"/>
      <c r="TMX1" s="87"/>
      <c r="TMY1" s="87"/>
      <c r="TMZ1" s="87"/>
      <c r="TNA1" s="87"/>
      <c r="TNB1" s="87"/>
      <c r="TNC1" s="87"/>
      <c r="TND1" s="87"/>
      <c r="TNE1" s="87"/>
      <c r="TNF1" s="87"/>
      <c r="TNG1" s="87"/>
      <c r="TNH1" s="87"/>
      <c r="TNI1" s="87"/>
      <c r="TNJ1" s="87"/>
      <c r="TNK1" s="87"/>
      <c r="TNL1" s="87"/>
      <c r="TNM1" s="87"/>
      <c r="TNN1" s="87"/>
      <c r="TNO1" s="87"/>
      <c r="TNP1" s="87"/>
      <c r="TNQ1" s="87"/>
      <c r="TNR1" s="87"/>
      <c r="TNS1" s="87"/>
      <c r="TNT1" s="87"/>
      <c r="TNU1" s="87"/>
      <c r="TNV1" s="87"/>
      <c r="TNW1" s="87"/>
      <c r="TNX1" s="87"/>
      <c r="TNY1" s="87"/>
      <c r="TNZ1" s="87"/>
      <c r="TOA1" s="87"/>
      <c r="TOB1" s="87"/>
      <c r="TOC1" s="87"/>
      <c r="TOD1" s="87"/>
      <c r="TOE1" s="87"/>
      <c r="TOF1" s="87"/>
      <c r="TOG1" s="87"/>
      <c r="TOH1" s="87"/>
      <c r="TOI1" s="87"/>
      <c r="TOJ1" s="87"/>
      <c r="TOK1" s="87"/>
      <c r="TOL1" s="87"/>
      <c r="TOM1" s="87"/>
      <c r="TON1" s="87"/>
      <c r="TOO1" s="87"/>
      <c r="TOP1" s="87"/>
      <c r="TOQ1" s="87"/>
      <c r="TOR1" s="87"/>
      <c r="TOS1" s="87"/>
      <c r="TOT1" s="87"/>
      <c r="TOU1" s="87"/>
      <c r="TOV1" s="87"/>
      <c r="TOW1" s="87"/>
      <c r="TOX1" s="87"/>
      <c r="TOY1" s="87"/>
      <c r="TOZ1" s="87"/>
      <c r="TPA1" s="87"/>
      <c r="TPB1" s="87"/>
      <c r="TPC1" s="87"/>
      <c r="TPD1" s="87"/>
      <c r="TPE1" s="87"/>
      <c r="TPF1" s="87"/>
      <c r="TPG1" s="87"/>
      <c r="TPH1" s="87"/>
      <c r="TPI1" s="87"/>
      <c r="TPJ1" s="87"/>
      <c r="TPK1" s="87"/>
      <c r="TPL1" s="87"/>
      <c r="TPM1" s="87"/>
      <c r="TPN1" s="87"/>
      <c r="TPO1" s="87"/>
      <c r="TPP1" s="87"/>
      <c r="TPQ1" s="87"/>
      <c r="TPR1" s="87"/>
      <c r="TPS1" s="87"/>
      <c r="TPT1" s="87"/>
      <c r="TPU1" s="87"/>
      <c r="TPV1" s="87"/>
      <c r="TPW1" s="87"/>
      <c r="TPX1" s="87"/>
      <c r="TPY1" s="87"/>
      <c r="TPZ1" s="87"/>
      <c r="TQA1" s="87"/>
      <c r="TQB1" s="87"/>
      <c r="TQC1" s="87"/>
      <c r="TQD1" s="87"/>
      <c r="TQE1" s="87"/>
      <c r="TQF1" s="87"/>
      <c r="TQG1" s="87"/>
      <c r="TQH1" s="87"/>
      <c r="TQI1" s="87"/>
      <c r="TQJ1" s="87"/>
      <c r="TQK1" s="87"/>
      <c r="TQL1" s="87"/>
      <c r="TQM1" s="87"/>
      <c r="TQN1" s="87"/>
      <c r="TQO1" s="87"/>
      <c r="TQP1" s="87"/>
      <c r="TQQ1" s="87"/>
      <c r="TQR1" s="87"/>
      <c r="TQS1" s="87"/>
      <c r="TQT1" s="87"/>
      <c r="TQU1" s="87"/>
      <c r="TQV1" s="87"/>
      <c r="TQW1" s="87"/>
      <c r="TQX1" s="87"/>
      <c r="TQY1" s="87"/>
      <c r="TQZ1" s="87"/>
      <c r="TRA1" s="87"/>
      <c r="TRB1" s="87"/>
      <c r="TRC1" s="87"/>
      <c r="TRD1" s="87"/>
      <c r="TRE1" s="87"/>
      <c r="TRF1" s="87"/>
      <c r="TRG1" s="87"/>
      <c r="TRH1" s="87"/>
      <c r="TRI1" s="87"/>
      <c r="TRJ1" s="87"/>
      <c r="TRK1" s="87"/>
      <c r="TRL1" s="87"/>
      <c r="TRM1" s="87"/>
      <c r="TRN1" s="87"/>
      <c r="TRO1" s="87"/>
      <c r="TRP1" s="87"/>
      <c r="TRQ1" s="87"/>
      <c r="TRR1" s="87"/>
      <c r="TRS1" s="87"/>
      <c r="TRT1" s="87"/>
      <c r="TRU1" s="87"/>
      <c r="TRV1" s="87"/>
      <c r="TRW1" s="87"/>
      <c r="TRX1" s="87"/>
      <c r="TRY1" s="87"/>
      <c r="TRZ1" s="87"/>
      <c r="TSA1" s="87"/>
      <c r="TSB1" s="87"/>
      <c r="TSC1" s="87"/>
      <c r="TSD1" s="87"/>
      <c r="TSE1" s="87"/>
      <c r="TSF1" s="87"/>
      <c r="TSG1" s="87"/>
      <c r="TSH1" s="87"/>
      <c r="TSI1" s="87"/>
      <c r="TSJ1" s="87"/>
      <c r="TSK1" s="87"/>
      <c r="TSL1" s="87"/>
      <c r="TSM1" s="87"/>
      <c r="TSN1" s="87"/>
      <c r="TSO1" s="87"/>
      <c r="TSP1" s="87"/>
      <c r="TSQ1" s="87"/>
      <c r="TSR1" s="87"/>
      <c r="TSS1" s="87"/>
      <c r="TST1" s="87"/>
      <c r="TSU1" s="87"/>
      <c r="TSV1" s="87"/>
      <c r="TSW1" s="87"/>
      <c r="TSX1" s="87"/>
      <c r="TSY1" s="87"/>
      <c r="TSZ1" s="87"/>
      <c r="TTA1" s="87"/>
      <c r="TTB1" s="87"/>
      <c r="TTC1" s="87"/>
      <c r="TTD1" s="87"/>
      <c r="TTE1" s="87"/>
      <c r="TTF1" s="87"/>
      <c r="TTG1" s="87"/>
      <c r="TTH1" s="87"/>
      <c r="TTI1" s="87"/>
      <c r="TTJ1" s="87"/>
      <c r="TTK1" s="87"/>
      <c r="TTL1" s="87"/>
      <c r="TTM1" s="87"/>
      <c r="TTN1" s="87"/>
      <c r="TTO1" s="87"/>
      <c r="TTP1" s="87"/>
      <c r="TTQ1" s="87"/>
      <c r="TTR1" s="87"/>
      <c r="TTS1" s="87"/>
      <c r="TTT1" s="87"/>
      <c r="TTU1" s="87"/>
      <c r="TTV1" s="87"/>
      <c r="TTW1" s="87"/>
      <c r="TTX1" s="87"/>
      <c r="TTY1" s="87"/>
      <c r="TTZ1" s="87"/>
      <c r="TUA1" s="87"/>
      <c r="TUB1" s="87"/>
      <c r="TUC1" s="87"/>
      <c r="TUD1" s="87"/>
      <c r="TUE1" s="87"/>
      <c r="TUF1" s="87"/>
      <c r="TUG1" s="87"/>
      <c r="TUH1" s="87"/>
      <c r="TUI1" s="87"/>
      <c r="TUJ1" s="87"/>
      <c r="TUK1" s="87"/>
      <c r="TUL1" s="87"/>
      <c r="TUM1" s="87"/>
      <c r="TUN1" s="87"/>
      <c r="TUO1" s="87"/>
      <c r="TUP1" s="87"/>
      <c r="TUQ1" s="87"/>
      <c r="TUR1" s="87"/>
      <c r="TUS1" s="87"/>
      <c r="TUT1" s="87"/>
      <c r="TUU1" s="87"/>
      <c r="TUV1" s="87"/>
      <c r="TUW1" s="87"/>
      <c r="TUX1" s="87"/>
      <c r="TUY1" s="87"/>
      <c r="TUZ1" s="87"/>
      <c r="TVA1" s="87"/>
      <c r="TVB1" s="87"/>
      <c r="TVC1" s="87"/>
      <c r="TVD1" s="87"/>
      <c r="TVE1" s="87"/>
      <c r="TVF1" s="87"/>
      <c r="TVG1" s="87"/>
      <c r="TVH1" s="87"/>
      <c r="TVI1" s="87"/>
      <c r="TVJ1" s="87"/>
      <c r="TVK1" s="87"/>
      <c r="TVL1" s="87"/>
      <c r="TVM1" s="87"/>
      <c r="TVN1" s="87"/>
      <c r="TVO1" s="87"/>
      <c r="TVP1" s="87"/>
      <c r="TVQ1" s="87"/>
      <c r="TVR1" s="87"/>
      <c r="TVS1" s="87"/>
      <c r="TVT1" s="87"/>
      <c r="TVU1" s="87"/>
      <c r="TVV1" s="87"/>
      <c r="TVW1" s="87"/>
      <c r="TVX1" s="87"/>
      <c r="TVY1" s="87"/>
      <c r="TVZ1" s="87"/>
      <c r="TWA1" s="87"/>
      <c r="TWB1" s="87"/>
      <c r="TWC1" s="87"/>
      <c r="TWD1" s="87"/>
      <c r="TWE1" s="87"/>
      <c r="TWF1" s="87"/>
      <c r="TWG1" s="87"/>
      <c r="TWH1" s="87"/>
      <c r="TWI1" s="87"/>
      <c r="TWJ1" s="87"/>
      <c r="TWK1" s="87"/>
      <c r="TWL1" s="87"/>
      <c r="TWM1" s="87"/>
      <c r="TWN1" s="87"/>
      <c r="TWO1" s="87"/>
      <c r="TWP1" s="87"/>
      <c r="TWQ1" s="87"/>
      <c r="TWR1" s="87"/>
      <c r="TWS1" s="87"/>
      <c r="TWT1" s="87"/>
      <c r="TWU1" s="87"/>
      <c r="TWV1" s="87"/>
      <c r="TWW1" s="87"/>
      <c r="TWX1" s="87"/>
      <c r="TWY1" s="87"/>
      <c r="TWZ1" s="87"/>
      <c r="TXA1" s="87"/>
      <c r="TXB1" s="87"/>
      <c r="TXC1" s="87"/>
      <c r="TXD1" s="87"/>
      <c r="TXE1" s="87"/>
      <c r="TXF1" s="87"/>
      <c r="TXG1" s="87"/>
      <c r="TXH1" s="87"/>
      <c r="TXI1" s="87"/>
      <c r="TXJ1" s="87"/>
      <c r="TXK1" s="87"/>
      <c r="TXL1" s="87"/>
      <c r="TXM1" s="87"/>
      <c r="TXN1" s="87"/>
      <c r="TXO1" s="87"/>
      <c r="TXP1" s="87"/>
      <c r="TXQ1" s="87"/>
      <c r="TXR1" s="87"/>
      <c r="TXS1" s="87"/>
      <c r="TXT1" s="87"/>
      <c r="TXU1" s="87"/>
      <c r="TXV1" s="87"/>
      <c r="TXW1" s="87"/>
      <c r="TXX1" s="87"/>
      <c r="TXY1" s="87"/>
      <c r="TXZ1" s="87"/>
      <c r="TYA1" s="87"/>
      <c r="TYB1" s="87"/>
      <c r="TYC1" s="87"/>
      <c r="TYD1" s="87"/>
      <c r="TYE1" s="87"/>
      <c r="TYF1" s="87"/>
      <c r="TYG1" s="87"/>
      <c r="TYH1" s="87"/>
      <c r="TYI1" s="87"/>
      <c r="TYJ1" s="87"/>
      <c r="TYK1" s="87"/>
      <c r="TYL1" s="87"/>
      <c r="TYM1" s="87"/>
      <c r="TYN1" s="87"/>
      <c r="TYO1" s="87"/>
      <c r="TYP1" s="87"/>
      <c r="TYQ1" s="87"/>
      <c r="TYR1" s="87"/>
      <c r="TYS1" s="87"/>
      <c r="TYT1" s="87"/>
      <c r="TYU1" s="87"/>
      <c r="TYV1" s="87"/>
      <c r="TYW1" s="87"/>
      <c r="TYX1" s="87"/>
      <c r="TYY1" s="87"/>
      <c r="TYZ1" s="87"/>
      <c r="TZA1" s="87"/>
      <c r="TZB1" s="87"/>
      <c r="TZC1" s="87"/>
      <c r="TZD1" s="87"/>
      <c r="TZE1" s="87"/>
      <c r="TZF1" s="87"/>
      <c r="TZG1" s="87"/>
      <c r="TZH1" s="87"/>
      <c r="TZI1" s="87"/>
      <c r="TZJ1" s="87"/>
      <c r="TZK1" s="87"/>
      <c r="TZL1" s="87"/>
      <c r="TZM1" s="87"/>
      <c r="TZN1" s="87"/>
      <c r="TZO1" s="87"/>
      <c r="TZP1" s="87"/>
      <c r="TZQ1" s="87"/>
      <c r="TZR1" s="87"/>
      <c r="TZS1" s="87"/>
      <c r="TZT1" s="87"/>
      <c r="TZU1" s="87"/>
      <c r="TZV1" s="87"/>
      <c r="TZW1" s="87"/>
      <c r="TZX1" s="87"/>
      <c r="TZY1" s="87"/>
      <c r="TZZ1" s="87"/>
      <c r="UAA1" s="87"/>
      <c r="UAB1" s="87"/>
      <c r="UAC1" s="87"/>
      <c r="UAD1" s="87"/>
      <c r="UAE1" s="87"/>
      <c r="UAF1" s="87"/>
      <c r="UAG1" s="87"/>
      <c r="UAH1" s="87"/>
      <c r="UAI1" s="87"/>
      <c r="UAJ1" s="87"/>
      <c r="UAK1" s="87"/>
      <c r="UAL1" s="87"/>
      <c r="UAM1" s="87"/>
      <c r="UAN1" s="87"/>
      <c r="UAO1" s="87"/>
      <c r="UAP1" s="87"/>
      <c r="UAQ1" s="87"/>
      <c r="UAR1" s="87"/>
      <c r="UAS1" s="87"/>
      <c r="UAT1" s="87"/>
      <c r="UAU1" s="87"/>
      <c r="UAV1" s="87"/>
      <c r="UAW1" s="87"/>
      <c r="UAX1" s="87"/>
      <c r="UAY1" s="87"/>
      <c r="UAZ1" s="87"/>
      <c r="UBA1" s="87"/>
      <c r="UBB1" s="87"/>
      <c r="UBC1" s="87"/>
      <c r="UBD1" s="87"/>
      <c r="UBE1" s="87"/>
      <c r="UBF1" s="87"/>
      <c r="UBG1" s="87"/>
      <c r="UBH1" s="87"/>
      <c r="UBI1" s="87"/>
      <c r="UBJ1" s="87"/>
      <c r="UBK1" s="87"/>
      <c r="UBL1" s="87"/>
      <c r="UBM1" s="87"/>
      <c r="UBN1" s="87"/>
      <c r="UBO1" s="87"/>
      <c r="UBP1" s="87"/>
      <c r="UBQ1" s="87"/>
      <c r="UBR1" s="87"/>
      <c r="UBS1" s="87"/>
      <c r="UBT1" s="87"/>
      <c r="UBU1" s="87"/>
      <c r="UBV1" s="87"/>
      <c r="UBW1" s="87"/>
      <c r="UBX1" s="87"/>
      <c r="UBY1" s="87"/>
      <c r="UBZ1" s="87"/>
      <c r="UCA1" s="87"/>
      <c r="UCB1" s="87"/>
      <c r="UCC1" s="87"/>
      <c r="UCD1" s="87"/>
      <c r="UCE1" s="87"/>
      <c r="UCF1" s="87"/>
      <c r="UCG1" s="87"/>
      <c r="UCH1" s="87"/>
      <c r="UCI1" s="87"/>
      <c r="UCJ1" s="87"/>
      <c r="UCK1" s="87"/>
      <c r="UCL1" s="87"/>
      <c r="UCM1" s="87"/>
      <c r="UCN1" s="87"/>
      <c r="UCO1" s="87"/>
      <c r="UCP1" s="87"/>
      <c r="UCQ1" s="87"/>
      <c r="UCR1" s="87"/>
      <c r="UCS1" s="87"/>
      <c r="UCT1" s="87"/>
      <c r="UCU1" s="87"/>
      <c r="UCV1" s="87"/>
      <c r="UCW1" s="87"/>
      <c r="UCX1" s="87"/>
      <c r="UCY1" s="87"/>
      <c r="UCZ1" s="87"/>
      <c r="UDA1" s="87"/>
      <c r="UDB1" s="87"/>
      <c r="UDC1" s="87"/>
      <c r="UDD1" s="87"/>
      <c r="UDE1" s="87"/>
      <c r="UDF1" s="87"/>
      <c r="UDG1" s="87"/>
      <c r="UDH1" s="87"/>
      <c r="UDI1" s="87"/>
      <c r="UDJ1" s="87"/>
      <c r="UDK1" s="87"/>
      <c r="UDL1" s="87"/>
      <c r="UDM1" s="87"/>
      <c r="UDN1" s="87"/>
      <c r="UDO1" s="87"/>
      <c r="UDP1" s="87"/>
      <c r="UDQ1" s="87"/>
      <c r="UDR1" s="87"/>
      <c r="UDS1" s="87"/>
      <c r="UDT1" s="87"/>
      <c r="UDU1" s="87"/>
      <c r="UDV1" s="87"/>
      <c r="UDW1" s="87"/>
      <c r="UDX1" s="87"/>
      <c r="UDY1" s="87"/>
      <c r="UDZ1" s="87"/>
      <c r="UEA1" s="87"/>
      <c r="UEB1" s="87"/>
      <c r="UEC1" s="87"/>
      <c r="UED1" s="87"/>
      <c r="UEE1" s="87"/>
      <c r="UEF1" s="87"/>
      <c r="UEG1" s="87"/>
      <c r="UEH1" s="87"/>
      <c r="UEI1" s="87"/>
      <c r="UEJ1" s="87"/>
      <c r="UEK1" s="87"/>
      <c r="UEL1" s="87"/>
      <c r="UEM1" s="87"/>
      <c r="UEN1" s="87"/>
      <c r="UEO1" s="87"/>
      <c r="UEP1" s="87"/>
      <c r="UEQ1" s="87"/>
      <c r="UER1" s="87"/>
      <c r="UES1" s="87"/>
      <c r="UET1" s="87"/>
      <c r="UEU1" s="87"/>
      <c r="UEV1" s="87"/>
      <c r="UEW1" s="87"/>
      <c r="UEX1" s="87"/>
      <c r="UEY1" s="87"/>
      <c r="UEZ1" s="87"/>
      <c r="UFA1" s="87"/>
      <c r="UFB1" s="87"/>
      <c r="UFC1" s="87"/>
      <c r="UFD1" s="87"/>
      <c r="UFE1" s="87"/>
      <c r="UFF1" s="87"/>
      <c r="UFG1" s="87"/>
      <c r="UFH1" s="87"/>
      <c r="UFI1" s="87"/>
      <c r="UFJ1" s="87"/>
      <c r="UFK1" s="87"/>
      <c r="UFL1" s="87"/>
      <c r="UFM1" s="87"/>
      <c r="UFN1" s="87"/>
      <c r="UFO1" s="87"/>
      <c r="UFP1" s="87"/>
      <c r="UFQ1" s="87"/>
      <c r="UFR1" s="87"/>
      <c r="UFS1" s="87"/>
      <c r="UFT1" s="87"/>
      <c r="UFU1" s="87"/>
      <c r="UFV1" s="87"/>
      <c r="UFW1" s="87"/>
      <c r="UFX1" s="87"/>
      <c r="UFY1" s="87"/>
      <c r="UFZ1" s="87"/>
      <c r="UGA1" s="87"/>
      <c r="UGB1" s="87"/>
      <c r="UGC1" s="87"/>
      <c r="UGD1" s="87"/>
      <c r="UGE1" s="87"/>
      <c r="UGF1" s="87"/>
      <c r="UGG1" s="87"/>
      <c r="UGH1" s="87"/>
      <c r="UGI1" s="87"/>
      <c r="UGJ1" s="87"/>
      <c r="UGK1" s="87"/>
      <c r="UGL1" s="87"/>
      <c r="UGM1" s="87"/>
      <c r="UGN1" s="87"/>
      <c r="UGO1" s="87"/>
      <c r="UGP1" s="87"/>
      <c r="UGQ1" s="87"/>
      <c r="UGR1" s="87"/>
      <c r="UGS1" s="87"/>
      <c r="UGT1" s="87"/>
      <c r="UGU1" s="87"/>
      <c r="UGV1" s="87"/>
      <c r="UGW1" s="87"/>
      <c r="UGX1" s="87"/>
      <c r="UGY1" s="87"/>
      <c r="UGZ1" s="87"/>
      <c r="UHA1" s="87"/>
      <c r="UHB1" s="87"/>
      <c r="UHC1" s="87"/>
      <c r="UHD1" s="87"/>
      <c r="UHE1" s="87"/>
      <c r="UHF1" s="87"/>
      <c r="UHG1" s="87"/>
      <c r="UHH1" s="87"/>
      <c r="UHI1" s="87"/>
      <c r="UHJ1" s="87"/>
      <c r="UHK1" s="87"/>
      <c r="UHL1" s="87"/>
      <c r="UHM1" s="87"/>
      <c r="UHN1" s="87"/>
      <c r="UHO1" s="87"/>
      <c r="UHP1" s="87"/>
      <c r="UHQ1" s="87"/>
      <c r="UHR1" s="87"/>
      <c r="UHS1" s="87"/>
      <c r="UHT1" s="87"/>
      <c r="UHU1" s="87"/>
      <c r="UHV1" s="87"/>
      <c r="UHW1" s="87"/>
      <c r="UHX1" s="87"/>
      <c r="UHY1" s="87"/>
      <c r="UHZ1" s="87"/>
      <c r="UIA1" s="87"/>
      <c r="UIB1" s="87"/>
      <c r="UIC1" s="87"/>
      <c r="UID1" s="87"/>
      <c r="UIE1" s="87"/>
      <c r="UIF1" s="87"/>
      <c r="UIG1" s="87"/>
      <c r="UIH1" s="87"/>
      <c r="UII1" s="87"/>
      <c r="UIJ1" s="87"/>
      <c r="UIK1" s="87"/>
      <c r="UIL1" s="87"/>
      <c r="UIM1" s="87"/>
      <c r="UIN1" s="87"/>
      <c r="UIO1" s="87"/>
      <c r="UIP1" s="87"/>
      <c r="UIQ1" s="87"/>
      <c r="UIR1" s="87"/>
      <c r="UIS1" s="87"/>
      <c r="UIT1" s="87"/>
      <c r="UIU1" s="87"/>
      <c r="UIV1" s="87"/>
      <c r="UIW1" s="87"/>
      <c r="UIX1" s="87"/>
      <c r="UIY1" s="87"/>
      <c r="UIZ1" s="87"/>
      <c r="UJA1" s="87"/>
      <c r="UJB1" s="87"/>
      <c r="UJC1" s="87"/>
      <c r="UJD1" s="87"/>
      <c r="UJE1" s="87"/>
      <c r="UJF1" s="87"/>
      <c r="UJG1" s="87"/>
      <c r="UJH1" s="87"/>
      <c r="UJI1" s="87"/>
      <c r="UJJ1" s="87"/>
      <c r="UJK1" s="87"/>
      <c r="UJL1" s="87"/>
      <c r="UJM1" s="87"/>
      <c r="UJN1" s="87"/>
      <c r="UJO1" s="87"/>
      <c r="UJP1" s="87"/>
      <c r="UJQ1" s="87"/>
      <c r="UJR1" s="87"/>
      <c r="UJS1" s="87"/>
      <c r="UJT1" s="87"/>
      <c r="UJU1" s="87"/>
      <c r="UJV1" s="87"/>
      <c r="UJW1" s="87"/>
      <c r="UJX1" s="87"/>
      <c r="UJY1" s="87"/>
      <c r="UJZ1" s="87"/>
      <c r="UKA1" s="87"/>
      <c r="UKB1" s="87"/>
      <c r="UKC1" s="87"/>
      <c r="UKD1" s="87"/>
      <c r="UKE1" s="87"/>
      <c r="UKF1" s="87"/>
      <c r="UKG1" s="87"/>
      <c r="UKH1" s="87"/>
      <c r="UKI1" s="87"/>
      <c r="UKJ1" s="87"/>
      <c r="UKK1" s="87"/>
      <c r="UKL1" s="87"/>
      <c r="UKM1" s="87"/>
      <c r="UKN1" s="87"/>
      <c r="UKO1" s="87"/>
      <c r="UKP1" s="87"/>
      <c r="UKQ1" s="87"/>
      <c r="UKR1" s="87"/>
      <c r="UKS1" s="87"/>
      <c r="UKT1" s="87"/>
      <c r="UKU1" s="87"/>
      <c r="UKV1" s="87"/>
      <c r="UKW1" s="87"/>
      <c r="UKX1" s="87"/>
      <c r="UKY1" s="87"/>
      <c r="UKZ1" s="87"/>
      <c r="ULA1" s="87"/>
      <c r="ULB1" s="87"/>
      <c r="ULC1" s="87"/>
      <c r="ULD1" s="87"/>
      <c r="ULE1" s="87"/>
      <c r="ULF1" s="87"/>
      <c r="ULG1" s="87"/>
      <c r="ULH1" s="87"/>
      <c r="ULI1" s="87"/>
      <c r="ULJ1" s="87"/>
      <c r="ULK1" s="87"/>
      <c r="ULL1" s="87"/>
      <c r="ULM1" s="87"/>
      <c r="ULN1" s="87"/>
      <c r="ULO1" s="87"/>
      <c r="ULP1" s="87"/>
      <c r="ULQ1" s="87"/>
      <c r="ULR1" s="87"/>
      <c r="ULS1" s="87"/>
      <c r="ULT1" s="87"/>
      <c r="ULU1" s="87"/>
      <c r="ULV1" s="87"/>
      <c r="ULW1" s="87"/>
      <c r="ULX1" s="87"/>
      <c r="ULY1" s="87"/>
      <c r="ULZ1" s="87"/>
      <c r="UMA1" s="87"/>
      <c r="UMB1" s="87"/>
      <c r="UMC1" s="87"/>
      <c r="UMD1" s="87"/>
      <c r="UME1" s="87"/>
      <c r="UMF1" s="87"/>
      <c r="UMG1" s="87"/>
      <c r="UMH1" s="87"/>
      <c r="UMI1" s="87"/>
      <c r="UMJ1" s="87"/>
      <c r="UMK1" s="87"/>
      <c r="UML1" s="87"/>
      <c r="UMM1" s="87"/>
      <c r="UMN1" s="87"/>
      <c r="UMO1" s="87"/>
      <c r="UMP1" s="87"/>
      <c r="UMQ1" s="87"/>
      <c r="UMR1" s="87"/>
      <c r="UMS1" s="87"/>
      <c r="UMT1" s="87"/>
      <c r="UMU1" s="87"/>
      <c r="UMV1" s="87"/>
      <c r="UMW1" s="87"/>
      <c r="UMX1" s="87"/>
      <c r="UMY1" s="87"/>
      <c r="UMZ1" s="87"/>
      <c r="UNA1" s="87"/>
      <c r="UNB1" s="87"/>
      <c r="UNC1" s="87"/>
      <c r="UND1" s="87"/>
      <c r="UNE1" s="87"/>
      <c r="UNF1" s="87"/>
      <c r="UNG1" s="87"/>
      <c r="UNH1" s="87"/>
      <c r="UNI1" s="87"/>
      <c r="UNJ1" s="87"/>
      <c r="UNK1" s="87"/>
      <c r="UNL1" s="87"/>
      <c r="UNM1" s="87"/>
      <c r="UNN1" s="87"/>
      <c r="UNO1" s="87"/>
      <c r="UNP1" s="87"/>
      <c r="UNQ1" s="87"/>
      <c r="UNR1" s="87"/>
      <c r="UNS1" s="87"/>
      <c r="UNT1" s="87"/>
      <c r="UNU1" s="87"/>
      <c r="UNV1" s="87"/>
      <c r="UNW1" s="87"/>
      <c r="UNX1" s="87"/>
      <c r="UNY1" s="87"/>
      <c r="UNZ1" s="87"/>
      <c r="UOA1" s="87"/>
      <c r="UOB1" s="87"/>
      <c r="UOC1" s="87"/>
      <c r="UOD1" s="87"/>
      <c r="UOE1" s="87"/>
      <c r="UOF1" s="87"/>
      <c r="UOG1" s="87"/>
      <c r="UOH1" s="87"/>
      <c r="UOI1" s="87"/>
      <c r="UOJ1" s="87"/>
      <c r="UOK1" s="87"/>
      <c r="UOL1" s="87"/>
      <c r="UOM1" s="87"/>
      <c r="UON1" s="87"/>
      <c r="UOO1" s="87"/>
      <c r="UOP1" s="87"/>
      <c r="UOQ1" s="87"/>
      <c r="UOR1" s="87"/>
      <c r="UOS1" s="87"/>
      <c r="UOT1" s="87"/>
      <c r="UOU1" s="87"/>
      <c r="UOV1" s="87"/>
      <c r="UOW1" s="87"/>
      <c r="UOX1" s="87"/>
      <c r="UOY1" s="87"/>
      <c r="UOZ1" s="87"/>
      <c r="UPA1" s="87"/>
      <c r="UPB1" s="87"/>
      <c r="UPC1" s="87"/>
      <c r="UPD1" s="87"/>
      <c r="UPE1" s="87"/>
      <c r="UPF1" s="87"/>
      <c r="UPG1" s="87"/>
      <c r="UPH1" s="87"/>
      <c r="UPI1" s="87"/>
      <c r="UPJ1" s="87"/>
      <c r="UPK1" s="87"/>
      <c r="UPL1" s="87"/>
      <c r="UPM1" s="87"/>
      <c r="UPN1" s="87"/>
      <c r="UPO1" s="87"/>
      <c r="UPP1" s="87"/>
      <c r="UPQ1" s="87"/>
      <c r="UPR1" s="87"/>
      <c r="UPS1" s="87"/>
      <c r="UPT1" s="87"/>
      <c r="UPU1" s="87"/>
      <c r="UPV1" s="87"/>
      <c r="UPW1" s="87"/>
      <c r="UPX1" s="87"/>
      <c r="UPY1" s="87"/>
      <c r="UPZ1" s="87"/>
      <c r="UQA1" s="87"/>
      <c r="UQB1" s="87"/>
      <c r="UQC1" s="87"/>
      <c r="UQD1" s="87"/>
      <c r="UQE1" s="87"/>
      <c r="UQF1" s="87"/>
      <c r="UQG1" s="87"/>
      <c r="UQH1" s="87"/>
      <c r="UQI1" s="87"/>
      <c r="UQJ1" s="87"/>
      <c r="UQK1" s="87"/>
      <c r="UQL1" s="87"/>
      <c r="UQM1" s="87"/>
      <c r="UQN1" s="87"/>
      <c r="UQO1" s="87"/>
      <c r="UQP1" s="87"/>
      <c r="UQQ1" s="87"/>
      <c r="UQR1" s="87"/>
      <c r="UQS1" s="87"/>
      <c r="UQT1" s="87"/>
      <c r="UQU1" s="87"/>
      <c r="UQV1" s="87"/>
      <c r="UQW1" s="87"/>
      <c r="UQX1" s="87"/>
      <c r="UQY1" s="87"/>
      <c r="UQZ1" s="87"/>
      <c r="URA1" s="87"/>
      <c r="URB1" s="87"/>
      <c r="URC1" s="87"/>
      <c r="URD1" s="87"/>
      <c r="URE1" s="87"/>
      <c r="URF1" s="87"/>
      <c r="URG1" s="87"/>
      <c r="URH1" s="87"/>
      <c r="URI1" s="87"/>
      <c r="URJ1" s="87"/>
      <c r="URK1" s="87"/>
      <c r="URL1" s="87"/>
      <c r="URM1" s="87"/>
      <c r="URN1" s="87"/>
      <c r="URO1" s="87"/>
      <c r="URP1" s="87"/>
      <c r="URQ1" s="87"/>
      <c r="URR1" s="87"/>
      <c r="URS1" s="87"/>
      <c r="URT1" s="87"/>
      <c r="URU1" s="87"/>
      <c r="URV1" s="87"/>
      <c r="URW1" s="87"/>
      <c r="URX1" s="87"/>
      <c r="URY1" s="87"/>
      <c r="URZ1" s="87"/>
      <c r="USA1" s="87"/>
      <c r="USB1" s="87"/>
      <c r="USC1" s="87"/>
      <c r="USD1" s="87"/>
      <c r="USE1" s="87"/>
      <c r="USF1" s="87"/>
      <c r="USG1" s="87"/>
      <c r="USH1" s="87"/>
      <c r="USI1" s="87"/>
      <c r="USJ1" s="87"/>
      <c r="USK1" s="87"/>
      <c r="USL1" s="87"/>
      <c r="USM1" s="87"/>
      <c r="USN1" s="87"/>
      <c r="USO1" s="87"/>
      <c r="USP1" s="87"/>
      <c r="USQ1" s="87"/>
      <c r="USR1" s="87"/>
      <c r="USS1" s="87"/>
      <c r="UST1" s="87"/>
      <c r="USU1" s="87"/>
      <c r="USV1" s="87"/>
      <c r="USW1" s="87"/>
      <c r="USX1" s="87"/>
      <c r="USY1" s="87"/>
      <c r="USZ1" s="87"/>
      <c r="UTA1" s="87"/>
      <c r="UTB1" s="87"/>
      <c r="UTC1" s="87"/>
      <c r="UTD1" s="87"/>
      <c r="UTE1" s="87"/>
      <c r="UTF1" s="87"/>
      <c r="UTG1" s="87"/>
      <c r="UTH1" s="87"/>
      <c r="UTI1" s="87"/>
      <c r="UTJ1" s="87"/>
      <c r="UTK1" s="87"/>
      <c r="UTL1" s="87"/>
      <c r="UTM1" s="87"/>
      <c r="UTN1" s="87"/>
      <c r="UTO1" s="87"/>
      <c r="UTP1" s="87"/>
      <c r="UTQ1" s="87"/>
      <c r="UTR1" s="87"/>
      <c r="UTS1" s="87"/>
      <c r="UTT1" s="87"/>
      <c r="UTU1" s="87"/>
      <c r="UTV1" s="87"/>
      <c r="UTW1" s="87"/>
      <c r="UTX1" s="87"/>
      <c r="UTY1" s="87"/>
      <c r="UTZ1" s="87"/>
      <c r="UUA1" s="87"/>
      <c r="UUB1" s="87"/>
      <c r="UUC1" s="87"/>
      <c r="UUD1" s="87"/>
      <c r="UUE1" s="87"/>
      <c r="UUF1" s="87"/>
      <c r="UUG1" s="87"/>
      <c r="UUH1" s="87"/>
      <c r="UUI1" s="87"/>
      <c r="UUJ1" s="87"/>
      <c r="UUK1" s="87"/>
      <c r="UUL1" s="87"/>
      <c r="UUM1" s="87"/>
      <c r="UUN1" s="87"/>
      <c r="UUO1" s="87"/>
      <c r="UUP1" s="87"/>
      <c r="UUQ1" s="87"/>
      <c r="UUR1" s="87"/>
      <c r="UUS1" s="87"/>
      <c r="UUT1" s="87"/>
      <c r="UUU1" s="87"/>
      <c r="UUV1" s="87"/>
      <c r="UUW1" s="87"/>
      <c r="UUX1" s="87"/>
      <c r="UUY1" s="87"/>
      <c r="UUZ1" s="87"/>
      <c r="UVA1" s="87"/>
      <c r="UVB1" s="87"/>
      <c r="UVC1" s="87"/>
      <c r="UVD1" s="87"/>
      <c r="UVE1" s="87"/>
      <c r="UVF1" s="87"/>
      <c r="UVG1" s="87"/>
      <c r="UVH1" s="87"/>
      <c r="UVI1" s="87"/>
      <c r="UVJ1" s="87"/>
      <c r="UVK1" s="87"/>
      <c r="UVL1" s="87"/>
      <c r="UVM1" s="87"/>
      <c r="UVN1" s="87"/>
      <c r="UVO1" s="87"/>
      <c r="UVP1" s="87"/>
      <c r="UVQ1" s="87"/>
      <c r="UVR1" s="87"/>
      <c r="UVS1" s="87"/>
      <c r="UVT1" s="87"/>
      <c r="UVU1" s="87"/>
      <c r="UVV1" s="87"/>
      <c r="UVW1" s="87"/>
      <c r="UVX1" s="87"/>
      <c r="UVY1" s="87"/>
      <c r="UVZ1" s="87"/>
      <c r="UWA1" s="87"/>
      <c r="UWB1" s="87"/>
      <c r="UWC1" s="87"/>
      <c r="UWD1" s="87"/>
      <c r="UWE1" s="87"/>
      <c r="UWF1" s="87"/>
      <c r="UWG1" s="87"/>
      <c r="UWH1" s="87"/>
      <c r="UWI1" s="87"/>
      <c r="UWJ1" s="87"/>
      <c r="UWK1" s="87"/>
      <c r="UWL1" s="87"/>
      <c r="UWM1" s="87"/>
      <c r="UWN1" s="87"/>
      <c r="UWO1" s="87"/>
      <c r="UWP1" s="87"/>
      <c r="UWQ1" s="87"/>
      <c r="UWR1" s="87"/>
      <c r="UWS1" s="87"/>
      <c r="UWT1" s="87"/>
      <c r="UWU1" s="87"/>
      <c r="UWV1" s="87"/>
      <c r="UWW1" s="87"/>
      <c r="UWX1" s="87"/>
      <c r="UWY1" s="87"/>
      <c r="UWZ1" s="87"/>
      <c r="UXA1" s="87"/>
      <c r="UXB1" s="87"/>
      <c r="UXC1" s="87"/>
      <c r="UXD1" s="87"/>
      <c r="UXE1" s="87"/>
      <c r="UXF1" s="87"/>
      <c r="UXG1" s="87"/>
      <c r="UXH1" s="87"/>
      <c r="UXI1" s="87"/>
      <c r="UXJ1" s="87"/>
      <c r="UXK1" s="87"/>
      <c r="UXL1" s="87"/>
      <c r="UXM1" s="87"/>
      <c r="UXN1" s="87"/>
      <c r="UXO1" s="87"/>
      <c r="UXP1" s="87"/>
      <c r="UXQ1" s="87"/>
      <c r="UXR1" s="87"/>
      <c r="UXS1" s="87"/>
      <c r="UXT1" s="87"/>
      <c r="UXU1" s="87"/>
      <c r="UXV1" s="87"/>
      <c r="UXW1" s="87"/>
      <c r="UXX1" s="87"/>
      <c r="UXY1" s="87"/>
      <c r="UXZ1" s="87"/>
      <c r="UYA1" s="87"/>
      <c r="UYB1" s="87"/>
      <c r="UYC1" s="87"/>
      <c r="UYD1" s="87"/>
      <c r="UYE1" s="87"/>
      <c r="UYF1" s="87"/>
      <c r="UYG1" s="87"/>
      <c r="UYH1" s="87"/>
      <c r="UYI1" s="87"/>
      <c r="UYJ1" s="87"/>
      <c r="UYK1" s="87"/>
      <c r="UYL1" s="87"/>
      <c r="UYM1" s="87"/>
      <c r="UYN1" s="87"/>
      <c r="UYO1" s="87"/>
      <c r="UYP1" s="87"/>
      <c r="UYQ1" s="87"/>
      <c r="UYR1" s="87"/>
      <c r="UYS1" s="87"/>
      <c r="UYT1" s="87"/>
      <c r="UYU1" s="87"/>
      <c r="UYV1" s="87"/>
      <c r="UYW1" s="87"/>
      <c r="UYX1" s="87"/>
      <c r="UYY1" s="87"/>
      <c r="UYZ1" s="87"/>
      <c r="UZA1" s="87"/>
      <c r="UZB1" s="87"/>
      <c r="UZC1" s="87"/>
      <c r="UZD1" s="87"/>
      <c r="UZE1" s="87"/>
      <c r="UZF1" s="87"/>
      <c r="UZG1" s="87"/>
      <c r="UZH1" s="87"/>
      <c r="UZI1" s="87"/>
      <c r="UZJ1" s="87"/>
      <c r="UZK1" s="87"/>
      <c r="UZL1" s="87"/>
      <c r="UZM1" s="87"/>
      <c r="UZN1" s="87"/>
      <c r="UZO1" s="87"/>
      <c r="UZP1" s="87"/>
      <c r="UZQ1" s="87"/>
      <c r="UZR1" s="87"/>
      <c r="UZS1" s="87"/>
      <c r="UZT1" s="87"/>
      <c r="UZU1" s="87"/>
      <c r="UZV1" s="87"/>
      <c r="UZW1" s="87"/>
      <c r="UZX1" s="87"/>
      <c r="UZY1" s="87"/>
      <c r="UZZ1" s="87"/>
      <c r="VAA1" s="87"/>
      <c r="VAB1" s="87"/>
      <c r="VAC1" s="87"/>
      <c r="VAD1" s="87"/>
      <c r="VAE1" s="87"/>
      <c r="VAF1" s="87"/>
      <c r="VAG1" s="87"/>
      <c r="VAH1" s="87"/>
      <c r="VAI1" s="87"/>
      <c r="VAJ1" s="87"/>
      <c r="VAK1" s="87"/>
      <c r="VAL1" s="87"/>
      <c r="VAM1" s="87"/>
      <c r="VAN1" s="87"/>
      <c r="VAO1" s="87"/>
      <c r="VAP1" s="87"/>
      <c r="VAQ1" s="87"/>
      <c r="VAR1" s="87"/>
      <c r="VAS1" s="87"/>
      <c r="VAT1" s="87"/>
      <c r="VAU1" s="87"/>
      <c r="VAV1" s="87"/>
      <c r="VAW1" s="87"/>
      <c r="VAX1" s="87"/>
      <c r="VAY1" s="87"/>
      <c r="VAZ1" s="87"/>
      <c r="VBA1" s="87"/>
      <c r="VBB1" s="87"/>
      <c r="VBC1" s="87"/>
      <c r="VBD1" s="87"/>
      <c r="VBE1" s="87"/>
      <c r="VBF1" s="87"/>
      <c r="VBG1" s="87"/>
      <c r="VBH1" s="87"/>
      <c r="VBI1" s="87"/>
      <c r="VBJ1" s="87"/>
      <c r="VBK1" s="87"/>
      <c r="VBL1" s="87"/>
      <c r="VBM1" s="87"/>
      <c r="VBN1" s="87"/>
      <c r="VBO1" s="87"/>
      <c r="VBP1" s="87"/>
      <c r="VBQ1" s="87"/>
      <c r="VBR1" s="87"/>
      <c r="VBS1" s="87"/>
      <c r="VBT1" s="87"/>
      <c r="VBU1" s="87"/>
      <c r="VBV1" s="87"/>
      <c r="VBW1" s="87"/>
      <c r="VBX1" s="87"/>
      <c r="VBY1" s="87"/>
      <c r="VBZ1" s="87"/>
      <c r="VCA1" s="87"/>
      <c r="VCB1" s="87"/>
      <c r="VCC1" s="87"/>
      <c r="VCD1" s="87"/>
      <c r="VCE1" s="87"/>
      <c r="VCF1" s="87"/>
      <c r="VCG1" s="87"/>
      <c r="VCH1" s="87"/>
      <c r="VCI1" s="87"/>
      <c r="VCJ1" s="87"/>
      <c r="VCK1" s="87"/>
      <c r="VCL1" s="87"/>
      <c r="VCM1" s="87"/>
      <c r="VCN1" s="87"/>
      <c r="VCO1" s="87"/>
      <c r="VCP1" s="87"/>
      <c r="VCQ1" s="87"/>
      <c r="VCR1" s="87"/>
      <c r="VCS1" s="87"/>
      <c r="VCT1" s="87"/>
      <c r="VCU1" s="87"/>
      <c r="VCV1" s="87"/>
      <c r="VCW1" s="87"/>
      <c r="VCX1" s="87"/>
      <c r="VCY1" s="87"/>
      <c r="VCZ1" s="87"/>
      <c r="VDA1" s="87"/>
      <c r="VDB1" s="87"/>
      <c r="VDC1" s="87"/>
      <c r="VDD1" s="87"/>
      <c r="VDE1" s="87"/>
      <c r="VDF1" s="87"/>
      <c r="VDG1" s="87"/>
      <c r="VDH1" s="87"/>
      <c r="VDI1" s="87"/>
      <c r="VDJ1" s="87"/>
      <c r="VDK1" s="87"/>
      <c r="VDL1" s="87"/>
      <c r="VDM1" s="87"/>
      <c r="VDN1" s="87"/>
      <c r="VDO1" s="87"/>
      <c r="VDP1" s="87"/>
      <c r="VDQ1" s="87"/>
      <c r="VDR1" s="87"/>
      <c r="VDS1" s="87"/>
      <c r="VDT1" s="87"/>
      <c r="VDU1" s="87"/>
      <c r="VDV1" s="87"/>
      <c r="VDW1" s="87"/>
      <c r="VDX1" s="87"/>
      <c r="VDY1" s="87"/>
      <c r="VDZ1" s="87"/>
      <c r="VEA1" s="87"/>
      <c r="VEB1" s="87"/>
      <c r="VEC1" s="87"/>
      <c r="VED1" s="87"/>
      <c r="VEE1" s="87"/>
      <c r="VEF1" s="87"/>
      <c r="VEG1" s="87"/>
      <c r="VEH1" s="87"/>
      <c r="VEI1" s="87"/>
      <c r="VEJ1" s="87"/>
      <c r="VEK1" s="87"/>
      <c r="VEL1" s="87"/>
      <c r="VEM1" s="87"/>
      <c r="VEN1" s="87"/>
      <c r="VEO1" s="87"/>
      <c r="VEP1" s="87"/>
      <c r="VEQ1" s="87"/>
      <c r="VER1" s="87"/>
      <c r="VES1" s="87"/>
      <c r="VET1" s="87"/>
      <c r="VEU1" s="87"/>
      <c r="VEV1" s="87"/>
      <c r="VEW1" s="87"/>
      <c r="VEX1" s="87"/>
      <c r="VEY1" s="87"/>
      <c r="VEZ1" s="87"/>
      <c r="VFA1" s="87"/>
      <c r="VFB1" s="87"/>
      <c r="VFC1" s="87"/>
      <c r="VFD1" s="87"/>
      <c r="VFE1" s="87"/>
      <c r="VFF1" s="87"/>
      <c r="VFG1" s="87"/>
      <c r="VFH1" s="87"/>
      <c r="VFI1" s="87"/>
      <c r="VFJ1" s="87"/>
      <c r="VFK1" s="87"/>
      <c r="VFL1" s="87"/>
      <c r="VFM1" s="87"/>
      <c r="VFN1" s="87"/>
      <c r="VFO1" s="87"/>
      <c r="VFP1" s="87"/>
      <c r="VFQ1" s="87"/>
      <c r="VFR1" s="87"/>
      <c r="VFS1" s="87"/>
      <c r="VFT1" s="87"/>
      <c r="VFU1" s="87"/>
      <c r="VFV1" s="87"/>
      <c r="VFW1" s="87"/>
      <c r="VFX1" s="87"/>
      <c r="VFY1" s="87"/>
      <c r="VFZ1" s="87"/>
      <c r="VGA1" s="87"/>
      <c r="VGB1" s="87"/>
      <c r="VGC1" s="87"/>
      <c r="VGD1" s="87"/>
      <c r="VGE1" s="87"/>
      <c r="VGF1" s="87"/>
      <c r="VGG1" s="87"/>
      <c r="VGH1" s="87"/>
      <c r="VGI1" s="87"/>
      <c r="VGJ1" s="87"/>
      <c r="VGK1" s="87"/>
      <c r="VGL1" s="87"/>
      <c r="VGM1" s="87"/>
      <c r="VGN1" s="87"/>
      <c r="VGO1" s="87"/>
      <c r="VGP1" s="87"/>
      <c r="VGQ1" s="87"/>
      <c r="VGR1" s="87"/>
      <c r="VGS1" s="87"/>
      <c r="VGT1" s="87"/>
      <c r="VGU1" s="87"/>
      <c r="VGV1" s="87"/>
      <c r="VGW1" s="87"/>
      <c r="VGX1" s="87"/>
      <c r="VGY1" s="87"/>
      <c r="VGZ1" s="87"/>
      <c r="VHA1" s="87"/>
      <c r="VHB1" s="87"/>
      <c r="VHC1" s="87"/>
      <c r="VHD1" s="87"/>
      <c r="VHE1" s="87"/>
      <c r="VHF1" s="87"/>
      <c r="VHG1" s="87"/>
      <c r="VHH1" s="87"/>
      <c r="VHI1" s="87"/>
      <c r="VHJ1" s="87"/>
      <c r="VHK1" s="87"/>
      <c r="VHL1" s="87"/>
      <c r="VHM1" s="87"/>
      <c r="VHN1" s="87"/>
      <c r="VHO1" s="87"/>
      <c r="VHP1" s="87"/>
      <c r="VHQ1" s="87"/>
      <c r="VHR1" s="87"/>
      <c r="VHS1" s="87"/>
      <c r="VHT1" s="87"/>
      <c r="VHU1" s="87"/>
      <c r="VHV1" s="87"/>
      <c r="VHW1" s="87"/>
      <c r="VHX1" s="87"/>
      <c r="VHY1" s="87"/>
      <c r="VHZ1" s="87"/>
      <c r="VIA1" s="87"/>
      <c r="VIB1" s="87"/>
      <c r="VIC1" s="87"/>
      <c r="VID1" s="87"/>
      <c r="VIE1" s="87"/>
      <c r="VIF1" s="87"/>
      <c r="VIG1" s="87"/>
      <c r="VIH1" s="87"/>
      <c r="VII1" s="87"/>
      <c r="VIJ1" s="87"/>
      <c r="VIK1" s="87"/>
      <c r="VIL1" s="87"/>
      <c r="VIM1" s="87"/>
      <c r="VIN1" s="87"/>
      <c r="VIO1" s="87"/>
      <c r="VIP1" s="87"/>
      <c r="VIQ1" s="87"/>
      <c r="VIR1" s="87"/>
      <c r="VIS1" s="87"/>
      <c r="VIT1" s="87"/>
      <c r="VIU1" s="87"/>
      <c r="VIV1" s="87"/>
      <c r="VIW1" s="87"/>
      <c r="VIX1" s="87"/>
      <c r="VIY1" s="87"/>
      <c r="VIZ1" s="87"/>
      <c r="VJA1" s="87"/>
      <c r="VJB1" s="87"/>
      <c r="VJC1" s="87"/>
      <c r="VJD1" s="87"/>
      <c r="VJE1" s="87"/>
      <c r="VJF1" s="87"/>
      <c r="VJG1" s="87"/>
      <c r="VJH1" s="87"/>
      <c r="VJI1" s="87"/>
      <c r="VJJ1" s="87"/>
      <c r="VJK1" s="87"/>
      <c r="VJL1" s="87"/>
      <c r="VJM1" s="87"/>
      <c r="VJN1" s="87"/>
      <c r="VJO1" s="87"/>
      <c r="VJP1" s="87"/>
      <c r="VJQ1" s="87"/>
      <c r="VJR1" s="87"/>
      <c r="VJS1" s="87"/>
      <c r="VJT1" s="87"/>
      <c r="VJU1" s="87"/>
      <c r="VJV1" s="87"/>
      <c r="VJW1" s="87"/>
      <c r="VJX1" s="87"/>
      <c r="VJY1" s="87"/>
      <c r="VJZ1" s="87"/>
      <c r="VKA1" s="87"/>
      <c r="VKB1" s="87"/>
      <c r="VKC1" s="87"/>
      <c r="VKD1" s="87"/>
      <c r="VKE1" s="87"/>
      <c r="VKF1" s="87"/>
      <c r="VKG1" s="87"/>
      <c r="VKH1" s="87"/>
      <c r="VKI1" s="87"/>
      <c r="VKJ1" s="87"/>
      <c r="VKK1" s="87"/>
      <c r="VKL1" s="87"/>
      <c r="VKM1" s="87"/>
      <c r="VKN1" s="87"/>
      <c r="VKO1" s="87"/>
      <c r="VKP1" s="87"/>
      <c r="VKQ1" s="87"/>
      <c r="VKR1" s="87"/>
      <c r="VKS1" s="87"/>
      <c r="VKT1" s="87"/>
      <c r="VKU1" s="87"/>
      <c r="VKV1" s="87"/>
      <c r="VKW1" s="87"/>
      <c r="VKX1" s="87"/>
      <c r="VKY1" s="87"/>
      <c r="VKZ1" s="87"/>
      <c r="VLA1" s="87"/>
      <c r="VLB1" s="87"/>
      <c r="VLC1" s="87"/>
      <c r="VLD1" s="87"/>
      <c r="VLE1" s="87"/>
      <c r="VLF1" s="87"/>
      <c r="VLG1" s="87"/>
      <c r="VLH1" s="87"/>
      <c r="VLI1" s="87"/>
      <c r="VLJ1" s="87"/>
      <c r="VLK1" s="87"/>
      <c r="VLL1" s="87"/>
      <c r="VLM1" s="87"/>
      <c r="VLN1" s="87"/>
      <c r="VLO1" s="87"/>
      <c r="VLP1" s="87"/>
      <c r="VLQ1" s="87"/>
      <c r="VLR1" s="87"/>
      <c r="VLS1" s="87"/>
      <c r="VLT1" s="87"/>
      <c r="VLU1" s="87"/>
      <c r="VLV1" s="87"/>
      <c r="VLW1" s="87"/>
      <c r="VLX1" s="87"/>
      <c r="VLY1" s="87"/>
      <c r="VLZ1" s="87"/>
      <c r="VMA1" s="87"/>
      <c r="VMB1" s="87"/>
      <c r="VMC1" s="87"/>
      <c r="VMD1" s="87"/>
      <c r="VME1" s="87"/>
      <c r="VMF1" s="87"/>
      <c r="VMG1" s="87"/>
      <c r="VMH1" s="87"/>
      <c r="VMI1" s="87"/>
      <c r="VMJ1" s="87"/>
      <c r="VMK1" s="87"/>
      <c r="VML1" s="87"/>
      <c r="VMM1" s="87"/>
      <c r="VMN1" s="87"/>
      <c r="VMO1" s="87"/>
      <c r="VMP1" s="87"/>
      <c r="VMQ1" s="87"/>
      <c r="VMR1" s="87"/>
      <c r="VMS1" s="87"/>
      <c r="VMT1" s="87"/>
      <c r="VMU1" s="87"/>
      <c r="VMV1" s="87"/>
      <c r="VMW1" s="87"/>
      <c r="VMX1" s="87"/>
      <c r="VMY1" s="87"/>
      <c r="VMZ1" s="87"/>
      <c r="VNA1" s="87"/>
      <c r="VNB1" s="87"/>
      <c r="VNC1" s="87"/>
      <c r="VND1" s="87"/>
      <c r="VNE1" s="87"/>
      <c r="VNF1" s="87"/>
      <c r="VNG1" s="87"/>
      <c r="VNH1" s="87"/>
      <c r="VNI1" s="87"/>
      <c r="VNJ1" s="87"/>
      <c r="VNK1" s="87"/>
      <c r="VNL1" s="87"/>
      <c r="VNM1" s="87"/>
      <c r="VNN1" s="87"/>
      <c r="VNO1" s="87"/>
      <c r="VNP1" s="87"/>
      <c r="VNQ1" s="87"/>
      <c r="VNR1" s="87"/>
      <c r="VNS1" s="87"/>
      <c r="VNT1" s="87"/>
      <c r="VNU1" s="87"/>
      <c r="VNV1" s="87"/>
      <c r="VNW1" s="87"/>
      <c r="VNX1" s="87"/>
      <c r="VNY1" s="87"/>
      <c r="VNZ1" s="87"/>
      <c r="VOA1" s="87"/>
      <c r="VOB1" s="87"/>
      <c r="VOC1" s="87"/>
      <c r="VOD1" s="87"/>
      <c r="VOE1" s="87"/>
      <c r="VOF1" s="87"/>
      <c r="VOG1" s="87"/>
      <c r="VOH1" s="87"/>
      <c r="VOI1" s="87"/>
      <c r="VOJ1" s="87"/>
      <c r="VOK1" s="87"/>
      <c r="VOL1" s="87"/>
      <c r="VOM1" s="87"/>
      <c r="VON1" s="87"/>
      <c r="VOO1" s="87"/>
      <c r="VOP1" s="87"/>
      <c r="VOQ1" s="87"/>
      <c r="VOR1" s="87"/>
      <c r="VOS1" s="87"/>
      <c r="VOT1" s="87"/>
      <c r="VOU1" s="87"/>
      <c r="VOV1" s="87"/>
      <c r="VOW1" s="87"/>
      <c r="VOX1" s="87"/>
      <c r="VOY1" s="87"/>
      <c r="VOZ1" s="87"/>
      <c r="VPA1" s="87"/>
      <c r="VPB1" s="87"/>
      <c r="VPC1" s="87"/>
      <c r="VPD1" s="87"/>
      <c r="VPE1" s="87"/>
      <c r="VPF1" s="87"/>
      <c r="VPG1" s="87"/>
      <c r="VPH1" s="87"/>
      <c r="VPI1" s="87"/>
      <c r="VPJ1" s="87"/>
      <c r="VPK1" s="87"/>
      <c r="VPL1" s="87"/>
      <c r="VPM1" s="87"/>
      <c r="VPN1" s="87"/>
      <c r="VPO1" s="87"/>
      <c r="VPP1" s="87"/>
      <c r="VPQ1" s="87"/>
      <c r="VPR1" s="87"/>
      <c r="VPS1" s="87"/>
      <c r="VPT1" s="87"/>
      <c r="VPU1" s="87"/>
      <c r="VPV1" s="87"/>
      <c r="VPW1" s="87"/>
      <c r="VPX1" s="87"/>
      <c r="VPY1" s="87"/>
      <c r="VPZ1" s="87"/>
      <c r="VQA1" s="87"/>
      <c r="VQB1" s="87"/>
      <c r="VQC1" s="87"/>
      <c r="VQD1" s="87"/>
      <c r="VQE1" s="87"/>
      <c r="VQF1" s="87"/>
      <c r="VQG1" s="87"/>
      <c r="VQH1" s="87"/>
      <c r="VQI1" s="87"/>
      <c r="VQJ1" s="87"/>
      <c r="VQK1" s="87"/>
      <c r="VQL1" s="87"/>
      <c r="VQM1" s="87"/>
      <c r="VQN1" s="87"/>
      <c r="VQO1" s="87"/>
      <c r="VQP1" s="87"/>
      <c r="VQQ1" s="87"/>
      <c r="VQR1" s="87"/>
      <c r="VQS1" s="87"/>
      <c r="VQT1" s="87"/>
      <c r="VQU1" s="87"/>
      <c r="VQV1" s="87"/>
      <c r="VQW1" s="87"/>
      <c r="VQX1" s="87"/>
      <c r="VQY1" s="87"/>
      <c r="VQZ1" s="87"/>
      <c r="VRA1" s="87"/>
      <c r="VRB1" s="87"/>
      <c r="VRC1" s="87"/>
      <c r="VRD1" s="87"/>
      <c r="VRE1" s="87"/>
      <c r="VRF1" s="87"/>
      <c r="VRG1" s="87"/>
      <c r="VRH1" s="87"/>
      <c r="VRI1" s="87"/>
      <c r="VRJ1" s="87"/>
      <c r="VRK1" s="87"/>
      <c r="VRL1" s="87"/>
      <c r="VRM1" s="87"/>
      <c r="VRN1" s="87"/>
      <c r="VRO1" s="87"/>
      <c r="VRP1" s="87"/>
      <c r="VRQ1" s="87"/>
      <c r="VRR1" s="87"/>
      <c r="VRS1" s="87"/>
      <c r="VRT1" s="87"/>
      <c r="VRU1" s="87"/>
      <c r="VRV1" s="87"/>
      <c r="VRW1" s="87"/>
      <c r="VRX1" s="87"/>
      <c r="VRY1" s="87"/>
      <c r="VRZ1" s="87"/>
      <c r="VSA1" s="87"/>
      <c r="VSB1" s="87"/>
      <c r="VSC1" s="87"/>
      <c r="VSD1" s="87"/>
      <c r="VSE1" s="87"/>
      <c r="VSF1" s="87"/>
      <c r="VSG1" s="87"/>
      <c r="VSH1" s="87"/>
      <c r="VSI1" s="87"/>
      <c r="VSJ1" s="87"/>
      <c r="VSK1" s="87"/>
      <c r="VSL1" s="87"/>
      <c r="VSM1" s="87"/>
      <c r="VSN1" s="87"/>
      <c r="VSO1" s="87"/>
      <c r="VSP1" s="87"/>
      <c r="VSQ1" s="87"/>
      <c r="VSR1" s="87"/>
      <c r="VSS1" s="87"/>
      <c r="VST1" s="87"/>
      <c r="VSU1" s="87"/>
      <c r="VSV1" s="87"/>
      <c r="VSW1" s="87"/>
      <c r="VSX1" s="87"/>
      <c r="VSY1" s="87"/>
      <c r="VSZ1" s="87"/>
      <c r="VTA1" s="87"/>
      <c r="VTB1" s="87"/>
      <c r="VTC1" s="87"/>
      <c r="VTD1" s="87"/>
      <c r="VTE1" s="87"/>
      <c r="VTF1" s="87"/>
      <c r="VTG1" s="87"/>
      <c r="VTH1" s="87"/>
      <c r="VTI1" s="87"/>
      <c r="VTJ1" s="87"/>
      <c r="VTK1" s="87"/>
      <c r="VTL1" s="87"/>
      <c r="VTM1" s="87"/>
      <c r="VTN1" s="87"/>
      <c r="VTO1" s="87"/>
      <c r="VTP1" s="87"/>
      <c r="VTQ1" s="87"/>
      <c r="VTR1" s="87"/>
      <c r="VTS1" s="87"/>
      <c r="VTT1" s="87"/>
      <c r="VTU1" s="87"/>
      <c r="VTV1" s="87"/>
      <c r="VTW1" s="87"/>
      <c r="VTX1" s="87"/>
      <c r="VTY1" s="87"/>
      <c r="VTZ1" s="87"/>
      <c r="VUA1" s="87"/>
      <c r="VUB1" s="87"/>
      <c r="VUC1" s="87"/>
      <c r="VUD1" s="87"/>
      <c r="VUE1" s="87"/>
      <c r="VUF1" s="87"/>
      <c r="VUG1" s="87"/>
      <c r="VUH1" s="87"/>
      <c r="VUI1" s="87"/>
      <c r="VUJ1" s="87"/>
      <c r="VUK1" s="87"/>
      <c r="VUL1" s="87"/>
      <c r="VUM1" s="87"/>
      <c r="VUN1" s="87"/>
      <c r="VUO1" s="87"/>
      <c r="VUP1" s="87"/>
      <c r="VUQ1" s="87"/>
      <c r="VUR1" s="87"/>
      <c r="VUS1" s="87"/>
      <c r="VUT1" s="87"/>
      <c r="VUU1" s="87"/>
      <c r="VUV1" s="87"/>
      <c r="VUW1" s="87"/>
      <c r="VUX1" s="87"/>
      <c r="VUY1" s="87"/>
      <c r="VUZ1" s="87"/>
      <c r="VVA1" s="87"/>
      <c r="VVB1" s="87"/>
      <c r="VVC1" s="87"/>
      <c r="VVD1" s="87"/>
      <c r="VVE1" s="87"/>
      <c r="VVF1" s="87"/>
      <c r="VVG1" s="87"/>
      <c r="VVH1" s="87"/>
      <c r="VVI1" s="87"/>
      <c r="VVJ1" s="87"/>
      <c r="VVK1" s="87"/>
      <c r="VVL1" s="87"/>
      <c r="VVM1" s="87"/>
      <c r="VVN1" s="87"/>
      <c r="VVO1" s="87"/>
      <c r="VVP1" s="87"/>
      <c r="VVQ1" s="87"/>
      <c r="VVR1" s="87"/>
      <c r="VVS1" s="87"/>
      <c r="VVT1" s="87"/>
      <c r="VVU1" s="87"/>
      <c r="VVV1" s="87"/>
      <c r="VVW1" s="87"/>
      <c r="VVX1" s="87"/>
      <c r="VVY1" s="87"/>
      <c r="VVZ1" s="87"/>
      <c r="VWA1" s="87"/>
      <c r="VWB1" s="87"/>
      <c r="VWC1" s="87"/>
      <c r="VWD1" s="87"/>
      <c r="VWE1" s="87"/>
      <c r="VWF1" s="87"/>
      <c r="VWG1" s="87"/>
      <c r="VWH1" s="87"/>
      <c r="VWI1" s="87"/>
      <c r="VWJ1" s="87"/>
      <c r="VWK1" s="87"/>
      <c r="VWL1" s="87"/>
      <c r="VWM1" s="87"/>
      <c r="VWN1" s="87"/>
      <c r="VWO1" s="87"/>
      <c r="VWP1" s="87"/>
      <c r="VWQ1" s="87"/>
      <c r="VWR1" s="87"/>
      <c r="VWS1" s="87"/>
      <c r="VWT1" s="87"/>
      <c r="VWU1" s="87"/>
      <c r="VWV1" s="87"/>
      <c r="VWW1" s="87"/>
      <c r="VWX1" s="87"/>
      <c r="VWY1" s="87"/>
      <c r="VWZ1" s="87"/>
      <c r="VXA1" s="87"/>
      <c r="VXB1" s="87"/>
      <c r="VXC1" s="87"/>
      <c r="VXD1" s="87"/>
      <c r="VXE1" s="87"/>
      <c r="VXF1" s="87"/>
      <c r="VXG1" s="87"/>
      <c r="VXH1" s="87"/>
      <c r="VXI1" s="87"/>
      <c r="VXJ1" s="87"/>
      <c r="VXK1" s="87"/>
      <c r="VXL1" s="87"/>
      <c r="VXM1" s="87"/>
      <c r="VXN1" s="87"/>
      <c r="VXO1" s="87"/>
      <c r="VXP1" s="87"/>
      <c r="VXQ1" s="87"/>
      <c r="VXR1" s="87"/>
      <c r="VXS1" s="87"/>
      <c r="VXT1" s="87"/>
      <c r="VXU1" s="87"/>
      <c r="VXV1" s="87"/>
      <c r="VXW1" s="87"/>
      <c r="VXX1" s="87"/>
      <c r="VXY1" s="87"/>
      <c r="VXZ1" s="87"/>
      <c r="VYA1" s="87"/>
      <c r="VYB1" s="87"/>
      <c r="VYC1" s="87"/>
      <c r="VYD1" s="87"/>
      <c r="VYE1" s="87"/>
      <c r="VYF1" s="87"/>
      <c r="VYG1" s="87"/>
      <c r="VYH1" s="87"/>
      <c r="VYI1" s="87"/>
      <c r="VYJ1" s="87"/>
      <c r="VYK1" s="87"/>
      <c r="VYL1" s="87"/>
      <c r="VYM1" s="87"/>
      <c r="VYN1" s="87"/>
      <c r="VYO1" s="87"/>
      <c r="VYP1" s="87"/>
      <c r="VYQ1" s="87"/>
      <c r="VYR1" s="87"/>
      <c r="VYS1" s="87"/>
      <c r="VYT1" s="87"/>
      <c r="VYU1" s="87"/>
      <c r="VYV1" s="87"/>
      <c r="VYW1" s="87"/>
      <c r="VYX1" s="87"/>
      <c r="VYY1" s="87"/>
      <c r="VYZ1" s="87"/>
      <c r="VZA1" s="87"/>
      <c r="VZB1" s="87"/>
      <c r="VZC1" s="87"/>
      <c r="VZD1" s="87"/>
      <c r="VZE1" s="87"/>
      <c r="VZF1" s="87"/>
      <c r="VZG1" s="87"/>
      <c r="VZH1" s="87"/>
      <c r="VZI1" s="87"/>
      <c r="VZJ1" s="87"/>
      <c r="VZK1" s="87"/>
      <c r="VZL1" s="87"/>
      <c r="VZM1" s="87"/>
      <c r="VZN1" s="87"/>
      <c r="VZO1" s="87"/>
      <c r="VZP1" s="87"/>
      <c r="VZQ1" s="87"/>
      <c r="VZR1" s="87"/>
      <c r="VZS1" s="87"/>
      <c r="VZT1" s="87"/>
      <c r="VZU1" s="87"/>
      <c r="VZV1" s="87"/>
      <c r="VZW1" s="87"/>
      <c r="VZX1" s="87"/>
      <c r="VZY1" s="87"/>
      <c r="VZZ1" s="87"/>
      <c r="WAA1" s="87"/>
      <c r="WAB1" s="87"/>
      <c r="WAC1" s="87"/>
      <c r="WAD1" s="87"/>
      <c r="WAE1" s="87"/>
      <c r="WAF1" s="87"/>
      <c r="WAG1" s="87"/>
      <c r="WAH1" s="87"/>
      <c r="WAI1" s="87"/>
      <c r="WAJ1" s="87"/>
      <c r="WAK1" s="87"/>
      <c r="WAL1" s="87"/>
      <c r="WAM1" s="87"/>
      <c r="WAN1" s="87"/>
      <c r="WAO1" s="87"/>
      <c r="WAP1" s="87"/>
      <c r="WAQ1" s="87"/>
      <c r="WAR1" s="87"/>
      <c r="WAS1" s="87"/>
      <c r="WAT1" s="87"/>
      <c r="WAU1" s="87"/>
      <c r="WAV1" s="87"/>
      <c r="WAW1" s="87"/>
      <c r="WAX1" s="87"/>
      <c r="WAY1" s="87"/>
      <c r="WAZ1" s="87"/>
      <c r="WBA1" s="87"/>
      <c r="WBB1" s="87"/>
      <c r="WBC1" s="87"/>
      <c r="WBD1" s="87"/>
      <c r="WBE1" s="87"/>
      <c r="WBF1" s="87"/>
      <c r="WBG1" s="87"/>
      <c r="WBH1" s="87"/>
      <c r="WBI1" s="87"/>
      <c r="WBJ1" s="87"/>
      <c r="WBK1" s="87"/>
      <c r="WBL1" s="87"/>
      <c r="WBM1" s="87"/>
      <c r="WBN1" s="87"/>
      <c r="WBO1" s="87"/>
      <c r="WBP1" s="87"/>
      <c r="WBQ1" s="87"/>
      <c r="WBR1" s="87"/>
      <c r="WBS1" s="87"/>
      <c r="WBT1" s="87"/>
      <c r="WBU1" s="87"/>
      <c r="WBV1" s="87"/>
      <c r="WBW1" s="87"/>
      <c r="WBX1" s="87"/>
      <c r="WBY1" s="87"/>
      <c r="WBZ1" s="87"/>
      <c r="WCA1" s="87"/>
      <c r="WCB1" s="87"/>
      <c r="WCC1" s="87"/>
      <c r="WCD1" s="87"/>
      <c r="WCE1" s="87"/>
      <c r="WCF1" s="87"/>
      <c r="WCG1" s="87"/>
      <c r="WCH1" s="87"/>
      <c r="WCI1" s="87"/>
      <c r="WCJ1" s="87"/>
      <c r="WCK1" s="87"/>
      <c r="WCL1" s="87"/>
      <c r="WCM1" s="87"/>
      <c r="WCN1" s="87"/>
      <c r="WCO1" s="87"/>
      <c r="WCP1" s="87"/>
      <c r="WCQ1" s="87"/>
      <c r="WCR1" s="87"/>
      <c r="WCS1" s="87"/>
      <c r="WCT1" s="87"/>
      <c r="WCU1" s="87"/>
      <c r="WCV1" s="87"/>
      <c r="WCW1" s="87"/>
      <c r="WCX1" s="87"/>
      <c r="WCY1" s="87"/>
      <c r="WCZ1" s="87"/>
      <c r="WDA1" s="87"/>
      <c r="WDB1" s="87"/>
      <c r="WDC1" s="87"/>
      <c r="WDD1" s="87"/>
      <c r="WDE1" s="87"/>
      <c r="WDF1" s="87"/>
      <c r="WDG1" s="87"/>
      <c r="WDH1" s="87"/>
      <c r="WDI1" s="87"/>
      <c r="WDJ1" s="87"/>
      <c r="WDK1" s="87"/>
      <c r="WDL1" s="87"/>
      <c r="WDM1" s="87"/>
      <c r="WDN1" s="87"/>
      <c r="WDO1" s="87"/>
      <c r="WDP1" s="87"/>
      <c r="WDQ1" s="87"/>
      <c r="WDR1" s="87"/>
      <c r="WDS1" s="87"/>
      <c r="WDT1" s="87"/>
      <c r="WDU1" s="87"/>
      <c r="WDV1" s="87"/>
      <c r="WDW1" s="87"/>
      <c r="WDX1" s="87"/>
      <c r="WDY1" s="87"/>
      <c r="WDZ1" s="87"/>
      <c r="WEA1" s="87"/>
      <c r="WEB1" s="87"/>
      <c r="WEC1" s="87"/>
      <c r="WED1" s="87"/>
      <c r="WEE1" s="87"/>
      <c r="WEF1" s="87"/>
      <c r="WEG1" s="87"/>
      <c r="WEH1" s="87"/>
      <c r="WEI1" s="87"/>
      <c r="WEJ1" s="87"/>
      <c r="WEK1" s="87"/>
      <c r="WEL1" s="87"/>
      <c r="WEM1" s="87"/>
      <c r="WEN1" s="87"/>
      <c r="WEO1" s="87"/>
      <c r="WEP1" s="87"/>
      <c r="WEQ1" s="87"/>
      <c r="WER1" s="87"/>
      <c r="WES1" s="87"/>
      <c r="WET1" s="87"/>
      <c r="WEU1" s="87"/>
      <c r="WEV1" s="87"/>
      <c r="WEW1" s="87"/>
      <c r="WEX1" s="87"/>
      <c r="WEY1" s="87"/>
      <c r="WEZ1" s="87"/>
      <c r="WFA1" s="87"/>
      <c r="WFB1" s="87"/>
      <c r="WFC1" s="87"/>
      <c r="WFD1" s="87"/>
      <c r="WFE1" s="87"/>
      <c r="WFF1" s="87"/>
      <c r="WFG1" s="87"/>
      <c r="WFH1" s="87"/>
      <c r="WFI1" s="87"/>
      <c r="WFJ1" s="87"/>
      <c r="WFK1" s="87"/>
      <c r="WFL1" s="87"/>
      <c r="WFM1" s="87"/>
      <c r="WFN1" s="87"/>
      <c r="WFO1" s="87"/>
      <c r="WFP1" s="87"/>
      <c r="WFQ1" s="87"/>
      <c r="WFR1" s="87"/>
      <c r="WFS1" s="87"/>
      <c r="WFT1" s="87"/>
      <c r="WFU1" s="87"/>
      <c r="WFV1" s="87"/>
      <c r="WFW1" s="87"/>
      <c r="WFX1" s="87"/>
      <c r="WFY1" s="87"/>
      <c r="WFZ1" s="87"/>
      <c r="WGA1" s="87"/>
      <c r="WGB1" s="87"/>
      <c r="WGC1" s="87"/>
      <c r="WGD1" s="87"/>
      <c r="WGE1" s="87"/>
      <c r="WGF1" s="87"/>
      <c r="WGG1" s="87"/>
      <c r="WGH1" s="87"/>
      <c r="WGI1" s="87"/>
      <c r="WGJ1" s="87"/>
      <c r="WGK1" s="87"/>
      <c r="WGL1" s="87"/>
      <c r="WGM1" s="87"/>
      <c r="WGN1" s="87"/>
      <c r="WGO1" s="87"/>
      <c r="WGP1" s="87"/>
      <c r="WGQ1" s="87"/>
      <c r="WGR1" s="87"/>
      <c r="WGS1" s="87"/>
      <c r="WGT1" s="87"/>
      <c r="WGU1" s="87"/>
      <c r="WGV1" s="87"/>
      <c r="WGW1" s="87"/>
      <c r="WGX1" s="87"/>
      <c r="WGY1" s="87"/>
      <c r="WGZ1" s="87"/>
      <c r="WHA1" s="87"/>
      <c r="WHB1" s="87"/>
      <c r="WHC1" s="87"/>
      <c r="WHD1" s="87"/>
      <c r="WHE1" s="87"/>
      <c r="WHF1" s="87"/>
      <c r="WHG1" s="87"/>
      <c r="WHH1" s="87"/>
      <c r="WHI1" s="87"/>
      <c r="WHJ1" s="87"/>
      <c r="WHK1" s="87"/>
      <c r="WHL1" s="87"/>
      <c r="WHM1" s="87"/>
      <c r="WHN1" s="87"/>
      <c r="WHO1" s="87"/>
      <c r="WHP1" s="87"/>
      <c r="WHQ1" s="87"/>
      <c r="WHR1" s="87"/>
      <c r="WHS1" s="87"/>
      <c r="WHT1" s="87"/>
      <c r="WHU1" s="87"/>
      <c r="WHV1" s="87"/>
      <c r="WHW1" s="87"/>
      <c r="WHX1" s="87"/>
      <c r="WHY1" s="87"/>
      <c r="WHZ1" s="87"/>
      <c r="WIA1" s="87"/>
      <c r="WIB1" s="87"/>
      <c r="WIC1" s="87"/>
      <c r="WID1" s="87"/>
      <c r="WIE1" s="87"/>
      <c r="WIF1" s="87"/>
      <c r="WIG1" s="87"/>
      <c r="WIH1" s="87"/>
      <c r="WII1" s="87"/>
      <c r="WIJ1" s="87"/>
      <c r="WIK1" s="87"/>
      <c r="WIL1" s="87"/>
      <c r="WIM1" s="87"/>
      <c r="WIN1" s="87"/>
      <c r="WIO1" s="87"/>
      <c r="WIP1" s="87"/>
      <c r="WIQ1" s="87"/>
      <c r="WIR1" s="87"/>
      <c r="WIS1" s="87"/>
      <c r="WIT1" s="87"/>
      <c r="WIU1" s="87"/>
      <c r="WIV1" s="87"/>
      <c r="WIW1" s="87"/>
      <c r="WIX1" s="87"/>
      <c r="WIY1" s="87"/>
      <c r="WIZ1" s="87"/>
      <c r="WJA1" s="87"/>
      <c r="WJB1" s="87"/>
      <c r="WJC1" s="87"/>
      <c r="WJD1" s="87"/>
      <c r="WJE1" s="87"/>
      <c r="WJF1" s="87"/>
      <c r="WJG1" s="87"/>
      <c r="WJH1" s="87"/>
      <c r="WJI1" s="87"/>
      <c r="WJJ1" s="87"/>
      <c r="WJK1" s="87"/>
      <c r="WJL1" s="87"/>
      <c r="WJM1" s="87"/>
      <c r="WJN1" s="87"/>
      <c r="WJO1" s="87"/>
      <c r="WJP1" s="87"/>
      <c r="WJQ1" s="87"/>
      <c r="WJR1" s="87"/>
      <c r="WJS1" s="87"/>
      <c r="WJT1" s="87"/>
      <c r="WJU1" s="87"/>
      <c r="WJV1" s="87"/>
      <c r="WJW1" s="87"/>
      <c r="WJX1" s="87"/>
      <c r="WJY1" s="87"/>
      <c r="WJZ1" s="87"/>
      <c r="WKA1" s="87"/>
      <c r="WKB1" s="87"/>
      <c r="WKC1" s="87"/>
      <c r="WKD1" s="87"/>
      <c r="WKE1" s="87"/>
      <c r="WKF1" s="87"/>
      <c r="WKG1" s="87"/>
      <c r="WKH1" s="87"/>
      <c r="WKI1" s="87"/>
      <c r="WKJ1" s="87"/>
      <c r="WKK1" s="87"/>
      <c r="WKL1" s="87"/>
      <c r="WKM1" s="87"/>
      <c r="WKN1" s="87"/>
      <c r="WKO1" s="87"/>
      <c r="WKP1" s="87"/>
      <c r="WKQ1" s="87"/>
      <c r="WKR1" s="87"/>
      <c r="WKS1" s="87"/>
      <c r="WKT1" s="87"/>
      <c r="WKU1" s="87"/>
      <c r="WKV1" s="87"/>
      <c r="WKW1" s="87"/>
      <c r="WKX1" s="87"/>
      <c r="WKY1" s="87"/>
      <c r="WKZ1" s="87"/>
      <c r="WLA1" s="87"/>
      <c r="WLB1" s="87"/>
      <c r="WLC1" s="87"/>
      <c r="WLD1" s="87"/>
      <c r="WLE1" s="87"/>
      <c r="WLF1" s="87"/>
      <c r="WLG1" s="87"/>
      <c r="WLH1" s="87"/>
      <c r="WLI1" s="87"/>
      <c r="WLJ1" s="87"/>
      <c r="WLK1" s="87"/>
      <c r="WLL1" s="87"/>
      <c r="WLM1" s="87"/>
      <c r="WLN1" s="87"/>
      <c r="WLO1" s="87"/>
      <c r="WLP1" s="87"/>
      <c r="WLQ1" s="87"/>
      <c r="WLR1" s="87"/>
      <c r="WLS1" s="87"/>
      <c r="WLT1" s="87"/>
      <c r="WLU1" s="87"/>
      <c r="WLV1" s="87"/>
      <c r="WLW1" s="87"/>
      <c r="WLX1" s="87"/>
      <c r="WLY1" s="87"/>
      <c r="WLZ1" s="87"/>
      <c r="WMA1" s="87"/>
      <c r="WMB1" s="87"/>
      <c r="WMC1" s="87"/>
      <c r="WMD1" s="87"/>
      <c r="WME1" s="87"/>
      <c r="WMF1" s="87"/>
      <c r="WMG1" s="87"/>
      <c r="WMH1" s="87"/>
      <c r="WMI1" s="87"/>
      <c r="WMJ1" s="87"/>
      <c r="WMK1" s="87"/>
      <c r="WML1" s="87"/>
      <c r="WMM1" s="87"/>
      <c r="WMN1" s="87"/>
      <c r="WMO1" s="87"/>
      <c r="WMP1" s="87"/>
      <c r="WMQ1" s="87"/>
      <c r="WMR1" s="87"/>
      <c r="WMS1" s="87"/>
      <c r="WMT1" s="87"/>
      <c r="WMU1" s="87"/>
      <c r="WMV1" s="87"/>
      <c r="WMW1" s="87"/>
      <c r="WMX1" s="87"/>
      <c r="WMY1" s="87"/>
      <c r="WMZ1" s="87"/>
      <c r="WNA1" s="87"/>
      <c r="WNB1" s="87"/>
      <c r="WNC1" s="87"/>
      <c r="WND1" s="87"/>
      <c r="WNE1" s="87"/>
      <c r="WNF1" s="87"/>
      <c r="WNG1" s="87"/>
      <c r="WNH1" s="87"/>
      <c r="WNI1" s="87"/>
      <c r="WNJ1" s="87"/>
      <c r="WNK1" s="87"/>
      <c r="WNL1" s="87"/>
      <c r="WNM1" s="87"/>
      <c r="WNN1" s="87"/>
      <c r="WNO1" s="87"/>
      <c r="WNP1" s="87"/>
      <c r="WNQ1" s="87"/>
      <c r="WNR1" s="87"/>
      <c r="WNS1" s="87"/>
      <c r="WNT1" s="87"/>
      <c r="WNU1" s="87"/>
      <c r="WNV1" s="87"/>
      <c r="WNW1" s="87"/>
      <c r="WNX1" s="87"/>
      <c r="WNY1" s="87"/>
      <c r="WNZ1" s="87"/>
      <c r="WOA1" s="87"/>
      <c r="WOB1" s="87"/>
      <c r="WOC1" s="87"/>
      <c r="WOD1" s="87"/>
      <c r="WOE1" s="87"/>
      <c r="WOF1" s="87"/>
      <c r="WOG1" s="87"/>
      <c r="WOH1" s="87"/>
      <c r="WOI1" s="87"/>
      <c r="WOJ1" s="87"/>
      <c r="WOK1" s="87"/>
      <c r="WOL1" s="87"/>
      <c r="WOM1" s="87"/>
      <c r="WON1" s="87"/>
      <c r="WOO1" s="87"/>
      <c r="WOP1" s="87"/>
      <c r="WOQ1" s="87"/>
      <c r="WOR1" s="87"/>
      <c r="WOS1" s="87"/>
      <c r="WOT1" s="87"/>
      <c r="WOU1" s="87"/>
      <c r="WOV1" s="87"/>
      <c r="WOW1" s="87"/>
      <c r="WOX1" s="87"/>
      <c r="WOY1" s="87"/>
      <c r="WOZ1" s="87"/>
      <c r="WPA1" s="87"/>
      <c r="WPB1" s="87"/>
      <c r="WPC1" s="87"/>
      <c r="WPD1" s="87"/>
      <c r="WPE1" s="87"/>
      <c r="WPF1" s="87"/>
      <c r="WPG1" s="87"/>
      <c r="WPH1" s="87"/>
      <c r="WPI1" s="87"/>
      <c r="WPJ1" s="87"/>
      <c r="WPK1" s="87"/>
      <c r="WPL1" s="87"/>
      <c r="WPM1" s="87"/>
      <c r="WPN1" s="87"/>
      <c r="WPO1" s="87"/>
      <c r="WPP1" s="87"/>
      <c r="WPQ1" s="87"/>
      <c r="WPR1" s="87"/>
      <c r="WPS1" s="87"/>
      <c r="WPT1" s="87"/>
      <c r="WPU1" s="87"/>
      <c r="WPV1" s="87"/>
      <c r="WPW1" s="87"/>
      <c r="WPX1" s="87"/>
      <c r="WPY1" s="87"/>
      <c r="WPZ1" s="87"/>
      <c r="WQA1" s="87"/>
      <c r="WQB1" s="87"/>
      <c r="WQC1" s="87"/>
      <c r="WQD1" s="87"/>
      <c r="WQE1" s="87"/>
      <c r="WQF1" s="87"/>
      <c r="WQG1" s="87"/>
      <c r="WQH1" s="87"/>
      <c r="WQI1" s="87"/>
      <c r="WQJ1" s="87"/>
      <c r="WQK1" s="87"/>
      <c r="WQL1" s="87"/>
      <c r="WQM1" s="87"/>
      <c r="WQN1" s="87"/>
      <c r="WQO1" s="87"/>
      <c r="WQP1" s="87"/>
      <c r="WQQ1" s="87"/>
      <c r="WQR1" s="87"/>
      <c r="WQS1" s="87"/>
      <c r="WQT1" s="87"/>
      <c r="WQU1" s="87"/>
      <c r="WQV1" s="87"/>
      <c r="WQW1" s="87"/>
      <c r="WQX1" s="87"/>
      <c r="WQY1" s="87"/>
      <c r="WQZ1" s="87"/>
      <c r="WRA1" s="87"/>
      <c r="WRB1" s="87"/>
      <c r="WRC1" s="87"/>
      <c r="WRD1" s="87"/>
      <c r="WRE1" s="87"/>
      <c r="WRF1" s="87"/>
      <c r="WRG1" s="87"/>
      <c r="WRH1" s="87"/>
      <c r="WRI1" s="87"/>
      <c r="WRJ1" s="87"/>
      <c r="WRK1" s="87"/>
      <c r="WRL1" s="87"/>
      <c r="WRM1" s="87"/>
      <c r="WRN1" s="87"/>
      <c r="WRO1" s="87"/>
      <c r="WRP1" s="87"/>
      <c r="WRQ1" s="87"/>
      <c r="WRR1" s="87"/>
      <c r="WRS1" s="87"/>
      <c r="WRT1" s="87"/>
      <c r="WRU1" s="87"/>
      <c r="WRV1" s="87"/>
      <c r="WRW1" s="87"/>
      <c r="WRX1" s="87"/>
      <c r="WRY1" s="87"/>
      <c r="WRZ1" s="87"/>
      <c r="WSA1" s="87"/>
      <c r="WSB1" s="87"/>
      <c r="WSC1" s="87"/>
      <c r="WSD1" s="87"/>
      <c r="WSE1" s="87"/>
      <c r="WSF1" s="87"/>
      <c r="WSG1" s="87"/>
      <c r="WSH1" s="87"/>
      <c r="WSI1" s="87"/>
      <c r="WSJ1" s="87"/>
      <c r="WSK1" s="87"/>
      <c r="WSL1" s="87"/>
      <c r="WSM1" s="87"/>
      <c r="WSN1" s="87"/>
      <c r="WSO1" s="87"/>
      <c r="WSP1" s="87"/>
      <c r="WSQ1" s="87"/>
      <c r="WSR1" s="87"/>
      <c r="WSS1" s="87"/>
      <c r="WST1" s="87"/>
      <c r="WSU1" s="87"/>
      <c r="WSV1" s="87"/>
      <c r="WSW1" s="87"/>
      <c r="WSX1" s="87"/>
      <c r="WSY1" s="87"/>
      <c r="WSZ1" s="87"/>
      <c r="WTA1" s="87"/>
      <c r="WTB1" s="87"/>
      <c r="WTC1" s="87"/>
      <c r="WTD1" s="87"/>
      <c r="WTE1" s="87"/>
      <c r="WTF1" s="87"/>
      <c r="WTG1" s="87"/>
      <c r="WTH1" s="87"/>
      <c r="WTI1" s="87"/>
      <c r="WTJ1" s="87"/>
      <c r="WTK1" s="87"/>
      <c r="WTL1" s="87"/>
      <c r="WTM1" s="87"/>
      <c r="WTN1" s="87"/>
      <c r="WTO1" s="87"/>
      <c r="WTP1" s="87"/>
      <c r="WTQ1" s="87"/>
      <c r="WTR1" s="87"/>
      <c r="WTS1" s="87"/>
      <c r="WTT1" s="87"/>
      <c r="WTU1" s="87"/>
      <c r="WTV1" s="87"/>
      <c r="WTW1" s="87"/>
      <c r="WTX1" s="87"/>
      <c r="WTY1" s="87"/>
      <c r="WTZ1" s="87"/>
      <c r="WUA1" s="87"/>
      <c r="WUB1" s="87"/>
      <c r="WUC1" s="87"/>
      <c r="WUD1" s="87"/>
      <c r="WUE1" s="87"/>
      <c r="WUF1" s="87"/>
      <c r="WUG1" s="87"/>
      <c r="WUH1" s="87"/>
      <c r="WUI1" s="87"/>
      <c r="WUJ1" s="87"/>
      <c r="WUK1" s="87"/>
      <c r="WUL1" s="87"/>
      <c r="WUM1" s="87"/>
      <c r="WUN1" s="87"/>
      <c r="WUO1" s="87"/>
      <c r="WUP1" s="87"/>
      <c r="WUQ1" s="87"/>
      <c r="WUR1" s="87"/>
      <c r="WUS1" s="87"/>
      <c r="WUT1" s="87"/>
      <c r="WUU1" s="87"/>
      <c r="WUV1" s="87"/>
      <c r="WUW1" s="87"/>
      <c r="WUX1" s="87"/>
      <c r="WUY1" s="87"/>
      <c r="WUZ1" s="87"/>
      <c r="WVA1" s="87"/>
      <c r="WVB1" s="87"/>
      <c r="WVC1" s="87"/>
      <c r="WVD1" s="87"/>
      <c r="WVE1" s="87"/>
      <c r="WVF1" s="87"/>
      <c r="WVG1" s="87"/>
      <c r="WVH1" s="87"/>
      <c r="WVI1" s="87"/>
      <c r="WVJ1" s="87"/>
      <c r="WVK1" s="87"/>
      <c r="WVL1" s="87"/>
      <c r="WVM1" s="87"/>
      <c r="WVN1" s="87"/>
      <c r="WVO1" s="87"/>
      <c r="WVP1" s="87"/>
      <c r="WVQ1" s="87"/>
      <c r="WVR1" s="87"/>
      <c r="WVS1" s="87"/>
      <c r="WVT1" s="87"/>
      <c r="WVU1" s="87"/>
      <c r="WVV1" s="87"/>
      <c r="WVW1" s="87"/>
      <c r="WVX1" s="87"/>
      <c r="WVY1" s="87"/>
      <c r="WVZ1" s="87"/>
      <c r="WWA1" s="87"/>
      <c r="WWB1" s="87"/>
      <c r="WWC1" s="87"/>
      <c r="WWD1" s="87"/>
      <c r="WWE1" s="87"/>
      <c r="WWF1" s="87"/>
      <c r="WWG1" s="87"/>
      <c r="WWH1" s="87"/>
      <c r="WWI1" s="87"/>
      <c r="WWJ1" s="87"/>
      <c r="WWK1" s="87"/>
      <c r="WWL1" s="87"/>
      <c r="WWM1" s="87"/>
      <c r="WWN1" s="87"/>
      <c r="WWO1" s="87"/>
      <c r="WWP1" s="87"/>
      <c r="WWQ1" s="87"/>
      <c r="WWR1" s="87"/>
      <c r="WWS1" s="87"/>
      <c r="WWT1" s="87"/>
      <c r="WWU1" s="87"/>
      <c r="WWV1" s="87"/>
      <c r="WWW1" s="87"/>
      <c r="WWX1" s="87"/>
      <c r="WWY1" s="87"/>
      <c r="WWZ1" s="87"/>
      <c r="WXA1" s="87"/>
      <c r="WXB1" s="87"/>
      <c r="WXC1" s="87"/>
      <c r="WXD1" s="87"/>
      <c r="WXE1" s="87"/>
      <c r="WXF1" s="87"/>
      <c r="WXG1" s="87"/>
      <c r="WXH1" s="87"/>
      <c r="WXI1" s="87"/>
      <c r="WXJ1" s="87"/>
      <c r="WXK1" s="87"/>
      <c r="WXL1" s="87"/>
      <c r="WXM1" s="87"/>
      <c r="WXN1" s="87"/>
      <c r="WXO1" s="87"/>
      <c r="WXP1" s="87"/>
      <c r="WXQ1" s="87"/>
      <c r="WXR1" s="87"/>
      <c r="WXS1" s="87"/>
      <c r="WXT1" s="87"/>
      <c r="WXU1" s="87"/>
      <c r="WXV1" s="87"/>
      <c r="WXW1" s="87"/>
      <c r="WXX1" s="87"/>
      <c r="WXY1" s="87"/>
      <c r="WXZ1" s="87"/>
      <c r="WYA1" s="87"/>
      <c r="WYB1" s="87"/>
      <c r="WYC1" s="87"/>
      <c r="WYD1" s="87"/>
      <c r="WYE1" s="87"/>
      <c r="WYF1" s="87"/>
      <c r="WYG1" s="87"/>
      <c r="WYH1" s="87"/>
      <c r="WYI1" s="87"/>
      <c r="WYJ1" s="87"/>
      <c r="WYK1" s="87"/>
      <c r="WYL1" s="87"/>
      <c r="WYM1" s="87"/>
      <c r="WYN1" s="87"/>
      <c r="WYO1" s="87"/>
      <c r="WYP1" s="87"/>
      <c r="WYQ1" s="87"/>
      <c r="WYR1" s="87"/>
      <c r="WYS1" s="87"/>
      <c r="WYT1" s="87"/>
      <c r="WYU1" s="87"/>
      <c r="WYV1" s="87"/>
      <c r="WYW1" s="87"/>
      <c r="WYX1" s="87"/>
      <c r="WYY1" s="87"/>
      <c r="WYZ1" s="87"/>
      <c r="WZA1" s="87"/>
      <c r="WZB1" s="87"/>
      <c r="WZC1" s="87"/>
      <c r="WZD1" s="87"/>
      <c r="WZE1" s="87"/>
      <c r="WZF1" s="87"/>
      <c r="WZG1" s="87"/>
      <c r="WZH1" s="87"/>
      <c r="WZI1" s="87"/>
      <c r="WZJ1" s="87"/>
      <c r="WZK1" s="87"/>
      <c r="WZL1" s="87"/>
      <c r="WZM1" s="87"/>
      <c r="WZN1" s="87"/>
      <c r="WZO1" s="87"/>
      <c r="WZP1" s="87"/>
      <c r="WZQ1" s="87"/>
      <c r="WZR1" s="87"/>
      <c r="WZS1" s="87"/>
      <c r="WZT1" s="87"/>
      <c r="WZU1" s="87"/>
      <c r="WZV1" s="87"/>
      <c r="WZW1" s="87"/>
      <c r="WZX1" s="87"/>
      <c r="WZY1" s="87"/>
      <c r="WZZ1" s="87"/>
      <c r="XAA1" s="87"/>
      <c r="XAB1" s="87"/>
      <c r="XAC1" s="87"/>
      <c r="XAD1" s="87"/>
      <c r="XAE1" s="87"/>
      <c r="XAF1" s="87"/>
      <c r="XAG1" s="87"/>
      <c r="XAH1" s="87"/>
      <c r="XAI1" s="87"/>
      <c r="XAJ1" s="87"/>
      <c r="XAK1" s="87"/>
      <c r="XAL1" s="87"/>
      <c r="XAM1" s="87"/>
      <c r="XAN1" s="87"/>
      <c r="XAO1" s="87"/>
      <c r="XAP1" s="87"/>
      <c r="XAQ1" s="87"/>
      <c r="XAR1" s="87"/>
      <c r="XAS1" s="87"/>
      <c r="XAT1" s="87"/>
      <c r="XAU1" s="87"/>
      <c r="XAV1" s="87"/>
      <c r="XAW1" s="87"/>
      <c r="XAX1" s="87"/>
      <c r="XAY1" s="87"/>
      <c r="XAZ1" s="87"/>
      <c r="XBA1" s="87"/>
      <c r="XBB1" s="87"/>
      <c r="XBC1" s="87"/>
      <c r="XBD1" s="87"/>
      <c r="XBE1" s="87"/>
      <c r="XBF1" s="87"/>
      <c r="XBG1" s="87"/>
      <c r="XBH1" s="87"/>
      <c r="XBI1" s="87"/>
      <c r="XBJ1" s="87"/>
      <c r="XBK1" s="87"/>
      <c r="XBL1" s="87"/>
      <c r="XBM1" s="87"/>
      <c r="XBN1" s="87"/>
      <c r="XBO1" s="87"/>
      <c r="XBP1" s="87"/>
      <c r="XBQ1" s="87"/>
      <c r="XBR1" s="87"/>
      <c r="XBS1" s="87"/>
      <c r="XBT1" s="87"/>
      <c r="XBU1" s="87"/>
      <c r="XBV1" s="87"/>
      <c r="XBW1" s="87"/>
      <c r="XBX1" s="87"/>
      <c r="XBY1" s="87"/>
      <c r="XBZ1" s="87"/>
      <c r="XCA1" s="87"/>
      <c r="XCB1" s="87"/>
      <c r="XCC1" s="87"/>
      <c r="XCD1" s="87"/>
      <c r="XCE1" s="87"/>
      <c r="XCF1" s="87"/>
      <c r="XCG1" s="87"/>
      <c r="XCH1" s="87"/>
      <c r="XCI1" s="87"/>
      <c r="XCJ1" s="87"/>
      <c r="XCK1" s="87"/>
      <c r="XCL1" s="87"/>
      <c r="XCM1" s="87"/>
      <c r="XCN1" s="87"/>
      <c r="XCO1" s="87"/>
      <c r="XCP1" s="87"/>
      <c r="XCQ1" s="87"/>
      <c r="XCR1" s="87"/>
      <c r="XCS1" s="87"/>
      <c r="XCT1" s="87"/>
      <c r="XCU1" s="87"/>
      <c r="XCV1" s="87"/>
      <c r="XCW1" s="87"/>
      <c r="XCX1" s="87"/>
      <c r="XCY1" s="87"/>
      <c r="XCZ1" s="87"/>
      <c r="XDA1" s="87"/>
      <c r="XDB1" s="87"/>
      <c r="XDC1" s="87"/>
      <c r="XDD1" s="87"/>
      <c r="XDE1" s="87"/>
      <c r="XDF1" s="87"/>
      <c r="XDG1" s="87"/>
      <c r="XDH1" s="87"/>
      <c r="XDI1" s="87"/>
      <c r="XDJ1" s="87"/>
      <c r="XDK1" s="87"/>
      <c r="XDL1" s="87"/>
      <c r="XDM1" s="87"/>
      <c r="XDN1" s="87"/>
      <c r="XDO1" s="87"/>
      <c r="XDP1" s="87"/>
      <c r="XDQ1" s="87"/>
      <c r="XDR1" s="87"/>
      <c r="XDS1" s="87"/>
      <c r="XDT1" s="87"/>
      <c r="XDU1" s="87"/>
      <c r="XDV1" s="87"/>
      <c r="XDW1" s="87"/>
      <c r="XDX1" s="87"/>
      <c r="XDY1" s="87"/>
      <c r="XDZ1" s="87"/>
      <c r="XEA1" s="87"/>
      <c r="XEB1" s="87"/>
      <c r="XEC1" s="87"/>
      <c r="XED1" s="87"/>
      <c r="XEE1" s="87"/>
      <c r="XEF1" s="87"/>
      <c r="XEG1" s="87"/>
      <c r="XEH1" s="87"/>
      <c r="XEI1" s="87"/>
      <c r="XEJ1" s="87"/>
      <c r="XEK1" s="87"/>
    </row>
    <row r="2" spans="1:16365" x14ac:dyDescent="0.25">
      <c r="A2" t="str">
        <f>I2&amp;"-"&amp;J2</f>
        <v>2021-1</v>
      </c>
      <c r="B2" s="1">
        <f>N2</f>
        <v>44200</v>
      </c>
      <c r="C2" t="str">
        <f>M2&amp;"/"&amp;O2</f>
        <v>21/9801/VS00037/Bontus Immobilienverwaltung GmbH, 1010 Wien, Franz Josefs Kai 65</v>
      </c>
      <c r="D2" t="str">
        <f>K2</f>
        <v>Ausgaben</v>
      </c>
      <c r="E2" t="str">
        <f>L2</f>
        <v>Miet- und Pachtaufwand, Leasing</v>
      </c>
      <c r="F2" s="117">
        <f>Z2</f>
        <v>554.928</v>
      </c>
      <c r="G2" t="str">
        <f>U2&amp;"%"</f>
        <v>20%</v>
      </c>
      <c r="I2" s="53">
        <v>2021</v>
      </c>
      <c r="J2" s="53">
        <v>1</v>
      </c>
      <c r="K2" s="71" t="s">
        <v>105</v>
      </c>
      <c r="L2" t="s">
        <v>691</v>
      </c>
      <c r="M2" s="9" t="s">
        <v>1520</v>
      </c>
      <c r="N2" s="1">
        <v>44200</v>
      </c>
      <c r="O2" t="s">
        <v>1113</v>
      </c>
      <c r="Q2" s="76"/>
      <c r="R2" t="b">
        <v>0</v>
      </c>
      <c r="S2" s="48">
        <v>462.44</v>
      </c>
      <c r="T2" s="72">
        <v>1</v>
      </c>
      <c r="U2">
        <v>20</v>
      </c>
      <c r="V2" s="31">
        <v>92.488</v>
      </c>
      <c r="W2" s="31">
        <v>92.488</v>
      </c>
      <c r="X2" s="33">
        <v>462.44</v>
      </c>
      <c r="Y2" s="29">
        <v>554.928</v>
      </c>
      <c r="Z2" s="29">
        <v>554.928</v>
      </c>
      <c r="AA2" s="35">
        <v>44331</v>
      </c>
      <c r="AB2" s="27"/>
      <c r="AC2" s="27"/>
      <c r="AD2" s="58">
        <v>462.44</v>
      </c>
      <c r="AE2" s="31">
        <v>0</v>
      </c>
      <c r="AF2" t="b">
        <v>0</v>
      </c>
      <c r="AG2" s="78">
        <v>-462.44</v>
      </c>
    </row>
    <row r="3" spans="1:16365" x14ac:dyDescent="0.25">
      <c r="A3" t="str">
        <f t="shared" ref="A3:A66" si="0">I3&amp;"-"&amp;J3</f>
        <v>2021-2</v>
      </c>
      <c r="B3" s="1">
        <f t="shared" ref="B3:B66" si="1">N3</f>
        <v>44200</v>
      </c>
      <c r="C3" t="str">
        <f t="shared" ref="C3:C66" si="2">M3&amp;"/"&amp;O3</f>
        <v>4293000000018420/car2go Österreich GmbH, Hintere Zollamtstraße 9, 1030 Wien</v>
      </c>
      <c r="D3" t="str">
        <f t="shared" ref="D3:E66" si="3">K3</f>
        <v>Ausgaben</v>
      </c>
      <c r="E3" t="str">
        <f t="shared" si="3"/>
        <v>Reise- und Fahrtspesen inkl. Kilometergeld und Diäten</v>
      </c>
      <c r="F3" s="117">
        <f t="shared" ref="F3:F66" si="4">Z3</f>
        <v>37.769999999999996</v>
      </c>
      <c r="G3" t="str">
        <f t="shared" ref="G3:G66" si="5">U3&amp;"%"</f>
        <v>20%</v>
      </c>
      <c r="I3" s="53">
        <v>2021</v>
      </c>
      <c r="J3" s="53">
        <v>2</v>
      </c>
      <c r="K3" s="71" t="s">
        <v>105</v>
      </c>
      <c r="L3" t="s">
        <v>689</v>
      </c>
      <c r="M3" s="131" t="s">
        <v>1435</v>
      </c>
      <c r="N3" s="1">
        <v>44200</v>
      </c>
      <c r="O3" t="s">
        <v>974</v>
      </c>
      <c r="Q3" s="76"/>
      <c r="R3" t="b">
        <v>0</v>
      </c>
      <c r="S3" s="48">
        <v>31.47</v>
      </c>
      <c r="T3" s="72">
        <v>1</v>
      </c>
      <c r="U3">
        <v>20</v>
      </c>
      <c r="V3" s="31">
        <v>6.3</v>
      </c>
      <c r="W3" s="31">
        <v>6.3</v>
      </c>
      <c r="X3" s="33">
        <v>31.47</v>
      </c>
      <c r="Y3" s="29">
        <v>37.769999999999996</v>
      </c>
      <c r="Z3" s="29">
        <v>37.769999999999996</v>
      </c>
      <c r="AA3" s="35">
        <v>44331</v>
      </c>
      <c r="AB3" s="27"/>
      <c r="AC3" s="27"/>
      <c r="AD3" s="58">
        <v>31.47</v>
      </c>
      <c r="AE3" s="31">
        <v>0</v>
      </c>
      <c r="AF3" t="b">
        <v>0</v>
      </c>
      <c r="AG3" s="78">
        <v>-31.47</v>
      </c>
    </row>
    <row r="4" spans="1:16365" x14ac:dyDescent="0.25">
      <c r="A4" t="str">
        <f t="shared" si="0"/>
        <v>2021-3</v>
      </c>
      <c r="B4" s="1">
        <f t="shared" si="1"/>
        <v>44200</v>
      </c>
      <c r="C4" t="str">
        <f t="shared" si="2"/>
        <v>32000220113-4027678-0001714/Aon Austria GmbH</v>
      </c>
      <c r="D4" t="str">
        <f t="shared" si="3"/>
        <v>Ausgaben</v>
      </c>
      <c r="E4" t="str">
        <f t="shared" si="3"/>
        <v>sonstige Betriebsausgaben</v>
      </c>
      <c r="F4" s="117">
        <f t="shared" si="4"/>
        <v>235.6</v>
      </c>
      <c r="G4" t="str">
        <f t="shared" si="5"/>
        <v>20%</v>
      </c>
      <c r="I4" s="53">
        <v>2021</v>
      </c>
      <c r="J4" s="53">
        <v>3</v>
      </c>
      <c r="K4" s="71" t="s">
        <v>105</v>
      </c>
      <c r="L4" t="s">
        <v>705</v>
      </c>
      <c r="M4" s="143" t="s">
        <v>1635</v>
      </c>
      <c r="N4" s="1">
        <v>44200</v>
      </c>
      <c r="O4" t="s">
        <v>934</v>
      </c>
      <c r="Q4" s="76"/>
      <c r="R4" t="b">
        <v>0</v>
      </c>
      <c r="S4" s="48">
        <v>196.33333333333334</v>
      </c>
      <c r="T4" s="72">
        <v>1</v>
      </c>
      <c r="U4">
        <v>20</v>
      </c>
      <c r="V4" s="31">
        <v>39.266666666666673</v>
      </c>
      <c r="W4" s="31">
        <v>39.266666666666673</v>
      </c>
      <c r="X4" s="33">
        <v>196.33333333333334</v>
      </c>
      <c r="Y4" s="29">
        <v>235.60000000000002</v>
      </c>
      <c r="Z4" s="29">
        <v>235.6</v>
      </c>
      <c r="AA4" s="35">
        <v>44331</v>
      </c>
      <c r="AB4" s="27"/>
      <c r="AC4" s="27"/>
      <c r="AD4" s="58">
        <v>196.33333333333334</v>
      </c>
      <c r="AE4" s="31">
        <v>0</v>
      </c>
      <c r="AF4" t="b">
        <v>0</v>
      </c>
      <c r="AG4" s="78">
        <v>-196.33333333333334</v>
      </c>
    </row>
    <row r="5" spans="1:16365" x14ac:dyDescent="0.25">
      <c r="A5" t="str">
        <f t="shared" si="0"/>
        <v>2021-4</v>
      </c>
      <c r="B5" s="1">
        <f t="shared" si="1"/>
        <v>44201</v>
      </c>
      <c r="C5" t="str">
        <f t="shared" si="2"/>
        <v>VS/19-01-05428/Techem Messtechnik GmbH; Abnehmernummer 501686-0003-11-( (NACHTRAG 25.12.)</v>
      </c>
      <c r="D5" t="str">
        <f t="shared" si="3"/>
        <v>Ausgaben</v>
      </c>
      <c r="E5" t="str">
        <f t="shared" si="3"/>
        <v>sonstige Betriebsausgaben</v>
      </c>
      <c r="F5" s="117">
        <f t="shared" si="4"/>
        <v>42</v>
      </c>
      <c r="G5" t="str">
        <f t="shared" si="5"/>
        <v>20%</v>
      </c>
      <c r="I5" s="53">
        <v>2021</v>
      </c>
      <c r="J5" s="53">
        <v>4</v>
      </c>
      <c r="K5" s="71" t="s">
        <v>105</v>
      </c>
      <c r="L5" t="s">
        <v>705</v>
      </c>
      <c r="M5" s="9" t="s">
        <v>1143</v>
      </c>
      <c r="N5" s="1">
        <v>44201</v>
      </c>
      <c r="O5" t="s">
        <v>1437</v>
      </c>
      <c r="Q5" s="76"/>
      <c r="R5" t="b">
        <v>0</v>
      </c>
      <c r="S5" s="48">
        <v>35</v>
      </c>
      <c r="T5" s="72">
        <v>1</v>
      </c>
      <c r="U5">
        <v>20</v>
      </c>
      <c r="V5" s="31">
        <v>7</v>
      </c>
      <c r="W5" s="31">
        <v>7</v>
      </c>
      <c r="X5" s="33">
        <v>35</v>
      </c>
      <c r="Y5" s="29">
        <v>42</v>
      </c>
      <c r="Z5" s="29">
        <v>42</v>
      </c>
      <c r="AA5" s="35">
        <v>44331</v>
      </c>
      <c r="AB5" s="27"/>
      <c r="AC5" s="27"/>
      <c r="AD5" s="58">
        <v>35</v>
      </c>
      <c r="AE5" s="31">
        <v>0</v>
      </c>
      <c r="AF5" t="b">
        <v>0</v>
      </c>
      <c r="AG5" s="78">
        <v>-35</v>
      </c>
    </row>
    <row r="6" spans="1:16365" x14ac:dyDescent="0.25">
      <c r="A6" t="str">
        <f t="shared" si="0"/>
        <v>2021-5</v>
      </c>
      <c r="B6" s="1">
        <f t="shared" si="1"/>
        <v>44203</v>
      </c>
      <c r="C6" t="str">
        <f t="shared" si="2"/>
        <v>12021001/ZT DI Dr. Arno Kolbitsch, Gütleweg 1, 6822 Satteins</v>
      </c>
      <c r="D6" t="str">
        <f t="shared" si="3"/>
        <v>Einnahmen</v>
      </c>
      <c r="E6" t="str">
        <f t="shared" si="3"/>
        <v>Waren-/Leistungserlöse</v>
      </c>
      <c r="F6" s="117">
        <f t="shared" si="4"/>
        <v>10320</v>
      </c>
      <c r="G6" t="str">
        <f t="shared" si="5"/>
        <v>20%</v>
      </c>
      <c r="I6" s="53">
        <v>2021</v>
      </c>
      <c r="J6" s="53">
        <v>5</v>
      </c>
      <c r="K6" s="71" t="s">
        <v>708</v>
      </c>
      <c r="L6" t="s">
        <v>709</v>
      </c>
      <c r="M6" s="9" t="s">
        <v>1446</v>
      </c>
      <c r="N6" s="1">
        <v>44203</v>
      </c>
      <c r="O6" t="s">
        <v>1038</v>
      </c>
      <c r="Q6" s="76"/>
      <c r="R6" t="b">
        <v>0</v>
      </c>
      <c r="S6" s="109">
        <v>8600</v>
      </c>
      <c r="T6" s="72">
        <v>1</v>
      </c>
      <c r="U6">
        <v>20</v>
      </c>
      <c r="V6" s="31">
        <v>1720</v>
      </c>
      <c r="W6" s="31">
        <v>1720</v>
      </c>
      <c r="X6" s="33">
        <v>8600</v>
      </c>
      <c r="Y6" s="29">
        <v>10320</v>
      </c>
      <c r="Z6" s="29">
        <v>10320</v>
      </c>
      <c r="AA6" s="35">
        <v>44331</v>
      </c>
      <c r="AB6" s="27"/>
      <c r="AC6" s="27"/>
      <c r="AD6" s="58">
        <v>8600</v>
      </c>
      <c r="AE6" s="31">
        <v>0</v>
      </c>
      <c r="AF6" t="b">
        <v>0</v>
      </c>
      <c r="AG6" s="78">
        <v>8600</v>
      </c>
    </row>
    <row r="7" spans="1:16365" x14ac:dyDescent="0.25">
      <c r="A7" t="str">
        <f t="shared" si="0"/>
        <v>2021-6</v>
      </c>
      <c r="B7" s="1">
        <f t="shared" si="1"/>
        <v>44203</v>
      </c>
      <c r="C7" t="str">
        <f t="shared" si="2"/>
        <v>R0012565330/Hetzner Online GmbH</v>
      </c>
      <c r="D7" t="str">
        <f t="shared" si="3"/>
        <v>Ausgaben</v>
      </c>
      <c r="E7" t="str">
        <f t="shared" si="3"/>
        <v>sonstige Betriebsausgaben</v>
      </c>
      <c r="F7" s="117">
        <f t="shared" si="4"/>
        <v>2.4900000000000002</v>
      </c>
      <c r="G7" t="str">
        <f t="shared" si="5"/>
        <v>0%</v>
      </c>
      <c r="I7" s="53">
        <v>2021</v>
      </c>
      <c r="J7" s="53">
        <v>6</v>
      </c>
      <c r="K7" s="71" t="s">
        <v>105</v>
      </c>
      <c r="L7" t="s">
        <v>705</v>
      </c>
      <c r="M7" s="9" t="s">
        <v>1449</v>
      </c>
      <c r="N7" s="1">
        <v>44203</v>
      </c>
      <c r="O7" t="s">
        <v>927</v>
      </c>
      <c r="Q7" s="76" t="s">
        <v>958</v>
      </c>
      <c r="R7" t="b">
        <v>0</v>
      </c>
      <c r="S7" s="48">
        <v>2.4900000000000002</v>
      </c>
      <c r="T7" s="72">
        <v>1</v>
      </c>
      <c r="U7">
        <v>0</v>
      </c>
      <c r="V7" s="31">
        <v>0</v>
      </c>
      <c r="W7" s="31">
        <v>0</v>
      </c>
      <c r="X7" s="33">
        <v>2.4900000000000002</v>
      </c>
      <c r="Y7" s="29">
        <v>2.4900000000000002</v>
      </c>
      <c r="Z7" s="29">
        <v>2.4900000000000002</v>
      </c>
      <c r="AA7" s="35">
        <v>44331</v>
      </c>
      <c r="AB7" s="27"/>
      <c r="AC7" s="27">
        <v>20</v>
      </c>
      <c r="AD7" s="58">
        <v>2.4900000000000002</v>
      </c>
      <c r="AE7" s="31">
        <v>0.49800000000000005</v>
      </c>
      <c r="AF7" t="b">
        <v>0</v>
      </c>
      <c r="AG7" s="78">
        <v>-2.4900000000000002</v>
      </c>
    </row>
    <row r="8" spans="1:16365" x14ac:dyDescent="0.25">
      <c r="A8" t="str">
        <f t="shared" si="0"/>
        <v>2021-7</v>
      </c>
      <c r="B8" s="1">
        <f t="shared" si="1"/>
        <v>44204</v>
      </c>
      <c r="C8" t="str">
        <f t="shared" si="2"/>
        <v>12021007/Theresa Häfele-Kolbitsch, Josef-Mohrgasse 9, 2102 Bisamberg</v>
      </c>
      <c r="D8" t="str">
        <f t="shared" si="3"/>
        <v>Einnahmen</v>
      </c>
      <c r="E8" t="str">
        <f t="shared" si="3"/>
        <v>Waren-/Leistungserlöse</v>
      </c>
      <c r="F8" s="117">
        <f t="shared" si="4"/>
        <v>282.39600000000002</v>
      </c>
      <c r="G8" t="str">
        <f t="shared" si="5"/>
        <v>20%</v>
      </c>
      <c r="I8" s="53">
        <v>2021</v>
      </c>
      <c r="J8" s="53">
        <v>7</v>
      </c>
      <c r="K8" s="71" t="s">
        <v>708</v>
      </c>
      <c r="L8" t="s">
        <v>709</v>
      </c>
      <c r="M8" s="9" t="s">
        <v>1447</v>
      </c>
      <c r="N8" s="1">
        <v>44204</v>
      </c>
      <c r="O8" t="s">
        <v>1170</v>
      </c>
      <c r="Q8" s="76"/>
      <c r="R8" t="b">
        <v>0</v>
      </c>
      <c r="S8" s="48">
        <v>235.33</v>
      </c>
      <c r="T8" s="72">
        <v>1</v>
      </c>
      <c r="U8">
        <v>20</v>
      </c>
      <c r="V8" s="31">
        <v>47.066000000000003</v>
      </c>
      <c r="W8" s="31">
        <v>47.066000000000003</v>
      </c>
      <c r="X8" s="33">
        <v>235.33</v>
      </c>
      <c r="Y8" s="29">
        <v>282.39600000000002</v>
      </c>
      <c r="Z8" s="29">
        <v>282.39600000000002</v>
      </c>
      <c r="AA8" s="35">
        <v>44331</v>
      </c>
      <c r="AB8" s="27"/>
      <c r="AC8" s="27"/>
      <c r="AD8" s="58">
        <v>235.33</v>
      </c>
      <c r="AE8" s="31">
        <v>0</v>
      </c>
      <c r="AF8" t="b">
        <v>0</v>
      </c>
      <c r="AG8" s="78">
        <v>235.33</v>
      </c>
    </row>
    <row r="9" spans="1:16365" x14ac:dyDescent="0.25">
      <c r="A9" t="str">
        <f t="shared" si="0"/>
        <v>2021-8</v>
      </c>
      <c r="B9" s="1">
        <f t="shared" si="1"/>
        <v>44204</v>
      </c>
      <c r="C9" t="str">
        <f t="shared" si="2"/>
        <v>60793/100/2021/easy green energy GmbH &amp; Co KG</v>
      </c>
      <c r="D9" t="str">
        <f t="shared" si="3"/>
        <v>Ausgaben</v>
      </c>
      <c r="E9" t="str">
        <f t="shared" si="3"/>
        <v>sonstige Betriebsausgaben</v>
      </c>
      <c r="F9" s="117">
        <f t="shared" si="4"/>
        <v>3</v>
      </c>
      <c r="G9" t="str">
        <f t="shared" si="5"/>
        <v>20%</v>
      </c>
      <c r="I9" s="53">
        <v>2021</v>
      </c>
      <c r="J9" s="53">
        <v>8</v>
      </c>
      <c r="K9" s="71" t="s">
        <v>105</v>
      </c>
      <c r="L9" t="s">
        <v>705</v>
      </c>
      <c r="M9" s="9" t="s">
        <v>1505</v>
      </c>
      <c r="N9" s="1">
        <v>44204</v>
      </c>
      <c r="O9" t="s">
        <v>1364</v>
      </c>
      <c r="Q9" s="76"/>
      <c r="R9" t="b">
        <v>0</v>
      </c>
      <c r="S9" s="48">
        <v>2.5</v>
      </c>
      <c r="T9" s="72">
        <v>1</v>
      </c>
      <c r="U9">
        <v>20</v>
      </c>
      <c r="V9" s="31">
        <v>0.5</v>
      </c>
      <c r="W9" s="31">
        <v>0.5</v>
      </c>
      <c r="X9" s="33">
        <v>2.5</v>
      </c>
      <c r="Y9" s="29">
        <v>3</v>
      </c>
      <c r="Z9" s="29">
        <v>3</v>
      </c>
      <c r="AA9" s="35">
        <v>44331</v>
      </c>
      <c r="AB9" s="27"/>
      <c r="AC9" s="27"/>
      <c r="AD9" s="58">
        <v>2.5</v>
      </c>
      <c r="AE9" s="31">
        <v>0</v>
      </c>
      <c r="AF9" t="b">
        <v>0</v>
      </c>
      <c r="AG9" s="78">
        <v>-2.5</v>
      </c>
    </row>
    <row r="10" spans="1:16365" x14ac:dyDescent="0.25">
      <c r="A10" t="str">
        <f t="shared" si="0"/>
        <v>2021-9</v>
      </c>
      <c r="B10" s="1">
        <f t="shared" si="1"/>
        <v>44207</v>
      </c>
      <c r="C10" t="str">
        <f t="shared" si="2"/>
        <v>12020038/foxcraft - DI Mag. Alexander Wagner, Leschetitzkygasse 30/5, 1180 Wien</v>
      </c>
      <c r="D10" t="str">
        <f t="shared" si="3"/>
        <v>Einnahmen</v>
      </c>
      <c r="E10" t="str">
        <f t="shared" si="3"/>
        <v>Waren-/Leistungserlöse</v>
      </c>
      <c r="F10" s="117">
        <f t="shared" si="4"/>
        <v>262.536</v>
      </c>
      <c r="G10" t="str">
        <f t="shared" si="5"/>
        <v>20%</v>
      </c>
      <c r="I10" s="53">
        <v>2021</v>
      </c>
      <c r="J10" s="53">
        <v>9</v>
      </c>
      <c r="K10" s="71" t="s">
        <v>708</v>
      </c>
      <c r="L10" t="s">
        <v>709</v>
      </c>
      <c r="M10" s="9" t="s">
        <v>1448</v>
      </c>
      <c r="N10" s="1">
        <v>44207</v>
      </c>
      <c r="O10" t="s">
        <v>1197</v>
      </c>
      <c r="Q10" s="76"/>
      <c r="R10" t="b">
        <v>0</v>
      </c>
      <c r="S10" s="48">
        <v>218.78</v>
      </c>
      <c r="T10" s="72">
        <v>1</v>
      </c>
      <c r="U10">
        <v>20</v>
      </c>
      <c r="V10" s="31">
        <v>43.756</v>
      </c>
      <c r="W10" s="31">
        <v>43.756</v>
      </c>
      <c r="X10" s="33">
        <v>218.78</v>
      </c>
      <c r="Y10" s="29">
        <v>262.536</v>
      </c>
      <c r="Z10" s="29">
        <v>262.536</v>
      </c>
      <c r="AA10" s="35">
        <v>44331</v>
      </c>
      <c r="AB10" s="27"/>
      <c r="AC10" s="27"/>
      <c r="AD10" s="58">
        <v>218.78</v>
      </c>
      <c r="AE10" s="31">
        <v>0</v>
      </c>
      <c r="AF10" t="b">
        <v>0</v>
      </c>
      <c r="AG10" s="78">
        <v>218.78</v>
      </c>
    </row>
    <row r="11" spans="1:16365" x14ac:dyDescent="0.25">
      <c r="A11" t="str">
        <f t="shared" si="0"/>
        <v>2021-10</v>
      </c>
      <c r="B11" s="1">
        <f t="shared" si="1"/>
        <v>44208</v>
      </c>
      <c r="C11" t="str">
        <f t="shared" si="2"/>
        <v>12018015/H. Jaros e.U., Kohlmarkt 16/2/2/15a, 1010 Wien</v>
      </c>
      <c r="D11" t="str">
        <f t="shared" si="3"/>
        <v>Einnahmen</v>
      </c>
      <c r="E11" t="str">
        <f t="shared" si="3"/>
        <v>Waren-/Leistungserlöse</v>
      </c>
      <c r="F11" s="117">
        <f t="shared" si="4"/>
        <v>420</v>
      </c>
      <c r="G11" t="str">
        <f t="shared" si="5"/>
        <v>20%</v>
      </c>
      <c r="I11" s="53">
        <v>2021</v>
      </c>
      <c r="J11" s="53">
        <v>10</v>
      </c>
      <c r="K11" s="71" t="s">
        <v>708</v>
      </c>
      <c r="L11" t="s">
        <v>709</v>
      </c>
      <c r="M11" s="9">
        <v>12018015</v>
      </c>
      <c r="N11" s="1">
        <v>44208</v>
      </c>
      <c r="O11" t="s">
        <v>923</v>
      </c>
      <c r="Q11" s="76"/>
      <c r="R11" t="b">
        <v>0</v>
      </c>
      <c r="S11" s="48">
        <v>350</v>
      </c>
      <c r="T11" s="72">
        <v>1</v>
      </c>
      <c r="U11">
        <v>20</v>
      </c>
      <c r="V11" s="31">
        <v>70</v>
      </c>
      <c r="W11" s="31">
        <v>70</v>
      </c>
      <c r="X11" s="33">
        <v>350</v>
      </c>
      <c r="Y11" s="29">
        <v>420</v>
      </c>
      <c r="Z11" s="29">
        <v>420</v>
      </c>
      <c r="AA11" s="35">
        <v>44331</v>
      </c>
      <c r="AB11" s="27"/>
      <c r="AC11" s="27"/>
      <c r="AD11" s="58">
        <v>350</v>
      </c>
      <c r="AE11" s="31">
        <v>0</v>
      </c>
      <c r="AF11" t="b">
        <v>0</v>
      </c>
      <c r="AG11" s="78">
        <v>350</v>
      </c>
    </row>
    <row r="12" spans="1:16365" x14ac:dyDescent="0.25">
      <c r="A12" t="str">
        <f t="shared" si="0"/>
        <v>2021-11</v>
      </c>
      <c r="B12" s="1">
        <f t="shared" si="1"/>
        <v>44208</v>
      </c>
      <c r="C12" t="str">
        <f t="shared" si="2"/>
        <v>6213824128/Hutchison Drei Austria GmbH, Brünner Straße 52, 1210 Wien, Österreich</v>
      </c>
      <c r="D12" t="str">
        <f t="shared" si="3"/>
        <v>Ausgaben</v>
      </c>
      <c r="E12" t="str">
        <f t="shared" si="3"/>
        <v>Telefon/Internet</v>
      </c>
      <c r="F12" s="117">
        <f t="shared" si="4"/>
        <v>18</v>
      </c>
      <c r="G12" t="str">
        <f t="shared" si="5"/>
        <v>20%</v>
      </c>
      <c r="I12" s="53">
        <v>2021</v>
      </c>
      <c r="J12" s="53">
        <v>11</v>
      </c>
      <c r="K12" s="71" t="s">
        <v>105</v>
      </c>
      <c r="L12" t="s">
        <v>703</v>
      </c>
      <c r="M12" s="9" t="s">
        <v>1461</v>
      </c>
      <c r="N12" s="1">
        <v>44208</v>
      </c>
      <c r="O12" t="s">
        <v>34</v>
      </c>
      <c r="Q12" s="76"/>
      <c r="R12" t="b">
        <v>0</v>
      </c>
      <c r="S12" s="48">
        <v>15</v>
      </c>
      <c r="T12" s="72">
        <v>1</v>
      </c>
      <c r="U12">
        <v>20</v>
      </c>
      <c r="V12" s="31">
        <v>3</v>
      </c>
      <c r="W12" s="31">
        <v>3</v>
      </c>
      <c r="X12" s="33">
        <v>15</v>
      </c>
      <c r="Y12" s="29">
        <v>18</v>
      </c>
      <c r="Z12" s="29">
        <v>18</v>
      </c>
      <c r="AA12" s="35">
        <v>44331</v>
      </c>
      <c r="AB12" s="27"/>
      <c r="AC12" s="27"/>
      <c r="AD12" s="58">
        <v>15</v>
      </c>
      <c r="AE12" s="31">
        <v>0</v>
      </c>
      <c r="AF12" t="b">
        <v>0</v>
      </c>
      <c r="AG12" s="78">
        <v>-15</v>
      </c>
    </row>
    <row r="13" spans="1:16365" x14ac:dyDescent="0.25">
      <c r="A13" t="str">
        <f t="shared" si="0"/>
        <v>2021-12</v>
      </c>
      <c r="B13" s="1">
        <f t="shared" si="1"/>
        <v>44209</v>
      </c>
      <c r="C13" t="str">
        <f t="shared" si="2"/>
        <v>R012609412/Hetzner Online GmbH</v>
      </c>
      <c r="D13" t="str">
        <f t="shared" si="3"/>
        <v>Ausgaben</v>
      </c>
      <c r="E13" t="str">
        <f t="shared" si="3"/>
        <v>sonstige Betriebsausgaben</v>
      </c>
      <c r="F13" s="117">
        <f t="shared" si="4"/>
        <v>46.92</v>
      </c>
      <c r="G13" t="str">
        <f t="shared" si="5"/>
        <v>0%</v>
      </c>
      <c r="I13" s="53">
        <v>2021</v>
      </c>
      <c r="J13" s="53">
        <v>12</v>
      </c>
      <c r="K13" s="71" t="s">
        <v>105</v>
      </c>
      <c r="L13" t="s">
        <v>705</v>
      </c>
      <c r="M13" s="9" t="s">
        <v>1451</v>
      </c>
      <c r="N13" s="1">
        <v>44209</v>
      </c>
      <c r="O13" t="s">
        <v>927</v>
      </c>
      <c r="Q13" s="76"/>
      <c r="R13" t="b">
        <v>0</v>
      </c>
      <c r="S13" s="48">
        <v>46.92</v>
      </c>
      <c r="T13" s="72">
        <v>1</v>
      </c>
      <c r="U13">
        <v>0</v>
      </c>
      <c r="V13" s="31">
        <v>0</v>
      </c>
      <c r="W13" s="31">
        <v>0</v>
      </c>
      <c r="X13" s="33">
        <v>46.92</v>
      </c>
      <c r="Y13" s="29">
        <v>46.92</v>
      </c>
      <c r="Z13" s="29">
        <v>46.92</v>
      </c>
      <c r="AA13" s="35">
        <v>44331</v>
      </c>
      <c r="AB13" s="27"/>
      <c r="AC13" s="27">
        <v>20</v>
      </c>
      <c r="AD13" s="58">
        <v>46.92</v>
      </c>
      <c r="AE13" s="31">
        <v>9.3840000000000003</v>
      </c>
      <c r="AF13" t="b">
        <v>0</v>
      </c>
      <c r="AG13" s="78">
        <v>-46.92</v>
      </c>
    </row>
    <row r="14" spans="1:16365" x14ac:dyDescent="0.25">
      <c r="A14" t="str">
        <f t="shared" si="0"/>
        <v>2021-13</v>
      </c>
      <c r="B14" s="1">
        <f t="shared" si="1"/>
        <v>44214</v>
      </c>
      <c r="C14" t="str">
        <f t="shared" si="2"/>
        <v>415468190/Adler Werbegeschenke Vertriebsgessellschaft &amp; Co KG</v>
      </c>
      <c r="D14" t="str">
        <f t="shared" si="3"/>
        <v>Ausgaben</v>
      </c>
      <c r="E14" t="str">
        <f t="shared" si="3"/>
        <v>Werbe- und Repräsentationsaufwand</v>
      </c>
      <c r="F14" s="117">
        <f t="shared" si="4"/>
        <v>115.18799999999999</v>
      </c>
      <c r="G14" t="str">
        <f t="shared" si="5"/>
        <v>20%</v>
      </c>
      <c r="I14" s="53">
        <v>2021</v>
      </c>
      <c r="J14" s="53">
        <v>13</v>
      </c>
      <c r="K14" s="71" t="s">
        <v>105</v>
      </c>
      <c r="L14" t="s">
        <v>693</v>
      </c>
      <c r="M14" s="9" t="s">
        <v>1452</v>
      </c>
      <c r="N14" s="1">
        <v>44214</v>
      </c>
      <c r="O14" t="s">
        <v>1453</v>
      </c>
      <c r="Q14" s="76"/>
      <c r="R14" t="b">
        <v>0</v>
      </c>
      <c r="S14" s="48">
        <v>95.99</v>
      </c>
      <c r="T14" s="72">
        <v>1</v>
      </c>
      <c r="U14">
        <v>20</v>
      </c>
      <c r="V14" s="31">
        <v>19.198</v>
      </c>
      <c r="W14" s="31">
        <v>19.198</v>
      </c>
      <c r="X14" s="33">
        <v>95.99</v>
      </c>
      <c r="Y14" s="29">
        <v>115.18799999999999</v>
      </c>
      <c r="Z14" s="29">
        <v>115.18799999999999</v>
      </c>
      <c r="AA14" s="35">
        <v>44331</v>
      </c>
      <c r="AB14" s="27"/>
      <c r="AC14" s="27"/>
      <c r="AD14" s="58">
        <v>95.99</v>
      </c>
      <c r="AE14" s="31">
        <v>0</v>
      </c>
      <c r="AF14" t="b">
        <v>0</v>
      </c>
      <c r="AG14" s="78">
        <v>-95.99</v>
      </c>
    </row>
    <row r="15" spans="1:16365" x14ac:dyDescent="0.25">
      <c r="A15" t="str">
        <f t="shared" si="0"/>
        <v>2021-14</v>
      </c>
      <c r="B15" s="1">
        <f t="shared" si="1"/>
        <v>44218</v>
      </c>
      <c r="C15" t="str">
        <f t="shared" si="2"/>
        <v>901201021220/Magenta: T-Mobile Austria GmbH, A-1120 Wien, PF 47</v>
      </c>
      <c r="D15" t="str">
        <f t="shared" si="3"/>
        <v>Ausgaben</v>
      </c>
      <c r="E15" t="str">
        <f t="shared" si="3"/>
        <v>Telefon/Internet</v>
      </c>
      <c r="F15" s="117">
        <f t="shared" si="4"/>
        <v>42.288000000000004</v>
      </c>
      <c r="G15" t="str">
        <f t="shared" si="5"/>
        <v>20%</v>
      </c>
      <c r="I15" s="53">
        <v>2021</v>
      </c>
      <c r="J15" s="53">
        <v>14</v>
      </c>
      <c r="K15" s="71" t="s">
        <v>105</v>
      </c>
      <c r="L15" t="s">
        <v>703</v>
      </c>
      <c r="M15" s="9" t="s">
        <v>1442</v>
      </c>
      <c r="N15" s="1">
        <v>44218</v>
      </c>
      <c r="O15" t="s">
        <v>1148</v>
      </c>
      <c r="Q15" s="76"/>
      <c r="R15" t="b">
        <v>0</v>
      </c>
      <c r="S15" s="48">
        <v>35.24</v>
      </c>
      <c r="T15" s="72">
        <v>1</v>
      </c>
      <c r="U15">
        <v>20</v>
      </c>
      <c r="V15" s="31">
        <v>7.0480000000000009</v>
      </c>
      <c r="W15" s="31">
        <v>7.0480000000000009</v>
      </c>
      <c r="X15" s="33">
        <v>35.24</v>
      </c>
      <c r="Y15" s="29">
        <v>42.288000000000004</v>
      </c>
      <c r="Z15" s="29">
        <v>42.288000000000004</v>
      </c>
      <c r="AA15" s="35">
        <v>44331</v>
      </c>
      <c r="AB15" s="27"/>
      <c r="AC15" s="27"/>
      <c r="AD15" s="58">
        <v>35.24</v>
      </c>
      <c r="AE15" s="31">
        <v>0</v>
      </c>
      <c r="AF15" t="b">
        <v>0</v>
      </c>
      <c r="AG15" s="78">
        <v>-35.24</v>
      </c>
    </row>
    <row r="16" spans="1:16365" x14ac:dyDescent="0.25">
      <c r="A16" t="str">
        <f t="shared" si="0"/>
        <v>2021-15</v>
      </c>
      <c r="B16" s="1">
        <f t="shared" si="1"/>
        <v>44218</v>
      </c>
      <c r="C16" t="str">
        <f t="shared" si="2"/>
        <v>12021004/Schick Küchendesign e.U. Alexander Schick, Linzerstraße 247, 1140 Wien</v>
      </c>
      <c r="D16" t="str">
        <f t="shared" si="3"/>
        <v>Einnahmen</v>
      </c>
      <c r="E16" t="str">
        <f t="shared" si="3"/>
        <v>Waren-/Leistungserlöse</v>
      </c>
      <c r="F16" s="117">
        <f t="shared" si="4"/>
        <v>485.1</v>
      </c>
      <c r="G16" t="str">
        <f t="shared" si="5"/>
        <v>20%</v>
      </c>
      <c r="I16" s="53">
        <v>2021</v>
      </c>
      <c r="J16" s="53">
        <v>15</v>
      </c>
      <c r="K16" s="71" t="s">
        <v>708</v>
      </c>
      <c r="L16" t="s">
        <v>709</v>
      </c>
      <c r="M16" s="9" t="s">
        <v>1454</v>
      </c>
      <c r="N16" s="1">
        <v>44218</v>
      </c>
      <c r="O16" t="s">
        <v>983</v>
      </c>
      <c r="Q16" s="76"/>
      <c r="R16" t="b">
        <v>0</v>
      </c>
      <c r="S16" s="48">
        <v>404.25</v>
      </c>
      <c r="T16" s="72">
        <v>1</v>
      </c>
      <c r="U16">
        <v>20</v>
      </c>
      <c r="V16" s="31">
        <v>80.849999999999994</v>
      </c>
      <c r="W16" s="31">
        <v>80.849999999999994</v>
      </c>
      <c r="X16" s="33">
        <v>404.25</v>
      </c>
      <c r="Y16" s="29">
        <v>485.1</v>
      </c>
      <c r="Z16" s="29">
        <v>485.1</v>
      </c>
      <c r="AA16" s="35">
        <v>44331</v>
      </c>
      <c r="AB16" s="27"/>
      <c r="AC16" s="27"/>
      <c r="AD16" s="58">
        <v>404.25</v>
      </c>
      <c r="AE16" s="31">
        <v>0</v>
      </c>
      <c r="AF16" t="b">
        <v>0</v>
      </c>
      <c r="AG16" s="78">
        <v>404.25</v>
      </c>
    </row>
    <row r="17" spans="1:33" x14ac:dyDescent="0.25">
      <c r="A17" t="str">
        <f t="shared" si="0"/>
        <v>2021-16</v>
      </c>
      <c r="B17" s="1">
        <f t="shared" si="1"/>
        <v>44221</v>
      </c>
      <c r="C17" t="str">
        <f t="shared" si="2"/>
        <v>12021008/Martin Dürauer e.U., Schreinergasse 7/1, A-3100 St. Pölten</v>
      </c>
      <c r="D17" t="str">
        <f t="shared" si="3"/>
        <v>Einnahmen</v>
      </c>
      <c r="E17" t="str">
        <f t="shared" si="3"/>
        <v>Waren-/Leistungserlöse</v>
      </c>
      <c r="F17" s="117">
        <f t="shared" si="4"/>
        <v>120</v>
      </c>
      <c r="G17" t="str">
        <f t="shared" si="5"/>
        <v>20%</v>
      </c>
      <c r="I17" s="53">
        <v>2021</v>
      </c>
      <c r="J17" s="53">
        <v>16</v>
      </c>
      <c r="K17" s="71" t="s">
        <v>708</v>
      </c>
      <c r="L17" t="s">
        <v>709</v>
      </c>
      <c r="M17" s="9" t="s">
        <v>1455</v>
      </c>
      <c r="N17" s="1">
        <v>44221</v>
      </c>
      <c r="O17" t="s">
        <v>1217</v>
      </c>
      <c r="Q17" s="76"/>
      <c r="R17" t="b">
        <v>0</v>
      </c>
      <c r="S17" s="48">
        <v>100</v>
      </c>
      <c r="T17" s="72">
        <v>1</v>
      </c>
      <c r="U17">
        <v>20</v>
      </c>
      <c r="V17" s="31">
        <v>20</v>
      </c>
      <c r="W17" s="31">
        <v>20</v>
      </c>
      <c r="X17" s="33">
        <v>100</v>
      </c>
      <c r="Y17" s="29">
        <v>120</v>
      </c>
      <c r="Z17" s="29">
        <v>120</v>
      </c>
      <c r="AA17" s="35">
        <v>44331</v>
      </c>
      <c r="AB17" s="27"/>
      <c r="AC17" s="27"/>
      <c r="AD17" s="58">
        <v>100</v>
      </c>
      <c r="AE17" s="31">
        <v>0</v>
      </c>
      <c r="AF17" t="b">
        <v>0</v>
      </c>
      <c r="AG17" s="78">
        <v>100</v>
      </c>
    </row>
    <row r="18" spans="1:33" x14ac:dyDescent="0.25">
      <c r="A18" t="str">
        <f t="shared" si="0"/>
        <v>2021-17</v>
      </c>
      <c r="B18" s="1">
        <f t="shared" si="1"/>
        <v>44222</v>
      </c>
      <c r="C18" t="str">
        <f t="shared" si="2"/>
        <v>RE0939549/easyname GmbH, Fernkorngasse 10/3/501, A-1100 Wien</v>
      </c>
      <c r="D18" t="str">
        <f t="shared" si="3"/>
        <v>Ausgaben</v>
      </c>
      <c r="E18" t="str">
        <f t="shared" si="3"/>
        <v>sonstige Betriebsausgaben</v>
      </c>
      <c r="F18" s="117">
        <f t="shared" si="4"/>
        <v>23.88</v>
      </c>
      <c r="G18" t="str">
        <f t="shared" si="5"/>
        <v>20%</v>
      </c>
      <c r="I18" s="53">
        <v>2021</v>
      </c>
      <c r="J18" s="53">
        <v>17</v>
      </c>
      <c r="K18" s="71" t="s">
        <v>105</v>
      </c>
      <c r="L18" t="s">
        <v>705</v>
      </c>
      <c r="M18" s="9" t="s">
        <v>1456</v>
      </c>
      <c r="N18" s="1">
        <v>44222</v>
      </c>
      <c r="O18" t="s">
        <v>941</v>
      </c>
      <c r="Q18" s="76"/>
      <c r="R18" t="b">
        <v>0</v>
      </c>
      <c r="S18" s="48">
        <v>19.899999999999999</v>
      </c>
      <c r="T18" s="72">
        <v>1</v>
      </c>
      <c r="U18">
        <v>20</v>
      </c>
      <c r="V18" s="31">
        <v>3.98</v>
      </c>
      <c r="W18" s="31">
        <v>3.98</v>
      </c>
      <c r="X18" s="33">
        <v>19.899999999999999</v>
      </c>
      <c r="Y18" s="29">
        <v>23.88</v>
      </c>
      <c r="Z18" s="29">
        <v>23.88</v>
      </c>
      <c r="AA18" s="35">
        <v>44331</v>
      </c>
      <c r="AB18" s="27"/>
      <c r="AC18" s="27"/>
      <c r="AD18" s="58">
        <v>19.899999999999999</v>
      </c>
      <c r="AE18" s="31">
        <v>0</v>
      </c>
      <c r="AF18" t="b">
        <v>0</v>
      </c>
      <c r="AG18" s="78">
        <v>-19.899999999999999</v>
      </c>
    </row>
    <row r="19" spans="1:33" x14ac:dyDescent="0.25">
      <c r="A19" t="str">
        <f t="shared" si="0"/>
        <v>2021-18</v>
      </c>
      <c r="B19" s="1">
        <f t="shared" si="1"/>
        <v>44203</v>
      </c>
      <c r="C19" t="str">
        <f t="shared" si="2"/>
        <v>12021003/Musikschule Bad Vöslau, Hauptstraße 14, 2540 Bad Vöslau</v>
      </c>
      <c r="D19" t="str">
        <f t="shared" si="3"/>
        <v>Einnahmen</v>
      </c>
      <c r="E19" t="str">
        <f t="shared" si="3"/>
        <v>Waren-/Leistungserlöse</v>
      </c>
      <c r="F19" s="117">
        <f t="shared" si="4"/>
        <v>157.5</v>
      </c>
      <c r="G19" t="str">
        <f t="shared" si="5"/>
        <v>20%</v>
      </c>
      <c r="I19" s="53">
        <v>2021</v>
      </c>
      <c r="J19" s="53">
        <v>18</v>
      </c>
      <c r="K19" s="71" t="s">
        <v>708</v>
      </c>
      <c r="L19" t="s">
        <v>709</v>
      </c>
      <c r="M19" s="9" t="s">
        <v>1457</v>
      </c>
      <c r="N19" s="1">
        <v>44203</v>
      </c>
      <c r="O19" t="s">
        <v>1384</v>
      </c>
      <c r="Q19" s="76"/>
      <c r="R19" t="b">
        <v>0</v>
      </c>
      <c r="S19" s="48">
        <v>131.25</v>
      </c>
      <c r="T19" s="72">
        <v>1</v>
      </c>
      <c r="U19">
        <v>20</v>
      </c>
      <c r="V19" s="31">
        <v>26.25</v>
      </c>
      <c r="W19" s="31">
        <v>26.25</v>
      </c>
      <c r="X19" s="33">
        <v>131.25</v>
      </c>
      <c r="Y19" s="29">
        <v>157.5</v>
      </c>
      <c r="Z19" s="29">
        <v>157.5</v>
      </c>
      <c r="AA19" s="35">
        <v>44331</v>
      </c>
      <c r="AB19" s="27"/>
      <c r="AC19" s="27"/>
      <c r="AD19" s="58">
        <v>131.25</v>
      </c>
      <c r="AE19" s="31">
        <v>0</v>
      </c>
      <c r="AF19" t="b">
        <v>0</v>
      </c>
      <c r="AG19" s="78">
        <v>131.25</v>
      </c>
    </row>
    <row r="20" spans="1:33" x14ac:dyDescent="0.25">
      <c r="A20" t="str">
        <f t="shared" si="0"/>
        <v>2021-19</v>
      </c>
      <c r="B20" s="1">
        <f t="shared" si="1"/>
        <v>44224</v>
      </c>
      <c r="C20" t="str">
        <f t="shared" si="2"/>
        <v>13499319/Primus Office Products Handelsgesmbh,&amp; Co. KG, Margaretengürtel 44, 1050 Wien</v>
      </c>
      <c r="D20" t="str">
        <f t="shared" si="3"/>
        <v>Ausgaben</v>
      </c>
      <c r="E20" t="str">
        <f t="shared" si="3"/>
        <v>Waren, Rohstoffe, Hilfsstoffe</v>
      </c>
      <c r="F20" s="117">
        <f t="shared" si="4"/>
        <v>318.80400000000003</v>
      </c>
      <c r="G20" t="str">
        <f t="shared" si="5"/>
        <v>20%</v>
      </c>
      <c r="I20" s="53">
        <v>2021</v>
      </c>
      <c r="J20" s="53">
        <v>19</v>
      </c>
      <c r="K20" s="71" t="s">
        <v>105</v>
      </c>
      <c r="L20" t="s">
        <v>683</v>
      </c>
      <c r="M20" s="9" t="s">
        <v>1458</v>
      </c>
      <c r="N20" s="1">
        <v>44224</v>
      </c>
      <c r="O20" t="s">
        <v>1099</v>
      </c>
      <c r="Q20" s="76" t="s">
        <v>958</v>
      </c>
      <c r="R20" t="b">
        <v>0</v>
      </c>
      <c r="S20" s="48">
        <v>265.67</v>
      </c>
      <c r="T20" s="72">
        <v>1</v>
      </c>
      <c r="U20">
        <v>20</v>
      </c>
      <c r="V20" s="31">
        <v>53.134000000000007</v>
      </c>
      <c r="W20" s="31">
        <v>53.134000000000007</v>
      </c>
      <c r="X20" s="33">
        <v>265.67</v>
      </c>
      <c r="Y20" s="29">
        <v>318.80400000000003</v>
      </c>
      <c r="Z20" s="29">
        <v>318.80400000000003</v>
      </c>
      <c r="AA20" s="35">
        <v>44331</v>
      </c>
      <c r="AB20" s="27"/>
      <c r="AC20" s="27"/>
      <c r="AD20" s="58">
        <v>265.67</v>
      </c>
      <c r="AE20" s="31">
        <v>0</v>
      </c>
      <c r="AF20" t="b">
        <v>0</v>
      </c>
      <c r="AG20" s="78">
        <v>-265.67</v>
      </c>
    </row>
    <row r="21" spans="1:33" x14ac:dyDescent="0.25">
      <c r="A21" t="str">
        <f t="shared" si="0"/>
        <v>2021-20</v>
      </c>
      <c r="B21" s="1">
        <f t="shared" si="1"/>
        <v>44228</v>
      </c>
      <c r="C21" t="str">
        <f t="shared" si="2"/>
        <v>12021006/Franz Hauer GmbH + Co KG</v>
      </c>
      <c r="D21" t="str">
        <f t="shared" si="3"/>
        <v>Einnahmen</v>
      </c>
      <c r="E21" t="str">
        <f t="shared" si="3"/>
        <v>Waren-/Leistungserlöse</v>
      </c>
      <c r="F21" s="117">
        <f t="shared" si="4"/>
        <v>236.256</v>
      </c>
      <c r="G21" t="str">
        <f t="shared" si="5"/>
        <v>20%</v>
      </c>
      <c r="I21" s="53">
        <v>2021</v>
      </c>
      <c r="J21" s="53">
        <v>20</v>
      </c>
      <c r="K21" s="71" t="s">
        <v>708</v>
      </c>
      <c r="L21" t="s">
        <v>709</v>
      </c>
      <c r="M21" s="9" t="s">
        <v>1459</v>
      </c>
      <c r="N21" s="1">
        <v>44228</v>
      </c>
      <c r="O21" t="s">
        <v>933</v>
      </c>
      <c r="Q21" s="76"/>
      <c r="R21" t="b">
        <v>0</v>
      </c>
      <c r="S21" s="48">
        <v>196.88</v>
      </c>
      <c r="T21" s="72">
        <v>1</v>
      </c>
      <c r="U21">
        <v>20</v>
      </c>
      <c r="V21" s="31">
        <v>39.375999999999998</v>
      </c>
      <c r="W21" s="31">
        <v>39.375999999999998</v>
      </c>
      <c r="X21" s="33">
        <v>196.88</v>
      </c>
      <c r="Y21" s="29">
        <v>236.256</v>
      </c>
      <c r="Z21" s="29">
        <v>236.256</v>
      </c>
      <c r="AA21" s="35">
        <v>44331</v>
      </c>
      <c r="AB21" s="27"/>
      <c r="AC21" s="27"/>
      <c r="AD21" s="58">
        <v>196.88</v>
      </c>
      <c r="AE21" s="31">
        <v>0</v>
      </c>
      <c r="AF21" t="b">
        <v>0</v>
      </c>
      <c r="AG21" s="78">
        <v>196.88</v>
      </c>
    </row>
    <row r="22" spans="1:33" x14ac:dyDescent="0.25">
      <c r="A22" t="str">
        <f t="shared" si="0"/>
        <v>2021-21</v>
      </c>
      <c r="B22" s="1">
        <f t="shared" si="1"/>
        <v>44228</v>
      </c>
      <c r="C22" t="str">
        <f t="shared" si="2"/>
        <v>21/9801/VS00038/Bontus Immobilienverwaltung GmbH, 1010 Wien, Franz Josefs Kai 65</v>
      </c>
      <c r="D22" t="str">
        <f t="shared" si="3"/>
        <v>Ausgaben</v>
      </c>
      <c r="E22" t="str">
        <f t="shared" si="3"/>
        <v>Miet- und Pachtaufwand, Leasing</v>
      </c>
      <c r="F22" s="117">
        <f t="shared" si="4"/>
        <v>554.928</v>
      </c>
      <c r="G22" t="str">
        <f t="shared" si="5"/>
        <v>20%</v>
      </c>
      <c r="I22" s="53">
        <v>2021</v>
      </c>
      <c r="J22" s="53">
        <v>21</v>
      </c>
      <c r="K22" s="71" t="s">
        <v>105</v>
      </c>
      <c r="L22" t="s">
        <v>691</v>
      </c>
      <c r="M22" s="9" t="s">
        <v>1521</v>
      </c>
      <c r="N22" s="1">
        <v>44228</v>
      </c>
      <c r="O22" t="s">
        <v>1113</v>
      </c>
      <c r="Q22" s="76"/>
      <c r="R22" t="b">
        <v>0</v>
      </c>
      <c r="S22" s="48">
        <v>462.44</v>
      </c>
      <c r="T22" s="72">
        <v>1</v>
      </c>
      <c r="U22">
        <v>20</v>
      </c>
      <c r="V22" s="31">
        <v>92.488</v>
      </c>
      <c r="W22" s="31">
        <v>92.488</v>
      </c>
      <c r="X22" s="33">
        <v>462.44</v>
      </c>
      <c r="Y22" s="29">
        <v>554.928</v>
      </c>
      <c r="Z22" s="29">
        <v>554.928</v>
      </c>
      <c r="AA22" s="35">
        <v>44331</v>
      </c>
      <c r="AB22" s="27"/>
      <c r="AC22" s="27"/>
      <c r="AD22" s="58">
        <v>462.44</v>
      </c>
      <c r="AE22" s="31">
        <v>0</v>
      </c>
      <c r="AF22" t="b">
        <v>0</v>
      </c>
      <c r="AG22" s="78">
        <v>-462.44</v>
      </c>
    </row>
    <row r="23" spans="1:33" x14ac:dyDescent="0.25">
      <c r="A23" t="str">
        <f t="shared" si="0"/>
        <v>2021-22</v>
      </c>
      <c r="B23" s="1">
        <f t="shared" si="1"/>
        <v>44229</v>
      </c>
      <c r="C23" t="str">
        <f t="shared" si="2"/>
        <v>4293000000019290/car2go Österreich GmbH, Hintere Zollamtstraße 9, 1030 Wien</v>
      </c>
      <c r="D23" t="str">
        <f t="shared" si="3"/>
        <v>Ausgaben</v>
      </c>
      <c r="E23" t="str">
        <f t="shared" si="3"/>
        <v>Reise- und Fahrtspesen inkl. Kilometergeld und Diäten</v>
      </c>
      <c r="F23" s="117">
        <f t="shared" si="4"/>
        <v>41.843999999999994</v>
      </c>
      <c r="G23" t="str">
        <f t="shared" si="5"/>
        <v>20%</v>
      </c>
      <c r="I23" s="53">
        <v>2021</v>
      </c>
      <c r="J23" s="53">
        <v>22</v>
      </c>
      <c r="K23" s="71" t="s">
        <v>105</v>
      </c>
      <c r="L23" t="s">
        <v>689</v>
      </c>
      <c r="M23" s="131" t="s">
        <v>1460</v>
      </c>
      <c r="N23" s="1">
        <v>44229</v>
      </c>
      <c r="O23" t="s">
        <v>974</v>
      </c>
      <c r="Q23" s="76"/>
      <c r="R23" t="b">
        <v>0</v>
      </c>
      <c r="S23" s="48">
        <v>34.869999999999997</v>
      </c>
      <c r="T23" s="72">
        <v>1</v>
      </c>
      <c r="U23">
        <v>20</v>
      </c>
      <c r="V23" s="31">
        <v>6.9740000000000002</v>
      </c>
      <c r="W23" s="31">
        <v>6.9740000000000002</v>
      </c>
      <c r="X23" s="33">
        <v>34.869999999999997</v>
      </c>
      <c r="Y23" s="29">
        <v>41.843999999999994</v>
      </c>
      <c r="Z23" s="29">
        <v>41.843999999999994</v>
      </c>
      <c r="AA23" s="35">
        <v>44331</v>
      </c>
      <c r="AB23" s="27"/>
      <c r="AC23" s="27"/>
      <c r="AD23" s="58">
        <v>34.869999999999997</v>
      </c>
      <c r="AE23" s="31">
        <v>0</v>
      </c>
      <c r="AF23" t="b">
        <v>0</v>
      </c>
      <c r="AG23" s="78">
        <v>-34.869999999999997</v>
      </c>
    </row>
    <row r="24" spans="1:33" x14ac:dyDescent="0.25">
      <c r="A24" t="str">
        <f t="shared" si="0"/>
        <v>2021-23</v>
      </c>
      <c r="B24" s="1">
        <f t="shared" si="1"/>
        <v>44229</v>
      </c>
      <c r="C24" t="str">
        <f t="shared" si="2"/>
        <v>12020036/DCF - Digital Coding Factory GmbH, Bauernfeldgasse 4/12 1090 Wien</v>
      </c>
      <c r="D24" t="str">
        <f t="shared" si="3"/>
        <v>Einnahmen</v>
      </c>
      <c r="E24" t="str">
        <f t="shared" si="3"/>
        <v>Waren-/Leistungserlöse</v>
      </c>
      <c r="F24" s="117">
        <f t="shared" si="4"/>
        <v>10008</v>
      </c>
      <c r="G24" t="str">
        <f t="shared" si="5"/>
        <v>20%</v>
      </c>
      <c r="I24" s="53">
        <v>2021</v>
      </c>
      <c r="J24" s="53">
        <v>23</v>
      </c>
      <c r="K24" s="71" t="s">
        <v>708</v>
      </c>
      <c r="L24" t="s">
        <v>709</v>
      </c>
      <c r="M24" s="9">
        <v>12020036</v>
      </c>
      <c r="N24" s="1">
        <v>44229</v>
      </c>
      <c r="O24" t="s">
        <v>1266</v>
      </c>
      <c r="Q24" s="76"/>
      <c r="R24" t="b">
        <v>0</v>
      </c>
      <c r="S24" s="48">
        <v>8340</v>
      </c>
      <c r="T24" s="72">
        <v>1</v>
      </c>
      <c r="U24">
        <v>20</v>
      </c>
      <c r="V24" s="31">
        <v>1668</v>
      </c>
      <c r="W24" s="31">
        <v>1668</v>
      </c>
      <c r="X24" s="33">
        <v>8340</v>
      </c>
      <c r="Y24" s="29">
        <v>10008</v>
      </c>
      <c r="Z24" s="29">
        <v>10008</v>
      </c>
      <c r="AA24" s="35">
        <v>44331</v>
      </c>
      <c r="AB24" s="27"/>
      <c r="AC24" s="27"/>
      <c r="AD24" s="58">
        <v>8340</v>
      </c>
      <c r="AE24" s="31">
        <v>0</v>
      </c>
      <c r="AF24" t="b">
        <v>0</v>
      </c>
      <c r="AG24" s="78">
        <v>8340</v>
      </c>
    </row>
    <row r="25" spans="1:33" x14ac:dyDescent="0.25">
      <c r="A25" t="str">
        <f t="shared" si="0"/>
        <v>2021-24</v>
      </c>
      <c r="B25" s="1">
        <f t="shared" si="1"/>
        <v>44204</v>
      </c>
      <c r="C25" t="str">
        <f t="shared" si="2"/>
        <v>60793/100/2021/easy green energy GmbH &amp; Co KG</v>
      </c>
      <c r="D25" t="str">
        <f t="shared" si="3"/>
        <v>Ausgaben</v>
      </c>
      <c r="E25" t="str">
        <f t="shared" si="3"/>
        <v>sonstige Betriebsausgaben</v>
      </c>
      <c r="F25" s="117">
        <f t="shared" si="4"/>
        <v>3</v>
      </c>
      <c r="G25" t="str">
        <f t="shared" si="5"/>
        <v>20%</v>
      </c>
      <c r="I25" s="53">
        <v>2021</v>
      </c>
      <c r="J25" s="53">
        <v>24</v>
      </c>
      <c r="K25" s="71" t="s">
        <v>105</v>
      </c>
      <c r="L25" t="s">
        <v>705</v>
      </c>
      <c r="M25" s="9" t="s">
        <v>1505</v>
      </c>
      <c r="N25" s="1">
        <v>44204</v>
      </c>
      <c r="O25" t="s">
        <v>1364</v>
      </c>
      <c r="Q25" s="76"/>
      <c r="R25" t="b">
        <v>0</v>
      </c>
      <c r="S25" s="48">
        <v>2.5</v>
      </c>
      <c r="T25" s="72">
        <v>1</v>
      </c>
      <c r="U25">
        <v>20</v>
      </c>
      <c r="V25" s="31">
        <v>0.5</v>
      </c>
      <c r="W25" s="31">
        <v>0.5</v>
      </c>
      <c r="X25" s="33">
        <v>2.5</v>
      </c>
      <c r="Y25" s="29">
        <v>3</v>
      </c>
      <c r="Z25" s="29">
        <v>3</v>
      </c>
      <c r="AA25" s="35">
        <v>44331</v>
      </c>
      <c r="AB25" s="27"/>
      <c r="AC25" s="27"/>
      <c r="AD25" s="58">
        <v>2.5</v>
      </c>
      <c r="AE25" s="31">
        <v>0</v>
      </c>
      <c r="AF25" t="b">
        <v>0</v>
      </c>
      <c r="AG25" s="78">
        <v>-2.5</v>
      </c>
    </row>
    <row r="26" spans="1:33" x14ac:dyDescent="0.25">
      <c r="A26" t="str">
        <f t="shared" si="0"/>
        <v>2021-25</v>
      </c>
      <c r="B26" s="1">
        <f t="shared" si="1"/>
        <v>44231</v>
      </c>
      <c r="C26" t="str">
        <f t="shared" si="2"/>
        <v>6215644767/Hutchison Drei Austria GmbH, Brünner Straße 52, 1210 Wien, Österreich</v>
      </c>
      <c r="D26" t="str">
        <f t="shared" si="3"/>
        <v>Ausgaben</v>
      </c>
      <c r="E26" t="str">
        <f t="shared" si="3"/>
        <v>Telefon/Internet</v>
      </c>
      <c r="F26" s="117">
        <f t="shared" si="4"/>
        <v>18</v>
      </c>
      <c r="G26" t="str">
        <f t="shared" si="5"/>
        <v>20%</v>
      </c>
      <c r="I26" s="53">
        <v>2021</v>
      </c>
      <c r="J26" s="53">
        <v>25</v>
      </c>
      <c r="K26" s="71" t="s">
        <v>105</v>
      </c>
      <c r="L26" t="s">
        <v>703</v>
      </c>
      <c r="M26" s="9" t="s">
        <v>1450</v>
      </c>
      <c r="N26" s="1">
        <v>44231</v>
      </c>
      <c r="O26" t="s">
        <v>34</v>
      </c>
      <c r="Q26" s="76"/>
      <c r="R26" t="b">
        <v>0</v>
      </c>
      <c r="S26" s="48">
        <v>15</v>
      </c>
      <c r="T26" s="72">
        <v>1</v>
      </c>
      <c r="U26">
        <v>20</v>
      </c>
      <c r="V26" s="31">
        <v>3</v>
      </c>
      <c r="W26" s="31">
        <v>3</v>
      </c>
      <c r="X26" s="33">
        <v>15</v>
      </c>
      <c r="Y26" s="29">
        <v>18</v>
      </c>
      <c r="Z26" s="29">
        <v>18</v>
      </c>
      <c r="AA26" s="35">
        <v>44331</v>
      </c>
      <c r="AB26" s="27"/>
      <c r="AC26" s="27"/>
      <c r="AD26" s="58">
        <v>15</v>
      </c>
      <c r="AE26" s="31">
        <v>0</v>
      </c>
      <c r="AF26" t="b">
        <v>0</v>
      </c>
      <c r="AG26" s="78">
        <v>-15</v>
      </c>
    </row>
    <row r="27" spans="1:33" x14ac:dyDescent="0.25">
      <c r="A27" t="str">
        <f t="shared" si="0"/>
        <v>2021-26</v>
      </c>
      <c r="B27" s="1">
        <f t="shared" si="1"/>
        <v>44232</v>
      </c>
      <c r="C27" t="str">
        <f t="shared" si="2"/>
        <v>VS/19-01-05428/Techem Messtechnik GmbH; Abnehmernummer 501686-0003-11-( (NACHTRAG 25.12.)</v>
      </c>
      <c r="D27" t="str">
        <f t="shared" si="3"/>
        <v>Ausgaben</v>
      </c>
      <c r="E27" t="str">
        <f t="shared" si="3"/>
        <v>sonstige Betriebsausgaben</v>
      </c>
      <c r="F27" s="117">
        <f t="shared" si="4"/>
        <v>42</v>
      </c>
      <c r="G27" t="str">
        <f t="shared" si="5"/>
        <v>20%</v>
      </c>
      <c r="I27" s="53">
        <v>2021</v>
      </c>
      <c r="J27" s="53">
        <v>26</v>
      </c>
      <c r="K27" s="71" t="s">
        <v>105</v>
      </c>
      <c r="L27" t="s">
        <v>705</v>
      </c>
      <c r="M27" s="9" t="s">
        <v>1143</v>
      </c>
      <c r="N27" s="1">
        <v>44232</v>
      </c>
      <c r="O27" t="s">
        <v>1437</v>
      </c>
      <c r="Q27" s="76"/>
      <c r="R27" t="b">
        <v>0</v>
      </c>
      <c r="S27" s="48">
        <v>35</v>
      </c>
      <c r="T27" s="72">
        <v>1</v>
      </c>
      <c r="U27">
        <v>20</v>
      </c>
      <c r="V27" s="31">
        <v>7</v>
      </c>
      <c r="W27" s="31">
        <v>7</v>
      </c>
      <c r="X27" s="33">
        <v>35</v>
      </c>
      <c r="Y27" s="29">
        <v>42</v>
      </c>
      <c r="Z27" s="29">
        <v>42</v>
      </c>
      <c r="AA27" s="35">
        <v>44331</v>
      </c>
      <c r="AB27" s="27"/>
      <c r="AC27" s="27"/>
      <c r="AD27" s="58">
        <v>35</v>
      </c>
      <c r="AE27" s="31">
        <v>0</v>
      </c>
      <c r="AF27" t="b">
        <v>0</v>
      </c>
      <c r="AG27" s="78">
        <v>-35</v>
      </c>
    </row>
    <row r="28" spans="1:33" x14ac:dyDescent="0.25">
      <c r="A28" t="str">
        <f t="shared" si="0"/>
        <v>2021-27</v>
      </c>
      <c r="B28" s="1">
        <f t="shared" si="1"/>
        <v>44232</v>
      </c>
      <c r="C28" t="str">
        <f t="shared" si="2"/>
        <v>10204/Ryan Cramer Design, LLC, 204 Clarion Ave, Decatur, GA 30030, USA: ProcessWire ProCache Dev License for USD 169,00</v>
      </c>
      <c r="D28" t="str">
        <f t="shared" si="3"/>
        <v>Ausgaben</v>
      </c>
      <c r="E28" t="str">
        <f t="shared" si="3"/>
        <v>Lizenzgebühren</v>
      </c>
      <c r="F28" s="117">
        <f t="shared" si="4"/>
        <v>142.91999999999999</v>
      </c>
      <c r="G28" t="str">
        <f t="shared" si="5"/>
        <v>0%</v>
      </c>
      <c r="I28" s="53">
        <v>2021</v>
      </c>
      <c r="J28" s="53">
        <v>27</v>
      </c>
      <c r="K28" s="71" t="s">
        <v>105</v>
      </c>
      <c r="L28" t="s">
        <v>692</v>
      </c>
      <c r="M28" s="131">
        <v>10204</v>
      </c>
      <c r="N28" s="1">
        <v>44232</v>
      </c>
      <c r="O28" t="s">
        <v>1462</v>
      </c>
      <c r="Q28" s="76"/>
      <c r="R28" t="b">
        <v>0</v>
      </c>
      <c r="S28" s="48">
        <v>142.91999999999999</v>
      </c>
      <c r="T28" s="72">
        <v>1</v>
      </c>
      <c r="U28">
        <v>0</v>
      </c>
      <c r="V28" s="31">
        <v>0</v>
      </c>
      <c r="W28" s="31">
        <v>0</v>
      </c>
      <c r="X28" s="33">
        <v>142.91999999999999</v>
      </c>
      <c r="Y28" s="29">
        <v>142.91999999999999</v>
      </c>
      <c r="Z28" s="29">
        <v>142.91999999999999</v>
      </c>
      <c r="AA28" s="35">
        <v>44331</v>
      </c>
      <c r="AB28" s="27"/>
      <c r="AC28" s="27"/>
      <c r="AD28" s="58">
        <v>142.91999999999999</v>
      </c>
      <c r="AE28" s="31">
        <v>0</v>
      </c>
      <c r="AF28" t="b">
        <v>0</v>
      </c>
      <c r="AG28" s="78">
        <v>-142.91999999999999</v>
      </c>
    </row>
    <row r="29" spans="1:33" x14ac:dyDescent="0.25">
      <c r="A29" t="str">
        <f t="shared" si="0"/>
        <v>2021-28</v>
      </c>
      <c r="B29" s="1">
        <f t="shared" si="1"/>
        <v>44235</v>
      </c>
      <c r="C29" t="str">
        <f t="shared" si="2"/>
        <v>12021002/Paperholic all bout paper e.U.</v>
      </c>
      <c r="D29" t="str">
        <f t="shared" si="3"/>
        <v>Einnahmen</v>
      </c>
      <c r="E29" t="str">
        <f t="shared" si="3"/>
        <v>Waren-/Leistungserlöse</v>
      </c>
      <c r="F29" s="117">
        <f t="shared" si="4"/>
        <v>551.25599999999997</v>
      </c>
      <c r="G29" t="str">
        <f t="shared" si="5"/>
        <v>20%</v>
      </c>
      <c r="I29" s="53">
        <v>2021</v>
      </c>
      <c r="J29" s="53">
        <v>28</v>
      </c>
      <c r="K29" s="71" t="s">
        <v>708</v>
      </c>
      <c r="L29" t="s">
        <v>709</v>
      </c>
      <c r="M29" s="9" t="s">
        <v>1463</v>
      </c>
      <c r="N29" s="1">
        <v>44235</v>
      </c>
      <c r="O29" t="s">
        <v>1388</v>
      </c>
      <c r="Q29" s="76"/>
      <c r="R29" t="b">
        <v>0</v>
      </c>
      <c r="S29" s="48">
        <v>459.38</v>
      </c>
      <c r="T29" s="72">
        <v>1</v>
      </c>
      <c r="U29">
        <v>20</v>
      </c>
      <c r="V29" s="31">
        <v>91.876000000000005</v>
      </c>
      <c r="W29" s="31">
        <v>91.876000000000005</v>
      </c>
      <c r="X29" s="33">
        <v>459.38</v>
      </c>
      <c r="Y29" s="29">
        <v>551.25599999999997</v>
      </c>
      <c r="Z29" s="29">
        <v>551.25599999999997</v>
      </c>
      <c r="AA29" s="35">
        <v>44331</v>
      </c>
      <c r="AB29" s="27"/>
      <c r="AC29" s="27"/>
      <c r="AD29" s="58">
        <v>459.38</v>
      </c>
      <c r="AE29" s="31">
        <v>0</v>
      </c>
      <c r="AF29" t="b">
        <v>0</v>
      </c>
      <c r="AG29" s="78">
        <v>459.38</v>
      </c>
    </row>
    <row r="30" spans="1:33" x14ac:dyDescent="0.25">
      <c r="A30" t="str">
        <f t="shared" si="0"/>
        <v>2021-29</v>
      </c>
      <c r="B30" s="1">
        <f t="shared" si="1"/>
        <v>44235</v>
      </c>
      <c r="C30" t="str">
        <f t="shared" si="2"/>
        <v>R0012743958/Hetzner Online GmbH</v>
      </c>
      <c r="D30" t="str">
        <f t="shared" si="3"/>
        <v>Ausgaben</v>
      </c>
      <c r="E30" t="str">
        <f t="shared" si="3"/>
        <v>sonstige Betriebsausgaben</v>
      </c>
      <c r="F30" s="117">
        <f t="shared" si="4"/>
        <v>2.4900000000000002</v>
      </c>
      <c r="G30" t="str">
        <f t="shared" si="5"/>
        <v>0%</v>
      </c>
      <c r="I30" s="53">
        <v>2021</v>
      </c>
      <c r="J30" s="53">
        <v>29</v>
      </c>
      <c r="K30" s="71" t="s">
        <v>105</v>
      </c>
      <c r="L30" t="s">
        <v>705</v>
      </c>
      <c r="M30" s="9" t="s">
        <v>1464</v>
      </c>
      <c r="N30" s="1">
        <v>44235</v>
      </c>
      <c r="O30" t="s">
        <v>927</v>
      </c>
      <c r="Q30" s="76" t="s">
        <v>958</v>
      </c>
      <c r="R30" t="b">
        <v>0</v>
      </c>
      <c r="S30" s="48">
        <v>2.4900000000000002</v>
      </c>
      <c r="T30" s="72">
        <v>1</v>
      </c>
      <c r="U30">
        <v>0</v>
      </c>
      <c r="V30" s="31">
        <v>0</v>
      </c>
      <c r="W30" s="31">
        <v>0</v>
      </c>
      <c r="X30" s="33">
        <v>2.4900000000000002</v>
      </c>
      <c r="Y30" s="29">
        <v>2.4900000000000002</v>
      </c>
      <c r="Z30" s="29">
        <v>2.4900000000000002</v>
      </c>
      <c r="AA30" s="35">
        <v>44331</v>
      </c>
      <c r="AB30" s="27"/>
      <c r="AC30" s="27">
        <v>20</v>
      </c>
      <c r="AD30" s="58">
        <v>2.4900000000000002</v>
      </c>
      <c r="AE30" s="31">
        <v>0.49800000000000005</v>
      </c>
      <c r="AF30" t="b">
        <v>0</v>
      </c>
      <c r="AG30" s="78">
        <v>-2.4900000000000002</v>
      </c>
    </row>
    <row r="31" spans="1:33" x14ac:dyDescent="0.25">
      <c r="A31" t="str">
        <f t="shared" si="0"/>
        <v>2021-30</v>
      </c>
      <c r="B31" s="1">
        <f t="shared" si="1"/>
        <v>44237</v>
      </c>
      <c r="C31" t="str">
        <f t="shared" si="2"/>
        <v>5137082649/Wiener Netze GmbH, Erdbergstraße 236, 1110 Wien, Postfach 422; Jahresabrechnung vom 17.12.20: GUTSCHRIFT</v>
      </c>
      <c r="D31" t="str">
        <f t="shared" si="3"/>
        <v>Ausgaben</v>
      </c>
      <c r="E31" t="str">
        <f t="shared" si="3"/>
        <v>sonstige Betriebsausgaben</v>
      </c>
      <c r="F31" s="117">
        <f t="shared" si="4"/>
        <v>15.6</v>
      </c>
      <c r="G31" t="str">
        <f t="shared" si="5"/>
        <v>20%</v>
      </c>
      <c r="I31" s="53">
        <v>2021</v>
      </c>
      <c r="J31" s="53">
        <v>30</v>
      </c>
      <c r="K31" s="71" t="s">
        <v>105</v>
      </c>
      <c r="L31" t="s">
        <v>705</v>
      </c>
      <c r="M31" s="9" t="s">
        <v>1465</v>
      </c>
      <c r="N31" s="1">
        <v>44237</v>
      </c>
      <c r="O31" t="s">
        <v>1466</v>
      </c>
      <c r="Q31" s="76"/>
      <c r="R31" t="b">
        <v>0</v>
      </c>
      <c r="S31" s="48">
        <v>13</v>
      </c>
      <c r="T31" s="72">
        <v>1</v>
      </c>
      <c r="U31">
        <v>20</v>
      </c>
      <c r="V31" s="31">
        <v>2.6</v>
      </c>
      <c r="W31" s="31">
        <v>2.6</v>
      </c>
      <c r="X31" s="33">
        <v>13</v>
      </c>
      <c r="Y31" s="29">
        <v>15.6</v>
      </c>
      <c r="Z31" s="29">
        <v>15.6</v>
      </c>
      <c r="AA31" s="35">
        <v>44331</v>
      </c>
      <c r="AB31" s="27"/>
      <c r="AC31" s="27"/>
      <c r="AD31" s="58">
        <v>13</v>
      </c>
      <c r="AE31" s="31">
        <v>0</v>
      </c>
      <c r="AF31" t="b">
        <v>0</v>
      </c>
      <c r="AG31" s="78">
        <v>-13</v>
      </c>
    </row>
    <row r="32" spans="1:33" x14ac:dyDescent="0.25">
      <c r="A32" t="str">
        <f t="shared" si="0"/>
        <v>2021-31</v>
      </c>
      <c r="B32" s="1">
        <f t="shared" si="1"/>
        <v>44238</v>
      </c>
      <c r="C32" t="str">
        <f t="shared" si="2"/>
        <v>R0012789151/Hetzner Online GmbH</v>
      </c>
      <c r="D32" t="str">
        <f t="shared" si="3"/>
        <v>Ausgaben</v>
      </c>
      <c r="E32" t="str">
        <f t="shared" si="3"/>
        <v>sonstige Betriebsausgaben</v>
      </c>
      <c r="F32" s="117">
        <f t="shared" si="4"/>
        <v>46.916800000000002</v>
      </c>
      <c r="G32" t="str">
        <f t="shared" si="5"/>
        <v>0%</v>
      </c>
      <c r="I32" s="53">
        <v>2021</v>
      </c>
      <c r="J32" s="53">
        <v>31</v>
      </c>
      <c r="K32" s="71" t="s">
        <v>105</v>
      </c>
      <c r="L32" t="s">
        <v>705</v>
      </c>
      <c r="M32" s="9" t="s">
        <v>1491</v>
      </c>
      <c r="N32" s="1">
        <v>44238</v>
      </c>
      <c r="O32" t="s">
        <v>927</v>
      </c>
      <c r="Q32" s="76"/>
      <c r="R32" t="b">
        <v>0</v>
      </c>
      <c r="S32" s="48">
        <v>46.916800000000002</v>
      </c>
      <c r="T32" s="72">
        <v>1</v>
      </c>
      <c r="U32">
        <v>0</v>
      </c>
      <c r="V32" s="31">
        <v>0</v>
      </c>
      <c r="W32" s="31">
        <v>0</v>
      </c>
      <c r="X32" s="33">
        <v>46.916800000000002</v>
      </c>
      <c r="Y32" s="29">
        <v>46.916800000000002</v>
      </c>
      <c r="Z32" s="29">
        <v>46.916800000000002</v>
      </c>
      <c r="AA32" s="35">
        <v>44331</v>
      </c>
      <c r="AB32" s="27"/>
      <c r="AC32" s="27">
        <v>20</v>
      </c>
      <c r="AD32" s="58">
        <v>46.916800000000002</v>
      </c>
      <c r="AE32" s="31">
        <v>9.3833600000000015</v>
      </c>
      <c r="AF32" t="b">
        <v>0</v>
      </c>
      <c r="AG32" s="78">
        <v>-46.916800000000002</v>
      </c>
    </row>
    <row r="33" spans="1:33" x14ac:dyDescent="0.25">
      <c r="A33" t="str">
        <f t="shared" si="0"/>
        <v>2021-32</v>
      </c>
      <c r="B33" s="1">
        <f t="shared" si="1"/>
        <v>44242</v>
      </c>
      <c r="C33" t="str">
        <f t="shared" si="2"/>
        <v>60793/100/2021/easy green energy GmbH &amp; Co KG</v>
      </c>
      <c r="D33" t="str">
        <f t="shared" si="3"/>
        <v>Ausgaben</v>
      </c>
      <c r="E33" t="str">
        <f t="shared" si="3"/>
        <v>sonstige Betriebsausgaben</v>
      </c>
      <c r="F33" s="117">
        <f t="shared" si="4"/>
        <v>-12.396000000000001</v>
      </c>
      <c r="G33" t="str">
        <f t="shared" si="5"/>
        <v>20%</v>
      </c>
      <c r="I33" s="53">
        <v>2021</v>
      </c>
      <c r="J33" s="53">
        <v>32</v>
      </c>
      <c r="K33" s="71" t="s">
        <v>105</v>
      </c>
      <c r="L33" t="s">
        <v>705</v>
      </c>
      <c r="M33" s="9" t="s">
        <v>1505</v>
      </c>
      <c r="N33" s="1">
        <v>44242</v>
      </c>
      <c r="O33" t="s">
        <v>1364</v>
      </c>
      <c r="Q33" s="76"/>
      <c r="R33" t="b">
        <v>0</v>
      </c>
      <c r="S33" s="48">
        <v>-10.33</v>
      </c>
      <c r="T33" s="72">
        <v>1</v>
      </c>
      <c r="U33">
        <v>20</v>
      </c>
      <c r="V33" s="31">
        <v>-2.0659999999999998</v>
      </c>
      <c r="W33" s="31">
        <v>-2.0659999999999998</v>
      </c>
      <c r="X33" s="33">
        <v>-10.33</v>
      </c>
      <c r="Y33" s="29">
        <v>-12.396000000000001</v>
      </c>
      <c r="Z33" s="29">
        <v>-12.396000000000001</v>
      </c>
      <c r="AA33" s="35">
        <v>44331</v>
      </c>
      <c r="AB33" s="27"/>
      <c r="AC33" s="27"/>
      <c r="AD33" s="58">
        <v>-10.33</v>
      </c>
      <c r="AE33" s="31">
        <v>0</v>
      </c>
      <c r="AF33" t="b">
        <v>0</v>
      </c>
      <c r="AG33" s="78">
        <v>10.33</v>
      </c>
    </row>
    <row r="34" spans="1:33" x14ac:dyDescent="0.25">
      <c r="A34" t="str">
        <f t="shared" si="0"/>
        <v>2021-33</v>
      </c>
      <c r="B34" s="1">
        <f t="shared" si="1"/>
        <v>44244</v>
      </c>
      <c r="C34" t="str">
        <f t="shared" si="2"/>
        <v>EIN21/0001210/A-Trust Gesellschaft für Sicherheitssysteme im elektronischen Datenverkehr GmbH, Landstraßer Hauptstraße 1b, E02, A-1030 Wien: a.sign light Zertifikat Nutzung 1J, Signaturvertrag 158279472050</v>
      </c>
      <c r="D34" t="str">
        <f t="shared" si="3"/>
        <v>Ausgaben</v>
      </c>
      <c r="E34" t="str">
        <f t="shared" si="3"/>
        <v>sonstige Betriebsausgaben</v>
      </c>
      <c r="F34" s="117">
        <f t="shared" si="4"/>
        <v>14.496</v>
      </c>
      <c r="G34" t="str">
        <f t="shared" si="5"/>
        <v>20%</v>
      </c>
      <c r="I34" s="53">
        <v>2021</v>
      </c>
      <c r="J34" s="53">
        <v>33</v>
      </c>
      <c r="K34" s="71" t="s">
        <v>105</v>
      </c>
      <c r="L34" t="s">
        <v>705</v>
      </c>
      <c r="M34" s="9" t="s">
        <v>1493</v>
      </c>
      <c r="N34" s="1">
        <v>44244</v>
      </c>
      <c r="O34" t="s">
        <v>1020</v>
      </c>
      <c r="Q34" s="76"/>
      <c r="R34" t="b">
        <v>0</v>
      </c>
      <c r="S34" s="48">
        <v>12.08</v>
      </c>
      <c r="T34" s="72">
        <v>1</v>
      </c>
      <c r="U34">
        <v>20</v>
      </c>
      <c r="V34" s="31">
        <v>2.4159999999999999</v>
      </c>
      <c r="W34" s="31">
        <v>2.4159999999999999</v>
      </c>
      <c r="X34" s="33">
        <v>12.08</v>
      </c>
      <c r="Y34" s="29">
        <v>14.496</v>
      </c>
      <c r="Z34" s="29">
        <v>14.496</v>
      </c>
      <c r="AA34" s="35">
        <v>44331</v>
      </c>
      <c r="AB34" s="27"/>
      <c r="AC34" s="27"/>
      <c r="AD34" s="58">
        <v>12.08</v>
      </c>
      <c r="AE34" s="31">
        <v>0</v>
      </c>
      <c r="AF34" t="b">
        <v>0</v>
      </c>
      <c r="AG34" s="78">
        <v>-12.08</v>
      </c>
    </row>
    <row r="35" spans="1:33" x14ac:dyDescent="0.25">
      <c r="A35" t="str">
        <f t="shared" si="0"/>
        <v>2021-34</v>
      </c>
      <c r="B35" s="1">
        <f t="shared" si="1"/>
        <v>44246</v>
      </c>
      <c r="C35" t="str">
        <f t="shared" si="2"/>
        <v>901195220221/Magenta: T-Mobile Austria GmbH, A-1120 Wien, PF 47</v>
      </c>
      <c r="D35" t="str">
        <f t="shared" si="3"/>
        <v>Ausgaben</v>
      </c>
      <c r="E35" t="str">
        <f t="shared" si="3"/>
        <v>Telefon/Internet</v>
      </c>
      <c r="F35" s="117">
        <f t="shared" si="4"/>
        <v>12.852</v>
      </c>
      <c r="G35" t="str">
        <f t="shared" si="5"/>
        <v>20%</v>
      </c>
      <c r="I35" s="53">
        <v>2021</v>
      </c>
      <c r="J35" s="53">
        <v>34</v>
      </c>
      <c r="K35" s="71" t="s">
        <v>105</v>
      </c>
      <c r="L35" t="s">
        <v>703</v>
      </c>
      <c r="M35" s="9" t="s">
        <v>1492</v>
      </c>
      <c r="N35" s="1">
        <v>44246</v>
      </c>
      <c r="O35" t="s">
        <v>1148</v>
      </c>
      <c r="Q35" s="76"/>
      <c r="R35" t="b">
        <v>0</v>
      </c>
      <c r="S35" s="48">
        <v>10.71</v>
      </c>
      <c r="T35" s="72">
        <v>1</v>
      </c>
      <c r="U35">
        <v>20</v>
      </c>
      <c r="V35" s="31">
        <v>2.1420000000000003</v>
      </c>
      <c r="W35" s="31">
        <v>2.1420000000000003</v>
      </c>
      <c r="X35" s="33">
        <v>10.71</v>
      </c>
      <c r="Y35" s="29">
        <v>12.852</v>
      </c>
      <c r="Z35" s="29">
        <v>12.852</v>
      </c>
      <c r="AA35" s="35">
        <v>44331</v>
      </c>
      <c r="AB35" s="27"/>
      <c r="AC35" s="27"/>
      <c r="AD35" s="58">
        <v>10.71</v>
      </c>
      <c r="AE35" s="31">
        <v>0</v>
      </c>
      <c r="AF35" t="b">
        <v>0</v>
      </c>
      <c r="AG35" s="78">
        <v>-10.71</v>
      </c>
    </row>
    <row r="36" spans="1:33" x14ac:dyDescent="0.25">
      <c r="A36" t="str">
        <f t="shared" si="0"/>
        <v>2021-35</v>
      </c>
      <c r="B36" s="1">
        <f t="shared" si="1"/>
        <v>44256</v>
      </c>
      <c r="C36" t="str">
        <f t="shared" si="2"/>
        <v>21/9801/VS00039/Bontus Immobilienverwaltung GmbH, 1010 Wien, Franz Josefs Kai 65</v>
      </c>
      <c r="D36" t="str">
        <f t="shared" si="3"/>
        <v>Ausgaben</v>
      </c>
      <c r="E36" t="str">
        <f t="shared" si="3"/>
        <v>Miet- und Pachtaufwand, Leasing</v>
      </c>
      <c r="F36" s="117">
        <f t="shared" si="4"/>
        <v>554.928</v>
      </c>
      <c r="G36" t="str">
        <f t="shared" si="5"/>
        <v>20%</v>
      </c>
      <c r="I36" s="53">
        <v>2021</v>
      </c>
      <c r="J36" s="53">
        <v>35</v>
      </c>
      <c r="K36" s="71" t="s">
        <v>105</v>
      </c>
      <c r="L36" t="s">
        <v>691</v>
      </c>
      <c r="M36" s="9" t="s">
        <v>1522</v>
      </c>
      <c r="N36" s="1">
        <v>44256</v>
      </c>
      <c r="O36" t="s">
        <v>1113</v>
      </c>
      <c r="Q36" s="76"/>
      <c r="R36" t="b">
        <v>0</v>
      </c>
      <c r="S36" s="48">
        <v>462.44</v>
      </c>
      <c r="T36" s="72">
        <v>1</v>
      </c>
      <c r="U36">
        <v>20</v>
      </c>
      <c r="V36" s="31">
        <v>92.488</v>
      </c>
      <c r="W36" s="31">
        <v>92.488</v>
      </c>
      <c r="X36" s="33">
        <v>462.44</v>
      </c>
      <c r="Y36" s="29">
        <v>554.928</v>
      </c>
      <c r="Z36" s="29">
        <v>554.928</v>
      </c>
      <c r="AA36" s="35">
        <v>44331</v>
      </c>
      <c r="AB36" s="27"/>
      <c r="AC36" s="27"/>
      <c r="AD36" s="58">
        <v>462.44</v>
      </c>
      <c r="AE36" s="31">
        <v>0</v>
      </c>
      <c r="AF36" t="b">
        <v>0</v>
      </c>
      <c r="AG36" s="78">
        <v>-462.44</v>
      </c>
    </row>
    <row r="37" spans="1:33" x14ac:dyDescent="0.25">
      <c r="A37" t="str">
        <f t="shared" si="0"/>
        <v>2021-36</v>
      </c>
      <c r="B37" s="1">
        <f t="shared" si="1"/>
        <v>44257</v>
      </c>
      <c r="C37" t="str">
        <f t="shared" si="2"/>
        <v>223168/Wiener Linien GmbH &amp; Co KG: 8-Tage-Klimakarte</v>
      </c>
      <c r="D37" t="str">
        <f t="shared" si="3"/>
        <v>Ausgaben</v>
      </c>
      <c r="E37" t="str">
        <f t="shared" si="3"/>
        <v>Reise- und Fahrtspesen inkl. Kilometergeld und Diäten</v>
      </c>
      <c r="F37" s="117">
        <f t="shared" si="4"/>
        <v>40.799999999999997</v>
      </c>
      <c r="G37" t="str">
        <f t="shared" si="5"/>
        <v>10%</v>
      </c>
      <c r="I37" s="53">
        <v>2021</v>
      </c>
      <c r="J37" s="53">
        <v>36</v>
      </c>
      <c r="K37" s="71" t="s">
        <v>105</v>
      </c>
      <c r="L37" t="s">
        <v>689</v>
      </c>
      <c r="M37" s="9" t="s">
        <v>1494</v>
      </c>
      <c r="N37" s="1">
        <v>44257</v>
      </c>
      <c r="O37" t="s">
        <v>1495</v>
      </c>
      <c r="Q37" s="76"/>
      <c r="R37" t="b">
        <v>0</v>
      </c>
      <c r="S37" s="48">
        <v>37.090909090909086</v>
      </c>
      <c r="T37" s="72">
        <v>1</v>
      </c>
      <c r="U37">
        <v>10</v>
      </c>
      <c r="V37" s="31">
        <v>3.709090909090909</v>
      </c>
      <c r="W37" s="31">
        <v>3.709090909090909</v>
      </c>
      <c r="X37" s="33">
        <v>37.090909090909086</v>
      </c>
      <c r="Y37" s="29">
        <v>40.799999999999997</v>
      </c>
      <c r="Z37" s="29">
        <v>40.799999999999997</v>
      </c>
      <c r="AA37" s="35">
        <v>44331</v>
      </c>
      <c r="AB37" s="27"/>
      <c r="AC37" s="27"/>
      <c r="AD37" s="58">
        <v>37.090909090909086</v>
      </c>
      <c r="AE37" s="31">
        <v>0</v>
      </c>
      <c r="AF37" t="b">
        <v>0</v>
      </c>
      <c r="AG37" s="78">
        <v>-37.090909090909086</v>
      </c>
    </row>
    <row r="38" spans="1:33" x14ac:dyDescent="0.25">
      <c r="A38" t="str">
        <f t="shared" si="0"/>
        <v>2021-37</v>
      </c>
      <c r="B38" s="1">
        <f t="shared" si="1"/>
        <v>44257</v>
      </c>
      <c r="C38" t="str">
        <f t="shared" si="2"/>
        <v>223166/Wiener Linien GmbH &amp; Co KG: 8-Tage-Klimakarte</v>
      </c>
      <c r="D38" t="str">
        <f t="shared" si="3"/>
        <v>Ausgaben</v>
      </c>
      <c r="E38" t="str">
        <f t="shared" si="3"/>
        <v>Reise- und Fahrtspesen inkl. Kilometergeld und Diäten</v>
      </c>
      <c r="F38" s="117">
        <f t="shared" si="4"/>
        <v>2.4</v>
      </c>
      <c r="G38" t="str">
        <f t="shared" si="5"/>
        <v>10%</v>
      </c>
      <c r="I38" s="53">
        <v>2021</v>
      </c>
      <c r="J38" s="53">
        <v>37</v>
      </c>
      <c r="K38" s="71" t="s">
        <v>105</v>
      </c>
      <c r="L38" t="s">
        <v>689</v>
      </c>
      <c r="M38" s="9" t="s">
        <v>1496</v>
      </c>
      <c r="N38" s="1">
        <v>44257</v>
      </c>
      <c r="O38" t="s">
        <v>1495</v>
      </c>
      <c r="Q38" s="76"/>
      <c r="R38" t="b">
        <v>0</v>
      </c>
      <c r="S38" s="48">
        <v>2.1818181818181817</v>
      </c>
      <c r="T38" s="72">
        <v>1</v>
      </c>
      <c r="U38">
        <v>10</v>
      </c>
      <c r="V38" s="31">
        <v>0.21818181818181817</v>
      </c>
      <c r="W38" s="31">
        <v>0.21818181818181817</v>
      </c>
      <c r="X38" s="33">
        <v>2.1818181818181817</v>
      </c>
      <c r="Y38" s="29">
        <v>2.4</v>
      </c>
      <c r="Z38" s="29">
        <v>2.4</v>
      </c>
      <c r="AA38" s="35">
        <v>44331</v>
      </c>
      <c r="AB38" s="27"/>
      <c r="AC38" s="27"/>
      <c r="AD38" s="58">
        <v>2.1818181818181817</v>
      </c>
      <c r="AE38" s="31">
        <v>0</v>
      </c>
      <c r="AF38" t="b">
        <v>0</v>
      </c>
      <c r="AG38" s="78">
        <v>-2.1818181818181817</v>
      </c>
    </row>
    <row r="39" spans="1:33" x14ac:dyDescent="0.25">
      <c r="A39" t="str">
        <f t="shared" si="0"/>
        <v>2021-38</v>
      </c>
      <c r="B39" s="1">
        <f t="shared" si="1"/>
        <v>44257</v>
      </c>
      <c r="C39" t="str">
        <f t="shared" si="2"/>
        <v>4293000000019830/car2go Österreich GmbH, Hintere Zollamtstraße 9, 1030 Wien</v>
      </c>
      <c r="D39" t="str">
        <f t="shared" si="3"/>
        <v>Ausgaben</v>
      </c>
      <c r="E39" t="str">
        <f t="shared" si="3"/>
        <v>Reise- und Fahrtspesen inkl. Kilometergeld und Diäten</v>
      </c>
      <c r="F39" s="117">
        <f t="shared" si="4"/>
        <v>59.027999999999999</v>
      </c>
      <c r="G39" t="str">
        <f t="shared" si="5"/>
        <v>20%</v>
      </c>
      <c r="I39" s="53">
        <v>2021</v>
      </c>
      <c r="J39" s="53">
        <v>38</v>
      </c>
      <c r="K39" s="71" t="s">
        <v>105</v>
      </c>
      <c r="L39" t="s">
        <v>689</v>
      </c>
      <c r="M39" s="131" t="s">
        <v>1497</v>
      </c>
      <c r="N39" s="1">
        <v>44257</v>
      </c>
      <c r="O39" t="s">
        <v>974</v>
      </c>
      <c r="Q39" s="76"/>
      <c r="R39" t="b">
        <v>0</v>
      </c>
      <c r="S39" s="48">
        <v>49.19</v>
      </c>
      <c r="T39" s="72">
        <v>1</v>
      </c>
      <c r="U39">
        <v>20</v>
      </c>
      <c r="V39" s="31">
        <v>9.8379999999999992</v>
      </c>
      <c r="W39" s="31">
        <v>9.8379999999999992</v>
      </c>
      <c r="X39" s="33">
        <v>49.19</v>
      </c>
      <c r="Y39" s="29">
        <v>59.027999999999999</v>
      </c>
      <c r="Z39" s="29">
        <v>59.027999999999999</v>
      </c>
      <c r="AA39" s="35">
        <v>44331</v>
      </c>
      <c r="AB39" s="27"/>
      <c r="AC39" s="27"/>
      <c r="AD39" s="58">
        <v>49.19</v>
      </c>
      <c r="AE39" s="31">
        <v>0</v>
      </c>
      <c r="AF39" t="b">
        <v>0</v>
      </c>
      <c r="AG39" s="78">
        <v>-49.19</v>
      </c>
    </row>
    <row r="40" spans="1:33" x14ac:dyDescent="0.25">
      <c r="A40" t="str">
        <f t="shared" si="0"/>
        <v>2021-39</v>
      </c>
      <c r="B40" s="1">
        <f t="shared" si="1"/>
        <v>44258</v>
      </c>
      <c r="C40" t="str">
        <f t="shared" si="2"/>
        <v>60793/100/2021/easy green energy GmbH &amp; Co KG</v>
      </c>
      <c r="D40" t="str">
        <f t="shared" si="3"/>
        <v>Ausgaben</v>
      </c>
      <c r="E40" t="str">
        <f t="shared" si="3"/>
        <v>sonstige Betriebsausgaben</v>
      </c>
      <c r="F40" s="117">
        <f t="shared" si="4"/>
        <v>3</v>
      </c>
      <c r="G40" t="str">
        <f t="shared" si="5"/>
        <v>20%</v>
      </c>
      <c r="I40" s="53">
        <v>2021</v>
      </c>
      <c r="J40" s="53">
        <v>39</v>
      </c>
      <c r="K40" s="71" t="s">
        <v>105</v>
      </c>
      <c r="L40" t="s">
        <v>705</v>
      </c>
      <c r="M40" s="9" t="s">
        <v>1505</v>
      </c>
      <c r="N40" s="1">
        <v>44258</v>
      </c>
      <c r="O40" t="s">
        <v>1364</v>
      </c>
      <c r="Q40" s="76"/>
      <c r="R40" t="b">
        <v>0</v>
      </c>
      <c r="S40" s="48">
        <v>2.5</v>
      </c>
      <c r="T40" s="72">
        <v>1</v>
      </c>
      <c r="U40">
        <v>20</v>
      </c>
      <c r="V40" s="31">
        <v>0.5</v>
      </c>
      <c r="W40" s="31">
        <v>0.5</v>
      </c>
      <c r="X40" s="33">
        <v>2.5</v>
      </c>
      <c r="Y40" s="29">
        <v>3</v>
      </c>
      <c r="Z40" s="29">
        <v>3</v>
      </c>
      <c r="AA40" s="35">
        <v>44331</v>
      </c>
      <c r="AB40" s="27"/>
      <c r="AC40" s="27"/>
      <c r="AD40" s="58">
        <v>2.5</v>
      </c>
      <c r="AE40" s="31">
        <v>0</v>
      </c>
      <c r="AF40" t="b">
        <v>0</v>
      </c>
      <c r="AG40" s="78">
        <v>-2.5</v>
      </c>
    </row>
    <row r="41" spans="1:33" x14ac:dyDescent="0.25">
      <c r="A41" t="str">
        <f t="shared" si="0"/>
        <v>2021-40</v>
      </c>
      <c r="B41" s="1">
        <f t="shared" si="1"/>
        <v>44258</v>
      </c>
      <c r="C41" t="str">
        <f t="shared" si="2"/>
        <v>211001871465/Wirtschaftskammer Wien Grundumlagen, Straße der Wiener Wirtschaft 1, 1020 Wien: GU UBIT</v>
      </c>
      <c r="D41" t="str">
        <f t="shared" si="3"/>
        <v>Ausgaben</v>
      </c>
      <c r="E41" t="str">
        <f t="shared" si="3"/>
        <v>sonstige Betriebsausgaben</v>
      </c>
      <c r="F41" s="117">
        <f t="shared" si="4"/>
        <v>65</v>
      </c>
      <c r="G41" t="str">
        <f t="shared" si="5"/>
        <v>0%</v>
      </c>
      <c r="I41" s="53">
        <v>2021</v>
      </c>
      <c r="J41" s="53">
        <v>40</v>
      </c>
      <c r="K41" s="71" t="s">
        <v>105</v>
      </c>
      <c r="L41" t="s">
        <v>705</v>
      </c>
      <c r="M41" s="131" t="s">
        <v>1498</v>
      </c>
      <c r="N41" s="1">
        <v>44258</v>
      </c>
      <c r="O41" t="s">
        <v>1021</v>
      </c>
      <c r="Q41" s="76"/>
      <c r="R41" t="b">
        <v>0</v>
      </c>
      <c r="S41" s="48">
        <v>65</v>
      </c>
      <c r="T41" s="72">
        <v>1</v>
      </c>
      <c r="U41">
        <v>0</v>
      </c>
      <c r="V41" s="31">
        <v>0</v>
      </c>
      <c r="W41" s="31">
        <v>0</v>
      </c>
      <c r="X41" s="33">
        <v>65</v>
      </c>
      <c r="Y41" s="29">
        <v>65</v>
      </c>
      <c r="Z41" s="29">
        <v>65</v>
      </c>
      <c r="AA41" s="35">
        <v>44331</v>
      </c>
      <c r="AB41" s="27"/>
      <c r="AC41" s="27"/>
      <c r="AD41" s="58">
        <v>65</v>
      </c>
      <c r="AE41" s="31">
        <v>0</v>
      </c>
      <c r="AF41" t="b">
        <v>0</v>
      </c>
      <c r="AG41" s="78">
        <v>-65</v>
      </c>
    </row>
    <row r="42" spans="1:33" x14ac:dyDescent="0.25">
      <c r="A42" t="str">
        <f t="shared" si="0"/>
        <v>2021-41</v>
      </c>
      <c r="B42" s="1">
        <f t="shared" si="1"/>
        <v>44258</v>
      </c>
      <c r="C42" t="str">
        <f t="shared" si="2"/>
        <v>PRM321020004603/New Work SE, Dammtorstraße 30, 20354 Hamburg</v>
      </c>
      <c r="D42" t="str">
        <f t="shared" si="3"/>
        <v>Ausgaben</v>
      </c>
      <c r="E42" t="str">
        <f t="shared" si="3"/>
        <v>Werbe- und Repräsentationsaufwand</v>
      </c>
      <c r="F42" s="117">
        <f t="shared" si="4"/>
        <v>24.88</v>
      </c>
      <c r="G42" t="str">
        <f t="shared" si="5"/>
        <v>0%</v>
      </c>
      <c r="I42" s="53">
        <v>2021</v>
      </c>
      <c r="J42" s="53">
        <v>41</v>
      </c>
      <c r="K42" s="71" t="s">
        <v>105</v>
      </c>
      <c r="L42" t="s">
        <v>693</v>
      </c>
      <c r="M42" s="9" t="s">
        <v>1499</v>
      </c>
      <c r="N42" s="1">
        <v>44258</v>
      </c>
      <c r="O42" t="s">
        <v>1363</v>
      </c>
      <c r="Q42" s="76"/>
      <c r="R42" t="b">
        <v>0</v>
      </c>
      <c r="S42" s="48">
        <v>24.88</v>
      </c>
      <c r="T42" s="72">
        <v>1</v>
      </c>
      <c r="U42">
        <v>0</v>
      </c>
      <c r="V42" s="31">
        <v>0</v>
      </c>
      <c r="W42" s="31">
        <v>0</v>
      </c>
      <c r="X42" s="33">
        <v>24.88</v>
      </c>
      <c r="Y42" s="29">
        <v>24.88</v>
      </c>
      <c r="Z42" s="29">
        <v>24.88</v>
      </c>
      <c r="AA42" s="35">
        <v>44331</v>
      </c>
      <c r="AB42" s="27"/>
      <c r="AC42" s="27">
        <v>20</v>
      </c>
      <c r="AD42" s="58">
        <v>24.88</v>
      </c>
      <c r="AE42" s="31">
        <v>4.976</v>
      </c>
      <c r="AF42" t="b">
        <v>0</v>
      </c>
      <c r="AG42" s="78">
        <v>-24.88</v>
      </c>
    </row>
    <row r="43" spans="1:33" x14ac:dyDescent="0.25">
      <c r="A43" t="str">
        <f t="shared" si="0"/>
        <v>2021-42</v>
      </c>
      <c r="B43" s="1">
        <f t="shared" si="1"/>
        <v>44259</v>
      </c>
      <c r="C43" t="str">
        <f t="shared" si="2"/>
        <v>6217432904/Hutchison Drei Austria GmbH, Brünner Straße 52, 1210 Wien, Österreich</v>
      </c>
      <c r="D43" t="str">
        <f t="shared" si="3"/>
        <v>Ausgaben</v>
      </c>
      <c r="E43" t="str">
        <f t="shared" si="3"/>
        <v>Telefon/Internet</v>
      </c>
      <c r="F43" s="117">
        <f t="shared" si="4"/>
        <v>18</v>
      </c>
      <c r="G43" t="str">
        <f t="shared" si="5"/>
        <v>20%</v>
      </c>
      <c r="I43" s="53">
        <v>2021</v>
      </c>
      <c r="J43" s="53">
        <v>42</v>
      </c>
      <c r="K43" s="71" t="s">
        <v>105</v>
      </c>
      <c r="L43" t="s">
        <v>703</v>
      </c>
      <c r="M43" s="9" t="s">
        <v>1500</v>
      </c>
      <c r="N43" s="1">
        <v>44259</v>
      </c>
      <c r="O43" t="s">
        <v>34</v>
      </c>
      <c r="Q43" s="76"/>
      <c r="R43" t="b">
        <v>0</v>
      </c>
      <c r="S43" s="48">
        <v>15</v>
      </c>
      <c r="T43" s="72">
        <v>1</v>
      </c>
      <c r="U43">
        <v>20</v>
      </c>
      <c r="V43" s="31">
        <v>3</v>
      </c>
      <c r="W43" s="31">
        <v>3</v>
      </c>
      <c r="X43" s="33">
        <v>15</v>
      </c>
      <c r="Y43" s="29">
        <v>18</v>
      </c>
      <c r="Z43" s="29">
        <v>18</v>
      </c>
      <c r="AA43" s="35">
        <v>44331</v>
      </c>
      <c r="AB43" s="27"/>
      <c r="AC43" s="27"/>
      <c r="AD43" s="58">
        <v>15</v>
      </c>
      <c r="AE43" s="31">
        <v>0</v>
      </c>
      <c r="AF43" t="b">
        <v>0</v>
      </c>
      <c r="AG43" s="78">
        <v>-15</v>
      </c>
    </row>
    <row r="44" spans="1:33" x14ac:dyDescent="0.25">
      <c r="A44" t="str">
        <f t="shared" si="0"/>
        <v>2021-43</v>
      </c>
      <c r="B44" s="1">
        <f t="shared" si="1"/>
        <v>44260</v>
      </c>
      <c r="C44" t="str">
        <f t="shared" si="2"/>
        <v>VS/19-01-05428/Techem Messtechnik GmbH; Abnehmernummer 501686-0003-11-( (NACHTRAG 25.12.)</v>
      </c>
      <c r="D44" t="str">
        <f t="shared" si="3"/>
        <v>Ausgaben</v>
      </c>
      <c r="E44" t="str">
        <f t="shared" si="3"/>
        <v>sonstige Betriebsausgaben</v>
      </c>
      <c r="F44" s="117">
        <f t="shared" si="4"/>
        <v>42</v>
      </c>
      <c r="G44" t="str">
        <f t="shared" si="5"/>
        <v>20%</v>
      </c>
      <c r="I44" s="53">
        <v>2021</v>
      </c>
      <c r="J44" s="53">
        <v>43</v>
      </c>
      <c r="K44" s="71" t="s">
        <v>105</v>
      </c>
      <c r="L44" t="s">
        <v>705</v>
      </c>
      <c r="M44" s="9" t="s">
        <v>1143</v>
      </c>
      <c r="N44" s="1">
        <v>44260</v>
      </c>
      <c r="O44" t="s">
        <v>1437</v>
      </c>
      <c r="Q44" s="76"/>
      <c r="R44" t="b">
        <v>0</v>
      </c>
      <c r="S44" s="48">
        <v>35</v>
      </c>
      <c r="T44" s="72">
        <v>1</v>
      </c>
      <c r="U44">
        <v>20</v>
      </c>
      <c r="V44" s="31">
        <v>7</v>
      </c>
      <c r="W44" s="31">
        <v>7</v>
      </c>
      <c r="X44" s="33">
        <v>35</v>
      </c>
      <c r="Y44" s="29">
        <v>42</v>
      </c>
      <c r="Z44" s="29">
        <v>42</v>
      </c>
      <c r="AA44" s="35">
        <v>44331</v>
      </c>
      <c r="AB44" s="27"/>
      <c r="AC44" s="27"/>
      <c r="AD44" s="58">
        <v>35</v>
      </c>
      <c r="AE44" s="31">
        <v>0</v>
      </c>
      <c r="AF44" t="b">
        <v>0</v>
      </c>
      <c r="AG44" s="78">
        <v>-35</v>
      </c>
    </row>
    <row r="45" spans="1:33" x14ac:dyDescent="0.25">
      <c r="A45" t="str">
        <f t="shared" si="0"/>
        <v>2021-44</v>
      </c>
      <c r="B45" s="1">
        <f t="shared" si="1"/>
        <v>44263</v>
      </c>
      <c r="C45" t="str">
        <f t="shared" si="2"/>
        <v>R0012925195/Hetzner Online GmbH</v>
      </c>
      <c r="D45" t="str">
        <f t="shared" si="3"/>
        <v>Ausgaben</v>
      </c>
      <c r="E45" t="str">
        <f t="shared" si="3"/>
        <v>sonstige Betriebsausgaben</v>
      </c>
      <c r="F45" s="117">
        <f t="shared" si="4"/>
        <v>2.4900000000000002</v>
      </c>
      <c r="G45" t="str">
        <f t="shared" si="5"/>
        <v>0%</v>
      </c>
      <c r="I45" s="53">
        <v>2021</v>
      </c>
      <c r="J45" s="53">
        <v>44</v>
      </c>
      <c r="K45" s="71" t="s">
        <v>105</v>
      </c>
      <c r="L45" t="s">
        <v>705</v>
      </c>
      <c r="M45" s="9" t="s">
        <v>1501</v>
      </c>
      <c r="N45" s="1">
        <v>44263</v>
      </c>
      <c r="O45" t="s">
        <v>927</v>
      </c>
      <c r="Q45" s="76" t="s">
        <v>958</v>
      </c>
      <c r="R45" t="b">
        <v>0</v>
      </c>
      <c r="S45" s="48">
        <v>2.4900000000000002</v>
      </c>
      <c r="T45" s="72">
        <v>1</v>
      </c>
      <c r="U45">
        <v>0</v>
      </c>
      <c r="V45" s="31">
        <v>0</v>
      </c>
      <c r="W45" s="31">
        <v>0</v>
      </c>
      <c r="X45" s="33">
        <v>2.4900000000000002</v>
      </c>
      <c r="Y45" s="29">
        <v>2.4900000000000002</v>
      </c>
      <c r="Z45" s="29">
        <v>2.4900000000000002</v>
      </c>
      <c r="AA45" s="35">
        <v>44331</v>
      </c>
      <c r="AB45" s="27"/>
      <c r="AC45" s="27">
        <v>20</v>
      </c>
      <c r="AD45" s="58">
        <v>2.4900000000000002</v>
      </c>
      <c r="AE45" s="31">
        <v>0.49800000000000005</v>
      </c>
      <c r="AF45" t="b">
        <v>0</v>
      </c>
      <c r="AG45" s="78">
        <v>-2.4900000000000002</v>
      </c>
    </row>
    <row r="46" spans="1:33" x14ac:dyDescent="0.25">
      <c r="A46" t="str">
        <f t="shared" si="0"/>
        <v>2021-45</v>
      </c>
      <c r="B46" s="1">
        <f t="shared" si="1"/>
        <v>44265</v>
      </c>
      <c r="C46" t="str">
        <f t="shared" si="2"/>
        <v>5137082649/Wiener Netze GmbH, Erdbergstraße 236, 1110 Wien, Postfach 422; Jahresabrechnung vom 17.12.20: GUTSCHRIFT</v>
      </c>
      <c r="D46" t="str">
        <f t="shared" si="3"/>
        <v>Ausgaben</v>
      </c>
      <c r="E46" t="str">
        <f t="shared" si="3"/>
        <v>sonstige Betriebsausgaben</v>
      </c>
      <c r="F46" s="117">
        <f t="shared" si="4"/>
        <v>15.6</v>
      </c>
      <c r="G46" t="str">
        <f t="shared" si="5"/>
        <v>20%</v>
      </c>
      <c r="I46" s="53">
        <v>2021</v>
      </c>
      <c r="J46" s="53">
        <v>45</v>
      </c>
      <c r="K46" s="71" t="s">
        <v>105</v>
      </c>
      <c r="L46" t="s">
        <v>705</v>
      </c>
      <c r="M46" s="9" t="s">
        <v>1465</v>
      </c>
      <c r="N46" s="1">
        <v>44265</v>
      </c>
      <c r="O46" t="s">
        <v>1466</v>
      </c>
      <c r="Q46" s="76"/>
      <c r="R46" t="b">
        <v>0</v>
      </c>
      <c r="S46" s="48">
        <v>13</v>
      </c>
      <c r="T46" s="72">
        <v>1</v>
      </c>
      <c r="U46">
        <v>20</v>
      </c>
      <c r="V46" s="31">
        <v>2.6</v>
      </c>
      <c r="W46" s="31">
        <v>2.6</v>
      </c>
      <c r="X46" s="33">
        <v>13</v>
      </c>
      <c r="Y46" s="29">
        <v>15.6</v>
      </c>
      <c r="Z46" s="29">
        <v>15.6</v>
      </c>
      <c r="AA46" s="35">
        <v>44331</v>
      </c>
      <c r="AB46" s="27"/>
      <c r="AC46" s="27"/>
      <c r="AD46" s="58">
        <v>13</v>
      </c>
      <c r="AE46" s="31">
        <v>0</v>
      </c>
      <c r="AF46" t="b">
        <v>0</v>
      </c>
      <c r="AG46" s="78">
        <v>-13</v>
      </c>
    </row>
    <row r="47" spans="1:33" x14ac:dyDescent="0.25">
      <c r="A47" t="str">
        <f t="shared" si="0"/>
        <v>2021-46</v>
      </c>
      <c r="B47" s="1">
        <f t="shared" si="1"/>
        <v>44266</v>
      </c>
      <c r="C47" t="str">
        <f t="shared" si="2"/>
        <v>R0012972046/Hetzner Online GmbH</v>
      </c>
      <c r="D47" t="str">
        <f t="shared" si="3"/>
        <v>Ausgaben</v>
      </c>
      <c r="E47" t="str">
        <f t="shared" si="3"/>
        <v>sonstige Betriebsausgaben</v>
      </c>
      <c r="F47" s="117">
        <f t="shared" si="4"/>
        <v>46.916800000000002</v>
      </c>
      <c r="G47" t="str">
        <f t="shared" si="5"/>
        <v>0%</v>
      </c>
      <c r="I47" s="53">
        <v>2021</v>
      </c>
      <c r="J47" s="53">
        <v>46</v>
      </c>
      <c r="K47" s="71" t="s">
        <v>105</v>
      </c>
      <c r="L47" t="s">
        <v>705</v>
      </c>
      <c r="M47" s="9" t="s">
        <v>1502</v>
      </c>
      <c r="N47" s="1">
        <v>44266</v>
      </c>
      <c r="O47" t="s">
        <v>927</v>
      </c>
      <c r="Q47" s="76"/>
      <c r="R47" t="b">
        <v>0</v>
      </c>
      <c r="S47" s="48">
        <v>46.916800000000002</v>
      </c>
      <c r="T47" s="72">
        <v>1</v>
      </c>
      <c r="U47">
        <v>0</v>
      </c>
      <c r="V47" s="31">
        <v>0</v>
      </c>
      <c r="W47" s="31">
        <v>0</v>
      </c>
      <c r="X47" s="33">
        <v>46.916800000000002</v>
      </c>
      <c r="Y47" s="29">
        <v>46.916800000000002</v>
      </c>
      <c r="Z47" s="29">
        <v>46.916800000000002</v>
      </c>
      <c r="AA47" s="35">
        <v>44331</v>
      </c>
      <c r="AB47" s="27"/>
      <c r="AC47" s="27">
        <v>20</v>
      </c>
      <c r="AD47" s="58">
        <v>46.916800000000002</v>
      </c>
      <c r="AE47" s="31">
        <v>9.3833600000000015</v>
      </c>
      <c r="AF47" t="b">
        <v>0</v>
      </c>
      <c r="AG47" s="78">
        <v>-46.916800000000002</v>
      </c>
    </row>
    <row r="48" spans="1:33" x14ac:dyDescent="0.25">
      <c r="A48" t="str">
        <f t="shared" si="0"/>
        <v>2021-47</v>
      </c>
      <c r="B48" s="1">
        <f t="shared" si="1"/>
        <v>44272</v>
      </c>
      <c r="C48" t="str">
        <f t="shared" si="2"/>
        <v>831938/Lemon Technologies GmbH, Unterweißenbach 181, 7330 Feldbach: Bildschirm</v>
      </c>
      <c r="D48" t="str">
        <f t="shared" si="3"/>
        <v>Ausgaben</v>
      </c>
      <c r="E48" t="str">
        <f t="shared" si="3"/>
        <v>Waren, Rohstoffe, Hilfsstoffe</v>
      </c>
      <c r="F48" s="117">
        <f t="shared" si="4"/>
        <v>639.07199999999989</v>
      </c>
      <c r="G48" t="str">
        <f t="shared" si="5"/>
        <v>20%</v>
      </c>
      <c r="I48" s="53">
        <v>2021</v>
      </c>
      <c r="J48" s="53">
        <v>47</v>
      </c>
      <c r="K48" s="71" t="s">
        <v>105</v>
      </c>
      <c r="L48" t="s">
        <v>683</v>
      </c>
      <c r="M48" s="9" t="s">
        <v>1503</v>
      </c>
      <c r="N48" s="1">
        <v>44272</v>
      </c>
      <c r="O48" t="s">
        <v>1238</v>
      </c>
      <c r="Q48" s="76" t="s">
        <v>958</v>
      </c>
      <c r="R48" t="b">
        <v>0</v>
      </c>
      <c r="S48" s="109">
        <v>532.55999999999995</v>
      </c>
      <c r="T48" s="72">
        <v>1</v>
      </c>
      <c r="U48">
        <v>20</v>
      </c>
      <c r="V48" s="31">
        <v>106.51199999999999</v>
      </c>
      <c r="W48" s="31">
        <v>106.51199999999999</v>
      </c>
      <c r="X48" s="33">
        <v>532.55999999999995</v>
      </c>
      <c r="Y48" s="29">
        <v>639.07199999999989</v>
      </c>
      <c r="Z48" s="29">
        <v>639.07199999999989</v>
      </c>
      <c r="AA48" s="35">
        <v>44331</v>
      </c>
      <c r="AB48" s="27"/>
      <c r="AC48" s="27"/>
      <c r="AD48" s="58">
        <v>532.55999999999995</v>
      </c>
      <c r="AE48" s="31">
        <v>0</v>
      </c>
      <c r="AF48" t="b">
        <v>0</v>
      </c>
      <c r="AG48" s="78">
        <v>-532.55999999999995</v>
      </c>
    </row>
    <row r="49" spans="1:33" x14ac:dyDescent="0.25">
      <c r="A49" t="str">
        <f t="shared" si="0"/>
        <v>2021-48</v>
      </c>
      <c r="B49" s="1">
        <f t="shared" si="1"/>
        <v>44274</v>
      </c>
      <c r="C49" t="str">
        <f t="shared" si="2"/>
        <v>901197380321/Magenta: T-Mobile Austria GmbH, A-1120 Wien, PF 47</v>
      </c>
      <c r="D49" t="str">
        <f t="shared" si="3"/>
        <v>Ausgaben</v>
      </c>
      <c r="E49" t="str">
        <f t="shared" si="3"/>
        <v>Telefon/Internet</v>
      </c>
      <c r="F49" s="117">
        <f t="shared" si="4"/>
        <v>38.304000000000002</v>
      </c>
      <c r="G49" t="str">
        <f t="shared" si="5"/>
        <v>20%</v>
      </c>
      <c r="I49" s="53">
        <v>2021</v>
      </c>
      <c r="J49" s="53">
        <v>48</v>
      </c>
      <c r="K49" s="71" t="s">
        <v>105</v>
      </c>
      <c r="L49" t="s">
        <v>703</v>
      </c>
      <c r="M49" s="9" t="s">
        <v>1504</v>
      </c>
      <c r="N49" s="1">
        <v>44274</v>
      </c>
      <c r="O49" t="s">
        <v>1148</v>
      </c>
      <c r="Q49" s="76"/>
      <c r="R49" t="b">
        <v>0</v>
      </c>
      <c r="S49" s="48">
        <v>31.92</v>
      </c>
      <c r="T49" s="72">
        <v>1</v>
      </c>
      <c r="U49">
        <v>20</v>
      </c>
      <c r="V49" s="31">
        <v>6.3840000000000012</v>
      </c>
      <c r="W49" s="31">
        <v>6.3840000000000012</v>
      </c>
      <c r="X49" s="33">
        <v>31.92</v>
      </c>
      <c r="Y49" s="29">
        <v>38.304000000000002</v>
      </c>
      <c r="Z49" s="29">
        <v>38.304000000000002</v>
      </c>
      <c r="AA49" s="35">
        <v>44331</v>
      </c>
      <c r="AB49" s="27"/>
      <c r="AC49" s="27"/>
      <c r="AD49" s="58">
        <v>31.92</v>
      </c>
      <c r="AE49" s="31">
        <v>0</v>
      </c>
      <c r="AF49" t="b">
        <v>0</v>
      </c>
      <c r="AG49" s="78">
        <v>-31.92</v>
      </c>
    </row>
    <row r="50" spans="1:33" x14ac:dyDescent="0.25">
      <c r="A50" t="str">
        <f t="shared" si="0"/>
        <v>2021-49</v>
      </c>
      <c r="B50" s="1">
        <f t="shared" si="1"/>
        <v>44279</v>
      </c>
      <c r="C50" t="str">
        <f t="shared" si="2"/>
        <v>RE0964139/easyname GmbH, Fernkorngasse 10/3/501, A-1100 Wien</v>
      </c>
      <c r="D50" t="str">
        <f t="shared" si="3"/>
        <v>Ausgaben</v>
      </c>
      <c r="E50" t="str">
        <f t="shared" si="3"/>
        <v>sonstige Betriebsausgaben</v>
      </c>
      <c r="F50" s="117">
        <f t="shared" si="4"/>
        <v>14.904</v>
      </c>
      <c r="G50" t="str">
        <f t="shared" si="5"/>
        <v>20%</v>
      </c>
      <c r="I50" s="53">
        <v>2021</v>
      </c>
      <c r="J50" s="53">
        <v>49</v>
      </c>
      <c r="K50" s="71" t="s">
        <v>105</v>
      </c>
      <c r="L50" t="s">
        <v>705</v>
      </c>
      <c r="M50" s="9" t="s">
        <v>1512</v>
      </c>
      <c r="N50" s="1">
        <v>44279</v>
      </c>
      <c r="O50" t="s">
        <v>941</v>
      </c>
      <c r="Q50" s="76"/>
      <c r="R50" t="b">
        <v>0</v>
      </c>
      <c r="S50" s="48">
        <v>12.42</v>
      </c>
      <c r="T50" s="72">
        <v>1</v>
      </c>
      <c r="U50">
        <v>20</v>
      </c>
      <c r="V50" s="31">
        <v>2.484</v>
      </c>
      <c r="W50" s="31">
        <v>2.484</v>
      </c>
      <c r="X50" s="33">
        <v>12.42</v>
      </c>
      <c r="Y50" s="29">
        <v>14.904</v>
      </c>
      <c r="Z50" s="29">
        <v>14.904</v>
      </c>
      <c r="AA50" s="35">
        <v>44331</v>
      </c>
      <c r="AB50" s="27"/>
      <c r="AC50" s="27"/>
      <c r="AD50" s="58">
        <v>12.42</v>
      </c>
      <c r="AE50" s="31">
        <v>0</v>
      </c>
      <c r="AF50" t="b">
        <v>0</v>
      </c>
      <c r="AG50" s="78">
        <v>-12.42</v>
      </c>
    </row>
    <row r="51" spans="1:33" x14ac:dyDescent="0.25">
      <c r="A51" t="str">
        <f t="shared" si="0"/>
        <v>2021-50</v>
      </c>
      <c r="B51" s="1">
        <f t="shared" si="1"/>
        <v>44285</v>
      </c>
      <c r="C51" t="str">
        <f t="shared" si="2"/>
        <v>Kontoauszug 01.03.21-31.03.21/HoT Telekom und Service GmbH</v>
      </c>
      <c r="D51" t="str">
        <f t="shared" si="3"/>
        <v>Ausgaben</v>
      </c>
      <c r="E51" t="str">
        <f t="shared" si="3"/>
        <v>Telefon/Internet</v>
      </c>
      <c r="F51" s="117">
        <f t="shared" si="4"/>
        <v>11.8</v>
      </c>
      <c r="G51" t="str">
        <f t="shared" si="5"/>
        <v>20%</v>
      </c>
      <c r="I51" s="53">
        <v>2021</v>
      </c>
      <c r="J51" s="53">
        <v>50</v>
      </c>
      <c r="K51" s="71" t="s">
        <v>105</v>
      </c>
      <c r="L51" t="s">
        <v>703</v>
      </c>
      <c r="M51" s="9" t="s">
        <v>1517</v>
      </c>
      <c r="N51" s="1">
        <v>44285</v>
      </c>
      <c r="O51" t="s">
        <v>1116</v>
      </c>
      <c r="Q51" s="76"/>
      <c r="R51" t="b">
        <v>0</v>
      </c>
      <c r="S51" s="48">
        <v>9.8333333333333339</v>
      </c>
      <c r="T51" s="72">
        <v>1</v>
      </c>
      <c r="U51">
        <v>20</v>
      </c>
      <c r="V51" s="31">
        <v>1.9666666666666668</v>
      </c>
      <c r="W51" s="31">
        <v>1.9666666666666668</v>
      </c>
      <c r="X51" s="33">
        <v>9.8333333333333339</v>
      </c>
      <c r="Y51" s="29">
        <v>11.8</v>
      </c>
      <c r="Z51" s="29">
        <v>11.8</v>
      </c>
      <c r="AA51" s="35">
        <v>44331</v>
      </c>
      <c r="AB51" s="27"/>
      <c r="AC51" s="27"/>
      <c r="AD51" s="58">
        <v>9.8333333333333339</v>
      </c>
      <c r="AE51" s="31">
        <v>0</v>
      </c>
      <c r="AF51" t="b">
        <v>0</v>
      </c>
      <c r="AG51" s="78">
        <v>-9.8333333333333339</v>
      </c>
    </row>
    <row r="52" spans="1:33" x14ac:dyDescent="0.25">
      <c r="A52" t="str">
        <f t="shared" si="0"/>
        <v>2021-51</v>
      </c>
      <c r="B52" s="1">
        <f t="shared" si="1"/>
        <v>44287</v>
      </c>
      <c r="C52" t="str">
        <f t="shared" si="2"/>
        <v>21/9801/VS00040/Bontus Immobilienverwaltung GmbH, 1010 Wien, Franz Josefs Kai 65</v>
      </c>
      <c r="D52" t="str">
        <f t="shared" si="3"/>
        <v>Ausgaben</v>
      </c>
      <c r="E52" t="str">
        <f t="shared" si="3"/>
        <v>Miet- und Pachtaufwand, Leasing</v>
      </c>
      <c r="F52" s="117">
        <f t="shared" si="4"/>
        <v>554.928</v>
      </c>
      <c r="G52" t="str">
        <f t="shared" si="5"/>
        <v>20%</v>
      </c>
      <c r="I52" s="53">
        <v>2021</v>
      </c>
      <c r="J52" s="53">
        <v>51</v>
      </c>
      <c r="K52" s="71" t="s">
        <v>105</v>
      </c>
      <c r="L52" t="s">
        <v>691</v>
      </c>
      <c r="M52" s="9" t="s">
        <v>1523</v>
      </c>
      <c r="N52" s="1">
        <v>44287</v>
      </c>
      <c r="O52" t="s">
        <v>1113</v>
      </c>
      <c r="Q52" s="76"/>
      <c r="R52" t="b">
        <v>0</v>
      </c>
      <c r="S52" s="48">
        <v>462.44</v>
      </c>
      <c r="T52" s="72">
        <v>1</v>
      </c>
      <c r="U52">
        <v>20</v>
      </c>
      <c r="V52" s="31">
        <v>92.488</v>
      </c>
      <c r="W52" s="31">
        <v>92.488</v>
      </c>
      <c r="X52" s="33">
        <v>462.44</v>
      </c>
      <c r="Y52" s="29">
        <v>554.928</v>
      </c>
      <c r="Z52" s="29">
        <v>554.928</v>
      </c>
      <c r="AA52" s="35">
        <v>44423</v>
      </c>
      <c r="AB52" s="27"/>
      <c r="AC52" s="27"/>
      <c r="AD52" s="58">
        <v>462.44</v>
      </c>
      <c r="AE52" s="31">
        <v>0</v>
      </c>
      <c r="AF52" t="b">
        <v>0</v>
      </c>
      <c r="AG52" s="78">
        <v>-462.44</v>
      </c>
    </row>
    <row r="53" spans="1:33" x14ac:dyDescent="0.25">
      <c r="A53" t="str">
        <f t="shared" si="0"/>
        <v>2021-52</v>
      </c>
      <c r="B53" s="1">
        <f t="shared" si="1"/>
        <v>44287</v>
      </c>
      <c r="C53" t="str">
        <f t="shared" si="2"/>
        <v>12021013/Kolbitsch Engineering &amp; Consulting KNr 45</v>
      </c>
      <c r="D53" t="str">
        <f t="shared" si="3"/>
        <v>Einnahmen</v>
      </c>
      <c r="E53" t="str">
        <f t="shared" si="3"/>
        <v>Waren-/Leistungserlöse</v>
      </c>
      <c r="F53" s="117">
        <f t="shared" si="4"/>
        <v>961.2</v>
      </c>
      <c r="G53" t="str">
        <f t="shared" si="5"/>
        <v>20%</v>
      </c>
      <c r="I53" s="53">
        <v>2021</v>
      </c>
      <c r="J53" s="53">
        <v>52</v>
      </c>
      <c r="K53" s="71" t="s">
        <v>708</v>
      </c>
      <c r="L53" t="s">
        <v>709</v>
      </c>
      <c r="M53" s="9" t="s">
        <v>1514</v>
      </c>
      <c r="N53" s="1">
        <v>44287</v>
      </c>
      <c r="O53" t="s">
        <v>1513</v>
      </c>
      <c r="Q53" s="76"/>
      <c r="R53" t="b">
        <v>0</v>
      </c>
      <c r="S53" s="48">
        <v>801</v>
      </c>
      <c r="T53" s="72">
        <v>1</v>
      </c>
      <c r="U53">
        <v>20</v>
      </c>
      <c r="V53" s="31">
        <v>160.19999999999999</v>
      </c>
      <c r="W53" s="31">
        <v>160.19999999999999</v>
      </c>
      <c r="X53" s="33">
        <v>801</v>
      </c>
      <c r="Y53" s="29">
        <v>961.2</v>
      </c>
      <c r="Z53" s="29">
        <v>961.2</v>
      </c>
      <c r="AA53" s="35">
        <v>44423</v>
      </c>
      <c r="AB53" s="27"/>
      <c r="AC53" s="27"/>
      <c r="AD53" s="58">
        <v>801</v>
      </c>
      <c r="AE53" s="31">
        <v>0</v>
      </c>
      <c r="AF53" t="b">
        <v>0</v>
      </c>
      <c r="AG53" s="78">
        <v>801</v>
      </c>
    </row>
    <row r="54" spans="1:33" x14ac:dyDescent="0.25">
      <c r="A54" t="str">
        <f t="shared" si="0"/>
        <v>2021-53</v>
      </c>
      <c r="B54" s="1">
        <f t="shared" si="1"/>
        <v>44287</v>
      </c>
      <c r="C54" t="str">
        <f t="shared" si="2"/>
        <v>12021009/ZT DI Dr. Arno Kolbitsch, Gütleweg 1, 6822 Satteins</v>
      </c>
      <c r="D54" t="str">
        <f t="shared" si="3"/>
        <v>Einnahmen</v>
      </c>
      <c r="E54" t="str">
        <f t="shared" si="3"/>
        <v>Waren-/Leistungserlöse</v>
      </c>
      <c r="F54" s="117">
        <f t="shared" si="4"/>
        <v>9768.4439999999995</v>
      </c>
      <c r="G54" t="str">
        <f t="shared" si="5"/>
        <v>20%</v>
      </c>
      <c r="I54" s="53">
        <v>2021</v>
      </c>
      <c r="J54" s="53">
        <v>53</v>
      </c>
      <c r="K54" s="71" t="s">
        <v>708</v>
      </c>
      <c r="L54" t="s">
        <v>709</v>
      </c>
      <c r="M54" s="9" t="s">
        <v>1515</v>
      </c>
      <c r="N54" s="1">
        <v>44287</v>
      </c>
      <c r="O54" t="s">
        <v>1038</v>
      </c>
      <c r="Q54" s="76"/>
      <c r="R54" t="b">
        <v>0</v>
      </c>
      <c r="S54" s="109">
        <v>8140.37</v>
      </c>
      <c r="T54" s="72">
        <v>1</v>
      </c>
      <c r="U54">
        <v>20</v>
      </c>
      <c r="V54" s="31">
        <v>1628.0739999999998</v>
      </c>
      <c r="W54" s="31">
        <v>1628.0739999999998</v>
      </c>
      <c r="X54" s="33">
        <v>8140.37</v>
      </c>
      <c r="Y54" s="29">
        <v>9768.4439999999995</v>
      </c>
      <c r="Z54" s="29">
        <v>9768.4439999999995</v>
      </c>
      <c r="AA54" s="35">
        <v>44423</v>
      </c>
      <c r="AB54" s="27"/>
      <c r="AC54" s="27"/>
      <c r="AD54" s="58">
        <v>8140.37</v>
      </c>
      <c r="AE54" s="31">
        <v>0</v>
      </c>
      <c r="AF54" t="b">
        <v>0</v>
      </c>
      <c r="AG54" s="78">
        <v>8140.37</v>
      </c>
    </row>
    <row r="55" spans="1:33" x14ac:dyDescent="0.25">
      <c r="A55" t="str">
        <f t="shared" si="0"/>
        <v>2021-54</v>
      </c>
      <c r="B55" s="1">
        <f t="shared" si="1"/>
        <v>44292</v>
      </c>
      <c r="C55" t="str">
        <f t="shared" si="2"/>
        <v>R00640873/TeamViewer Germany GmbH, Jahnstr. 30, 73037 Göppingen, Deutschland</v>
      </c>
      <c r="D55" t="str">
        <f t="shared" si="3"/>
        <v>Ausgaben</v>
      </c>
      <c r="E55" t="str">
        <f t="shared" si="3"/>
        <v>Lizenzgebühren</v>
      </c>
      <c r="F55" s="117">
        <f t="shared" si="4"/>
        <v>334.8</v>
      </c>
      <c r="G55" t="str">
        <f t="shared" si="5"/>
        <v>0%</v>
      </c>
      <c r="I55" s="53">
        <v>2021</v>
      </c>
      <c r="J55" s="53">
        <v>54</v>
      </c>
      <c r="K55" s="71" t="s">
        <v>105</v>
      </c>
      <c r="L55" t="s">
        <v>692</v>
      </c>
      <c r="M55" s="9" t="s">
        <v>1518</v>
      </c>
      <c r="N55" s="1">
        <v>44292</v>
      </c>
      <c r="O55" t="s">
        <v>1315</v>
      </c>
      <c r="Q55" s="76"/>
      <c r="R55" t="b">
        <v>0</v>
      </c>
      <c r="S55" s="48">
        <v>334.8</v>
      </c>
      <c r="T55" s="72">
        <v>1</v>
      </c>
      <c r="U55">
        <v>0</v>
      </c>
      <c r="V55" s="31">
        <v>0</v>
      </c>
      <c r="W55" s="31">
        <v>0</v>
      </c>
      <c r="X55" s="33">
        <v>334.8</v>
      </c>
      <c r="Y55" s="29">
        <v>334.8</v>
      </c>
      <c r="Z55" s="29">
        <v>334.8</v>
      </c>
      <c r="AA55" s="35">
        <v>44423</v>
      </c>
      <c r="AB55" s="27"/>
      <c r="AC55" s="27">
        <v>20</v>
      </c>
      <c r="AD55" s="58">
        <v>334.8</v>
      </c>
      <c r="AE55" s="31">
        <v>66.960000000000008</v>
      </c>
      <c r="AF55" t="b">
        <v>0</v>
      </c>
      <c r="AG55" s="78">
        <v>-334.8</v>
      </c>
    </row>
    <row r="56" spans="1:33" x14ac:dyDescent="0.25">
      <c r="A56" t="str">
        <f t="shared" si="0"/>
        <v>2021-55</v>
      </c>
      <c r="B56" s="1">
        <f t="shared" si="1"/>
        <v>44292</v>
      </c>
      <c r="C56" t="str">
        <f t="shared" si="2"/>
        <v>6219245070/Hutchison Drei Austria GmbH, Brünner Straße 52, 1210 Wien, Österreich</v>
      </c>
      <c r="D56" t="str">
        <f t="shared" si="3"/>
        <v>Ausgaben</v>
      </c>
      <c r="E56" t="str">
        <f t="shared" si="3"/>
        <v>Telefon/Internet</v>
      </c>
      <c r="F56" s="117">
        <f t="shared" si="4"/>
        <v>18</v>
      </c>
      <c r="G56" t="str">
        <f t="shared" si="5"/>
        <v>20%</v>
      </c>
      <c r="I56" s="53">
        <v>2021</v>
      </c>
      <c r="J56" s="53">
        <v>55</v>
      </c>
      <c r="K56" s="71" t="s">
        <v>105</v>
      </c>
      <c r="L56" t="s">
        <v>703</v>
      </c>
      <c r="M56" s="9">
        <v>6219245070</v>
      </c>
      <c r="N56" s="1">
        <v>44292</v>
      </c>
      <c r="O56" t="s">
        <v>34</v>
      </c>
      <c r="Q56" s="76"/>
      <c r="R56" t="b">
        <v>0</v>
      </c>
      <c r="S56" s="48">
        <v>15</v>
      </c>
      <c r="T56" s="72">
        <v>1</v>
      </c>
      <c r="U56">
        <v>20</v>
      </c>
      <c r="V56" s="31">
        <v>3</v>
      </c>
      <c r="W56" s="31">
        <v>3</v>
      </c>
      <c r="X56" s="33">
        <v>15</v>
      </c>
      <c r="Y56" s="29">
        <v>18</v>
      </c>
      <c r="Z56" s="29">
        <v>18</v>
      </c>
      <c r="AA56" s="35">
        <v>44423</v>
      </c>
      <c r="AB56" s="27"/>
      <c r="AC56" s="27"/>
      <c r="AD56" s="58">
        <v>15</v>
      </c>
      <c r="AE56" s="31">
        <v>0</v>
      </c>
      <c r="AF56" t="b">
        <v>0</v>
      </c>
      <c r="AG56" s="78">
        <v>-15</v>
      </c>
    </row>
    <row r="57" spans="1:33" x14ac:dyDescent="0.25">
      <c r="A57" t="str">
        <f t="shared" si="0"/>
        <v>2021-56</v>
      </c>
      <c r="B57" s="1">
        <f t="shared" si="1"/>
        <v>44292</v>
      </c>
      <c r="C57" t="str">
        <f t="shared" si="2"/>
        <v>4293000000020110/car2go Österreich GmbH, Hintere Zollamtstraße 9, 1030 Wien</v>
      </c>
      <c r="D57" t="str">
        <f t="shared" si="3"/>
        <v>Ausgaben</v>
      </c>
      <c r="E57" t="str">
        <f t="shared" si="3"/>
        <v>Reise- und Fahrtspesen inkl. Kilometergeld und Diäten</v>
      </c>
      <c r="F57" s="117">
        <f t="shared" si="4"/>
        <v>55.343999999999994</v>
      </c>
      <c r="G57" t="str">
        <f t="shared" si="5"/>
        <v>20%</v>
      </c>
      <c r="I57" s="53">
        <v>2021</v>
      </c>
      <c r="J57" s="53">
        <v>56</v>
      </c>
      <c r="K57" s="71" t="s">
        <v>105</v>
      </c>
      <c r="L57" t="s">
        <v>689</v>
      </c>
      <c r="M57" s="131" t="s">
        <v>1519</v>
      </c>
      <c r="N57" s="1">
        <v>44292</v>
      </c>
      <c r="O57" t="s">
        <v>974</v>
      </c>
      <c r="Q57" s="76"/>
      <c r="R57" t="b">
        <v>0</v>
      </c>
      <c r="S57" s="48">
        <v>46.12</v>
      </c>
      <c r="T57" s="72">
        <v>1</v>
      </c>
      <c r="U57">
        <v>20</v>
      </c>
      <c r="V57" s="31">
        <v>9.2240000000000002</v>
      </c>
      <c r="W57" s="31">
        <v>9.2240000000000002</v>
      </c>
      <c r="X57" s="33">
        <v>46.12</v>
      </c>
      <c r="Y57" s="29">
        <v>55.343999999999994</v>
      </c>
      <c r="Z57" s="29">
        <v>55.343999999999994</v>
      </c>
      <c r="AA57" s="35">
        <v>44423</v>
      </c>
      <c r="AB57" s="27"/>
      <c r="AC57" s="27"/>
      <c r="AD57" s="58">
        <v>46.12</v>
      </c>
      <c r="AE57" s="31">
        <v>0</v>
      </c>
      <c r="AF57" t="b">
        <v>0</v>
      </c>
      <c r="AG57" s="78">
        <v>-46.12</v>
      </c>
    </row>
    <row r="58" spans="1:33" x14ac:dyDescent="0.25">
      <c r="A58" t="str">
        <f t="shared" si="0"/>
        <v>2021-57</v>
      </c>
      <c r="B58" s="1">
        <f t="shared" si="1"/>
        <v>44293</v>
      </c>
      <c r="C58" t="str">
        <f t="shared" si="2"/>
        <v>60793/100/2021/easy green energy GmbH &amp; Co KG</v>
      </c>
      <c r="D58" t="str">
        <f t="shared" si="3"/>
        <v>Ausgaben</v>
      </c>
      <c r="E58" t="str">
        <f t="shared" si="3"/>
        <v>sonstige Betriebsausgaben</v>
      </c>
      <c r="F58" s="117">
        <f t="shared" si="4"/>
        <v>3</v>
      </c>
      <c r="G58" t="str">
        <f t="shared" si="5"/>
        <v>20%</v>
      </c>
      <c r="I58" s="53">
        <v>2021</v>
      </c>
      <c r="J58" s="53">
        <v>57</v>
      </c>
      <c r="K58" s="71" t="s">
        <v>105</v>
      </c>
      <c r="L58" t="s">
        <v>705</v>
      </c>
      <c r="M58" s="9" t="s">
        <v>1505</v>
      </c>
      <c r="N58" s="1">
        <v>44293</v>
      </c>
      <c r="O58" t="s">
        <v>1364</v>
      </c>
      <c r="Q58" s="76"/>
      <c r="R58" t="b">
        <v>0</v>
      </c>
      <c r="S58" s="48">
        <v>2.5</v>
      </c>
      <c r="T58" s="72">
        <v>1</v>
      </c>
      <c r="U58">
        <v>20</v>
      </c>
      <c r="V58" s="31">
        <v>0.5</v>
      </c>
      <c r="W58" s="31">
        <v>0.5</v>
      </c>
      <c r="X58" s="33">
        <v>2.5</v>
      </c>
      <c r="Y58" s="29">
        <v>3</v>
      </c>
      <c r="Z58" s="29">
        <v>3</v>
      </c>
      <c r="AA58" s="35">
        <v>44423</v>
      </c>
      <c r="AB58" s="27"/>
      <c r="AC58" s="27"/>
      <c r="AD58" s="58">
        <v>2.5</v>
      </c>
      <c r="AE58" s="31">
        <v>0</v>
      </c>
      <c r="AF58" t="b">
        <v>0</v>
      </c>
      <c r="AG58" s="78">
        <v>-2.5</v>
      </c>
    </row>
    <row r="59" spans="1:33" x14ac:dyDescent="0.25">
      <c r="A59" t="str">
        <f t="shared" si="0"/>
        <v>2021-58</v>
      </c>
      <c r="B59" s="1">
        <f t="shared" si="1"/>
        <v>44293</v>
      </c>
      <c r="C59" t="str">
        <f t="shared" si="2"/>
        <v>12021011/Theresa Häfele-Kolbitsch, Josef-Mohrgasse 9, 2102 Bisamberg</v>
      </c>
      <c r="D59" t="str">
        <f t="shared" si="3"/>
        <v>Einnahmen</v>
      </c>
      <c r="E59" t="str">
        <f t="shared" si="3"/>
        <v>Waren-/Leistungserlöse</v>
      </c>
      <c r="F59" s="117">
        <f t="shared" si="4"/>
        <v>587.4</v>
      </c>
      <c r="G59" t="str">
        <f t="shared" si="5"/>
        <v>20%</v>
      </c>
      <c r="I59" s="53">
        <v>2021</v>
      </c>
      <c r="J59" s="53">
        <v>58</v>
      </c>
      <c r="K59" s="71" t="s">
        <v>708</v>
      </c>
      <c r="L59" t="s">
        <v>709</v>
      </c>
      <c r="M59" s="9" t="s">
        <v>1516</v>
      </c>
      <c r="N59" s="1">
        <v>44293</v>
      </c>
      <c r="O59" t="s">
        <v>1170</v>
      </c>
      <c r="Q59" s="76"/>
      <c r="R59" t="b">
        <v>0</v>
      </c>
      <c r="S59" s="48">
        <v>489.5</v>
      </c>
      <c r="T59" s="72">
        <v>1</v>
      </c>
      <c r="U59">
        <v>20</v>
      </c>
      <c r="V59" s="31">
        <v>97.9</v>
      </c>
      <c r="W59" s="31">
        <v>97.9</v>
      </c>
      <c r="X59" s="33">
        <v>489.5</v>
      </c>
      <c r="Y59" s="29">
        <v>587.4</v>
      </c>
      <c r="Z59" s="29">
        <v>587.4</v>
      </c>
      <c r="AA59" s="35">
        <v>44423</v>
      </c>
      <c r="AB59" s="27"/>
      <c r="AC59" s="27"/>
      <c r="AD59" s="58">
        <v>489.5</v>
      </c>
      <c r="AE59" s="31">
        <v>0</v>
      </c>
      <c r="AF59" t="b">
        <v>0</v>
      </c>
      <c r="AG59" s="78">
        <v>489.5</v>
      </c>
    </row>
    <row r="60" spans="1:33" x14ac:dyDescent="0.25">
      <c r="A60" t="str">
        <f t="shared" si="0"/>
        <v>2021-59</v>
      </c>
      <c r="B60" s="1">
        <f t="shared" si="1"/>
        <v>44293</v>
      </c>
      <c r="C60" t="str">
        <f t="shared" si="2"/>
        <v>VS/19-01-05428/Techem Messtechnik GmbH; Abnehmernummer 501686-0003-11-( (NACHTRAG 25.12.)</v>
      </c>
      <c r="D60" t="str">
        <f t="shared" si="3"/>
        <v>Ausgaben</v>
      </c>
      <c r="E60" t="str">
        <f t="shared" si="3"/>
        <v>sonstige Betriebsausgaben</v>
      </c>
      <c r="F60" s="117">
        <f t="shared" si="4"/>
        <v>42</v>
      </c>
      <c r="G60" t="str">
        <f t="shared" si="5"/>
        <v>20%</v>
      </c>
      <c r="I60" s="53">
        <v>2021</v>
      </c>
      <c r="J60" s="53">
        <v>59</v>
      </c>
      <c r="K60" s="71" t="s">
        <v>105</v>
      </c>
      <c r="L60" t="s">
        <v>705</v>
      </c>
      <c r="M60" s="9" t="s">
        <v>1143</v>
      </c>
      <c r="N60" s="1">
        <v>44293</v>
      </c>
      <c r="O60" t="s">
        <v>1437</v>
      </c>
      <c r="Q60" s="76"/>
      <c r="R60" t="b">
        <v>0</v>
      </c>
      <c r="S60" s="48">
        <v>35</v>
      </c>
      <c r="T60" s="72">
        <v>1</v>
      </c>
      <c r="U60">
        <v>20</v>
      </c>
      <c r="V60" s="31">
        <v>7</v>
      </c>
      <c r="W60" s="31">
        <v>7</v>
      </c>
      <c r="X60" s="33">
        <v>35</v>
      </c>
      <c r="Y60" s="29">
        <v>42</v>
      </c>
      <c r="Z60" s="29">
        <v>42</v>
      </c>
      <c r="AA60" s="35">
        <v>44423</v>
      </c>
      <c r="AB60" s="27"/>
      <c r="AC60" s="27"/>
      <c r="AD60" s="58">
        <v>35</v>
      </c>
      <c r="AE60" s="31">
        <v>0</v>
      </c>
      <c r="AF60" t="b">
        <v>0</v>
      </c>
      <c r="AG60" s="78">
        <v>-35</v>
      </c>
    </row>
    <row r="61" spans="1:33" x14ac:dyDescent="0.25">
      <c r="A61" t="str">
        <f t="shared" si="0"/>
        <v>2021-60</v>
      </c>
      <c r="B61" s="1">
        <f t="shared" si="1"/>
        <v>44293</v>
      </c>
      <c r="C61" t="str">
        <f t="shared" si="2"/>
        <v>2021160/3W Steuerkanzlei, Roter Hof 1a, 1080 Wien</v>
      </c>
      <c r="D61" t="str">
        <f t="shared" si="3"/>
        <v>Ausgaben</v>
      </c>
      <c r="E61" t="str">
        <f t="shared" si="3"/>
        <v>sonstige Betriebsausgaben</v>
      </c>
      <c r="F61" s="117">
        <f t="shared" si="4"/>
        <v>1038</v>
      </c>
      <c r="G61" t="str">
        <f t="shared" si="5"/>
        <v>20%</v>
      </c>
      <c r="I61" s="53">
        <v>2021</v>
      </c>
      <c r="J61" s="53">
        <v>60</v>
      </c>
      <c r="K61" s="71" t="s">
        <v>105</v>
      </c>
      <c r="L61" t="s">
        <v>705</v>
      </c>
      <c r="M61" s="9" t="s">
        <v>1524</v>
      </c>
      <c r="N61" s="1">
        <v>44293</v>
      </c>
      <c r="O61" t="s">
        <v>1027</v>
      </c>
      <c r="Q61" s="76"/>
      <c r="R61" t="b">
        <v>0</v>
      </c>
      <c r="S61" s="48">
        <v>865</v>
      </c>
      <c r="T61" s="72">
        <v>1</v>
      </c>
      <c r="U61">
        <v>20</v>
      </c>
      <c r="V61" s="31">
        <v>173</v>
      </c>
      <c r="W61" s="31">
        <v>173</v>
      </c>
      <c r="X61" s="33">
        <v>865</v>
      </c>
      <c r="Y61" s="29">
        <v>1038</v>
      </c>
      <c r="Z61" s="29">
        <v>1038</v>
      </c>
      <c r="AA61" s="35">
        <v>44423</v>
      </c>
      <c r="AB61" s="27"/>
      <c r="AC61" s="27"/>
      <c r="AD61" s="58">
        <v>865</v>
      </c>
      <c r="AE61" s="31">
        <v>0</v>
      </c>
      <c r="AF61" t="b">
        <v>0</v>
      </c>
      <c r="AG61" s="78">
        <v>-865</v>
      </c>
    </row>
    <row r="62" spans="1:33" x14ac:dyDescent="0.25">
      <c r="A62" t="str">
        <f t="shared" si="0"/>
        <v>2021-61</v>
      </c>
      <c r="B62" s="1">
        <f t="shared" si="1"/>
        <v>44294</v>
      </c>
      <c r="C62" t="str">
        <f t="shared" si="2"/>
        <v>R0013110660/Hetzner Online GmbH</v>
      </c>
      <c r="D62" t="str">
        <f t="shared" si="3"/>
        <v>Ausgaben</v>
      </c>
      <c r="E62" t="str">
        <f t="shared" si="3"/>
        <v>sonstige Betriebsausgaben</v>
      </c>
      <c r="F62" s="117">
        <f t="shared" si="4"/>
        <v>2.4900000000000002</v>
      </c>
      <c r="G62" t="str">
        <f t="shared" si="5"/>
        <v>0%</v>
      </c>
      <c r="I62" s="53">
        <v>2021</v>
      </c>
      <c r="J62" s="53">
        <v>61</v>
      </c>
      <c r="K62" s="71" t="s">
        <v>105</v>
      </c>
      <c r="L62" t="s">
        <v>705</v>
      </c>
      <c r="M62" s="9" t="s">
        <v>1525</v>
      </c>
      <c r="N62" s="1">
        <v>44294</v>
      </c>
      <c r="O62" t="s">
        <v>927</v>
      </c>
      <c r="Q62" s="76" t="s">
        <v>958</v>
      </c>
      <c r="R62" t="b">
        <v>0</v>
      </c>
      <c r="S62" s="48">
        <v>2.4900000000000002</v>
      </c>
      <c r="T62" s="72">
        <v>1</v>
      </c>
      <c r="U62">
        <v>0</v>
      </c>
      <c r="V62" s="31">
        <v>0</v>
      </c>
      <c r="W62" s="31">
        <v>0</v>
      </c>
      <c r="X62" s="33">
        <v>2.4900000000000002</v>
      </c>
      <c r="Y62" s="29">
        <v>2.4900000000000002</v>
      </c>
      <c r="Z62" s="29">
        <v>2.4900000000000002</v>
      </c>
      <c r="AA62" s="35">
        <v>44423</v>
      </c>
      <c r="AB62" s="27"/>
      <c r="AC62" s="27">
        <v>20</v>
      </c>
      <c r="AD62" s="58">
        <v>2.4900000000000002</v>
      </c>
      <c r="AE62" s="31">
        <v>0.49800000000000005</v>
      </c>
      <c r="AF62" t="b">
        <v>0</v>
      </c>
      <c r="AG62" s="78">
        <v>-2.4900000000000002</v>
      </c>
    </row>
    <row r="63" spans="1:33" x14ac:dyDescent="0.25">
      <c r="A63" t="str">
        <f t="shared" si="0"/>
        <v>2021-62</v>
      </c>
      <c r="B63" s="1">
        <f t="shared" si="1"/>
        <v>44295</v>
      </c>
      <c r="C63" t="str">
        <f t="shared" si="2"/>
        <v>12021010/Schick Küchendesign e.U. Alexander Schick, Linzerstraße 247, 1140 Wien</v>
      </c>
      <c r="D63" t="str">
        <f t="shared" si="3"/>
        <v>Einnahmen</v>
      </c>
      <c r="E63" t="str">
        <f t="shared" si="3"/>
        <v>Waren-/Leistungserlöse</v>
      </c>
      <c r="F63" s="117">
        <f t="shared" si="4"/>
        <v>2351.4719999999998</v>
      </c>
      <c r="G63" t="str">
        <f t="shared" si="5"/>
        <v>20%</v>
      </c>
      <c r="I63" s="53">
        <v>2021</v>
      </c>
      <c r="J63" s="53">
        <v>62</v>
      </c>
      <c r="K63" s="71" t="s">
        <v>708</v>
      </c>
      <c r="L63" t="s">
        <v>709</v>
      </c>
      <c r="M63" s="9" t="s">
        <v>1526</v>
      </c>
      <c r="N63" s="1">
        <v>44295</v>
      </c>
      <c r="O63" t="s">
        <v>983</v>
      </c>
      <c r="Q63" s="76"/>
      <c r="R63" t="b">
        <v>0</v>
      </c>
      <c r="S63" s="48">
        <v>1959.56</v>
      </c>
      <c r="T63" s="72">
        <v>1</v>
      </c>
      <c r="U63">
        <v>20</v>
      </c>
      <c r="V63" s="31">
        <v>391.91199999999998</v>
      </c>
      <c r="W63" s="31">
        <v>391.91199999999998</v>
      </c>
      <c r="X63" s="33">
        <v>1959.56</v>
      </c>
      <c r="Y63" s="29">
        <v>2351.4719999999998</v>
      </c>
      <c r="Z63" s="29">
        <v>2351.4719999999998</v>
      </c>
      <c r="AA63" s="35">
        <v>44423</v>
      </c>
      <c r="AB63" s="27"/>
      <c r="AC63" s="27"/>
      <c r="AD63" s="58">
        <v>1959.56</v>
      </c>
      <c r="AE63" s="31">
        <v>0</v>
      </c>
      <c r="AF63" t="b">
        <v>0</v>
      </c>
      <c r="AG63" s="78">
        <v>1959.56</v>
      </c>
    </row>
    <row r="64" spans="1:33" x14ac:dyDescent="0.25">
      <c r="A64" t="str">
        <f t="shared" si="0"/>
        <v>2021-63</v>
      </c>
      <c r="B64" s="1">
        <f t="shared" si="1"/>
        <v>44298</v>
      </c>
      <c r="C64" t="str">
        <f t="shared" si="2"/>
        <v>5137082649/Wiener Netze GmbH, Erdbergstraße 236, 1110 Wien, Postfach 422; Jahresabrechnung vom 17.12.20: GUTSCHRIFT</v>
      </c>
      <c r="D64" t="str">
        <f t="shared" si="3"/>
        <v>Ausgaben</v>
      </c>
      <c r="E64" t="str">
        <f t="shared" si="3"/>
        <v>sonstige Betriebsausgaben</v>
      </c>
      <c r="F64" s="117">
        <f t="shared" si="4"/>
        <v>15.6</v>
      </c>
      <c r="G64" t="str">
        <f t="shared" si="5"/>
        <v>20%</v>
      </c>
      <c r="I64" s="53">
        <v>2021</v>
      </c>
      <c r="J64" s="53">
        <v>63</v>
      </c>
      <c r="K64" s="71" t="s">
        <v>105</v>
      </c>
      <c r="L64" t="s">
        <v>705</v>
      </c>
      <c r="M64" s="9" t="s">
        <v>1465</v>
      </c>
      <c r="N64" s="1">
        <v>44298</v>
      </c>
      <c r="O64" t="s">
        <v>1466</v>
      </c>
      <c r="Q64" s="76"/>
      <c r="R64" t="b">
        <v>0</v>
      </c>
      <c r="S64" s="48">
        <v>13</v>
      </c>
      <c r="T64" s="72">
        <v>1</v>
      </c>
      <c r="U64">
        <v>20</v>
      </c>
      <c r="V64" s="31">
        <v>2.6</v>
      </c>
      <c r="W64" s="31">
        <v>2.6</v>
      </c>
      <c r="X64" s="33">
        <v>13</v>
      </c>
      <c r="Y64" s="29">
        <v>15.6</v>
      </c>
      <c r="Z64" s="29">
        <v>15.6</v>
      </c>
      <c r="AA64" s="35">
        <v>44423</v>
      </c>
      <c r="AB64" s="27"/>
      <c r="AC64" s="27"/>
      <c r="AD64" s="58">
        <v>13</v>
      </c>
      <c r="AE64" s="31">
        <v>0</v>
      </c>
      <c r="AF64" t="b">
        <v>0</v>
      </c>
      <c r="AG64" s="78">
        <v>-13</v>
      </c>
    </row>
    <row r="65" spans="1:33" x14ac:dyDescent="0.25">
      <c r="A65" t="str">
        <f t="shared" si="0"/>
        <v>2021-64</v>
      </c>
      <c r="B65" s="1">
        <f t="shared" si="1"/>
        <v>44299</v>
      </c>
      <c r="C65" t="str">
        <f t="shared" si="2"/>
        <v>R0013159645/Hetzner Online GmbH</v>
      </c>
      <c r="D65" t="str">
        <f t="shared" si="3"/>
        <v>Ausgaben</v>
      </c>
      <c r="E65" t="str">
        <f t="shared" si="3"/>
        <v>sonstige Betriebsausgaben</v>
      </c>
      <c r="F65" s="117">
        <f t="shared" si="4"/>
        <v>46.916800000000002</v>
      </c>
      <c r="G65" t="str">
        <f t="shared" si="5"/>
        <v>0%</v>
      </c>
      <c r="I65" s="53">
        <v>2021</v>
      </c>
      <c r="J65" s="53">
        <v>64</v>
      </c>
      <c r="K65" s="71" t="s">
        <v>105</v>
      </c>
      <c r="L65" t="s">
        <v>705</v>
      </c>
      <c r="M65" s="9" t="s">
        <v>1527</v>
      </c>
      <c r="N65" s="1">
        <v>44299</v>
      </c>
      <c r="O65" t="s">
        <v>927</v>
      </c>
      <c r="Q65" s="76"/>
      <c r="R65" t="b">
        <v>0</v>
      </c>
      <c r="S65" s="48">
        <v>46.916800000000002</v>
      </c>
      <c r="T65" s="72">
        <v>1</v>
      </c>
      <c r="U65">
        <v>0</v>
      </c>
      <c r="V65" s="31">
        <v>0</v>
      </c>
      <c r="W65" s="31">
        <v>0</v>
      </c>
      <c r="X65" s="33">
        <v>46.916800000000002</v>
      </c>
      <c r="Y65" s="29">
        <v>46.916800000000002</v>
      </c>
      <c r="Z65" s="29">
        <v>46.916800000000002</v>
      </c>
      <c r="AA65" s="35">
        <v>44423</v>
      </c>
      <c r="AB65" s="27"/>
      <c r="AC65" s="27">
        <v>20</v>
      </c>
      <c r="AD65" s="58">
        <v>46.916800000000002</v>
      </c>
      <c r="AE65" s="31">
        <v>9.3833600000000015</v>
      </c>
      <c r="AF65" t="b">
        <v>0</v>
      </c>
      <c r="AG65" s="78">
        <v>-46.916800000000002</v>
      </c>
    </row>
    <row r="66" spans="1:33" x14ac:dyDescent="0.25">
      <c r="A66" t="str">
        <f t="shared" si="0"/>
        <v>2021-65</v>
      </c>
      <c r="B66" s="1">
        <f t="shared" si="1"/>
        <v>44305</v>
      </c>
      <c r="C66" t="str">
        <f t="shared" si="2"/>
        <v>174264207124-1, 174264207124-2/Google Ireland Ltd., Gordon House, Barrow Street, Dublin 4, Ireland; VAT ID: IE 6388047V</v>
      </c>
      <c r="D66" t="str">
        <f t="shared" si="3"/>
        <v>Ausgaben</v>
      </c>
      <c r="E66" t="str">
        <f t="shared" si="3"/>
        <v>sonstige Betriebsausgaben</v>
      </c>
      <c r="F66" s="117">
        <f t="shared" si="4"/>
        <v>54.07</v>
      </c>
      <c r="G66" t="str">
        <f t="shared" si="5"/>
        <v>0%</v>
      </c>
      <c r="I66" s="53">
        <v>2021</v>
      </c>
      <c r="J66" s="53">
        <v>65</v>
      </c>
      <c r="K66" s="71" t="s">
        <v>105</v>
      </c>
      <c r="L66" t="s">
        <v>705</v>
      </c>
      <c r="M66" s="9" t="s">
        <v>1531</v>
      </c>
      <c r="N66" s="1">
        <v>44305</v>
      </c>
      <c r="O66" t="s">
        <v>1530</v>
      </c>
      <c r="Q66" s="76"/>
      <c r="R66" t="b">
        <v>0</v>
      </c>
      <c r="S66" s="48">
        <v>54.07</v>
      </c>
      <c r="T66" s="72">
        <v>1</v>
      </c>
      <c r="U66">
        <v>0</v>
      </c>
      <c r="V66" s="31">
        <v>0</v>
      </c>
      <c r="W66" s="31">
        <v>0</v>
      </c>
      <c r="X66" s="33">
        <v>54.07</v>
      </c>
      <c r="Y66" s="29">
        <v>54.07</v>
      </c>
      <c r="Z66" s="29">
        <v>54.07</v>
      </c>
      <c r="AA66" s="35">
        <v>44423</v>
      </c>
      <c r="AB66" s="27"/>
      <c r="AC66" s="27">
        <v>20</v>
      </c>
      <c r="AD66" s="58">
        <v>54.07</v>
      </c>
      <c r="AE66" s="31">
        <v>10.814</v>
      </c>
      <c r="AF66" t="b">
        <v>0</v>
      </c>
      <c r="AG66" s="78">
        <v>-54.07</v>
      </c>
    </row>
    <row r="67" spans="1:33" x14ac:dyDescent="0.25">
      <c r="A67" t="str">
        <f t="shared" ref="A67:A130" si="6">I67&amp;"-"&amp;J67</f>
        <v>2021-66</v>
      </c>
      <c r="B67" s="1">
        <f t="shared" ref="B67:B130" si="7">N67</f>
        <v>44309</v>
      </c>
      <c r="C67" t="str">
        <f t="shared" ref="C67:C130" si="8">M67&amp;"/"&amp;O67</f>
        <v>Mahnung/Bontus Immobilienverwaltung GmbH, 1010 Wien, Franz Josefs Kai 65 Mahnsaldo 23.4.21</v>
      </c>
      <c r="D67" t="str">
        <f t="shared" ref="D67:E130" si="9">K67</f>
        <v>Ausgaben</v>
      </c>
      <c r="E67" t="str">
        <f t="shared" si="9"/>
        <v>Miet- und Pachtaufwand, Leasing</v>
      </c>
      <c r="F67" s="117">
        <f t="shared" ref="F67:F130" si="10">Z67</f>
        <v>9.6300000000000008</v>
      </c>
      <c r="G67" t="str">
        <f t="shared" ref="G67:G130" si="11">U67&amp;"%"</f>
        <v>20%</v>
      </c>
      <c r="I67" s="53">
        <v>2021</v>
      </c>
      <c r="J67" s="53">
        <v>66</v>
      </c>
      <c r="K67" s="71" t="s">
        <v>105</v>
      </c>
      <c r="L67" t="s">
        <v>691</v>
      </c>
      <c r="M67" s="9" t="s">
        <v>1534</v>
      </c>
      <c r="N67" s="1">
        <v>44309</v>
      </c>
      <c r="O67" t="s">
        <v>1532</v>
      </c>
      <c r="Q67" s="76"/>
      <c r="R67" t="b">
        <v>0</v>
      </c>
      <c r="S67" s="48">
        <v>8.0250000000000004</v>
      </c>
      <c r="T67" s="72">
        <v>1</v>
      </c>
      <c r="U67">
        <v>20</v>
      </c>
      <c r="V67" s="31">
        <v>1.605</v>
      </c>
      <c r="W67" s="31">
        <v>1.605</v>
      </c>
      <c r="X67" s="33">
        <v>8.0250000000000004</v>
      </c>
      <c r="Y67" s="29">
        <v>9.6300000000000008</v>
      </c>
      <c r="Z67" s="29">
        <v>9.6300000000000008</v>
      </c>
      <c r="AA67" s="35">
        <v>44423</v>
      </c>
      <c r="AB67" s="27"/>
      <c r="AC67" s="27"/>
      <c r="AD67" s="58">
        <v>8.0250000000000004</v>
      </c>
      <c r="AE67" s="31">
        <v>0</v>
      </c>
      <c r="AF67" t="b">
        <v>0</v>
      </c>
      <c r="AG67" s="78">
        <v>-8.0250000000000004</v>
      </c>
    </row>
    <row r="68" spans="1:33" x14ac:dyDescent="0.25">
      <c r="A68" t="str">
        <f t="shared" si="6"/>
        <v>2021-67</v>
      </c>
      <c r="B68" s="1">
        <f t="shared" si="7"/>
        <v>44309</v>
      </c>
      <c r="C68" t="str">
        <f t="shared" si="8"/>
        <v>Mahnung/Bontus Immobilienverwaltung GmbH, 1010 Wien, Franz Josefs Kai 65 Mahngebühr 23.4.21</v>
      </c>
      <c r="D68" t="str">
        <f t="shared" si="9"/>
        <v>Ausgaben</v>
      </c>
      <c r="E68" t="str">
        <f t="shared" si="9"/>
        <v>Miet- und Pachtaufwand, Leasing</v>
      </c>
      <c r="F68" s="117">
        <f t="shared" si="10"/>
        <v>8</v>
      </c>
      <c r="G68" t="str">
        <f t="shared" si="11"/>
        <v>0%</v>
      </c>
      <c r="I68" s="53">
        <v>2021</v>
      </c>
      <c r="J68" s="53">
        <v>67</v>
      </c>
      <c r="K68" s="71" t="s">
        <v>105</v>
      </c>
      <c r="L68" t="s">
        <v>691</v>
      </c>
      <c r="M68" s="9" t="s">
        <v>1534</v>
      </c>
      <c r="N68" s="1">
        <v>44309</v>
      </c>
      <c r="O68" t="s">
        <v>1533</v>
      </c>
      <c r="Q68" s="76"/>
      <c r="R68" t="b">
        <v>0</v>
      </c>
      <c r="S68" s="48">
        <v>8</v>
      </c>
      <c r="T68" s="72">
        <v>1</v>
      </c>
      <c r="U68">
        <v>0</v>
      </c>
      <c r="V68" s="31">
        <v>0</v>
      </c>
      <c r="W68" s="31">
        <v>0</v>
      </c>
      <c r="X68" s="33">
        <v>8</v>
      </c>
      <c r="Y68" s="29">
        <v>8</v>
      </c>
      <c r="Z68" s="29">
        <v>8</v>
      </c>
      <c r="AA68" s="35">
        <v>44423</v>
      </c>
      <c r="AB68" s="27"/>
      <c r="AC68" s="27"/>
      <c r="AD68" s="58">
        <v>8</v>
      </c>
      <c r="AE68" s="31">
        <v>0</v>
      </c>
      <c r="AF68" t="b">
        <v>0</v>
      </c>
      <c r="AG68" s="78">
        <v>-8</v>
      </c>
    </row>
    <row r="69" spans="1:33" x14ac:dyDescent="0.25">
      <c r="A69" t="str">
        <f t="shared" si="6"/>
        <v>2021-68</v>
      </c>
      <c r="B69" s="1">
        <f t="shared" si="7"/>
        <v>44314</v>
      </c>
      <c r="C69" t="str">
        <f t="shared" si="8"/>
        <v>901200150421/Magenta: T-Mobile Austria GmbH, A-1120 Wien, PF 47</v>
      </c>
      <c r="D69" t="str">
        <f t="shared" si="9"/>
        <v>Ausgaben</v>
      </c>
      <c r="E69" t="str">
        <f t="shared" si="9"/>
        <v>Telefon/Internet</v>
      </c>
      <c r="F69" s="117">
        <f t="shared" si="10"/>
        <v>38.304000000000002</v>
      </c>
      <c r="G69" t="str">
        <f t="shared" si="11"/>
        <v>20%</v>
      </c>
      <c r="I69" s="53">
        <v>2021</v>
      </c>
      <c r="J69" s="53">
        <v>68</v>
      </c>
      <c r="K69" s="71" t="s">
        <v>105</v>
      </c>
      <c r="L69" t="s">
        <v>703</v>
      </c>
      <c r="M69" s="136" t="s">
        <v>1572</v>
      </c>
      <c r="N69" s="1">
        <v>44314</v>
      </c>
      <c r="O69" t="s">
        <v>1148</v>
      </c>
      <c r="Q69" s="76"/>
      <c r="R69" t="b">
        <v>0</v>
      </c>
      <c r="S69" s="48">
        <v>31.92</v>
      </c>
      <c r="T69" s="72">
        <v>1</v>
      </c>
      <c r="U69">
        <v>20</v>
      </c>
      <c r="V69" s="31">
        <v>6.3840000000000012</v>
      </c>
      <c r="W69" s="31">
        <v>6.3840000000000012</v>
      </c>
      <c r="X69" s="33">
        <v>31.92</v>
      </c>
      <c r="Y69" s="29">
        <v>38.304000000000002</v>
      </c>
      <c r="Z69" s="29">
        <v>38.304000000000002</v>
      </c>
      <c r="AA69" s="35">
        <v>44423</v>
      </c>
      <c r="AB69" s="27"/>
      <c r="AC69" s="27"/>
      <c r="AD69" s="58">
        <v>31.92</v>
      </c>
      <c r="AE69" s="31">
        <v>0</v>
      </c>
      <c r="AF69" t="b">
        <v>0</v>
      </c>
      <c r="AG69" s="78">
        <v>-31.92</v>
      </c>
    </row>
    <row r="70" spans="1:33" x14ac:dyDescent="0.25">
      <c r="A70" t="str">
        <f t="shared" si="6"/>
        <v>2021-69</v>
      </c>
      <c r="B70" s="1">
        <f t="shared" si="7"/>
        <v>44316</v>
      </c>
      <c r="C70" t="str">
        <f t="shared" si="8"/>
        <v>R12021012/Musikschule Bad Vöslau, Hauptstraße 14, 2540 Bad Vöslau</v>
      </c>
      <c r="D70" t="str">
        <f t="shared" si="9"/>
        <v>Einnahmen</v>
      </c>
      <c r="E70" t="str">
        <f t="shared" si="9"/>
        <v>Waren-/Leistungserlöse</v>
      </c>
      <c r="F70" s="117">
        <f t="shared" si="10"/>
        <v>53.4</v>
      </c>
      <c r="G70" t="str">
        <f t="shared" si="11"/>
        <v>20%</v>
      </c>
      <c r="I70" s="53">
        <v>2021</v>
      </c>
      <c r="J70" s="53">
        <v>69</v>
      </c>
      <c r="K70" s="71" t="s">
        <v>708</v>
      </c>
      <c r="L70" t="s">
        <v>709</v>
      </c>
      <c r="M70" s="9" t="s">
        <v>1535</v>
      </c>
      <c r="N70" s="1">
        <v>44316</v>
      </c>
      <c r="O70" t="s">
        <v>1384</v>
      </c>
      <c r="Q70" s="76"/>
      <c r="R70" t="b">
        <v>0</v>
      </c>
      <c r="S70" s="48">
        <v>44.5</v>
      </c>
      <c r="T70" s="72">
        <v>1</v>
      </c>
      <c r="U70">
        <v>20</v>
      </c>
      <c r="V70" s="31">
        <v>8.9</v>
      </c>
      <c r="W70" s="31">
        <v>8.9</v>
      </c>
      <c r="X70" s="33">
        <v>44.5</v>
      </c>
      <c r="Y70" s="29">
        <v>53.4</v>
      </c>
      <c r="Z70" s="29">
        <v>53.4</v>
      </c>
      <c r="AA70" s="35">
        <v>44423</v>
      </c>
      <c r="AB70" s="27"/>
      <c r="AC70" s="27"/>
      <c r="AD70" s="58">
        <v>44.5</v>
      </c>
      <c r="AE70" s="31">
        <v>0</v>
      </c>
      <c r="AF70" t="b">
        <v>0</v>
      </c>
      <c r="AG70" s="78">
        <v>44.5</v>
      </c>
    </row>
    <row r="71" spans="1:33" x14ac:dyDescent="0.25">
      <c r="A71" t="str">
        <f t="shared" si="6"/>
        <v>2021-70</v>
      </c>
      <c r="B71" s="1">
        <f t="shared" si="7"/>
        <v>44319</v>
      </c>
      <c r="C71" t="str">
        <f t="shared" si="8"/>
        <v>6221032088/Hutchison Drei Austria GmbH, Brünner Straße 52, 1210 Wien, Österreich</v>
      </c>
      <c r="D71" t="str">
        <f t="shared" si="9"/>
        <v>Ausgaben</v>
      </c>
      <c r="E71" t="str">
        <f t="shared" si="9"/>
        <v>Telefon/Internet</v>
      </c>
      <c r="F71" s="117">
        <f t="shared" si="10"/>
        <v>18</v>
      </c>
      <c r="G71" t="str">
        <f t="shared" si="11"/>
        <v>20%</v>
      </c>
      <c r="I71" s="53">
        <v>2021</v>
      </c>
      <c r="J71" s="53">
        <v>70</v>
      </c>
      <c r="K71" s="71" t="s">
        <v>105</v>
      </c>
      <c r="L71" t="s">
        <v>703</v>
      </c>
      <c r="M71" s="9" t="s">
        <v>1536</v>
      </c>
      <c r="N71" s="1">
        <v>44319</v>
      </c>
      <c r="O71" t="s">
        <v>34</v>
      </c>
      <c r="Q71" s="76"/>
      <c r="R71" t="b">
        <v>0</v>
      </c>
      <c r="S71" s="48">
        <v>15</v>
      </c>
      <c r="T71" s="72">
        <v>1</v>
      </c>
      <c r="U71">
        <v>20</v>
      </c>
      <c r="V71" s="31">
        <v>3</v>
      </c>
      <c r="W71" s="31">
        <v>3</v>
      </c>
      <c r="X71" s="33">
        <v>15</v>
      </c>
      <c r="Y71" s="29">
        <v>18</v>
      </c>
      <c r="Z71" s="29">
        <v>18</v>
      </c>
      <c r="AA71" s="35">
        <v>44423</v>
      </c>
      <c r="AB71" s="27"/>
      <c r="AC71" s="27"/>
      <c r="AD71" s="58">
        <v>15</v>
      </c>
      <c r="AE71" s="31">
        <v>0</v>
      </c>
      <c r="AF71" t="b">
        <v>0</v>
      </c>
      <c r="AG71" s="78">
        <v>-15</v>
      </c>
    </row>
    <row r="72" spans="1:33" x14ac:dyDescent="0.25">
      <c r="A72" t="str">
        <f t="shared" si="6"/>
        <v>2021-71</v>
      </c>
      <c r="B72" s="1">
        <f t="shared" si="7"/>
        <v>44319</v>
      </c>
      <c r="C72" t="str">
        <f t="shared" si="8"/>
        <v>21/9801/VS00412/Bontus Immobilienverwaltung GmbH, 1010 Wien, Franz Josefs Kai 65</v>
      </c>
      <c r="D72" t="str">
        <f t="shared" si="9"/>
        <v>Ausgaben</v>
      </c>
      <c r="E72" t="str">
        <f t="shared" si="9"/>
        <v>Miet- und Pachtaufwand, Leasing</v>
      </c>
      <c r="F72" s="117">
        <f t="shared" si="10"/>
        <v>564.55999999999995</v>
      </c>
      <c r="G72" t="str">
        <f t="shared" si="11"/>
        <v>20%</v>
      </c>
      <c r="I72" s="53">
        <v>2021</v>
      </c>
      <c r="J72" s="53">
        <v>71</v>
      </c>
      <c r="K72" s="71" t="s">
        <v>105</v>
      </c>
      <c r="L72" t="s">
        <v>691</v>
      </c>
      <c r="M72" s="136" t="s">
        <v>1570</v>
      </c>
      <c r="N72" s="1">
        <v>44319</v>
      </c>
      <c r="O72" t="s">
        <v>1113</v>
      </c>
      <c r="Q72" s="76"/>
      <c r="R72" t="b">
        <v>0</v>
      </c>
      <c r="S72" s="109">
        <v>470.46666666666664</v>
      </c>
      <c r="T72" s="72">
        <v>1</v>
      </c>
      <c r="U72">
        <v>20</v>
      </c>
      <c r="V72" s="31">
        <v>94.09333333333332</v>
      </c>
      <c r="W72" s="31">
        <v>94.09333333333332</v>
      </c>
      <c r="X72" s="33">
        <v>470.46666666666664</v>
      </c>
      <c r="Y72" s="29">
        <v>564.55999999999995</v>
      </c>
      <c r="Z72" s="29">
        <v>564.55999999999995</v>
      </c>
      <c r="AA72" s="35">
        <v>44423</v>
      </c>
      <c r="AB72" s="27"/>
      <c r="AC72" s="27"/>
      <c r="AD72" s="58">
        <v>470.46666666666664</v>
      </c>
      <c r="AE72" s="31">
        <v>0</v>
      </c>
      <c r="AF72" t="b">
        <v>0</v>
      </c>
      <c r="AG72" s="78">
        <v>-470.46666666666664</v>
      </c>
    </row>
    <row r="73" spans="1:33" x14ac:dyDescent="0.25">
      <c r="A73" t="str">
        <f t="shared" si="6"/>
        <v>2021-72</v>
      </c>
      <c r="B73" s="1">
        <f t="shared" si="7"/>
        <v>44319</v>
      </c>
      <c r="C73" t="str">
        <f t="shared" si="8"/>
        <v>4293000000020500/car2go Österreich GmbH, Hintere Zollamtstraße 9, 1030 Wien</v>
      </c>
      <c r="D73" t="str">
        <f t="shared" si="9"/>
        <v>Ausgaben</v>
      </c>
      <c r="E73" t="str">
        <f t="shared" si="9"/>
        <v>Reise- und Fahrtspesen inkl. Kilometergeld und Diäten</v>
      </c>
      <c r="F73" s="117">
        <f t="shared" si="10"/>
        <v>36.875999999999998</v>
      </c>
      <c r="G73" t="str">
        <f t="shared" si="11"/>
        <v>20%</v>
      </c>
      <c r="I73" s="53">
        <v>2021</v>
      </c>
      <c r="J73" s="53">
        <v>72</v>
      </c>
      <c r="K73" s="71" t="s">
        <v>105</v>
      </c>
      <c r="L73" t="s">
        <v>689</v>
      </c>
      <c r="M73" s="131" t="s">
        <v>1537</v>
      </c>
      <c r="N73" s="1">
        <v>44319</v>
      </c>
      <c r="O73" t="s">
        <v>974</v>
      </c>
      <c r="Q73" s="76"/>
      <c r="R73" t="b">
        <v>0</v>
      </c>
      <c r="S73" s="48">
        <v>30.73</v>
      </c>
      <c r="T73" s="72">
        <v>1</v>
      </c>
      <c r="U73">
        <v>20</v>
      </c>
      <c r="V73" s="31">
        <v>6.1459999999999999</v>
      </c>
      <c r="W73" s="31">
        <v>6.1459999999999999</v>
      </c>
      <c r="X73" s="33">
        <v>30.73</v>
      </c>
      <c r="Y73" s="29">
        <v>36.875999999999998</v>
      </c>
      <c r="Z73" s="29">
        <v>36.875999999999998</v>
      </c>
      <c r="AA73" s="35">
        <v>44423</v>
      </c>
      <c r="AB73" s="27"/>
      <c r="AC73" s="27"/>
      <c r="AD73" s="58">
        <v>30.73</v>
      </c>
      <c r="AE73" s="31">
        <v>0</v>
      </c>
      <c r="AF73" t="b">
        <v>0</v>
      </c>
      <c r="AG73" s="78">
        <v>-30.73</v>
      </c>
    </row>
    <row r="74" spans="1:33" x14ac:dyDescent="0.25">
      <c r="A74" t="str">
        <f t="shared" si="6"/>
        <v>2021-73</v>
      </c>
      <c r="B74" s="1">
        <f t="shared" si="7"/>
        <v>44321</v>
      </c>
      <c r="C74" t="str">
        <f t="shared" si="8"/>
        <v>60793/100/2021/easy green energy GmbH &amp; Co KG</v>
      </c>
      <c r="D74" t="str">
        <f t="shared" si="9"/>
        <v>Ausgaben</v>
      </c>
      <c r="E74" t="str">
        <f t="shared" si="9"/>
        <v>sonstige Betriebsausgaben</v>
      </c>
      <c r="F74" s="117">
        <f t="shared" si="10"/>
        <v>3</v>
      </c>
      <c r="G74" t="str">
        <f t="shared" si="11"/>
        <v>20%</v>
      </c>
      <c r="I74" s="53">
        <v>2021</v>
      </c>
      <c r="J74" s="53">
        <v>73</v>
      </c>
      <c r="K74" s="71" t="s">
        <v>105</v>
      </c>
      <c r="L74" t="s">
        <v>705</v>
      </c>
      <c r="M74" s="9" t="s">
        <v>1505</v>
      </c>
      <c r="N74" s="1">
        <v>44321</v>
      </c>
      <c r="O74" t="s">
        <v>1364</v>
      </c>
      <c r="Q74" s="76"/>
      <c r="R74" t="b">
        <v>0</v>
      </c>
      <c r="S74" s="48">
        <v>2.5</v>
      </c>
      <c r="T74" s="72">
        <v>1</v>
      </c>
      <c r="U74">
        <v>20</v>
      </c>
      <c r="V74" s="31">
        <v>0.5</v>
      </c>
      <c r="W74" s="31">
        <v>0.5</v>
      </c>
      <c r="X74" s="33">
        <v>2.5</v>
      </c>
      <c r="Y74" s="29">
        <v>3</v>
      </c>
      <c r="Z74" s="29">
        <v>3</v>
      </c>
      <c r="AA74" s="35">
        <v>44423</v>
      </c>
      <c r="AB74" s="27"/>
      <c r="AC74" s="27"/>
      <c r="AD74" s="58">
        <v>2.5</v>
      </c>
      <c r="AE74" s="31">
        <v>0</v>
      </c>
      <c r="AF74" t="b">
        <v>0</v>
      </c>
      <c r="AG74" s="78">
        <v>-2.5</v>
      </c>
    </row>
    <row r="75" spans="1:33" x14ac:dyDescent="0.25">
      <c r="A75" t="str">
        <f t="shared" si="6"/>
        <v>2021-74</v>
      </c>
      <c r="B75" s="1">
        <f t="shared" si="7"/>
        <v>44321</v>
      </c>
      <c r="C75" t="str">
        <f t="shared" si="8"/>
        <v>VS/19-01-05428/Techem Messtechnik GmbH; Abnehmernummer 501686-0003-11-( (NACHTRAG 25.12.)</v>
      </c>
      <c r="D75" t="str">
        <f t="shared" si="9"/>
        <v>Ausgaben</v>
      </c>
      <c r="E75" t="str">
        <f t="shared" si="9"/>
        <v>sonstige Betriebsausgaben</v>
      </c>
      <c r="F75" s="117">
        <f t="shared" si="10"/>
        <v>42</v>
      </c>
      <c r="G75" t="str">
        <f t="shared" si="11"/>
        <v>20%</v>
      </c>
      <c r="I75" s="53">
        <v>2021</v>
      </c>
      <c r="J75" s="53">
        <v>74</v>
      </c>
      <c r="K75" s="71" t="s">
        <v>105</v>
      </c>
      <c r="L75" t="s">
        <v>705</v>
      </c>
      <c r="M75" s="9" t="s">
        <v>1143</v>
      </c>
      <c r="N75" s="1">
        <v>44321</v>
      </c>
      <c r="O75" t="s">
        <v>1437</v>
      </c>
      <c r="Q75" s="76"/>
      <c r="R75" t="b">
        <v>0</v>
      </c>
      <c r="S75" s="48">
        <v>35</v>
      </c>
      <c r="T75" s="72">
        <v>1</v>
      </c>
      <c r="U75">
        <v>20</v>
      </c>
      <c r="V75" s="31">
        <v>7</v>
      </c>
      <c r="W75" s="31">
        <v>7</v>
      </c>
      <c r="X75" s="33">
        <v>35</v>
      </c>
      <c r="Y75" s="29">
        <v>42</v>
      </c>
      <c r="Z75" s="29">
        <v>42</v>
      </c>
      <c r="AA75" s="35">
        <v>44423</v>
      </c>
      <c r="AB75" s="27"/>
      <c r="AC75" s="27"/>
      <c r="AD75" s="58">
        <v>35</v>
      </c>
      <c r="AE75" s="31">
        <v>0</v>
      </c>
      <c r="AF75" t="b">
        <v>0</v>
      </c>
      <c r="AG75" s="78">
        <v>-35</v>
      </c>
    </row>
    <row r="76" spans="1:33" x14ac:dyDescent="0.25">
      <c r="A76" t="str">
        <f t="shared" si="6"/>
        <v>2021-75</v>
      </c>
      <c r="B76" s="1">
        <f t="shared" si="7"/>
        <v>44322</v>
      </c>
      <c r="C76" t="str">
        <f t="shared" si="8"/>
        <v>R0013299838/Hetzner Online GmbH</v>
      </c>
      <c r="D76" t="str">
        <f t="shared" si="9"/>
        <v>Ausgaben</v>
      </c>
      <c r="E76" t="str">
        <f t="shared" si="9"/>
        <v>sonstige Betriebsausgaben</v>
      </c>
      <c r="F76" s="117">
        <f t="shared" si="10"/>
        <v>2.4900000000000002</v>
      </c>
      <c r="G76" t="str">
        <f t="shared" si="11"/>
        <v>0%</v>
      </c>
      <c r="I76" s="53">
        <v>2021</v>
      </c>
      <c r="J76" s="53">
        <v>75</v>
      </c>
      <c r="K76" s="71" t="s">
        <v>105</v>
      </c>
      <c r="L76" t="s">
        <v>705</v>
      </c>
      <c r="M76" s="9" t="s">
        <v>1538</v>
      </c>
      <c r="N76" s="1">
        <v>44322</v>
      </c>
      <c r="O76" t="s">
        <v>927</v>
      </c>
      <c r="Q76" s="76" t="s">
        <v>958</v>
      </c>
      <c r="R76" t="b">
        <v>0</v>
      </c>
      <c r="S76" s="48">
        <v>2.4900000000000002</v>
      </c>
      <c r="T76" s="72">
        <v>1</v>
      </c>
      <c r="U76">
        <v>0</v>
      </c>
      <c r="V76" s="31">
        <v>0</v>
      </c>
      <c r="W76" s="31">
        <v>0</v>
      </c>
      <c r="X76" s="33">
        <v>2.4900000000000002</v>
      </c>
      <c r="Y76" s="29">
        <v>2.4900000000000002</v>
      </c>
      <c r="Z76" s="29">
        <v>2.4900000000000002</v>
      </c>
      <c r="AA76" s="35">
        <v>44423</v>
      </c>
      <c r="AB76" s="27"/>
      <c r="AC76" s="27">
        <v>20</v>
      </c>
      <c r="AD76" s="58">
        <v>2.4900000000000002</v>
      </c>
      <c r="AE76" s="31">
        <v>0.49800000000000005</v>
      </c>
      <c r="AF76" t="b">
        <v>0</v>
      </c>
      <c r="AG76" s="78">
        <v>-2.4900000000000002</v>
      </c>
    </row>
    <row r="77" spans="1:33" x14ac:dyDescent="0.25">
      <c r="A77" t="str">
        <f t="shared" si="6"/>
        <v>2021-76</v>
      </c>
      <c r="B77" s="1">
        <f t="shared" si="7"/>
        <v>44326</v>
      </c>
      <c r="C77" t="str">
        <f t="shared" si="8"/>
        <v>5137082649/Wiener Netze GmbH, Erdbergstraße 236, 1110 Wien, Postfach 422; Jahresabrechnung vom 17.12.20: GUTSCHRIFT</v>
      </c>
      <c r="D77" t="str">
        <f t="shared" si="9"/>
        <v>Ausgaben</v>
      </c>
      <c r="E77" t="str">
        <f t="shared" si="9"/>
        <v>sonstige Betriebsausgaben</v>
      </c>
      <c r="F77" s="117">
        <f t="shared" si="10"/>
        <v>15.6</v>
      </c>
      <c r="G77" t="str">
        <f t="shared" si="11"/>
        <v>20%</v>
      </c>
      <c r="I77" s="53">
        <v>2021</v>
      </c>
      <c r="J77" s="53">
        <v>76</v>
      </c>
      <c r="K77" s="71" t="s">
        <v>105</v>
      </c>
      <c r="L77" t="s">
        <v>705</v>
      </c>
      <c r="M77" s="9" t="s">
        <v>1465</v>
      </c>
      <c r="N77" s="1">
        <v>44326</v>
      </c>
      <c r="O77" t="s">
        <v>1466</v>
      </c>
      <c r="Q77" s="76"/>
      <c r="R77" t="b">
        <v>0</v>
      </c>
      <c r="S77" s="48">
        <v>13</v>
      </c>
      <c r="T77" s="72">
        <v>1</v>
      </c>
      <c r="U77">
        <v>20</v>
      </c>
      <c r="V77" s="31">
        <v>2.6</v>
      </c>
      <c r="W77" s="31">
        <v>2.6</v>
      </c>
      <c r="X77" s="33">
        <v>13</v>
      </c>
      <c r="Y77" s="29">
        <v>15.6</v>
      </c>
      <c r="Z77" s="29">
        <v>15.6</v>
      </c>
      <c r="AA77" s="35">
        <v>44423</v>
      </c>
      <c r="AB77" s="27"/>
      <c r="AC77" s="27"/>
      <c r="AD77" s="58">
        <v>13</v>
      </c>
      <c r="AE77" s="31">
        <v>0</v>
      </c>
      <c r="AF77" t="b">
        <v>0</v>
      </c>
      <c r="AG77" s="78">
        <v>-13</v>
      </c>
    </row>
    <row r="78" spans="1:33" x14ac:dyDescent="0.25">
      <c r="A78" t="str">
        <f t="shared" si="6"/>
        <v>2021-77</v>
      </c>
      <c r="B78" s="1">
        <f t="shared" si="7"/>
        <v>44330</v>
      </c>
      <c r="C78" t="str">
        <f t="shared" si="8"/>
        <v>R0013350626/Hetzner Online GmbH</v>
      </c>
      <c r="D78" t="str">
        <f t="shared" si="9"/>
        <v>Ausgaben</v>
      </c>
      <c r="E78" t="str">
        <f t="shared" si="9"/>
        <v>sonstige Betriebsausgaben</v>
      </c>
      <c r="F78" s="117">
        <f t="shared" si="10"/>
        <v>46.916800000000002</v>
      </c>
      <c r="G78" t="str">
        <f t="shared" si="11"/>
        <v>0%</v>
      </c>
      <c r="I78" s="53">
        <v>2021</v>
      </c>
      <c r="J78" s="53">
        <v>77</v>
      </c>
      <c r="K78" s="71" t="s">
        <v>105</v>
      </c>
      <c r="L78" t="s">
        <v>705</v>
      </c>
      <c r="M78" s="9" t="s">
        <v>1539</v>
      </c>
      <c r="N78" s="1">
        <v>44330</v>
      </c>
      <c r="O78" t="s">
        <v>927</v>
      </c>
      <c r="Q78" s="76"/>
      <c r="R78" t="b">
        <v>0</v>
      </c>
      <c r="S78" s="48">
        <v>46.916800000000002</v>
      </c>
      <c r="T78" s="72">
        <v>1</v>
      </c>
      <c r="U78">
        <v>0</v>
      </c>
      <c r="V78" s="31">
        <v>0</v>
      </c>
      <c r="W78" s="31">
        <v>0</v>
      </c>
      <c r="X78" s="33">
        <v>46.916800000000002</v>
      </c>
      <c r="Y78" s="29">
        <v>46.916800000000002</v>
      </c>
      <c r="Z78" s="29">
        <v>46.916800000000002</v>
      </c>
      <c r="AA78" s="35">
        <v>44423</v>
      </c>
      <c r="AB78" s="27"/>
      <c r="AC78" s="27">
        <v>20</v>
      </c>
      <c r="AD78" s="58">
        <v>46.916800000000002</v>
      </c>
      <c r="AE78" s="31">
        <v>9.3833600000000015</v>
      </c>
      <c r="AF78" t="b">
        <v>0</v>
      </c>
      <c r="AG78" s="78">
        <v>-46.916800000000002</v>
      </c>
    </row>
    <row r="79" spans="1:33" x14ac:dyDescent="0.25">
      <c r="A79" t="str">
        <f t="shared" si="6"/>
        <v>2021-78</v>
      </c>
      <c r="B79" s="1">
        <f t="shared" si="7"/>
        <v>44337</v>
      </c>
      <c r="C79" t="str">
        <f t="shared" si="8"/>
        <v>901191780521/Magenta: T-Mobile Austria GmbH, A-1120 Wien, PF 47</v>
      </c>
      <c r="D79" t="str">
        <f t="shared" si="9"/>
        <v>Ausgaben</v>
      </c>
      <c r="E79" t="str">
        <f t="shared" si="9"/>
        <v>Telefon/Internet</v>
      </c>
      <c r="F79" s="117">
        <f t="shared" si="10"/>
        <v>38.304000000000002</v>
      </c>
      <c r="G79" t="str">
        <f t="shared" si="11"/>
        <v>20%</v>
      </c>
      <c r="I79" s="53">
        <v>2021</v>
      </c>
      <c r="J79" s="53">
        <v>78</v>
      </c>
      <c r="K79" s="71" t="s">
        <v>105</v>
      </c>
      <c r="L79" t="s">
        <v>703</v>
      </c>
      <c r="M79" s="136" t="s">
        <v>1543</v>
      </c>
      <c r="N79" s="1">
        <v>44337</v>
      </c>
      <c r="O79" t="s">
        <v>1148</v>
      </c>
      <c r="Q79" s="76"/>
      <c r="R79" t="b">
        <v>0</v>
      </c>
      <c r="S79" s="48">
        <v>31.92</v>
      </c>
      <c r="T79" s="72">
        <v>1</v>
      </c>
      <c r="U79">
        <v>20</v>
      </c>
      <c r="V79" s="31">
        <v>6.3840000000000012</v>
      </c>
      <c r="W79" s="31">
        <v>6.3840000000000012</v>
      </c>
      <c r="X79" s="33">
        <v>31.92</v>
      </c>
      <c r="Y79" s="29">
        <v>38.304000000000002</v>
      </c>
      <c r="Z79" s="29">
        <v>38.304000000000002</v>
      </c>
      <c r="AA79" s="35">
        <v>44423</v>
      </c>
      <c r="AB79" s="27"/>
      <c r="AC79" s="27"/>
      <c r="AD79" s="58">
        <v>31.92</v>
      </c>
      <c r="AE79" s="31">
        <v>0</v>
      </c>
      <c r="AF79" t="b">
        <v>0</v>
      </c>
      <c r="AG79" s="78">
        <v>-31.92</v>
      </c>
    </row>
    <row r="80" spans="1:33" x14ac:dyDescent="0.25">
      <c r="A80" t="str">
        <f t="shared" si="6"/>
        <v>2021-79</v>
      </c>
      <c r="B80" s="1">
        <f t="shared" si="7"/>
        <v>44341</v>
      </c>
      <c r="C80" t="str">
        <f t="shared" si="8"/>
        <v>201112105252ALB-00016VG017S0/Wiener Linien 1010</v>
      </c>
      <c r="D80" t="str">
        <f t="shared" si="9"/>
        <v>Ausgaben</v>
      </c>
      <c r="E80" t="str">
        <f t="shared" si="9"/>
        <v>Reise- und Fahrtspesen inkl. Kilometergeld und Diäten</v>
      </c>
      <c r="F80" s="117">
        <f t="shared" si="10"/>
        <v>2.4</v>
      </c>
      <c r="G80" t="str">
        <f t="shared" si="11"/>
        <v>10%</v>
      </c>
      <c r="I80" s="53">
        <v>2021</v>
      </c>
      <c r="J80" s="53">
        <v>79</v>
      </c>
      <c r="K80" s="71" t="s">
        <v>105</v>
      </c>
      <c r="L80" t="s">
        <v>689</v>
      </c>
      <c r="M80" s="143" t="s">
        <v>1636</v>
      </c>
      <c r="N80" s="1">
        <v>44341</v>
      </c>
      <c r="O80" t="s">
        <v>1540</v>
      </c>
      <c r="Q80" s="76"/>
      <c r="R80" t="b">
        <v>0</v>
      </c>
      <c r="S80" s="145">
        <v>2.1818181818181817</v>
      </c>
      <c r="T80" s="146">
        <v>1</v>
      </c>
      <c r="U80" s="147">
        <v>10</v>
      </c>
      <c r="V80" s="31">
        <v>0.21818181818181817</v>
      </c>
      <c r="W80" s="31">
        <v>0.21818181818181817</v>
      </c>
      <c r="X80" s="33">
        <v>2.1818181818181817</v>
      </c>
      <c r="Y80" s="29">
        <v>2.4</v>
      </c>
      <c r="Z80" s="29">
        <v>2.4</v>
      </c>
      <c r="AA80" s="35">
        <v>44423</v>
      </c>
      <c r="AB80" s="27"/>
      <c r="AC80" s="27"/>
      <c r="AD80" s="58">
        <v>2.1818181818181817</v>
      </c>
      <c r="AE80" s="31">
        <v>0</v>
      </c>
      <c r="AF80" t="b">
        <v>0</v>
      </c>
      <c r="AG80" s="78">
        <v>-2.1818181818181817</v>
      </c>
    </row>
    <row r="81" spans="1:33" x14ac:dyDescent="0.25">
      <c r="A81" t="str">
        <f t="shared" si="6"/>
        <v>2021-80</v>
      </c>
      <c r="B81" s="1">
        <f t="shared" si="7"/>
        <v>44347</v>
      </c>
      <c r="C81" t="str">
        <f t="shared" si="8"/>
        <v>6222766899/Hutchison Drei Austria GmbH, Brünner Straße 52, 1210 Wien, Österreich</v>
      </c>
      <c r="D81" t="str">
        <f t="shared" si="9"/>
        <v>Ausgaben</v>
      </c>
      <c r="E81" t="str">
        <f t="shared" si="9"/>
        <v>Telefon/Internet</v>
      </c>
      <c r="F81" s="117">
        <f t="shared" si="10"/>
        <v>18</v>
      </c>
      <c r="G81" t="str">
        <f t="shared" si="11"/>
        <v>20%</v>
      </c>
      <c r="I81" s="53">
        <v>2021</v>
      </c>
      <c r="J81" s="53">
        <v>80</v>
      </c>
      <c r="K81" s="71" t="s">
        <v>105</v>
      </c>
      <c r="L81" t="s">
        <v>703</v>
      </c>
      <c r="M81" s="9" t="s">
        <v>1541</v>
      </c>
      <c r="N81" s="1">
        <v>44347</v>
      </c>
      <c r="O81" t="s">
        <v>34</v>
      </c>
      <c r="Q81" s="76"/>
      <c r="R81" t="b">
        <v>0</v>
      </c>
      <c r="S81" s="48">
        <v>15</v>
      </c>
      <c r="T81" s="72">
        <v>1</v>
      </c>
      <c r="U81">
        <v>20</v>
      </c>
      <c r="V81" s="31">
        <v>3</v>
      </c>
      <c r="W81" s="31">
        <v>3</v>
      </c>
      <c r="X81" s="33">
        <v>15</v>
      </c>
      <c r="Y81" s="29">
        <v>18</v>
      </c>
      <c r="Z81" s="29">
        <v>18</v>
      </c>
      <c r="AA81" s="35">
        <v>44423</v>
      </c>
      <c r="AB81" s="27"/>
      <c r="AC81" s="27"/>
      <c r="AD81" s="58">
        <v>15</v>
      </c>
      <c r="AE81" s="31">
        <v>0</v>
      </c>
      <c r="AF81" t="b">
        <v>0</v>
      </c>
      <c r="AG81" s="78">
        <v>-15</v>
      </c>
    </row>
    <row r="82" spans="1:33" x14ac:dyDescent="0.25">
      <c r="A82" t="str">
        <f t="shared" si="6"/>
        <v>2021-81</v>
      </c>
      <c r="B82" s="1">
        <f t="shared" si="7"/>
        <v>44347</v>
      </c>
      <c r="C82" t="str">
        <f t="shared" si="8"/>
        <v>PRM321050004109/New Work SE, Dammtorstraße 30, 20354 Hamburg</v>
      </c>
      <c r="D82" t="str">
        <f t="shared" si="9"/>
        <v>Ausgaben</v>
      </c>
      <c r="E82" t="str">
        <f t="shared" si="9"/>
        <v>Werbe- und Repräsentationsaufwand</v>
      </c>
      <c r="F82" s="117">
        <f t="shared" si="10"/>
        <v>24.88</v>
      </c>
      <c r="G82" t="str">
        <f t="shared" si="11"/>
        <v>0%</v>
      </c>
      <c r="I82" s="53">
        <v>2021</v>
      </c>
      <c r="J82" s="53">
        <v>81</v>
      </c>
      <c r="K82" s="71" t="s">
        <v>105</v>
      </c>
      <c r="L82" t="s">
        <v>693</v>
      </c>
      <c r="M82" s="9" t="s">
        <v>1542</v>
      </c>
      <c r="N82" s="1">
        <v>44347</v>
      </c>
      <c r="O82" t="s">
        <v>1363</v>
      </c>
      <c r="Q82" s="76"/>
      <c r="R82" t="b">
        <v>0</v>
      </c>
      <c r="S82" s="48">
        <v>24.88</v>
      </c>
      <c r="T82" s="72">
        <v>1</v>
      </c>
      <c r="U82">
        <v>0</v>
      </c>
      <c r="V82" s="31">
        <v>0</v>
      </c>
      <c r="W82" s="31">
        <v>0</v>
      </c>
      <c r="X82" s="33">
        <v>24.88</v>
      </c>
      <c r="Y82" s="29">
        <v>24.88</v>
      </c>
      <c r="Z82" s="29">
        <v>24.88</v>
      </c>
      <c r="AA82" s="35">
        <v>44423</v>
      </c>
      <c r="AB82" s="27"/>
      <c r="AC82" s="27">
        <v>20</v>
      </c>
      <c r="AD82" s="58">
        <v>24.88</v>
      </c>
      <c r="AE82" s="31">
        <v>4.976</v>
      </c>
      <c r="AF82" t="b">
        <v>0</v>
      </c>
      <c r="AG82" s="78">
        <v>-24.88</v>
      </c>
    </row>
    <row r="83" spans="1:33" x14ac:dyDescent="0.25">
      <c r="A83" t="str">
        <f t="shared" si="6"/>
        <v>2021-82</v>
      </c>
      <c r="B83" s="1">
        <f t="shared" si="7"/>
        <v>44348</v>
      </c>
      <c r="C83" t="str">
        <f t="shared" si="8"/>
        <v>21/9801/VS00413/Bontus Immobilienverwaltung GmbH, 1010 Wien, Franz Josefs Kai 65</v>
      </c>
      <c r="D83" t="str">
        <f t="shared" si="9"/>
        <v>Ausgaben</v>
      </c>
      <c r="E83" t="str">
        <f t="shared" si="9"/>
        <v>Miet- und Pachtaufwand, Leasing</v>
      </c>
      <c r="F83" s="117">
        <f t="shared" si="10"/>
        <v>564.55999999999995</v>
      </c>
      <c r="G83" t="str">
        <f t="shared" si="11"/>
        <v>20%</v>
      </c>
      <c r="I83" s="53">
        <v>2021</v>
      </c>
      <c r="J83" s="53">
        <v>82</v>
      </c>
      <c r="K83" s="71" t="s">
        <v>105</v>
      </c>
      <c r="L83" t="s">
        <v>691</v>
      </c>
      <c r="M83" s="136" t="s">
        <v>1569</v>
      </c>
      <c r="N83" s="1">
        <v>44348</v>
      </c>
      <c r="O83" t="s">
        <v>1113</v>
      </c>
      <c r="Q83" s="76"/>
      <c r="R83" t="b">
        <v>0</v>
      </c>
      <c r="S83" s="109">
        <v>470.46666666666664</v>
      </c>
      <c r="T83" s="72">
        <v>1</v>
      </c>
      <c r="U83">
        <v>20</v>
      </c>
      <c r="V83" s="31">
        <v>94.09333333333332</v>
      </c>
      <c r="W83" s="31">
        <v>94.09333333333332</v>
      </c>
      <c r="X83" s="33">
        <v>470.46666666666664</v>
      </c>
      <c r="Y83" s="29">
        <v>564.55999999999995</v>
      </c>
      <c r="Z83" s="29">
        <v>564.55999999999995</v>
      </c>
      <c r="AA83" s="35">
        <v>44423</v>
      </c>
      <c r="AB83" s="27"/>
      <c r="AC83" s="27"/>
      <c r="AD83" s="58">
        <v>470.46666666666664</v>
      </c>
      <c r="AE83" s="31">
        <v>0</v>
      </c>
      <c r="AF83" t="b">
        <v>0</v>
      </c>
      <c r="AG83" s="78">
        <v>-470.46666666666664</v>
      </c>
    </row>
    <row r="84" spans="1:33" x14ac:dyDescent="0.25">
      <c r="A84" t="str">
        <f t="shared" si="6"/>
        <v>2021-83</v>
      </c>
      <c r="B84" s="1">
        <f t="shared" si="7"/>
        <v>44349</v>
      </c>
      <c r="C84" t="str">
        <f t="shared" si="8"/>
        <v>4293000000020970/car2go Österreich GmbH, Hintere Zollamtstraße 9, 1030 Wien</v>
      </c>
      <c r="D84" t="str">
        <f t="shared" si="9"/>
        <v>Ausgaben</v>
      </c>
      <c r="E84" t="str">
        <f t="shared" si="9"/>
        <v>Reise- und Fahrtspesen inkl. Kilometergeld und Diäten</v>
      </c>
      <c r="F84" s="117">
        <f t="shared" si="10"/>
        <v>34.14</v>
      </c>
      <c r="G84" t="str">
        <f t="shared" si="11"/>
        <v>20%</v>
      </c>
      <c r="I84" s="53">
        <v>2021</v>
      </c>
      <c r="J84" s="53">
        <v>83</v>
      </c>
      <c r="K84" s="71" t="s">
        <v>105</v>
      </c>
      <c r="L84" t="s">
        <v>689</v>
      </c>
      <c r="M84" s="131" t="s">
        <v>1567</v>
      </c>
      <c r="N84" s="1">
        <v>44349</v>
      </c>
      <c r="O84" t="s">
        <v>974</v>
      </c>
      <c r="Q84" s="76"/>
      <c r="R84" t="b">
        <v>0</v>
      </c>
      <c r="S84" s="48">
        <v>28.450000000000003</v>
      </c>
      <c r="T84" s="72">
        <v>1</v>
      </c>
      <c r="U84">
        <v>20</v>
      </c>
      <c r="V84" s="31">
        <v>5.69</v>
      </c>
      <c r="W84" s="31">
        <v>5.69</v>
      </c>
      <c r="X84" s="33">
        <v>28.450000000000003</v>
      </c>
      <c r="Y84" s="29">
        <v>34.14</v>
      </c>
      <c r="Z84" s="29">
        <v>34.14</v>
      </c>
      <c r="AA84" s="35">
        <v>44423</v>
      </c>
      <c r="AB84" s="27"/>
      <c r="AC84" s="27"/>
      <c r="AD84" s="58">
        <v>28.450000000000003</v>
      </c>
      <c r="AE84" s="31">
        <v>0</v>
      </c>
      <c r="AF84" t="b">
        <v>0</v>
      </c>
      <c r="AG84" s="78">
        <v>-28.450000000000003</v>
      </c>
    </row>
    <row r="85" spans="1:33" x14ac:dyDescent="0.25">
      <c r="A85" t="str">
        <f t="shared" si="6"/>
        <v>2021-84</v>
      </c>
      <c r="B85" s="1">
        <f t="shared" si="7"/>
        <v>44351</v>
      </c>
      <c r="C85" t="str">
        <f t="shared" si="8"/>
        <v>60793/100/2021/easy green energy GmbH &amp; Co KG</v>
      </c>
      <c r="D85" t="str">
        <f t="shared" si="9"/>
        <v>Ausgaben</v>
      </c>
      <c r="E85" t="str">
        <f t="shared" si="9"/>
        <v>sonstige Betriebsausgaben</v>
      </c>
      <c r="F85" s="117">
        <f t="shared" si="10"/>
        <v>3</v>
      </c>
      <c r="G85" t="str">
        <f t="shared" si="11"/>
        <v>20%</v>
      </c>
      <c r="I85" s="53">
        <v>2021</v>
      </c>
      <c r="J85" s="53">
        <v>84</v>
      </c>
      <c r="K85" s="71" t="s">
        <v>105</v>
      </c>
      <c r="L85" t="s">
        <v>705</v>
      </c>
      <c r="M85" s="9" t="s">
        <v>1505</v>
      </c>
      <c r="N85" s="1">
        <v>44351</v>
      </c>
      <c r="O85" t="s">
        <v>1364</v>
      </c>
      <c r="Q85" s="76"/>
      <c r="R85" t="b">
        <v>0</v>
      </c>
      <c r="S85" s="48">
        <v>2.5</v>
      </c>
      <c r="T85" s="72">
        <v>1</v>
      </c>
      <c r="U85">
        <v>20</v>
      </c>
      <c r="V85" s="31">
        <v>0.5</v>
      </c>
      <c r="W85" s="31">
        <v>0.5</v>
      </c>
      <c r="X85" s="33">
        <v>2.5</v>
      </c>
      <c r="Y85" s="29">
        <v>3</v>
      </c>
      <c r="Z85" s="29">
        <v>3</v>
      </c>
      <c r="AA85" s="35">
        <v>44423</v>
      </c>
      <c r="AB85" s="27"/>
      <c r="AC85" s="27"/>
      <c r="AD85" s="58">
        <v>2.5</v>
      </c>
      <c r="AE85" s="31">
        <v>0</v>
      </c>
      <c r="AF85" t="b">
        <v>0</v>
      </c>
      <c r="AG85" s="78">
        <v>-2.5</v>
      </c>
    </row>
    <row r="86" spans="1:33" x14ac:dyDescent="0.25">
      <c r="A86" t="str">
        <f t="shared" si="6"/>
        <v>2021-85</v>
      </c>
      <c r="B86" s="1">
        <f t="shared" si="7"/>
        <v>44354</v>
      </c>
      <c r="C86" t="str">
        <f t="shared" si="8"/>
        <v>VS/19-01-05428/Techem Messtechnik GmbH; Abnehmernummer 501686-0003-11-( (NACHTRAG 25.12.)</v>
      </c>
      <c r="D86" t="str">
        <f t="shared" si="9"/>
        <v>Ausgaben</v>
      </c>
      <c r="E86" t="str">
        <f t="shared" si="9"/>
        <v>sonstige Betriebsausgaben</v>
      </c>
      <c r="F86" s="117">
        <f t="shared" si="10"/>
        <v>42</v>
      </c>
      <c r="G86" t="str">
        <f t="shared" si="11"/>
        <v>20%</v>
      </c>
      <c r="I86" s="53">
        <v>2021</v>
      </c>
      <c r="J86" s="53">
        <v>85</v>
      </c>
      <c r="K86" s="71" t="s">
        <v>105</v>
      </c>
      <c r="L86" t="s">
        <v>705</v>
      </c>
      <c r="M86" s="9" t="s">
        <v>1143</v>
      </c>
      <c r="N86" s="1">
        <v>44354</v>
      </c>
      <c r="O86" t="s">
        <v>1437</v>
      </c>
      <c r="Q86" s="76"/>
      <c r="R86" t="b">
        <v>0</v>
      </c>
      <c r="S86" s="48">
        <v>35</v>
      </c>
      <c r="T86" s="72">
        <v>1</v>
      </c>
      <c r="U86">
        <v>20</v>
      </c>
      <c r="V86" s="31">
        <v>7</v>
      </c>
      <c r="W86" s="31">
        <v>7</v>
      </c>
      <c r="X86" s="33">
        <v>35</v>
      </c>
      <c r="Y86" s="29">
        <v>42</v>
      </c>
      <c r="Z86" s="29">
        <v>42</v>
      </c>
      <c r="AA86" s="35">
        <v>44423</v>
      </c>
      <c r="AB86" s="27"/>
      <c r="AC86" s="27"/>
      <c r="AD86" s="58">
        <v>35</v>
      </c>
      <c r="AE86" s="31">
        <v>0</v>
      </c>
      <c r="AF86" t="b">
        <v>0</v>
      </c>
      <c r="AG86" s="78">
        <v>-35</v>
      </c>
    </row>
    <row r="87" spans="1:33" x14ac:dyDescent="0.25">
      <c r="A87" t="str">
        <f t="shared" si="6"/>
        <v>2021-86</v>
      </c>
      <c r="B87" s="1">
        <f t="shared" si="7"/>
        <v>44354</v>
      </c>
      <c r="C87" t="str">
        <f t="shared" si="8"/>
        <v>12021014/DCF - Digital Coding Factory GmbH, Bauernfeldgasse 4/12 1090 Wien</v>
      </c>
      <c r="D87" t="str">
        <f t="shared" si="9"/>
        <v>Einnahmen</v>
      </c>
      <c r="E87" t="str">
        <f t="shared" si="9"/>
        <v>Waren-/Leistungserlöse</v>
      </c>
      <c r="F87" s="117">
        <f t="shared" si="10"/>
        <v>17.928000000000001</v>
      </c>
      <c r="G87" t="str">
        <f t="shared" si="11"/>
        <v>20%</v>
      </c>
      <c r="I87" s="53">
        <v>2021</v>
      </c>
      <c r="J87" s="53">
        <v>86</v>
      </c>
      <c r="K87" s="71" t="s">
        <v>708</v>
      </c>
      <c r="L87" t="s">
        <v>709</v>
      </c>
      <c r="M87" s="9">
        <v>12021014</v>
      </c>
      <c r="N87" s="1">
        <v>44354</v>
      </c>
      <c r="O87" t="s">
        <v>1266</v>
      </c>
      <c r="Q87" s="76"/>
      <c r="R87" t="b">
        <v>0</v>
      </c>
      <c r="S87" s="48">
        <v>14.94</v>
      </c>
      <c r="T87" s="72">
        <v>1</v>
      </c>
      <c r="U87">
        <v>20</v>
      </c>
      <c r="V87" s="31">
        <v>2.988</v>
      </c>
      <c r="W87" s="31">
        <v>2.988</v>
      </c>
      <c r="X87" s="33">
        <v>14.94</v>
      </c>
      <c r="Y87" s="29">
        <v>17.928000000000001</v>
      </c>
      <c r="Z87" s="29">
        <v>17.928000000000001</v>
      </c>
      <c r="AA87" s="35">
        <v>44423</v>
      </c>
      <c r="AB87" s="27"/>
      <c r="AC87" s="27"/>
      <c r="AD87" s="58">
        <v>14.94</v>
      </c>
      <c r="AE87" s="31">
        <v>0</v>
      </c>
      <c r="AF87" t="b">
        <v>0</v>
      </c>
      <c r="AG87" s="78">
        <v>14.94</v>
      </c>
    </row>
    <row r="88" spans="1:33" x14ac:dyDescent="0.25">
      <c r="A88" t="str">
        <f t="shared" si="6"/>
        <v>2021-87</v>
      </c>
      <c r="B88" s="1">
        <f t="shared" si="7"/>
        <v>44354</v>
      </c>
      <c r="C88" t="str">
        <f t="shared" si="8"/>
        <v>R0013491644/Hetzner Online GmbH</v>
      </c>
      <c r="D88" t="str">
        <f t="shared" si="9"/>
        <v>Ausgaben</v>
      </c>
      <c r="E88" t="str">
        <f t="shared" si="9"/>
        <v>sonstige Betriebsausgaben</v>
      </c>
      <c r="F88" s="117">
        <f t="shared" si="10"/>
        <v>2.4900000000000002</v>
      </c>
      <c r="G88" t="str">
        <f t="shared" si="11"/>
        <v>0%</v>
      </c>
      <c r="I88" s="53">
        <v>2021</v>
      </c>
      <c r="J88" s="53">
        <v>87</v>
      </c>
      <c r="K88" s="71" t="s">
        <v>105</v>
      </c>
      <c r="L88" t="s">
        <v>705</v>
      </c>
      <c r="M88" s="9" t="s">
        <v>1545</v>
      </c>
      <c r="N88" s="1">
        <v>44354</v>
      </c>
      <c r="O88" t="s">
        <v>927</v>
      </c>
      <c r="Q88" s="76" t="s">
        <v>958</v>
      </c>
      <c r="R88" t="b">
        <v>0</v>
      </c>
      <c r="S88" s="48">
        <v>2.4900000000000002</v>
      </c>
      <c r="T88" s="72">
        <v>1</v>
      </c>
      <c r="U88">
        <v>0</v>
      </c>
      <c r="V88" s="31">
        <v>0</v>
      </c>
      <c r="W88" s="31">
        <v>0</v>
      </c>
      <c r="X88" s="33">
        <v>2.4900000000000002</v>
      </c>
      <c r="Y88" s="29">
        <v>2.4900000000000002</v>
      </c>
      <c r="Z88" s="29">
        <v>2.4900000000000002</v>
      </c>
      <c r="AA88" s="35">
        <v>44423</v>
      </c>
      <c r="AB88" s="27"/>
      <c r="AC88" s="27">
        <v>20</v>
      </c>
      <c r="AD88" s="58">
        <v>2.4900000000000002</v>
      </c>
      <c r="AE88" s="31">
        <v>0.49800000000000005</v>
      </c>
      <c r="AF88" t="b">
        <v>0</v>
      </c>
      <c r="AG88" s="78">
        <v>-2.4900000000000002</v>
      </c>
    </row>
    <row r="89" spans="1:33" x14ac:dyDescent="0.25">
      <c r="A89" t="str">
        <f t="shared" si="6"/>
        <v>2021-88</v>
      </c>
      <c r="B89" s="1">
        <f t="shared" si="7"/>
        <v>44357</v>
      </c>
      <c r="C89" t="str">
        <f t="shared" si="8"/>
        <v>5137082649/Wiener Netze GmbH, Erdbergstraße 236, 1110 Wien, Postfach 422; Jahresabrechnung vom 17.12.20: GUTSCHRIFT</v>
      </c>
      <c r="D89" t="str">
        <f t="shared" si="9"/>
        <v>Ausgaben</v>
      </c>
      <c r="E89" t="str">
        <f t="shared" si="9"/>
        <v>sonstige Betriebsausgaben</v>
      </c>
      <c r="F89" s="117">
        <f t="shared" si="10"/>
        <v>15.6</v>
      </c>
      <c r="G89" t="str">
        <f t="shared" si="11"/>
        <v>20%</v>
      </c>
      <c r="I89" s="53">
        <v>2021</v>
      </c>
      <c r="J89" s="53">
        <v>88</v>
      </c>
      <c r="K89" s="71" t="s">
        <v>105</v>
      </c>
      <c r="L89" t="s">
        <v>705</v>
      </c>
      <c r="M89" s="9" t="s">
        <v>1465</v>
      </c>
      <c r="N89" s="1">
        <v>44357</v>
      </c>
      <c r="O89" t="s">
        <v>1466</v>
      </c>
      <c r="Q89" s="76"/>
      <c r="R89" t="b">
        <v>0</v>
      </c>
      <c r="S89" s="48">
        <v>13</v>
      </c>
      <c r="T89" s="72">
        <v>1</v>
      </c>
      <c r="U89">
        <v>20</v>
      </c>
      <c r="V89" s="31">
        <v>2.6</v>
      </c>
      <c r="W89" s="31">
        <v>2.6</v>
      </c>
      <c r="X89" s="33">
        <v>13</v>
      </c>
      <c r="Y89" s="29">
        <v>15.6</v>
      </c>
      <c r="Z89" s="29">
        <v>15.6</v>
      </c>
      <c r="AA89" s="35">
        <v>44423</v>
      </c>
      <c r="AB89" s="27"/>
      <c r="AC89" s="27"/>
      <c r="AD89" s="58">
        <v>13</v>
      </c>
      <c r="AE89" s="31">
        <v>0</v>
      </c>
      <c r="AF89" t="b">
        <v>0</v>
      </c>
      <c r="AG89" s="78">
        <v>-13</v>
      </c>
    </row>
    <row r="90" spans="1:33" x14ac:dyDescent="0.25">
      <c r="A90" t="str">
        <f t="shared" si="6"/>
        <v>2021-89</v>
      </c>
      <c r="B90" s="1">
        <f t="shared" si="7"/>
        <v>44358</v>
      </c>
      <c r="C90" t="str">
        <f t="shared" si="8"/>
        <v>R0013543327/Hetzner Online GmbH</v>
      </c>
      <c r="D90" t="str">
        <f t="shared" si="9"/>
        <v>Ausgaben</v>
      </c>
      <c r="E90" t="str">
        <f t="shared" si="9"/>
        <v>sonstige Betriebsausgaben</v>
      </c>
      <c r="F90" s="117">
        <f t="shared" si="10"/>
        <v>46.916800000000002</v>
      </c>
      <c r="G90" t="str">
        <f t="shared" si="11"/>
        <v>0%</v>
      </c>
      <c r="I90" s="53">
        <v>2021</v>
      </c>
      <c r="J90" s="53">
        <v>89</v>
      </c>
      <c r="K90" s="71" t="s">
        <v>105</v>
      </c>
      <c r="L90" t="s">
        <v>705</v>
      </c>
      <c r="M90" s="9" t="s">
        <v>1546</v>
      </c>
      <c r="N90" s="1">
        <v>44358</v>
      </c>
      <c r="O90" t="s">
        <v>927</v>
      </c>
      <c r="Q90" s="76"/>
      <c r="R90" t="b">
        <v>0</v>
      </c>
      <c r="S90" s="48">
        <v>46.916800000000002</v>
      </c>
      <c r="T90" s="72">
        <v>1</v>
      </c>
      <c r="U90">
        <v>0</v>
      </c>
      <c r="V90" s="31">
        <v>0</v>
      </c>
      <c r="W90" s="31">
        <v>0</v>
      </c>
      <c r="X90" s="33">
        <v>46.916800000000002</v>
      </c>
      <c r="Y90" s="29">
        <v>46.916800000000002</v>
      </c>
      <c r="Z90" s="29">
        <v>46.916800000000002</v>
      </c>
      <c r="AA90" s="35">
        <v>44423</v>
      </c>
      <c r="AB90" s="27"/>
      <c r="AC90" s="27">
        <v>20</v>
      </c>
      <c r="AD90" s="58">
        <v>46.916800000000002</v>
      </c>
      <c r="AE90" s="31">
        <v>9.3833600000000015</v>
      </c>
      <c r="AF90" t="b">
        <v>0</v>
      </c>
      <c r="AG90" s="78">
        <v>-46.916800000000002</v>
      </c>
    </row>
    <row r="91" spans="1:33" x14ac:dyDescent="0.25">
      <c r="A91" t="str">
        <f t="shared" si="6"/>
        <v>2021-90</v>
      </c>
      <c r="B91" s="1">
        <f t="shared" si="7"/>
        <v>44358</v>
      </c>
      <c r="C91" t="str">
        <f t="shared" si="8"/>
        <v>AT2020-1130/Woocommerce.com, 17 Shelley Road, Salt River, Cape Town 7625, South Africa</v>
      </c>
      <c r="D91" t="str">
        <f t="shared" si="9"/>
        <v>Ausgaben</v>
      </c>
      <c r="E91" t="str">
        <f t="shared" si="9"/>
        <v>sonstige Betriebsausgaben</v>
      </c>
      <c r="F91" s="117">
        <f t="shared" si="10"/>
        <v>24.19</v>
      </c>
      <c r="G91" t="str">
        <f t="shared" si="11"/>
        <v>0%</v>
      </c>
      <c r="I91" s="53">
        <v>2021</v>
      </c>
      <c r="J91" s="53">
        <v>90</v>
      </c>
      <c r="K91" s="71" t="s">
        <v>105</v>
      </c>
      <c r="L91" t="s">
        <v>705</v>
      </c>
      <c r="M91" s="9" t="s">
        <v>1571</v>
      </c>
      <c r="N91" s="1">
        <v>44358</v>
      </c>
      <c r="O91" t="s">
        <v>1368</v>
      </c>
      <c r="Q91" s="76" t="s">
        <v>958</v>
      </c>
      <c r="R91" t="b">
        <v>0</v>
      </c>
      <c r="S91" s="48">
        <v>24.19</v>
      </c>
      <c r="T91" s="72">
        <v>1</v>
      </c>
      <c r="U91">
        <v>0</v>
      </c>
      <c r="V91" s="31">
        <v>0</v>
      </c>
      <c r="W91" s="31">
        <v>0</v>
      </c>
      <c r="X91" s="33">
        <v>24.19</v>
      </c>
      <c r="Y91" s="29">
        <v>24.19</v>
      </c>
      <c r="Z91" s="29">
        <v>24.19</v>
      </c>
      <c r="AA91" s="35">
        <v>44423</v>
      </c>
      <c r="AB91" s="27"/>
      <c r="AC91" s="27">
        <v>20</v>
      </c>
      <c r="AD91" s="58">
        <v>24.19</v>
      </c>
      <c r="AE91" s="31">
        <v>4.838000000000001</v>
      </c>
      <c r="AF91" t="b">
        <v>0</v>
      </c>
      <c r="AG91" s="78">
        <v>-24.19</v>
      </c>
    </row>
    <row r="92" spans="1:33" x14ac:dyDescent="0.25">
      <c r="A92" t="str">
        <f t="shared" si="6"/>
        <v>2021-91</v>
      </c>
      <c r="B92" s="1">
        <f t="shared" si="7"/>
        <v>44368</v>
      </c>
      <c r="C92" t="str">
        <f t="shared" si="8"/>
        <v>34466948189/Microsoft Ireland Operations Ltd. One Microsoft Place, South County, Business Park, Leopardstown, Dublin 18, D18 P521, Ireland</v>
      </c>
      <c r="D92" t="str">
        <f t="shared" si="9"/>
        <v>Ausgaben</v>
      </c>
      <c r="E92" t="str">
        <f t="shared" si="9"/>
        <v>sonstige Betriebsausgaben</v>
      </c>
      <c r="F92" s="117">
        <f t="shared" si="10"/>
        <v>69</v>
      </c>
      <c r="G92" t="str">
        <f t="shared" si="11"/>
        <v>0%</v>
      </c>
      <c r="I92" s="53">
        <v>2021</v>
      </c>
      <c r="J92" s="53">
        <v>91</v>
      </c>
      <c r="K92" s="71" t="s">
        <v>105</v>
      </c>
      <c r="L92" t="s">
        <v>705</v>
      </c>
      <c r="M92" s="136" t="s">
        <v>1562</v>
      </c>
      <c r="N92" s="1">
        <v>44368</v>
      </c>
      <c r="O92" t="s">
        <v>1032</v>
      </c>
      <c r="Q92" s="76"/>
      <c r="R92" t="b">
        <v>0</v>
      </c>
      <c r="S92" s="48">
        <v>69</v>
      </c>
      <c r="T92" s="72">
        <v>1</v>
      </c>
      <c r="U92">
        <v>0</v>
      </c>
      <c r="V92" s="31">
        <v>0</v>
      </c>
      <c r="W92" s="31">
        <v>0</v>
      </c>
      <c r="X92" s="33">
        <v>69</v>
      </c>
      <c r="Y92" s="29">
        <v>69</v>
      </c>
      <c r="Z92" s="29">
        <v>69</v>
      </c>
      <c r="AA92" s="35">
        <v>44423</v>
      </c>
      <c r="AB92" s="27"/>
      <c r="AC92" s="27">
        <v>20</v>
      </c>
      <c r="AD92" s="58">
        <v>69</v>
      </c>
      <c r="AE92" s="31">
        <v>13.8</v>
      </c>
      <c r="AF92" t="b">
        <v>0</v>
      </c>
      <c r="AG92" s="78">
        <v>-69</v>
      </c>
    </row>
    <row r="93" spans="1:33" x14ac:dyDescent="0.25">
      <c r="A93" t="str">
        <f t="shared" si="6"/>
        <v>2021-92</v>
      </c>
      <c r="B93" s="1">
        <f t="shared" si="7"/>
        <v>44368</v>
      </c>
      <c r="C93" t="str">
        <f t="shared" si="8"/>
        <v>MP-2021-33591/Marketpress GmbH</v>
      </c>
      <c r="D93" t="str">
        <f t="shared" si="9"/>
        <v>Ausgaben</v>
      </c>
      <c r="E93" t="str">
        <f t="shared" si="9"/>
        <v>sonstige Betriebsausgaben</v>
      </c>
      <c r="F93" s="117">
        <f t="shared" si="10"/>
        <v>45.83</v>
      </c>
      <c r="G93" t="str">
        <f t="shared" si="11"/>
        <v>0%</v>
      </c>
      <c r="I93" s="53">
        <v>2021</v>
      </c>
      <c r="J93" s="53">
        <v>92</v>
      </c>
      <c r="K93" s="71" t="s">
        <v>105</v>
      </c>
      <c r="L93" t="s">
        <v>705</v>
      </c>
      <c r="M93" s="136" t="s">
        <v>1568</v>
      </c>
      <c r="N93" s="1">
        <v>44368</v>
      </c>
      <c r="O93" s="3" t="s">
        <v>1547</v>
      </c>
      <c r="Q93" s="76" t="s">
        <v>958</v>
      </c>
      <c r="R93" t="b">
        <v>0</v>
      </c>
      <c r="S93" s="48">
        <v>45.83</v>
      </c>
      <c r="T93" s="72">
        <v>1</v>
      </c>
      <c r="U93">
        <v>0</v>
      </c>
      <c r="V93" s="31">
        <v>0</v>
      </c>
      <c r="W93" s="31">
        <v>0</v>
      </c>
      <c r="X93" s="33">
        <v>45.83</v>
      </c>
      <c r="Y93" s="29">
        <v>45.83</v>
      </c>
      <c r="Z93" s="29">
        <v>45.83</v>
      </c>
      <c r="AA93" s="35">
        <v>44423</v>
      </c>
      <c r="AB93" s="27"/>
      <c r="AC93" s="27">
        <v>20</v>
      </c>
      <c r="AD93" s="58">
        <v>45.83</v>
      </c>
      <c r="AE93" s="31">
        <v>9.1660000000000004</v>
      </c>
      <c r="AF93" t="b">
        <v>0</v>
      </c>
      <c r="AG93" s="78">
        <v>-45.83</v>
      </c>
    </row>
    <row r="94" spans="1:33" x14ac:dyDescent="0.25">
      <c r="A94" t="str">
        <f t="shared" si="6"/>
        <v>2021-93</v>
      </c>
      <c r="B94" s="1">
        <f t="shared" si="7"/>
        <v>44369</v>
      </c>
      <c r="C94" t="str">
        <f t="shared" si="8"/>
        <v>901208980621/Magenta: T-Mobile Austria GmbH, A-1120 Wien, PF 47</v>
      </c>
      <c r="D94" t="str">
        <f t="shared" si="9"/>
        <v>Ausgaben</v>
      </c>
      <c r="E94" t="str">
        <f t="shared" si="9"/>
        <v>Telefon/Internet</v>
      </c>
      <c r="F94" s="117">
        <f t="shared" si="10"/>
        <v>38.304000000000002</v>
      </c>
      <c r="G94" t="str">
        <f t="shared" si="11"/>
        <v>20%</v>
      </c>
      <c r="I94" s="53">
        <v>2021</v>
      </c>
      <c r="J94" s="53">
        <v>93</v>
      </c>
      <c r="K94" s="71" t="s">
        <v>105</v>
      </c>
      <c r="L94" t="s">
        <v>703</v>
      </c>
      <c r="M94" s="136" t="s">
        <v>1563</v>
      </c>
      <c r="N94" s="1">
        <v>44369</v>
      </c>
      <c r="O94" t="s">
        <v>1148</v>
      </c>
      <c r="Q94" s="76"/>
      <c r="R94" t="b">
        <v>0</v>
      </c>
      <c r="S94" s="48">
        <v>31.92</v>
      </c>
      <c r="T94" s="72">
        <v>1</v>
      </c>
      <c r="U94">
        <v>20</v>
      </c>
      <c r="V94" s="31">
        <v>6.3840000000000012</v>
      </c>
      <c r="W94" s="31">
        <v>6.3840000000000012</v>
      </c>
      <c r="X94" s="33">
        <v>31.92</v>
      </c>
      <c r="Y94" s="29">
        <v>38.304000000000002</v>
      </c>
      <c r="Z94" s="29">
        <v>38.304000000000002</v>
      </c>
      <c r="AA94" s="35">
        <v>44423</v>
      </c>
      <c r="AB94" s="27"/>
      <c r="AC94" s="27"/>
      <c r="AD94" s="58">
        <v>31.92</v>
      </c>
      <c r="AE94" s="31">
        <v>0</v>
      </c>
      <c r="AF94" t="b">
        <v>0</v>
      </c>
      <c r="AG94" s="78">
        <v>-31.92</v>
      </c>
    </row>
    <row r="95" spans="1:33" x14ac:dyDescent="0.25">
      <c r="A95" t="str">
        <f t="shared" si="6"/>
        <v>2021-94</v>
      </c>
      <c r="B95" s="1">
        <f t="shared" si="7"/>
        <v>44372</v>
      </c>
      <c r="C95" t="str">
        <f t="shared" si="8"/>
        <v>842661/Lemon Technologies GmbH, Unterweißenbach 181, 7330 Feldbach: Bildschirm</v>
      </c>
      <c r="D95" t="str">
        <f t="shared" si="9"/>
        <v>Ausgaben</v>
      </c>
      <c r="E95" t="str">
        <f t="shared" si="9"/>
        <v>Waren, Rohstoffe, Hilfsstoffe</v>
      </c>
      <c r="F95" s="117">
        <f t="shared" si="10"/>
        <v>128.904</v>
      </c>
      <c r="G95" t="str">
        <f t="shared" si="11"/>
        <v>20%</v>
      </c>
      <c r="I95" s="53">
        <v>2021</v>
      </c>
      <c r="J95" s="53">
        <v>94</v>
      </c>
      <c r="K95" s="71" t="s">
        <v>105</v>
      </c>
      <c r="L95" t="s">
        <v>683</v>
      </c>
      <c r="M95" s="136" t="s">
        <v>1564</v>
      </c>
      <c r="N95" s="1">
        <v>44372</v>
      </c>
      <c r="O95" t="s">
        <v>1238</v>
      </c>
      <c r="Q95" s="76" t="s">
        <v>958</v>
      </c>
      <c r="R95" t="b">
        <v>0</v>
      </c>
      <c r="S95" s="109">
        <v>107.42</v>
      </c>
      <c r="T95" s="72">
        <v>1</v>
      </c>
      <c r="U95">
        <v>20</v>
      </c>
      <c r="V95" s="31">
        <v>21.484000000000002</v>
      </c>
      <c r="W95" s="31">
        <v>21.484000000000002</v>
      </c>
      <c r="X95" s="33">
        <v>107.42</v>
      </c>
      <c r="Y95" s="29">
        <v>128.904</v>
      </c>
      <c r="Z95" s="29">
        <v>128.904</v>
      </c>
      <c r="AA95" s="35">
        <v>44423</v>
      </c>
      <c r="AB95" s="27"/>
      <c r="AC95" s="27"/>
      <c r="AD95" s="58">
        <v>107.42</v>
      </c>
      <c r="AE95" s="31">
        <v>0</v>
      </c>
      <c r="AF95" t="b">
        <v>0</v>
      </c>
      <c r="AG95" s="78">
        <v>-107.42</v>
      </c>
    </row>
    <row r="96" spans="1:33" x14ac:dyDescent="0.25">
      <c r="A96" t="str">
        <f t="shared" si="6"/>
        <v>2021-95</v>
      </c>
      <c r="B96" s="1">
        <f t="shared" si="7"/>
        <v>44377</v>
      </c>
      <c r="C96" t="str">
        <f t="shared" si="8"/>
        <v>6222766899/Hutchison Drei Austria GmbH, Brünner Straße 52, 1210 Wien, Österreich</v>
      </c>
      <c r="D96" t="str">
        <f t="shared" si="9"/>
        <v>Ausgaben</v>
      </c>
      <c r="E96" t="str">
        <f t="shared" si="9"/>
        <v>Telefon/Internet</v>
      </c>
      <c r="F96" s="117">
        <f t="shared" si="10"/>
        <v>18</v>
      </c>
      <c r="G96" t="str">
        <f t="shared" si="11"/>
        <v>20%</v>
      </c>
      <c r="I96" s="53">
        <v>2021</v>
      </c>
      <c r="J96" s="53">
        <v>95</v>
      </c>
      <c r="K96" s="71" t="s">
        <v>105</v>
      </c>
      <c r="L96" t="s">
        <v>703</v>
      </c>
      <c r="M96" s="9" t="s">
        <v>1541</v>
      </c>
      <c r="N96" s="1">
        <v>44377</v>
      </c>
      <c r="O96" t="s">
        <v>34</v>
      </c>
      <c r="Q96" s="76"/>
      <c r="R96" t="b">
        <v>0</v>
      </c>
      <c r="S96" s="48">
        <v>15</v>
      </c>
      <c r="T96" s="72">
        <v>1</v>
      </c>
      <c r="U96">
        <v>20</v>
      </c>
      <c r="V96" s="31">
        <v>3</v>
      </c>
      <c r="W96" s="31">
        <v>3</v>
      </c>
      <c r="X96" s="33">
        <v>15</v>
      </c>
      <c r="Y96" s="29">
        <v>18</v>
      </c>
      <c r="Z96" s="29">
        <v>18</v>
      </c>
      <c r="AA96" s="35">
        <v>44423</v>
      </c>
      <c r="AB96" s="27"/>
      <c r="AC96" s="27"/>
      <c r="AD96" s="58">
        <v>15</v>
      </c>
      <c r="AE96" s="31">
        <v>0</v>
      </c>
      <c r="AF96" t="b">
        <v>0</v>
      </c>
      <c r="AG96" s="78">
        <v>-15</v>
      </c>
    </row>
    <row r="97" spans="1:33" x14ac:dyDescent="0.25">
      <c r="A97" t="str">
        <f t="shared" si="6"/>
        <v>2021-96</v>
      </c>
      <c r="B97" s="1">
        <f t="shared" si="7"/>
        <v>44378</v>
      </c>
      <c r="C97" t="str">
        <f t="shared" si="8"/>
        <v>21/9801/VS00471/Bontus Immobilienverwaltung GmbH, 1010 Wien, Franz Josefs Kai 65</v>
      </c>
      <c r="D97" t="str">
        <f t="shared" si="9"/>
        <v>Ausgaben</v>
      </c>
      <c r="E97" t="str">
        <f t="shared" si="9"/>
        <v>Miet- und Pachtaufwand, Leasing</v>
      </c>
      <c r="F97" s="117">
        <f t="shared" si="10"/>
        <v>564.55999999999995</v>
      </c>
      <c r="G97" t="str">
        <f t="shared" si="11"/>
        <v>20%</v>
      </c>
      <c r="I97" s="53">
        <v>2021</v>
      </c>
      <c r="J97" s="53">
        <v>96</v>
      </c>
      <c r="K97" s="71" t="s">
        <v>105</v>
      </c>
      <c r="L97" t="s">
        <v>691</v>
      </c>
      <c r="M97" s="136" t="s">
        <v>1561</v>
      </c>
      <c r="N97" s="1">
        <v>44378</v>
      </c>
      <c r="O97" t="s">
        <v>1113</v>
      </c>
      <c r="Q97" s="76"/>
      <c r="R97" t="b">
        <v>0</v>
      </c>
      <c r="S97" s="109">
        <v>470.46666666666664</v>
      </c>
      <c r="T97" s="72">
        <v>1</v>
      </c>
      <c r="U97">
        <v>20</v>
      </c>
      <c r="V97" s="31">
        <v>94.09333333333332</v>
      </c>
      <c r="W97" s="31">
        <v>94.09333333333332</v>
      </c>
      <c r="X97" s="33">
        <v>470.46666666666664</v>
      </c>
      <c r="Y97" s="29">
        <v>564.55999999999995</v>
      </c>
      <c r="Z97" s="29">
        <v>564.55999999999995</v>
      </c>
      <c r="AA97" s="35">
        <v>44515</v>
      </c>
      <c r="AB97" s="27"/>
      <c r="AC97" s="27"/>
      <c r="AD97" s="58">
        <v>470.46666666666664</v>
      </c>
      <c r="AE97" s="31">
        <v>0</v>
      </c>
      <c r="AF97" t="b">
        <v>0</v>
      </c>
      <c r="AG97" s="78">
        <v>-470.46666666666664</v>
      </c>
    </row>
    <row r="98" spans="1:33" x14ac:dyDescent="0.25">
      <c r="A98" t="str">
        <f t="shared" si="6"/>
        <v>2021-97</v>
      </c>
      <c r="B98" s="1">
        <f t="shared" si="7"/>
        <v>44378</v>
      </c>
      <c r="C98" t="str">
        <f t="shared" si="8"/>
        <v>12021020/Kolbitsch Engineering &amp; Consulting KNr 45</v>
      </c>
      <c r="D98" t="str">
        <f t="shared" si="9"/>
        <v>Einnahmen</v>
      </c>
      <c r="E98" t="str">
        <f t="shared" si="9"/>
        <v>Waren-/Leistungserlöse</v>
      </c>
      <c r="F98" s="117">
        <f t="shared" si="10"/>
        <v>106.8</v>
      </c>
      <c r="G98" t="str">
        <f t="shared" si="11"/>
        <v>20%</v>
      </c>
      <c r="I98" s="53">
        <v>2021</v>
      </c>
      <c r="J98" s="53">
        <v>97</v>
      </c>
      <c r="K98" s="71" t="s">
        <v>708</v>
      </c>
      <c r="L98" t="s">
        <v>709</v>
      </c>
      <c r="M98" s="9" t="s">
        <v>1548</v>
      </c>
      <c r="N98" s="1">
        <v>44378</v>
      </c>
      <c r="O98" t="s">
        <v>1513</v>
      </c>
      <c r="Q98" s="76"/>
      <c r="R98" t="b">
        <v>0</v>
      </c>
      <c r="S98" s="48">
        <v>89</v>
      </c>
      <c r="T98" s="72">
        <v>1</v>
      </c>
      <c r="U98">
        <v>20</v>
      </c>
      <c r="V98" s="31">
        <v>17.8</v>
      </c>
      <c r="W98" s="31">
        <v>17.8</v>
      </c>
      <c r="X98" s="33">
        <v>89</v>
      </c>
      <c r="Y98" s="29">
        <v>106.8</v>
      </c>
      <c r="Z98" s="29">
        <v>106.8</v>
      </c>
      <c r="AA98" s="35">
        <v>44515</v>
      </c>
      <c r="AB98" s="27"/>
      <c r="AC98" s="27"/>
      <c r="AD98" s="58">
        <v>89</v>
      </c>
      <c r="AE98" s="31">
        <v>0</v>
      </c>
      <c r="AF98" t="b">
        <v>0</v>
      </c>
      <c r="AG98" s="78">
        <v>89</v>
      </c>
    </row>
    <row r="99" spans="1:33" x14ac:dyDescent="0.25">
      <c r="A99" t="str">
        <f t="shared" si="6"/>
        <v>2021-98</v>
      </c>
      <c r="B99" s="1">
        <f t="shared" si="7"/>
        <v>44378</v>
      </c>
      <c r="C99" t="str">
        <f t="shared" si="8"/>
        <v>12021009/ZT DI Dr. Arno Kolbitsch, Gütleweg 1, 6822 Satteins</v>
      </c>
      <c r="D99" t="str">
        <f t="shared" si="9"/>
        <v>Einnahmen</v>
      </c>
      <c r="E99" t="str">
        <f t="shared" si="9"/>
        <v>Waren-/Leistungserlöse</v>
      </c>
      <c r="F99" s="117">
        <f t="shared" si="10"/>
        <v>22200</v>
      </c>
      <c r="G99" t="str">
        <f t="shared" si="11"/>
        <v>20%</v>
      </c>
      <c r="I99" s="53">
        <v>2021</v>
      </c>
      <c r="J99" s="53">
        <v>98</v>
      </c>
      <c r="K99" s="71" t="s">
        <v>708</v>
      </c>
      <c r="L99" t="s">
        <v>709</v>
      </c>
      <c r="M99" s="9" t="s">
        <v>1515</v>
      </c>
      <c r="N99" s="1">
        <v>44378</v>
      </c>
      <c r="O99" t="s">
        <v>1038</v>
      </c>
      <c r="Q99" s="76"/>
      <c r="R99" t="b">
        <v>0</v>
      </c>
      <c r="S99" s="109">
        <v>18500</v>
      </c>
      <c r="T99" s="72">
        <v>1</v>
      </c>
      <c r="U99">
        <v>20</v>
      </c>
      <c r="V99" s="31">
        <v>3700</v>
      </c>
      <c r="W99" s="31">
        <v>3700</v>
      </c>
      <c r="X99" s="33">
        <v>18500</v>
      </c>
      <c r="Y99" s="29">
        <v>22200</v>
      </c>
      <c r="Z99" s="29">
        <v>22200</v>
      </c>
      <c r="AA99" s="35">
        <v>44515</v>
      </c>
      <c r="AB99" s="27"/>
      <c r="AC99" s="27"/>
      <c r="AD99" s="58">
        <v>18500</v>
      </c>
      <c r="AE99" s="31">
        <v>0</v>
      </c>
      <c r="AF99" t="b">
        <v>0</v>
      </c>
      <c r="AG99" s="78">
        <v>18500</v>
      </c>
    </row>
    <row r="100" spans="1:33" x14ac:dyDescent="0.25">
      <c r="A100" t="str">
        <f t="shared" si="6"/>
        <v>2021-99</v>
      </c>
      <c r="B100" s="1">
        <f t="shared" si="7"/>
        <v>44379</v>
      </c>
      <c r="C100" t="str">
        <f t="shared" si="8"/>
        <v>12021016/H. Jaros e.U., Kohlmarkt 16/2/2/15a, 1010 Wien</v>
      </c>
      <c r="D100" t="str">
        <f t="shared" si="9"/>
        <v>Einnahmen</v>
      </c>
      <c r="E100" t="str">
        <f t="shared" si="9"/>
        <v>Waren-/Leistungserlöse</v>
      </c>
      <c r="F100" s="117">
        <f t="shared" si="10"/>
        <v>210</v>
      </c>
      <c r="G100" t="str">
        <f t="shared" si="11"/>
        <v>20%</v>
      </c>
      <c r="I100" s="53">
        <v>2021</v>
      </c>
      <c r="J100" s="53">
        <v>99</v>
      </c>
      <c r="K100" s="71" t="s">
        <v>708</v>
      </c>
      <c r="L100" t="s">
        <v>709</v>
      </c>
      <c r="M100" s="9" t="s">
        <v>1549</v>
      </c>
      <c r="N100" s="1">
        <v>44379</v>
      </c>
      <c r="O100" t="s">
        <v>923</v>
      </c>
      <c r="Q100" s="76"/>
      <c r="R100" t="b">
        <v>0</v>
      </c>
      <c r="S100" s="48">
        <v>175</v>
      </c>
      <c r="T100" s="72">
        <v>1</v>
      </c>
      <c r="U100">
        <v>20</v>
      </c>
      <c r="V100" s="31">
        <v>35</v>
      </c>
      <c r="W100" s="31">
        <v>35</v>
      </c>
      <c r="X100" s="33">
        <v>175</v>
      </c>
      <c r="Y100" s="29">
        <v>210</v>
      </c>
      <c r="Z100" s="29">
        <v>210</v>
      </c>
      <c r="AA100" s="35">
        <v>44515</v>
      </c>
      <c r="AB100" s="27"/>
      <c r="AC100" s="27"/>
      <c r="AD100" s="58">
        <v>175</v>
      </c>
      <c r="AE100" s="31">
        <v>0</v>
      </c>
      <c r="AF100" t="b">
        <v>0</v>
      </c>
      <c r="AG100" s="78">
        <v>175</v>
      </c>
    </row>
    <row r="101" spans="1:33" x14ac:dyDescent="0.25">
      <c r="A101" t="str">
        <f t="shared" si="6"/>
        <v>2021-100</v>
      </c>
      <c r="B101" s="1">
        <f t="shared" si="7"/>
        <v>44379</v>
      </c>
      <c r="C101" t="str">
        <f t="shared" si="8"/>
        <v>4293000000021290/car2go Österreich GmbH, Hintere Zollamtstraße 9, 1030 Wien</v>
      </c>
      <c r="D101" t="str">
        <f t="shared" si="9"/>
        <v>Ausgaben</v>
      </c>
      <c r="E101" t="str">
        <f t="shared" si="9"/>
        <v>Reise- und Fahrtspesen inkl. Kilometergeld und Diäten</v>
      </c>
      <c r="F101" s="117">
        <f t="shared" si="10"/>
        <v>13.35</v>
      </c>
      <c r="G101" t="str">
        <f t="shared" si="11"/>
        <v>20%</v>
      </c>
      <c r="I101" s="53">
        <v>2021</v>
      </c>
      <c r="J101" s="53">
        <v>100</v>
      </c>
      <c r="K101" s="71" t="s">
        <v>105</v>
      </c>
      <c r="L101" t="s">
        <v>689</v>
      </c>
      <c r="M101" s="131" t="s">
        <v>1550</v>
      </c>
      <c r="N101" s="1">
        <v>44379</v>
      </c>
      <c r="O101" t="s">
        <v>974</v>
      </c>
      <c r="Q101" s="76"/>
      <c r="R101" t="b">
        <v>0</v>
      </c>
      <c r="S101" s="48">
        <v>11.125</v>
      </c>
      <c r="T101" s="72">
        <v>1</v>
      </c>
      <c r="U101">
        <v>20</v>
      </c>
      <c r="V101" s="31">
        <v>2.2250000000000001</v>
      </c>
      <c r="W101" s="31">
        <v>2.2250000000000001</v>
      </c>
      <c r="X101" s="33">
        <v>11.125</v>
      </c>
      <c r="Y101" s="29">
        <v>13.35</v>
      </c>
      <c r="Z101" s="29">
        <v>13.35</v>
      </c>
      <c r="AA101" s="35">
        <v>44515</v>
      </c>
      <c r="AB101" s="27"/>
      <c r="AC101" s="27"/>
      <c r="AD101" s="58">
        <v>11.125</v>
      </c>
      <c r="AE101" s="31">
        <v>0</v>
      </c>
      <c r="AF101" t="b">
        <v>0</v>
      </c>
      <c r="AG101" s="78">
        <v>-11.125</v>
      </c>
    </row>
    <row r="102" spans="1:33" x14ac:dyDescent="0.25">
      <c r="A102" t="str">
        <f t="shared" si="6"/>
        <v>2021-101</v>
      </c>
      <c r="B102" s="1">
        <f t="shared" si="7"/>
        <v>44382</v>
      </c>
      <c r="C102" t="str">
        <f t="shared" si="8"/>
        <v>12021017/Martin Dürauer e.U., Schreinergasse 7/1, A-3100 St. Pölten</v>
      </c>
      <c r="D102" t="str">
        <f t="shared" si="9"/>
        <v>Einnahmen</v>
      </c>
      <c r="E102" t="str">
        <f t="shared" si="9"/>
        <v>Waren-/Leistungserlöse</v>
      </c>
      <c r="F102" s="117">
        <f t="shared" si="10"/>
        <v>120</v>
      </c>
      <c r="G102" t="str">
        <f t="shared" si="11"/>
        <v>20%</v>
      </c>
      <c r="I102" s="53">
        <v>2021</v>
      </c>
      <c r="J102" s="53">
        <v>101</v>
      </c>
      <c r="K102" s="71" t="s">
        <v>708</v>
      </c>
      <c r="L102" t="s">
        <v>709</v>
      </c>
      <c r="M102" s="9" t="s">
        <v>1551</v>
      </c>
      <c r="N102" s="1">
        <v>44382</v>
      </c>
      <c r="O102" t="s">
        <v>1217</v>
      </c>
      <c r="Q102" s="76"/>
      <c r="R102" t="b">
        <v>0</v>
      </c>
      <c r="S102" s="48">
        <v>100</v>
      </c>
      <c r="T102" s="72">
        <v>1</v>
      </c>
      <c r="U102">
        <v>20</v>
      </c>
      <c r="V102" s="31">
        <v>20</v>
      </c>
      <c r="W102" s="31">
        <v>20</v>
      </c>
      <c r="X102" s="33">
        <v>100</v>
      </c>
      <c r="Y102" s="29">
        <v>120</v>
      </c>
      <c r="Z102" s="29">
        <v>120</v>
      </c>
      <c r="AA102" s="35">
        <v>44515</v>
      </c>
      <c r="AB102" s="27"/>
      <c r="AC102" s="27"/>
      <c r="AD102" s="58">
        <v>100</v>
      </c>
      <c r="AE102" s="31">
        <v>0</v>
      </c>
      <c r="AF102" t="b">
        <v>0</v>
      </c>
      <c r="AG102" s="78">
        <v>100</v>
      </c>
    </row>
    <row r="103" spans="1:33" x14ac:dyDescent="0.25">
      <c r="A103" t="str">
        <f t="shared" si="6"/>
        <v>2021-102</v>
      </c>
      <c r="B103" s="1">
        <f t="shared" si="7"/>
        <v>44382</v>
      </c>
      <c r="C103" t="str">
        <f t="shared" si="8"/>
        <v>60793/100/2021/easy green energy GmbH &amp; Co KG</v>
      </c>
      <c r="D103" t="str">
        <f t="shared" si="9"/>
        <v>Ausgaben</v>
      </c>
      <c r="E103" t="str">
        <f t="shared" si="9"/>
        <v>sonstige Betriebsausgaben</v>
      </c>
      <c r="F103" s="117">
        <f t="shared" si="10"/>
        <v>3</v>
      </c>
      <c r="G103" t="str">
        <f t="shared" si="11"/>
        <v>20%</v>
      </c>
      <c r="I103" s="53">
        <v>2021</v>
      </c>
      <c r="J103" s="53">
        <v>102</v>
      </c>
      <c r="K103" s="71" t="s">
        <v>105</v>
      </c>
      <c r="L103" t="s">
        <v>705</v>
      </c>
      <c r="M103" s="9" t="s">
        <v>1505</v>
      </c>
      <c r="N103" s="1">
        <v>44382</v>
      </c>
      <c r="O103" t="s">
        <v>1364</v>
      </c>
      <c r="Q103" s="76"/>
      <c r="R103" t="b">
        <v>0</v>
      </c>
      <c r="S103" s="48">
        <v>2.5</v>
      </c>
      <c r="T103" s="72">
        <v>1</v>
      </c>
      <c r="U103">
        <v>20</v>
      </c>
      <c r="V103" s="31">
        <v>0.5</v>
      </c>
      <c r="W103" s="31">
        <v>0.5</v>
      </c>
      <c r="X103" s="33">
        <v>2.5</v>
      </c>
      <c r="Y103" s="29">
        <v>3</v>
      </c>
      <c r="Z103" s="29">
        <v>3</v>
      </c>
      <c r="AA103" s="35">
        <v>44515</v>
      </c>
      <c r="AB103" s="27"/>
      <c r="AC103" s="27"/>
      <c r="AD103" s="58">
        <v>2.5</v>
      </c>
      <c r="AE103" s="31">
        <v>0</v>
      </c>
      <c r="AF103" t="b">
        <v>0</v>
      </c>
      <c r="AG103" s="78">
        <v>-2.5</v>
      </c>
    </row>
    <row r="104" spans="1:33" x14ac:dyDescent="0.25">
      <c r="A104" t="str">
        <f t="shared" si="6"/>
        <v>2021-103</v>
      </c>
      <c r="B104" s="1">
        <f t="shared" si="7"/>
        <v>44382</v>
      </c>
      <c r="C104" t="str">
        <f t="shared" si="8"/>
        <v>HKA/20-01-58835/Techem Messtechnik GmbH; Abnehmernummer 501686-0003-11-( (NACHTRAG 25.12.)</v>
      </c>
      <c r="D104" t="str">
        <f t="shared" si="9"/>
        <v>Ausgaben</v>
      </c>
      <c r="E104" t="str">
        <f t="shared" si="9"/>
        <v>sonstige Betriebsausgaben</v>
      </c>
      <c r="F104" s="117">
        <f t="shared" si="10"/>
        <v>88.8</v>
      </c>
      <c r="G104" t="str">
        <f t="shared" si="11"/>
        <v>20%</v>
      </c>
      <c r="I104" s="53">
        <v>2021</v>
      </c>
      <c r="J104" s="53">
        <v>103</v>
      </c>
      <c r="K104" s="71" t="s">
        <v>105</v>
      </c>
      <c r="L104" t="s">
        <v>705</v>
      </c>
      <c r="M104" s="9" t="s">
        <v>1566</v>
      </c>
      <c r="N104" s="1">
        <v>44382</v>
      </c>
      <c r="O104" t="s">
        <v>1437</v>
      </c>
      <c r="Q104" s="76"/>
      <c r="R104" t="b">
        <v>0</v>
      </c>
      <c r="S104" s="48">
        <v>74</v>
      </c>
      <c r="T104" s="72">
        <v>1</v>
      </c>
      <c r="U104">
        <v>20</v>
      </c>
      <c r="V104" s="31">
        <v>14.8</v>
      </c>
      <c r="W104" s="31">
        <v>14.8</v>
      </c>
      <c r="X104" s="33">
        <v>74</v>
      </c>
      <c r="Y104" s="29">
        <v>88.8</v>
      </c>
      <c r="Z104" s="29">
        <v>88.8</v>
      </c>
      <c r="AA104" s="35">
        <v>44515</v>
      </c>
      <c r="AB104" s="27"/>
      <c r="AC104" s="27"/>
      <c r="AD104" s="58">
        <v>74</v>
      </c>
      <c r="AE104" s="31">
        <v>0</v>
      </c>
      <c r="AF104" t="b">
        <v>0</v>
      </c>
      <c r="AG104" s="78">
        <v>-74</v>
      </c>
    </row>
    <row r="105" spans="1:33" x14ac:dyDescent="0.25">
      <c r="A105" t="str">
        <f t="shared" si="6"/>
        <v>2021-104</v>
      </c>
      <c r="B105" s="1">
        <f t="shared" si="7"/>
        <v>44384</v>
      </c>
      <c r="C105" t="str">
        <f t="shared" si="8"/>
        <v>R0013684276/Hetzner Online GmbH</v>
      </c>
      <c r="D105" t="str">
        <f t="shared" si="9"/>
        <v>Ausgaben</v>
      </c>
      <c r="E105" t="str">
        <f t="shared" si="9"/>
        <v>sonstige Betriebsausgaben</v>
      </c>
      <c r="F105" s="117">
        <f t="shared" si="10"/>
        <v>2.4900000000000002</v>
      </c>
      <c r="G105" t="str">
        <f t="shared" si="11"/>
        <v>0%</v>
      </c>
      <c r="I105" s="53">
        <v>2021</v>
      </c>
      <c r="J105" s="53">
        <v>104</v>
      </c>
      <c r="K105" s="71" t="s">
        <v>105</v>
      </c>
      <c r="L105" t="s">
        <v>705</v>
      </c>
      <c r="M105" s="9" t="s">
        <v>1552</v>
      </c>
      <c r="N105" s="1">
        <v>44384</v>
      </c>
      <c r="O105" t="s">
        <v>927</v>
      </c>
      <c r="Q105" s="76" t="s">
        <v>958</v>
      </c>
      <c r="R105" t="b">
        <v>0</v>
      </c>
      <c r="S105" s="48">
        <v>2.4900000000000002</v>
      </c>
      <c r="T105" s="72">
        <v>1</v>
      </c>
      <c r="U105">
        <v>0</v>
      </c>
      <c r="V105" s="31">
        <v>0</v>
      </c>
      <c r="W105" s="31">
        <v>0</v>
      </c>
      <c r="X105" s="33">
        <v>2.4900000000000002</v>
      </c>
      <c r="Y105" s="29">
        <v>2.4900000000000002</v>
      </c>
      <c r="Z105" s="29">
        <v>2.4900000000000002</v>
      </c>
      <c r="AA105" s="35">
        <v>44515</v>
      </c>
      <c r="AB105" s="27"/>
      <c r="AC105" s="27">
        <v>20</v>
      </c>
      <c r="AD105" s="58">
        <v>2.4900000000000002</v>
      </c>
      <c r="AE105" s="31">
        <v>0.49800000000000005</v>
      </c>
      <c r="AF105" t="b">
        <v>0</v>
      </c>
      <c r="AG105" s="78">
        <v>-2.4900000000000002</v>
      </c>
    </row>
    <row r="106" spans="1:33" x14ac:dyDescent="0.25">
      <c r="A106" t="str">
        <f t="shared" si="6"/>
        <v>2021-105</v>
      </c>
      <c r="B106" s="1">
        <f t="shared" si="7"/>
        <v>44389</v>
      </c>
      <c r="C106" t="str">
        <f t="shared" si="8"/>
        <v>5137082649/Wiener Netze GmbH, Erdbergstraße 236, 1110 Wien, Postfach 422; Jahresabrechnung vom 17.12.20: GUTSCHRIFT</v>
      </c>
      <c r="D106" t="str">
        <f t="shared" si="9"/>
        <v>Ausgaben</v>
      </c>
      <c r="E106" t="str">
        <f t="shared" si="9"/>
        <v>sonstige Betriebsausgaben</v>
      </c>
      <c r="F106" s="117">
        <f t="shared" si="10"/>
        <v>15.6</v>
      </c>
      <c r="G106" t="str">
        <f t="shared" si="11"/>
        <v>20%</v>
      </c>
      <c r="I106" s="53">
        <v>2021</v>
      </c>
      <c r="J106" s="53">
        <v>105</v>
      </c>
      <c r="K106" s="71" t="s">
        <v>105</v>
      </c>
      <c r="L106" t="s">
        <v>705</v>
      </c>
      <c r="M106" s="9" t="s">
        <v>1465</v>
      </c>
      <c r="N106" s="1">
        <v>44389</v>
      </c>
      <c r="O106" t="s">
        <v>1466</v>
      </c>
      <c r="Q106" s="76"/>
      <c r="R106" t="b">
        <v>0</v>
      </c>
      <c r="S106" s="48">
        <v>13</v>
      </c>
      <c r="T106" s="72">
        <v>1</v>
      </c>
      <c r="U106">
        <v>20</v>
      </c>
      <c r="V106" s="31">
        <v>2.6</v>
      </c>
      <c r="W106" s="31">
        <v>2.6</v>
      </c>
      <c r="X106" s="33">
        <v>13</v>
      </c>
      <c r="Y106" s="29">
        <v>15.6</v>
      </c>
      <c r="Z106" s="29">
        <v>15.6</v>
      </c>
      <c r="AA106" s="35">
        <v>44515</v>
      </c>
      <c r="AB106" s="27"/>
      <c r="AC106" s="27"/>
      <c r="AD106" s="58">
        <v>13</v>
      </c>
      <c r="AE106" s="31">
        <v>0</v>
      </c>
      <c r="AF106" t="b">
        <v>0</v>
      </c>
      <c r="AG106" s="78">
        <v>-13</v>
      </c>
    </row>
    <row r="107" spans="1:33" x14ac:dyDescent="0.25">
      <c r="A107" t="str">
        <f t="shared" si="6"/>
        <v>2021-106</v>
      </c>
      <c r="B107" s="1">
        <f t="shared" si="7"/>
        <v>44390</v>
      </c>
      <c r="C107" t="str">
        <f t="shared" si="8"/>
        <v>R0013736658/Hetzner Online GmbH</v>
      </c>
      <c r="D107" t="str">
        <f t="shared" si="9"/>
        <v>Ausgaben</v>
      </c>
      <c r="E107" t="str">
        <f t="shared" si="9"/>
        <v>sonstige Betriebsausgaben</v>
      </c>
      <c r="F107" s="117">
        <f t="shared" si="10"/>
        <v>46.916800000000002</v>
      </c>
      <c r="G107" t="str">
        <f t="shared" si="11"/>
        <v>0%</v>
      </c>
      <c r="I107" s="53">
        <v>2021</v>
      </c>
      <c r="J107" s="53">
        <v>106</v>
      </c>
      <c r="K107" s="71" t="s">
        <v>105</v>
      </c>
      <c r="L107" t="s">
        <v>705</v>
      </c>
      <c r="M107" s="9" t="s">
        <v>1553</v>
      </c>
      <c r="N107" s="1">
        <v>44390</v>
      </c>
      <c r="O107" t="s">
        <v>927</v>
      </c>
      <c r="Q107" s="76"/>
      <c r="R107" t="b">
        <v>0</v>
      </c>
      <c r="S107" s="48">
        <v>46.916800000000002</v>
      </c>
      <c r="T107" s="72">
        <v>1</v>
      </c>
      <c r="U107">
        <v>0</v>
      </c>
      <c r="V107" s="31">
        <v>0</v>
      </c>
      <c r="W107" s="31">
        <v>0</v>
      </c>
      <c r="X107" s="33">
        <v>46.916800000000002</v>
      </c>
      <c r="Y107" s="29">
        <v>46.916800000000002</v>
      </c>
      <c r="Z107" s="29">
        <v>46.916800000000002</v>
      </c>
      <c r="AA107" s="35">
        <v>44515</v>
      </c>
      <c r="AB107" s="27"/>
      <c r="AC107" s="27">
        <v>20</v>
      </c>
      <c r="AD107" s="58">
        <v>46.916800000000002</v>
      </c>
      <c r="AE107" s="31">
        <v>9.3833600000000015</v>
      </c>
      <c r="AF107" t="b">
        <v>0</v>
      </c>
      <c r="AG107" s="78">
        <v>-46.916800000000002</v>
      </c>
    </row>
    <row r="108" spans="1:33" x14ac:dyDescent="0.25">
      <c r="A108" t="str">
        <f t="shared" si="6"/>
        <v>2021-107</v>
      </c>
      <c r="B108" s="1">
        <f t="shared" si="7"/>
        <v>44391</v>
      </c>
      <c r="C108" t="str">
        <f t="shared" si="8"/>
        <v>12021019/Musikschule Bad Vöslau, Hauptstraße 14, 2540 Bad Vöslau</v>
      </c>
      <c r="D108" t="str">
        <f t="shared" si="9"/>
        <v>Einnahmen</v>
      </c>
      <c r="E108" t="str">
        <f t="shared" si="9"/>
        <v>Waren-/Leistungserlöse</v>
      </c>
      <c r="F108" s="117">
        <f t="shared" si="10"/>
        <v>53.4</v>
      </c>
      <c r="G108" t="str">
        <f t="shared" si="11"/>
        <v>20%</v>
      </c>
      <c r="I108" s="53">
        <v>2021</v>
      </c>
      <c r="J108" s="53">
        <v>107</v>
      </c>
      <c r="K108" s="71" t="s">
        <v>708</v>
      </c>
      <c r="L108" t="s">
        <v>709</v>
      </c>
      <c r="M108" s="9" t="s">
        <v>1554</v>
      </c>
      <c r="N108" s="1">
        <v>44391</v>
      </c>
      <c r="O108" t="s">
        <v>1384</v>
      </c>
      <c r="Q108" s="76"/>
      <c r="R108" t="b">
        <v>0</v>
      </c>
      <c r="S108" s="48">
        <v>44.5</v>
      </c>
      <c r="T108" s="72">
        <v>1</v>
      </c>
      <c r="U108">
        <v>20</v>
      </c>
      <c r="V108" s="31">
        <v>8.9</v>
      </c>
      <c r="W108" s="31">
        <v>8.9</v>
      </c>
      <c r="X108" s="33">
        <v>44.5</v>
      </c>
      <c r="Y108" s="29">
        <v>53.4</v>
      </c>
      <c r="Z108" s="29">
        <v>53.4</v>
      </c>
      <c r="AA108" s="35">
        <v>44515</v>
      </c>
      <c r="AB108" s="27"/>
      <c r="AC108" s="27"/>
      <c r="AD108" s="58">
        <v>44.5</v>
      </c>
      <c r="AE108" s="31">
        <v>0</v>
      </c>
      <c r="AF108" t="b">
        <v>0</v>
      </c>
      <c r="AG108" s="78">
        <v>44.5</v>
      </c>
    </row>
    <row r="109" spans="1:33" x14ac:dyDescent="0.25">
      <c r="A109" t="str">
        <f t="shared" si="6"/>
        <v>2021-108</v>
      </c>
      <c r="B109" s="1">
        <f t="shared" si="7"/>
        <v>44392</v>
      </c>
      <c r="C109" t="str">
        <f t="shared" si="8"/>
        <v>AEU-INV-AT-2021-24480518/Amazon EU S. à r.l., 38 avenue John F. Kennedy, L-1855 Luxembourg: HJEU: DVI-HDMI, Logitech Maus</v>
      </c>
      <c r="D109" t="str">
        <f t="shared" si="9"/>
        <v>Ausgaben</v>
      </c>
      <c r="E109" t="str">
        <f t="shared" si="9"/>
        <v>sonstige Betriebsausgaben</v>
      </c>
      <c r="F109" s="117">
        <f t="shared" si="10"/>
        <v>77.616000000000014</v>
      </c>
      <c r="G109" t="str">
        <f t="shared" si="11"/>
        <v>20%</v>
      </c>
      <c r="I109" s="53">
        <v>2021</v>
      </c>
      <c r="J109" s="53">
        <v>108</v>
      </c>
      <c r="K109" s="71" t="s">
        <v>105</v>
      </c>
      <c r="L109" t="s">
        <v>705</v>
      </c>
      <c r="M109" s="9" t="s">
        <v>1555</v>
      </c>
      <c r="N109" s="1">
        <v>44392</v>
      </c>
      <c r="O109" t="s">
        <v>981</v>
      </c>
      <c r="Q109" s="76"/>
      <c r="R109" t="b">
        <v>0</v>
      </c>
      <c r="S109" s="48">
        <v>64.680000000000007</v>
      </c>
      <c r="T109" s="72">
        <v>1</v>
      </c>
      <c r="U109">
        <v>20</v>
      </c>
      <c r="V109" s="31">
        <v>12.936000000000002</v>
      </c>
      <c r="W109" s="31">
        <v>12.936000000000002</v>
      </c>
      <c r="X109" s="33">
        <v>64.680000000000007</v>
      </c>
      <c r="Y109" s="29">
        <v>77.616000000000014</v>
      </c>
      <c r="Z109" s="29">
        <v>77.616000000000014</v>
      </c>
      <c r="AA109" s="35">
        <v>44515</v>
      </c>
      <c r="AB109" s="27"/>
      <c r="AC109" s="27"/>
      <c r="AD109" s="58">
        <v>64.680000000000007</v>
      </c>
      <c r="AE109" s="31">
        <v>0</v>
      </c>
      <c r="AF109" t="b">
        <v>0</v>
      </c>
      <c r="AG109" s="78">
        <v>-64.680000000000007</v>
      </c>
    </row>
    <row r="110" spans="1:33" x14ac:dyDescent="0.25">
      <c r="A110" t="str">
        <f t="shared" si="6"/>
        <v>2021-109</v>
      </c>
      <c r="B110" s="1">
        <f t="shared" si="7"/>
        <v>44393</v>
      </c>
      <c r="C110" t="str">
        <f t="shared" si="8"/>
        <v>12021021/immo 360 grad gmbh, Feldgasse 6-8, 1080 Wien; ATU51729508</v>
      </c>
      <c r="D110" t="str">
        <f t="shared" si="9"/>
        <v>Einnahmen</v>
      </c>
      <c r="E110" t="str">
        <f t="shared" si="9"/>
        <v>Waren-/Leistungserlöse</v>
      </c>
      <c r="F110" s="117">
        <f t="shared" si="10"/>
        <v>570</v>
      </c>
      <c r="G110" t="str">
        <f t="shared" si="11"/>
        <v>20%</v>
      </c>
      <c r="I110" s="53">
        <v>2021</v>
      </c>
      <c r="J110" s="53">
        <v>109</v>
      </c>
      <c r="K110" s="71" t="s">
        <v>708</v>
      </c>
      <c r="L110" t="s">
        <v>709</v>
      </c>
      <c r="M110" s="9" t="s">
        <v>1557</v>
      </c>
      <c r="N110" s="1">
        <v>44393</v>
      </c>
      <c r="O110" t="s">
        <v>1556</v>
      </c>
      <c r="Q110" s="76"/>
      <c r="R110" t="b">
        <v>0</v>
      </c>
      <c r="S110" s="48">
        <v>475</v>
      </c>
      <c r="T110" s="72">
        <v>1</v>
      </c>
      <c r="U110">
        <v>20</v>
      </c>
      <c r="V110" s="31">
        <v>95</v>
      </c>
      <c r="W110" s="31">
        <v>95</v>
      </c>
      <c r="X110" s="33">
        <v>475</v>
      </c>
      <c r="Y110" s="29">
        <v>570</v>
      </c>
      <c r="Z110" s="29">
        <v>570</v>
      </c>
      <c r="AA110" s="35">
        <v>44515</v>
      </c>
      <c r="AB110" s="27"/>
      <c r="AC110" s="27"/>
      <c r="AD110" s="58">
        <v>475</v>
      </c>
      <c r="AE110" s="31">
        <v>0</v>
      </c>
      <c r="AF110" t="b">
        <v>0</v>
      </c>
      <c r="AG110" s="78">
        <v>475</v>
      </c>
    </row>
    <row r="111" spans="1:33" x14ac:dyDescent="0.25">
      <c r="A111" t="str">
        <f t="shared" si="6"/>
        <v>2021-110</v>
      </c>
      <c r="B111" s="1">
        <f t="shared" si="7"/>
        <v>44398</v>
      </c>
      <c r="C111" t="str">
        <f t="shared" si="8"/>
        <v>901190590721/Magenta: T-Mobile Austria GmbH, A-1120 Wien, PF 47</v>
      </c>
      <c r="D111" t="str">
        <f t="shared" si="9"/>
        <v>Ausgaben</v>
      </c>
      <c r="E111" t="str">
        <f t="shared" si="9"/>
        <v>Telefon/Internet</v>
      </c>
      <c r="F111" s="117">
        <f t="shared" si="10"/>
        <v>38.304000000000002</v>
      </c>
      <c r="G111" t="str">
        <f t="shared" si="11"/>
        <v>20%</v>
      </c>
      <c r="I111" s="53">
        <v>2021</v>
      </c>
      <c r="J111" s="53">
        <v>110</v>
      </c>
      <c r="K111" s="71" t="s">
        <v>105</v>
      </c>
      <c r="L111" t="s">
        <v>703</v>
      </c>
      <c r="M111" s="136" t="s">
        <v>1565</v>
      </c>
      <c r="N111" s="1">
        <v>44398</v>
      </c>
      <c r="O111" t="s">
        <v>1148</v>
      </c>
      <c r="Q111" s="76"/>
      <c r="R111" t="b">
        <v>0</v>
      </c>
      <c r="S111" s="48">
        <v>31.92</v>
      </c>
      <c r="T111" s="72">
        <v>1</v>
      </c>
      <c r="U111">
        <v>20</v>
      </c>
      <c r="V111" s="31">
        <v>6.3840000000000012</v>
      </c>
      <c r="W111" s="31">
        <v>6.3840000000000012</v>
      </c>
      <c r="X111" s="33">
        <v>31.92</v>
      </c>
      <c r="Y111" s="29">
        <v>38.304000000000002</v>
      </c>
      <c r="Z111" s="29">
        <v>38.304000000000002</v>
      </c>
      <c r="AA111" s="35">
        <v>44515</v>
      </c>
      <c r="AB111" s="27"/>
      <c r="AC111" s="27"/>
      <c r="AD111" s="58">
        <v>31.92</v>
      </c>
      <c r="AE111" s="31">
        <v>0</v>
      </c>
      <c r="AF111" t="b">
        <v>0</v>
      </c>
      <c r="AG111" s="78">
        <v>-31.92</v>
      </c>
    </row>
    <row r="112" spans="1:33" x14ac:dyDescent="0.25">
      <c r="A112" t="str">
        <f t="shared" si="6"/>
        <v>2021-111</v>
      </c>
      <c r="B112" s="1">
        <f t="shared" si="7"/>
        <v>44405</v>
      </c>
      <c r="C112" t="str">
        <f t="shared" si="8"/>
        <v>HKA/20-01-58835/Techem Messtechnik GmbH; Abnehmernummer 501686-0003-11-</v>
      </c>
      <c r="D112" t="str">
        <f t="shared" si="9"/>
        <v>Ausgaben</v>
      </c>
      <c r="E112" t="str">
        <f t="shared" si="9"/>
        <v>Miet- und Pachtaufwand, Leasing</v>
      </c>
      <c r="F112" s="117">
        <f t="shared" si="10"/>
        <v>453.36</v>
      </c>
      <c r="G112" t="str">
        <f t="shared" si="11"/>
        <v>20%</v>
      </c>
      <c r="I112" s="53">
        <v>2021</v>
      </c>
      <c r="J112" s="53">
        <v>111</v>
      </c>
      <c r="K112" s="71" t="s">
        <v>105</v>
      </c>
      <c r="L112" t="s">
        <v>691</v>
      </c>
      <c r="M112" s="9" t="s">
        <v>1566</v>
      </c>
      <c r="N112" s="1">
        <v>44405</v>
      </c>
      <c r="O112" t="s">
        <v>1558</v>
      </c>
      <c r="Q112" s="76"/>
      <c r="R112" t="b">
        <v>0</v>
      </c>
      <c r="S112" s="109">
        <v>377.8</v>
      </c>
      <c r="T112" s="72">
        <v>1</v>
      </c>
      <c r="U112">
        <v>20</v>
      </c>
      <c r="V112" s="31">
        <v>75.56</v>
      </c>
      <c r="W112" s="31">
        <v>75.56</v>
      </c>
      <c r="X112" s="33">
        <v>377.8</v>
      </c>
      <c r="Y112" s="29">
        <v>453.36</v>
      </c>
      <c r="Z112" s="29">
        <v>453.36</v>
      </c>
      <c r="AA112" s="35">
        <v>44515</v>
      </c>
      <c r="AB112" s="27"/>
      <c r="AC112" s="27"/>
      <c r="AD112" s="58">
        <v>377.8</v>
      </c>
      <c r="AE112" s="31">
        <v>0</v>
      </c>
      <c r="AF112" t="b">
        <v>0</v>
      </c>
      <c r="AG112" s="78">
        <v>-377.8</v>
      </c>
    </row>
    <row r="113" spans="1:33" x14ac:dyDescent="0.25">
      <c r="A113" t="str">
        <f t="shared" si="6"/>
        <v>2021-112</v>
      </c>
      <c r="B113" s="1">
        <f t="shared" si="7"/>
        <v>44407</v>
      </c>
      <c r="C113" t="str">
        <f t="shared" si="8"/>
        <v>21/9801/JA03121/Bontus Immobilienverwaltung GmbH, 1010 Wien, Franz Josefs Kai 65</v>
      </c>
      <c r="D113" t="str">
        <f t="shared" si="9"/>
        <v>Ausgaben</v>
      </c>
      <c r="E113" t="str">
        <f t="shared" si="9"/>
        <v>Miet- und Pachtaufwand, Leasing</v>
      </c>
      <c r="F113" s="117">
        <f t="shared" si="10"/>
        <v>3.82</v>
      </c>
      <c r="G113" t="str">
        <f t="shared" si="11"/>
        <v>20%</v>
      </c>
      <c r="I113" s="53">
        <v>2021</v>
      </c>
      <c r="J113" s="53">
        <v>112</v>
      </c>
      <c r="K113" s="71" t="s">
        <v>105</v>
      </c>
      <c r="L113" t="s">
        <v>691</v>
      </c>
      <c r="M113" s="136" t="s">
        <v>1559</v>
      </c>
      <c r="N113" s="1">
        <v>44407</v>
      </c>
      <c r="O113" t="s">
        <v>1113</v>
      </c>
      <c r="Q113" s="76"/>
      <c r="R113" t="b">
        <v>0</v>
      </c>
      <c r="S113" s="109">
        <v>3.1833333333333331</v>
      </c>
      <c r="T113" s="72">
        <v>1</v>
      </c>
      <c r="U113">
        <v>20</v>
      </c>
      <c r="V113" s="31">
        <v>0.6366666666666666</v>
      </c>
      <c r="W113" s="31">
        <v>0.6366666666666666</v>
      </c>
      <c r="X113" s="33">
        <v>3.1833333333333331</v>
      </c>
      <c r="Y113" s="29">
        <v>3.82</v>
      </c>
      <c r="Z113" s="29">
        <v>3.82</v>
      </c>
      <c r="AA113" s="35">
        <v>44515</v>
      </c>
      <c r="AB113" s="27"/>
      <c r="AC113" s="27"/>
      <c r="AD113" s="58">
        <v>3.1833333333333331</v>
      </c>
      <c r="AE113" s="31">
        <v>0</v>
      </c>
      <c r="AF113" t="b">
        <v>0</v>
      </c>
      <c r="AG113" s="78">
        <v>-3.1833333333333331</v>
      </c>
    </row>
    <row r="114" spans="1:33" x14ac:dyDescent="0.25">
      <c r="A114" t="str">
        <f t="shared" si="6"/>
        <v>2021-113</v>
      </c>
      <c r="B114" s="1">
        <f t="shared" si="7"/>
        <v>44410</v>
      </c>
      <c r="C114" t="str">
        <f t="shared" si="8"/>
        <v>21/9801(VS00372/Bontus Immobilienverwaltung GmbH, 1010 Wien, Franz Josefs Kai 65</v>
      </c>
      <c r="D114" t="str">
        <f t="shared" si="9"/>
        <v>Ausgaben</v>
      </c>
      <c r="E114" t="str">
        <f t="shared" si="9"/>
        <v>Miet- und Pachtaufwand, Leasing</v>
      </c>
      <c r="F114" s="117">
        <f t="shared" si="10"/>
        <v>564.55999999999995</v>
      </c>
      <c r="G114" t="str">
        <f t="shared" si="11"/>
        <v>20%</v>
      </c>
      <c r="I114" s="53">
        <v>2021</v>
      </c>
      <c r="J114" s="53">
        <v>113</v>
      </c>
      <c r="K114" s="71" t="s">
        <v>105</v>
      </c>
      <c r="L114" t="s">
        <v>691</v>
      </c>
      <c r="M114" s="136" t="s">
        <v>1560</v>
      </c>
      <c r="N114" s="1">
        <v>44410</v>
      </c>
      <c r="O114" t="s">
        <v>1113</v>
      </c>
      <c r="Q114" s="76"/>
      <c r="R114" t="b">
        <v>0</v>
      </c>
      <c r="S114" s="109">
        <v>470.46666666666664</v>
      </c>
      <c r="T114" s="72">
        <v>1</v>
      </c>
      <c r="U114">
        <v>20</v>
      </c>
      <c r="V114" s="31">
        <v>94.09333333333332</v>
      </c>
      <c r="W114" s="31">
        <v>94.09333333333332</v>
      </c>
      <c r="X114" s="33">
        <v>470.46666666666664</v>
      </c>
      <c r="Y114" s="29">
        <v>564.55999999999995</v>
      </c>
      <c r="Z114" s="29">
        <v>564.55999999999995</v>
      </c>
      <c r="AA114" s="35">
        <v>44515</v>
      </c>
      <c r="AB114" s="27"/>
      <c r="AC114" s="27"/>
      <c r="AD114" s="58">
        <v>470.46666666666664</v>
      </c>
      <c r="AE114" s="31">
        <v>0</v>
      </c>
      <c r="AF114" t="b">
        <v>0</v>
      </c>
      <c r="AG114" s="78">
        <v>-470.46666666666664</v>
      </c>
    </row>
    <row r="115" spans="1:33" x14ac:dyDescent="0.25">
      <c r="A115" t="str">
        <f t="shared" si="6"/>
        <v>2021-114</v>
      </c>
      <c r="B115" s="1">
        <f t="shared" si="7"/>
        <v>44411</v>
      </c>
      <c r="C115" t="str">
        <f t="shared" si="8"/>
        <v>6226243184/Hutchison Drei Austria GmbH, Brünner Straße 52, 1210 Wien, Österreich</v>
      </c>
      <c r="D115" t="str">
        <f t="shared" si="9"/>
        <v>Ausgaben</v>
      </c>
      <c r="E115" t="str">
        <f t="shared" si="9"/>
        <v>Telefon/Internet</v>
      </c>
      <c r="F115" s="117">
        <f t="shared" si="10"/>
        <v>18</v>
      </c>
      <c r="G115" t="str">
        <f t="shared" si="11"/>
        <v>20%</v>
      </c>
      <c r="I115" s="53">
        <v>2021</v>
      </c>
      <c r="J115" s="53">
        <v>114</v>
      </c>
      <c r="K115" s="71" t="s">
        <v>105</v>
      </c>
      <c r="L115" t="s">
        <v>703</v>
      </c>
      <c r="M115" s="9" t="s">
        <v>1586</v>
      </c>
      <c r="N115" s="1">
        <v>44411</v>
      </c>
      <c r="O115" t="s">
        <v>34</v>
      </c>
      <c r="Q115" s="76"/>
      <c r="R115" t="b">
        <v>0</v>
      </c>
      <c r="S115" s="48">
        <v>15</v>
      </c>
      <c r="T115" s="72">
        <v>1</v>
      </c>
      <c r="U115">
        <v>20</v>
      </c>
      <c r="V115" s="31">
        <v>3</v>
      </c>
      <c r="W115" s="31">
        <v>3</v>
      </c>
      <c r="X115" s="33">
        <v>15</v>
      </c>
      <c r="Y115" s="29">
        <v>18</v>
      </c>
      <c r="Z115" s="29">
        <v>18</v>
      </c>
      <c r="AA115" s="35">
        <v>44515</v>
      </c>
      <c r="AB115" s="27"/>
      <c r="AC115" s="27"/>
      <c r="AD115" s="58">
        <v>15</v>
      </c>
      <c r="AE115" s="31">
        <v>0</v>
      </c>
      <c r="AF115" t="b">
        <v>0</v>
      </c>
      <c r="AG115" s="78">
        <v>-15</v>
      </c>
    </row>
    <row r="116" spans="1:33" x14ac:dyDescent="0.25">
      <c r="A116" t="str">
        <f t="shared" si="6"/>
        <v>2021-115</v>
      </c>
      <c r="B116" s="1">
        <f t="shared" si="7"/>
        <v>44411</v>
      </c>
      <c r="C116" t="str">
        <f t="shared" si="8"/>
        <v>12021018/Paperholic all bout paper e.U.</v>
      </c>
      <c r="D116" t="str">
        <f t="shared" si="9"/>
        <v>Einnahmen</v>
      </c>
      <c r="E116" t="str">
        <f t="shared" si="9"/>
        <v>Waren-/Leistungserlöse</v>
      </c>
      <c r="F116" s="117">
        <f t="shared" si="10"/>
        <v>792.78</v>
      </c>
      <c r="G116" t="str">
        <f t="shared" si="11"/>
        <v>20%</v>
      </c>
      <c r="I116" s="53">
        <v>2021</v>
      </c>
      <c r="J116" s="53">
        <v>115</v>
      </c>
      <c r="K116" s="71" t="s">
        <v>708</v>
      </c>
      <c r="L116" t="s">
        <v>709</v>
      </c>
      <c r="M116" s="9">
        <v>12021018</v>
      </c>
      <c r="N116" s="1">
        <v>44411</v>
      </c>
      <c r="O116" t="s">
        <v>1388</v>
      </c>
      <c r="Q116" s="76"/>
      <c r="R116" t="b">
        <v>0</v>
      </c>
      <c r="S116" s="48">
        <v>660.65</v>
      </c>
      <c r="T116" s="72">
        <v>1</v>
      </c>
      <c r="U116">
        <v>20</v>
      </c>
      <c r="V116" s="31">
        <v>132.13</v>
      </c>
      <c r="W116" s="31">
        <v>132.13</v>
      </c>
      <c r="X116" s="33">
        <v>660.65</v>
      </c>
      <c r="Y116" s="29">
        <v>792.78</v>
      </c>
      <c r="Z116" s="29">
        <v>792.78</v>
      </c>
      <c r="AA116" s="35">
        <v>44515</v>
      </c>
      <c r="AB116" s="27"/>
      <c r="AC116" s="27"/>
      <c r="AD116" s="58">
        <v>660.65</v>
      </c>
      <c r="AE116" s="31">
        <v>0</v>
      </c>
      <c r="AF116" t="b">
        <v>0</v>
      </c>
      <c r="AG116" s="78">
        <v>660.65</v>
      </c>
    </row>
    <row r="117" spans="1:33" x14ac:dyDescent="0.25">
      <c r="A117" t="str">
        <f t="shared" si="6"/>
        <v>2021-116</v>
      </c>
      <c r="B117" s="1">
        <f t="shared" si="7"/>
        <v>44412</v>
      </c>
      <c r="C117" t="str">
        <f t="shared" si="8"/>
        <v>60793/100/2021/easy green energy GmbH &amp; Co KG</v>
      </c>
      <c r="D117" t="str">
        <f t="shared" si="9"/>
        <v>Ausgaben</v>
      </c>
      <c r="E117" t="str">
        <f t="shared" si="9"/>
        <v>sonstige Betriebsausgaben</v>
      </c>
      <c r="F117" s="117">
        <f t="shared" si="10"/>
        <v>3</v>
      </c>
      <c r="G117" t="str">
        <f t="shared" si="11"/>
        <v>20%</v>
      </c>
      <c r="I117" s="53">
        <v>2021</v>
      </c>
      <c r="J117" s="53">
        <v>116</v>
      </c>
      <c r="K117" s="71" t="s">
        <v>105</v>
      </c>
      <c r="L117" t="s">
        <v>705</v>
      </c>
      <c r="M117" s="9" t="s">
        <v>1505</v>
      </c>
      <c r="N117" s="1">
        <v>44412</v>
      </c>
      <c r="O117" t="s">
        <v>1364</v>
      </c>
      <c r="Q117" s="76"/>
      <c r="R117" t="b">
        <v>0</v>
      </c>
      <c r="S117" s="48">
        <v>2.5</v>
      </c>
      <c r="T117" s="72">
        <v>1</v>
      </c>
      <c r="U117">
        <v>20</v>
      </c>
      <c r="V117" s="31">
        <v>0.5</v>
      </c>
      <c r="W117" s="31">
        <v>0.5</v>
      </c>
      <c r="X117" s="33">
        <v>2.5</v>
      </c>
      <c r="Y117" s="29">
        <v>3</v>
      </c>
      <c r="Z117" s="29">
        <v>3</v>
      </c>
      <c r="AA117" s="35">
        <v>44515</v>
      </c>
      <c r="AB117" s="27"/>
      <c r="AC117" s="27"/>
      <c r="AD117" s="58">
        <v>2.5</v>
      </c>
      <c r="AE117" s="31">
        <v>0</v>
      </c>
      <c r="AF117" t="b">
        <v>0</v>
      </c>
      <c r="AG117" s="78">
        <v>-2.5</v>
      </c>
    </row>
    <row r="118" spans="1:33" x14ac:dyDescent="0.25">
      <c r="A118" t="str">
        <f t="shared" si="6"/>
        <v>2021-117</v>
      </c>
      <c r="B118" s="1">
        <f t="shared" si="7"/>
        <v>44412</v>
      </c>
      <c r="C118" t="str">
        <f t="shared" si="8"/>
        <v>3947026044/Google Ireland Ltd, Gordon House, Barrow Street, Dublin 4, Ireland; VAT number: IE 6388047V</v>
      </c>
      <c r="D118" t="str">
        <f t="shared" si="9"/>
        <v>Ausgaben</v>
      </c>
      <c r="E118" t="str">
        <f t="shared" si="9"/>
        <v>sonstige Betriebsausgaben</v>
      </c>
      <c r="F118" s="117">
        <f t="shared" si="10"/>
        <v>9.36</v>
      </c>
      <c r="G118" t="str">
        <f t="shared" si="11"/>
        <v>0%</v>
      </c>
      <c r="I118" s="53">
        <v>2021</v>
      </c>
      <c r="J118" s="53">
        <v>117</v>
      </c>
      <c r="K118" s="71" t="s">
        <v>105</v>
      </c>
      <c r="L118" t="s">
        <v>705</v>
      </c>
      <c r="M118" s="9">
        <v>3947026044</v>
      </c>
      <c r="N118" s="1">
        <v>44412</v>
      </c>
      <c r="O118" t="s">
        <v>1404</v>
      </c>
      <c r="Q118" s="76"/>
      <c r="R118" t="b">
        <v>0</v>
      </c>
      <c r="S118" s="48">
        <v>9.36</v>
      </c>
      <c r="T118" s="72">
        <v>1</v>
      </c>
      <c r="U118">
        <v>0</v>
      </c>
      <c r="V118" s="31">
        <v>0</v>
      </c>
      <c r="W118" s="31">
        <v>0</v>
      </c>
      <c r="X118" s="33">
        <v>9.36</v>
      </c>
      <c r="Y118" s="29">
        <v>9.36</v>
      </c>
      <c r="Z118" s="29">
        <v>9.36</v>
      </c>
      <c r="AA118" s="35">
        <v>44515</v>
      </c>
      <c r="AB118" s="27"/>
      <c r="AC118" s="27">
        <v>20</v>
      </c>
      <c r="AD118" s="58">
        <v>9.36</v>
      </c>
      <c r="AE118" s="31">
        <v>1.8719999999999999</v>
      </c>
      <c r="AF118" t="b">
        <v>0</v>
      </c>
      <c r="AG118" s="78">
        <v>-9.36</v>
      </c>
    </row>
    <row r="119" spans="1:33" x14ac:dyDescent="0.25">
      <c r="A119" t="str">
        <f t="shared" si="6"/>
        <v>2021-118</v>
      </c>
      <c r="B119" s="1">
        <f t="shared" si="7"/>
        <v>44412</v>
      </c>
      <c r="C119" t="str">
        <f t="shared" si="8"/>
        <v>845629/Lemon Technologies GmbH, Unterweißenbach 181, 7330 Feldbach: Bildschirm</v>
      </c>
      <c r="D119" t="str">
        <f t="shared" si="9"/>
        <v>Ausgaben</v>
      </c>
      <c r="E119" t="str">
        <f t="shared" si="9"/>
        <v>Waren, Rohstoffe, Hilfsstoffe</v>
      </c>
      <c r="F119" s="117">
        <f t="shared" si="10"/>
        <v>3508.9679999999998</v>
      </c>
      <c r="G119" t="str">
        <f t="shared" si="11"/>
        <v>20%</v>
      </c>
      <c r="I119" s="53">
        <v>2021</v>
      </c>
      <c r="J119" s="53">
        <v>118</v>
      </c>
      <c r="K119" s="71" t="s">
        <v>105</v>
      </c>
      <c r="L119" t="s">
        <v>683</v>
      </c>
      <c r="M119" s="9" t="s">
        <v>1587</v>
      </c>
      <c r="N119" s="1">
        <v>44412</v>
      </c>
      <c r="O119" t="s">
        <v>1238</v>
      </c>
      <c r="Q119" s="76" t="s">
        <v>958</v>
      </c>
      <c r="R119" t="b">
        <v>0</v>
      </c>
      <c r="S119" s="109">
        <v>2924.14</v>
      </c>
      <c r="T119" s="72">
        <v>1</v>
      </c>
      <c r="U119">
        <v>20</v>
      </c>
      <c r="V119" s="31">
        <v>584.82799999999997</v>
      </c>
      <c r="W119" s="31">
        <v>584.82799999999997</v>
      </c>
      <c r="X119" s="33">
        <v>2924.14</v>
      </c>
      <c r="Y119" s="29">
        <v>3508.9679999999998</v>
      </c>
      <c r="Z119" s="29">
        <v>3508.9679999999998</v>
      </c>
      <c r="AA119" s="35">
        <v>44515</v>
      </c>
      <c r="AB119" s="27"/>
      <c r="AC119" s="27"/>
      <c r="AD119" s="58">
        <v>2924.14</v>
      </c>
      <c r="AE119" s="31">
        <v>0</v>
      </c>
      <c r="AF119" t="b">
        <v>0</v>
      </c>
      <c r="AG119" s="78">
        <v>-2924.14</v>
      </c>
    </row>
    <row r="120" spans="1:33" x14ac:dyDescent="0.25">
      <c r="A120" t="str">
        <f t="shared" si="6"/>
        <v>2021-119</v>
      </c>
      <c r="B120" s="1">
        <f t="shared" si="7"/>
        <v>44413</v>
      </c>
      <c r="C120" t="str">
        <f t="shared" si="8"/>
        <v>HKA/20-01-58835/Techem Messtechnik GmbH; Abnehmernummer 501686-0003-11-</v>
      </c>
      <c r="D120" t="str">
        <f t="shared" si="9"/>
        <v>Ausgaben</v>
      </c>
      <c r="E120" t="str">
        <f t="shared" si="9"/>
        <v>Miet- und Pachtaufwand, Leasing</v>
      </c>
      <c r="F120" s="117">
        <f t="shared" si="10"/>
        <v>88.8</v>
      </c>
      <c r="G120" t="str">
        <f t="shared" si="11"/>
        <v>20%</v>
      </c>
      <c r="I120" s="53">
        <v>2021</v>
      </c>
      <c r="J120" s="53">
        <v>119</v>
      </c>
      <c r="K120" s="71" t="s">
        <v>105</v>
      </c>
      <c r="L120" t="s">
        <v>691</v>
      </c>
      <c r="M120" s="9" t="s">
        <v>1566</v>
      </c>
      <c r="N120" s="1">
        <v>44413</v>
      </c>
      <c r="O120" t="s">
        <v>1558</v>
      </c>
      <c r="Q120" s="76"/>
      <c r="R120" t="b">
        <v>0</v>
      </c>
      <c r="S120" s="109">
        <v>74</v>
      </c>
      <c r="T120" s="72">
        <v>1</v>
      </c>
      <c r="U120">
        <v>20</v>
      </c>
      <c r="V120" s="31">
        <v>14.8</v>
      </c>
      <c r="W120" s="31">
        <v>14.8</v>
      </c>
      <c r="X120" s="33">
        <v>74</v>
      </c>
      <c r="Y120" s="29">
        <v>88.8</v>
      </c>
      <c r="Z120" s="29">
        <v>88.8</v>
      </c>
      <c r="AA120" s="35">
        <v>44515</v>
      </c>
      <c r="AB120" s="27"/>
      <c r="AC120" s="27"/>
      <c r="AD120" s="58">
        <v>74</v>
      </c>
      <c r="AE120" s="31">
        <v>0</v>
      </c>
      <c r="AF120" t="b">
        <v>0</v>
      </c>
      <c r="AG120" s="78">
        <v>-74</v>
      </c>
    </row>
    <row r="121" spans="1:33" x14ac:dyDescent="0.25">
      <c r="A121" t="str">
        <f t="shared" si="6"/>
        <v>2021-120</v>
      </c>
      <c r="B121" s="1">
        <f t="shared" si="7"/>
        <v>44414</v>
      </c>
      <c r="C121" t="str">
        <f t="shared" si="8"/>
        <v>12021015/Schick Küchendesign e.U. Alexander Schick, Linzerstraße 247, 1140 Wien</v>
      </c>
      <c r="D121" t="str">
        <f t="shared" si="9"/>
        <v>Einnahmen</v>
      </c>
      <c r="E121" t="str">
        <f t="shared" si="9"/>
        <v>Waren-/Leistungserlöse</v>
      </c>
      <c r="F121" s="117">
        <f t="shared" si="10"/>
        <v>1404</v>
      </c>
      <c r="G121" t="str">
        <f t="shared" si="11"/>
        <v>20%</v>
      </c>
      <c r="I121" s="53">
        <v>2021</v>
      </c>
      <c r="J121" s="53">
        <v>120</v>
      </c>
      <c r="K121" s="71" t="s">
        <v>708</v>
      </c>
      <c r="L121" t="s">
        <v>709</v>
      </c>
      <c r="M121" s="9">
        <v>12021015</v>
      </c>
      <c r="N121" s="1">
        <v>44414</v>
      </c>
      <c r="O121" t="s">
        <v>983</v>
      </c>
      <c r="Q121" s="76"/>
      <c r="R121" t="b">
        <v>0</v>
      </c>
      <c r="S121" s="109">
        <v>1170</v>
      </c>
      <c r="T121" s="72">
        <v>1</v>
      </c>
      <c r="U121">
        <v>20</v>
      </c>
      <c r="V121" s="31">
        <v>234</v>
      </c>
      <c r="W121" s="31">
        <v>234</v>
      </c>
      <c r="X121" s="33">
        <v>1170</v>
      </c>
      <c r="Y121" s="29">
        <v>1404</v>
      </c>
      <c r="Z121" s="29">
        <v>1404</v>
      </c>
      <c r="AA121" s="35">
        <v>44515</v>
      </c>
      <c r="AB121" s="27"/>
      <c r="AC121" s="27"/>
      <c r="AD121" s="58">
        <v>1170</v>
      </c>
      <c r="AE121" s="31">
        <v>0</v>
      </c>
      <c r="AF121" t="b">
        <v>0</v>
      </c>
      <c r="AG121" s="78">
        <v>1170</v>
      </c>
    </row>
    <row r="122" spans="1:33" x14ac:dyDescent="0.25">
      <c r="A122" t="str">
        <f t="shared" si="6"/>
        <v>2021-121</v>
      </c>
      <c r="B122" s="1">
        <f t="shared" si="7"/>
        <v>44414</v>
      </c>
      <c r="C122" t="str">
        <f t="shared" si="8"/>
        <v>R0013878641/Hetzner Online GmbH</v>
      </c>
      <c r="D122" t="str">
        <f t="shared" si="9"/>
        <v>Ausgaben</v>
      </c>
      <c r="E122" t="str">
        <f t="shared" si="9"/>
        <v>sonstige Betriebsausgaben</v>
      </c>
      <c r="F122" s="117">
        <f t="shared" si="10"/>
        <v>2.4900000000000002</v>
      </c>
      <c r="G122" t="str">
        <f t="shared" si="11"/>
        <v>0%</v>
      </c>
      <c r="I122" s="53">
        <v>2021</v>
      </c>
      <c r="J122" s="53">
        <v>121</v>
      </c>
      <c r="K122" s="71" t="s">
        <v>105</v>
      </c>
      <c r="L122" t="s">
        <v>705</v>
      </c>
      <c r="M122" s="9" t="s">
        <v>1573</v>
      </c>
      <c r="N122" s="1">
        <v>44414</v>
      </c>
      <c r="O122" t="s">
        <v>927</v>
      </c>
      <c r="Q122" s="76" t="s">
        <v>958</v>
      </c>
      <c r="R122" t="b">
        <v>0</v>
      </c>
      <c r="S122" s="48">
        <v>2.4900000000000002</v>
      </c>
      <c r="T122" s="72">
        <v>1</v>
      </c>
      <c r="U122">
        <v>0</v>
      </c>
      <c r="V122" s="31">
        <v>0</v>
      </c>
      <c r="W122" s="31">
        <v>0</v>
      </c>
      <c r="X122" s="33">
        <v>2.4900000000000002</v>
      </c>
      <c r="Y122" s="29">
        <v>2.4900000000000002</v>
      </c>
      <c r="Z122" s="29">
        <v>2.4900000000000002</v>
      </c>
      <c r="AA122" s="35">
        <v>44515</v>
      </c>
      <c r="AB122" s="27"/>
      <c r="AC122" s="27">
        <v>20</v>
      </c>
      <c r="AD122" s="58">
        <v>2.4900000000000002</v>
      </c>
      <c r="AE122" s="31">
        <v>0.49800000000000005</v>
      </c>
      <c r="AF122" t="b">
        <v>0</v>
      </c>
      <c r="AG122" s="78">
        <v>-2.4900000000000002</v>
      </c>
    </row>
    <row r="123" spans="1:33" x14ac:dyDescent="0.25">
      <c r="A123" t="str">
        <f t="shared" si="6"/>
        <v>2021-122</v>
      </c>
      <c r="B123" s="1">
        <f t="shared" si="7"/>
        <v>44414</v>
      </c>
      <c r="C123" t="str">
        <f t="shared" si="8"/>
        <v>AT177AHAEUI/Amazon EU S. à r.l., 38 avenue John F. Kennedy, L-1855 Luxembourg: HJEU: DVI-HDMI, Logitech Maus</v>
      </c>
      <c r="D123" t="str">
        <f t="shared" si="9"/>
        <v>Ausgaben</v>
      </c>
      <c r="E123" t="str">
        <f t="shared" si="9"/>
        <v>sonstige Betriebsausgaben</v>
      </c>
      <c r="F123" s="117">
        <f t="shared" si="10"/>
        <v>24.144000000000002</v>
      </c>
      <c r="G123" t="str">
        <f t="shared" si="11"/>
        <v>20%</v>
      </c>
      <c r="I123" s="53">
        <v>2021</v>
      </c>
      <c r="J123" s="53">
        <v>122</v>
      </c>
      <c r="K123" s="71" t="s">
        <v>105</v>
      </c>
      <c r="L123" t="s">
        <v>705</v>
      </c>
      <c r="M123" s="9" t="s">
        <v>1574</v>
      </c>
      <c r="N123" s="1">
        <v>44414</v>
      </c>
      <c r="O123" t="s">
        <v>981</v>
      </c>
      <c r="Q123" s="76"/>
      <c r="R123" t="b">
        <v>0</v>
      </c>
      <c r="S123" s="48">
        <v>20.12</v>
      </c>
      <c r="T123" s="72">
        <v>1</v>
      </c>
      <c r="U123">
        <v>20</v>
      </c>
      <c r="V123" s="31">
        <v>4.024</v>
      </c>
      <c r="W123" s="31">
        <v>4.024</v>
      </c>
      <c r="X123" s="33">
        <v>20.12</v>
      </c>
      <c r="Y123" s="29">
        <v>24.144000000000002</v>
      </c>
      <c r="Z123" s="29">
        <v>24.144000000000002</v>
      </c>
      <c r="AA123" s="35">
        <v>44515</v>
      </c>
      <c r="AB123" s="27"/>
      <c r="AC123" s="27"/>
      <c r="AD123" s="58">
        <v>20.12</v>
      </c>
      <c r="AE123" s="31">
        <v>0</v>
      </c>
      <c r="AF123" t="b">
        <v>0</v>
      </c>
      <c r="AG123" s="78">
        <v>-20.12</v>
      </c>
    </row>
    <row r="124" spans="1:33" x14ac:dyDescent="0.25">
      <c r="A124" t="str">
        <f t="shared" si="6"/>
        <v>2021-123</v>
      </c>
      <c r="B124" s="1">
        <f t="shared" si="7"/>
        <v>44418</v>
      </c>
      <c r="C124" t="str">
        <f t="shared" si="8"/>
        <v>5137082649/Wiener Netze GmbH, Erdbergstraße 236, 1110 Wien, Postfach 422; Jahresabrechnung vom 17.12.20: GUTSCHRIFT</v>
      </c>
      <c r="D124" t="str">
        <f t="shared" si="9"/>
        <v>Ausgaben</v>
      </c>
      <c r="E124" t="str">
        <f t="shared" si="9"/>
        <v>sonstige Betriebsausgaben</v>
      </c>
      <c r="F124" s="117">
        <f t="shared" si="10"/>
        <v>15.6</v>
      </c>
      <c r="G124" t="str">
        <f t="shared" si="11"/>
        <v>20%</v>
      </c>
      <c r="I124" s="53">
        <v>2021</v>
      </c>
      <c r="J124" s="53">
        <v>123</v>
      </c>
      <c r="K124" s="71" t="s">
        <v>105</v>
      </c>
      <c r="L124" t="s">
        <v>705</v>
      </c>
      <c r="M124" s="9" t="s">
        <v>1465</v>
      </c>
      <c r="N124" s="1">
        <v>44418</v>
      </c>
      <c r="O124" t="s">
        <v>1466</v>
      </c>
      <c r="Q124" s="76"/>
      <c r="R124" t="b">
        <v>0</v>
      </c>
      <c r="S124" s="48">
        <v>13</v>
      </c>
      <c r="T124" s="72">
        <v>1</v>
      </c>
      <c r="U124">
        <v>20</v>
      </c>
      <c r="V124" s="31">
        <v>2.6</v>
      </c>
      <c r="W124" s="31">
        <v>2.6</v>
      </c>
      <c r="X124" s="33">
        <v>13</v>
      </c>
      <c r="Y124" s="29">
        <v>15.6</v>
      </c>
      <c r="Z124" s="29">
        <v>15.6</v>
      </c>
      <c r="AA124" s="35">
        <v>44515</v>
      </c>
      <c r="AB124" s="27"/>
      <c r="AC124" s="27"/>
      <c r="AD124" s="58">
        <v>13</v>
      </c>
      <c r="AE124" s="31">
        <v>0</v>
      </c>
      <c r="AF124" t="b">
        <v>0</v>
      </c>
      <c r="AG124" s="78">
        <v>-13</v>
      </c>
    </row>
    <row r="125" spans="1:33" x14ac:dyDescent="0.25">
      <c r="A125" t="str">
        <f t="shared" si="6"/>
        <v>2021-124</v>
      </c>
      <c r="B125" s="1">
        <f t="shared" si="7"/>
        <v>44420</v>
      </c>
      <c r="C125" t="str">
        <f t="shared" si="8"/>
        <v>R0013736658/Hetzner Online GmbH</v>
      </c>
      <c r="D125" t="str">
        <f t="shared" si="9"/>
        <v>Ausgaben</v>
      </c>
      <c r="E125" t="str">
        <f t="shared" si="9"/>
        <v>sonstige Betriebsausgaben</v>
      </c>
      <c r="F125" s="117">
        <f t="shared" si="10"/>
        <v>46.916800000000002</v>
      </c>
      <c r="G125" t="str">
        <f t="shared" si="11"/>
        <v>0%</v>
      </c>
      <c r="I125" s="53">
        <v>2021</v>
      </c>
      <c r="J125" s="53">
        <v>124</v>
      </c>
      <c r="K125" s="71" t="s">
        <v>105</v>
      </c>
      <c r="L125" t="s">
        <v>705</v>
      </c>
      <c r="M125" s="9" t="s">
        <v>1553</v>
      </c>
      <c r="N125" s="1">
        <v>44420</v>
      </c>
      <c r="O125" t="s">
        <v>927</v>
      </c>
      <c r="Q125" s="76"/>
      <c r="R125" t="b">
        <v>0</v>
      </c>
      <c r="S125" s="48">
        <v>46.916800000000002</v>
      </c>
      <c r="T125" s="72">
        <v>1</v>
      </c>
      <c r="U125">
        <v>0</v>
      </c>
      <c r="V125" s="31">
        <v>0</v>
      </c>
      <c r="W125" s="31">
        <v>0</v>
      </c>
      <c r="X125" s="33">
        <v>46.916800000000002</v>
      </c>
      <c r="Y125" s="29">
        <v>46.916800000000002</v>
      </c>
      <c r="Z125" s="29">
        <v>46.916800000000002</v>
      </c>
      <c r="AA125" s="35">
        <v>44515</v>
      </c>
      <c r="AB125" s="27"/>
      <c r="AC125" s="27">
        <v>20</v>
      </c>
      <c r="AD125" s="58">
        <v>46.916800000000002</v>
      </c>
      <c r="AE125" s="31">
        <v>9.3833600000000015</v>
      </c>
      <c r="AF125" t="b">
        <v>0</v>
      </c>
      <c r="AG125" s="78">
        <v>-46.916800000000002</v>
      </c>
    </row>
    <row r="126" spans="1:33" x14ac:dyDescent="0.25">
      <c r="A126" t="str">
        <f t="shared" si="6"/>
        <v>2021-125</v>
      </c>
      <c r="B126" s="1">
        <f t="shared" si="7"/>
        <v>44424</v>
      </c>
      <c r="C126" t="str">
        <f t="shared" si="8"/>
        <v>AT1PXC9AEUI/Amazon EU S. à r.l., 38 avenue John F. Kennedy, L-1855 Luxembourg: HJEU: DVI-HDMI, Logitech Maus</v>
      </c>
      <c r="D126" t="str">
        <f t="shared" si="9"/>
        <v>Ausgaben</v>
      </c>
      <c r="E126" t="str">
        <f t="shared" si="9"/>
        <v>sonstige Betriebsausgaben</v>
      </c>
      <c r="F126" s="117">
        <f t="shared" si="10"/>
        <v>68.567999999999998</v>
      </c>
      <c r="G126" t="str">
        <f t="shared" si="11"/>
        <v>20%</v>
      </c>
      <c r="I126" s="53">
        <v>2021</v>
      </c>
      <c r="J126" s="53">
        <v>125</v>
      </c>
      <c r="K126" s="71" t="s">
        <v>105</v>
      </c>
      <c r="L126" t="s">
        <v>705</v>
      </c>
      <c r="M126" s="9" t="s">
        <v>1575</v>
      </c>
      <c r="N126" s="1">
        <v>44424</v>
      </c>
      <c r="O126" t="s">
        <v>981</v>
      </c>
      <c r="Q126" s="76"/>
      <c r="R126" t="b">
        <v>0</v>
      </c>
      <c r="S126" s="48">
        <v>57.14</v>
      </c>
      <c r="T126" s="72">
        <v>1</v>
      </c>
      <c r="U126">
        <v>20</v>
      </c>
      <c r="V126" s="31">
        <v>11.427999999999999</v>
      </c>
      <c r="W126" s="31">
        <v>11.427999999999999</v>
      </c>
      <c r="X126" s="33">
        <v>57.14</v>
      </c>
      <c r="Y126" s="29">
        <v>68.567999999999998</v>
      </c>
      <c r="Z126" s="29">
        <v>68.567999999999998</v>
      </c>
      <c r="AA126" s="35">
        <v>44515</v>
      </c>
      <c r="AB126" s="27"/>
      <c r="AC126" s="27"/>
      <c r="AD126" s="58">
        <v>57.14</v>
      </c>
      <c r="AE126" s="31">
        <v>0</v>
      </c>
      <c r="AF126" t="b">
        <v>0</v>
      </c>
      <c r="AG126" s="78">
        <v>-57.14</v>
      </c>
    </row>
    <row r="127" spans="1:33" x14ac:dyDescent="0.25">
      <c r="A127" t="str">
        <f t="shared" si="6"/>
        <v>2021-126</v>
      </c>
      <c r="B127" s="1">
        <f t="shared" si="7"/>
        <v>44431</v>
      </c>
      <c r="C127" t="str">
        <f t="shared" si="8"/>
        <v>901190380821/Magenta: T-Mobile Austria GmbH, A-1120 Wien, PF 47</v>
      </c>
      <c r="D127" t="str">
        <f t="shared" si="9"/>
        <v>Ausgaben</v>
      </c>
      <c r="E127" t="str">
        <f t="shared" si="9"/>
        <v>Telefon/Internet</v>
      </c>
      <c r="F127" s="117">
        <f t="shared" si="10"/>
        <v>38.304000000000002</v>
      </c>
      <c r="G127" t="str">
        <f t="shared" si="11"/>
        <v>20%</v>
      </c>
      <c r="I127" s="53">
        <v>2021</v>
      </c>
      <c r="J127" s="53">
        <v>126</v>
      </c>
      <c r="K127" s="71" t="s">
        <v>105</v>
      </c>
      <c r="L127" t="s">
        <v>703</v>
      </c>
      <c r="M127" s="131" t="s">
        <v>1637</v>
      </c>
      <c r="N127" s="1">
        <v>44431</v>
      </c>
      <c r="O127" t="s">
        <v>1148</v>
      </c>
      <c r="Q127" s="76"/>
      <c r="R127" t="b">
        <v>0</v>
      </c>
      <c r="S127" s="48">
        <v>31.92</v>
      </c>
      <c r="T127" s="72">
        <v>1</v>
      </c>
      <c r="U127">
        <v>20</v>
      </c>
      <c r="V127" s="31">
        <v>6.3840000000000012</v>
      </c>
      <c r="W127" s="31">
        <v>6.3840000000000012</v>
      </c>
      <c r="X127" s="33">
        <v>31.92</v>
      </c>
      <c r="Y127" s="29">
        <v>38.304000000000002</v>
      </c>
      <c r="Z127" s="29">
        <v>38.304000000000002</v>
      </c>
      <c r="AA127" s="35">
        <v>44515</v>
      </c>
      <c r="AB127" s="27"/>
      <c r="AC127" s="27"/>
      <c r="AD127" s="58">
        <v>31.92</v>
      </c>
      <c r="AE127" s="31">
        <v>0</v>
      </c>
      <c r="AF127" t="b">
        <v>0</v>
      </c>
      <c r="AG127" s="78">
        <v>-31.92</v>
      </c>
    </row>
    <row r="128" spans="1:33" x14ac:dyDescent="0.25">
      <c r="A128" t="str">
        <f t="shared" si="6"/>
        <v>2021-127</v>
      </c>
      <c r="B128" s="1">
        <f t="shared" si="7"/>
        <v>44433</v>
      </c>
      <c r="C128" t="str">
        <f t="shared" si="8"/>
        <v>847269/Lemon Technologies GmbH, Unterweißenbach 181, 7330 Feldbach: Bildschirm</v>
      </c>
      <c r="D128" t="str">
        <f t="shared" si="9"/>
        <v>Ausgaben</v>
      </c>
      <c r="E128" t="str">
        <f t="shared" si="9"/>
        <v>Waren, Rohstoffe, Hilfsstoffe</v>
      </c>
      <c r="F128" s="117">
        <f t="shared" si="10"/>
        <v>167.00399999999999</v>
      </c>
      <c r="G128" t="str">
        <f t="shared" si="11"/>
        <v>20%</v>
      </c>
      <c r="I128" s="53">
        <v>2021</v>
      </c>
      <c r="J128" s="53">
        <v>127</v>
      </c>
      <c r="K128" s="71" t="s">
        <v>105</v>
      </c>
      <c r="L128" t="s">
        <v>683</v>
      </c>
      <c r="M128" s="9">
        <v>847269</v>
      </c>
      <c r="N128" s="1">
        <v>44433</v>
      </c>
      <c r="O128" t="s">
        <v>1238</v>
      </c>
      <c r="Q128" s="76" t="s">
        <v>958</v>
      </c>
      <c r="R128" t="b">
        <v>0</v>
      </c>
      <c r="S128" s="48">
        <v>139.16999999999999</v>
      </c>
      <c r="T128" s="72">
        <v>1</v>
      </c>
      <c r="U128">
        <v>20</v>
      </c>
      <c r="V128" s="31">
        <v>27.833999999999996</v>
      </c>
      <c r="W128" s="31">
        <v>27.833999999999996</v>
      </c>
      <c r="X128" s="33">
        <v>139.16999999999999</v>
      </c>
      <c r="Y128" s="29">
        <v>167.00399999999999</v>
      </c>
      <c r="Z128" s="29">
        <v>167.00399999999999</v>
      </c>
      <c r="AA128" s="35">
        <v>44515</v>
      </c>
      <c r="AB128" s="27"/>
      <c r="AC128" s="27"/>
      <c r="AD128" s="58">
        <v>139.16999999999999</v>
      </c>
      <c r="AE128" s="31">
        <v>0</v>
      </c>
      <c r="AF128" t="b">
        <v>0</v>
      </c>
      <c r="AG128" s="78">
        <v>-139.16999999999999</v>
      </c>
    </row>
    <row r="129" spans="1:33" x14ac:dyDescent="0.25">
      <c r="A129" t="str">
        <f t="shared" si="6"/>
        <v>2021-128</v>
      </c>
      <c r="B129" s="1">
        <f t="shared" si="7"/>
        <v>44439</v>
      </c>
      <c r="C129" t="str">
        <f t="shared" si="8"/>
        <v>PRM321080003319/New Work SE, Dammtorstraße 30, 20354 Hamburg</v>
      </c>
      <c r="D129" t="str">
        <f t="shared" si="9"/>
        <v>Ausgaben</v>
      </c>
      <c r="E129" t="str">
        <f t="shared" si="9"/>
        <v>Werbe- und Repräsentationsaufwand</v>
      </c>
      <c r="F129" s="117">
        <f t="shared" si="10"/>
        <v>24.88</v>
      </c>
      <c r="G129" t="str">
        <f t="shared" si="11"/>
        <v>0%</v>
      </c>
      <c r="I129" s="53">
        <v>2021</v>
      </c>
      <c r="J129" s="53">
        <v>128</v>
      </c>
      <c r="K129" s="71" t="s">
        <v>105</v>
      </c>
      <c r="L129" t="s">
        <v>693</v>
      </c>
      <c r="M129" s="9" t="s">
        <v>1576</v>
      </c>
      <c r="N129" s="1">
        <v>44439</v>
      </c>
      <c r="O129" t="s">
        <v>1363</v>
      </c>
      <c r="Q129" s="76"/>
      <c r="R129" t="b">
        <v>0</v>
      </c>
      <c r="S129" s="48">
        <v>24.88</v>
      </c>
      <c r="T129" s="72">
        <v>1</v>
      </c>
      <c r="U129">
        <v>0</v>
      </c>
      <c r="V129" s="31">
        <v>0</v>
      </c>
      <c r="W129" s="31">
        <v>0</v>
      </c>
      <c r="X129" s="33">
        <v>24.88</v>
      </c>
      <c r="Y129" s="29">
        <v>24.88</v>
      </c>
      <c r="Z129" s="29">
        <v>24.88</v>
      </c>
      <c r="AA129" s="35">
        <v>44515</v>
      </c>
      <c r="AB129" s="27"/>
      <c r="AC129" s="27">
        <v>20</v>
      </c>
      <c r="AD129" s="58">
        <v>24.88</v>
      </c>
      <c r="AE129" s="31">
        <v>4.976</v>
      </c>
      <c r="AF129" t="b">
        <v>0</v>
      </c>
      <c r="AG129" s="78">
        <v>-24.88</v>
      </c>
    </row>
    <row r="130" spans="1:33" x14ac:dyDescent="0.25">
      <c r="A130" t="str">
        <f t="shared" si="6"/>
        <v>2021-129</v>
      </c>
      <c r="B130" s="1">
        <f t="shared" si="7"/>
        <v>44440</v>
      </c>
      <c r="C130" t="str">
        <f t="shared" si="8"/>
        <v>21/9801/VS00473/Bontus Immobilienverwaltung GmbH, 1010 Wien, Franz Josefs Kai 65</v>
      </c>
      <c r="D130" t="str">
        <f t="shared" si="9"/>
        <v>Ausgaben</v>
      </c>
      <c r="E130" t="str">
        <f t="shared" si="9"/>
        <v>Miet- und Pachtaufwand, Leasing</v>
      </c>
      <c r="F130" s="117">
        <f t="shared" si="10"/>
        <v>564.55999999999995</v>
      </c>
      <c r="G130" t="str">
        <f t="shared" si="11"/>
        <v>20%</v>
      </c>
      <c r="I130" s="53">
        <v>2021</v>
      </c>
      <c r="J130" s="53">
        <v>129</v>
      </c>
      <c r="K130" s="71" t="s">
        <v>105</v>
      </c>
      <c r="L130" t="s">
        <v>691</v>
      </c>
      <c r="M130" s="9" t="s">
        <v>1588</v>
      </c>
      <c r="N130" s="1">
        <v>44440</v>
      </c>
      <c r="O130" t="s">
        <v>1113</v>
      </c>
      <c r="Q130" s="76"/>
      <c r="R130" t="b">
        <v>0</v>
      </c>
      <c r="S130" s="109">
        <v>470.46666666666664</v>
      </c>
      <c r="T130" s="72">
        <v>1</v>
      </c>
      <c r="U130">
        <v>20</v>
      </c>
      <c r="V130" s="31">
        <v>94.09333333333332</v>
      </c>
      <c r="W130" s="31">
        <v>94.09333333333332</v>
      </c>
      <c r="X130" s="33">
        <v>470.46666666666664</v>
      </c>
      <c r="Y130" s="29">
        <v>564.55999999999995</v>
      </c>
      <c r="Z130" s="29">
        <v>564.55999999999995</v>
      </c>
      <c r="AA130" s="35">
        <v>44515</v>
      </c>
      <c r="AB130" s="27"/>
      <c r="AC130" s="27"/>
      <c r="AD130" s="58">
        <v>470.46666666666664</v>
      </c>
      <c r="AE130" s="31">
        <v>0</v>
      </c>
      <c r="AF130" t="b">
        <v>0</v>
      </c>
      <c r="AG130" s="78">
        <v>-470.46666666666664</v>
      </c>
    </row>
    <row r="131" spans="1:33" x14ac:dyDescent="0.25">
      <c r="A131" t="str">
        <f t="shared" ref="A131:A194" si="12">I131&amp;"-"&amp;J131</f>
        <v>2021-130</v>
      </c>
      <c r="B131" s="1">
        <f t="shared" ref="B131:B194" si="13">N131</f>
        <v>44441</v>
      </c>
      <c r="C131" t="str">
        <f t="shared" ref="C131:C194" si="14">M131&amp;"/"&amp;O131</f>
        <v>6227980180/Hutchison Drei Austria GmbH, Brünner Straße 52, 1210 Wien, Österreich</v>
      </c>
      <c r="D131" t="str">
        <f t="shared" ref="D131:E194" si="15">K131</f>
        <v>Ausgaben</v>
      </c>
      <c r="E131" t="str">
        <f t="shared" si="15"/>
        <v>Telefon/Internet</v>
      </c>
      <c r="F131" s="117">
        <f t="shared" ref="F131:F194" si="16">Z131</f>
        <v>18</v>
      </c>
      <c r="G131" t="str">
        <f t="shared" ref="G131:G194" si="17">U131&amp;"%"</f>
        <v>20%</v>
      </c>
      <c r="I131" s="53">
        <v>2021</v>
      </c>
      <c r="J131" s="53">
        <v>130</v>
      </c>
      <c r="K131" s="71" t="s">
        <v>105</v>
      </c>
      <c r="L131" t="s">
        <v>703</v>
      </c>
      <c r="M131" s="9" t="s">
        <v>1577</v>
      </c>
      <c r="N131" s="1">
        <v>44441</v>
      </c>
      <c r="O131" t="s">
        <v>34</v>
      </c>
      <c r="Q131" s="76"/>
      <c r="R131" t="b">
        <v>0</v>
      </c>
      <c r="S131" s="48">
        <v>15</v>
      </c>
      <c r="T131" s="72">
        <v>1</v>
      </c>
      <c r="U131">
        <v>20</v>
      </c>
      <c r="V131" s="31">
        <v>3</v>
      </c>
      <c r="W131" s="31">
        <v>3</v>
      </c>
      <c r="X131" s="33">
        <v>15</v>
      </c>
      <c r="Y131" s="29">
        <v>18</v>
      </c>
      <c r="Z131" s="29">
        <v>18</v>
      </c>
      <c r="AA131" s="35">
        <v>44515</v>
      </c>
      <c r="AB131" s="27"/>
      <c r="AC131" s="27"/>
      <c r="AD131" s="58">
        <v>15</v>
      </c>
      <c r="AE131" s="31">
        <v>0</v>
      </c>
      <c r="AF131" t="b">
        <v>0</v>
      </c>
      <c r="AG131" s="78">
        <v>-15</v>
      </c>
    </row>
    <row r="132" spans="1:33" x14ac:dyDescent="0.25">
      <c r="A132" t="str">
        <f t="shared" si="12"/>
        <v>2021-131</v>
      </c>
      <c r="B132" s="1">
        <f t="shared" si="13"/>
        <v>44442</v>
      </c>
      <c r="C132" t="str">
        <f t="shared" si="14"/>
        <v>60793/100/2021/easy green energy GmbH &amp; Co KG</v>
      </c>
      <c r="D132" t="str">
        <f t="shared" si="15"/>
        <v>Ausgaben</v>
      </c>
      <c r="E132" t="str">
        <f t="shared" si="15"/>
        <v>sonstige Betriebsausgaben</v>
      </c>
      <c r="F132" s="117">
        <f t="shared" si="16"/>
        <v>3</v>
      </c>
      <c r="G132" t="str">
        <f t="shared" si="17"/>
        <v>20%</v>
      </c>
      <c r="I132" s="53">
        <v>2021</v>
      </c>
      <c r="J132" s="53">
        <v>131</v>
      </c>
      <c r="K132" s="71" t="s">
        <v>105</v>
      </c>
      <c r="L132" t="s">
        <v>705</v>
      </c>
      <c r="M132" s="9" t="s">
        <v>1505</v>
      </c>
      <c r="N132" s="1">
        <v>44442</v>
      </c>
      <c r="O132" t="s">
        <v>1364</v>
      </c>
      <c r="Q132" s="76"/>
      <c r="R132" t="b">
        <v>0</v>
      </c>
      <c r="S132" s="48">
        <v>2.5</v>
      </c>
      <c r="T132" s="72">
        <v>1</v>
      </c>
      <c r="U132">
        <v>20</v>
      </c>
      <c r="V132" s="31">
        <v>0.5</v>
      </c>
      <c r="W132" s="31">
        <v>0.5</v>
      </c>
      <c r="X132" s="33">
        <v>2.5</v>
      </c>
      <c r="Y132" s="29">
        <v>3</v>
      </c>
      <c r="Z132" s="29">
        <v>3</v>
      </c>
      <c r="AA132" s="35">
        <v>44515</v>
      </c>
      <c r="AB132" s="27"/>
      <c r="AC132" s="27"/>
      <c r="AD132" s="58">
        <v>2.5</v>
      </c>
      <c r="AE132" s="31">
        <v>0</v>
      </c>
      <c r="AF132" t="b">
        <v>0</v>
      </c>
      <c r="AG132" s="78">
        <v>-2.5</v>
      </c>
    </row>
    <row r="133" spans="1:33" x14ac:dyDescent="0.25">
      <c r="A133" t="str">
        <f t="shared" si="12"/>
        <v>2021-132</v>
      </c>
      <c r="B133" s="1">
        <f t="shared" si="13"/>
        <v>44442</v>
      </c>
      <c r="C133" t="str">
        <f t="shared" si="14"/>
        <v>INVCZ4061060/JetBrains s.r.o, Kavci Hory Office Park, Na hrebenech II 1718/10, Praha 4- Nusle 14000, Ceska republika</v>
      </c>
      <c r="D133" t="str">
        <f t="shared" si="15"/>
        <v>Ausgaben</v>
      </c>
      <c r="E133" t="str">
        <f t="shared" si="15"/>
        <v>Lizenzgebühren</v>
      </c>
      <c r="F133" s="117">
        <f t="shared" si="16"/>
        <v>63.6</v>
      </c>
      <c r="G133" t="str">
        <f t="shared" si="17"/>
        <v>20%</v>
      </c>
      <c r="I133" s="53">
        <v>2021</v>
      </c>
      <c r="J133" s="53">
        <v>132</v>
      </c>
      <c r="K133" s="71" t="s">
        <v>105</v>
      </c>
      <c r="L133" t="s">
        <v>692</v>
      </c>
      <c r="M133" s="9" t="s">
        <v>1578</v>
      </c>
      <c r="N133" s="1">
        <v>44442</v>
      </c>
      <c r="O133" t="s">
        <v>1403</v>
      </c>
      <c r="Q133" s="76"/>
      <c r="R133" t="b">
        <v>0</v>
      </c>
      <c r="S133" s="48">
        <v>53</v>
      </c>
      <c r="T133" s="72">
        <v>1</v>
      </c>
      <c r="U133">
        <v>20</v>
      </c>
      <c r="V133" s="31">
        <v>10.6</v>
      </c>
      <c r="W133" s="31">
        <v>10.6</v>
      </c>
      <c r="X133" s="33">
        <v>53</v>
      </c>
      <c r="Y133" s="29">
        <v>63.6</v>
      </c>
      <c r="Z133" s="29">
        <v>63.6</v>
      </c>
      <c r="AA133" s="35">
        <v>44515</v>
      </c>
      <c r="AB133" s="27"/>
      <c r="AC133" s="27"/>
      <c r="AD133" s="58">
        <v>53</v>
      </c>
      <c r="AE133" s="31">
        <v>0</v>
      </c>
      <c r="AF133" t="b">
        <v>0</v>
      </c>
      <c r="AG133" s="78">
        <v>-53</v>
      </c>
    </row>
    <row r="134" spans="1:33" x14ac:dyDescent="0.25">
      <c r="A134" t="str">
        <f t="shared" si="12"/>
        <v>2021-133</v>
      </c>
      <c r="B134" s="1">
        <f t="shared" si="13"/>
        <v>44445</v>
      </c>
      <c r="C134" t="str">
        <f t="shared" si="14"/>
        <v>HKA/20-01-58835/Techem Messtechnik GmbH; Abnehmernummer 501686-0003-11-</v>
      </c>
      <c r="D134" t="str">
        <f t="shared" si="15"/>
        <v>Ausgaben</v>
      </c>
      <c r="E134" t="str">
        <f t="shared" si="15"/>
        <v>Miet- und Pachtaufwand, Leasing</v>
      </c>
      <c r="F134" s="117">
        <f t="shared" si="16"/>
        <v>88.8</v>
      </c>
      <c r="G134" t="str">
        <f t="shared" si="17"/>
        <v>20%</v>
      </c>
      <c r="I134" s="53">
        <v>2021</v>
      </c>
      <c r="J134" s="53">
        <v>133</v>
      </c>
      <c r="K134" s="71" t="s">
        <v>105</v>
      </c>
      <c r="L134" t="s">
        <v>691</v>
      </c>
      <c r="M134" s="9" t="s">
        <v>1566</v>
      </c>
      <c r="N134" s="1">
        <v>44445</v>
      </c>
      <c r="O134" t="s">
        <v>1558</v>
      </c>
      <c r="Q134" s="76"/>
      <c r="R134" t="b">
        <v>0</v>
      </c>
      <c r="S134" s="109">
        <v>74</v>
      </c>
      <c r="T134" s="72">
        <v>1</v>
      </c>
      <c r="U134">
        <v>20</v>
      </c>
      <c r="V134" s="31">
        <v>14.8</v>
      </c>
      <c r="W134" s="31">
        <v>14.8</v>
      </c>
      <c r="X134" s="33">
        <v>74</v>
      </c>
      <c r="Y134" s="29">
        <v>88.8</v>
      </c>
      <c r="Z134" s="29">
        <v>88.8</v>
      </c>
      <c r="AA134" s="35">
        <v>44515</v>
      </c>
      <c r="AB134" s="27"/>
      <c r="AC134" s="27"/>
      <c r="AD134" s="58">
        <v>74</v>
      </c>
      <c r="AE134" s="31">
        <v>0</v>
      </c>
      <c r="AF134" t="b">
        <v>0</v>
      </c>
      <c r="AG134" s="78">
        <v>-74</v>
      </c>
    </row>
    <row r="135" spans="1:33" x14ac:dyDescent="0.25">
      <c r="A135" t="str">
        <f t="shared" si="12"/>
        <v>2021-134</v>
      </c>
      <c r="B135" s="1">
        <f t="shared" si="13"/>
        <v>44445</v>
      </c>
      <c r="C135" t="str">
        <f t="shared" si="14"/>
        <v>3965149853/Google Ireland Ltd, Gordon House, Barrow Street, Dublin 4, Ireland; VAT number: IE 6388047V</v>
      </c>
      <c r="D135" t="str">
        <f t="shared" si="15"/>
        <v>Ausgaben</v>
      </c>
      <c r="E135" t="str">
        <f t="shared" si="15"/>
        <v>sonstige Betriebsausgaben</v>
      </c>
      <c r="F135" s="117">
        <f t="shared" si="16"/>
        <v>10.039999999999999</v>
      </c>
      <c r="G135" t="str">
        <f t="shared" si="17"/>
        <v>0%</v>
      </c>
      <c r="I135" s="53">
        <v>2021</v>
      </c>
      <c r="J135" s="53">
        <v>134</v>
      </c>
      <c r="K135" s="71" t="s">
        <v>105</v>
      </c>
      <c r="L135" t="s">
        <v>705</v>
      </c>
      <c r="M135" s="9" t="s">
        <v>1639</v>
      </c>
      <c r="N135" s="1">
        <v>44445</v>
      </c>
      <c r="O135" t="s">
        <v>1404</v>
      </c>
      <c r="Q135" s="76"/>
      <c r="R135" t="b">
        <v>0</v>
      </c>
      <c r="S135" s="109">
        <v>10.039999999999999</v>
      </c>
      <c r="T135" s="72">
        <v>1</v>
      </c>
      <c r="U135">
        <v>0</v>
      </c>
      <c r="V135" s="31">
        <v>0</v>
      </c>
      <c r="W135" s="31">
        <v>0</v>
      </c>
      <c r="X135" s="33">
        <v>10.039999999999999</v>
      </c>
      <c r="Y135" s="29">
        <v>10.039999999999999</v>
      </c>
      <c r="Z135" s="29">
        <v>10.039999999999999</v>
      </c>
      <c r="AA135" s="35">
        <v>44515</v>
      </c>
      <c r="AB135" s="27"/>
      <c r="AC135" s="27">
        <v>20</v>
      </c>
      <c r="AD135" s="58">
        <v>10.039999999999999</v>
      </c>
      <c r="AE135" s="31">
        <v>2.008</v>
      </c>
      <c r="AF135" t="b">
        <v>0</v>
      </c>
      <c r="AG135" s="78">
        <v>-10.039999999999999</v>
      </c>
    </row>
    <row r="136" spans="1:33" x14ac:dyDescent="0.25">
      <c r="A136" t="str">
        <f t="shared" si="12"/>
        <v>2021-135</v>
      </c>
      <c r="B136" s="1">
        <f t="shared" si="13"/>
        <v>44447</v>
      </c>
      <c r="C136" t="str">
        <f t="shared" si="14"/>
        <v>R0014075709/Hetzner Online GmbH</v>
      </c>
      <c r="D136" t="str">
        <f t="shared" si="15"/>
        <v>Ausgaben</v>
      </c>
      <c r="E136" t="str">
        <f t="shared" si="15"/>
        <v>sonstige Betriebsausgaben</v>
      </c>
      <c r="F136" s="117">
        <f t="shared" si="16"/>
        <v>2.4900000000000002</v>
      </c>
      <c r="G136" t="str">
        <f t="shared" si="17"/>
        <v>0%</v>
      </c>
      <c r="I136" s="53">
        <v>2021</v>
      </c>
      <c r="J136" s="53">
        <v>135</v>
      </c>
      <c r="K136" s="71" t="s">
        <v>105</v>
      </c>
      <c r="L136" t="s">
        <v>705</v>
      </c>
      <c r="M136" s="9" t="s">
        <v>1579</v>
      </c>
      <c r="N136" s="1">
        <v>44447</v>
      </c>
      <c r="O136" t="s">
        <v>927</v>
      </c>
      <c r="Q136" s="76" t="s">
        <v>958</v>
      </c>
      <c r="R136" t="b">
        <v>0</v>
      </c>
      <c r="S136" s="48">
        <v>2.4900000000000002</v>
      </c>
      <c r="T136" s="72">
        <v>1</v>
      </c>
      <c r="U136">
        <v>0</v>
      </c>
      <c r="V136" s="31">
        <v>0</v>
      </c>
      <c r="W136" s="31">
        <v>0</v>
      </c>
      <c r="X136" s="33">
        <v>2.4900000000000002</v>
      </c>
      <c r="Y136" s="29">
        <v>2.4900000000000002</v>
      </c>
      <c r="Z136" s="29">
        <v>2.4900000000000002</v>
      </c>
      <c r="AA136" s="35">
        <v>44515</v>
      </c>
      <c r="AB136" s="27"/>
      <c r="AC136" s="27">
        <v>20</v>
      </c>
      <c r="AD136" s="58">
        <v>2.4900000000000002</v>
      </c>
      <c r="AE136" s="31">
        <v>0.49800000000000005</v>
      </c>
      <c r="AF136" t="b">
        <v>0</v>
      </c>
      <c r="AG136" s="78">
        <v>-2.4900000000000002</v>
      </c>
    </row>
    <row r="137" spans="1:33" x14ac:dyDescent="0.25">
      <c r="A137" t="str">
        <f t="shared" si="12"/>
        <v>2021-136</v>
      </c>
      <c r="B137" s="1">
        <f t="shared" si="13"/>
        <v>44449</v>
      </c>
      <c r="C137" t="str">
        <f t="shared" si="14"/>
        <v>5137082649/Wiener Netze GmbH, Erdbergstraße 236, 1110 Wien, Postfach 422; Jahresabrechnung vom 17.12.20: GUTSCHRIFT</v>
      </c>
      <c r="D137" t="str">
        <f t="shared" si="15"/>
        <v>Ausgaben</v>
      </c>
      <c r="E137" t="str">
        <f t="shared" si="15"/>
        <v>sonstige Betriebsausgaben</v>
      </c>
      <c r="F137" s="117">
        <f t="shared" si="16"/>
        <v>15.6</v>
      </c>
      <c r="G137" t="str">
        <f t="shared" si="17"/>
        <v>20%</v>
      </c>
      <c r="I137" s="53">
        <v>2021</v>
      </c>
      <c r="J137" s="53">
        <v>136</v>
      </c>
      <c r="K137" s="71" t="s">
        <v>105</v>
      </c>
      <c r="L137" t="s">
        <v>705</v>
      </c>
      <c r="M137" s="9" t="s">
        <v>1465</v>
      </c>
      <c r="N137" s="1">
        <v>44449</v>
      </c>
      <c r="O137" t="s">
        <v>1466</v>
      </c>
      <c r="Q137" s="76"/>
      <c r="R137" t="b">
        <v>0</v>
      </c>
      <c r="S137" s="48">
        <v>13</v>
      </c>
      <c r="T137" s="72">
        <v>1</v>
      </c>
      <c r="U137">
        <v>20</v>
      </c>
      <c r="V137" s="31">
        <v>2.6</v>
      </c>
      <c r="W137" s="31">
        <v>2.6</v>
      </c>
      <c r="X137" s="33">
        <v>13</v>
      </c>
      <c r="Y137" s="29">
        <v>15.6</v>
      </c>
      <c r="Z137" s="29">
        <v>15.6</v>
      </c>
      <c r="AA137" s="35">
        <v>44515</v>
      </c>
      <c r="AB137" s="27"/>
      <c r="AC137" s="27"/>
      <c r="AD137" s="58">
        <v>13</v>
      </c>
      <c r="AE137" s="31">
        <v>0</v>
      </c>
      <c r="AF137" t="b">
        <v>0</v>
      </c>
      <c r="AG137" s="78">
        <v>-13</v>
      </c>
    </row>
    <row r="138" spans="1:33" x14ac:dyDescent="0.25">
      <c r="A138" t="str">
        <f t="shared" si="12"/>
        <v>2021-137</v>
      </c>
      <c r="B138" s="1">
        <f t="shared" si="13"/>
        <v>44452</v>
      </c>
      <c r="C138" t="str">
        <f t="shared" si="14"/>
        <v>R0014130118/Hetzner Online GmbH</v>
      </c>
      <c r="D138" t="str">
        <f t="shared" si="15"/>
        <v>Ausgaben</v>
      </c>
      <c r="E138" t="str">
        <f t="shared" si="15"/>
        <v>sonstige Betriebsausgaben</v>
      </c>
      <c r="F138" s="117">
        <f t="shared" si="16"/>
        <v>46.916800000000002</v>
      </c>
      <c r="G138" t="str">
        <f t="shared" si="17"/>
        <v>0%</v>
      </c>
      <c r="I138" s="53">
        <v>2021</v>
      </c>
      <c r="J138" s="53">
        <v>137</v>
      </c>
      <c r="K138" s="71" t="s">
        <v>105</v>
      </c>
      <c r="L138" t="s">
        <v>705</v>
      </c>
      <c r="M138" s="9" t="s">
        <v>1580</v>
      </c>
      <c r="N138" s="1">
        <v>44452</v>
      </c>
      <c r="O138" t="s">
        <v>927</v>
      </c>
      <c r="Q138" s="76"/>
      <c r="R138" t="b">
        <v>0</v>
      </c>
      <c r="S138" s="48">
        <v>46.916800000000002</v>
      </c>
      <c r="T138" s="72">
        <v>1</v>
      </c>
      <c r="U138">
        <v>0</v>
      </c>
      <c r="V138" s="31">
        <v>0</v>
      </c>
      <c r="W138" s="31">
        <v>0</v>
      </c>
      <c r="X138" s="33">
        <v>46.916800000000002</v>
      </c>
      <c r="Y138" s="29">
        <v>46.916800000000002</v>
      </c>
      <c r="Z138" s="29">
        <v>46.916800000000002</v>
      </c>
      <c r="AA138" s="35">
        <v>44515</v>
      </c>
      <c r="AB138" s="27"/>
      <c r="AC138" s="27">
        <v>20</v>
      </c>
      <c r="AD138" s="58">
        <v>46.916800000000002</v>
      </c>
      <c r="AE138" s="31">
        <v>9.3833600000000015</v>
      </c>
      <c r="AF138" t="b">
        <v>0</v>
      </c>
      <c r="AG138" s="78">
        <v>-46.916800000000002</v>
      </c>
    </row>
    <row r="139" spans="1:33" x14ac:dyDescent="0.25">
      <c r="A139" t="str">
        <f t="shared" si="12"/>
        <v>2021-138</v>
      </c>
      <c r="B139" s="1">
        <f t="shared" si="13"/>
        <v>44460</v>
      </c>
      <c r="C139" t="str">
        <f t="shared" si="14"/>
        <v>901185470921/Magenta: T-Mobile Austria GmbH, A-1120 Wien, PF 47</v>
      </c>
      <c r="D139" t="str">
        <f t="shared" si="15"/>
        <v>Ausgaben</v>
      </c>
      <c r="E139" t="str">
        <f t="shared" si="15"/>
        <v>Telefon/Internet</v>
      </c>
      <c r="F139" s="117">
        <f t="shared" si="16"/>
        <v>38.304000000000002</v>
      </c>
      <c r="G139" t="str">
        <f t="shared" si="17"/>
        <v>20%</v>
      </c>
      <c r="I139" s="53">
        <v>2021</v>
      </c>
      <c r="J139" s="53">
        <v>138</v>
      </c>
      <c r="K139" s="71" t="s">
        <v>105</v>
      </c>
      <c r="L139" t="s">
        <v>703</v>
      </c>
      <c r="M139" s="131" t="s">
        <v>1581</v>
      </c>
      <c r="N139" s="1">
        <v>44460</v>
      </c>
      <c r="O139" t="s">
        <v>1148</v>
      </c>
      <c r="Q139" s="76"/>
      <c r="R139" t="b">
        <v>0</v>
      </c>
      <c r="S139" s="48">
        <v>31.92</v>
      </c>
      <c r="T139" s="72">
        <v>1</v>
      </c>
      <c r="U139">
        <v>20</v>
      </c>
      <c r="V139" s="31">
        <v>6.3840000000000012</v>
      </c>
      <c r="W139" s="31">
        <v>6.3840000000000012</v>
      </c>
      <c r="X139" s="33">
        <v>31.92</v>
      </c>
      <c r="Y139" s="29">
        <v>38.304000000000002</v>
      </c>
      <c r="Z139" s="29">
        <v>38.304000000000002</v>
      </c>
      <c r="AA139" s="35">
        <v>44515</v>
      </c>
      <c r="AB139" s="27"/>
      <c r="AC139" s="27"/>
      <c r="AD139" s="58">
        <v>31.92</v>
      </c>
      <c r="AE139" s="31">
        <v>0</v>
      </c>
      <c r="AF139" t="b">
        <v>0</v>
      </c>
      <c r="AG139" s="78">
        <v>-31.92</v>
      </c>
    </row>
    <row r="140" spans="1:33" x14ac:dyDescent="0.25">
      <c r="A140" t="str">
        <f t="shared" si="12"/>
        <v>2021-139</v>
      </c>
      <c r="B140" s="1">
        <f t="shared" si="13"/>
        <v>44470</v>
      </c>
      <c r="C140" t="str">
        <f t="shared" si="14"/>
        <v>21/9801/VS00474/Bontus Immobilienverwaltung GmbH, 1010 Wien, Franz Josefs Kai 65</v>
      </c>
      <c r="D140" t="str">
        <f t="shared" si="15"/>
        <v>Ausgaben</v>
      </c>
      <c r="E140" t="str">
        <f t="shared" si="15"/>
        <v>Miet- und Pachtaufwand, Leasing</v>
      </c>
      <c r="F140" s="117">
        <f t="shared" si="16"/>
        <v>564.55999999999995</v>
      </c>
      <c r="G140" t="str">
        <f t="shared" si="17"/>
        <v>20%</v>
      </c>
      <c r="I140" s="53">
        <v>2021</v>
      </c>
      <c r="J140" s="53">
        <v>139</v>
      </c>
      <c r="K140" s="71" t="s">
        <v>105</v>
      </c>
      <c r="L140" t="s">
        <v>691</v>
      </c>
      <c r="M140" s="9" t="s">
        <v>1589</v>
      </c>
      <c r="N140" s="1">
        <v>44470</v>
      </c>
      <c r="O140" t="s">
        <v>1113</v>
      </c>
      <c r="Q140" s="76"/>
      <c r="R140" t="b">
        <v>0</v>
      </c>
      <c r="S140" s="109">
        <v>470.46666666666664</v>
      </c>
      <c r="T140" s="72">
        <v>1</v>
      </c>
      <c r="U140">
        <v>20</v>
      </c>
      <c r="V140" s="31">
        <v>94.09333333333332</v>
      </c>
      <c r="W140" s="31">
        <v>94.09333333333332</v>
      </c>
      <c r="X140" s="33">
        <v>470.46666666666664</v>
      </c>
      <c r="Y140" s="29">
        <v>564.55999999999995</v>
      </c>
      <c r="Z140" s="29">
        <v>564.55999999999995</v>
      </c>
      <c r="AA140" s="35">
        <v>44607</v>
      </c>
      <c r="AB140" s="27"/>
      <c r="AC140" s="27"/>
      <c r="AD140" s="58">
        <v>470.46666666666664</v>
      </c>
      <c r="AE140" s="31">
        <v>0</v>
      </c>
      <c r="AF140" t="b">
        <v>0</v>
      </c>
      <c r="AG140" s="78">
        <v>-470.46666666666664</v>
      </c>
    </row>
    <row r="141" spans="1:33" x14ac:dyDescent="0.25">
      <c r="A141" t="str">
        <f t="shared" si="12"/>
        <v>2021-140</v>
      </c>
      <c r="B141" s="1">
        <f t="shared" si="13"/>
        <v>44470</v>
      </c>
      <c r="C141" t="str">
        <f t="shared" si="14"/>
        <v>6229698678/Hutchison Drei Austria GmbH, Brünner Straße 52, 1210 Wien, Österreich</v>
      </c>
      <c r="D141" t="str">
        <f t="shared" si="15"/>
        <v>Ausgaben</v>
      </c>
      <c r="E141" t="str">
        <f t="shared" si="15"/>
        <v>Telefon/Internet</v>
      </c>
      <c r="F141" s="117">
        <f t="shared" si="16"/>
        <v>18</v>
      </c>
      <c r="G141" t="str">
        <f t="shared" si="17"/>
        <v>20%</v>
      </c>
      <c r="I141" s="53">
        <v>2021</v>
      </c>
      <c r="J141" s="53">
        <v>140</v>
      </c>
      <c r="K141" s="71" t="s">
        <v>105</v>
      </c>
      <c r="L141" t="s">
        <v>703</v>
      </c>
      <c r="M141" s="9" t="s">
        <v>1582</v>
      </c>
      <c r="N141" s="1">
        <v>44470</v>
      </c>
      <c r="O141" t="s">
        <v>34</v>
      </c>
      <c r="Q141" s="76"/>
      <c r="R141" t="b">
        <v>0</v>
      </c>
      <c r="S141" s="48">
        <v>15</v>
      </c>
      <c r="T141" s="72">
        <v>1</v>
      </c>
      <c r="U141">
        <v>20</v>
      </c>
      <c r="V141" s="31">
        <v>3</v>
      </c>
      <c r="W141" s="31">
        <v>3</v>
      </c>
      <c r="X141" s="33">
        <v>15</v>
      </c>
      <c r="Y141" s="29">
        <v>18</v>
      </c>
      <c r="Z141" s="29">
        <v>18</v>
      </c>
      <c r="AA141" s="35">
        <v>44607</v>
      </c>
      <c r="AB141" s="27"/>
      <c r="AC141" s="27"/>
      <c r="AD141" s="58">
        <v>15</v>
      </c>
      <c r="AE141" s="31">
        <v>0</v>
      </c>
      <c r="AF141" t="b">
        <v>0</v>
      </c>
      <c r="AG141" s="78">
        <v>-15</v>
      </c>
    </row>
    <row r="142" spans="1:33" x14ac:dyDescent="0.25">
      <c r="A142" t="str">
        <f t="shared" si="12"/>
        <v>2021-141</v>
      </c>
      <c r="B142" s="1">
        <f t="shared" si="13"/>
        <v>44470</v>
      </c>
      <c r="C142" t="str">
        <f t="shared" si="14"/>
        <v>4293000000022560/car2go Österreich GmbH, Hintere Zollamtstraße 9, 1030 Wien</v>
      </c>
      <c r="D142" t="str">
        <f t="shared" si="15"/>
        <v>Ausgaben</v>
      </c>
      <c r="E142" t="str">
        <f t="shared" si="15"/>
        <v>Reise- und Fahrtspesen inkl. Kilometergeld und Diäten</v>
      </c>
      <c r="F142" s="117">
        <f t="shared" si="16"/>
        <v>10.523999999999999</v>
      </c>
      <c r="G142" t="str">
        <f t="shared" si="17"/>
        <v>20%</v>
      </c>
      <c r="I142" s="53">
        <v>2021</v>
      </c>
      <c r="J142" s="53">
        <v>141</v>
      </c>
      <c r="K142" s="71" t="s">
        <v>105</v>
      </c>
      <c r="L142" t="s">
        <v>689</v>
      </c>
      <c r="M142" s="131" t="s">
        <v>1583</v>
      </c>
      <c r="N142" s="1">
        <v>44470</v>
      </c>
      <c r="O142" t="s">
        <v>974</v>
      </c>
      <c r="Q142" s="76"/>
      <c r="R142" t="b">
        <v>0</v>
      </c>
      <c r="S142" s="48">
        <v>8.77</v>
      </c>
      <c r="T142" s="72">
        <v>1</v>
      </c>
      <c r="U142">
        <v>20</v>
      </c>
      <c r="V142" s="31">
        <v>1.7539999999999998</v>
      </c>
      <c r="W142" s="31">
        <v>1.7539999999999998</v>
      </c>
      <c r="X142" s="33">
        <v>8.77</v>
      </c>
      <c r="Y142" s="29">
        <v>10.523999999999999</v>
      </c>
      <c r="Z142" s="29">
        <v>10.523999999999999</v>
      </c>
      <c r="AA142" s="35">
        <v>44607</v>
      </c>
      <c r="AB142" s="27"/>
      <c r="AC142" s="27"/>
      <c r="AD142" s="58">
        <v>8.77</v>
      </c>
      <c r="AE142" s="31">
        <v>0</v>
      </c>
      <c r="AF142" t="b">
        <v>0</v>
      </c>
      <c r="AG142" s="78">
        <v>-8.77</v>
      </c>
    </row>
    <row r="143" spans="1:33" x14ac:dyDescent="0.25">
      <c r="A143" t="str">
        <f t="shared" si="12"/>
        <v>2021-142</v>
      </c>
      <c r="B143" s="1">
        <f t="shared" si="13"/>
        <v>44470</v>
      </c>
      <c r="C143" t="str">
        <f t="shared" si="14"/>
        <v>12021025/Kolbitsch Engineering &amp; Consulting KNr 45</v>
      </c>
      <c r="D143" t="str">
        <f t="shared" si="15"/>
        <v>Einnahmen</v>
      </c>
      <c r="E143" t="str">
        <f t="shared" si="15"/>
        <v>Waren-/Leistungserlöse</v>
      </c>
      <c r="F143" s="117">
        <f t="shared" si="16"/>
        <v>480.6</v>
      </c>
      <c r="G143" t="str">
        <f t="shared" si="17"/>
        <v>20%</v>
      </c>
      <c r="I143" s="53">
        <v>2021</v>
      </c>
      <c r="J143" s="53">
        <v>142</v>
      </c>
      <c r="K143" s="71" t="s">
        <v>708</v>
      </c>
      <c r="L143" t="s">
        <v>709</v>
      </c>
      <c r="M143" s="9">
        <v>12021025</v>
      </c>
      <c r="N143" s="1">
        <v>44470</v>
      </c>
      <c r="O143" t="s">
        <v>1513</v>
      </c>
      <c r="Q143" s="76"/>
      <c r="R143" t="b">
        <v>0</v>
      </c>
      <c r="S143" s="48">
        <v>400.5</v>
      </c>
      <c r="T143" s="72">
        <v>1</v>
      </c>
      <c r="U143">
        <v>20</v>
      </c>
      <c r="V143" s="31">
        <v>80.099999999999994</v>
      </c>
      <c r="W143" s="31">
        <v>80.099999999999994</v>
      </c>
      <c r="X143" s="33">
        <v>400.5</v>
      </c>
      <c r="Y143" s="29">
        <v>480.6</v>
      </c>
      <c r="Z143" s="29">
        <v>480.6</v>
      </c>
      <c r="AA143" s="35">
        <v>44607</v>
      </c>
      <c r="AB143" s="27"/>
      <c r="AC143" s="27"/>
      <c r="AD143" s="58">
        <v>400.5</v>
      </c>
      <c r="AE143" s="31">
        <v>0</v>
      </c>
      <c r="AF143" t="b">
        <v>0</v>
      </c>
      <c r="AG143" s="78">
        <v>400.5</v>
      </c>
    </row>
    <row r="144" spans="1:33" x14ac:dyDescent="0.25">
      <c r="A144" t="str">
        <f t="shared" si="12"/>
        <v>2021-143</v>
      </c>
      <c r="B144" s="1">
        <f t="shared" si="13"/>
        <v>44470</v>
      </c>
      <c r="C144" t="str">
        <f t="shared" si="14"/>
        <v>12021024/ZT DI Dr. Arno Kolbitsch, Gütleweg 1, 6822 Satteins</v>
      </c>
      <c r="D144" t="str">
        <f t="shared" si="15"/>
        <v>Einnahmen</v>
      </c>
      <c r="E144" t="str">
        <f t="shared" si="15"/>
        <v>Waren-/Leistungserlöse</v>
      </c>
      <c r="F144" s="117">
        <f t="shared" si="16"/>
        <v>16843.103999999999</v>
      </c>
      <c r="G144" t="str">
        <f t="shared" si="17"/>
        <v>20%</v>
      </c>
      <c r="I144" s="53">
        <v>2021</v>
      </c>
      <c r="J144" s="53">
        <v>143</v>
      </c>
      <c r="K144" s="71" t="s">
        <v>708</v>
      </c>
      <c r="L144" t="s">
        <v>709</v>
      </c>
      <c r="M144" s="9">
        <v>12021024</v>
      </c>
      <c r="N144" s="1">
        <v>44470</v>
      </c>
      <c r="O144" t="s">
        <v>1038</v>
      </c>
      <c r="Q144" s="76"/>
      <c r="R144" t="b">
        <v>0</v>
      </c>
      <c r="S144" s="48">
        <v>14035.92</v>
      </c>
      <c r="T144" s="72">
        <v>1</v>
      </c>
      <c r="U144">
        <v>20</v>
      </c>
      <c r="V144" s="31">
        <v>2807.1840000000002</v>
      </c>
      <c r="W144" s="31">
        <v>2807.1840000000002</v>
      </c>
      <c r="X144" s="33">
        <v>14035.92</v>
      </c>
      <c r="Y144" s="29">
        <v>16843.103999999999</v>
      </c>
      <c r="Z144" s="29">
        <v>16843.103999999999</v>
      </c>
      <c r="AA144" s="35">
        <v>44607</v>
      </c>
      <c r="AB144" s="27"/>
      <c r="AC144" s="27"/>
      <c r="AD144" s="58">
        <v>14035.92</v>
      </c>
      <c r="AE144" s="31">
        <v>0</v>
      </c>
      <c r="AF144" t="b">
        <v>0</v>
      </c>
      <c r="AG144" s="78">
        <v>14035.92</v>
      </c>
    </row>
    <row r="145" spans="1:33" x14ac:dyDescent="0.25">
      <c r="A145" t="str">
        <f t="shared" si="12"/>
        <v>2021-144</v>
      </c>
      <c r="B145" s="1">
        <f t="shared" si="13"/>
        <v>44473</v>
      </c>
      <c r="C145" t="str">
        <f t="shared" si="14"/>
        <v>3996373128/Google Ireland Ltd, Gordon House, Barrow Street, Dublin 4, Ireland; VAT number: IE 6388047V</v>
      </c>
      <c r="D145" t="str">
        <f t="shared" si="15"/>
        <v>Ausgaben</v>
      </c>
      <c r="E145" t="str">
        <f t="shared" si="15"/>
        <v>sonstige Betriebsausgaben</v>
      </c>
      <c r="F145" s="117">
        <f t="shared" si="16"/>
        <v>10.4</v>
      </c>
      <c r="G145" t="str">
        <f t="shared" si="17"/>
        <v>0%</v>
      </c>
      <c r="I145" s="53">
        <v>2021</v>
      </c>
      <c r="J145" s="53">
        <v>144</v>
      </c>
      <c r="K145" s="71" t="s">
        <v>105</v>
      </c>
      <c r="L145" t="s">
        <v>705</v>
      </c>
      <c r="M145" s="144" t="s">
        <v>1638</v>
      </c>
      <c r="N145" s="1">
        <v>44473</v>
      </c>
      <c r="O145" t="s">
        <v>1404</v>
      </c>
      <c r="Q145" s="76"/>
      <c r="R145" t="b">
        <v>0</v>
      </c>
      <c r="S145" s="145">
        <v>10.4</v>
      </c>
      <c r="T145" s="72">
        <v>1</v>
      </c>
      <c r="U145">
        <v>0</v>
      </c>
      <c r="V145" s="31">
        <v>0</v>
      </c>
      <c r="W145" s="31">
        <v>0</v>
      </c>
      <c r="X145" s="33">
        <v>10.4</v>
      </c>
      <c r="Y145" s="29">
        <v>10.4</v>
      </c>
      <c r="Z145" s="29">
        <v>10.4</v>
      </c>
      <c r="AA145" s="35">
        <v>44607</v>
      </c>
      <c r="AB145" s="27"/>
      <c r="AC145" s="27">
        <v>20</v>
      </c>
      <c r="AD145" s="58">
        <v>10.4</v>
      </c>
      <c r="AE145" s="31">
        <v>2.08</v>
      </c>
      <c r="AF145" t="b">
        <v>0</v>
      </c>
      <c r="AG145" s="78">
        <v>-10.4</v>
      </c>
    </row>
    <row r="146" spans="1:33" x14ac:dyDescent="0.25">
      <c r="A146" t="str">
        <f t="shared" si="12"/>
        <v>2021-145</v>
      </c>
      <c r="B146" s="1">
        <f t="shared" si="13"/>
        <v>44474</v>
      </c>
      <c r="C146" t="str">
        <f t="shared" si="14"/>
        <v>R0014275284/Hetzner Online GmbH</v>
      </c>
      <c r="D146" t="str">
        <f t="shared" si="15"/>
        <v>Ausgaben</v>
      </c>
      <c r="E146" t="str">
        <f t="shared" si="15"/>
        <v>sonstige Betriebsausgaben</v>
      </c>
      <c r="F146" s="117">
        <f t="shared" si="16"/>
        <v>2.4900000000000002</v>
      </c>
      <c r="G146" t="str">
        <f t="shared" si="17"/>
        <v>0%</v>
      </c>
      <c r="I146" s="53">
        <v>2021</v>
      </c>
      <c r="J146" s="53">
        <v>145</v>
      </c>
      <c r="K146" s="71" t="s">
        <v>105</v>
      </c>
      <c r="L146" t="s">
        <v>705</v>
      </c>
      <c r="M146" s="9" t="s">
        <v>1584</v>
      </c>
      <c r="N146" s="1">
        <v>44474</v>
      </c>
      <c r="O146" t="s">
        <v>927</v>
      </c>
      <c r="Q146" s="76" t="s">
        <v>958</v>
      </c>
      <c r="R146" t="b">
        <v>0</v>
      </c>
      <c r="S146" s="48">
        <v>2.4900000000000002</v>
      </c>
      <c r="T146" s="72">
        <v>1</v>
      </c>
      <c r="U146">
        <v>0</v>
      </c>
      <c r="V146" s="31">
        <v>0</v>
      </c>
      <c r="W146" s="31">
        <v>0</v>
      </c>
      <c r="X146" s="33">
        <v>2.4900000000000002</v>
      </c>
      <c r="Y146" s="29">
        <v>2.4900000000000002</v>
      </c>
      <c r="Z146" s="29">
        <v>2.4900000000000002</v>
      </c>
      <c r="AA146" s="35">
        <v>44607</v>
      </c>
      <c r="AB146" s="27"/>
      <c r="AC146" s="27">
        <v>20</v>
      </c>
      <c r="AD146" s="58">
        <v>2.4900000000000002</v>
      </c>
      <c r="AE146" s="31">
        <v>0.49800000000000005</v>
      </c>
      <c r="AF146" t="b">
        <v>0</v>
      </c>
      <c r="AG146" s="78">
        <v>-2.4900000000000002</v>
      </c>
    </row>
    <row r="147" spans="1:33" x14ac:dyDescent="0.25">
      <c r="A147" t="str">
        <f t="shared" si="12"/>
        <v>2021-146</v>
      </c>
      <c r="B147" s="1">
        <f t="shared" si="13"/>
        <v>44474</v>
      </c>
      <c r="C147" t="str">
        <f t="shared" si="14"/>
        <v>60793/100/2021/easy green energy GmbH &amp; Co KG</v>
      </c>
      <c r="D147" t="str">
        <f t="shared" si="15"/>
        <v>Ausgaben</v>
      </c>
      <c r="E147" t="str">
        <f t="shared" si="15"/>
        <v>sonstige Betriebsausgaben</v>
      </c>
      <c r="F147" s="117">
        <f t="shared" si="16"/>
        <v>3</v>
      </c>
      <c r="G147" t="str">
        <f t="shared" si="17"/>
        <v>20%</v>
      </c>
      <c r="I147" s="53">
        <v>2021</v>
      </c>
      <c r="J147" s="53">
        <v>146</v>
      </c>
      <c r="K147" s="71" t="s">
        <v>105</v>
      </c>
      <c r="L147" t="s">
        <v>705</v>
      </c>
      <c r="M147" s="9" t="s">
        <v>1505</v>
      </c>
      <c r="N147" s="1">
        <v>44474</v>
      </c>
      <c r="O147" t="s">
        <v>1364</v>
      </c>
      <c r="Q147" s="76"/>
      <c r="R147" t="b">
        <v>0</v>
      </c>
      <c r="S147" s="48">
        <v>2.5</v>
      </c>
      <c r="T147" s="72">
        <v>1</v>
      </c>
      <c r="U147">
        <v>20</v>
      </c>
      <c r="V147" s="31">
        <v>0.5</v>
      </c>
      <c r="W147" s="31">
        <v>0.5</v>
      </c>
      <c r="X147" s="33">
        <v>2.5</v>
      </c>
      <c r="Y147" s="29">
        <v>3</v>
      </c>
      <c r="Z147" s="29">
        <v>3</v>
      </c>
      <c r="AA147" s="35">
        <v>44607</v>
      </c>
      <c r="AB147" s="27"/>
      <c r="AC147" s="27"/>
      <c r="AD147" s="58">
        <v>2.5</v>
      </c>
      <c r="AE147" s="31">
        <v>0</v>
      </c>
      <c r="AF147" t="b">
        <v>0</v>
      </c>
      <c r="AG147" s="78">
        <v>-2.5</v>
      </c>
    </row>
    <row r="148" spans="1:33" x14ac:dyDescent="0.25">
      <c r="A148" t="str">
        <f t="shared" si="12"/>
        <v>2021-147</v>
      </c>
      <c r="B148" s="1">
        <f t="shared" si="13"/>
        <v>44474</v>
      </c>
      <c r="C148" t="str">
        <f t="shared" si="14"/>
        <v>HKA/20-01-58835/Techem Messtechnik GmbH; Abnehmernummer 501686-0003-11-</v>
      </c>
      <c r="D148" t="str">
        <f t="shared" si="15"/>
        <v>Ausgaben</v>
      </c>
      <c r="E148" t="str">
        <f t="shared" si="15"/>
        <v>Miet- und Pachtaufwand, Leasing</v>
      </c>
      <c r="F148" s="117">
        <f t="shared" si="16"/>
        <v>88.8</v>
      </c>
      <c r="G148" t="str">
        <f t="shared" si="17"/>
        <v>20%</v>
      </c>
      <c r="I148" s="53">
        <v>2021</v>
      </c>
      <c r="J148" s="53">
        <v>147</v>
      </c>
      <c r="K148" s="71" t="s">
        <v>105</v>
      </c>
      <c r="L148" t="s">
        <v>691</v>
      </c>
      <c r="M148" s="9" t="s">
        <v>1566</v>
      </c>
      <c r="N148" s="1">
        <v>44474</v>
      </c>
      <c r="O148" t="s">
        <v>1558</v>
      </c>
      <c r="Q148" s="76"/>
      <c r="R148" t="b">
        <v>0</v>
      </c>
      <c r="S148" s="109">
        <v>74</v>
      </c>
      <c r="T148" s="72">
        <v>1</v>
      </c>
      <c r="U148">
        <v>20</v>
      </c>
      <c r="V148" s="31">
        <v>14.8</v>
      </c>
      <c r="W148" s="31">
        <v>14.8</v>
      </c>
      <c r="X148" s="33">
        <v>74</v>
      </c>
      <c r="Y148" s="29">
        <v>88.8</v>
      </c>
      <c r="Z148" s="29">
        <v>88.8</v>
      </c>
      <c r="AA148" s="35">
        <v>44607</v>
      </c>
      <c r="AB148" s="27"/>
      <c r="AC148" s="27"/>
      <c r="AD148" s="58">
        <v>74</v>
      </c>
      <c r="AE148" s="31">
        <v>0</v>
      </c>
      <c r="AF148" t="b">
        <v>0</v>
      </c>
      <c r="AG148" s="78">
        <v>-74</v>
      </c>
    </row>
    <row r="149" spans="1:33" x14ac:dyDescent="0.25">
      <c r="A149" t="str">
        <f t="shared" si="12"/>
        <v>2021-148</v>
      </c>
      <c r="B149" s="1">
        <f t="shared" si="13"/>
        <v>44480</v>
      </c>
      <c r="C149" t="str">
        <f t="shared" si="14"/>
        <v>5137082649/Wiener Netze GmbH, Erdbergstraße 236, 1110 Wien, Postfach 422; Jahresabrechnung vom 17.12.20: GUTSCHRIFT</v>
      </c>
      <c r="D149" t="str">
        <f t="shared" si="15"/>
        <v>Ausgaben</v>
      </c>
      <c r="E149" t="str">
        <f t="shared" si="15"/>
        <v>sonstige Betriebsausgaben</v>
      </c>
      <c r="F149" s="117">
        <f t="shared" si="16"/>
        <v>15.6</v>
      </c>
      <c r="G149" t="str">
        <f t="shared" si="17"/>
        <v>20%</v>
      </c>
      <c r="I149" s="53">
        <v>2021</v>
      </c>
      <c r="J149" s="53">
        <v>148</v>
      </c>
      <c r="K149" s="71" t="s">
        <v>105</v>
      </c>
      <c r="L149" t="s">
        <v>705</v>
      </c>
      <c r="M149" s="9" t="s">
        <v>1465</v>
      </c>
      <c r="N149" s="1">
        <v>44480</v>
      </c>
      <c r="O149" t="s">
        <v>1466</v>
      </c>
      <c r="Q149" s="76"/>
      <c r="R149" t="b">
        <v>0</v>
      </c>
      <c r="S149" s="48">
        <v>13</v>
      </c>
      <c r="T149" s="72">
        <v>1</v>
      </c>
      <c r="U149">
        <v>20</v>
      </c>
      <c r="V149" s="31">
        <v>2.6</v>
      </c>
      <c r="W149" s="31">
        <v>2.6</v>
      </c>
      <c r="X149" s="33">
        <v>13</v>
      </c>
      <c r="Y149" s="29">
        <v>15.6</v>
      </c>
      <c r="Z149" s="29">
        <v>15.6</v>
      </c>
      <c r="AA149" s="35">
        <v>44607</v>
      </c>
      <c r="AB149" s="27"/>
      <c r="AC149" s="27"/>
      <c r="AD149" s="58">
        <v>13</v>
      </c>
      <c r="AE149" s="31">
        <v>0</v>
      </c>
      <c r="AF149" t="b">
        <v>0</v>
      </c>
      <c r="AG149" s="78">
        <v>-13</v>
      </c>
    </row>
    <row r="150" spans="1:33" x14ac:dyDescent="0.25">
      <c r="A150" t="str">
        <f t="shared" si="12"/>
        <v>2021-149</v>
      </c>
      <c r="B150" s="1">
        <f t="shared" si="13"/>
        <v>44480</v>
      </c>
      <c r="C150" t="str">
        <f t="shared" si="14"/>
        <v>3293000011885509/car2go Österreich GmbH, Hintere Zollamtstraße 9, 1030 Wien</v>
      </c>
      <c r="D150" t="str">
        <f t="shared" si="15"/>
        <v>Ausgaben</v>
      </c>
      <c r="E150" t="str">
        <f t="shared" si="15"/>
        <v>Reise- und Fahrtspesen inkl. Kilometergeld und Diäten</v>
      </c>
      <c r="F150" s="117">
        <f t="shared" si="16"/>
        <v>4.9200000000000008</v>
      </c>
      <c r="G150" t="str">
        <f t="shared" si="17"/>
        <v>20%</v>
      </c>
      <c r="I150" s="53">
        <v>2021</v>
      </c>
      <c r="J150" s="53">
        <v>149</v>
      </c>
      <c r="K150" s="71" t="s">
        <v>105</v>
      </c>
      <c r="L150" t="s">
        <v>689</v>
      </c>
      <c r="M150" s="131" t="s">
        <v>1640</v>
      </c>
      <c r="N150" s="1">
        <v>44480</v>
      </c>
      <c r="O150" t="s">
        <v>974</v>
      </c>
      <c r="Q150" s="76"/>
      <c r="R150" t="b">
        <v>0</v>
      </c>
      <c r="S150" s="48">
        <v>4.1000000000000005</v>
      </c>
      <c r="T150" s="72">
        <v>1</v>
      </c>
      <c r="U150">
        <v>20</v>
      </c>
      <c r="V150" s="31">
        <v>0.82000000000000017</v>
      </c>
      <c r="W150" s="31">
        <v>0.82000000000000017</v>
      </c>
      <c r="X150" s="33">
        <v>4.1000000000000005</v>
      </c>
      <c r="Y150" s="29">
        <v>4.9200000000000008</v>
      </c>
      <c r="Z150" s="29">
        <v>4.9200000000000008</v>
      </c>
      <c r="AA150" s="35">
        <v>44607</v>
      </c>
      <c r="AB150" s="27"/>
      <c r="AC150" s="27"/>
      <c r="AD150" s="58">
        <v>4.1000000000000005</v>
      </c>
      <c r="AE150" s="31">
        <v>0</v>
      </c>
      <c r="AF150" t="b">
        <v>0</v>
      </c>
      <c r="AG150" s="78">
        <v>-4.1000000000000005</v>
      </c>
    </row>
    <row r="151" spans="1:33" x14ac:dyDescent="0.25">
      <c r="A151" t="str">
        <f t="shared" si="12"/>
        <v>2021-150</v>
      </c>
      <c r="B151" s="1">
        <f t="shared" si="13"/>
        <v>44482</v>
      </c>
      <c r="C151" t="str">
        <f t="shared" si="14"/>
        <v>12021026/Musikschule Bad Vöslau, Hauptstraße 14, 2540 Bad Vöslau</v>
      </c>
      <c r="D151" t="str">
        <f t="shared" si="15"/>
        <v>Einnahmen</v>
      </c>
      <c r="E151" t="str">
        <f t="shared" si="15"/>
        <v>Waren-/Leistungserlöse</v>
      </c>
      <c r="F151" s="117">
        <f t="shared" si="16"/>
        <v>1944</v>
      </c>
      <c r="G151" t="str">
        <f t="shared" si="17"/>
        <v>20%</v>
      </c>
      <c r="I151" s="53">
        <v>2021</v>
      </c>
      <c r="J151" s="53">
        <v>150</v>
      </c>
      <c r="K151" s="71" t="s">
        <v>708</v>
      </c>
      <c r="L151" t="s">
        <v>709</v>
      </c>
      <c r="M151" s="9">
        <v>12021026</v>
      </c>
      <c r="N151" s="1">
        <v>44482</v>
      </c>
      <c r="O151" t="s">
        <v>1384</v>
      </c>
      <c r="Q151" s="76"/>
      <c r="R151" t="b">
        <v>0</v>
      </c>
      <c r="S151" s="48">
        <v>1620</v>
      </c>
      <c r="T151" s="72">
        <v>1</v>
      </c>
      <c r="U151">
        <v>20</v>
      </c>
      <c r="V151" s="31">
        <v>324</v>
      </c>
      <c r="W151" s="31">
        <v>324</v>
      </c>
      <c r="X151" s="33">
        <v>1620</v>
      </c>
      <c r="Y151" s="29">
        <v>1944</v>
      </c>
      <c r="Z151" s="29">
        <v>1944</v>
      </c>
      <c r="AA151" s="35">
        <v>44607</v>
      </c>
      <c r="AB151" s="27"/>
      <c r="AC151" s="27"/>
      <c r="AD151" s="58">
        <v>1620</v>
      </c>
      <c r="AE151" s="31">
        <v>0</v>
      </c>
      <c r="AF151" t="b">
        <v>0</v>
      </c>
      <c r="AG151" s="78">
        <v>1620</v>
      </c>
    </row>
    <row r="152" spans="1:33" x14ac:dyDescent="0.25">
      <c r="A152" t="str">
        <f t="shared" si="12"/>
        <v>2021-151</v>
      </c>
      <c r="B152" s="1">
        <f t="shared" si="13"/>
        <v>44482</v>
      </c>
      <c r="C152" t="str">
        <f t="shared" si="14"/>
        <v>R0014331001/Hetzner Online GmbH</v>
      </c>
      <c r="D152" t="str">
        <f t="shared" si="15"/>
        <v>Ausgaben</v>
      </c>
      <c r="E152" t="str">
        <f t="shared" si="15"/>
        <v>sonstige Betriebsausgaben</v>
      </c>
      <c r="F152" s="117">
        <f t="shared" si="16"/>
        <v>46.916800000000002</v>
      </c>
      <c r="G152" t="str">
        <f t="shared" si="17"/>
        <v>0%</v>
      </c>
      <c r="I152" s="53">
        <v>2021</v>
      </c>
      <c r="J152" s="53">
        <v>151</v>
      </c>
      <c r="K152" s="71" t="s">
        <v>105</v>
      </c>
      <c r="L152" t="s">
        <v>705</v>
      </c>
      <c r="M152" s="9" t="s">
        <v>1585</v>
      </c>
      <c r="N152" s="1">
        <v>44482</v>
      </c>
      <c r="O152" t="s">
        <v>927</v>
      </c>
      <c r="Q152" s="76"/>
      <c r="R152" t="b">
        <v>0</v>
      </c>
      <c r="S152" s="48">
        <v>46.916800000000002</v>
      </c>
      <c r="T152" s="72">
        <v>1</v>
      </c>
      <c r="U152">
        <v>0</v>
      </c>
      <c r="V152" s="31">
        <v>0</v>
      </c>
      <c r="W152" s="31">
        <v>0</v>
      </c>
      <c r="X152" s="33">
        <v>46.916800000000002</v>
      </c>
      <c r="Y152" s="29">
        <v>46.916800000000002</v>
      </c>
      <c r="Z152" s="29">
        <v>46.916800000000002</v>
      </c>
      <c r="AA152" s="35">
        <v>44607</v>
      </c>
      <c r="AB152" s="27"/>
      <c r="AC152" s="27">
        <v>20</v>
      </c>
      <c r="AD152" s="58">
        <v>46.916800000000002</v>
      </c>
      <c r="AE152" s="31">
        <v>9.3833600000000015</v>
      </c>
      <c r="AF152" t="b">
        <v>0</v>
      </c>
      <c r="AG152" s="78">
        <v>-46.916800000000002</v>
      </c>
    </row>
    <row r="153" spans="1:33" x14ac:dyDescent="0.25">
      <c r="A153" t="str">
        <f t="shared" si="12"/>
        <v>2021-152</v>
      </c>
      <c r="B153" s="1">
        <f t="shared" si="13"/>
        <v>44490</v>
      </c>
      <c r="C153" t="str">
        <f t="shared" si="14"/>
        <v>67723833/Fontspring, 1813 Marsh Road, Suite H, Wilmington, DE 19810, USA; 105 USD</v>
      </c>
      <c r="D153" t="str">
        <f t="shared" si="15"/>
        <v>Ausgaben</v>
      </c>
      <c r="E153" t="str">
        <f t="shared" si="15"/>
        <v>Lizenzgebühren</v>
      </c>
      <c r="F153" s="117">
        <f t="shared" si="16"/>
        <v>92.11</v>
      </c>
      <c r="G153" t="str">
        <f t="shared" si="17"/>
        <v>0%</v>
      </c>
      <c r="I153" s="53">
        <v>2021</v>
      </c>
      <c r="J153" s="53">
        <v>152</v>
      </c>
      <c r="K153" s="71" t="s">
        <v>105</v>
      </c>
      <c r="L153" t="s">
        <v>692</v>
      </c>
      <c r="M153" s="9" t="s">
        <v>1591</v>
      </c>
      <c r="N153" s="1">
        <v>44490</v>
      </c>
      <c r="O153" t="s">
        <v>1592</v>
      </c>
      <c r="Q153" s="76" t="s">
        <v>958</v>
      </c>
      <c r="R153" t="b">
        <v>0</v>
      </c>
      <c r="S153" s="48">
        <v>92.11</v>
      </c>
      <c r="T153" s="72">
        <v>1</v>
      </c>
      <c r="U153">
        <v>0</v>
      </c>
      <c r="V153" s="31">
        <v>0</v>
      </c>
      <c r="W153" s="31">
        <v>0</v>
      </c>
      <c r="X153" s="33">
        <v>92.11</v>
      </c>
      <c r="Y153" s="29">
        <v>92.11</v>
      </c>
      <c r="Z153" s="29">
        <v>92.11</v>
      </c>
      <c r="AA153" s="35">
        <v>44607</v>
      </c>
      <c r="AB153" s="27"/>
      <c r="AC153" s="27"/>
      <c r="AD153" s="58">
        <v>92.11</v>
      </c>
      <c r="AE153" s="31">
        <v>0</v>
      </c>
      <c r="AF153" t="b">
        <v>0</v>
      </c>
      <c r="AG153" s="78">
        <v>-92.11</v>
      </c>
    </row>
    <row r="154" spans="1:33" x14ac:dyDescent="0.25">
      <c r="A154" t="str">
        <f t="shared" si="12"/>
        <v>2021-153</v>
      </c>
      <c r="B154" s="1">
        <f t="shared" si="13"/>
        <v>44490</v>
      </c>
      <c r="C154" t="str">
        <f t="shared" si="14"/>
        <v>901188321021/Magenta: T-Mobile Austria GmbH, A-1120 Wien, PF 47</v>
      </c>
      <c r="D154" t="str">
        <f t="shared" si="15"/>
        <v>Ausgaben</v>
      </c>
      <c r="E154" t="str">
        <f t="shared" si="15"/>
        <v>Telefon/Internet</v>
      </c>
      <c r="F154" s="117">
        <f t="shared" si="16"/>
        <v>38.304000000000002</v>
      </c>
      <c r="G154" t="str">
        <f t="shared" si="17"/>
        <v>20%</v>
      </c>
      <c r="I154" s="53">
        <v>2021</v>
      </c>
      <c r="J154" s="53">
        <v>153</v>
      </c>
      <c r="K154" s="71" t="s">
        <v>105</v>
      </c>
      <c r="L154" t="s">
        <v>703</v>
      </c>
      <c r="M154" s="131" t="s">
        <v>1593</v>
      </c>
      <c r="N154" s="1">
        <v>44490</v>
      </c>
      <c r="O154" t="s">
        <v>1148</v>
      </c>
      <c r="Q154" s="76"/>
      <c r="R154" t="b">
        <v>0</v>
      </c>
      <c r="S154" s="48">
        <v>31.92</v>
      </c>
      <c r="T154" s="72">
        <v>1</v>
      </c>
      <c r="U154">
        <v>20</v>
      </c>
      <c r="V154" s="31">
        <v>6.3840000000000012</v>
      </c>
      <c r="W154" s="31">
        <v>6.3840000000000012</v>
      </c>
      <c r="X154" s="33">
        <v>31.92</v>
      </c>
      <c r="Y154" s="29">
        <v>38.304000000000002</v>
      </c>
      <c r="Z154" s="29">
        <v>38.304000000000002</v>
      </c>
      <c r="AA154" s="35">
        <v>44607</v>
      </c>
      <c r="AB154" s="27"/>
      <c r="AC154" s="27"/>
      <c r="AD154" s="58">
        <v>31.92</v>
      </c>
      <c r="AE154" s="31">
        <v>0</v>
      </c>
      <c r="AF154" t="b">
        <v>0</v>
      </c>
      <c r="AG154" s="78">
        <v>-31.92</v>
      </c>
    </row>
    <row r="155" spans="1:33" x14ac:dyDescent="0.25">
      <c r="A155" t="str">
        <f t="shared" si="12"/>
        <v>2021-154</v>
      </c>
      <c r="B155" s="1">
        <f t="shared" si="13"/>
        <v>44494</v>
      </c>
      <c r="C155" t="str">
        <f t="shared" si="14"/>
        <v>3293000011951610/car2go Österreich GmbH, Hintere Zollamtstraße 9, 1030 Wien</v>
      </c>
      <c r="D155" t="str">
        <f t="shared" si="15"/>
        <v>Ausgaben</v>
      </c>
      <c r="E155" t="str">
        <f t="shared" si="15"/>
        <v>Reise- und Fahrtspesen inkl. Kilometergeld und Diäten</v>
      </c>
      <c r="F155" s="117">
        <f t="shared" si="16"/>
        <v>2.1720000000000002</v>
      </c>
      <c r="G155" t="str">
        <f t="shared" si="17"/>
        <v>20%</v>
      </c>
      <c r="I155" s="53">
        <v>2021</v>
      </c>
      <c r="J155" s="53">
        <v>154</v>
      </c>
      <c r="K155" s="71" t="s">
        <v>105</v>
      </c>
      <c r="L155" t="s">
        <v>689</v>
      </c>
      <c r="M155" s="131" t="s">
        <v>1594</v>
      </c>
      <c r="N155" s="1">
        <v>44494</v>
      </c>
      <c r="O155" t="s">
        <v>974</v>
      </c>
      <c r="Q155" s="76"/>
      <c r="R155" t="b">
        <v>0</v>
      </c>
      <c r="S155" s="48">
        <v>1.81</v>
      </c>
      <c r="T155" s="72">
        <v>1</v>
      </c>
      <c r="U155">
        <v>20</v>
      </c>
      <c r="V155" s="31">
        <v>0.36200000000000004</v>
      </c>
      <c r="W155" s="31">
        <v>0.36200000000000004</v>
      </c>
      <c r="X155" s="33">
        <v>1.81</v>
      </c>
      <c r="Y155" s="29">
        <v>2.1720000000000002</v>
      </c>
      <c r="Z155" s="29">
        <v>2.1720000000000002</v>
      </c>
      <c r="AA155" s="35">
        <v>44607</v>
      </c>
      <c r="AB155" s="27"/>
      <c r="AC155" s="27"/>
      <c r="AD155" s="58">
        <v>1.81</v>
      </c>
      <c r="AE155" s="31">
        <v>0</v>
      </c>
      <c r="AF155" t="b">
        <v>0</v>
      </c>
      <c r="AG155" s="78">
        <v>-1.81</v>
      </c>
    </row>
    <row r="156" spans="1:33" x14ac:dyDescent="0.25">
      <c r="A156" t="str">
        <f t="shared" si="12"/>
        <v>2021-155</v>
      </c>
      <c r="B156" s="1">
        <f t="shared" si="13"/>
        <v>44496</v>
      </c>
      <c r="C156" t="str">
        <f t="shared" si="14"/>
        <v>IEE2021009286377/Adobe Systems Software Ireland Ltd., 4-6 Riverwalk, Citywest Business Park, Dublin 24, Ireland, VAT ID IE6364992H</v>
      </c>
      <c r="D156" t="str">
        <f t="shared" si="15"/>
        <v>Ausgaben</v>
      </c>
      <c r="E156" t="str">
        <f t="shared" si="15"/>
        <v>Lizenzgebühren</v>
      </c>
      <c r="F156" s="117">
        <f t="shared" si="16"/>
        <v>20.28</v>
      </c>
      <c r="G156" t="str">
        <f t="shared" si="17"/>
        <v>0%</v>
      </c>
      <c r="I156" s="53">
        <v>2021</v>
      </c>
      <c r="J156" s="53">
        <v>155</v>
      </c>
      <c r="K156" s="71" t="s">
        <v>105</v>
      </c>
      <c r="L156" t="s">
        <v>692</v>
      </c>
      <c r="M156" s="9" t="s">
        <v>1596</v>
      </c>
      <c r="N156" s="1">
        <v>44496</v>
      </c>
      <c r="O156" t="s">
        <v>1595</v>
      </c>
      <c r="Q156" s="76"/>
      <c r="R156" t="b">
        <v>0</v>
      </c>
      <c r="S156" s="48">
        <v>20.28</v>
      </c>
      <c r="T156" s="72">
        <v>1</v>
      </c>
      <c r="U156">
        <v>0</v>
      </c>
      <c r="V156" s="31">
        <v>0</v>
      </c>
      <c r="W156" s="31">
        <v>0</v>
      </c>
      <c r="X156" s="33">
        <v>20.28</v>
      </c>
      <c r="Y156" s="29">
        <v>20.28</v>
      </c>
      <c r="Z156" s="29">
        <v>20.28</v>
      </c>
      <c r="AA156" s="35">
        <v>44607</v>
      </c>
      <c r="AB156" s="27"/>
      <c r="AC156" s="27">
        <v>20</v>
      </c>
      <c r="AD156" s="58">
        <v>20.28</v>
      </c>
      <c r="AE156" s="31">
        <v>4.056</v>
      </c>
      <c r="AF156" t="b">
        <v>0</v>
      </c>
      <c r="AG156" s="78">
        <v>-20.28</v>
      </c>
    </row>
    <row r="157" spans="1:33" x14ac:dyDescent="0.25">
      <c r="A157" t="str">
        <f t="shared" si="12"/>
        <v>2021-156</v>
      </c>
      <c r="B157" s="1">
        <f t="shared" si="13"/>
        <v>44502</v>
      </c>
      <c r="C157" t="str">
        <f t="shared" si="14"/>
        <v>4005917408/Google Ireland Ltd, Gordon House, Barrow Street, Dublin 4, Ireland; VAT number: IE 6388047V</v>
      </c>
      <c r="D157" t="str">
        <f t="shared" si="15"/>
        <v>Ausgaben</v>
      </c>
      <c r="E157" t="str">
        <f t="shared" si="15"/>
        <v>sonstige Betriebsausgaben</v>
      </c>
      <c r="F157" s="117">
        <f t="shared" si="16"/>
        <v>10.4</v>
      </c>
      <c r="G157" t="str">
        <f t="shared" si="17"/>
        <v>0%</v>
      </c>
      <c r="I157" s="53">
        <v>2021</v>
      </c>
      <c r="J157" s="53">
        <v>156</v>
      </c>
      <c r="K157" s="71" t="s">
        <v>105</v>
      </c>
      <c r="L157" t="s">
        <v>705</v>
      </c>
      <c r="M157" s="9" t="s">
        <v>1597</v>
      </c>
      <c r="N157" s="1">
        <v>44502</v>
      </c>
      <c r="O157" t="s">
        <v>1404</v>
      </c>
      <c r="Q157" s="76"/>
      <c r="R157" t="b">
        <v>0</v>
      </c>
      <c r="S157" s="109">
        <v>10.4</v>
      </c>
      <c r="T157" s="72">
        <v>1</v>
      </c>
      <c r="U157">
        <v>0</v>
      </c>
      <c r="V157" s="31">
        <v>0</v>
      </c>
      <c r="W157" s="31">
        <v>0</v>
      </c>
      <c r="X157" s="33">
        <v>10.4</v>
      </c>
      <c r="Y157" s="29">
        <v>10.4</v>
      </c>
      <c r="Z157" s="29">
        <v>10.4</v>
      </c>
      <c r="AA157" s="35">
        <v>44607</v>
      </c>
      <c r="AB157" s="27"/>
      <c r="AC157" s="27">
        <v>20</v>
      </c>
      <c r="AD157" s="58">
        <v>10.4</v>
      </c>
      <c r="AE157" s="31">
        <v>2.08</v>
      </c>
      <c r="AF157" t="b">
        <v>0</v>
      </c>
      <c r="AG157" s="78">
        <v>-10.4</v>
      </c>
    </row>
    <row r="158" spans="1:33" x14ac:dyDescent="0.25">
      <c r="A158" t="str">
        <f t="shared" si="12"/>
        <v>2021-157</v>
      </c>
      <c r="B158" s="1">
        <f t="shared" si="13"/>
        <v>44502</v>
      </c>
      <c r="C158" t="str">
        <f t="shared" si="14"/>
        <v>21/9801/VS00475/Bontus Immobilienverwaltung GmbH, 1010 Wien, Franz Josefs Kai 65</v>
      </c>
      <c r="D158" t="str">
        <f t="shared" si="15"/>
        <v>Ausgaben</v>
      </c>
      <c r="E158" t="str">
        <f t="shared" si="15"/>
        <v>Miet- und Pachtaufwand, Leasing</v>
      </c>
      <c r="F158" s="117">
        <f t="shared" si="16"/>
        <v>564.55999999999995</v>
      </c>
      <c r="G158" t="str">
        <f t="shared" si="17"/>
        <v>20%</v>
      </c>
      <c r="I158" s="53">
        <v>2021</v>
      </c>
      <c r="J158" s="53">
        <v>157</v>
      </c>
      <c r="K158" s="71" t="s">
        <v>105</v>
      </c>
      <c r="L158" t="s">
        <v>691</v>
      </c>
      <c r="M158" s="9" t="s">
        <v>1598</v>
      </c>
      <c r="N158" s="1">
        <v>44502</v>
      </c>
      <c r="O158" t="s">
        <v>1113</v>
      </c>
      <c r="Q158" s="76"/>
      <c r="R158" t="b">
        <v>0</v>
      </c>
      <c r="S158" s="109">
        <v>470.46666666666664</v>
      </c>
      <c r="T158" s="72">
        <v>1</v>
      </c>
      <c r="U158">
        <v>20</v>
      </c>
      <c r="V158" s="31">
        <v>94.09333333333332</v>
      </c>
      <c r="W158" s="31">
        <v>94.09333333333332</v>
      </c>
      <c r="X158" s="33">
        <v>470.46666666666664</v>
      </c>
      <c r="Y158" s="29">
        <v>564.55999999999995</v>
      </c>
      <c r="Z158" s="29">
        <v>564.55999999999995</v>
      </c>
      <c r="AA158" s="35">
        <v>44607</v>
      </c>
      <c r="AB158" s="27"/>
      <c r="AC158" s="27"/>
      <c r="AD158" s="58">
        <v>470.46666666666664</v>
      </c>
      <c r="AE158" s="31">
        <v>0</v>
      </c>
      <c r="AF158" t="b">
        <v>0</v>
      </c>
      <c r="AG158" s="78">
        <v>-470.46666666666664</v>
      </c>
    </row>
    <row r="159" spans="1:33" x14ac:dyDescent="0.25">
      <c r="A159" t="str">
        <f t="shared" si="12"/>
        <v>2021-158</v>
      </c>
      <c r="B159" s="1">
        <f t="shared" si="13"/>
        <v>44502</v>
      </c>
      <c r="C159" t="str">
        <f t="shared" si="14"/>
        <v>6231435320/Hutchison Drei Austria GmbH, Brünner Straße 52, 1210 Wien, Österreich</v>
      </c>
      <c r="D159" t="str">
        <f t="shared" si="15"/>
        <v>Ausgaben</v>
      </c>
      <c r="E159" t="str">
        <f t="shared" si="15"/>
        <v>Telefon/Internet</v>
      </c>
      <c r="F159" s="117">
        <f t="shared" si="16"/>
        <v>18</v>
      </c>
      <c r="G159" t="str">
        <f t="shared" si="17"/>
        <v>20%</v>
      </c>
      <c r="I159" s="53">
        <v>2021</v>
      </c>
      <c r="J159" s="53">
        <v>158</v>
      </c>
      <c r="K159" s="71" t="s">
        <v>105</v>
      </c>
      <c r="L159" t="s">
        <v>703</v>
      </c>
      <c r="M159" s="9" t="s">
        <v>1599</v>
      </c>
      <c r="N159" s="1">
        <v>44502</v>
      </c>
      <c r="O159" t="s">
        <v>34</v>
      </c>
      <c r="Q159" s="76"/>
      <c r="R159" t="b">
        <v>0</v>
      </c>
      <c r="S159" s="48">
        <v>15</v>
      </c>
      <c r="T159" s="72">
        <v>1</v>
      </c>
      <c r="U159">
        <v>20</v>
      </c>
      <c r="V159" s="31">
        <v>3</v>
      </c>
      <c r="W159" s="31">
        <v>3</v>
      </c>
      <c r="X159" s="33">
        <v>15</v>
      </c>
      <c r="Y159" s="29">
        <v>18</v>
      </c>
      <c r="Z159" s="29">
        <v>18</v>
      </c>
      <c r="AA159" s="35">
        <v>44607</v>
      </c>
      <c r="AB159" s="27"/>
      <c r="AC159" s="27"/>
      <c r="AD159" s="58">
        <v>15</v>
      </c>
      <c r="AE159" s="31">
        <v>0</v>
      </c>
      <c r="AF159" t="b">
        <v>0</v>
      </c>
      <c r="AG159" s="78">
        <v>-15</v>
      </c>
    </row>
    <row r="160" spans="1:33" x14ac:dyDescent="0.25">
      <c r="A160" t="str">
        <f t="shared" si="12"/>
        <v>2021-159</v>
      </c>
      <c r="B160" s="1">
        <f t="shared" si="13"/>
        <v>44502</v>
      </c>
      <c r="C160" t="str">
        <f t="shared" si="14"/>
        <v>4293000000022460/car2go Österreich GmbH, Hintere Zollamtstraße 9, 1030 Wien</v>
      </c>
      <c r="D160" t="str">
        <f t="shared" si="15"/>
        <v>Ausgaben</v>
      </c>
      <c r="E160" t="str">
        <f t="shared" si="15"/>
        <v>Reise- und Fahrtspesen inkl. Kilometergeld und Diäten</v>
      </c>
      <c r="F160" s="117">
        <f t="shared" si="16"/>
        <v>4.3440000000000003</v>
      </c>
      <c r="G160" t="str">
        <f t="shared" si="17"/>
        <v>20%</v>
      </c>
      <c r="I160" s="53">
        <v>2021</v>
      </c>
      <c r="J160" s="53">
        <v>159</v>
      </c>
      <c r="K160" s="71" t="s">
        <v>105</v>
      </c>
      <c r="L160" t="s">
        <v>689</v>
      </c>
      <c r="M160" s="131" t="s">
        <v>1600</v>
      </c>
      <c r="N160" s="1">
        <v>44502</v>
      </c>
      <c r="O160" t="s">
        <v>974</v>
      </c>
      <c r="Q160" s="76"/>
      <c r="R160" t="b">
        <v>0</v>
      </c>
      <c r="S160" s="48">
        <v>3.62</v>
      </c>
      <c r="T160" s="72">
        <v>1</v>
      </c>
      <c r="U160">
        <v>20</v>
      </c>
      <c r="V160" s="31">
        <v>0.72400000000000009</v>
      </c>
      <c r="W160" s="31">
        <v>0.72400000000000009</v>
      </c>
      <c r="X160" s="33">
        <v>3.62</v>
      </c>
      <c r="Y160" s="29">
        <v>4.3440000000000003</v>
      </c>
      <c r="Z160" s="29">
        <v>4.3440000000000003</v>
      </c>
      <c r="AA160" s="35">
        <v>44607</v>
      </c>
      <c r="AB160" s="27"/>
      <c r="AC160" s="27"/>
      <c r="AD160" s="58">
        <v>3.62</v>
      </c>
      <c r="AE160" s="31">
        <v>0</v>
      </c>
      <c r="AF160" t="b">
        <v>0</v>
      </c>
      <c r="AG160" s="78">
        <v>-3.62</v>
      </c>
    </row>
    <row r="161" spans="1:33" x14ac:dyDescent="0.25">
      <c r="A161" t="str">
        <f t="shared" si="12"/>
        <v>2021-160</v>
      </c>
      <c r="B161" s="1">
        <f t="shared" si="13"/>
        <v>44503</v>
      </c>
      <c r="C161" t="str">
        <f t="shared" si="14"/>
        <v>4293000000022463/car2go Österreich GmbH, Hintere Zollamtstraße 9, 1030 Wien</v>
      </c>
      <c r="D161" t="str">
        <f t="shared" si="15"/>
        <v>Ausgaben</v>
      </c>
      <c r="E161" t="str">
        <f t="shared" si="15"/>
        <v>Reise- und Fahrtspesen inkl. Kilometergeld und Diäten</v>
      </c>
      <c r="F161" s="117">
        <f t="shared" si="16"/>
        <v>3.24</v>
      </c>
      <c r="G161" t="str">
        <f t="shared" si="17"/>
        <v>20%</v>
      </c>
      <c r="I161" s="53">
        <v>2021</v>
      </c>
      <c r="J161" s="53">
        <v>160</v>
      </c>
      <c r="K161" s="71" t="s">
        <v>105</v>
      </c>
      <c r="L161" t="s">
        <v>689</v>
      </c>
      <c r="M161" s="131" t="s">
        <v>1601</v>
      </c>
      <c r="N161" s="1">
        <v>44503</v>
      </c>
      <c r="O161" t="s">
        <v>974</v>
      </c>
      <c r="Q161" s="76"/>
      <c r="R161" t="b">
        <v>0</v>
      </c>
      <c r="S161" s="48">
        <v>2.7</v>
      </c>
      <c r="T161" s="72">
        <v>1</v>
      </c>
      <c r="U161">
        <v>20</v>
      </c>
      <c r="V161" s="31">
        <v>0.54</v>
      </c>
      <c r="W161" s="31">
        <v>0.54</v>
      </c>
      <c r="X161" s="33">
        <v>2.7</v>
      </c>
      <c r="Y161" s="29">
        <v>3.24</v>
      </c>
      <c r="Z161" s="29">
        <v>3.24</v>
      </c>
      <c r="AA161" s="35">
        <v>44607</v>
      </c>
      <c r="AB161" s="27"/>
      <c r="AC161" s="27"/>
      <c r="AD161" s="58">
        <v>2.7</v>
      </c>
      <c r="AE161" s="31">
        <v>0</v>
      </c>
      <c r="AF161" t="b">
        <v>0</v>
      </c>
      <c r="AG161" s="78">
        <v>-2.7</v>
      </c>
    </row>
    <row r="162" spans="1:33" x14ac:dyDescent="0.25">
      <c r="A162" t="str">
        <f t="shared" si="12"/>
        <v>2021-161</v>
      </c>
      <c r="B162" s="1">
        <f t="shared" si="13"/>
        <v>44504</v>
      </c>
      <c r="C162" t="str">
        <f t="shared" si="14"/>
        <v>60793/100/2021/easy green energy GmbH &amp; Co KG</v>
      </c>
      <c r="D162" t="str">
        <f t="shared" si="15"/>
        <v>Ausgaben</v>
      </c>
      <c r="E162" t="str">
        <f t="shared" si="15"/>
        <v>sonstige Betriebsausgaben</v>
      </c>
      <c r="F162" s="117">
        <f t="shared" si="16"/>
        <v>3</v>
      </c>
      <c r="G162" t="str">
        <f t="shared" si="17"/>
        <v>20%</v>
      </c>
      <c r="I162" s="53">
        <v>2021</v>
      </c>
      <c r="J162" s="53">
        <v>161</v>
      </c>
      <c r="K162" s="71" t="s">
        <v>105</v>
      </c>
      <c r="L162" t="s">
        <v>705</v>
      </c>
      <c r="M162" s="9" t="s">
        <v>1505</v>
      </c>
      <c r="N162" s="1">
        <v>44504</v>
      </c>
      <c r="O162" t="s">
        <v>1364</v>
      </c>
      <c r="Q162" s="76"/>
      <c r="R162" t="b">
        <v>0</v>
      </c>
      <c r="S162" s="48">
        <v>2.5</v>
      </c>
      <c r="T162" s="72">
        <v>1</v>
      </c>
      <c r="U162">
        <v>20</v>
      </c>
      <c r="V162" s="31">
        <v>0.5</v>
      </c>
      <c r="W162" s="31">
        <v>0.5</v>
      </c>
      <c r="X162" s="33">
        <v>2.5</v>
      </c>
      <c r="Y162" s="29">
        <v>3</v>
      </c>
      <c r="Z162" s="29">
        <v>3</v>
      </c>
      <c r="AA162" s="35">
        <v>44607</v>
      </c>
      <c r="AB162" s="27"/>
      <c r="AC162" s="27"/>
      <c r="AD162" s="58">
        <v>2.5</v>
      </c>
      <c r="AE162" s="31">
        <v>0</v>
      </c>
      <c r="AF162" t="b">
        <v>0</v>
      </c>
      <c r="AG162" s="78">
        <v>-2.5</v>
      </c>
    </row>
    <row r="163" spans="1:33" x14ac:dyDescent="0.25">
      <c r="A163" t="str">
        <f t="shared" si="12"/>
        <v>2021-162</v>
      </c>
      <c r="B163" s="1">
        <f t="shared" si="13"/>
        <v>44505</v>
      </c>
      <c r="C163" t="str">
        <f t="shared" si="14"/>
        <v>HKA/20-01-58835/Techem Messtechnik GmbH; Abnehmernummer 501686-0003-11-</v>
      </c>
      <c r="D163" t="str">
        <f t="shared" si="15"/>
        <v>Ausgaben</v>
      </c>
      <c r="E163" t="str">
        <f t="shared" si="15"/>
        <v>Miet- und Pachtaufwand, Leasing</v>
      </c>
      <c r="F163" s="117">
        <f t="shared" si="16"/>
        <v>88.8</v>
      </c>
      <c r="G163" t="str">
        <f t="shared" si="17"/>
        <v>20%</v>
      </c>
      <c r="I163" s="53">
        <v>2021</v>
      </c>
      <c r="J163" s="53">
        <v>162</v>
      </c>
      <c r="K163" s="71" t="s">
        <v>105</v>
      </c>
      <c r="L163" t="s">
        <v>691</v>
      </c>
      <c r="M163" s="9" t="s">
        <v>1566</v>
      </c>
      <c r="N163" s="1">
        <v>44505</v>
      </c>
      <c r="O163" t="s">
        <v>1558</v>
      </c>
      <c r="Q163" s="76"/>
      <c r="R163" t="b">
        <v>0</v>
      </c>
      <c r="S163" s="109">
        <v>74</v>
      </c>
      <c r="T163" s="72">
        <v>1</v>
      </c>
      <c r="U163">
        <v>20</v>
      </c>
      <c r="V163" s="31">
        <v>14.8</v>
      </c>
      <c r="W163" s="31">
        <v>14.8</v>
      </c>
      <c r="X163" s="33">
        <v>74</v>
      </c>
      <c r="Y163" s="29">
        <v>88.8</v>
      </c>
      <c r="Z163" s="29">
        <v>88.8</v>
      </c>
      <c r="AA163" s="35">
        <v>44607</v>
      </c>
      <c r="AB163" s="27"/>
      <c r="AC163" s="27"/>
      <c r="AD163" s="58">
        <v>74</v>
      </c>
      <c r="AE163" s="31">
        <v>0</v>
      </c>
      <c r="AF163" t="b">
        <v>0</v>
      </c>
      <c r="AG163" s="78">
        <v>-74</v>
      </c>
    </row>
    <row r="164" spans="1:33" x14ac:dyDescent="0.25">
      <c r="A164" t="str">
        <f t="shared" si="12"/>
        <v>2021-163</v>
      </c>
      <c r="B164" s="1">
        <f t="shared" si="13"/>
        <v>44505</v>
      </c>
      <c r="C164" t="str">
        <f t="shared" si="14"/>
        <v>3293000012017639/car2go Österreich GmbH, Hintere Zollamtstraße 9, 1030 Wien</v>
      </c>
      <c r="D164" t="str">
        <f t="shared" si="15"/>
        <v>Ausgaben</v>
      </c>
      <c r="E164" t="str">
        <f t="shared" si="15"/>
        <v>Reise- und Fahrtspesen inkl. Kilometergeld und Diäten</v>
      </c>
      <c r="F164" s="117">
        <f t="shared" si="16"/>
        <v>4.032</v>
      </c>
      <c r="G164" t="str">
        <f t="shared" si="17"/>
        <v>20%</v>
      </c>
      <c r="I164" s="53">
        <v>2021</v>
      </c>
      <c r="J164" s="53">
        <v>163</v>
      </c>
      <c r="K164" s="71" t="s">
        <v>105</v>
      </c>
      <c r="L164" t="s">
        <v>689</v>
      </c>
      <c r="M164" s="131" t="s">
        <v>1602</v>
      </c>
      <c r="N164" s="1">
        <v>44505</v>
      </c>
      <c r="O164" t="s">
        <v>974</v>
      </c>
      <c r="Q164" s="76"/>
      <c r="R164" t="b">
        <v>0</v>
      </c>
      <c r="S164" s="48">
        <v>3.36</v>
      </c>
      <c r="T164" s="72">
        <v>1</v>
      </c>
      <c r="U164">
        <v>20</v>
      </c>
      <c r="V164" s="31">
        <v>0.67200000000000004</v>
      </c>
      <c r="W164" s="31">
        <v>0.67200000000000004</v>
      </c>
      <c r="X164" s="33">
        <v>3.36</v>
      </c>
      <c r="Y164" s="29">
        <v>4.032</v>
      </c>
      <c r="Z164" s="29">
        <v>4.032</v>
      </c>
      <c r="AA164" s="35">
        <v>44607</v>
      </c>
      <c r="AB164" s="27"/>
      <c r="AC164" s="27"/>
      <c r="AD164" s="58">
        <v>3.36</v>
      </c>
      <c r="AE164" s="31">
        <v>0</v>
      </c>
      <c r="AF164" t="b">
        <v>0</v>
      </c>
      <c r="AG164" s="78">
        <v>-3.36</v>
      </c>
    </row>
    <row r="165" spans="1:33" x14ac:dyDescent="0.25">
      <c r="A165" t="str">
        <f t="shared" si="12"/>
        <v>2021-164</v>
      </c>
      <c r="B165" s="1">
        <f t="shared" si="13"/>
        <v>44508</v>
      </c>
      <c r="C165" t="str">
        <f t="shared" si="14"/>
        <v>R0014477126/Hetzner Online GmbH</v>
      </c>
      <c r="D165" t="str">
        <f t="shared" si="15"/>
        <v>Ausgaben</v>
      </c>
      <c r="E165" t="str">
        <f t="shared" si="15"/>
        <v>sonstige Betriebsausgaben</v>
      </c>
      <c r="F165" s="117">
        <f t="shared" si="16"/>
        <v>2.4900000000000002</v>
      </c>
      <c r="G165" t="str">
        <f t="shared" si="17"/>
        <v>0%</v>
      </c>
      <c r="I165" s="53">
        <v>2021</v>
      </c>
      <c r="J165" s="53">
        <v>164</v>
      </c>
      <c r="K165" s="71" t="s">
        <v>105</v>
      </c>
      <c r="L165" t="s">
        <v>705</v>
      </c>
      <c r="M165" s="6" t="s">
        <v>1603</v>
      </c>
      <c r="N165" s="1">
        <v>44508</v>
      </c>
      <c r="O165" t="s">
        <v>927</v>
      </c>
      <c r="Q165" s="76" t="s">
        <v>958</v>
      </c>
      <c r="R165" t="b">
        <v>0</v>
      </c>
      <c r="S165" s="48">
        <v>2.4900000000000002</v>
      </c>
      <c r="T165" s="72">
        <v>1</v>
      </c>
      <c r="U165">
        <v>0</v>
      </c>
      <c r="V165" s="31">
        <v>0</v>
      </c>
      <c r="W165" s="31">
        <v>0</v>
      </c>
      <c r="X165" s="33">
        <v>2.4900000000000002</v>
      </c>
      <c r="Y165" s="29">
        <v>2.4900000000000002</v>
      </c>
      <c r="Z165" s="29">
        <v>2.4900000000000002</v>
      </c>
      <c r="AA165" s="35">
        <v>44607</v>
      </c>
      <c r="AB165" s="27"/>
      <c r="AC165" s="27">
        <v>20</v>
      </c>
      <c r="AD165" s="58">
        <v>2.4900000000000002</v>
      </c>
      <c r="AE165" s="31">
        <v>0.49800000000000005</v>
      </c>
      <c r="AF165" t="b">
        <v>0</v>
      </c>
      <c r="AG165" s="78">
        <v>-2.4900000000000002</v>
      </c>
    </row>
    <row r="166" spans="1:33" x14ac:dyDescent="0.25">
      <c r="A166" t="str">
        <f t="shared" si="12"/>
        <v>2021-165</v>
      </c>
      <c r="B166" s="1">
        <f t="shared" si="13"/>
        <v>44510</v>
      </c>
      <c r="C166" t="str">
        <f t="shared" si="14"/>
        <v>5137082649/Wiener Netze GmbH, Erdbergstraße 236, 1110 Wien, Postfach 422; Jahresabrechnung vom 17.12.20: GUTSCHRIFT</v>
      </c>
      <c r="D166" t="str">
        <f t="shared" si="15"/>
        <v>Ausgaben</v>
      </c>
      <c r="E166" t="str">
        <f t="shared" si="15"/>
        <v>sonstige Betriebsausgaben</v>
      </c>
      <c r="F166" s="117">
        <f t="shared" si="16"/>
        <v>15.6</v>
      </c>
      <c r="G166" t="str">
        <f t="shared" si="17"/>
        <v>20%</v>
      </c>
      <c r="I166" s="53">
        <v>2021</v>
      </c>
      <c r="J166" s="53">
        <v>165</v>
      </c>
      <c r="K166" s="71" t="s">
        <v>105</v>
      </c>
      <c r="L166" t="s">
        <v>705</v>
      </c>
      <c r="M166" s="9" t="s">
        <v>1465</v>
      </c>
      <c r="N166" s="1">
        <v>44510</v>
      </c>
      <c r="O166" t="s">
        <v>1466</v>
      </c>
      <c r="Q166" s="76"/>
      <c r="R166" t="b">
        <v>0</v>
      </c>
      <c r="S166" s="48">
        <v>13</v>
      </c>
      <c r="T166" s="72">
        <v>1</v>
      </c>
      <c r="U166">
        <v>20</v>
      </c>
      <c r="V166" s="31">
        <v>2.6</v>
      </c>
      <c r="W166" s="31">
        <v>2.6</v>
      </c>
      <c r="X166" s="33">
        <v>13</v>
      </c>
      <c r="Y166" s="29">
        <v>15.6</v>
      </c>
      <c r="Z166" s="29">
        <v>15.6</v>
      </c>
      <c r="AA166" s="35">
        <v>44607</v>
      </c>
      <c r="AB166" s="27"/>
      <c r="AC166" s="27"/>
      <c r="AD166" s="58">
        <v>13</v>
      </c>
      <c r="AE166" s="31">
        <v>0</v>
      </c>
      <c r="AF166" t="b">
        <v>0</v>
      </c>
      <c r="AG166" s="78">
        <v>-13</v>
      </c>
    </row>
    <row r="167" spans="1:33" x14ac:dyDescent="0.25">
      <c r="A167" t="str">
        <f t="shared" si="12"/>
        <v>2021-166</v>
      </c>
      <c r="B167" s="1">
        <f t="shared" si="13"/>
        <v>44511</v>
      </c>
      <c r="C167" t="str">
        <f t="shared" si="14"/>
        <v>R0014533637/Hetzner Online GmbH</v>
      </c>
      <c r="D167" t="str">
        <f t="shared" si="15"/>
        <v>Ausgaben</v>
      </c>
      <c r="E167" t="str">
        <f t="shared" si="15"/>
        <v>sonstige Betriebsausgaben</v>
      </c>
      <c r="F167" s="117">
        <f t="shared" si="16"/>
        <v>46.916800000000002</v>
      </c>
      <c r="G167" t="str">
        <f t="shared" si="17"/>
        <v>0%</v>
      </c>
      <c r="I167" s="53">
        <v>2021</v>
      </c>
      <c r="J167" s="53">
        <v>166</v>
      </c>
      <c r="K167" s="71" t="s">
        <v>105</v>
      </c>
      <c r="L167" t="s">
        <v>705</v>
      </c>
      <c r="M167" s="9" t="s">
        <v>1604</v>
      </c>
      <c r="N167" s="1">
        <v>44511</v>
      </c>
      <c r="O167" t="s">
        <v>927</v>
      </c>
      <c r="Q167" s="76"/>
      <c r="R167" t="b">
        <v>0</v>
      </c>
      <c r="S167" s="48">
        <v>46.916800000000002</v>
      </c>
      <c r="T167" s="72">
        <v>1</v>
      </c>
      <c r="U167">
        <v>0</v>
      </c>
      <c r="V167" s="31">
        <v>0</v>
      </c>
      <c r="W167" s="31">
        <v>0</v>
      </c>
      <c r="X167" s="33">
        <v>46.916800000000002</v>
      </c>
      <c r="Y167" s="29">
        <v>46.916800000000002</v>
      </c>
      <c r="Z167" s="29">
        <v>46.916800000000002</v>
      </c>
      <c r="AA167" s="35">
        <v>44607</v>
      </c>
      <c r="AB167" s="27"/>
      <c r="AC167" s="27">
        <v>20</v>
      </c>
      <c r="AD167" s="58">
        <v>46.916800000000002</v>
      </c>
      <c r="AE167" s="31">
        <v>9.3833600000000015</v>
      </c>
      <c r="AF167" t="b">
        <v>0</v>
      </c>
      <c r="AG167" s="78">
        <v>-46.916800000000002</v>
      </c>
    </row>
    <row r="168" spans="1:33" x14ac:dyDescent="0.25">
      <c r="A168" t="str">
        <f t="shared" si="12"/>
        <v>2021-167</v>
      </c>
      <c r="B168" s="1">
        <f t="shared" si="13"/>
        <v>44515</v>
      </c>
      <c r="C168" t="str">
        <f t="shared" si="14"/>
        <v>SRB20211110154912056/LPD Wien</v>
      </c>
      <c r="D168" t="str">
        <f t="shared" si="15"/>
        <v>Ausgaben</v>
      </c>
      <c r="E168" t="str">
        <f t="shared" si="15"/>
        <v>Porto/Gebühren</v>
      </c>
      <c r="F168" s="117">
        <f t="shared" si="16"/>
        <v>10.7</v>
      </c>
      <c r="G168" t="str">
        <f t="shared" si="17"/>
        <v>0%</v>
      </c>
      <c r="I168" s="53">
        <v>2021</v>
      </c>
      <c r="J168" s="53">
        <v>167</v>
      </c>
      <c r="K168" s="71" t="s">
        <v>105</v>
      </c>
      <c r="L168" t="s">
        <v>704</v>
      </c>
      <c r="M168" s="9" t="s">
        <v>1605</v>
      </c>
      <c r="N168" s="1">
        <v>44515</v>
      </c>
      <c r="O168" t="s">
        <v>1606</v>
      </c>
      <c r="Q168" s="76"/>
      <c r="R168" t="b">
        <v>0</v>
      </c>
      <c r="S168" s="48">
        <v>10.7</v>
      </c>
      <c r="T168" s="72">
        <v>1</v>
      </c>
      <c r="U168">
        <v>0</v>
      </c>
      <c r="V168" s="31">
        <v>0</v>
      </c>
      <c r="W168" s="31">
        <v>0</v>
      </c>
      <c r="X168" s="33">
        <v>10.7</v>
      </c>
      <c r="Y168" s="29">
        <v>10.7</v>
      </c>
      <c r="Z168" s="29">
        <v>10.7</v>
      </c>
      <c r="AA168" s="35">
        <v>44607</v>
      </c>
      <c r="AB168" s="27"/>
      <c r="AC168" s="27"/>
      <c r="AD168" s="58">
        <v>10.7</v>
      </c>
      <c r="AE168" s="31">
        <v>0</v>
      </c>
      <c r="AF168" t="b">
        <v>0</v>
      </c>
      <c r="AG168" s="78">
        <v>-10.7</v>
      </c>
    </row>
    <row r="169" spans="1:33" x14ac:dyDescent="0.25">
      <c r="A169" t="str">
        <f t="shared" si="12"/>
        <v>2021-168</v>
      </c>
      <c r="B169" s="1">
        <f t="shared" si="13"/>
        <v>44519</v>
      </c>
      <c r="C169" t="str">
        <f t="shared" si="14"/>
        <v>3293000012088420/car2go Österreich GmbH, Hintere Zollamtstraße 9, 1030 Wien</v>
      </c>
      <c r="D169" t="str">
        <f t="shared" si="15"/>
        <v>Ausgaben</v>
      </c>
      <c r="E169" t="str">
        <f t="shared" si="15"/>
        <v>Reise- und Fahrtspesen inkl. Kilometergeld und Diäten</v>
      </c>
      <c r="F169" s="117">
        <f t="shared" si="16"/>
        <v>5.7360000000000007</v>
      </c>
      <c r="G169" t="str">
        <f t="shared" si="17"/>
        <v>20%</v>
      </c>
      <c r="I169" s="53">
        <v>2021</v>
      </c>
      <c r="J169" s="53">
        <v>168</v>
      </c>
      <c r="K169" s="71" t="s">
        <v>105</v>
      </c>
      <c r="L169" t="s">
        <v>689</v>
      </c>
      <c r="M169" s="131" t="s">
        <v>1607</v>
      </c>
      <c r="N169" s="1">
        <v>44519</v>
      </c>
      <c r="O169" t="s">
        <v>974</v>
      </c>
      <c r="Q169" s="76"/>
      <c r="R169" t="b">
        <v>0</v>
      </c>
      <c r="S169" s="48">
        <v>4.78</v>
      </c>
      <c r="T169" s="72">
        <v>1</v>
      </c>
      <c r="U169">
        <v>20</v>
      </c>
      <c r="V169" s="31">
        <v>0.95600000000000007</v>
      </c>
      <c r="W169" s="31">
        <v>0.95600000000000007</v>
      </c>
      <c r="X169" s="33">
        <v>4.78</v>
      </c>
      <c r="Y169" s="29">
        <v>5.7360000000000007</v>
      </c>
      <c r="Z169" s="29">
        <v>5.7360000000000007</v>
      </c>
      <c r="AA169" s="35">
        <v>44607</v>
      </c>
      <c r="AB169" s="27"/>
      <c r="AC169" s="27"/>
      <c r="AD169" s="58">
        <v>4.78</v>
      </c>
      <c r="AE169" s="31">
        <v>0</v>
      </c>
      <c r="AF169" t="b">
        <v>0</v>
      </c>
      <c r="AG169" s="78">
        <v>-4.78</v>
      </c>
    </row>
    <row r="170" spans="1:33" x14ac:dyDescent="0.25">
      <c r="A170" t="str">
        <f t="shared" si="12"/>
        <v>2021-169</v>
      </c>
      <c r="B170" s="1">
        <f t="shared" si="13"/>
        <v>44519</v>
      </c>
      <c r="C170" t="str">
        <f t="shared" si="14"/>
        <v>12021023/Schick Küchendesign e.U. Alexander Schick, Linzerstraße 247, 1140 Wien</v>
      </c>
      <c r="D170" t="str">
        <f t="shared" si="15"/>
        <v>Einnahmen</v>
      </c>
      <c r="E170" t="str">
        <f t="shared" si="15"/>
        <v>Waren-/Leistungserlöse</v>
      </c>
      <c r="F170" s="117">
        <f t="shared" si="16"/>
        <v>702</v>
      </c>
      <c r="G170" t="str">
        <f t="shared" si="17"/>
        <v>20%</v>
      </c>
      <c r="I170" s="53">
        <v>2021</v>
      </c>
      <c r="J170" s="53">
        <v>169</v>
      </c>
      <c r="K170" s="71" t="s">
        <v>708</v>
      </c>
      <c r="L170" t="s">
        <v>709</v>
      </c>
      <c r="M170" s="6">
        <v>12021023</v>
      </c>
      <c r="N170" s="1">
        <v>44519</v>
      </c>
      <c r="O170" t="s">
        <v>983</v>
      </c>
      <c r="Q170" s="76"/>
      <c r="R170" t="b">
        <v>0</v>
      </c>
      <c r="S170" s="48">
        <v>585</v>
      </c>
      <c r="T170" s="72">
        <v>1</v>
      </c>
      <c r="U170">
        <v>20</v>
      </c>
      <c r="V170" s="31">
        <v>117</v>
      </c>
      <c r="W170" s="31">
        <v>117</v>
      </c>
      <c r="X170" s="33">
        <v>585</v>
      </c>
      <c r="Y170" s="29">
        <v>702</v>
      </c>
      <c r="Z170" s="29">
        <v>702</v>
      </c>
      <c r="AA170" s="35">
        <v>44607</v>
      </c>
      <c r="AB170" s="27"/>
      <c r="AC170" s="27"/>
      <c r="AD170" s="58">
        <v>585</v>
      </c>
      <c r="AE170" s="31">
        <v>0</v>
      </c>
      <c r="AF170" t="b">
        <v>0</v>
      </c>
      <c r="AG170" s="78">
        <v>585</v>
      </c>
    </row>
    <row r="171" spans="1:33" x14ac:dyDescent="0.25">
      <c r="A171" t="str">
        <f t="shared" si="12"/>
        <v>2021-170</v>
      </c>
      <c r="B171" s="1">
        <f t="shared" si="13"/>
        <v>44522</v>
      </c>
      <c r="C171" t="str">
        <f t="shared" si="14"/>
        <v>901189031121/Magenta: T-Mobile Austria GmbH, A-1120 Wien, PF 47</v>
      </c>
      <c r="D171" t="str">
        <f t="shared" si="15"/>
        <v>Ausgaben</v>
      </c>
      <c r="E171" t="str">
        <f t="shared" si="15"/>
        <v>Telefon/Internet</v>
      </c>
      <c r="F171" s="117">
        <f t="shared" si="16"/>
        <v>38.304000000000002</v>
      </c>
      <c r="G171" t="str">
        <f t="shared" si="17"/>
        <v>20%</v>
      </c>
      <c r="I171" s="53">
        <v>2021</v>
      </c>
      <c r="J171" s="53">
        <v>170</v>
      </c>
      <c r="K171" s="71" t="s">
        <v>105</v>
      </c>
      <c r="L171" t="s">
        <v>703</v>
      </c>
      <c r="M171" s="131" t="s">
        <v>1608</v>
      </c>
      <c r="N171" s="1">
        <v>44522</v>
      </c>
      <c r="O171" t="s">
        <v>1148</v>
      </c>
      <c r="Q171" s="76"/>
      <c r="R171" t="b">
        <v>0</v>
      </c>
      <c r="S171" s="48">
        <v>31.92</v>
      </c>
      <c r="T171" s="72">
        <v>1</v>
      </c>
      <c r="U171">
        <v>20</v>
      </c>
      <c r="V171" s="31">
        <v>6.3840000000000012</v>
      </c>
      <c r="W171" s="31">
        <v>6.3840000000000012</v>
      </c>
      <c r="X171" s="33">
        <v>31.92</v>
      </c>
      <c r="Y171" s="29">
        <v>38.304000000000002</v>
      </c>
      <c r="Z171" s="29">
        <v>38.304000000000002</v>
      </c>
      <c r="AA171" s="35">
        <v>44607</v>
      </c>
      <c r="AB171" s="27"/>
      <c r="AC171" s="27"/>
      <c r="AD171" s="58">
        <v>31.92</v>
      </c>
      <c r="AE171" s="31">
        <v>0</v>
      </c>
      <c r="AF171" t="b">
        <v>0</v>
      </c>
      <c r="AG171" s="78">
        <v>-31.92</v>
      </c>
    </row>
    <row r="172" spans="1:33" x14ac:dyDescent="0.25">
      <c r="A172" t="str">
        <f t="shared" si="12"/>
        <v>2021-171</v>
      </c>
      <c r="B172" s="1">
        <f t="shared" si="13"/>
        <v>44525</v>
      </c>
      <c r="C172" t="str">
        <f t="shared" si="14"/>
        <v>AT184F1UAEUI/Amazon EU S. à r.l., 38 avenue John F. Kennedy, L-1855 Luxembourg: HJEU: DVI-HDMI, Logitech Maus</v>
      </c>
      <c r="D172" t="str">
        <f t="shared" si="15"/>
        <v>Ausgaben</v>
      </c>
      <c r="E172" t="str">
        <f t="shared" si="15"/>
        <v>sonstige Betriebsausgaben</v>
      </c>
      <c r="F172" s="117">
        <f t="shared" si="16"/>
        <v>31.452000000000002</v>
      </c>
      <c r="G172" t="str">
        <f t="shared" si="17"/>
        <v>20%</v>
      </c>
      <c r="I172" s="53">
        <v>2021</v>
      </c>
      <c r="J172" s="53">
        <v>171</v>
      </c>
      <c r="K172" s="71" t="s">
        <v>105</v>
      </c>
      <c r="L172" t="s">
        <v>705</v>
      </c>
      <c r="M172" s="6" t="s">
        <v>1609</v>
      </c>
      <c r="N172" s="1">
        <v>44525</v>
      </c>
      <c r="O172" t="s">
        <v>981</v>
      </c>
      <c r="Q172" s="76"/>
      <c r="R172" t="b">
        <v>0</v>
      </c>
      <c r="S172" s="48">
        <v>26.21</v>
      </c>
      <c r="T172" s="72">
        <v>1</v>
      </c>
      <c r="U172">
        <v>20</v>
      </c>
      <c r="V172" s="31">
        <v>5.2420000000000009</v>
      </c>
      <c r="W172" s="31">
        <v>5.2420000000000009</v>
      </c>
      <c r="X172" s="33">
        <v>26.21</v>
      </c>
      <c r="Y172" s="29">
        <v>31.452000000000002</v>
      </c>
      <c r="Z172" s="29">
        <v>31.452000000000002</v>
      </c>
      <c r="AA172" s="35">
        <v>44607</v>
      </c>
      <c r="AB172" s="27"/>
      <c r="AC172" s="27"/>
      <c r="AD172" s="58">
        <v>26.21</v>
      </c>
      <c r="AE172" s="31">
        <v>0</v>
      </c>
      <c r="AF172" t="b">
        <v>0</v>
      </c>
      <c r="AG172" s="78">
        <v>-26.21</v>
      </c>
    </row>
    <row r="173" spans="1:33" x14ac:dyDescent="0.25">
      <c r="A173" t="str">
        <f t="shared" si="12"/>
        <v>2021-172</v>
      </c>
      <c r="B173" s="1">
        <f t="shared" si="13"/>
        <v>44526</v>
      </c>
      <c r="C173" t="str">
        <f t="shared" si="14"/>
        <v>12021027/Musikschule Bad Vöslau, Hauptstraße 14, 2540 Bad Vöslau</v>
      </c>
      <c r="D173" t="str">
        <f t="shared" si="15"/>
        <v>Einnahmen</v>
      </c>
      <c r="E173" t="str">
        <f t="shared" si="15"/>
        <v>Waren-/Leistungserlöse</v>
      </c>
      <c r="F173" s="117">
        <f t="shared" si="16"/>
        <v>4536</v>
      </c>
      <c r="G173" t="str">
        <f t="shared" si="17"/>
        <v>20%</v>
      </c>
      <c r="I173" s="53">
        <v>2021</v>
      </c>
      <c r="J173" s="53">
        <v>172</v>
      </c>
      <c r="K173" s="71" t="s">
        <v>708</v>
      </c>
      <c r="L173" t="s">
        <v>709</v>
      </c>
      <c r="M173" s="6">
        <v>12021027</v>
      </c>
      <c r="N173" s="1">
        <v>44526</v>
      </c>
      <c r="O173" t="s">
        <v>1384</v>
      </c>
      <c r="Q173" s="76"/>
      <c r="R173" t="b">
        <v>0</v>
      </c>
      <c r="S173" s="48">
        <v>3780</v>
      </c>
      <c r="T173" s="72">
        <v>1</v>
      </c>
      <c r="U173">
        <v>20</v>
      </c>
      <c r="V173" s="31">
        <v>756</v>
      </c>
      <c r="W173" s="31">
        <v>756</v>
      </c>
      <c r="X173" s="33">
        <v>3780</v>
      </c>
      <c r="Y173" s="29">
        <v>4536</v>
      </c>
      <c r="Z173" s="29">
        <v>4536</v>
      </c>
      <c r="AA173" s="35">
        <v>44607</v>
      </c>
      <c r="AB173" s="27"/>
      <c r="AC173" s="27"/>
      <c r="AD173" s="58">
        <v>3780</v>
      </c>
      <c r="AE173" s="31">
        <v>0</v>
      </c>
      <c r="AF173" t="b">
        <v>0</v>
      </c>
      <c r="AG173" s="78">
        <v>3780</v>
      </c>
    </row>
    <row r="174" spans="1:33" x14ac:dyDescent="0.25">
      <c r="A174" t="str">
        <f t="shared" si="12"/>
        <v>2021-173</v>
      </c>
      <c r="B174" s="1">
        <f t="shared" si="13"/>
        <v>44526</v>
      </c>
      <c r="C174" t="str">
        <f t="shared" si="14"/>
        <v>3293000012123132/car2go Österreich GmbH, Hintere Zollamtstraße 9, 1030 Wien</v>
      </c>
      <c r="D174" t="str">
        <f t="shared" si="15"/>
        <v>Ausgaben</v>
      </c>
      <c r="E174" t="str">
        <f t="shared" si="15"/>
        <v>Reise- und Fahrtspesen inkl. Kilometergeld und Diäten</v>
      </c>
      <c r="F174" s="117">
        <f t="shared" si="16"/>
        <v>3.6960000000000002</v>
      </c>
      <c r="G174" t="str">
        <f t="shared" si="17"/>
        <v>20%</v>
      </c>
      <c r="I174" s="53">
        <v>2021</v>
      </c>
      <c r="J174" s="53">
        <v>173</v>
      </c>
      <c r="K174" s="71" t="s">
        <v>105</v>
      </c>
      <c r="L174" t="s">
        <v>689</v>
      </c>
      <c r="M174" s="131" t="s">
        <v>1610</v>
      </c>
      <c r="N174" s="1">
        <v>44526</v>
      </c>
      <c r="O174" t="s">
        <v>974</v>
      </c>
      <c r="Q174" s="76"/>
      <c r="R174" t="b">
        <v>0</v>
      </c>
      <c r="S174" s="48">
        <v>3.08</v>
      </c>
      <c r="T174" s="72">
        <v>1</v>
      </c>
      <c r="U174">
        <v>20</v>
      </c>
      <c r="V174" s="31">
        <v>0.61599999999999999</v>
      </c>
      <c r="W174" s="31">
        <v>0.61599999999999999</v>
      </c>
      <c r="X174" s="33">
        <v>3.08</v>
      </c>
      <c r="Y174" s="29">
        <v>3.6960000000000002</v>
      </c>
      <c r="Z174" s="29">
        <v>3.6960000000000002</v>
      </c>
      <c r="AA174" s="35">
        <v>44607</v>
      </c>
      <c r="AB174" s="27"/>
      <c r="AC174" s="27"/>
      <c r="AD174" s="58">
        <v>3.08</v>
      </c>
      <c r="AE174" s="31">
        <v>0</v>
      </c>
      <c r="AF174" t="b">
        <v>0</v>
      </c>
      <c r="AG174" s="78">
        <v>-3.08</v>
      </c>
    </row>
    <row r="175" spans="1:33" x14ac:dyDescent="0.25">
      <c r="A175" t="str">
        <f t="shared" si="12"/>
        <v>2021-174</v>
      </c>
      <c r="B175" s="1">
        <f t="shared" si="13"/>
        <v>44531</v>
      </c>
      <c r="C175" t="str">
        <f t="shared" si="14"/>
        <v>3293000012142740/car2go Österreich GmbH, Hintere Zollamtstraße 9, 1030 Wien</v>
      </c>
      <c r="D175" t="str">
        <f t="shared" si="15"/>
        <v>Ausgaben</v>
      </c>
      <c r="E175" t="str">
        <f t="shared" si="15"/>
        <v>Reise- und Fahrtspesen inkl. Kilometergeld und Diäten</v>
      </c>
      <c r="F175" s="117">
        <f t="shared" si="16"/>
        <v>4.1760000000000002</v>
      </c>
      <c r="G175" t="str">
        <f t="shared" si="17"/>
        <v>20%</v>
      </c>
      <c r="I175" s="53">
        <v>2021</v>
      </c>
      <c r="J175" s="53">
        <v>174</v>
      </c>
      <c r="K175" s="71" t="s">
        <v>105</v>
      </c>
      <c r="L175" t="s">
        <v>689</v>
      </c>
      <c r="M175" s="131" t="s">
        <v>1611</v>
      </c>
      <c r="N175" s="1">
        <v>44531</v>
      </c>
      <c r="O175" t="s">
        <v>974</v>
      </c>
      <c r="Q175" s="76"/>
      <c r="R175" t="b">
        <v>0</v>
      </c>
      <c r="S175" s="48">
        <v>3.48</v>
      </c>
      <c r="T175" s="72">
        <v>1</v>
      </c>
      <c r="U175">
        <v>20</v>
      </c>
      <c r="V175" s="31">
        <v>0.69599999999999995</v>
      </c>
      <c r="W175" s="31">
        <v>0.69599999999999995</v>
      </c>
      <c r="X175" s="33">
        <v>3.48</v>
      </c>
      <c r="Y175" s="29">
        <v>4.1760000000000002</v>
      </c>
      <c r="Z175" s="29">
        <v>4.1760000000000002</v>
      </c>
      <c r="AA175" s="35">
        <v>44607</v>
      </c>
      <c r="AB175" s="27"/>
      <c r="AC175" s="27"/>
      <c r="AD175" s="58">
        <v>3.48</v>
      </c>
      <c r="AE175" s="31">
        <v>0</v>
      </c>
      <c r="AF175" t="b">
        <v>0</v>
      </c>
      <c r="AG175" s="78">
        <v>-3.48</v>
      </c>
    </row>
    <row r="176" spans="1:33" x14ac:dyDescent="0.25">
      <c r="A176" t="str">
        <f t="shared" si="12"/>
        <v>2021-175</v>
      </c>
      <c r="B176" s="1">
        <f t="shared" si="13"/>
        <v>44531</v>
      </c>
      <c r="C176" t="str">
        <f t="shared" si="14"/>
        <v>855501/Lemon Technologies GmbH, Unterweißenbach 181, 7330 Feldbach: Bildschirm</v>
      </c>
      <c r="D176" t="str">
        <f t="shared" si="15"/>
        <v>Ausgaben</v>
      </c>
      <c r="E176" t="str">
        <f t="shared" si="15"/>
        <v>Waren, Rohstoffe, Hilfsstoffe</v>
      </c>
      <c r="F176" s="117">
        <f t="shared" si="16"/>
        <v>54.791999999999994</v>
      </c>
      <c r="G176" t="str">
        <f t="shared" si="17"/>
        <v>20%</v>
      </c>
      <c r="I176" s="53">
        <v>2021</v>
      </c>
      <c r="J176" s="53">
        <v>175</v>
      </c>
      <c r="K176" s="71" t="s">
        <v>105</v>
      </c>
      <c r="L176" t="s">
        <v>683</v>
      </c>
      <c r="M176" s="6">
        <v>855501</v>
      </c>
      <c r="N176" s="1">
        <v>44531</v>
      </c>
      <c r="O176" t="s">
        <v>1238</v>
      </c>
      <c r="Q176" s="76" t="s">
        <v>958</v>
      </c>
      <c r="R176" t="b">
        <v>0</v>
      </c>
      <c r="S176" s="48">
        <v>45.66</v>
      </c>
      <c r="T176" s="72">
        <v>1</v>
      </c>
      <c r="U176">
        <v>20</v>
      </c>
      <c r="V176" s="31">
        <v>9.1319999999999997</v>
      </c>
      <c r="W176" s="31">
        <v>9.1319999999999997</v>
      </c>
      <c r="X176" s="33">
        <v>45.66</v>
      </c>
      <c r="Y176" s="29">
        <v>54.791999999999994</v>
      </c>
      <c r="Z176" s="29">
        <v>54.791999999999994</v>
      </c>
      <c r="AA176" s="35">
        <v>44607</v>
      </c>
      <c r="AB176" s="27"/>
      <c r="AC176" s="27"/>
      <c r="AD176" s="58">
        <v>45.66</v>
      </c>
      <c r="AE176" s="31">
        <v>0</v>
      </c>
      <c r="AF176" t="b">
        <v>0</v>
      </c>
      <c r="AG176" s="78">
        <v>-45.66</v>
      </c>
    </row>
    <row r="177" spans="1:33" x14ac:dyDescent="0.25">
      <c r="A177" t="str">
        <f t="shared" si="12"/>
        <v>2021-176</v>
      </c>
      <c r="B177" s="1">
        <f t="shared" si="13"/>
        <v>44531</v>
      </c>
      <c r="C177" t="str">
        <f t="shared" si="14"/>
        <v>21/9801/VS00476/Bontus Immobilienverwaltung GmbH, 1010 Wien, Franz Josefs Kai 65</v>
      </c>
      <c r="D177" t="str">
        <f t="shared" si="15"/>
        <v>Ausgaben</v>
      </c>
      <c r="E177" t="str">
        <f t="shared" si="15"/>
        <v>Miet- und Pachtaufwand, Leasing</v>
      </c>
      <c r="F177" s="117">
        <f t="shared" si="16"/>
        <v>564.55999999999995</v>
      </c>
      <c r="G177" t="str">
        <f t="shared" si="17"/>
        <v>20%</v>
      </c>
      <c r="I177" s="53">
        <v>2021</v>
      </c>
      <c r="J177" s="53">
        <v>176</v>
      </c>
      <c r="K177" s="71" t="s">
        <v>105</v>
      </c>
      <c r="L177" t="s">
        <v>691</v>
      </c>
      <c r="M177" s="9" t="s">
        <v>1612</v>
      </c>
      <c r="N177" s="1">
        <v>44531</v>
      </c>
      <c r="O177" t="s">
        <v>1113</v>
      </c>
      <c r="Q177" s="76"/>
      <c r="R177" t="b">
        <v>0</v>
      </c>
      <c r="S177" s="109">
        <v>470.46666666666664</v>
      </c>
      <c r="T177" s="72">
        <v>1</v>
      </c>
      <c r="U177">
        <v>20</v>
      </c>
      <c r="V177" s="31">
        <v>94.09333333333332</v>
      </c>
      <c r="W177" s="31">
        <v>94.09333333333332</v>
      </c>
      <c r="X177" s="33">
        <v>470.46666666666664</v>
      </c>
      <c r="Y177" s="29">
        <v>564.55999999999995</v>
      </c>
      <c r="Z177" s="29">
        <v>564.55999999999995</v>
      </c>
      <c r="AA177" s="35">
        <v>44607</v>
      </c>
      <c r="AB177" s="27"/>
      <c r="AC177" s="27"/>
      <c r="AD177" s="58">
        <v>470.46666666666664</v>
      </c>
      <c r="AE177" s="31">
        <v>0</v>
      </c>
      <c r="AF177" t="b">
        <v>0</v>
      </c>
      <c r="AG177" s="78">
        <v>-470.46666666666664</v>
      </c>
    </row>
    <row r="178" spans="1:33" x14ac:dyDescent="0.25">
      <c r="A178" t="str">
        <f t="shared" si="12"/>
        <v>2021-177</v>
      </c>
      <c r="B178" s="1">
        <f t="shared" si="13"/>
        <v>44532</v>
      </c>
      <c r="C178" t="str">
        <f t="shared" si="14"/>
        <v>4027980636/Google Ireland Ltd, Gordon House, Barrow Street, Dublin 4, Ireland; VAT number: IE 6388047V</v>
      </c>
      <c r="D178" t="str">
        <f t="shared" si="15"/>
        <v>Ausgaben</v>
      </c>
      <c r="E178" t="str">
        <f t="shared" si="15"/>
        <v>sonstige Betriebsausgaben</v>
      </c>
      <c r="F178" s="117">
        <f t="shared" si="16"/>
        <v>10.4</v>
      </c>
      <c r="G178" t="str">
        <f t="shared" si="17"/>
        <v>0%</v>
      </c>
      <c r="I178" s="53">
        <v>2021</v>
      </c>
      <c r="J178" s="53">
        <v>177</v>
      </c>
      <c r="K178" s="71" t="s">
        <v>105</v>
      </c>
      <c r="L178" t="s">
        <v>705</v>
      </c>
      <c r="M178" s="9" t="s">
        <v>1613</v>
      </c>
      <c r="N178" s="1">
        <v>44532</v>
      </c>
      <c r="O178" t="s">
        <v>1404</v>
      </c>
      <c r="Q178" s="76"/>
      <c r="R178" t="b">
        <v>0</v>
      </c>
      <c r="S178" s="109">
        <v>10.4</v>
      </c>
      <c r="T178" s="72">
        <v>1</v>
      </c>
      <c r="U178">
        <v>0</v>
      </c>
      <c r="V178" s="31">
        <v>0</v>
      </c>
      <c r="W178" s="31">
        <v>0</v>
      </c>
      <c r="X178" s="33">
        <v>10.4</v>
      </c>
      <c r="Y178" s="29">
        <v>10.4</v>
      </c>
      <c r="Z178" s="29">
        <v>10.4</v>
      </c>
      <c r="AA178" s="35">
        <v>44607</v>
      </c>
      <c r="AB178" s="27"/>
      <c r="AC178" s="27">
        <v>20</v>
      </c>
      <c r="AD178" s="58">
        <v>10.4</v>
      </c>
      <c r="AE178" s="31">
        <v>2.08</v>
      </c>
      <c r="AF178" t="b">
        <v>0</v>
      </c>
      <c r="AG178" s="78">
        <v>-10.4</v>
      </c>
    </row>
    <row r="179" spans="1:33" x14ac:dyDescent="0.25">
      <c r="A179" t="str">
        <f t="shared" si="12"/>
        <v>2021-178</v>
      </c>
      <c r="B179" s="1">
        <f t="shared" si="13"/>
        <v>44532</v>
      </c>
      <c r="C179" t="str">
        <f t="shared" si="14"/>
        <v>6233151878/Hutchison Drei Austria GmbH, Brünner Straße 52, 1210 Wien, Österreich</v>
      </c>
      <c r="D179" t="str">
        <f t="shared" si="15"/>
        <v>Ausgaben</v>
      </c>
      <c r="E179" t="str">
        <f t="shared" si="15"/>
        <v>Telefon/Internet</v>
      </c>
      <c r="F179" s="117">
        <f t="shared" si="16"/>
        <v>18</v>
      </c>
      <c r="G179" t="str">
        <f t="shared" si="17"/>
        <v>20%</v>
      </c>
      <c r="I179" s="53">
        <v>2021</v>
      </c>
      <c r="J179" s="53">
        <v>178</v>
      </c>
      <c r="K179" s="71" t="s">
        <v>105</v>
      </c>
      <c r="L179" t="s">
        <v>703</v>
      </c>
      <c r="M179" s="9" t="s">
        <v>1614</v>
      </c>
      <c r="N179" s="1">
        <v>44532</v>
      </c>
      <c r="O179" t="s">
        <v>34</v>
      </c>
      <c r="Q179" s="76"/>
      <c r="R179" t="b">
        <v>0</v>
      </c>
      <c r="S179" s="48">
        <v>15</v>
      </c>
      <c r="T179" s="72">
        <v>1</v>
      </c>
      <c r="U179">
        <v>20</v>
      </c>
      <c r="V179" s="31">
        <v>3</v>
      </c>
      <c r="W179" s="31">
        <v>3</v>
      </c>
      <c r="X179" s="33">
        <v>15</v>
      </c>
      <c r="Y179" s="29">
        <v>18</v>
      </c>
      <c r="Z179" s="29">
        <v>18</v>
      </c>
      <c r="AA179" s="35">
        <v>44607</v>
      </c>
      <c r="AB179" s="27"/>
      <c r="AC179" s="27"/>
      <c r="AD179" s="58">
        <v>15</v>
      </c>
      <c r="AE179" s="31">
        <v>0</v>
      </c>
      <c r="AF179" t="b">
        <v>0</v>
      </c>
      <c r="AG179" s="78">
        <v>-15</v>
      </c>
    </row>
    <row r="180" spans="1:33" x14ac:dyDescent="0.25">
      <c r="A180" t="str">
        <f t="shared" si="12"/>
        <v>2021-179</v>
      </c>
      <c r="B180" s="1">
        <f t="shared" si="13"/>
        <v>44533</v>
      </c>
      <c r="C180" t="str">
        <f t="shared" si="14"/>
        <v>60793/100/2021/easy green energy GmbH &amp; Co KG</v>
      </c>
      <c r="D180" t="str">
        <f t="shared" si="15"/>
        <v>Ausgaben</v>
      </c>
      <c r="E180" t="str">
        <f t="shared" si="15"/>
        <v>sonstige Betriebsausgaben</v>
      </c>
      <c r="F180" s="117">
        <f t="shared" si="16"/>
        <v>3</v>
      </c>
      <c r="G180" t="str">
        <f t="shared" si="17"/>
        <v>20%</v>
      </c>
      <c r="I180" s="53">
        <v>2021</v>
      </c>
      <c r="J180" s="53">
        <v>179</v>
      </c>
      <c r="K180" s="71" t="s">
        <v>105</v>
      </c>
      <c r="L180" t="s">
        <v>705</v>
      </c>
      <c r="M180" s="9" t="s">
        <v>1505</v>
      </c>
      <c r="N180" s="1">
        <v>44533</v>
      </c>
      <c r="O180" t="s">
        <v>1364</v>
      </c>
      <c r="Q180" s="76"/>
      <c r="R180" t="b">
        <v>0</v>
      </c>
      <c r="S180" s="48">
        <v>2.5</v>
      </c>
      <c r="T180" s="72">
        <v>1</v>
      </c>
      <c r="U180">
        <v>20</v>
      </c>
      <c r="V180" s="31">
        <v>0.5</v>
      </c>
      <c r="W180" s="31">
        <v>0.5</v>
      </c>
      <c r="X180" s="33">
        <v>2.5</v>
      </c>
      <c r="Y180" s="29">
        <v>3</v>
      </c>
      <c r="Z180" s="29">
        <v>3</v>
      </c>
      <c r="AA180" s="35">
        <v>44607</v>
      </c>
      <c r="AB180" s="27"/>
      <c r="AC180" s="27"/>
      <c r="AD180" s="58">
        <v>2.5</v>
      </c>
      <c r="AE180" s="31">
        <v>0</v>
      </c>
      <c r="AF180" t="b">
        <v>0</v>
      </c>
      <c r="AG180" s="78">
        <v>-2.5</v>
      </c>
    </row>
    <row r="181" spans="1:33" x14ac:dyDescent="0.25">
      <c r="A181" t="str">
        <f t="shared" si="12"/>
        <v>2021-180</v>
      </c>
      <c r="B181" s="1">
        <f t="shared" si="13"/>
        <v>44536</v>
      </c>
      <c r="C181" t="str">
        <f t="shared" si="14"/>
        <v>HKA/20-01-58835/Techem Messtechnik GmbH; Abnehmernummer 501686-0003-11-</v>
      </c>
      <c r="D181" t="str">
        <f t="shared" si="15"/>
        <v>Ausgaben</v>
      </c>
      <c r="E181" t="str">
        <f t="shared" si="15"/>
        <v>Miet- und Pachtaufwand, Leasing</v>
      </c>
      <c r="F181" s="117">
        <f t="shared" si="16"/>
        <v>88.8</v>
      </c>
      <c r="G181" t="str">
        <f t="shared" si="17"/>
        <v>20%</v>
      </c>
      <c r="I181" s="53">
        <v>2021</v>
      </c>
      <c r="J181" s="53">
        <v>180</v>
      </c>
      <c r="K181" s="71" t="s">
        <v>105</v>
      </c>
      <c r="L181" t="s">
        <v>691</v>
      </c>
      <c r="M181" s="9" t="s">
        <v>1566</v>
      </c>
      <c r="N181" s="1">
        <v>44536</v>
      </c>
      <c r="O181" t="s">
        <v>1558</v>
      </c>
      <c r="Q181" s="76"/>
      <c r="R181" t="b">
        <v>0</v>
      </c>
      <c r="S181" s="109">
        <v>74</v>
      </c>
      <c r="T181" s="72">
        <v>1</v>
      </c>
      <c r="U181">
        <v>20</v>
      </c>
      <c r="V181" s="31">
        <v>14.8</v>
      </c>
      <c r="W181" s="31">
        <v>14.8</v>
      </c>
      <c r="X181" s="33">
        <v>74</v>
      </c>
      <c r="Y181" s="29">
        <v>88.8</v>
      </c>
      <c r="Z181" s="29">
        <v>88.8</v>
      </c>
      <c r="AA181" s="35">
        <v>44607</v>
      </c>
      <c r="AB181" s="27"/>
      <c r="AC181" s="27"/>
      <c r="AD181" s="58">
        <v>74</v>
      </c>
      <c r="AE181" s="31">
        <v>0</v>
      </c>
      <c r="AF181" t="b">
        <v>0</v>
      </c>
      <c r="AG181" s="78">
        <v>-74</v>
      </c>
    </row>
    <row r="182" spans="1:33" x14ac:dyDescent="0.25">
      <c r="A182" t="str">
        <f t="shared" si="12"/>
        <v>2021-181</v>
      </c>
      <c r="B182" s="1">
        <f t="shared" si="13"/>
        <v>44537</v>
      </c>
      <c r="C182" t="str">
        <f t="shared" si="14"/>
        <v>12021028/foxcraft - DI Mag. Alexander Wagner, Leschetitzkygasse 30/5, 1180 Wien</v>
      </c>
      <c r="D182" t="str">
        <f t="shared" si="15"/>
        <v>Einnahmen</v>
      </c>
      <c r="E182" t="str">
        <f t="shared" si="15"/>
        <v>Waren-/Leistungserlöse</v>
      </c>
      <c r="F182" s="117">
        <f t="shared" si="16"/>
        <v>180.93600000000001</v>
      </c>
      <c r="G182" t="str">
        <f t="shared" si="17"/>
        <v>20%</v>
      </c>
      <c r="I182" s="53">
        <v>2021</v>
      </c>
      <c r="J182" s="53">
        <v>181</v>
      </c>
      <c r="K182" s="71" t="s">
        <v>708</v>
      </c>
      <c r="L182" t="s">
        <v>709</v>
      </c>
      <c r="M182" s="6">
        <v>12021028</v>
      </c>
      <c r="N182" s="1">
        <v>44537</v>
      </c>
      <c r="O182" t="s">
        <v>1197</v>
      </c>
      <c r="Q182" s="76"/>
      <c r="R182" t="b">
        <v>0</v>
      </c>
      <c r="S182" s="109">
        <v>150.78</v>
      </c>
      <c r="T182" s="72">
        <v>1</v>
      </c>
      <c r="U182">
        <v>20</v>
      </c>
      <c r="V182" s="31">
        <v>30.155999999999999</v>
      </c>
      <c r="W182" s="31">
        <v>30.155999999999999</v>
      </c>
      <c r="X182" s="33">
        <v>150.78</v>
      </c>
      <c r="Y182" s="29">
        <v>180.93600000000001</v>
      </c>
      <c r="Z182" s="29">
        <v>180.93600000000001</v>
      </c>
      <c r="AA182" s="35">
        <v>44607</v>
      </c>
      <c r="AB182" s="27"/>
      <c r="AC182" s="27"/>
      <c r="AD182" s="58">
        <v>150.78</v>
      </c>
      <c r="AE182" s="31">
        <v>0</v>
      </c>
      <c r="AF182" t="b">
        <v>0</v>
      </c>
      <c r="AG182" s="78">
        <v>150.78</v>
      </c>
    </row>
    <row r="183" spans="1:33" x14ac:dyDescent="0.25">
      <c r="A183" t="str">
        <f t="shared" si="12"/>
        <v>2021-182</v>
      </c>
      <c r="B183" s="1">
        <f t="shared" si="13"/>
        <v>44539</v>
      </c>
      <c r="C183" t="str">
        <f t="shared" si="14"/>
        <v>R0014682501/Hetzner Online GmbH</v>
      </c>
      <c r="D183" t="str">
        <f t="shared" si="15"/>
        <v>Ausgaben</v>
      </c>
      <c r="E183" t="str">
        <f t="shared" si="15"/>
        <v>sonstige Betriebsausgaben</v>
      </c>
      <c r="F183" s="117">
        <f t="shared" si="16"/>
        <v>2.4900000000000002</v>
      </c>
      <c r="G183" t="str">
        <f t="shared" si="17"/>
        <v>0%</v>
      </c>
      <c r="I183" s="53">
        <v>2021</v>
      </c>
      <c r="J183" s="53">
        <v>182</v>
      </c>
      <c r="K183" s="71" t="s">
        <v>105</v>
      </c>
      <c r="L183" t="s">
        <v>705</v>
      </c>
      <c r="M183" s="6" t="s">
        <v>1615</v>
      </c>
      <c r="N183" s="1">
        <v>44539</v>
      </c>
      <c r="O183" t="s">
        <v>927</v>
      </c>
      <c r="Q183" s="76" t="s">
        <v>958</v>
      </c>
      <c r="R183" t="b">
        <v>0</v>
      </c>
      <c r="S183" s="48">
        <v>2.4900000000000002</v>
      </c>
      <c r="T183" s="72">
        <v>1</v>
      </c>
      <c r="U183">
        <v>0</v>
      </c>
      <c r="V183" s="31">
        <v>0</v>
      </c>
      <c r="W183" s="31">
        <v>0</v>
      </c>
      <c r="X183" s="33">
        <v>2.4900000000000002</v>
      </c>
      <c r="Y183" s="29">
        <v>2.4900000000000002</v>
      </c>
      <c r="Z183" s="29">
        <v>2.4900000000000002</v>
      </c>
      <c r="AA183" s="35">
        <v>44607</v>
      </c>
      <c r="AB183" s="27"/>
      <c r="AC183" s="27">
        <v>20</v>
      </c>
      <c r="AD183" s="58">
        <v>2.4900000000000002</v>
      </c>
      <c r="AE183" s="31">
        <v>0.49800000000000005</v>
      </c>
      <c r="AF183" t="b">
        <v>0</v>
      </c>
      <c r="AG183" s="78">
        <v>-2.4900000000000002</v>
      </c>
    </row>
    <row r="184" spans="1:33" x14ac:dyDescent="0.25">
      <c r="A184" t="str">
        <f t="shared" si="12"/>
        <v>2021-183</v>
      </c>
      <c r="B184" s="1">
        <f t="shared" si="13"/>
        <v>44543</v>
      </c>
      <c r="C184" t="str">
        <f t="shared" si="14"/>
        <v>R0014740755/Hetzner Online GmbH</v>
      </c>
      <c r="D184" t="str">
        <f t="shared" si="15"/>
        <v>Ausgaben</v>
      </c>
      <c r="E184" t="str">
        <f t="shared" si="15"/>
        <v>sonstige Betriebsausgaben</v>
      </c>
      <c r="F184" s="117">
        <f t="shared" si="16"/>
        <v>46.916800000000002</v>
      </c>
      <c r="G184" t="str">
        <f t="shared" si="17"/>
        <v>0%</v>
      </c>
      <c r="I184" s="53">
        <v>2021</v>
      </c>
      <c r="J184" s="53">
        <v>183</v>
      </c>
      <c r="K184" s="71" t="s">
        <v>105</v>
      </c>
      <c r="L184" t="s">
        <v>705</v>
      </c>
      <c r="M184" s="9" t="s">
        <v>1616</v>
      </c>
      <c r="N184" s="1">
        <v>44543</v>
      </c>
      <c r="O184" t="s">
        <v>927</v>
      </c>
      <c r="Q184" s="76"/>
      <c r="R184" t="b">
        <v>0</v>
      </c>
      <c r="S184" s="48">
        <v>46.916800000000002</v>
      </c>
      <c r="T184" s="72">
        <v>1</v>
      </c>
      <c r="U184">
        <v>0</v>
      </c>
      <c r="V184" s="31">
        <v>0</v>
      </c>
      <c r="W184" s="31">
        <v>0</v>
      </c>
      <c r="X184" s="33">
        <v>46.916800000000002</v>
      </c>
      <c r="Y184" s="29">
        <v>46.916800000000002</v>
      </c>
      <c r="Z184" s="29">
        <v>46.916800000000002</v>
      </c>
      <c r="AA184" s="35">
        <v>44607</v>
      </c>
      <c r="AB184" s="27"/>
      <c r="AC184" s="27">
        <v>20</v>
      </c>
      <c r="AD184" s="58">
        <v>46.916800000000002</v>
      </c>
      <c r="AE184" s="31">
        <v>9.3833600000000015</v>
      </c>
      <c r="AF184" t="b">
        <v>0</v>
      </c>
      <c r="AG184" s="78">
        <v>-46.916800000000002</v>
      </c>
    </row>
    <row r="185" spans="1:33" x14ac:dyDescent="0.25">
      <c r="A185" t="str">
        <f t="shared" si="12"/>
        <v>2021-184</v>
      </c>
      <c r="B185" s="1">
        <f t="shared" si="13"/>
        <v>44546</v>
      </c>
      <c r="C185" t="str">
        <f t="shared" si="14"/>
        <v>AT1B8GA1AEUI/Amazon EU S. à r.l., 38 avenue John F. Kennedy, L-1855 Luxembourg: HJEU: DVI-HDMI, Logitech Maus</v>
      </c>
      <c r="D185" t="str">
        <f t="shared" si="15"/>
        <v>Ausgaben</v>
      </c>
      <c r="E185" t="str">
        <f t="shared" si="15"/>
        <v>sonstige Betriebsausgaben</v>
      </c>
      <c r="F185" s="117">
        <f t="shared" si="16"/>
        <v>35.28</v>
      </c>
      <c r="G185" t="str">
        <f t="shared" si="17"/>
        <v>20%</v>
      </c>
      <c r="I185" s="53">
        <v>2021</v>
      </c>
      <c r="J185" s="53">
        <v>184</v>
      </c>
      <c r="K185" s="71" t="s">
        <v>105</v>
      </c>
      <c r="L185" t="s">
        <v>705</v>
      </c>
      <c r="M185" s="6" t="s">
        <v>1617</v>
      </c>
      <c r="N185" s="1">
        <v>44546</v>
      </c>
      <c r="O185" t="s">
        <v>981</v>
      </c>
      <c r="Q185" s="76"/>
      <c r="R185" t="b">
        <v>0</v>
      </c>
      <c r="S185" s="48">
        <v>29.4</v>
      </c>
      <c r="T185" s="72">
        <v>1</v>
      </c>
      <c r="U185">
        <v>20</v>
      </c>
      <c r="V185" s="31">
        <v>5.88</v>
      </c>
      <c r="W185" s="31">
        <v>5.88</v>
      </c>
      <c r="X185" s="33">
        <v>29.4</v>
      </c>
      <c r="Y185" s="29">
        <v>35.28</v>
      </c>
      <c r="Z185" s="29">
        <v>35.28</v>
      </c>
      <c r="AA185" s="35">
        <v>44607</v>
      </c>
      <c r="AB185" s="27"/>
      <c r="AC185" s="27"/>
      <c r="AD185" s="58">
        <v>29.4</v>
      </c>
      <c r="AE185" s="31">
        <v>0</v>
      </c>
      <c r="AF185" t="b">
        <v>0</v>
      </c>
      <c r="AG185" s="78">
        <v>-29.4</v>
      </c>
    </row>
    <row r="186" spans="1:33" x14ac:dyDescent="0.25">
      <c r="A186" t="str">
        <f t="shared" si="12"/>
        <v>2021-185</v>
      </c>
      <c r="B186" s="1">
        <f t="shared" si="13"/>
        <v>44546</v>
      </c>
      <c r="C186" t="str">
        <f t="shared" si="14"/>
        <v>AT1B4K7KAEUI/Amazon EU S. à r.l., 38 avenue John F. Kennedy, L-1855 Luxembourg: HJEU: DVI-HDMI, Logitech Maus</v>
      </c>
      <c r="D186" t="str">
        <f t="shared" si="15"/>
        <v>Ausgaben</v>
      </c>
      <c r="E186" t="str">
        <f t="shared" si="15"/>
        <v>sonstige Betriebsausgaben</v>
      </c>
      <c r="F186" s="117">
        <f t="shared" si="16"/>
        <v>31.044</v>
      </c>
      <c r="G186" t="str">
        <f t="shared" si="17"/>
        <v>20%</v>
      </c>
      <c r="I186" s="53">
        <v>2021</v>
      </c>
      <c r="J186" s="53">
        <v>185</v>
      </c>
      <c r="K186" s="71" t="s">
        <v>105</v>
      </c>
      <c r="L186" t="s">
        <v>705</v>
      </c>
      <c r="M186" s="131" t="s">
        <v>1623</v>
      </c>
      <c r="N186" s="1">
        <v>44546</v>
      </c>
      <c r="O186" t="s">
        <v>981</v>
      </c>
      <c r="Q186" s="76"/>
      <c r="R186" t="b">
        <v>0</v>
      </c>
      <c r="S186" s="48">
        <v>25.87</v>
      </c>
      <c r="T186" s="72">
        <v>1</v>
      </c>
      <c r="U186">
        <v>20</v>
      </c>
      <c r="V186" s="31">
        <v>5.1739999999999995</v>
      </c>
      <c r="W186" s="31">
        <v>5.1739999999999995</v>
      </c>
      <c r="X186" s="33">
        <v>25.87</v>
      </c>
      <c r="Y186" s="29">
        <v>31.044</v>
      </c>
      <c r="Z186" s="29">
        <v>31.044</v>
      </c>
      <c r="AA186" s="35">
        <v>44607</v>
      </c>
      <c r="AB186" s="27"/>
      <c r="AC186" s="27"/>
      <c r="AD186" s="58">
        <v>25.87</v>
      </c>
      <c r="AE186" s="31">
        <v>0</v>
      </c>
      <c r="AF186" t="b">
        <v>0</v>
      </c>
      <c r="AG186" s="78">
        <v>-25.87</v>
      </c>
    </row>
    <row r="187" spans="1:33" x14ac:dyDescent="0.25">
      <c r="A187" t="str">
        <f t="shared" si="12"/>
        <v>2021-186</v>
      </c>
      <c r="B187" s="1">
        <f t="shared" si="13"/>
        <v>44551</v>
      </c>
      <c r="C187" t="str">
        <f t="shared" si="14"/>
        <v>901209161221/Magenta: T-Mobile Austria GmbH, A-1120 Wien, PF 47</v>
      </c>
      <c r="D187" t="str">
        <f t="shared" si="15"/>
        <v>Ausgaben</v>
      </c>
      <c r="E187" t="str">
        <f t="shared" si="15"/>
        <v>Telefon/Internet</v>
      </c>
      <c r="F187" s="117">
        <f t="shared" si="16"/>
        <v>38.304000000000002</v>
      </c>
      <c r="G187" t="str">
        <f t="shared" si="17"/>
        <v>20%</v>
      </c>
      <c r="I187" s="53">
        <v>2021</v>
      </c>
      <c r="J187" s="53">
        <v>186</v>
      </c>
      <c r="K187" s="71" t="s">
        <v>105</v>
      </c>
      <c r="L187" t="s">
        <v>703</v>
      </c>
      <c r="M187" s="131" t="s">
        <v>1618</v>
      </c>
      <c r="N187" s="1">
        <v>44551</v>
      </c>
      <c r="O187" t="s">
        <v>1148</v>
      </c>
      <c r="Q187" s="76"/>
      <c r="R187" t="b">
        <v>0</v>
      </c>
      <c r="S187" s="48">
        <v>31.92</v>
      </c>
      <c r="T187" s="72">
        <v>1</v>
      </c>
      <c r="U187">
        <v>20</v>
      </c>
      <c r="V187" s="31">
        <v>6.3840000000000012</v>
      </c>
      <c r="W187" s="31">
        <v>6.3840000000000012</v>
      </c>
      <c r="X187" s="33">
        <v>31.92</v>
      </c>
      <c r="Y187" s="29">
        <v>38.304000000000002</v>
      </c>
      <c r="Z187" s="29">
        <v>38.304000000000002</v>
      </c>
      <c r="AA187" s="35">
        <v>44607</v>
      </c>
      <c r="AB187" s="27"/>
      <c r="AC187" s="27"/>
      <c r="AD187" s="58">
        <v>31.92</v>
      </c>
      <c r="AE187" s="31">
        <v>0</v>
      </c>
      <c r="AF187" t="b">
        <v>0</v>
      </c>
      <c r="AG187" s="78">
        <v>-31.92</v>
      </c>
    </row>
    <row r="188" spans="1:33" x14ac:dyDescent="0.25">
      <c r="A188" t="str">
        <f t="shared" si="12"/>
        <v>2021-187</v>
      </c>
      <c r="B188" s="1">
        <f t="shared" si="13"/>
        <v>44551</v>
      </c>
      <c r="C188" t="str">
        <f t="shared" si="14"/>
        <v>12021030/ZT DI Dr. Arno Kolbitsch, Gütleweg 1, 6822 Satteins</v>
      </c>
      <c r="D188" t="str">
        <f t="shared" si="15"/>
        <v>Einnahmen</v>
      </c>
      <c r="E188" t="str">
        <f t="shared" si="15"/>
        <v>Waren-/Leistungserlöse</v>
      </c>
      <c r="F188" s="117">
        <f t="shared" si="16"/>
        <v>7622.1720000000005</v>
      </c>
      <c r="G188" t="str">
        <f t="shared" si="17"/>
        <v>20%</v>
      </c>
      <c r="I188" s="53">
        <v>2021</v>
      </c>
      <c r="J188" s="53">
        <v>187</v>
      </c>
      <c r="K188" s="71" t="s">
        <v>708</v>
      </c>
      <c r="L188" t="s">
        <v>709</v>
      </c>
      <c r="M188" s="6">
        <v>12021030</v>
      </c>
      <c r="N188" s="1">
        <v>44551</v>
      </c>
      <c r="O188" t="s">
        <v>1038</v>
      </c>
      <c r="Q188" s="76"/>
      <c r="R188" t="b">
        <v>0</v>
      </c>
      <c r="S188" s="48">
        <v>6351.81</v>
      </c>
      <c r="T188" s="72">
        <v>1</v>
      </c>
      <c r="U188">
        <v>20</v>
      </c>
      <c r="V188" s="31">
        <v>1270.3620000000001</v>
      </c>
      <c r="W188" s="31">
        <v>1270.3620000000001</v>
      </c>
      <c r="X188" s="33">
        <v>6351.81</v>
      </c>
      <c r="Y188" s="29">
        <v>7622.1720000000005</v>
      </c>
      <c r="Z188" s="29">
        <v>7622.1720000000005</v>
      </c>
      <c r="AA188" s="35">
        <v>44607</v>
      </c>
      <c r="AB188" s="27"/>
      <c r="AC188" s="27"/>
      <c r="AD188" s="58">
        <v>6351.81</v>
      </c>
      <c r="AE188" s="31">
        <v>0</v>
      </c>
      <c r="AF188" t="b">
        <v>0</v>
      </c>
      <c r="AG188" s="78">
        <v>6351.81</v>
      </c>
    </row>
    <row r="189" spans="1:33" x14ac:dyDescent="0.25">
      <c r="A189" t="str">
        <f t="shared" si="12"/>
        <v>2021-188</v>
      </c>
      <c r="B189" s="1">
        <f t="shared" si="13"/>
        <v>44551</v>
      </c>
      <c r="C189" t="str">
        <f t="shared" si="14"/>
        <v>E0600GXXZJ/Microsoft Ireland Operations Ltd. One Microsoft Place, South County, Business Park, Leopardstown, Dublin 18, D18 P521, Ireland</v>
      </c>
      <c r="D189" t="str">
        <f t="shared" si="15"/>
        <v>Ausgaben</v>
      </c>
      <c r="E189" t="str">
        <f t="shared" si="15"/>
        <v>sonstige Betriebsausgaben</v>
      </c>
      <c r="F189" s="117">
        <f t="shared" si="16"/>
        <v>10.5</v>
      </c>
      <c r="G189" t="str">
        <f t="shared" si="17"/>
        <v>0%</v>
      </c>
      <c r="I189" s="53">
        <v>2021</v>
      </c>
      <c r="J189" s="53">
        <v>188</v>
      </c>
      <c r="K189" s="71" t="s">
        <v>105</v>
      </c>
      <c r="L189" t="s">
        <v>705</v>
      </c>
      <c r="M189" s="6" t="s">
        <v>1619</v>
      </c>
      <c r="N189" s="1">
        <v>44551</v>
      </c>
      <c r="O189" t="s">
        <v>1032</v>
      </c>
      <c r="Q189" s="76"/>
      <c r="R189" t="b">
        <v>0</v>
      </c>
      <c r="S189" s="48">
        <v>10.5</v>
      </c>
      <c r="T189" s="72">
        <v>1</v>
      </c>
      <c r="U189">
        <v>0</v>
      </c>
      <c r="V189" s="31">
        <v>0</v>
      </c>
      <c r="W189" s="31">
        <v>0</v>
      </c>
      <c r="X189" s="33">
        <v>10.5</v>
      </c>
      <c r="Y189" s="29">
        <v>10.5</v>
      </c>
      <c r="Z189" s="29">
        <v>10.5</v>
      </c>
      <c r="AA189" s="35">
        <v>44607</v>
      </c>
      <c r="AB189" s="27"/>
      <c r="AC189" s="27">
        <v>20</v>
      </c>
      <c r="AD189" s="58">
        <v>10.5</v>
      </c>
      <c r="AE189" s="31">
        <v>2.1</v>
      </c>
      <c r="AF189" t="b">
        <v>0</v>
      </c>
      <c r="AG189" s="78">
        <v>-10.5</v>
      </c>
    </row>
    <row r="190" spans="1:33" x14ac:dyDescent="0.25">
      <c r="A190" t="str">
        <f t="shared" si="12"/>
        <v>2021-189</v>
      </c>
      <c r="B190" s="1">
        <f t="shared" si="13"/>
        <v>44552</v>
      </c>
      <c r="C190" t="str">
        <f t="shared" si="14"/>
        <v>227JS2212211155/Wiener Linien GmbH &amp; Co KG</v>
      </c>
      <c r="D190" t="str">
        <f t="shared" si="15"/>
        <v>Ausgaben</v>
      </c>
      <c r="E190" t="str">
        <f t="shared" si="15"/>
        <v>Reise- und Fahrtspesen inkl. Kilometergeld und Diäten</v>
      </c>
      <c r="F190" s="117">
        <f t="shared" si="16"/>
        <v>40.799999999999997</v>
      </c>
      <c r="G190" t="str">
        <f t="shared" si="17"/>
        <v>0%</v>
      </c>
      <c r="I190" s="53">
        <v>2021</v>
      </c>
      <c r="J190" s="53">
        <v>189</v>
      </c>
      <c r="K190" s="71" t="s">
        <v>105</v>
      </c>
      <c r="L190" t="s">
        <v>689</v>
      </c>
      <c r="M190" s="9" t="s">
        <v>1620</v>
      </c>
      <c r="N190" s="1">
        <v>44552</v>
      </c>
      <c r="O190" t="s">
        <v>962</v>
      </c>
      <c r="Q190" s="76"/>
      <c r="R190" t="b">
        <v>0</v>
      </c>
      <c r="S190" s="48">
        <v>40.799999999999997</v>
      </c>
      <c r="T190" s="72">
        <v>1</v>
      </c>
      <c r="U190">
        <v>0</v>
      </c>
      <c r="V190" s="31">
        <v>0</v>
      </c>
      <c r="W190" s="31">
        <v>0</v>
      </c>
      <c r="X190" s="33">
        <v>40.799999999999997</v>
      </c>
      <c r="Y190" s="29">
        <v>40.799999999999997</v>
      </c>
      <c r="Z190" s="29">
        <v>40.799999999999997</v>
      </c>
      <c r="AA190" s="35">
        <v>44607</v>
      </c>
      <c r="AB190" s="27"/>
      <c r="AC190" s="27"/>
      <c r="AD190" s="58">
        <v>40.799999999999997</v>
      </c>
      <c r="AE190" s="31">
        <v>0</v>
      </c>
      <c r="AF190" t="b">
        <v>0</v>
      </c>
      <c r="AG190" s="78">
        <v>-40.799999999999997</v>
      </c>
    </row>
    <row r="191" spans="1:33" x14ac:dyDescent="0.25">
      <c r="A191" t="str">
        <f t="shared" si="12"/>
        <v>2021-190</v>
      </c>
      <c r="B191" s="1">
        <f t="shared" si="13"/>
        <v>44552</v>
      </c>
      <c r="C191" t="str">
        <f t="shared" si="14"/>
        <v>I210003034925/Hetzner Online GmbH: .at Domainregistrierung (mj1.at)</v>
      </c>
      <c r="D191" t="str">
        <f t="shared" si="15"/>
        <v>Ausgaben</v>
      </c>
      <c r="E191" t="str">
        <f t="shared" si="15"/>
        <v>sonstige Betriebsausgaben</v>
      </c>
      <c r="F191" s="117">
        <f t="shared" si="16"/>
        <v>10</v>
      </c>
      <c r="G191" t="str">
        <f t="shared" si="17"/>
        <v>0%</v>
      </c>
      <c r="I191" s="53">
        <v>2021</v>
      </c>
      <c r="J191" s="53">
        <v>190</v>
      </c>
      <c r="K191" s="71" t="s">
        <v>105</v>
      </c>
      <c r="L191" t="s">
        <v>705</v>
      </c>
      <c r="M191" s="6" t="s">
        <v>1621</v>
      </c>
      <c r="N191" s="1">
        <v>44552</v>
      </c>
      <c r="O191" t="s">
        <v>1622</v>
      </c>
      <c r="Q191" s="76"/>
      <c r="R191" t="b">
        <v>0</v>
      </c>
      <c r="S191" s="48">
        <v>10</v>
      </c>
      <c r="T191" s="72">
        <v>1</v>
      </c>
      <c r="U191">
        <v>0</v>
      </c>
      <c r="V191" s="31">
        <v>0</v>
      </c>
      <c r="W191" s="31">
        <v>0</v>
      </c>
      <c r="X191" s="33">
        <v>10</v>
      </c>
      <c r="Y191" s="29">
        <v>10</v>
      </c>
      <c r="Z191" s="29">
        <v>10</v>
      </c>
      <c r="AA191" s="35">
        <v>44607</v>
      </c>
      <c r="AB191" s="27"/>
      <c r="AC191" s="27">
        <v>20</v>
      </c>
      <c r="AD191" s="58">
        <v>10</v>
      </c>
      <c r="AE191" s="31">
        <v>2</v>
      </c>
      <c r="AF191" t="b">
        <v>0</v>
      </c>
      <c r="AG191" s="78">
        <v>-10</v>
      </c>
    </row>
    <row r="192" spans="1:33" x14ac:dyDescent="0.25">
      <c r="A192" t="str">
        <f t="shared" si="12"/>
        <v>2021-191</v>
      </c>
      <c r="B192" s="1">
        <f t="shared" si="13"/>
        <v>44558</v>
      </c>
      <c r="C192" t="str">
        <f t="shared" si="14"/>
        <v>12021032/Kolbitsch Engineering &amp; Consulting KNr 45</v>
      </c>
      <c r="D192" t="str">
        <f t="shared" si="15"/>
        <v>Einnahmen</v>
      </c>
      <c r="E192" t="str">
        <f t="shared" si="15"/>
        <v>Waren-/Leistungserlöse</v>
      </c>
      <c r="F192" s="117">
        <f t="shared" si="16"/>
        <v>1361.7</v>
      </c>
      <c r="G192" t="str">
        <f t="shared" si="17"/>
        <v>20%</v>
      </c>
      <c r="I192" s="53">
        <v>2021</v>
      </c>
      <c r="J192" s="53">
        <v>191</v>
      </c>
      <c r="K192" s="71" t="s">
        <v>708</v>
      </c>
      <c r="L192" t="s">
        <v>709</v>
      </c>
      <c r="M192" s="6">
        <v>12021032</v>
      </c>
      <c r="N192" s="1">
        <v>44558</v>
      </c>
      <c r="O192" t="s">
        <v>1513</v>
      </c>
      <c r="Q192" s="76"/>
      <c r="R192" t="b">
        <v>0</v>
      </c>
      <c r="S192" s="48">
        <v>1134.75</v>
      </c>
      <c r="T192" s="72">
        <v>1</v>
      </c>
      <c r="U192">
        <v>20</v>
      </c>
      <c r="V192" s="31">
        <v>226.95</v>
      </c>
      <c r="W192" s="31">
        <v>226.95</v>
      </c>
      <c r="X192" s="33">
        <v>1134.75</v>
      </c>
      <c r="Y192" s="29">
        <v>1361.7</v>
      </c>
      <c r="Z192" s="29">
        <v>1361.7</v>
      </c>
      <c r="AA192" s="35">
        <v>44607</v>
      </c>
      <c r="AB192" s="27"/>
      <c r="AC192" s="27"/>
      <c r="AD192" s="58">
        <v>1134.75</v>
      </c>
      <c r="AE192" s="31">
        <v>0</v>
      </c>
      <c r="AF192" t="b">
        <v>0</v>
      </c>
      <c r="AG192" s="78">
        <v>1134.75</v>
      </c>
    </row>
    <row r="193" spans="1:33" x14ac:dyDescent="0.25">
      <c r="A193" t="str">
        <f t="shared" si="12"/>
        <v>2021-192</v>
      </c>
      <c r="B193" s="1">
        <f t="shared" si="13"/>
        <v>44489</v>
      </c>
      <c r="C193" t="str">
        <f t="shared" si="14"/>
        <v>0893-20211020-01-5323/"Libro" PL Handelsgesellschaft mbH, 1080 Wien, Josefstädter Straße 105, ATU 56240311</v>
      </c>
      <c r="D193" t="str">
        <f t="shared" si="15"/>
        <v>Ausgaben</v>
      </c>
      <c r="E193" t="str">
        <f t="shared" si="15"/>
        <v>Büromaterial</v>
      </c>
      <c r="F193" s="117">
        <f t="shared" si="16"/>
        <v>4.2960000000000003</v>
      </c>
      <c r="G193" t="str">
        <f t="shared" si="17"/>
        <v>20%</v>
      </c>
      <c r="I193" s="53">
        <v>2021</v>
      </c>
      <c r="J193" s="53">
        <v>192</v>
      </c>
      <c r="K193" s="71" t="s">
        <v>105</v>
      </c>
      <c r="L193" t="s">
        <v>339</v>
      </c>
      <c r="M193" s="9" t="s">
        <v>1624</v>
      </c>
      <c r="N193" s="1">
        <v>44489</v>
      </c>
      <c r="O193" t="s">
        <v>1625</v>
      </c>
      <c r="Q193" s="76"/>
      <c r="R193" t="b">
        <v>0</v>
      </c>
      <c r="S193" s="48">
        <v>3.58</v>
      </c>
      <c r="T193" s="72">
        <v>1</v>
      </c>
      <c r="U193">
        <v>20</v>
      </c>
      <c r="V193" s="31">
        <v>0.71599999999999997</v>
      </c>
      <c r="W193" s="31">
        <v>0.71599999999999997</v>
      </c>
      <c r="X193" s="33">
        <v>3.58</v>
      </c>
      <c r="Y193" s="29">
        <v>4.2960000000000003</v>
      </c>
      <c r="Z193" s="29">
        <v>4.2960000000000003</v>
      </c>
      <c r="AA193" s="35">
        <v>44607</v>
      </c>
      <c r="AB193" s="27"/>
      <c r="AC193" s="27"/>
      <c r="AD193" s="58">
        <v>3.58</v>
      </c>
      <c r="AE193" s="31">
        <v>0</v>
      </c>
      <c r="AF193" t="b">
        <v>0</v>
      </c>
      <c r="AG193" s="78">
        <v>-3.58</v>
      </c>
    </row>
    <row r="194" spans="1:33" x14ac:dyDescent="0.25">
      <c r="A194" t="str">
        <f t="shared" si="12"/>
        <v>2021-193</v>
      </c>
      <c r="B194" s="1">
        <f t="shared" si="13"/>
        <v>44518</v>
      </c>
      <c r="C194" t="str">
        <f t="shared" si="14"/>
        <v>0893-20211118-01-8116/"Libro" PL Handelsgesellschaft mbH, 1080 Wien, Josefstädter Straße 105, ATU 56240311</v>
      </c>
      <c r="D194" t="str">
        <f t="shared" si="15"/>
        <v>Ausgaben</v>
      </c>
      <c r="E194" t="str">
        <f t="shared" si="15"/>
        <v>Büromaterial</v>
      </c>
      <c r="F194" s="117">
        <f t="shared" si="16"/>
        <v>12.384</v>
      </c>
      <c r="G194" t="str">
        <f t="shared" si="17"/>
        <v>20%</v>
      </c>
      <c r="I194" s="53">
        <v>2021</v>
      </c>
      <c r="J194" s="53">
        <v>193</v>
      </c>
      <c r="K194" s="71" t="s">
        <v>105</v>
      </c>
      <c r="L194" t="s">
        <v>339</v>
      </c>
      <c r="M194" s="9" t="s">
        <v>1626</v>
      </c>
      <c r="N194" s="1">
        <v>44518</v>
      </c>
      <c r="O194" t="s">
        <v>1625</v>
      </c>
      <c r="Q194" s="76"/>
      <c r="R194" t="b">
        <v>0</v>
      </c>
      <c r="S194" s="48">
        <v>10.32</v>
      </c>
      <c r="T194" s="72">
        <v>1</v>
      </c>
      <c r="U194">
        <v>20</v>
      </c>
      <c r="V194" s="31">
        <v>2.0640000000000001</v>
      </c>
      <c r="W194" s="31">
        <v>2.0640000000000001</v>
      </c>
      <c r="X194" s="33">
        <v>10.32</v>
      </c>
      <c r="Y194" s="29">
        <v>12.384</v>
      </c>
      <c r="Z194" s="29">
        <v>12.384</v>
      </c>
      <c r="AA194" s="35">
        <v>44607</v>
      </c>
      <c r="AB194" s="27"/>
      <c r="AC194" s="27"/>
      <c r="AD194" s="58">
        <v>10.32</v>
      </c>
      <c r="AE194" s="31">
        <v>0</v>
      </c>
      <c r="AF194" t="b">
        <v>0</v>
      </c>
      <c r="AG194" s="78">
        <v>-10.32</v>
      </c>
    </row>
    <row r="195" spans="1:33" x14ac:dyDescent="0.25">
      <c r="F195" s="117"/>
    </row>
    <row r="196" spans="1:33" x14ac:dyDescent="0.25">
      <c r="F196" s="117"/>
    </row>
    <row r="197" spans="1:33" x14ac:dyDescent="0.25">
      <c r="F197" s="117"/>
    </row>
    <row r="198" spans="1:33" x14ac:dyDescent="0.25">
      <c r="F198" s="117"/>
    </row>
    <row r="199" spans="1:33" x14ac:dyDescent="0.25">
      <c r="F199" s="117"/>
    </row>
    <row r="200" spans="1:33" x14ac:dyDescent="0.25">
      <c r="F200" s="117"/>
    </row>
    <row r="201" spans="1:33" x14ac:dyDescent="0.25">
      <c r="F201" s="117"/>
    </row>
    <row r="202" spans="1:33" x14ac:dyDescent="0.25">
      <c r="F202" s="117"/>
    </row>
    <row r="203" spans="1:33" x14ac:dyDescent="0.25">
      <c r="F203" s="117"/>
    </row>
    <row r="204" spans="1:33" x14ac:dyDescent="0.25">
      <c r="F204" s="117"/>
    </row>
    <row r="205" spans="1:33" x14ac:dyDescent="0.25">
      <c r="F205" s="117"/>
    </row>
    <row r="206" spans="1:33" x14ac:dyDescent="0.25">
      <c r="F206" s="117"/>
    </row>
    <row r="207" spans="1:33" x14ac:dyDescent="0.25">
      <c r="F207" s="117"/>
    </row>
    <row r="208" spans="1:33" x14ac:dyDescent="0.25">
      <c r="F208" s="117"/>
    </row>
    <row r="209" spans="6:6" x14ac:dyDescent="0.25">
      <c r="F209" s="117"/>
    </row>
    <row r="210" spans="6:6" x14ac:dyDescent="0.25">
      <c r="F210" s="117"/>
    </row>
    <row r="211" spans="6:6" x14ac:dyDescent="0.25">
      <c r="F211" s="117"/>
    </row>
    <row r="212" spans="6:6" x14ac:dyDescent="0.25">
      <c r="F212" s="117"/>
    </row>
    <row r="213" spans="6:6" x14ac:dyDescent="0.25">
      <c r="F213" s="117"/>
    </row>
    <row r="214" spans="6:6" x14ac:dyDescent="0.25">
      <c r="F214" s="117"/>
    </row>
    <row r="215" spans="6:6" x14ac:dyDescent="0.25">
      <c r="F215" s="117"/>
    </row>
    <row r="216" spans="6:6" x14ac:dyDescent="0.25">
      <c r="F216" s="117"/>
    </row>
    <row r="217" spans="6:6" x14ac:dyDescent="0.25">
      <c r="F217" s="117"/>
    </row>
    <row r="218" spans="6:6" x14ac:dyDescent="0.25">
      <c r="F218" s="117"/>
    </row>
    <row r="219" spans="6:6" x14ac:dyDescent="0.25">
      <c r="F219" s="117"/>
    </row>
    <row r="220" spans="6:6" x14ac:dyDescent="0.25">
      <c r="F220" s="117"/>
    </row>
    <row r="221" spans="6:6" x14ac:dyDescent="0.25">
      <c r="F221" s="117"/>
    </row>
  </sheetData>
  <autoFilter ref="A1:G197" xr:uid="{14E14B9B-1694-4DBB-A8FE-9E75F9B47E22}"/>
  <conditionalFormatting sqref="D1">
    <cfRule type="containsText" dxfId="3875" priority="12165" operator="containsText" text="Einnahmen">
      <formula>NOT(ISERROR(SEARCH("Einnahmen",D1)))</formula>
    </cfRule>
    <cfRule type="containsText" dxfId="3874" priority="12166" operator="containsText" text="Ausgaben">
      <formula>NOT(ISERROR(SEARCH("Ausgaben",D1)))</formula>
    </cfRule>
  </conditionalFormatting>
  <conditionalFormatting sqref="B1">
    <cfRule type="expression" dxfId="3873" priority="12164">
      <formula>ISBLANK(#REF!)</formula>
    </cfRule>
  </conditionalFormatting>
  <conditionalFormatting sqref="M9:M10 M12 M14 M18 M27 M37 M51 M53 M55 M61 M66 M70:M71 M107 M109:M110 M153 M156 M168 M192:M193">
    <cfRule type="expression" dxfId="3872" priority="1560">
      <formula>ISBLANK(M9)</formula>
    </cfRule>
  </conditionalFormatting>
  <conditionalFormatting sqref="K2 K9:K10 K12 K14 K18 K27 K34:K35 K37 K51 K53 K55 K61 K71 K93 K95">
    <cfRule type="containsText" dxfId="3871" priority="1558" operator="containsText" text="Einnahmen">
      <formula>NOT(ISERROR(SEARCH("Einnahmen",K2)))</formula>
    </cfRule>
    <cfRule type="containsText" dxfId="3870" priority="1559" operator="containsText" text="Ausgaben">
      <formula>NOT(ISERROR(SEARCH("Ausgaben",K2)))</formula>
    </cfRule>
  </conditionalFormatting>
  <conditionalFormatting sqref="M2">
    <cfRule type="expression" dxfId="3869" priority="1557">
      <formula>ISBLANK(M2)</formula>
    </cfRule>
  </conditionalFormatting>
  <conditionalFormatting sqref="K3">
    <cfRule type="containsText" dxfId="3868" priority="1555" operator="containsText" text="Einnahmen">
      <formula>NOT(ISERROR(SEARCH("Einnahmen",K3)))</formula>
    </cfRule>
    <cfRule type="containsText" dxfId="3867" priority="1556" operator="containsText" text="Ausgaben">
      <formula>NOT(ISERROR(SEARCH("Ausgaben",K3)))</formula>
    </cfRule>
  </conditionalFormatting>
  <conditionalFormatting sqref="K4">
    <cfRule type="containsText" dxfId="3866" priority="1553" operator="containsText" text="Einnahmen">
      <formula>NOT(ISERROR(SEARCH("Einnahmen",K4)))</formula>
    </cfRule>
    <cfRule type="containsText" dxfId="3865" priority="1554" operator="containsText" text="Ausgaben">
      <formula>NOT(ISERROR(SEARCH("Ausgaben",K4)))</formula>
    </cfRule>
  </conditionalFormatting>
  <conditionalFormatting sqref="M4">
    <cfRule type="expression" dxfId="3864" priority="1552">
      <formula>ISBLANK(M4)</formula>
    </cfRule>
  </conditionalFormatting>
  <conditionalFormatting sqref="K5">
    <cfRule type="containsText" dxfId="3863" priority="1550" operator="containsText" text="Einnahmen">
      <formula>NOT(ISERROR(SEARCH("Einnahmen",K5)))</formula>
    </cfRule>
    <cfRule type="containsText" dxfId="3862" priority="1551" operator="containsText" text="Ausgaben">
      <formula>NOT(ISERROR(SEARCH("Ausgaben",K5)))</formula>
    </cfRule>
  </conditionalFormatting>
  <conditionalFormatting sqref="K6">
    <cfRule type="containsText" dxfId="3861" priority="1548" operator="containsText" text="Einnahmen">
      <formula>NOT(ISERROR(SEARCH("Einnahmen",K6)))</formula>
    </cfRule>
    <cfRule type="containsText" dxfId="3860" priority="1549" operator="containsText" text="Ausgaben">
      <formula>NOT(ISERROR(SEARCH("Ausgaben",K6)))</formula>
    </cfRule>
  </conditionalFormatting>
  <conditionalFormatting sqref="K8">
    <cfRule type="containsText" dxfId="3859" priority="1546" operator="containsText" text="Einnahmen">
      <formula>NOT(ISERROR(SEARCH("Einnahmen",K8)))</formula>
    </cfRule>
    <cfRule type="containsText" dxfId="3858" priority="1547" operator="containsText" text="Ausgaben">
      <formula>NOT(ISERROR(SEARCH("Ausgaben",K8)))</formula>
    </cfRule>
  </conditionalFormatting>
  <conditionalFormatting sqref="M8">
    <cfRule type="expression" dxfId="3857" priority="1545">
      <formula>ISBLANK(M8)</formula>
    </cfRule>
  </conditionalFormatting>
  <conditionalFormatting sqref="K8">
    <cfRule type="containsText" dxfId="3856" priority="1543" operator="containsText" text="Einnahmen">
      <formula>NOT(ISERROR(SEARCH("Einnahmen",K8)))</formula>
    </cfRule>
    <cfRule type="containsText" dxfId="3855" priority="1544" operator="containsText" text="Ausgaben">
      <formula>NOT(ISERROR(SEARCH("Ausgaben",K8)))</formula>
    </cfRule>
  </conditionalFormatting>
  <conditionalFormatting sqref="M8">
    <cfRule type="expression" dxfId="3854" priority="1542">
      <formula>ISBLANK(M8)</formula>
    </cfRule>
  </conditionalFormatting>
  <conditionalFormatting sqref="K9">
    <cfRule type="containsText" dxfId="3853" priority="1540" operator="containsText" text="Einnahmen">
      <formula>NOT(ISERROR(SEARCH("Einnahmen",K9)))</formula>
    </cfRule>
    <cfRule type="containsText" dxfId="3852" priority="1541" operator="containsText" text="Ausgaben">
      <formula>NOT(ISERROR(SEARCH("Ausgaben",K9)))</formula>
    </cfRule>
  </conditionalFormatting>
  <conditionalFormatting sqref="M9">
    <cfRule type="expression" dxfId="3851" priority="1539">
      <formula>ISBLANK(M9)</formula>
    </cfRule>
  </conditionalFormatting>
  <conditionalFormatting sqref="K8">
    <cfRule type="containsText" dxfId="3850" priority="1537" operator="containsText" text="Einnahmen">
      <formula>NOT(ISERROR(SEARCH("Einnahmen",K8)))</formula>
    </cfRule>
    <cfRule type="containsText" dxfId="3849" priority="1538" operator="containsText" text="Ausgaben">
      <formula>NOT(ISERROR(SEARCH("Ausgaben",K8)))</formula>
    </cfRule>
  </conditionalFormatting>
  <conditionalFormatting sqref="M8">
    <cfRule type="expression" dxfId="3848" priority="1536">
      <formula>ISBLANK(M8)</formula>
    </cfRule>
  </conditionalFormatting>
  <conditionalFormatting sqref="K9">
    <cfRule type="containsText" dxfId="3847" priority="1534" operator="containsText" text="Einnahmen">
      <formula>NOT(ISERROR(SEARCH("Einnahmen",K9)))</formula>
    </cfRule>
    <cfRule type="containsText" dxfId="3846" priority="1535" operator="containsText" text="Ausgaben">
      <formula>NOT(ISERROR(SEARCH("Ausgaben",K9)))</formula>
    </cfRule>
  </conditionalFormatting>
  <conditionalFormatting sqref="M9">
    <cfRule type="expression" dxfId="3845" priority="1533">
      <formula>ISBLANK(M9)</formula>
    </cfRule>
  </conditionalFormatting>
  <conditionalFormatting sqref="K8">
    <cfRule type="containsText" dxfId="3844" priority="1531" operator="containsText" text="Einnahmen">
      <formula>NOT(ISERROR(SEARCH("Einnahmen",K8)))</formula>
    </cfRule>
    <cfRule type="containsText" dxfId="3843" priority="1532" operator="containsText" text="Ausgaben">
      <formula>NOT(ISERROR(SEARCH("Ausgaben",K8)))</formula>
    </cfRule>
  </conditionalFormatting>
  <conditionalFormatting sqref="M8">
    <cfRule type="expression" dxfId="3842" priority="1530">
      <formula>ISBLANK(M8)</formula>
    </cfRule>
  </conditionalFormatting>
  <conditionalFormatting sqref="K9">
    <cfRule type="containsText" dxfId="3841" priority="1528" operator="containsText" text="Einnahmen">
      <formula>NOT(ISERROR(SEARCH("Einnahmen",K9)))</formula>
    </cfRule>
    <cfRule type="containsText" dxfId="3840" priority="1529" operator="containsText" text="Ausgaben">
      <formula>NOT(ISERROR(SEARCH("Ausgaben",K9)))</formula>
    </cfRule>
  </conditionalFormatting>
  <conditionalFormatting sqref="M9">
    <cfRule type="expression" dxfId="3839" priority="1527">
      <formula>ISBLANK(M9)</formula>
    </cfRule>
  </conditionalFormatting>
  <conditionalFormatting sqref="K10">
    <cfRule type="containsText" dxfId="3838" priority="1525" operator="containsText" text="Einnahmen">
      <formula>NOT(ISERROR(SEARCH("Einnahmen",K10)))</formula>
    </cfRule>
    <cfRule type="containsText" dxfId="3837" priority="1526" operator="containsText" text="Ausgaben">
      <formula>NOT(ISERROR(SEARCH("Ausgaben",K10)))</formula>
    </cfRule>
  </conditionalFormatting>
  <conditionalFormatting sqref="M10">
    <cfRule type="expression" dxfId="3836" priority="1524">
      <formula>ISBLANK(M10)</formula>
    </cfRule>
  </conditionalFormatting>
  <conditionalFormatting sqref="M7">
    <cfRule type="expression" dxfId="3835" priority="1523">
      <formula>ISBLANK(M7)</formula>
    </cfRule>
  </conditionalFormatting>
  <conditionalFormatting sqref="K7">
    <cfRule type="containsText" dxfId="3834" priority="1521" operator="containsText" text="Einnahmen">
      <formula>NOT(ISERROR(SEARCH("Einnahmen",K7)))</formula>
    </cfRule>
    <cfRule type="containsText" dxfId="3833" priority="1522" operator="containsText" text="Ausgaben">
      <formula>NOT(ISERROR(SEARCH("Ausgaben",K7)))</formula>
    </cfRule>
  </conditionalFormatting>
  <conditionalFormatting sqref="M5">
    <cfRule type="expression" dxfId="3832" priority="1520">
      <formula>ISBLANK(M5)</formula>
    </cfRule>
  </conditionalFormatting>
  <conditionalFormatting sqref="K11">
    <cfRule type="containsText" dxfId="3831" priority="1518" operator="containsText" text="Einnahmen">
      <formula>NOT(ISERROR(SEARCH("Einnahmen",K11)))</formula>
    </cfRule>
    <cfRule type="containsText" dxfId="3830" priority="1519" operator="containsText" text="Ausgaben">
      <formula>NOT(ISERROR(SEARCH("Ausgaben",K11)))</formula>
    </cfRule>
  </conditionalFormatting>
  <conditionalFormatting sqref="M11">
    <cfRule type="expression" dxfId="3829" priority="1517">
      <formula>ISBLANK(M11)</formula>
    </cfRule>
  </conditionalFormatting>
  <conditionalFormatting sqref="M13">
    <cfRule type="expression" dxfId="3828" priority="1516">
      <formula>ISBLANK(M13)</formula>
    </cfRule>
  </conditionalFormatting>
  <conditionalFormatting sqref="K13">
    <cfRule type="containsText" dxfId="3827" priority="1514" operator="containsText" text="Einnahmen">
      <formula>NOT(ISERROR(SEARCH("Einnahmen",K13)))</formula>
    </cfRule>
    <cfRule type="containsText" dxfId="3826" priority="1515" operator="containsText" text="Ausgaben">
      <formula>NOT(ISERROR(SEARCH("Ausgaben",K13)))</formula>
    </cfRule>
  </conditionalFormatting>
  <conditionalFormatting sqref="K15">
    <cfRule type="containsText" dxfId="3825" priority="1512" operator="containsText" text="Einnahmen">
      <formula>NOT(ISERROR(SEARCH("Einnahmen",K15)))</formula>
    </cfRule>
    <cfRule type="containsText" dxfId="3824" priority="1513" operator="containsText" text="Ausgaben">
      <formula>NOT(ISERROR(SEARCH("Ausgaben",K15)))</formula>
    </cfRule>
  </conditionalFormatting>
  <conditionalFormatting sqref="M15">
    <cfRule type="expression" dxfId="3823" priority="1511">
      <formula>ISBLANK(M15)</formula>
    </cfRule>
  </conditionalFormatting>
  <conditionalFormatting sqref="K16">
    <cfRule type="containsText" dxfId="3822" priority="1509" operator="containsText" text="Einnahmen">
      <formula>NOT(ISERROR(SEARCH("Einnahmen",K16)))</formula>
    </cfRule>
    <cfRule type="containsText" dxfId="3821" priority="1510" operator="containsText" text="Ausgaben">
      <formula>NOT(ISERROR(SEARCH("Ausgaben",K16)))</formula>
    </cfRule>
  </conditionalFormatting>
  <conditionalFormatting sqref="K17">
    <cfRule type="containsText" dxfId="3820" priority="1507" operator="containsText" text="Einnahmen">
      <formula>NOT(ISERROR(SEARCH("Einnahmen",K17)))</formula>
    </cfRule>
    <cfRule type="containsText" dxfId="3819" priority="1508" operator="containsText" text="Ausgaben">
      <formula>NOT(ISERROR(SEARCH("Ausgaben",K17)))</formula>
    </cfRule>
  </conditionalFormatting>
  <conditionalFormatting sqref="M17">
    <cfRule type="expression" dxfId="3818" priority="1506">
      <formula>ISBLANK(M17)</formula>
    </cfRule>
  </conditionalFormatting>
  <conditionalFormatting sqref="M19">
    <cfRule type="expression" dxfId="3817" priority="1505">
      <formula>ISBLANK(M19)</formula>
    </cfRule>
  </conditionalFormatting>
  <conditionalFormatting sqref="K19">
    <cfRule type="containsText" dxfId="3816" priority="1503" operator="containsText" text="Einnahmen">
      <formula>NOT(ISERROR(SEARCH("Einnahmen",K19)))</formula>
    </cfRule>
    <cfRule type="containsText" dxfId="3815" priority="1504" operator="containsText" text="Ausgaben">
      <formula>NOT(ISERROR(SEARCH("Ausgaben",K19)))</formula>
    </cfRule>
  </conditionalFormatting>
  <conditionalFormatting sqref="K20">
    <cfRule type="containsText" dxfId="3814" priority="1501" operator="containsText" text="Einnahmen">
      <formula>NOT(ISERROR(SEARCH("Einnahmen",K20)))</formula>
    </cfRule>
    <cfRule type="containsText" dxfId="3813" priority="1502" operator="containsText" text="Ausgaben">
      <formula>NOT(ISERROR(SEARCH("Ausgaben",K20)))</formula>
    </cfRule>
  </conditionalFormatting>
  <conditionalFormatting sqref="M20">
    <cfRule type="expression" dxfId="3812" priority="1500">
      <formula>ISBLANK(M20)</formula>
    </cfRule>
  </conditionalFormatting>
  <conditionalFormatting sqref="K21">
    <cfRule type="containsText" dxfId="3811" priority="1498" operator="containsText" text="Einnahmen">
      <formula>NOT(ISERROR(SEARCH("Einnahmen",K21)))</formula>
    </cfRule>
    <cfRule type="containsText" dxfId="3810" priority="1499" operator="containsText" text="Ausgaben">
      <formula>NOT(ISERROR(SEARCH("Ausgaben",K21)))</formula>
    </cfRule>
  </conditionalFormatting>
  <conditionalFormatting sqref="M21">
    <cfRule type="expression" dxfId="3809" priority="1497">
      <formula>ISBLANK(M21)</formula>
    </cfRule>
  </conditionalFormatting>
  <conditionalFormatting sqref="K22">
    <cfRule type="containsText" dxfId="3808" priority="1495" operator="containsText" text="Einnahmen">
      <formula>NOT(ISERROR(SEARCH("Einnahmen",K22)))</formula>
    </cfRule>
    <cfRule type="containsText" dxfId="3807" priority="1496" operator="containsText" text="Ausgaben">
      <formula>NOT(ISERROR(SEARCH("Ausgaben",K22)))</formula>
    </cfRule>
  </conditionalFormatting>
  <conditionalFormatting sqref="K23">
    <cfRule type="containsText" dxfId="3806" priority="1493" operator="containsText" text="Einnahmen">
      <formula>NOT(ISERROR(SEARCH("Einnahmen",K23)))</formula>
    </cfRule>
    <cfRule type="containsText" dxfId="3805" priority="1494" operator="containsText" text="Ausgaben">
      <formula>NOT(ISERROR(SEARCH("Ausgaben",K23)))</formula>
    </cfRule>
  </conditionalFormatting>
  <conditionalFormatting sqref="K24">
    <cfRule type="containsText" dxfId="3804" priority="1491" operator="containsText" text="Einnahmen">
      <formula>NOT(ISERROR(SEARCH("Einnahmen",K24)))</formula>
    </cfRule>
    <cfRule type="containsText" dxfId="3803" priority="1492" operator="containsText" text="Ausgaben">
      <formula>NOT(ISERROR(SEARCH("Ausgaben",K24)))</formula>
    </cfRule>
  </conditionalFormatting>
  <conditionalFormatting sqref="K25">
    <cfRule type="containsText" dxfId="3802" priority="1489" operator="containsText" text="Einnahmen">
      <formula>NOT(ISERROR(SEARCH("Einnahmen",K25)))</formula>
    </cfRule>
    <cfRule type="containsText" dxfId="3801" priority="1490" operator="containsText" text="Ausgaben">
      <formula>NOT(ISERROR(SEARCH("Ausgaben",K25)))</formula>
    </cfRule>
  </conditionalFormatting>
  <conditionalFormatting sqref="M26">
    <cfRule type="expression" dxfId="3800" priority="1488">
      <formula>ISBLANK(M26)</formula>
    </cfRule>
  </conditionalFormatting>
  <conditionalFormatting sqref="M26">
    <cfRule type="expression" dxfId="3799" priority="1487">
      <formula>ISBLANK(M26)</formula>
    </cfRule>
  </conditionalFormatting>
  <conditionalFormatting sqref="M27">
    <cfRule type="expression" dxfId="3798" priority="1486">
      <formula>ISBLANK(M27)</formula>
    </cfRule>
  </conditionalFormatting>
  <conditionalFormatting sqref="K28">
    <cfRule type="containsText" dxfId="3797" priority="1484" operator="containsText" text="Einnahmen">
      <formula>NOT(ISERROR(SEARCH("Einnahmen",K28)))</formula>
    </cfRule>
    <cfRule type="containsText" dxfId="3796" priority="1485" operator="containsText" text="Ausgaben">
      <formula>NOT(ISERROR(SEARCH("Ausgaben",K28)))</formula>
    </cfRule>
  </conditionalFormatting>
  <conditionalFormatting sqref="M28">
    <cfRule type="expression" dxfId="3795" priority="1483">
      <formula>ISBLANK(M28)</formula>
    </cfRule>
  </conditionalFormatting>
  <conditionalFormatting sqref="M29">
    <cfRule type="expression" dxfId="3794" priority="1482">
      <formula>ISBLANK(M29)</formula>
    </cfRule>
  </conditionalFormatting>
  <conditionalFormatting sqref="K29">
    <cfRule type="containsText" dxfId="3793" priority="1480" operator="containsText" text="Einnahmen">
      <formula>NOT(ISERROR(SEARCH("Einnahmen",K29)))</formula>
    </cfRule>
    <cfRule type="containsText" dxfId="3792" priority="1481" operator="containsText" text="Ausgaben">
      <formula>NOT(ISERROR(SEARCH("Ausgaben",K29)))</formula>
    </cfRule>
  </conditionalFormatting>
  <conditionalFormatting sqref="M30">
    <cfRule type="expression" dxfId="3791" priority="1479">
      <formula>ISBLANK(M30)</formula>
    </cfRule>
  </conditionalFormatting>
  <conditionalFormatting sqref="K30">
    <cfRule type="containsText" dxfId="3790" priority="1477" operator="containsText" text="Einnahmen">
      <formula>NOT(ISERROR(SEARCH("Einnahmen",K30)))</formula>
    </cfRule>
    <cfRule type="containsText" dxfId="3789" priority="1478" operator="containsText" text="Ausgaben">
      <formula>NOT(ISERROR(SEARCH("Ausgaben",K30)))</formula>
    </cfRule>
  </conditionalFormatting>
  <conditionalFormatting sqref="K26">
    <cfRule type="containsText" dxfId="3788" priority="1475" operator="containsText" text="Einnahmen">
      <formula>NOT(ISERROR(SEARCH("Einnahmen",K26)))</formula>
    </cfRule>
    <cfRule type="containsText" dxfId="3787" priority="1476" operator="containsText" text="Ausgaben">
      <formula>NOT(ISERROR(SEARCH("Ausgaben",K26)))</formula>
    </cfRule>
  </conditionalFormatting>
  <conditionalFormatting sqref="K31">
    <cfRule type="containsText" dxfId="3786" priority="1473" operator="containsText" text="Einnahmen">
      <formula>NOT(ISERROR(SEARCH("Einnahmen",K31)))</formula>
    </cfRule>
    <cfRule type="containsText" dxfId="3785" priority="1474" operator="containsText" text="Ausgaben">
      <formula>NOT(ISERROR(SEARCH("Ausgaben",K31)))</formula>
    </cfRule>
  </conditionalFormatting>
  <conditionalFormatting sqref="M32">
    <cfRule type="expression" dxfId="3784" priority="1472">
      <formula>ISBLANK(M32)</formula>
    </cfRule>
  </conditionalFormatting>
  <conditionalFormatting sqref="K32">
    <cfRule type="containsText" dxfId="3783" priority="1470" operator="containsText" text="Einnahmen">
      <formula>NOT(ISERROR(SEARCH("Einnahmen",K32)))</formula>
    </cfRule>
    <cfRule type="containsText" dxfId="3782" priority="1471" operator="containsText" text="Ausgaben">
      <formula>NOT(ISERROR(SEARCH("Ausgaben",K32)))</formula>
    </cfRule>
  </conditionalFormatting>
  <conditionalFormatting sqref="K33">
    <cfRule type="containsText" dxfId="3781" priority="1468" operator="containsText" text="Einnahmen">
      <formula>NOT(ISERROR(SEARCH("Einnahmen",K33)))</formula>
    </cfRule>
    <cfRule type="containsText" dxfId="3780" priority="1469" operator="containsText" text="Ausgaben">
      <formula>NOT(ISERROR(SEARCH("Ausgaben",K33)))</formula>
    </cfRule>
  </conditionalFormatting>
  <conditionalFormatting sqref="M34">
    <cfRule type="expression" dxfId="3779" priority="1467">
      <formula>ISBLANK(M34)</formula>
    </cfRule>
  </conditionalFormatting>
  <conditionalFormatting sqref="M35">
    <cfRule type="expression" dxfId="3778" priority="1466">
      <formula>ISBLANK(M35)</formula>
    </cfRule>
  </conditionalFormatting>
  <conditionalFormatting sqref="K36">
    <cfRule type="containsText" dxfId="3777" priority="1464" operator="containsText" text="Einnahmen">
      <formula>NOT(ISERROR(SEARCH("Einnahmen",K36)))</formula>
    </cfRule>
    <cfRule type="containsText" dxfId="3776" priority="1465" operator="containsText" text="Ausgaben">
      <formula>NOT(ISERROR(SEARCH("Ausgaben",K36)))</formula>
    </cfRule>
  </conditionalFormatting>
  <conditionalFormatting sqref="M38">
    <cfRule type="expression" dxfId="3775" priority="1463">
      <formula>ISBLANK(M38)</formula>
    </cfRule>
  </conditionalFormatting>
  <conditionalFormatting sqref="K38">
    <cfRule type="containsText" dxfId="3774" priority="1461" operator="containsText" text="Einnahmen">
      <formula>NOT(ISERROR(SEARCH("Einnahmen",K38)))</formula>
    </cfRule>
    <cfRule type="containsText" dxfId="3773" priority="1462" operator="containsText" text="Ausgaben">
      <formula>NOT(ISERROR(SEARCH("Ausgaben",K38)))</formula>
    </cfRule>
  </conditionalFormatting>
  <conditionalFormatting sqref="K39">
    <cfRule type="containsText" dxfId="3772" priority="1459" operator="containsText" text="Einnahmen">
      <formula>NOT(ISERROR(SEARCH("Einnahmen",K39)))</formula>
    </cfRule>
    <cfRule type="containsText" dxfId="3771" priority="1460" operator="containsText" text="Ausgaben">
      <formula>NOT(ISERROR(SEARCH("Ausgaben",K39)))</formula>
    </cfRule>
  </conditionalFormatting>
  <conditionalFormatting sqref="K40">
    <cfRule type="containsText" dxfId="3770" priority="1457" operator="containsText" text="Einnahmen">
      <formula>NOT(ISERROR(SEARCH("Einnahmen",K40)))</formula>
    </cfRule>
    <cfRule type="containsText" dxfId="3769" priority="1458" operator="containsText" text="Ausgaben">
      <formula>NOT(ISERROR(SEARCH("Ausgaben",K40)))</formula>
    </cfRule>
  </conditionalFormatting>
  <conditionalFormatting sqref="K41">
    <cfRule type="containsText" dxfId="3768" priority="1455" operator="containsText" text="Einnahmen">
      <formula>NOT(ISERROR(SEARCH("Einnahmen",K41)))</formula>
    </cfRule>
    <cfRule type="containsText" dxfId="3767" priority="1456" operator="containsText" text="Ausgaben">
      <formula>NOT(ISERROR(SEARCH("Ausgaben",K41)))</formula>
    </cfRule>
  </conditionalFormatting>
  <conditionalFormatting sqref="K42">
    <cfRule type="containsText" dxfId="3766" priority="1453" operator="containsText" text="Einnahmen">
      <formula>NOT(ISERROR(SEARCH("Einnahmen",K42)))</formula>
    </cfRule>
    <cfRule type="containsText" dxfId="3765" priority="1454" operator="containsText" text="Ausgaben">
      <formula>NOT(ISERROR(SEARCH("Ausgaben",K42)))</formula>
    </cfRule>
  </conditionalFormatting>
  <conditionalFormatting sqref="M42">
    <cfRule type="expression" dxfId="3764" priority="1452">
      <formula>ISBLANK(M42)</formula>
    </cfRule>
  </conditionalFormatting>
  <conditionalFormatting sqref="M43">
    <cfRule type="expression" dxfId="3763" priority="1451">
      <formula>ISBLANK(M43)</formula>
    </cfRule>
  </conditionalFormatting>
  <conditionalFormatting sqref="M43">
    <cfRule type="expression" dxfId="3762" priority="1450">
      <formula>ISBLANK(M43)</formula>
    </cfRule>
  </conditionalFormatting>
  <conditionalFormatting sqref="K43">
    <cfRule type="containsText" dxfId="3761" priority="1448" operator="containsText" text="Einnahmen">
      <formula>NOT(ISERROR(SEARCH("Einnahmen",K43)))</formula>
    </cfRule>
    <cfRule type="containsText" dxfId="3760" priority="1449" operator="containsText" text="Ausgaben">
      <formula>NOT(ISERROR(SEARCH("Ausgaben",K43)))</formula>
    </cfRule>
  </conditionalFormatting>
  <conditionalFormatting sqref="M44">
    <cfRule type="expression" dxfId="3759" priority="1447">
      <formula>ISBLANK(M44)</formula>
    </cfRule>
  </conditionalFormatting>
  <conditionalFormatting sqref="K44">
    <cfRule type="containsText" dxfId="3758" priority="1445" operator="containsText" text="Einnahmen">
      <formula>NOT(ISERROR(SEARCH("Einnahmen",K44)))</formula>
    </cfRule>
    <cfRule type="containsText" dxfId="3757" priority="1446" operator="containsText" text="Ausgaben">
      <formula>NOT(ISERROR(SEARCH("Ausgaben",K44)))</formula>
    </cfRule>
  </conditionalFormatting>
  <conditionalFormatting sqref="M44">
    <cfRule type="expression" dxfId="3756" priority="1444">
      <formula>ISBLANK(M44)</formula>
    </cfRule>
  </conditionalFormatting>
  <conditionalFormatting sqref="M45">
    <cfRule type="expression" dxfId="3755" priority="1443">
      <formula>ISBLANK(M45)</formula>
    </cfRule>
  </conditionalFormatting>
  <conditionalFormatting sqref="K45">
    <cfRule type="containsText" dxfId="3754" priority="1441" operator="containsText" text="Einnahmen">
      <formula>NOT(ISERROR(SEARCH("Einnahmen",K45)))</formula>
    </cfRule>
    <cfRule type="containsText" dxfId="3753" priority="1442" operator="containsText" text="Ausgaben">
      <formula>NOT(ISERROR(SEARCH("Ausgaben",K45)))</formula>
    </cfRule>
  </conditionalFormatting>
  <conditionalFormatting sqref="K46">
    <cfRule type="containsText" dxfId="3752" priority="1439" operator="containsText" text="Einnahmen">
      <formula>NOT(ISERROR(SEARCH("Einnahmen",K46)))</formula>
    </cfRule>
    <cfRule type="containsText" dxfId="3751" priority="1440" operator="containsText" text="Ausgaben">
      <formula>NOT(ISERROR(SEARCH("Ausgaben",K46)))</formula>
    </cfRule>
  </conditionalFormatting>
  <conditionalFormatting sqref="M47">
    <cfRule type="expression" dxfId="3750" priority="1438">
      <formula>ISBLANK(M47)</formula>
    </cfRule>
  </conditionalFormatting>
  <conditionalFormatting sqref="K47">
    <cfRule type="containsText" dxfId="3749" priority="1436" operator="containsText" text="Einnahmen">
      <formula>NOT(ISERROR(SEARCH("Einnahmen",K47)))</formula>
    </cfRule>
    <cfRule type="containsText" dxfId="3748" priority="1437" operator="containsText" text="Ausgaben">
      <formula>NOT(ISERROR(SEARCH("Ausgaben",K47)))</formula>
    </cfRule>
  </conditionalFormatting>
  <conditionalFormatting sqref="K48">
    <cfRule type="containsText" dxfId="3747" priority="1434" operator="containsText" text="Einnahmen">
      <formula>NOT(ISERROR(SEARCH("Einnahmen",K48)))</formula>
    </cfRule>
    <cfRule type="containsText" dxfId="3746" priority="1435" operator="containsText" text="Ausgaben">
      <formula>NOT(ISERROR(SEARCH("Ausgaben",K48)))</formula>
    </cfRule>
  </conditionalFormatting>
  <conditionalFormatting sqref="M48">
    <cfRule type="expression" dxfId="3745" priority="1433">
      <formula>ISBLANK(M48)</formula>
    </cfRule>
  </conditionalFormatting>
  <conditionalFormatting sqref="K49">
    <cfRule type="containsText" dxfId="3744" priority="1431" operator="containsText" text="Einnahmen">
      <formula>NOT(ISERROR(SEARCH("Einnahmen",K49)))</formula>
    </cfRule>
    <cfRule type="containsText" dxfId="3743" priority="1432" operator="containsText" text="Ausgaben">
      <formula>NOT(ISERROR(SEARCH("Ausgaben",K49)))</formula>
    </cfRule>
  </conditionalFormatting>
  <conditionalFormatting sqref="M49">
    <cfRule type="expression" dxfId="3742" priority="1430">
      <formula>ISBLANK(M49)</formula>
    </cfRule>
  </conditionalFormatting>
  <conditionalFormatting sqref="M25">
    <cfRule type="expression" dxfId="3741" priority="1429">
      <formula>ISBLANK(M25)</formula>
    </cfRule>
  </conditionalFormatting>
  <conditionalFormatting sqref="M25">
    <cfRule type="expression" dxfId="3740" priority="1428">
      <formula>ISBLANK(M25)</formula>
    </cfRule>
  </conditionalFormatting>
  <conditionalFormatting sqref="M25">
    <cfRule type="expression" dxfId="3739" priority="1427">
      <formula>ISBLANK(M25)</formula>
    </cfRule>
  </conditionalFormatting>
  <conditionalFormatting sqref="M25">
    <cfRule type="expression" dxfId="3738" priority="1426">
      <formula>ISBLANK(M25)</formula>
    </cfRule>
  </conditionalFormatting>
  <conditionalFormatting sqref="M33">
    <cfRule type="expression" dxfId="3737" priority="1425">
      <formula>ISBLANK(M33)</formula>
    </cfRule>
  </conditionalFormatting>
  <conditionalFormatting sqref="M33">
    <cfRule type="expression" dxfId="3736" priority="1424">
      <formula>ISBLANK(M33)</formula>
    </cfRule>
  </conditionalFormatting>
  <conditionalFormatting sqref="M33">
    <cfRule type="expression" dxfId="3735" priority="1423">
      <formula>ISBLANK(M33)</formula>
    </cfRule>
  </conditionalFormatting>
  <conditionalFormatting sqref="M33">
    <cfRule type="expression" dxfId="3734" priority="1422">
      <formula>ISBLANK(M33)</formula>
    </cfRule>
  </conditionalFormatting>
  <conditionalFormatting sqref="M40">
    <cfRule type="expression" dxfId="3733" priority="1421">
      <formula>ISBLANK(M40)</formula>
    </cfRule>
  </conditionalFormatting>
  <conditionalFormatting sqref="M40">
    <cfRule type="expression" dxfId="3732" priority="1420">
      <formula>ISBLANK(M40)</formula>
    </cfRule>
  </conditionalFormatting>
  <conditionalFormatting sqref="M40">
    <cfRule type="expression" dxfId="3731" priority="1419">
      <formula>ISBLANK(M40)</formula>
    </cfRule>
  </conditionalFormatting>
  <conditionalFormatting sqref="M40">
    <cfRule type="expression" dxfId="3730" priority="1418">
      <formula>ISBLANK(M40)</formula>
    </cfRule>
  </conditionalFormatting>
  <conditionalFormatting sqref="M50">
    <cfRule type="expression" dxfId="3729" priority="1417">
      <formula>ISBLANK(M50)</formula>
    </cfRule>
  </conditionalFormatting>
  <conditionalFormatting sqref="K50">
    <cfRule type="containsText" dxfId="3728" priority="1415" operator="containsText" text="Einnahmen">
      <formula>NOT(ISERROR(SEARCH("Einnahmen",K50)))</formula>
    </cfRule>
    <cfRule type="containsText" dxfId="3727" priority="1416" operator="containsText" text="Ausgaben">
      <formula>NOT(ISERROR(SEARCH("Ausgaben",K50)))</formula>
    </cfRule>
  </conditionalFormatting>
  <conditionalFormatting sqref="K52">
    <cfRule type="containsText" dxfId="3726" priority="1413" operator="containsText" text="Einnahmen">
      <formula>NOT(ISERROR(SEARCH("Einnahmen",K52)))</formula>
    </cfRule>
    <cfRule type="containsText" dxfId="3725" priority="1414" operator="containsText" text="Ausgaben">
      <formula>NOT(ISERROR(SEARCH("Ausgaben",K52)))</formula>
    </cfRule>
  </conditionalFormatting>
  <conditionalFormatting sqref="K54">
    <cfRule type="containsText" dxfId="3724" priority="1411" operator="containsText" text="Einnahmen">
      <formula>NOT(ISERROR(SEARCH("Einnahmen",K54)))</formula>
    </cfRule>
    <cfRule type="containsText" dxfId="3723" priority="1412" operator="containsText" text="Ausgaben">
      <formula>NOT(ISERROR(SEARCH("Ausgaben",K54)))</formula>
    </cfRule>
  </conditionalFormatting>
  <conditionalFormatting sqref="K56 K66 K68 K70 K80">
    <cfRule type="containsText" dxfId="3722" priority="1409" operator="containsText" text="Einnahmen">
      <formula>NOT(ISERROR(SEARCH("Einnahmen",K56)))</formula>
    </cfRule>
    <cfRule type="containsText" dxfId="3721" priority="1410" operator="containsText" text="Ausgaben">
      <formula>NOT(ISERROR(SEARCH("Ausgaben",K56)))</formula>
    </cfRule>
  </conditionalFormatting>
  <conditionalFormatting sqref="K57">
    <cfRule type="containsText" dxfId="3720" priority="1407" operator="containsText" text="Einnahmen">
      <formula>NOT(ISERROR(SEARCH("Einnahmen",K57)))</formula>
    </cfRule>
    <cfRule type="containsText" dxfId="3719" priority="1408" operator="containsText" text="Ausgaben">
      <formula>NOT(ISERROR(SEARCH("Ausgaben",K57)))</formula>
    </cfRule>
  </conditionalFormatting>
  <conditionalFormatting sqref="K58">
    <cfRule type="containsText" dxfId="3718" priority="1405" operator="containsText" text="Einnahmen">
      <formula>NOT(ISERROR(SEARCH("Einnahmen",K58)))</formula>
    </cfRule>
    <cfRule type="containsText" dxfId="3717" priority="1406" operator="containsText" text="Ausgaben">
      <formula>NOT(ISERROR(SEARCH("Ausgaben",K58)))</formula>
    </cfRule>
  </conditionalFormatting>
  <conditionalFormatting sqref="M58">
    <cfRule type="expression" dxfId="3716" priority="1404">
      <formula>ISBLANK(M58)</formula>
    </cfRule>
  </conditionalFormatting>
  <conditionalFormatting sqref="M58">
    <cfRule type="expression" dxfId="3715" priority="1403">
      <formula>ISBLANK(M58)</formula>
    </cfRule>
  </conditionalFormatting>
  <conditionalFormatting sqref="M58">
    <cfRule type="expression" dxfId="3714" priority="1402">
      <formula>ISBLANK(M58)</formula>
    </cfRule>
  </conditionalFormatting>
  <conditionalFormatting sqref="M58">
    <cfRule type="expression" dxfId="3713" priority="1401">
      <formula>ISBLANK(M58)</formula>
    </cfRule>
  </conditionalFormatting>
  <conditionalFormatting sqref="K59">
    <cfRule type="containsText" dxfId="3712" priority="1399" operator="containsText" text="Einnahmen">
      <formula>NOT(ISERROR(SEARCH("Einnahmen",K59)))</formula>
    </cfRule>
    <cfRule type="containsText" dxfId="3711" priority="1400" operator="containsText" text="Ausgaben">
      <formula>NOT(ISERROR(SEARCH("Ausgaben",K59)))</formula>
    </cfRule>
  </conditionalFormatting>
  <conditionalFormatting sqref="M59">
    <cfRule type="expression" dxfId="3710" priority="1398">
      <formula>ISBLANK(M59)</formula>
    </cfRule>
  </conditionalFormatting>
  <conditionalFormatting sqref="K59">
    <cfRule type="containsText" dxfId="3709" priority="1396" operator="containsText" text="Einnahmen">
      <formula>NOT(ISERROR(SEARCH("Einnahmen",K59)))</formula>
    </cfRule>
    <cfRule type="containsText" dxfId="3708" priority="1397" operator="containsText" text="Ausgaben">
      <formula>NOT(ISERROR(SEARCH("Ausgaben",K59)))</formula>
    </cfRule>
  </conditionalFormatting>
  <conditionalFormatting sqref="M59">
    <cfRule type="expression" dxfId="3707" priority="1395">
      <formula>ISBLANK(M59)</formula>
    </cfRule>
  </conditionalFormatting>
  <conditionalFormatting sqref="K59">
    <cfRule type="containsText" dxfId="3706" priority="1393" operator="containsText" text="Einnahmen">
      <formula>NOT(ISERROR(SEARCH("Einnahmen",K59)))</formula>
    </cfRule>
    <cfRule type="containsText" dxfId="3705" priority="1394" operator="containsText" text="Ausgaben">
      <formula>NOT(ISERROR(SEARCH("Ausgaben",K59)))</formula>
    </cfRule>
  </conditionalFormatting>
  <conditionalFormatting sqref="M59">
    <cfRule type="expression" dxfId="3704" priority="1392">
      <formula>ISBLANK(M59)</formula>
    </cfRule>
  </conditionalFormatting>
  <conditionalFormatting sqref="K59">
    <cfRule type="containsText" dxfId="3703" priority="1390" operator="containsText" text="Einnahmen">
      <formula>NOT(ISERROR(SEARCH("Einnahmen",K59)))</formula>
    </cfRule>
    <cfRule type="containsText" dxfId="3702" priority="1391" operator="containsText" text="Ausgaben">
      <formula>NOT(ISERROR(SEARCH("Ausgaben",K59)))</formula>
    </cfRule>
  </conditionalFormatting>
  <conditionalFormatting sqref="M59">
    <cfRule type="expression" dxfId="3701" priority="1389">
      <formula>ISBLANK(M59)</formula>
    </cfRule>
  </conditionalFormatting>
  <conditionalFormatting sqref="M60">
    <cfRule type="expression" dxfId="3700" priority="1388">
      <formula>ISBLANK(M60)</formula>
    </cfRule>
  </conditionalFormatting>
  <conditionalFormatting sqref="K60">
    <cfRule type="containsText" dxfId="3699" priority="1386" operator="containsText" text="Einnahmen">
      <formula>NOT(ISERROR(SEARCH("Einnahmen",K60)))</formula>
    </cfRule>
    <cfRule type="containsText" dxfId="3698" priority="1387" operator="containsText" text="Ausgaben">
      <formula>NOT(ISERROR(SEARCH("Ausgaben",K60)))</formula>
    </cfRule>
  </conditionalFormatting>
  <conditionalFormatting sqref="M60">
    <cfRule type="expression" dxfId="3697" priority="1385">
      <formula>ISBLANK(M60)</formula>
    </cfRule>
  </conditionalFormatting>
  <conditionalFormatting sqref="M22">
    <cfRule type="expression" dxfId="3696" priority="1384">
      <formula>ISBLANK(M22)</formula>
    </cfRule>
  </conditionalFormatting>
  <conditionalFormatting sqref="M36">
    <cfRule type="expression" dxfId="3695" priority="1383">
      <formula>ISBLANK(M36)</formula>
    </cfRule>
  </conditionalFormatting>
  <conditionalFormatting sqref="M52">
    <cfRule type="expression" dxfId="3694" priority="1382">
      <formula>ISBLANK(M52)</formula>
    </cfRule>
  </conditionalFormatting>
  <conditionalFormatting sqref="M62">
    <cfRule type="expression" dxfId="3693" priority="1381">
      <formula>ISBLANK(M62)</formula>
    </cfRule>
  </conditionalFormatting>
  <conditionalFormatting sqref="K62">
    <cfRule type="containsText" dxfId="3692" priority="1379" operator="containsText" text="Einnahmen">
      <formula>NOT(ISERROR(SEARCH("Einnahmen",K62)))</formula>
    </cfRule>
    <cfRule type="containsText" dxfId="3691" priority="1380" operator="containsText" text="Ausgaben">
      <formula>NOT(ISERROR(SEARCH("Ausgaben",K62)))</formula>
    </cfRule>
  </conditionalFormatting>
  <conditionalFormatting sqref="K63">
    <cfRule type="containsText" dxfId="3690" priority="1377" operator="containsText" text="Einnahmen">
      <formula>NOT(ISERROR(SEARCH("Einnahmen",K63)))</formula>
    </cfRule>
    <cfRule type="containsText" dxfId="3689" priority="1378" operator="containsText" text="Ausgaben">
      <formula>NOT(ISERROR(SEARCH("Ausgaben",K63)))</formula>
    </cfRule>
  </conditionalFormatting>
  <conditionalFormatting sqref="K64">
    <cfRule type="containsText" dxfId="3688" priority="1375" operator="containsText" text="Einnahmen">
      <formula>NOT(ISERROR(SEARCH("Einnahmen",K64)))</formula>
    </cfRule>
    <cfRule type="containsText" dxfId="3687" priority="1376" operator="containsText" text="Ausgaben">
      <formula>NOT(ISERROR(SEARCH("Ausgaben",K64)))</formula>
    </cfRule>
  </conditionalFormatting>
  <conditionalFormatting sqref="M65">
    <cfRule type="expression" dxfId="3686" priority="1374">
      <formula>ISBLANK(M65)</formula>
    </cfRule>
  </conditionalFormatting>
  <conditionalFormatting sqref="K65">
    <cfRule type="containsText" dxfId="3685" priority="1372" operator="containsText" text="Einnahmen">
      <formula>NOT(ISERROR(SEARCH("Einnahmen",K65)))</formula>
    </cfRule>
    <cfRule type="containsText" dxfId="3684" priority="1373" operator="containsText" text="Ausgaben">
      <formula>NOT(ISERROR(SEARCH("Ausgaben",K65)))</formula>
    </cfRule>
  </conditionalFormatting>
  <conditionalFormatting sqref="K67">
    <cfRule type="containsText" dxfId="3683" priority="1370" operator="containsText" text="Einnahmen">
      <formula>NOT(ISERROR(SEARCH("Einnahmen",K67)))</formula>
    </cfRule>
    <cfRule type="containsText" dxfId="3682" priority="1371" operator="containsText" text="Ausgaben">
      <formula>NOT(ISERROR(SEARCH("Ausgaben",K67)))</formula>
    </cfRule>
  </conditionalFormatting>
  <conditionalFormatting sqref="M67">
    <cfRule type="expression" dxfId="3681" priority="1369">
      <formula>ISBLANK(M67)</formula>
    </cfRule>
  </conditionalFormatting>
  <conditionalFormatting sqref="K69">
    <cfRule type="containsText" dxfId="3680" priority="1367" operator="containsText" text="Einnahmen">
      <formula>NOT(ISERROR(SEARCH("Einnahmen",K69)))</formula>
    </cfRule>
    <cfRule type="containsText" dxfId="3679" priority="1368" operator="containsText" text="Ausgaben">
      <formula>NOT(ISERROR(SEARCH("Ausgaben",K69)))</formula>
    </cfRule>
  </conditionalFormatting>
  <conditionalFormatting sqref="M69">
    <cfRule type="expression" dxfId="3678" priority="1366">
      <formula>ISBLANK(M69)</formula>
    </cfRule>
  </conditionalFormatting>
  <conditionalFormatting sqref="M68">
    <cfRule type="expression" dxfId="3677" priority="1365">
      <formula>ISBLANK(M68)</formula>
    </cfRule>
  </conditionalFormatting>
  <conditionalFormatting sqref="K72">
    <cfRule type="containsText" dxfId="3676" priority="1363" operator="containsText" text="Einnahmen">
      <formula>NOT(ISERROR(SEARCH("Einnahmen",K72)))</formula>
    </cfRule>
    <cfRule type="containsText" dxfId="3675" priority="1364" operator="containsText" text="Ausgaben">
      <formula>NOT(ISERROR(SEARCH("Ausgaben",K72)))</formula>
    </cfRule>
  </conditionalFormatting>
  <conditionalFormatting sqref="M72">
    <cfRule type="expression" dxfId="3674" priority="1362">
      <formula>ISBLANK(M72)</formula>
    </cfRule>
  </conditionalFormatting>
  <conditionalFormatting sqref="K73">
    <cfRule type="containsText" dxfId="3673" priority="1360" operator="containsText" text="Einnahmen">
      <formula>NOT(ISERROR(SEARCH("Einnahmen",K73)))</formula>
    </cfRule>
    <cfRule type="containsText" dxfId="3672" priority="1361" operator="containsText" text="Ausgaben">
      <formula>NOT(ISERROR(SEARCH("Ausgaben",K73)))</formula>
    </cfRule>
  </conditionalFormatting>
  <conditionalFormatting sqref="K74">
    <cfRule type="containsText" dxfId="3671" priority="1358" operator="containsText" text="Einnahmen">
      <formula>NOT(ISERROR(SEARCH("Einnahmen",K74)))</formula>
    </cfRule>
    <cfRule type="containsText" dxfId="3670" priority="1359" operator="containsText" text="Ausgaben">
      <formula>NOT(ISERROR(SEARCH("Ausgaben",K74)))</formula>
    </cfRule>
  </conditionalFormatting>
  <conditionalFormatting sqref="M74">
    <cfRule type="expression" dxfId="3669" priority="1357">
      <formula>ISBLANK(M74)</formula>
    </cfRule>
  </conditionalFormatting>
  <conditionalFormatting sqref="M74">
    <cfRule type="expression" dxfId="3668" priority="1356">
      <formula>ISBLANK(M74)</formula>
    </cfRule>
  </conditionalFormatting>
  <conditionalFormatting sqref="M74">
    <cfRule type="expression" dxfId="3667" priority="1355">
      <formula>ISBLANK(M74)</formula>
    </cfRule>
  </conditionalFormatting>
  <conditionalFormatting sqref="M74">
    <cfRule type="expression" dxfId="3666" priority="1354">
      <formula>ISBLANK(M74)</formula>
    </cfRule>
  </conditionalFormatting>
  <conditionalFormatting sqref="M75">
    <cfRule type="expression" dxfId="3665" priority="1353">
      <formula>ISBLANK(M75)</formula>
    </cfRule>
  </conditionalFormatting>
  <conditionalFormatting sqref="K75">
    <cfRule type="containsText" dxfId="3664" priority="1351" operator="containsText" text="Einnahmen">
      <formula>NOT(ISERROR(SEARCH("Einnahmen",K75)))</formula>
    </cfRule>
    <cfRule type="containsText" dxfId="3663" priority="1352" operator="containsText" text="Ausgaben">
      <formula>NOT(ISERROR(SEARCH("Ausgaben",K75)))</formula>
    </cfRule>
  </conditionalFormatting>
  <conditionalFormatting sqref="M75">
    <cfRule type="expression" dxfId="3662" priority="1350">
      <formula>ISBLANK(M75)</formula>
    </cfRule>
  </conditionalFormatting>
  <conditionalFormatting sqref="M76">
    <cfRule type="expression" dxfId="3661" priority="1349">
      <formula>ISBLANK(M76)</formula>
    </cfRule>
  </conditionalFormatting>
  <conditionalFormatting sqref="K76">
    <cfRule type="containsText" dxfId="3660" priority="1347" operator="containsText" text="Einnahmen">
      <formula>NOT(ISERROR(SEARCH("Einnahmen",K76)))</formula>
    </cfRule>
    <cfRule type="containsText" dxfId="3659" priority="1348" operator="containsText" text="Ausgaben">
      <formula>NOT(ISERROR(SEARCH("Ausgaben",K76)))</formula>
    </cfRule>
  </conditionalFormatting>
  <conditionalFormatting sqref="K77">
    <cfRule type="containsText" dxfId="3658" priority="1345" operator="containsText" text="Einnahmen">
      <formula>NOT(ISERROR(SEARCH("Einnahmen",K77)))</formula>
    </cfRule>
    <cfRule type="containsText" dxfId="3657" priority="1346" operator="containsText" text="Ausgaben">
      <formula>NOT(ISERROR(SEARCH("Ausgaben",K77)))</formula>
    </cfRule>
  </conditionalFormatting>
  <conditionalFormatting sqref="M78">
    <cfRule type="expression" dxfId="3656" priority="1344">
      <formula>ISBLANK(M78)</formula>
    </cfRule>
  </conditionalFormatting>
  <conditionalFormatting sqref="K78">
    <cfRule type="containsText" dxfId="3655" priority="1342" operator="containsText" text="Einnahmen">
      <formula>NOT(ISERROR(SEARCH("Einnahmen",K78)))</formula>
    </cfRule>
    <cfRule type="containsText" dxfId="3654" priority="1343" operator="containsText" text="Ausgaben">
      <formula>NOT(ISERROR(SEARCH("Ausgaben",K78)))</formula>
    </cfRule>
  </conditionalFormatting>
  <conditionalFormatting sqref="K79">
    <cfRule type="containsText" dxfId="3653" priority="1340" operator="containsText" text="Einnahmen">
      <formula>NOT(ISERROR(SEARCH("Einnahmen",K79)))</formula>
    </cfRule>
    <cfRule type="containsText" dxfId="3652" priority="1341" operator="containsText" text="Ausgaben">
      <formula>NOT(ISERROR(SEARCH("Ausgaben",K79)))</formula>
    </cfRule>
  </conditionalFormatting>
  <conditionalFormatting sqref="M79">
    <cfRule type="expression" dxfId="3651" priority="1339">
      <formula>ISBLANK(M79)</formula>
    </cfRule>
  </conditionalFormatting>
  <conditionalFormatting sqref="M81">
    <cfRule type="expression" dxfId="3650" priority="1338">
      <formula>ISBLANK(M81)</formula>
    </cfRule>
  </conditionalFormatting>
  <conditionalFormatting sqref="K81">
    <cfRule type="containsText" dxfId="3649" priority="1336" operator="containsText" text="Einnahmen">
      <formula>NOT(ISERROR(SEARCH("Einnahmen",K81)))</formula>
    </cfRule>
    <cfRule type="containsText" dxfId="3648" priority="1337" operator="containsText" text="Ausgaben">
      <formula>NOT(ISERROR(SEARCH("Ausgaben",K81)))</formula>
    </cfRule>
  </conditionalFormatting>
  <conditionalFormatting sqref="K82">
    <cfRule type="containsText" dxfId="3647" priority="1334" operator="containsText" text="Einnahmen">
      <formula>NOT(ISERROR(SEARCH("Einnahmen",K82)))</formula>
    </cfRule>
    <cfRule type="containsText" dxfId="3646" priority="1335" operator="containsText" text="Ausgaben">
      <formula>NOT(ISERROR(SEARCH("Ausgaben",K82)))</formula>
    </cfRule>
  </conditionalFormatting>
  <conditionalFormatting sqref="M82">
    <cfRule type="expression" dxfId="3645" priority="1333">
      <formula>ISBLANK(M82)</formula>
    </cfRule>
  </conditionalFormatting>
  <conditionalFormatting sqref="K83">
    <cfRule type="containsText" dxfId="3644" priority="1331" operator="containsText" text="Einnahmen">
      <formula>NOT(ISERROR(SEARCH("Einnahmen",K83)))</formula>
    </cfRule>
    <cfRule type="containsText" dxfId="3643" priority="1332" operator="containsText" text="Ausgaben">
      <formula>NOT(ISERROR(SEARCH("Ausgaben",K83)))</formula>
    </cfRule>
  </conditionalFormatting>
  <conditionalFormatting sqref="M83">
    <cfRule type="expression" dxfId="3642" priority="1330">
      <formula>ISBLANK(M83)</formula>
    </cfRule>
  </conditionalFormatting>
  <conditionalFormatting sqref="K84">
    <cfRule type="containsText" dxfId="3641" priority="1328" operator="containsText" text="Einnahmen">
      <formula>NOT(ISERROR(SEARCH("Einnahmen",K84)))</formula>
    </cfRule>
    <cfRule type="containsText" dxfId="3640" priority="1329" operator="containsText" text="Ausgaben">
      <formula>NOT(ISERROR(SEARCH("Ausgaben",K84)))</formula>
    </cfRule>
  </conditionalFormatting>
  <conditionalFormatting sqref="K85">
    <cfRule type="containsText" dxfId="3639" priority="1326" operator="containsText" text="Einnahmen">
      <formula>NOT(ISERROR(SEARCH("Einnahmen",K85)))</formula>
    </cfRule>
    <cfRule type="containsText" dxfId="3638" priority="1327" operator="containsText" text="Ausgaben">
      <formula>NOT(ISERROR(SEARCH("Ausgaben",K85)))</formula>
    </cfRule>
  </conditionalFormatting>
  <conditionalFormatting sqref="M85">
    <cfRule type="expression" dxfId="3637" priority="1325">
      <formula>ISBLANK(M85)</formula>
    </cfRule>
  </conditionalFormatting>
  <conditionalFormatting sqref="M85">
    <cfRule type="expression" dxfId="3636" priority="1324">
      <formula>ISBLANK(M85)</formula>
    </cfRule>
  </conditionalFormatting>
  <conditionalFormatting sqref="M85">
    <cfRule type="expression" dxfId="3635" priority="1323">
      <formula>ISBLANK(M85)</formula>
    </cfRule>
  </conditionalFormatting>
  <conditionalFormatting sqref="M85">
    <cfRule type="expression" dxfId="3634" priority="1322">
      <formula>ISBLANK(M85)</formula>
    </cfRule>
  </conditionalFormatting>
  <conditionalFormatting sqref="M86">
    <cfRule type="expression" dxfId="3633" priority="1321">
      <formula>ISBLANK(M86)</formula>
    </cfRule>
  </conditionalFormatting>
  <conditionalFormatting sqref="K86">
    <cfRule type="containsText" dxfId="3632" priority="1319" operator="containsText" text="Einnahmen">
      <formula>NOT(ISERROR(SEARCH("Einnahmen",K86)))</formula>
    </cfRule>
    <cfRule type="containsText" dxfId="3631" priority="1320" operator="containsText" text="Ausgaben">
      <formula>NOT(ISERROR(SEARCH("Ausgaben",K86)))</formula>
    </cfRule>
  </conditionalFormatting>
  <conditionalFormatting sqref="M86">
    <cfRule type="expression" dxfId="3630" priority="1318">
      <formula>ISBLANK(M86)</formula>
    </cfRule>
  </conditionalFormatting>
  <conditionalFormatting sqref="K87">
    <cfRule type="containsText" dxfId="3629" priority="1316" operator="containsText" text="Einnahmen">
      <formula>NOT(ISERROR(SEARCH("Einnahmen",K87)))</formula>
    </cfRule>
    <cfRule type="containsText" dxfId="3628" priority="1317" operator="containsText" text="Ausgaben">
      <formula>NOT(ISERROR(SEARCH("Ausgaben",K87)))</formula>
    </cfRule>
  </conditionalFormatting>
  <conditionalFormatting sqref="M88">
    <cfRule type="expression" dxfId="3627" priority="1315">
      <formula>ISBLANK(M88)</formula>
    </cfRule>
  </conditionalFormatting>
  <conditionalFormatting sqref="K88">
    <cfRule type="containsText" dxfId="3626" priority="1313" operator="containsText" text="Einnahmen">
      <formula>NOT(ISERROR(SEARCH("Einnahmen",K88)))</formula>
    </cfRule>
    <cfRule type="containsText" dxfId="3625" priority="1314" operator="containsText" text="Ausgaben">
      <formula>NOT(ISERROR(SEARCH("Ausgaben",K88)))</formula>
    </cfRule>
  </conditionalFormatting>
  <conditionalFormatting sqref="K89">
    <cfRule type="containsText" dxfId="3624" priority="1311" operator="containsText" text="Einnahmen">
      <formula>NOT(ISERROR(SEARCH("Einnahmen",K89)))</formula>
    </cfRule>
    <cfRule type="containsText" dxfId="3623" priority="1312" operator="containsText" text="Ausgaben">
      <formula>NOT(ISERROR(SEARCH("Ausgaben",K89)))</formula>
    </cfRule>
  </conditionalFormatting>
  <conditionalFormatting sqref="M90">
    <cfRule type="expression" dxfId="3622" priority="1310">
      <formula>ISBLANK(M90)</formula>
    </cfRule>
  </conditionalFormatting>
  <conditionalFormatting sqref="K90">
    <cfRule type="containsText" dxfId="3621" priority="1308" operator="containsText" text="Einnahmen">
      <formula>NOT(ISERROR(SEARCH("Einnahmen",K90)))</formula>
    </cfRule>
    <cfRule type="containsText" dxfId="3620" priority="1309" operator="containsText" text="Ausgaben">
      <formula>NOT(ISERROR(SEARCH("Ausgaben",K90)))</formula>
    </cfRule>
  </conditionalFormatting>
  <conditionalFormatting sqref="K91">
    <cfRule type="containsText" dxfId="3619" priority="1306" operator="containsText" text="Einnahmen">
      <formula>NOT(ISERROR(SEARCH("Einnahmen",K91)))</formula>
    </cfRule>
    <cfRule type="containsText" dxfId="3618" priority="1307" operator="containsText" text="Ausgaben">
      <formula>NOT(ISERROR(SEARCH("Ausgaben",K91)))</formula>
    </cfRule>
  </conditionalFormatting>
  <conditionalFormatting sqref="K92">
    <cfRule type="containsText" dxfId="3617" priority="1304" operator="containsText" text="Einnahmen">
      <formula>NOT(ISERROR(SEARCH("Einnahmen",K92)))</formula>
    </cfRule>
    <cfRule type="containsText" dxfId="3616" priority="1305" operator="containsText" text="Ausgaben">
      <formula>NOT(ISERROR(SEARCH("Ausgaben",K92)))</formula>
    </cfRule>
  </conditionalFormatting>
  <conditionalFormatting sqref="M92">
    <cfRule type="expression" dxfId="3615" priority="1303">
      <formula>ISBLANK(M92)</formula>
    </cfRule>
  </conditionalFormatting>
  <conditionalFormatting sqref="M93">
    <cfRule type="expression" dxfId="3614" priority="1302">
      <formula>ISBLANK(M93)</formula>
    </cfRule>
  </conditionalFormatting>
  <conditionalFormatting sqref="K94">
    <cfRule type="containsText" dxfId="3613" priority="1300" operator="containsText" text="Einnahmen">
      <formula>NOT(ISERROR(SEARCH("Einnahmen",K94)))</formula>
    </cfRule>
    <cfRule type="containsText" dxfId="3612" priority="1301" operator="containsText" text="Ausgaben">
      <formula>NOT(ISERROR(SEARCH("Ausgaben",K94)))</formula>
    </cfRule>
  </conditionalFormatting>
  <conditionalFormatting sqref="M94">
    <cfRule type="expression" dxfId="3611" priority="1299">
      <formula>ISBLANK(M94)</formula>
    </cfRule>
  </conditionalFormatting>
  <conditionalFormatting sqref="M95">
    <cfRule type="expression" dxfId="3610" priority="1298">
      <formula>ISBLANK(M95)</formula>
    </cfRule>
  </conditionalFormatting>
  <conditionalFormatting sqref="M96">
    <cfRule type="expression" dxfId="3609" priority="1297">
      <formula>ISBLANK(M96)</formula>
    </cfRule>
  </conditionalFormatting>
  <conditionalFormatting sqref="K96">
    <cfRule type="containsText" dxfId="3608" priority="1295" operator="containsText" text="Einnahmen">
      <formula>NOT(ISERROR(SEARCH("Einnahmen",K96)))</formula>
    </cfRule>
    <cfRule type="containsText" dxfId="3607" priority="1296" operator="containsText" text="Ausgaben">
      <formula>NOT(ISERROR(SEARCH("Ausgaben",K96)))</formula>
    </cfRule>
  </conditionalFormatting>
  <conditionalFormatting sqref="M98">
    <cfRule type="expression" dxfId="3606" priority="1294">
      <formula>ISBLANK(M98)</formula>
    </cfRule>
  </conditionalFormatting>
  <conditionalFormatting sqref="K98">
    <cfRule type="containsText" dxfId="3605" priority="1292" operator="containsText" text="Einnahmen">
      <formula>NOT(ISERROR(SEARCH("Einnahmen",K98)))</formula>
    </cfRule>
    <cfRule type="containsText" dxfId="3604" priority="1293" operator="containsText" text="Ausgaben">
      <formula>NOT(ISERROR(SEARCH("Ausgaben",K98)))</formula>
    </cfRule>
  </conditionalFormatting>
  <conditionalFormatting sqref="K97">
    <cfRule type="containsText" dxfId="3603" priority="1290" operator="containsText" text="Einnahmen">
      <formula>NOT(ISERROR(SEARCH("Einnahmen",K97)))</formula>
    </cfRule>
    <cfRule type="containsText" dxfId="3602" priority="1291" operator="containsText" text="Ausgaben">
      <formula>NOT(ISERROR(SEARCH("Ausgaben",K97)))</formula>
    </cfRule>
  </conditionalFormatting>
  <conditionalFormatting sqref="M97">
    <cfRule type="expression" dxfId="3601" priority="1289">
      <formula>ISBLANK(M97)</formula>
    </cfRule>
  </conditionalFormatting>
  <conditionalFormatting sqref="K99">
    <cfRule type="containsText" dxfId="3600" priority="1287" operator="containsText" text="Einnahmen">
      <formula>NOT(ISERROR(SEARCH("Einnahmen",K99)))</formula>
    </cfRule>
    <cfRule type="containsText" dxfId="3599" priority="1288" operator="containsText" text="Ausgaben">
      <formula>NOT(ISERROR(SEARCH("Ausgaben",K99)))</formula>
    </cfRule>
  </conditionalFormatting>
  <conditionalFormatting sqref="K100">
    <cfRule type="containsText" dxfId="3598" priority="1285" operator="containsText" text="Einnahmen">
      <formula>NOT(ISERROR(SEARCH("Einnahmen",K100)))</formula>
    </cfRule>
    <cfRule type="containsText" dxfId="3597" priority="1286" operator="containsText" text="Ausgaben">
      <formula>NOT(ISERROR(SEARCH("Ausgaben",K100)))</formula>
    </cfRule>
  </conditionalFormatting>
  <conditionalFormatting sqref="M100">
    <cfRule type="expression" dxfId="3596" priority="1284">
      <formula>ISBLANK(M100)</formula>
    </cfRule>
  </conditionalFormatting>
  <conditionalFormatting sqref="K101">
    <cfRule type="containsText" dxfId="3595" priority="1282" operator="containsText" text="Einnahmen">
      <formula>NOT(ISERROR(SEARCH("Einnahmen",K101)))</formula>
    </cfRule>
    <cfRule type="containsText" dxfId="3594" priority="1283" operator="containsText" text="Ausgaben">
      <formula>NOT(ISERROR(SEARCH("Ausgaben",K101)))</formula>
    </cfRule>
  </conditionalFormatting>
  <conditionalFormatting sqref="M102">
    <cfRule type="expression" dxfId="3593" priority="1281">
      <formula>ISBLANK(M102)</formula>
    </cfRule>
  </conditionalFormatting>
  <conditionalFormatting sqref="K102">
    <cfRule type="containsText" dxfId="3592" priority="1279" operator="containsText" text="Einnahmen">
      <formula>NOT(ISERROR(SEARCH("Einnahmen",K102)))</formula>
    </cfRule>
    <cfRule type="containsText" dxfId="3591" priority="1280" operator="containsText" text="Ausgaben">
      <formula>NOT(ISERROR(SEARCH("Ausgaben",K102)))</formula>
    </cfRule>
  </conditionalFormatting>
  <conditionalFormatting sqref="K103">
    <cfRule type="containsText" dxfId="3590" priority="1277" operator="containsText" text="Einnahmen">
      <formula>NOT(ISERROR(SEARCH("Einnahmen",K103)))</formula>
    </cfRule>
    <cfRule type="containsText" dxfId="3589" priority="1278" operator="containsText" text="Ausgaben">
      <formula>NOT(ISERROR(SEARCH("Ausgaben",K103)))</formula>
    </cfRule>
  </conditionalFormatting>
  <conditionalFormatting sqref="M103">
    <cfRule type="expression" dxfId="3588" priority="1276">
      <formula>ISBLANK(M103)</formula>
    </cfRule>
  </conditionalFormatting>
  <conditionalFormatting sqref="M103">
    <cfRule type="expression" dxfId="3587" priority="1275">
      <formula>ISBLANK(M103)</formula>
    </cfRule>
  </conditionalFormatting>
  <conditionalFormatting sqref="M103">
    <cfRule type="expression" dxfId="3586" priority="1274">
      <formula>ISBLANK(M103)</formula>
    </cfRule>
  </conditionalFormatting>
  <conditionalFormatting sqref="M103">
    <cfRule type="expression" dxfId="3585" priority="1273">
      <formula>ISBLANK(M103)</formula>
    </cfRule>
  </conditionalFormatting>
  <conditionalFormatting sqref="M104">
    <cfRule type="expression" dxfId="3584" priority="1272">
      <formula>ISBLANK(M104)</formula>
    </cfRule>
  </conditionalFormatting>
  <conditionalFormatting sqref="K104">
    <cfRule type="containsText" dxfId="3583" priority="1270" operator="containsText" text="Einnahmen">
      <formula>NOT(ISERROR(SEARCH("Einnahmen",K104)))</formula>
    </cfRule>
    <cfRule type="containsText" dxfId="3582" priority="1271" operator="containsText" text="Ausgaben">
      <formula>NOT(ISERROR(SEARCH("Ausgaben",K104)))</formula>
    </cfRule>
  </conditionalFormatting>
  <conditionalFormatting sqref="M104">
    <cfRule type="expression" dxfId="3581" priority="1269">
      <formula>ISBLANK(M104)</formula>
    </cfRule>
  </conditionalFormatting>
  <conditionalFormatting sqref="M105">
    <cfRule type="expression" dxfId="3580" priority="1268">
      <formula>ISBLANK(M105)</formula>
    </cfRule>
  </conditionalFormatting>
  <conditionalFormatting sqref="K105">
    <cfRule type="containsText" dxfId="3579" priority="1266" operator="containsText" text="Einnahmen">
      <formula>NOT(ISERROR(SEARCH("Einnahmen",K105)))</formula>
    </cfRule>
    <cfRule type="containsText" dxfId="3578" priority="1267" operator="containsText" text="Ausgaben">
      <formula>NOT(ISERROR(SEARCH("Ausgaben",K105)))</formula>
    </cfRule>
  </conditionalFormatting>
  <conditionalFormatting sqref="K106">
    <cfRule type="containsText" dxfId="3577" priority="1264" operator="containsText" text="Einnahmen">
      <formula>NOT(ISERROR(SEARCH("Einnahmen",K106)))</formula>
    </cfRule>
    <cfRule type="containsText" dxfId="3576" priority="1265" operator="containsText" text="Ausgaben">
      <formula>NOT(ISERROR(SEARCH("Ausgaben",K106)))</formula>
    </cfRule>
  </conditionalFormatting>
  <conditionalFormatting sqref="K107">
    <cfRule type="containsText" dxfId="3575" priority="1262" operator="containsText" text="Einnahmen">
      <formula>NOT(ISERROR(SEARCH("Einnahmen",K107)))</formula>
    </cfRule>
    <cfRule type="containsText" dxfId="3574" priority="1263" operator="containsText" text="Ausgaben">
      <formula>NOT(ISERROR(SEARCH("Ausgaben",K107)))</formula>
    </cfRule>
  </conditionalFormatting>
  <conditionalFormatting sqref="M108">
    <cfRule type="expression" dxfId="3573" priority="1261">
      <formula>ISBLANK(M108)</formula>
    </cfRule>
  </conditionalFormatting>
  <conditionalFormatting sqref="K108">
    <cfRule type="containsText" dxfId="3572" priority="1259" operator="containsText" text="Einnahmen">
      <formula>NOT(ISERROR(SEARCH("Einnahmen",K108)))</formula>
    </cfRule>
    <cfRule type="containsText" dxfId="3571" priority="1260" operator="containsText" text="Ausgaben">
      <formula>NOT(ISERROR(SEARCH("Ausgaben",K108)))</formula>
    </cfRule>
  </conditionalFormatting>
  <conditionalFormatting sqref="K109">
    <cfRule type="containsText" dxfId="3570" priority="1257" operator="containsText" text="Einnahmen">
      <formula>NOT(ISERROR(SEARCH("Einnahmen",K109)))</formula>
    </cfRule>
    <cfRule type="containsText" dxfId="3569" priority="1258" operator="containsText" text="Ausgaben">
      <formula>NOT(ISERROR(SEARCH("Ausgaben",K109)))</formula>
    </cfRule>
  </conditionalFormatting>
  <conditionalFormatting sqref="K110">
    <cfRule type="containsText" dxfId="3568" priority="1255" operator="containsText" text="Einnahmen">
      <formula>NOT(ISERROR(SEARCH("Einnahmen",K110)))</formula>
    </cfRule>
    <cfRule type="containsText" dxfId="3567" priority="1256" operator="containsText" text="Ausgaben">
      <formula>NOT(ISERROR(SEARCH("Ausgaben",K110)))</formula>
    </cfRule>
  </conditionalFormatting>
  <conditionalFormatting sqref="K111">
    <cfRule type="containsText" dxfId="3566" priority="1253" operator="containsText" text="Einnahmen">
      <formula>NOT(ISERROR(SEARCH("Einnahmen",K111)))</formula>
    </cfRule>
    <cfRule type="containsText" dxfId="3565" priority="1254" operator="containsText" text="Ausgaben">
      <formula>NOT(ISERROR(SEARCH("Ausgaben",K111)))</formula>
    </cfRule>
  </conditionalFormatting>
  <conditionalFormatting sqref="M111">
    <cfRule type="expression" dxfId="3564" priority="1252">
      <formula>ISBLANK(M111)</formula>
    </cfRule>
  </conditionalFormatting>
  <conditionalFormatting sqref="K112">
    <cfRule type="containsText" dxfId="3563" priority="1250" operator="containsText" text="Einnahmen">
      <formula>NOT(ISERROR(SEARCH("Einnahmen",K112)))</formula>
    </cfRule>
    <cfRule type="containsText" dxfId="3562" priority="1251" operator="containsText" text="Ausgaben">
      <formula>NOT(ISERROR(SEARCH("Ausgaben",K112)))</formula>
    </cfRule>
  </conditionalFormatting>
  <conditionalFormatting sqref="K113">
    <cfRule type="containsText" dxfId="3561" priority="1248" operator="containsText" text="Einnahmen">
      <formula>NOT(ISERROR(SEARCH("Einnahmen",K113)))</formula>
    </cfRule>
    <cfRule type="containsText" dxfId="3560" priority="1249" operator="containsText" text="Ausgaben">
      <formula>NOT(ISERROR(SEARCH("Ausgaben",K113)))</formula>
    </cfRule>
  </conditionalFormatting>
  <conditionalFormatting sqref="M113">
    <cfRule type="expression" dxfId="3559" priority="1247">
      <formula>ISBLANK(M113)</formula>
    </cfRule>
  </conditionalFormatting>
  <conditionalFormatting sqref="M114">
    <cfRule type="expression" dxfId="3558" priority="1246">
      <formula>ISBLANK(M114)</formula>
    </cfRule>
  </conditionalFormatting>
  <conditionalFormatting sqref="M113">
    <cfRule type="expression" dxfId="3557" priority="1245">
      <formula>ISBLANK(M113)</formula>
    </cfRule>
  </conditionalFormatting>
  <conditionalFormatting sqref="M114">
    <cfRule type="expression" dxfId="3556" priority="1244">
      <formula>ISBLANK(M114)</formula>
    </cfRule>
  </conditionalFormatting>
  <conditionalFormatting sqref="K114">
    <cfRule type="containsText" dxfId="3555" priority="1242" operator="containsText" text="Einnahmen">
      <formula>NOT(ISERROR(SEARCH("Einnahmen",K114)))</formula>
    </cfRule>
    <cfRule type="containsText" dxfId="3554" priority="1243" operator="containsText" text="Ausgaben">
      <formula>NOT(ISERROR(SEARCH("Ausgaben",K114)))</formula>
    </cfRule>
  </conditionalFormatting>
  <conditionalFormatting sqref="M112">
    <cfRule type="expression" dxfId="3553" priority="1241">
      <formula>ISBLANK(M112)</formula>
    </cfRule>
  </conditionalFormatting>
  <conditionalFormatting sqref="M112">
    <cfRule type="expression" dxfId="3552" priority="1240">
      <formula>ISBLANK(M112)</formula>
    </cfRule>
  </conditionalFormatting>
  <conditionalFormatting sqref="M106 M89 M77 M64 M46 M31">
    <cfRule type="expression" dxfId="3551" priority="1239">
      <formula>ISBLANK(M31)</formula>
    </cfRule>
  </conditionalFormatting>
  <conditionalFormatting sqref="M115">
    <cfRule type="expression" dxfId="3550" priority="1238">
      <formula>ISBLANK(M115)</formula>
    </cfRule>
  </conditionalFormatting>
  <conditionalFormatting sqref="K115">
    <cfRule type="containsText" dxfId="3549" priority="1236" operator="containsText" text="Einnahmen">
      <formula>NOT(ISERROR(SEARCH("Einnahmen",K115)))</formula>
    </cfRule>
    <cfRule type="containsText" dxfId="3548" priority="1237" operator="containsText" text="Ausgaben">
      <formula>NOT(ISERROR(SEARCH("Ausgaben",K115)))</formula>
    </cfRule>
  </conditionalFormatting>
  <conditionalFormatting sqref="K116">
    <cfRule type="containsText" dxfId="3547" priority="1234" operator="containsText" text="Einnahmen">
      <formula>NOT(ISERROR(SEARCH("Einnahmen",K116)))</formula>
    </cfRule>
    <cfRule type="containsText" dxfId="3546" priority="1235" operator="containsText" text="Ausgaben">
      <formula>NOT(ISERROR(SEARCH("Ausgaben",K116)))</formula>
    </cfRule>
  </conditionalFormatting>
  <conditionalFormatting sqref="K117">
    <cfRule type="containsText" dxfId="3545" priority="1232" operator="containsText" text="Einnahmen">
      <formula>NOT(ISERROR(SEARCH("Einnahmen",K117)))</formula>
    </cfRule>
    <cfRule type="containsText" dxfId="3544" priority="1233" operator="containsText" text="Ausgaben">
      <formula>NOT(ISERROR(SEARCH("Ausgaben",K117)))</formula>
    </cfRule>
  </conditionalFormatting>
  <conditionalFormatting sqref="M117">
    <cfRule type="expression" dxfId="3543" priority="1231">
      <formula>ISBLANK(M117)</formula>
    </cfRule>
  </conditionalFormatting>
  <conditionalFormatting sqref="M117">
    <cfRule type="expression" dxfId="3542" priority="1230">
      <formula>ISBLANK(M117)</formula>
    </cfRule>
  </conditionalFormatting>
  <conditionalFormatting sqref="M117">
    <cfRule type="expression" dxfId="3541" priority="1229">
      <formula>ISBLANK(M117)</formula>
    </cfRule>
  </conditionalFormatting>
  <conditionalFormatting sqref="M117">
    <cfRule type="expression" dxfId="3540" priority="1228">
      <formula>ISBLANK(M117)</formula>
    </cfRule>
  </conditionalFormatting>
  <conditionalFormatting sqref="K118">
    <cfRule type="containsText" dxfId="3539" priority="1226" operator="containsText" text="Einnahmen">
      <formula>NOT(ISERROR(SEARCH("Einnahmen",K118)))</formula>
    </cfRule>
    <cfRule type="containsText" dxfId="3538" priority="1227" operator="containsText" text="Ausgaben">
      <formula>NOT(ISERROR(SEARCH("Ausgaben",K118)))</formula>
    </cfRule>
  </conditionalFormatting>
  <conditionalFormatting sqref="K119">
    <cfRule type="containsText" dxfId="3537" priority="1224" operator="containsText" text="Einnahmen">
      <formula>NOT(ISERROR(SEARCH("Einnahmen",K119)))</formula>
    </cfRule>
    <cfRule type="containsText" dxfId="3536" priority="1225" operator="containsText" text="Ausgaben">
      <formula>NOT(ISERROR(SEARCH("Ausgaben",K119)))</formula>
    </cfRule>
  </conditionalFormatting>
  <conditionalFormatting sqref="M119">
    <cfRule type="expression" dxfId="3535" priority="1223">
      <formula>ISBLANK(M119)</formula>
    </cfRule>
  </conditionalFormatting>
  <conditionalFormatting sqref="K120">
    <cfRule type="containsText" dxfId="3534" priority="1221" operator="containsText" text="Einnahmen">
      <formula>NOT(ISERROR(SEARCH("Einnahmen",K120)))</formula>
    </cfRule>
    <cfRule type="containsText" dxfId="3533" priority="1222" operator="containsText" text="Ausgaben">
      <formula>NOT(ISERROR(SEARCH("Ausgaben",K120)))</formula>
    </cfRule>
  </conditionalFormatting>
  <conditionalFormatting sqref="M120">
    <cfRule type="expression" dxfId="3532" priority="1220">
      <formula>ISBLANK(M120)</formula>
    </cfRule>
  </conditionalFormatting>
  <conditionalFormatting sqref="M120">
    <cfRule type="expression" dxfId="3531" priority="1219">
      <formula>ISBLANK(M120)</formula>
    </cfRule>
  </conditionalFormatting>
  <conditionalFormatting sqref="K121">
    <cfRule type="containsText" dxfId="3530" priority="1217" operator="containsText" text="Einnahmen">
      <formula>NOT(ISERROR(SEARCH("Einnahmen",K121)))</formula>
    </cfRule>
    <cfRule type="containsText" dxfId="3529" priority="1218" operator="containsText" text="Ausgaben">
      <formula>NOT(ISERROR(SEARCH("Ausgaben",K121)))</formula>
    </cfRule>
  </conditionalFormatting>
  <conditionalFormatting sqref="M122">
    <cfRule type="expression" dxfId="3528" priority="1216">
      <formula>ISBLANK(M122)</formula>
    </cfRule>
  </conditionalFormatting>
  <conditionalFormatting sqref="K122">
    <cfRule type="containsText" dxfId="3527" priority="1214" operator="containsText" text="Einnahmen">
      <formula>NOT(ISERROR(SEARCH("Einnahmen",K122)))</formula>
    </cfRule>
    <cfRule type="containsText" dxfId="3526" priority="1215" operator="containsText" text="Ausgaben">
      <formula>NOT(ISERROR(SEARCH("Ausgaben",K122)))</formula>
    </cfRule>
  </conditionalFormatting>
  <conditionalFormatting sqref="K123">
    <cfRule type="containsText" dxfId="3525" priority="1212" operator="containsText" text="Einnahmen">
      <formula>NOT(ISERROR(SEARCH("Einnahmen",K123)))</formula>
    </cfRule>
    <cfRule type="containsText" dxfId="3524" priority="1213" operator="containsText" text="Ausgaben">
      <formula>NOT(ISERROR(SEARCH("Ausgaben",K123)))</formula>
    </cfRule>
  </conditionalFormatting>
  <conditionalFormatting sqref="K124">
    <cfRule type="containsText" dxfId="3523" priority="1210" operator="containsText" text="Einnahmen">
      <formula>NOT(ISERROR(SEARCH("Einnahmen",K124)))</formula>
    </cfRule>
    <cfRule type="containsText" dxfId="3522" priority="1211" operator="containsText" text="Ausgaben">
      <formula>NOT(ISERROR(SEARCH("Ausgaben",K124)))</formula>
    </cfRule>
  </conditionalFormatting>
  <conditionalFormatting sqref="M124">
    <cfRule type="expression" dxfId="3521" priority="1209">
      <formula>ISBLANK(M124)</formula>
    </cfRule>
  </conditionalFormatting>
  <conditionalFormatting sqref="M125">
    <cfRule type="expression" dxfId="3520" priority="1208">
      <formula>ISBLANK(M125)</formula>
    </cfRule>
  </conditionalFormatting>
  <conditionalFormatting sqref="K125">
    <cfRule type="containsText" dxfId="3519" priority="1206" operator="containsText" text="Einnahmen">
      <formula>NOT(ISERROR(SEARCH("Einnahmen",K125)))</formula>
    </cfRule>
    <cfRule type="containsText" dxfId="3518" priority="1207" operator="containsText" text="Ausgaben">
      <formula>NOT(ISERROR(SEARCH("Ausgaben",K125)))</formula>
    </cfRule>
  </conditionalFormatting>
  <conditionalFormatting sqref="K126">
    <cfRule type="containsText" dxfId="3517" priority="1204" operator="containsText" text="Einnahmen">
      <formula>NOT(ISERROR(SEARCH("Einnahmen",K126)))</formula>
    </cfRule>
    <cfRule type="containsText" dxfId="3516" priority="1205" operator="containsText" text="Ausgaben">
      <formula>NOT(ISERROR(SEARCH("Ausgaben",K126)))</formula>
    </cfRule>
  </conditionalFormatting>
  <conditionalFormatting sqref="K127">
    <cfRule type="containsText" dxfId="3515" priority="1202" operator="containsText" text="Einnahmen">
      <formula>NOT(ISERROR(SEARCH("Einnahmen",K127)))</formula>
    </cfRule>
    <cfRule type="containsText" dxfId="3514" priority="1203" operator="containsText" text="Ausgaben">
      <formula>NOT(ISERROR(SEARCH("Ausgaben",K127)))</formula>
    </cfRule>
  </conditionalFormatting>
  <conditionalFormatting sqref="M80">
    <cfRule type="expression" dxfId="3513" priority="1201">
      <formula>ISBLANK(M80)</formula>
    </cfRule>
  </conditionalFormatting>
  <conditionalFormatting sqref="K128">
    <cfRule type="containsText" dxfId="3512" priority="1199" operator="containsText" text="Einnahmen">
      <formula>NOT(ISERROR(SEARCH("Einnahmen",K128)))</formula>
    </cfRule>
    <cfRule type="containsText" dxfId="3511" priority="1200" operator="containsText" text="Ausgaben">
      <formula>NOT(ISERROR(SEARCH("Ausgaben",K128)))</formula>
    </cfRule>
  </conditionalFormatting>
  <conditionalFormatting sqref="K129">
    <cfRule type="containsText" dxfId="3510" priority="1197" operator="containsText" text="Einnahmen">
      <formula>NOT(ISERROR(SEARCH("Einnahmen",K129)))</formula>
    </cfRule>
    <cfRule type="containsText" dxfId="3509" priority="1198" operator="containsText" text="Ausgaben">
      <formula>NOT(ISERROR(SEARCH("Ausgaben",K129)))</formula>
    </cfRule>
  </conditionalFormatting>
  <conditionalFormatting sqref="M129">
    <cfRule type="expression" dxfId="3508" priority="1196">
      <formula>ISBLANK(M129)</formula>
    </cfRule>
  </conditionalFormatting>
  <conditionalFormatting sqref="K130">
    <cfRule type="containsText" dxfId="3507" priority="1194" operator="containsText" text="Einnahmen">
      <formula>NOT(ISERROR(SEARCH("Einnahmen",K130)))</formula>
    </cfRule>
    <cfRule type="containsText" dxfId="3506" priority="1195" operator="containsText" text="Ausgaben">
      <formula>NOT(ISERROR(SEARCH("Ausgaben",K130)))</formula>
    </cfRule>
  </conditionalFormatting>
  <conditionalFormatting sqref="M130">
    <cfRule type="expression" dxfId="3505" priority="1193">
      <formula>ISBLANK(M130)</formula>
    </cfRule>
  </conditionalFormatting>
  <conditionalFormatting sqref="K131">
    <cfRule type="containsText" dxfId="3504" priority="1191" operator="containsText" text="Einnahmen">
      <formula>NOT(ISERROR(SEARCH("Einnahmen",K131)))</formula>
    </cfRule>
    <cfRule type="containsText" dxfId="3503" priority="1192" operator="containsText" text="Ausgaben">
      <formula>NOT(ISERROR(SEARCH("Ausgaben",K131)))</formula>
    </cfRule>
  </conditionalFormatting>
  <conditionalFormatting sqref="M131">
    <cfRule type="expression" dxfId="3502" priority="1190">
      <formula>ISBLANK(M131)</formula>
    </cfRule>
  </conditionalFormatting>
  <conditionalFormatting sqref="K132">
    <cfRule type="containsText" dxfId="3501" priority="1188" operator="containsText" text="Einnahmen">
      <formula>NOT(ISERROR(SEARCH("Einnahmen",K132)))</formula>
    </cfRule>
    <cfRule type="containsText" dxfId="3500" priority="1189" operator="containsText" text="Ausgaben">
      <formula>NOT(ISERROR(SEARCH("Ausgaben",K132)))</formula>
    </cfRule>
  </conditionalFormatting>
  <conditionalFormatting sqref="M132">
    <cfRule type="expression" dxfId="3499" priority="1187">
      <formula>ISBLANK(M132)</formula>
    </cfRule>
  </conditionalFormatting>
  <conditionalFormatting sqref="M132">
    <cfRule type="expression" dxfId="3498" priority="1186">
      <formula>ISBLANK(M132)</formula>
    </cfRule>
  </conditionalFormatting>
  <conditionalFormatting sqref="M132">
    <cfRule type="expression" dxfId="3497" priority="1185">
      <formula>ISBLANK(M132)</formula>
    </cfRule>
  </conditionalFormatting>
  <conditionalFormatting sqref="M132">
    <cfRule type="expression" dxfId="3496" priority="1184">
      <formula>ISBLANK(M132)</formula>
    </cfRule>
  </conditionalFormatting>
  <conditionalFormatting sqref="K133">
    <cfRule type="containsText" dxfId="3495" priority="1182" operator="containsText" text="Einnahmen">
      <formula>NOT(ISERROR(SEARCH("Einnahmen",K133)))</formula>
    </cfRule>
    <cfRule type="containsText" dxfId="3494" priority="1183" operator="containsText" text="Ausgaben">
      <formula>NOT(ISERROR(SEARCH("Ausgaben",K133)))</formula>
    </cfRule>
  </conditionalFormatting>
  <conditionalFormatting sqref="K134">
    <cfRule type="containsText" dxfId="3493" priority="1180" operator="containsText" text="Einnahmen">
      <formula>NOT(ISERROR(SEARCH("Einnahmen",K134)))</formula>
    </cfRule>
    <cfRule type="containsText" dxfId="3492" priority="1181" operator="containsText" text="Ausgaben">
      <formula>NOT(ISERROR(SEARCH("Ausgaben",K134)))</formula>
    </cfRule>
  </conditionalFormatting>
  <conditionalFormatting sqref="M134">
    <cfRule type="expression" dxfId="3491" priority="1179">
      <formula>ISBLANK(M134)</formula>
    </cfRule>
  </conditionalFormatting>
  <conditionalFormatting sqref="M134">
    <cfRule type="expression" dxfId="3490" priority="1178">
      <formula>ISBLANK(M134)</formula>
    </cfRule>
  </conditionalFormatting>
  <conditionalFormatting sqref="K135">
    <cfRule type="containsText" dxfId="3489" priority="1176" operator="containsText" text="Einnahmen">
      <formula>NOT(ISERROR(SEARCH("Einnahmen",K135)))</formula>
    </cfRule>
    <cfRule type="containsText" dxfId="3488" priority="1177" operator="containsText" text="Ausgaben">
      <formula>NOT(ISERROR(SEARCH("Ausgaben",K135)))</formula>
    </cfRule>
  </conditionalFormatting>
  <conditionalFormatting sqref="M136">
    <cfRule type="expression" dxfId="3487" priority="1175">
      <formula>ISBLANK(M136)</formula>
    </cfRule>
  </conditionalFormatting>
  <conditionalFormatting sqref="K136">
    <cfRule type="containsText" dxfId="3486" priority="1173" operator="containsText" text="Einnahmen">
      <formula>NOT(ISERROR(SEARCH("Einnahmen",K136)))</formula>
    </cfRule>
    <cfRule type="containsText" dxfId="3485" priority="1174" operator="containsText" text="Ausgaben">
      <formula>NOT(ISERROR(SEARCH("Ausgaben",K136)))</formula>
    </cfRule>
  </conditionalFormatting>
  <conditionalFormatting sqref="K137">
    <cfRule type="containsText" dxfId="3484" priority="1171" operator="containsText" text="Einnahmen">
      <formula>NOT(ISERROR(SEARCH("Einnahmen",K137)))</formula>
    </cfRule>
    <cfRule type="containsText" dxfId="3483" priority="1172" operator="containsText" text="Ausgaben">
      <formula>NOT(ISERROR(SEARCH("Ausgaben",K137)))</formula>
    </cfRule>
  </conditionalFormatting>
  <conditionalFormatting sqref="M137">
    <cfRule type="expression" dxfId="3482" priority="1170">
      <formula>ISBLANK(M137)</formula>
    </cfRule>
  </conditionalFormatting>
  <conditionalFormatting sqref="M138">
    <cfRule type="expression" dxfId="3481" priority="1169">
      <formula>ISBLANK(M138)</formula>
    </cfRule>
  </conditionalFormatting>
  <conditionalFormatting sqref="K138">
    <cfRule type="containsText" dxfId="3480" priority="1167" operator="containsText" text="Einnahmen">
      <formula>NOT(ISERROR(SEARCH("Einnahmen",K138)))</formula>
    </cfRule>
    <cfRule type="containsText" dxfId="3479" priority="1168" operator="containsText" text="Ausgaben">
      <formula>NOT(ISERROR(SEARCH("Ausgaben",K138)))</formula>
    </cfRule>
  </conditionalFormatting>
  <conditionalFormatting sqref="K139">
    <cfRule type="containsText" dxfId="3478" priority="1165" operator="containsText" text="Einnahmen">
      <formula>NOT(ISERROR(SEARCH("Einnahmen",K139)))</formula>
    </cfRule>
    <cfRule type="containsText" dxfId="3477" priority="1166" operator="containsText" text="Ausgaben">
      <formula>NOT(ISERROR(SEARCH("Ausgaben",K139)))</formula>
    </cfRule>
  </conditionalFormatting>
  <conditionalFormatting sqref="K140">
    <cfRule type="containsText" dxfId="3476" priority="1163" operator="containsText" text="Einnahmen">
      <formula>NOT(ISERROR(SEARCH("Einnahmen",K140)))</formula>
    </cfRule>
    <cfRule type="containsText" dxfId="3475" priority="1164" operator="containsText" text="Ausgaben">
      <formula>NOT(ISERROR(SEARCH("Ausgaben",K140)))</formula>
    </cfRule>
  </conditionalFormatting>
  <conditionalFormatting sqref="M140">
    <cfRule type="expression" dxfId="3474" priority="1162">
      <formula>ISBLANK(M140)</formula>
    </cfRule>
  </conditionalFormatting>
  <conditionalFormatting sqref="K141">
    <cfRule type="containsText" dxfId="3473" priority="1160" operator="containsText" text="Einnahmen">
      <formula>NOT(ISERROR(SEARCH("Einnahmen",K141)))</formula>
    </cfRule>
    <cfRule type="containsText" dxfId="3472" priority="1161" operator="containsText" text="Ausgaben">
      <formula>NOT(ISERROR(SEARCH("Ausgaben",K141)))</formula>
    </cfRule>
  </conditionalFormatting>
  <conditionalFormatting sqref="M141">
    <cfRule type="expression" dxfId="3471" priority="1159">
      <formula>ISBLANK(M141)</formula>
    </cfRule>
  </conditionalFormatting>
  <conditionalFormatting sqref="K142">
    <cfRule type="containsText" dxfId="3470" priority="1157" operator="containsText" text="Einnahmen">
      <formula>NOT(ISERROR(SEARCH("Einnahmen",K142)))</formula>
    </cfRule>
    <cfRule type="containsText" dxfId="3469" priority="1158" operator="containsText" text="Ausgaben">
      <formula>NOT(ISERROR(SEARCH("Ausgaben",K142)))</formula>
    </cfRule>
  </conditionalFormatting>
  <conditionalFormatting sqref="K143">
    <cfRule type="containsText" dxfId="3468" priority="1155" operator="containsText" text="Einnahmen">
      <formula>NOT(ISERROR(SEARCH("Einnahmen",K143)))</formula>
    </cfRule>
    <cfRule type="containsText" dxfId="3467" priority="1156" operator="containsText" text="Ausgaben">
      <formula>NOT(ISERROR(SEARCH("Ausgaben",K143)))</formula>
    </cfRule>
  </conditionalFormatting>
  <conditionalFormatting sqref="K144">
    <cfRule type="containsText" dxfId="3466" priority="1153" operator="containsText" text="Einnahmen">
      <formula>NOT(ISERROR(SEARCH("Einnahmen",K144)))</formula>
    </cfRule>
    <cfRule type="containsText" dxfId="3465" priority="1154" operator="containsText" text="Ausgaben">
      <formula>NOT(ISERROR(SEARCH("Ausgaben",K144)))</formula>
    </cfRule>
  </conditionalFormatting>
  <conditionalFormatting sqref="K145">
    <cfRule type="containsText" dxfId="3464" priority="1151" operator="containsText" text="Einnahmen">
      <formula>NOT(ISERROR(SEARCH("Einnahmen",K145)))</formula>
    </cfRule>
    <cfRule type="containsText" dxfId="3463" priority="1152" operator="containsText" text="Ausgaben">
      <formula>NOT(ISERROR(SEARCH("Ausgaben",K145)))</formula>
    </cfRule>
  </conditionalFormatting>
  <conditionalFormatting sqref="M145">
    <cfRule type="expression" dxfId="3462" priority="1150">
      <formula>ISBLANK(M145)</formula>
    </cfRule>
  </conditionalFormatting>
  <conditionalFormatting sqref="M146">
    <cfRule type="expression" dxfId="3461" priority="1149">
      <formula>ISBLANK(M146)</formula>
    </cfRule>
  </conditionalFormatting>
  <conditionalFormatting sqref="K146">
    <cfRule type="containsText" dxfId="3460" priority="1147" operator="containsText" text="Einnahmen">
      <formula>NOT(ISERROR(SEARCH("Einnahmen",K146)))</formula>
    </cfRule>
    <cfRule type="containsText" dxfId="3459" priority="1148" operator="containsText" text="Ausgaben">
      <formula>NOT(ISERROR(SEARCH("Ausgaben",K146)))</formula>
    </cfRule>
  </conditionalFormatting>
  <conditionalFormatting sqref="K147">
    <cfRule type="containsText" dxfId="3458" priority="1145" operator="containsText" text="Einnahmen">
      <formula>NOT(ISERROR(SEARCH("Einnahmen",K147)))</formula>
    </cfRule>
    <cfRule type="containsText" dxfId="3457" priority="1146" operator="containsText" text="Ausgaben">
      <formula>NOT(ISERROR(SEARCH("Ausgaben",K147)))</formula>
    </cfRule>
  </conditionalFormatting>
  <conditionalFormatting sqref="M147">
    <cfRule type="expression" dxfId="3456" priority="1144">
      <formula>ISBLANK(M147)</formula>
    </cfRule>
  </conditionalFormatting>
  <conditionalFormatting sqref="M147">
    <cfRule type="expression" dxfId="3455" priority="1143">
      <formula>ISBLANK(M147)</formula>
    </cfRule>
  </conditionalFormatting>
  <conditionalFormatting sqref="M147">
    <cfRule type="expression" dxfId="3454" priority="1142">
      <formula>ISBLANK(M147)</formula>
    </cfRule>
  </conditionalFormatting>
  <conditionalFormatting sqref="M147">
    <cfRule type="expression" dxfId="3453" priority="1141">
      <formula>ISBLANK(M147)</formula>
    </cfRule>
  </conditionalFormatting>
  <conditionalFormatting sqref="K148">
    <cfRule type="containsText" dxfId="3452" priority="1139" operator="containsText" text="Einnahmen">
      <formula>NOT(ISERROR(SEARCH("Einnahmen",K148)))</formula>
    </cfRule>
    <cfRule type="containsText" dxfId="3451" priority="1140" operator="containsText" text="Ausgaben">
      <formula>NOT(ISERROR(SEARCH("Ausgaben",K148)))</formula>
    </cfRule>
  </conditionalFormatting>
  <conditionalFormatting sqref="M148">
    <cfRule type="expression" dxfId="3450" priority="1138">
      <formula>ISBLANK(M148)</formula>
    </cfRule>
  </conditionalFormatting>
  <conditionalFormatting sqref="M148">
    <cfRule type="expression" dxfId="3449" priority="1137">
      <formula>ISBLANK(M148)</formula>
    </cfRule>
  </conditionalFormatting>
  <conditionalFormatting sqref="K149">
    <cfRule type="containsText" dxfId="3448" priority="1135" operator="containsText" text="Einnahmen">
      <formula>NOT(ISERROR(SEARCH("Einnahmen",K149)))</formula>
    </cfRule>
    <cfRule type="containsText" dxfId="3447" priority="1136" operator="containsText" text="Ausgaben">
      <formula>NOT(ISERROR(SEARCH("Ausgaben",K149)))</formula>
    </cfRule>
  </conditionalFormatting>
  <conditionalFormatting sqref="M149">
    <cfRule type="expression" dxfId="3446" priority="1134">
      <formula>ISBLANK(M149)</formula>
    </cfRule>
  </conditionalFormatting>
  <conditionalFormatting sqref="K150">
    <cfRule type="containsText" dxfId="3445" priority="1132" operator="containsText" text="Einnahmen">
      <formula>NOT(ISERROR(SEARCH("Einnahmen",K150)))</formula>
    </cfRule>
    <cfRule type="containsText" dxfId="3444" priority="1133" operator="containsText" text="Ausgaben">
      <formula>NOT(ISERROR(SEARCH("Ausgaben",K150)))</formula>
    </cfRule>
  </conditionalFormatting>
  <conditionalFormatting sqref="K151">
    <cfRule type="containsText" dxfId="3443" priority="1130" operator="containsText" text="Einnahmen">
      <formula>NOT(ISERROR(SEARCH("Einnahmen",K151)))</formula>
    </cfRule>
    <cfRule type="containsText" dxfId="3442" priority="1131" operator="containsText" text="Ausgaben">
      <formula>NOT(ISERROR(SEARCH("Ausgaben",K151)))</formula>
    </cfRule>
  </conditionalFormatting>
  <conditionalFormatting sqref="M152">
    <cfRule type="expression" dxfId="3441" priority="1129">
      <formula>ISBLANK(M152)</formula>
    </cfRule>
  </conditionalFormatting>
  <conditionalFormatting sqref="K152">
    <cfRule type="containsText" dxfId="3440" priority="1127" operator="containsText" text="Einnahmen">
      <formula>NOT(ISERROR(SEARCH("Einnahmen",K152)))</formula>
    </cfRule>
    <cfRule type="containsText" dxfId="3439" priority="1128" operator="containsText" text="Ausgaben">
      <formula>NOT(ISERROR(SEARCH("Ausgaben",K152)))</formula>
    </cfRule>
  </conditionalFormatting>
  <conditionalFormatting sqref="K153 K156 K168 K193:K194">
    <cfRule type="containsText" dxfId="3438" priority="1125" operator="containsText" text="Einnahmen">
      <formula>NOT(ISERROR(SEARCH("Einnahmen",K153)))</formula>
    </cfRule>
    <cfRule type="containsText" dxfId="3437" priority="1126" operator="containsText" text="Ausgaben">
      <formula>NOT(ISERROR(SEARCH("Ausgaben",K153)))</formula>
    </cfRule>
  </conditionalFormatting>
  <conditionalFormatting sqref="K154">
    <cfRule type="containsText" dxfId="3436" priority="1123" operator="containsText" text="Einnahmen">
      <formula>NOT(ISERROR(SEARCH("Einnahmen",K154)))</formula>
    </cfRule>
    <cfRule type="containsText" dxfId="3435" priority="1124" operator="containsText" text="Ausgaben">
      <formula>NOT(ISERROR(SEARCH("Ausgaben",K154)))</formula>
    </cfRule>
  </conditionalFormatting>
  <conditionalFormatting sqref="K155">
    <cfRule type="containsText" dxfId="3434" priority="1121" operator="containsText" text="Einnahmen">
      <formula>NOT(ISERROR(SEARCH("Einnahmen",K155)))</formula>
    </cfRule>
    <cfRule type="containsText" dxfId="3433" priority="1122" operator="containsText" text="Ausgaben">
      <formula>NOT(ISERROR(SEARCH("Ausgaben",K155)))</formula>
    </cfRule>
  </conditionalFormatting>
  <conditionalFormatting sqref="K157">
    <cfRule type="containsText" dxfId="3432" priority="1119" operator="containsText" text="Einnahmen">
      <formula>NOT(ISERROR(SEARCH("Einnahmen",K157)))</formula>
    </cfRule>
    <cfRule type="containsText" dxfId="3431" priority="1120" operator="containsText" text="Ausgaben">
      <formula>NOT(ISERROR(SEARCH("Ausgaben",K157)))</formula>
    </cfRule>
  </conditionalFormatting>
  <conditionalFormatting sqref="K158">
    <cfRule type="containsText" dxfId="3430" priority="1117" operator="containsText" text="Einnahmen">
      <formula>NOT(ISERROR(SEARCH("Einnahmen",K158)))</formula>
    </cfRule>
    <cfRule type="containsText" dxfId="3429" priority="1118" operator="containsText" text="Ausgaben">
      <formula>NOT(ISERROR(SEARCH("Ausgaben",K158)))</formula>
    </cfRule>
  </conditionalFormatting>
  <conditionalFormatting sqref="M158">
    <cfRule type="expression" dxfId="3428" priority="1116">
      <formula>ISBLANK(M158)</formula>
    </cfRule>
  </conditionalFormatting>
  <conditionalFormatting sqref="K159">
    <cfRule type="containsText" dxfId="3427" priority="1114" operator="containsText" text="Einnahmen">
      <formula>NOT(ISERROR(SEARCH("Einnahmen",K159)))</formula>
    </cfRule>
    <cfRule type="containsText" dxfId="3426" priority="1115" operator="containsText" text="Ausgaben">
      <formula>NOT(ISERROR(SEARCH("Ausgaben",K159)))</formula>
    </cfRule>
  </conditionalFormatting>
  <conditionalFormatting sqref="M159">
    <cfRule type="expression" dxfId="3425" priority="1113">
      <formula>ISBLANK(M159)</formula>
    </cfRule>
  </conditionalFormatting>
  <conditionalFormatting sqref="K160">
    <cfRule type="containsText" dxfId="3424" priority="1111" operator="containsText" text="Einnahmen">
      <formula>NOT(ISERROR(SEARCH("Einnahmen",K160)))</formula>
    </cfRule>
    <cfRule type="containsText" dxfId="3423" priority="1112" operator="containsText" text="Ausgaben">
      <formula>NOT(ISERROR(SEARCH("Ausgaben",K160)))</formula>
    </cfRule>
  </conditionalFormatting>
  <conditionalFormatting sqref="K161">
    <cfRule type="containsText" dxfId="3422" priority="1109" operator="containsText" text="Einnahmen">
      <formula>NOT(ISERROR(SEARCH("Einnahmen",K161)))</formula>
    </cfRule>
    <cfRule type="containsText" dxfId="3421" priority="1110" operator="containsText" text="Ausgaben">
      <formula>NOT(ISERROR(SEARCH("Ausgaben",K161)))</formula>
    </cfRule>
  </conditionalFormatting>
  <conditionalFormatting sqref="K162">
    <cfRule type="containsText" dxfId="3420" priority="1107" operator="containsText" text="Einnahmen">
      <formula>NOT(ISERROR(SEARCH("Einnahmen",K162)))</formula>
    </cfRule>
    <cfRule type="containsText" dxfId="3419" priority="1108" operator="containsText" text="Ausgaben">
      <formula>NOT(ISERROR(SEARCH("Ausgaben",K162)))</formula>
    </cfRule>
  </conditionalFormatting>
  <conditionalFormatting sqref="M162">
    <cfRule type="expression" dxfId="3418" priority="1106">
      <formula>ISBLANK(M162)</formula>
    </cfRule>
  </conditionalFormatting>
  <conditionalFormatting sqref="M162">
    <cfRule type="expression" dxfId="3417" priority="1105">
      <formula>ISBLANK(M162)</formula>
    </cfRule>
  </conditionalFormatting>
  <conditionalFormatting sqref="M162">
    <cfRule type="expression" dxfId="3416" priority="1104">
      <formula>ISBLANK(M162)</formula>
    </cfRule>
  </conditionalFormatting>
  <conditionalFormatting sqref="M162">
    <cfRule type="expression" dxfId="3415" priority="1103">
      <formula>ISBLANK(M162)</formula>
    </cfRule>
  </conditionalFormatting>
  <conditionalFormatting sqref="K163">
    <cfRule type="containsText" dxfId="3414" priority="1101" operator="containsText" text="Einnahmen">
      <formula>NOT(ISERROR(SEARCH("Einnahmen",K163)))</formula>
    </cfRule>
    <cfRule type="containsText" dxfId="3413" priority="1102" operator="containsText" text="Ausgaben">
      <formula>NOT(ISERROR(SEARCH("Ausgaben",K163)))</formula>
    </cfRule>
  </conditionalFormatting>
  <conditionalFormatting sqref="M163">
    <cfRule type="expression" dxfId="3412" priority="1100">
      <formula>ISBLANK(M163)</formula>
    </cfRule>
  </conditionalFormatting>
  <conditionalFormatting sqref="M163">
    <cfRule type="expression" dxfId="3411" priority="1099">
      <formula>ISBLANK(M163)</formula>
    </cfRule>
  </conditionalFormatting>
  <conditionalFormatting sqref="K164">
    <cfRule type="containsText" dxfId="3410" priority="1097" operator="containsText" text="Einnahmen">
      <formula>NOT(ISERROR(SEARCH("Einnahmen",K164)))</formula>
    </cfRule>
    <cfRule type="containsText" dxfId="3409" priority="1098" operator="containsText" text="Ausgaben">
      <formula>NOT(ISERROR(SEARCH("Ausgaben",K164)))</formula>
    </cfRule>
  </conditionalFormatting>
  <conditionalFormatting sqref="K165">
    <cfRule type="containsText" dxfId="3408" priority="1095" operator="containsText" text="Einnahmen">
      <formula>NOT(ISERROR(SEARCH("Einnahmen",K165)))</formula>
    </cfRule>
    <cfRule type="containsText" dxfId="3407" priority="1096" operator="containsText" text="Ausgaben">
      <formula>NOT(ISERROR(SEARCH("Ausgaben",K165)))</formula>
    </cfRule>
  </conditionalFormatting>
  <conditionalFormatting sqref="K166">
    <cfRule type="containsText" dxfId="3406" priority="1093" operator="containsText" text="Einnahmen">
      <formula>NOT(ISERROR(SEARCH("Einnahmen",K166)))</formula>
    </cfRule>
    <cfRule type="containsText" dxfId="3405" priority="1094" operator="containsText" text="Ausgaben">
      <formula>NOT(ISERROR(SEARCH("Ausgaben",K166)))</formula>
    </cfRule>
  </conditionalFormatting>
  <conditionalFormatting sqref="M166">
    <cfRule type="expression" dxfId="3404" priority="1092">
      <formula>ISBLANK(M166)</formula>
    </cfRule>
  </conditionalFormatting>
  <conditionalFormatting sqref="M167">
    <cfRule type="expression" dxfId="3403" priority="1091">
      <formula>ISBLANK(M167)</formula>
    </cfRule>
  </conditionalFormatting>
  <conditionalFormatting sqref="K167">
    <cfRule type="containsText" dxfId="3402" priority="1089" operator="containsText" text="Einnahmen">
      <formula>NOT(ISERROR(SEARCH("Einnahmen",K167)))</formula>
    </cfRule>
    <cfRule type="containsText" dxfId="3401" priority="1090" operator="containsText" text="Ausgaben">
      <formula>NOT(ISERROR(SEARCH("Ausgaben",K167)))</formula>
    </cfRule>
  </conditionalFormatting>
  <conditionalFormatting sqref="K169">
    <cfRule type="containsText" dxfId="3400" priority="1087" operator="containsText" text="Einnahmen">
      <formula>NOT(ISERROR(SEARCH("Einnahmen",K169)))</formula>
    </cfRule>
    <cfRule type="containsText" dxfId="3399" priority="1088" operator="containsText" text="Ausgaben">
      <formula>NOT(ISERROR(SEARCH("Ausgaben",K169)))</formula>
    </cfRule>
  </conditionalFormatting>
  <conditionalFormatting sqref="K170">
    <cfRule type="containsText" dxfId="3398" priority="1085" operator="containsText" text="Einnahmen">
      <formula>NOT(ISERROR(SEARCH("Einnahmen",K170)))</formula>
    </cfRule>
    <cfRule type="containsText" dxfId="3397" priority="1086" operator="containsText" text="Ausgaben">
      <formula>NOT(ISERROR(SEARCH("Ausgaben",K170)))</formula>
    </cfRule>
  </conditionalFormatting>
  <conditionalFormatting sqref="K171">
    <cfRule type="containsText" dxfId="3396" priority="1083" operator="containsText" text="Einnahmen">
      <formula>NOT(ISERROR(SEARCH("Einnahmen",K171)))</formula>
    </cfRule>
    <cfRule type="containsText" dxfId="3395" priority="1084" operator="containsText" text="Ausgaben">
      <formula>NOT(ISERROR(SEARCH("Ausgaben",K171)))</formula>
    </cfRule>
  </conditionalFormatting>
  <conditionalFormatting sqref="K172">
    <cfRule type="containsText" dxfId="3394" priority="1081" operator="containsText" text="Einnahmen">
      <formula>NOT(ISERROR(SEARCH("Einnahmen",K172)))</formula>
    </cfRule>
    <cfRule type="containsText" dxfId="3393" priority="1082" operator="containsText" text="Ausgaben">
      <formula>NOT(ISERROR(SEARCH("Ausgaben",K172)))</formula>
    </cfRule>
  </conditionalFormatting>
  <conditionalFormatting sqref="K173">
    <cfRule type="containsText" dxfId="3392" priority="1079" operator="containsText" text="Einnahmen">
      <formula>NOT(ISERROR(SEARCH("Einnahmen",K173)))</formula>
    </cfRule>
    <cfRule type="containsText" dxfId="3391" priority="1080" operator="containsText" text="Ausgaben">
      <formula>NOT(ISERROR(SEARCH("Ausgaben",K173)))</formula>
    </cfRule>
  </conditionalFormatting>
  <conditionalFormatting sqref="K174">
    <cfRule type="containsText" dxfId="3390" priority="1077" operator="containsText" text="Einnahmen">
      <formula>NOT(ISERROR(SEARCH("Einnahmen",K174)))</formula>
    </cfRule>
    <cfRule type="containsText" dxfId="3389" priority="1078" operator="containsText" text="Ausgaben">
      <formula>NOT(ISERROR(SEARCH("Ausgaben",K174)))</formula>
    </cfRule>
  </conditionalFormatting>
  <conditionalFormatting sqref="K175">
    <cfRule type="containsText" dxfId="3388" priority="1075" operator="containsText" text="Einnahmen">
      <formula>NOT(ISERROR(SEARCH("Einnahmen",K175)))</formula>
    </cfRule>
    <cfRule type="containsText" dxfId="3387" priority="1076" operator="containsText" text="Ausgaben">
      <formula>NOT(ISERROR(SEARCH("Ausgaben",K175)))</formula>
    </cfRule>
  </conditionalFormatting>
  <conditionalFormatting sqref="K176">
    <cfRule type="containsText" dxfId="3386" priority="1073" operator="containsText" text="Einnahmen">
      <formula>NOT(ISERROR(SEARCH("Einnahmen",K176)))</formula>
    </cfRule>
    <cfRule type="containsText" dxfId="3385" priority="1074" operator="containsText" text="Ausgaben">
      <formula>NOT(ISERROR(SEARCH("Ausgaben",K176)))</formula>
    </cfRule>
  </conditionalFormatting>
  <conditionalFormatting sqref="K177">
    <cfRule type="containsText" dxfId="3384" priority="1071" operator="containsText" text="Einnahmen">
      <formula>NOT(ISERROR(SEARCH("Einnahmen",K177)))</formula>
    </cfRule>
    <cfRule type="containsText" dxfId="3383" priority="1072" operator="containsText" text="Ausgaben">
      <formula>NOT(ISERROR(SEARCH("Ausgaben",K177)))</formula>
    </cfRule>
  </conditionalFormatting>
  <conditionalFormatting sqref="M177">
    <cfRule type="expression" dxfId="3382" priority="1070">
      <formula>ISBLANK(M177)</formula>
    </cfRule>
  </conditionalFormatting>
  <conditionalFormatting sqref="K178">
    <cfRule type="containsText" dxfId="3381" priority="1068" operator="containsText" text="Einnahmen">
      <formula>NOT(ISERROR(SEARCH("Einnahmen",K178)))</formula>
    </cfRule>
    <cfRule type="containsText" dxfId="3380" priority="1069" operator="containsText" text="Ausgaben">
      <formula>NOT(ISERROR(SEARCH("Ausgaben",K178)))</formula>
    </cfRule>
  </conditionalFormatting>
  <conditionalFormatting sqref="K179">
    <cfRule type="containsText" dxfId="3379" priority="1066" operator="containsText" text="Einnahmen">
      <formula>NOT(ISERROR(SEARCH("Einnahmen",K179)))</formula>
    </cfRule>
    <cfRule type="containsText" dxfId="3378" priority="1067" operator="containsText" text="Ausgaben">
      <formula>NOT(ISERROR(SEARCH("Ausgaben",K179)))</formula>
    </cfRule>
  </conditionalFormatting>
  <conditionalFormatting sqref="M179">
    <cfRule type="expression" dxfId="3377" priority="1065">
      <formula>ISBLANK(M179)</formula>
    </cfRule>
  </conditionalFormatting>
  <conditionalFormatting sqref="K180">
    <cfRule type="containsText" dxfId="3376" priority="1063" operator="containsText" text="Einnahmen">
      <formula>NOT(ISERROR(SEARCH("Einnahmen",K180)))</formula>
    </cfRule>
    <cfRule type="containsText" dxfId="3375" priority="1064" operator="containsText" text="Ausgaben">
      <formula>NOT(ISERROR(SEARCH("Ausgaben",K180)))</formula>
    </cfRule>
  </conditionalFormatting>
  <conditionalFormatting sqref="M180">
    <cfRule type="expression" dxfId="3374" priority="1062">
      <formula>ISBLANK(M180)</formula>
    </cfRule>
  </conditionalFormatting>
  <conditionalFormatting sqref="M180">
    <cfRule type="expression" dxfId="3373" priority="1061">
      <formula>ISBLANK(M180)</formula>
    </cfRule>
  </conditionalFormatting>
  <conditionalFormatting sqref="M180">
    <cfRule type="expression" dxfId="3372" priority="1060">
      <formula>ISBLANK(M180)</formula>
    </cfRule>
  </conditionalFormatting>
  <conditionalFormatting sqref="M180">
    <cfRule type="expression" dxfId="3371" priority="1059">
      <formula>ISBLANK(M180)</formula>
    </cfRule>
  </conditionalFormatting>
  <conditionalFormatting sqref="K181">
    <cfRule type="containsText" dxfId="3370" priority="1057" operator="containsText" text="Einnahmen">
      <formula>NOT(ISERROR(SEARCH("Einnahmen",K181)))</formula>
    </cfRule>
    <cfRule type="containsText" dxfId="3369" priority="1058" operator="containsText" text="Ausgaben">
      <formula>NOT(ISERROR(SEARCH("Ausgaben",K181)))</formula>
    </cfRule>
  </conditionalFormatting>
  <conditionalFormatting sqref="M181">
    <cfRule type="expression" dxfId="3368" priority="1056">
      <formula>ISBLANK(M181)</formula>
    </cfRule>
  </conditionalFormatting>
  <conditionalFormatting sqref="M181">
    <cfRule type="expression" dxfId="3367" priority="1055">
      <formula>ISBLANK(M181)</formula>
    </cfRule>
  </conditionalFormatting>
  <conditionalFormatting sqref="K182">
    <cfRule type="containsText" dxfId="3366" priority="1053" operator="containsText" text="Einnahmen">
      <formula>NOT(ISERROR(SEARCH("Einnahmen",K182)))</formula>
    </cfRule>
    <cfRule type="containsText" dxfId="3365" priority="1054" operator="containsText" text="Ausgaben">
      <formula>NOT(ISERROR(SEARCH("Ausgaben",K182)))</formula>
    </cfRule>
  </conditionalFormatting>
  <conditionalFormatting sqref="K182">
    <cfRule type="containsText" dxfId="3364" priority="1051" operator="containsText" text="Einnahmen">
      <formula>NOT(ISERROR(SEARCH("Einnahmen",K182)))</formula>
    </cfRule>
    <cfRule type="containsText" dxfId="3363" priority="1052" operator="containsText" text="Ausgaben">
      <formula>NOT(ISERROR(SEARCH("Ausgaben",K182)))</formula>
    </cfRule>
  </conditionalFormatting>
  <conditionalFormatting sqref="K183">
    <cfRule type="containsText" dxfId="3362" priority="1049" operator="containsText" text="Einnahmen">
      <formula>NOT(ISERROR(SEARCH("Einnahmen",K183)))</formula>
    </cfRule>
    <cfRule type="containsText" dxfId="3361" priority="1050" operator="containsText" text="Ausgaben">
      <formula>NOT(ISERROR(SEARCH("Ausgaben",K183)))</formula>
    </cfRule>
  </conditionalFormatting>
  <conditionalFormatting sqref="M184">
    <cfRule type="expression" dxfId="3360" priority="1048">
      <formula>ISBLANK(M184)</formula>
    </cfRule>
  </conditionalFormatting>
  <conditionalFormatting sqref="K184">
    <cfRule type="containsText" dxfId="3359" priority="1046" operator="containsText" text="Einnahmen">
      <formula>NOT(ISERROR(SEARCH("Einnahmen",K184)))</formula>
    </cfRule>
    <cfRule type="containsText" dxfId="3358" priority="1047" operator="containsText" text="Ausgaben">
      <formula>NOT(ISERROR(SEARCH("Ausgaben",K184)))</formula>
    </cfRule>
  </conditionalFormatting>
  <conditionalFormatting sqref="K185">
    <cfRule type="containsText" dxfId="3357" priority="1044" operator="containsText" text="Einnahmen">
      <formula>NOT(ISERROR(SEARCH("Einnahmen",K185)))</formula>
    </cfRule>
    <cfRule type="containsText" dxfId="3356" priority="1045" operator="containsText" text="Ausgaben">
      <formula>NOT(ISERROR(SEARCH("Ausgaben",K185)))</formula>
    </cfRule>
  </conditionalFormatting>
  <conditionalFormatting sqref="K186">
    <cfRule type="containsText" dxfId="3355" priority="1042" operator="containsText" text="Einnahmen">
      <formula>NOT(ISERROR(SEARCH("Einnahmen",K186)))</formula>
    </cfRule>
    <cfRule type="containsText" dxfId="3354" priority="1043" operator="containsText" text="Ausgaben">
      <formula>NOT(ISERROR(SEARCH("Ausgaben",K186)))</formula>
    </cfRule>
  </conditionalFormatting>
  <conditionalFormatting sqref="K189">
    <cfRule type="containsText" dxfId="3353" priority="1040" operator="containsText" text="Einnahmen">
      <formula>NOT(ISERROR(SEARCH("Einnahmen",K189)))</formula>
    </cfRule>
    <cfRule type="containsText" dxfId="3352" priority="1041" operator="containsText" text="Ausgaben">
      <formula>NOT(ISERROR(SEARCH("Ausgaben",K189)))</formula>
    </cfRule>
  </conditionalFormatting>
  <conditionalFormatting sqref="M189">
    <cfRule type="expression" dxfId="3351" priority="1039">
      <formula>ISBLANK(M189)</formula>
    </cfRule>
  </conditionalFormatting>
  <conditionalFormatting sqref="K190">
    <cfRule type="containsText" dxfId="3350" priority="1037" operator="containsText" text="Einnahmen">
      <formula>NOT(ISERROR(SEARCH("Einnahmen",K190)))</formula>
    </cfRule>
    <cfRule type="containsText" dxfId="3349" priority="1038" operator="containsText" text="Ausgaben">
      <formula>NOT(ISERROR(SEARCH("Ausgaben",K190)))</formula>
    </cfRule>
  </conditionalFormatting>
  <conditionalFormatting sqref="M190">
    <cfRule type="expression" dxfId="3348" priority="1036">
      <formula>ISBLANK(M190)</formula>
    </cfRule>
  </conditionalFormatting>
  <conditionalFormatting sqref="K192">
    <cfRule type="containsText" dxfId="3347" priority="1034" operator="containsText" text="Einnahmen">
      <formula>NOT(ISERROR(SEARCH("Einnahmen",K192)))</formula>
    </cfRule>
    <cfRule type="containsText" dxfId="3346" priority="1035" operator="containsText" text="Ausgaben">
      <formula>NOT(ISERROR(SEARCH("Ausgaben",K192)))</formula>
    </cfRule>
  </conditionalFormatting>
  <conditionalFormatting sqref="K191">
    <cfRule type="containsText" dxfId="3345" priority="1032" operator="containsText" text="Einnahmen">
      <formula>NOT(ISERROR(SEARCH("Einnahmen",K191)))</formula>
    </cfRule>
    <cfRule type="containsText" dxfId="3344" priority="1033" operator="containsText" text="Ausgaben">
      <formula>NOT(ISERROR(SEARCH("Ausgaben",K191)))</formula>
    </cfRule>
  </conditionalFormatting>
  <conditionalFormatting sqref="K187">
    <cfRule type="containsText" dxfId="3343" priority="1030" operator="containsText" text="Einnahmen">
      <formula>NOT(ISERROR(SEARCH("Einnahmen",K187)))</formula>
    </cfRule>
    <cfRule type="containsText" dxfId="3342" priority="1031" operator="containsText" text="Ausgaben">
      <formula>NOT(ISERROR(SEARCH("Ausgaben",K187)))</formula>
    </cfRule>
  </conditionalFormatting>
  <conditionalFormatting sqref="K188">
    <cfRule type="containsText" dxfId="3341" priority="1028" operator="containsText" text="Einnahmen">
      <formula>NOT(ISERROR(SEARCH("Einnahmen",K188)))</formula>
    </cfRule>
    <cfRule type="containsText" dxfId="3340" priority="1029" operator="containsText" text="Ausgaben">
      <formula>NOT(ISERROR(SEARCH("Ausgaben",K188)))</formula>
    </cfRule>
  </conditionalFormatting>
  <conditionalFormatting sqref="M194">
    <cfRule type="expression" dxfId="3339" priority="1027">
      <formula>ISBLANK(M194)</formula>
    </cfRule>
  </conditionalFormatting>
  <conditionalFormatting sqref="Q9:Q10 Q14 Q27 Q37 Q51 Q53 Q55 Q61 Q66 Q68 Q70 Q80 Q110 Q153 Q156 Q168 Q192:Q194">
    <cfRule type="cellIs" dxfId="3338" priority="1026" operator="equal">
      <formula>"ja"</formula>
    </cfRule>
  </conditionalFormatting>
  <conditionalFormatting sqref="AG192">
    <cfRule type="dataBar" priority="1025">
      <dataBar>
        <cfvo type="min"/>
        <cfvo type="max"/>
        <color rgb="FF63C384"/>
      </dataBar>
      <extLst>
        <ext xmlns:x14="http://schemas.microsoft.com/office/spreadsheetml/2009/9/main" uri="{B025F937-C7B1-47D3-B67F-A62EFF666E3E}">
          <x14:id>{DF769813-F9B5-4319-A35A-A51D276A1844}</x14:id>
        </ext>
      </extLst>
    </cfRule>
  </conditionalFormatting>
  <conditionalFormatting sqref="AG192">
    <cfRule type="dataBar" priority="1024">
      <dataBar>
        <cfvo type="min"/>
        <cfvo type="max"/>
        <color rgb="FF63C384"/>
      </dataBar>
      <extLst>
        <ext xmlns:x14="http://schemas.microsoft.com/office/spreadsheetml/2009/9/main" uri="{B025F937-C7B1-47D3-B67F-A62EFF666E3E}">
          <x14:id>{21A8E2D7-4397-413C-AD75-3E501A3BEE6D}</x14:id>
        </ext>
      </extLst>
    </cfRule>
  </conditionalFormatting>
  <conditionalFormatting sqref="AA9:AA10 AA27 AA37">
    <cfRule type="expression" dxfId="3337" priority="1023">
      <formula>AND(AND($W9&lt;TODAY(),$W9&lt;&gt;""),$X9="")</formula>
    </cfRule>
  </conditionalFormatting>
  <conditionalFormatting sqref="AG9:AG10 AG27 AG37">
    <cfRule type="dataBar" priority="1022">
      <dataBar>
        <cfvo type="min"/>
        <cfvo type="max"/>
        <color rgb="FF63C384"/>
      </dataBar>
      <extLst>
        <ext xmlns:x14="http://schemas.microsoft.com/office/spreadsheetml/2009/9/main" uri="{B025F937-C7B1-47D3-B67F-A62EFF666E3E}">
          <x14:id>{38819BD5-D467-4CF2-9870-BE052E044104}</x14:id>
        </ext>
      </extLst>
    </cfRule>
  </conditionalFormatting>
  <conditionalFormatting sqref="AG9:AG10">
    <cfRule type="dataBar" priority="1021">
      <dataBar>
        <cfvo type="min"/>
        <cfvo type="max"/>
        <color rgb="FF63C384"/>
      </dataBar>
      <extLst>
        <ext xmlns:x14="http://schemas.microsoft.com/office/spreadsheetml/2009/9/main" uri="{B025F937-C7B1-47D3-B67F-A62EFF666E3E}">
          <x14:id>{1B12E488-BB27-4780-91A1-BF9ED31EFA63}</x14:id>
        </ext>
      </extLst>
    </cfRule>
  </conditionalFormatting>
  <conditionalFormatting sqref="AA29">
    <cfRule type="expression" dxfId="3336" priority="878">
      <formula>AND(AND($W29&lt;TODAY(),$W29&lt;&gt;""),$X29="")</formula>
    </cfRule>
  </conditionalFormatting>
  <conditionalFormatting sqref="AA2">
    <cfRule type="expression" dxfId="3335" priority="1020">
      <formula>AND(AND($W2&lt;TODAY(),$W2&lt;&gt;""),$X2="")</formula>
    </cfRule>
  </conditionalFormatting>
  <conditionalFormatting sqref="AG2">
    <cfRule type="dataBar" priority="1019">
      <dataBar>
        <cfvo type="min"/>
        <cfvo type="max"/>
        <color rgb="FF63C384"/>
      </dataBar>
      <extLst>
        <ext xmlns:x14="http://schemas.microsoft.com/office/spreadsheetml/2009/9/main" uri="{B025F937-C7B1-47D3-B67F-A62EFF666E3E}">
          <x14:id>{B39A667D-08E9-4640-8329-7AD51C507B7E}</x14:id>
        </ext>
      </extLst>
    </cfRule>
  </conditionalFormatting>
  <conditionalFormatting sqref="AG2">
    <cfRule type="dataBar" priority="1018">
      <dataBar>
        <cfvo type="min"/>
        <cfvo type="max"/>
        <color rgb="FF63C384"/>
      </dataBar>
      <extLst>
        <ext xmlns:x14="http://schemas.microsoft.com/office/spreadsheetml/2009/9/main" uri="{B025F937-C7B1-47D3-B67F-A62EFF666E3E}">
          <x14:id>{69F1B8D0-D1B1-4CDB-B146-EF4C9C718D9A}</x14:id>
        </ext>
      </extLst>
    </cfRule>
  </conditionalFormatting>
  <conditionalFormatting sqref="Q2">
    <cfRule type="cellIs" dxfId="3334" priority="1017" operator="equal">
      <formula>"ja"</formula>
    </cfRule>
  </conditionalFormatting>
  <conditionalFormatting sqref="Q3">
    <cfRule type="cellIs" dxfId="3333" priority="1016" operator="equal">
      <formula>"ja"</formula>
    </cfRule>
  </conditionalFormatting>
  <conditionalFormatting sqref="AA3">
    <cfRule type="expression" dxfId="3332" priority="1015">
      <formula>AND(AND($W3&lt;TODAY(),$W3&lt;&gt;""),$X3="")</formula>
    </cfRule>
  </conditionalFormatting>
  <conditionalFormatting sqref="AG3">
    <cfRule type="dataBar" priority="1014">
      <dataBar>
        <cfvo type="min"/>
        <cfvo type="max"/>
        <color rgb="FF63C384"/>
      </dataBar>
      <extLst>
        <ext xmlns:x14="http://schemas.microsoft.com/office/spreadsheetml/2009/9/main" uri="{B025F937-C7B1-47D3-B67F-A62EFF666E3E}">
          <x14:id>{F1B9DA39-5BF6-447B-8E64-FB707BFF6B64}</x14:id>
        </ext>
      </extLst>
    </cfRule>
  </conditionalFormatting>
  <conditionalFormatting sqref="AG3">
    <cfRule type="dataBar" priority="1013">
      <dataBar>
        <cfvo type="min"/>
        <cfvo type="max"/>
        <color rgb="FF63C384"/>
      </dataBar>
      <extLst>
        <ext xmlns:x14="http://schemas.microsoft.com/office/spreadsheetml/2009/9/main" uri="{B025F937-C7B1-47D3-B67F-A62EFF666E3E}">
          <x14:id>{19A0AE55-16D9-4876-BD85-2FEFA7DA10FF}</x14:id>
        </ext>
      </extLst>
    </cfRule>
  </conditionalFormatting>
  <conditionalFormatting sqref="AA4">
    <cfRule type="expression" dxfId="3331" priority="1012">
      <formula>AND(AND($W4&lt;TODAY(),$W4&lt;&gt;""),$X4="")</formula>
    </cfRule>
  </conditionalFormatting>
  <conditionalFormatting sqref="Q4">
    <cfRule type="cellIs" dxfId="3330" priority="1011" operator="equal">
      <formula>"ja"</formula>
    </cfRule>
  </conditionalFormatting>
  <conditionalFormatting sqref="AG4">
    <cfRule type="dataBar" priority="1010">
      <dataBar>
        <cfvo type="min"/>
        <cfvo type="max"/>
        <color rgb="FF63C384"/>
      </dataBar>
      <extLst>
        <ext xmlns:x14="http://schemas.microsoft.com/office/spreadsheetml/2009/9/main" uri="{B025F937-C7B1-47D3-B67F-A62EFF666E3E}">
          <x14:id>{5C344AB1-CB4D-4AB1-8D39-C811313BB277}</x14:id>
        </ext>
      </extLst>
    </cfRule>
  </conditionalFormatting>
  <conditionalFormatting sqref="AG4">
    <cfRule type="dataBar" priority="1009">
      <dataBar>
        <cfvo type="min"/>
        <cfvo type="max"/>
        <color rgb="FF63C384"/>
      </dataBar>
      <extLst>
        <ext xmlns:x14="http://schemas.microsoft.com/office/spreadsheetml/2009/9/main" uri="{B025F937-C7B1-47D3-B67F-A62EFF666E3E}">
          <x14:id>{40F0837C-C27A-4412-A531-795B4C13E47C}</x14:id>
        </ext>
      </extLst>
    </cfRule>
  </conditionalFormatting>
  <conditionalFormatting sqref="Q8">
    <cfRule type="cellIs" dxfId="3329" priority="1008" operator="equal">
      <formula>"ja"</formula>
    </cfRule>
  </conditionalFormatting>
  <conditionalFormatting sqref="AA8">
    <cfRule type="expression" dxfId="3328" priority="1007">
      <formula>AND(AND($W8&lt;TODAY(),$W8&lt;&gt;""),$X8="")</formula>
    </cfRule>
  </conditionalFormatting>
  <conditionalFormatting sqref="AG8">
    <cfRule type="dataBar" priority="1006">
      <dataBar>
        <cfvo type="min"/>
        <cfvo type="max"/>
        <color rgb="FF63C384"/>
      </dataBar>
      <extLst>
        <ext xmlns:x14="http://schemas.microsoft.com/office/spreadsheetml/2009/9/main" uri="{B025F937-C7B1-47D3-B67F-A62EFF666E3E}">
          <x14:id>{FCB04E5D-9090-4B90-94E5-A619D1526ECC}</x14:id>
        </ext>
      </extLst>
    </cfRule>
  </conditionalFormatting>
  <conditionalFormatting sqref="AG8">
    <cfRule type="dataBar" priority="1005">
      <dataBar>
        <cfvo type="min"/>
        <cfvo type="max"/>
        <color rgb="FF63C384"/>
      </dataBar>
      <extLst>
        <ext xmlns:x14="http://schemas.microsoft.com/office/spreadsheetml/2009/9/main" uri="{B025F937-C7B1-47D3-B67F-A62EFF666E3E}">
          <x14:id>{0785E09A-52FD-49C8-97BC-16D907B63C39}</x14:id>
        </ext>
      </extLst>
    </cfRule>
  </conditionalFormatting>
  <conditionalFormatting sqref="Q8">
    <cfRule type="cellIs" dxfId="3327" priority="1004" operator="equal">
      <formula>"ja"</formula>
    </cfRule>
  </conditionalFormatting>
  <conditionalFormatting sqref="AA8">
    <cfRule type="expression" dxfId="3326" priority="1003">
      <formula>AND(AND($W8&lt;TODAY(),$W8&lt;&gt;""),$X8="")</formula>
    </cfRule>
  </conditionalFormatting>
  <conditionalFormatting sqref="AG8">
    <cfRule type="dataBar" priority="1002">
      <dataBar>
        <cfvo type="min"/>
        <cfvo type="max"/>
        <color rgb="FF63C384"/>
      </dataBar>
      <extLst>
        <ext xmlns:x14="http://schemas.microsoft.com/office/spreadsheetml/2009/9/main" uri="{B025F937-C7B1-47D3-B67F-A62EFF666E3E}">
          <x14:id>{24A1262C-DCBA-419D-BF0B-418F4929F0CC}</x14:id>
        </ext>
      </extLst>
    </cfRule>
  </conditionalFormatting>
  <conditionalFormatting sqref="AG8">
    <cfRule type="dataBar" priority="1001">
      <dataBar>
        <cfvo type="min"/>
        <cfvo type="max"/>
        <color rgb="FF63C384"/>
      </dataBar>
      <extLst>
        <ext xmlns:x14="http://schemas.microsoft.com/office/spreadsheetml/2009/9/main" uri="{B025F937-C7B1-47D3-B67F-A62EFF666E3E}">
          <x14:id>{09BD2663-754D-4404-9B6A-FCA818011C5B}</x14:id>
        </ext>
      </extLst>
    </cfRule>
  </conditionalFormatting>
  <conditionalFormatting sqref="Q9">
    <cfRule type="cellIs" dxfId="3325" priority="1000" operator="equal">
      <formula>"ja"</formula>
    </cfRule>
  </conditionalFormatting>
  <conditionalFormatting sqref="AA9">
    <cfRule type="expression" dxfId="3324" priority="999">
      <formula>AND(AND($W9&lt;TODAY(),$W9&lt;&gt;""),$X9="")</formula>
    </cfRule>
  </conditionalFormatting>
  <conditionalFormatting sqref="AG9">
    <cfRule type="dataBar" priority="998">
      <dataBar>
        <cfvo type="min"/>
        <cfvo type="max"/>
        <color rgb="FF63C384"/>
      </dataBar>
      <extLst>
        <ext xmlns:x14="http://schemas.microsoft.com/office/spreadsheetml/2009/9/main" uri="{B025F937-C7B1-47D3-B67F-A62EFF666E3E}">
          <x14:id>{112F1AB2-E060-4CBF-A169-46F2478877E8}</x14:id>
        </ext>
      </extLst>
    </cfRule>
  </conditionalFormatting>
  <conditionalFormatting sqref="AG9">
    <cfRule type="dataBar" priority="997">
      <dataBar>
        <cfvo type="min"/>
        <cfvo type="max"/>
        <color rgb="FF63C384"/>
      </dataBar>
      <extLst>
        <ext xmlns:x14="http://schemas.microsoft.com/office/spreadsheetml/2009/9/main" uri="{B025F937-C7B1-47D3-B67F-A62EFF666E3E}">
          <x14:id>{1AD0BDD5-56A0-449B-9830-DC117C443641}</x14:id>
        </ext>
      </extLst>
    </cfRule>
  </conditionalFormatting>
  <conditionalFormatting sqref="Q8">
    <cfRule type="cellIs" dxfId="3323" priority="996" operator="equal">
      <formula>"ja"</formula>
    </cfRule>
  </conditionalFormatting>
  <conditionalFormatting sqref="AA8">
    <cfRule type="expression" dxfId="3322" priority="995">
      <formula>AND(AND($W8&lt;TODAY(),$W8&lt;&gt;""),$X8="")</formula>
    </cfRule>
  </conditionalFormatting>
  <conditionalFormatting sqref="AG8">
    <cfRule type="dataBar" priority="994">
      <dataBar>
        <cfvo type="min"/>
        <cfvo type="max"/>
        <color rgb="FF63C384"/>
      </dataBar>
      <extLst>
        <ext xmlns:x14="http://schemas.microsoft.com/office/spreadsheetml/2009/9/main" uri="{B025F937-C7B1-47D3-B67F-A62EFF666E3E}">
          <x14:id>{5B637F20-BAD4-4CAF-A391-F6DDFF2CBE73}</x14:id>
        </ext>
      </extLst>
    </cfRule>
  </conditionalFormatting>
  <conditionalFormatting sqref="AG8">
    <cfRule type="dataBar" priority="993">
      <dataBar>
        <cfvo type="min"/>
        <cfvo type="max"/>
        <color rgb="FF63C384"/>
      </dataBar>
      <extLst>
        <ext xmlns:x14="http://schemas.microsoft.com/office/spreadsheetml/2009/9/main" uri="{B025F937-C7B1-47D3-B67F-A62EFF666E3E}">
          <x14:id>{D1D148C1-790F-4DB6-A96D-ABED7138EA4F}</x14:id>
        </ext>
      </extLst>
    </cfRule>
  </conditionalFormatting>
  <conditionalFormatting sqref="Q9">
    <cfRule type="cellIs" dxfId="3321" priority="992" operator="equal">
      <formula>"ja"</formula>
    </cfRule>
  </conditionalFormatting>
  <conditionalFormatting sqref="AA9">
    <cfRule type="expression" dxfId="3320" priority="991">
      <formula>AND(AND($W9&lt;TODAY(),$W9&lt;&gt;""),$X9="")</formula>
    </cfRule>
  </conditionalFormatting>
  <conditionalFormatting sqref="AG9">
    <cfRule type="dataBar" priority="990">
      <dataBar>
        <cfvo type="min"/>
        <cfvo type="max"/>
        <color rgb="FF63C384"/>
      </dataBar>
      <extLst>
        <ext xmlns:x14="http://schemas.microsoft.com/office/spreadsheetml/2009/9/main" uri="{B025F937-C7B1-47D3-B67F-A62EFF666E3E}">
          <x14:id>{FCAB8B22-D50A-4487-A77E-705E190FF24B}</x14:id>
        </ext>
      </extLst>
    </cfRule>
  </conditionalFormatting>
  <conditionalFormatting sqref="AG9">
    <cfRule type="dataBar" priority="989">
      <dataBar>
        <cfvo type="min"/>
        <cfvo type="max"/>
        <color rgb="FF63C384"/>
      </dataBar>
      <extLst>
        <ext xmlns:x14="http://schemas.microsoft.com/office/spreadsheetml/2009/9/main" uri="{B025F937-C7B1-47D3-B67F-A62EFF666E3E}">
          <x14:id>{78565BFB-F010-48E2-8008-220C5CA1833F}</x14:id>
        </ext>
      </extLst>
    </cfRule>
  </conditionalFormatting>
  <conditionalFormatting sqref="Q8">
    <cfRule type="cellIs" dxfId="3319" priority="988" operator="equal">
      <formula>"ja"</formula>
    </cfRule>
  </conditionalFormatting>
  <conditionalFormatting sqref="AA8">
    <cfRule type="expression" dxfId="3318" priority="987">
      <formula>AND(AND($W8&lt;TODAY(),$W8&lt;&gt;""),$X8="")</formula>
    </cfRule>
  </conditionalFormatting>
  <conditionalFormatting sqref="AG8">
    <cfRule type="dataBar" priority="986">
      <dataBar>
        <cfvo type="min"/>
        <cfvo type="max"/>
        <color rgb="FF63C384"/>
      </dataBar>
      <extLst>
        <ext xmlns:x14="http://schemas.microsoft.com/office/spreadsheetml/2009/9/main" uri="{B025F937-C7B1-47D3-B67F-A62EFF666E3E}">
          <x14:id>{48CB76D8-7C91-4F11-9C49-B5F78A5E55A4}</x14:id>
        </ext>
      </extLst>
    </cfRule>
  </conditionalFormatting>
  <conditionalFormatting sqref="AG8">
    <cfRule type="dataBar" priority="985">
      <dataBar>
        <cfvo type="min"/>
        <cfvo type="max"/>
        <color rgb="FF63C384"/>
      </dataBar>
      <extLst>
        <ext xmlns:x14="http://schemas.microsoft.com/office/spreadsheetml/2009/9/main" uri="{B025F937-C7B1-47D3-B67F-A62EFF666E3E}">
          <x14:id>{3456DDE1-EC31-4F93-ABEB-8BB1C1959DAC}</x14:id>
        </ext>
      </extLst>
    </cfRule>
  </conditionalFormatting>
  <conditionalFormatting sqref="Q9">
    <cfRule type="cellIs" dxfId="3317" priority="984" operator="equal">
      <formula>"ja"</formula>
    </cfRule>
  </conditionalFormatting>
  <conditionalFormatting sqref="AA9">
    <cfRule type="expression" dxfId="3316" priority="983">
      <formula>AND(AND($W9&lt;TODAY(),$W9&lt;&gt;""),$X9="")</formula>
    </cfRule>
  </conditionalFormatting>
  <conditionalFormatting sqref="AG9">
    <cfRule type="dataBar" priority="982">
      <dataBar>
        <cfvo type="min"/>
        <cfvo type="max"/>
        <color rgb="FF63C384"/>
      </dataBar>
      <extLst>
        <ext xmlns:x14="http://schemas.microsoft.com/office/spreadsheetml/2009/9/main" uri="{B025F937-C7B1-47D3-B67F-A62EFF666E3E}">
          <x14:id>{ABBDD64E-83AD-4D60-82A6-2ECE234C3BBC}</x14:id>
        </ext>
      </extLst>
    </cfRule>
  </conditionalFormatting>
  <conditionalFormatting sqref="AG9">
    <cfRule type="dataBar" priority="981">
      <dataBar>
        <cfvo type="min"/>
        <cfvo type="max"/>
        <color rgb="FF63C384"/>
      </dataBar>
      <extLst>
        <ext xmlns:x14="http://schemas.microsoft.com/office/spreadsheetml/2009/9/main" uri="{B025F937-C7B1-47D3-B67F-A62EFF666E3E}">
          <x14:id>{6C0C32DF-D63B-4BA9-902E-D67C439C9538}</x14:id>
        </ext>
      </extLst>
    </cfRule>
  </conditionalFormatting>
  <conditionalFormatting sqref="Q10">
    <cfRule type="cellIs" dxfId="3315" priority="980" operator="equal">
      <formula>"ja"</formula>
    </cfRule>
  </conditionalFormatting>
  <conditionalFormatting sqref="AA10">
    <cfRule type="expression" dxfId="3314" priority="979">
      <formula>AND(AND($W10&lt;TODAY(),$W10&lt;&gt;""),$X10="")</formula>
    </cfRule>
  </conditionalFormatting>
  <conditionalFormatting sqref="AG10">
    <cfRule type="dataBar" priority="978">
      <dataBar>
        <cfvo type="min"/>
        <cfvo type="max"/>
        <color rgb="FF63C384"/>
      </dataBar>
      <extLst>
        <ext xmlns:x14="http://schemas.microsoft.com/office/spreadsheetml/2009/9/main" uri="{B025F937-C7B1-47D3-B67F-A62EFF666E3E}">
          <x14:id>{2303D427-D4F0-4347-927B-7EBEC86C0B5F}</x14:id>
        </ext>
      </extLst>
    </cfRule>
  </conditionalFormatting>
  <conditionalFormatting sqref="AG10">
    <cfRule type="dataBar" priority="977">
      <dataBar>
        <cfvo type="min"/>
        <cfvo type="max"/>
        <color rgb="FF63C384"/>
      </dataBar>
      <extLst>
        <ext xmlns:x14="http://schemas.microsoft.com/office/spreadsheetml/2009/9/main" uri="{B025F937-C7B1-47D3-B67F-A62EFF666E3E}">
          <x14:id>{3C11DB7D-B1B4-411F-81AE-C1DF1F03CFB3}</x14:id>
        </ext>
      </extLst>
    </cfRule>
  </conditionalFormatting>
  <conditionalFormatting sqref="AA7">
    <cfRule type="expression" dxfId="3313" priority="976">
      <formula>AND(AND($W7&lt;TODAY(),$W7&lt;&gt;""),$X7="")</formula>
    </cfRule>
  </conditionalFormatting>
  <conditionalFormatting sqref="AG7">
    <cfRule type="dataBar" priority="975">
      <dataBar>
        <cfvo type="min"/>
        <cfvo type="max"/>
        <color rgb="FF63C384"/>
      </dataBar>
      <extLst>
        <ext xmlns:x14="http://schemas.microsoft.com/office/spreadsheetml/2009/9/main" uri="{B025F937-C7B1-47D3-B67F-A62EFF666E3E}">
          <x14:id>{8EC3BDF2-9796-4966-9E4A-C1D04A06BEDC}</x14:id>
        </ext>
      </extLst>
    </cfRule>
  </conditionalFormatting>
  <conditionalFormatting sqref="AG7">
    <cfRule type="dataBar" priority="974">
      <dataBar>
        <cfvo type="min"/>
        <cfvo type="max"/>
        <color rgb="FF63C384"/>
      </dataBar>
      <extLst>
        <ext xmlns:x14="http://schemas.microsoft.com/office/spreadsheetml/2009/9/main" uri="{B025F937-C7B1-47D3-B67F-A62EFF666E3E}">
          <x14:id>{841B3715-5058-4EF2-A342-6E9007EB04CF}</x14:id>
        </ext>
      </extLst>
    </cfRule>
  </conditionalFormatting>
  <conditionalFormatting sqref="Q6">
    <cfRule type="cellIs" dxfId="3312" priority="973" operator="equal">
      <formula>"ja"</formula>
    </cfRule>
  </conditionalFormatting>
  <conditionalFormatting sqref="AA6">
    <cfRule type="expression" dxfId="3311" priority="972">
      <formula>AND(AND($W6&lt;TODAY(),$W6&lt;&gt;""),$X6="")</formula>
    </cfRule>
  </conditionalFormatting>
  <conditionalFormatting sqref="AG6">
    <cfRule type="dataBar" priority="971">
      <dataBar>
        <cfvo type="min"/>
        <cfvo type="max"/>
        <color rgb="FF63C384"/>
      </dataBar>
      <extLst>
        <ext xmlns:x14="http://schemas.microsoft.com/office/spreadsheetml/2009/9/main" uri="{B025F937-C7B1-47D3-B67F-A62EFF666E3E}">
          <x14:id>{7FBACF1F-948E-4F9C-B82B-C0DEAAD7CF57}</x14:id>
        </ext>
      </extLst>
    </cfRule>
  </conditionalFormatting>
  <conditionalFormatting sqref="AG6">
    <cfRule type="dataBar" priority="970">
      <dataBar>
        <cfvo type="min"/>
        <cfvo type="max"/>
        <color rgb="FF63C384"/>
      </dataBar>
      <extLst>
        <ext xmlns:x14="http://schemas.microsoft.com/office/spreadsheetml/2009/9/main" uri="{B025F937-C7B1-47D3-B67F-A62EFF666E3E}">
          <x14:id>{D9302D56-5456-4E61-B3FA-6E7168F56C13}</x14:id>
        </ext>
      </extLst>
    </cfRule>
  </conditionalFormatting>
  <conditionalFormatting sqref="Q5">
    <cfRule type="cellIs" dxfId="3310" priority="969" operator="equal">
      <formula>"ja"</formula>
    </cfRule>
  </conditionalFormatting>
  <conditionalFormatting sqref="AA5">
    <cfRule type="expression" dxfId="3309" priority="968">
      <formula>AND(AND($W5&lt;TODAY(),$W5&lt;&gt;""),$X5="")</formula>
    </cfRule>
  </conditionalFormatting>
  <conditionalFormatting sqref="AG5">
    <cfRule type="dataBar" priority="967">
      <dataBar>
        <cfvo type="min"/>
        <cfvo type="max"/>
        <color rgb="FF63C384"/>
      </dataBar>
      <extLst>
        <ext xmlns:x14="http://schemas.microsoft.com/office/spreadsheetml/2009/9/main" uri="{B025F937-C7B1-47D3-B67F-A62EFF666E3E}">
          <x14:id>{50A5114C-3E79-4FB3-BA04-2D0E93F8C03D}</x14:id>
        </ext>
      </extLst>
    </cfRule>
  </conditionalFormatting>
  <conditionalFormatting sqref="AG5">
    <cfRule type="dataBar" priority="966">
      <dataBar>
        <cfvo type="min"/>
        <cfvo type="max"/>
        <color rgb="FF63C384"/>
      </dataBar>
      <extLst>
        <ext xmlns:x14="http://schemas.microsoft.com/office/spreadsheetml/2009/9/main" uri="{B025F937-C7B1-47D3-B67F-A62EFF666E3E}">
          <x14:id>{633B13B9-6A1A-4B13-9EE5-E8690F57C033}</x14:id>
        </ext>
      </extLst>
    </cfRule>
  </conditionalFormatting>
  <conditionalFormatting sqref="AA11">
    <cfRule type="expression" dxfId="3308" priority="965">
      <formula>AND(AND($W11&lt;TODAY(),$W11&lt;&gt;""),$X11="")</formula>
    </cfRule>
  </conditionalFormatting>
  <conditionalFormatting sqref="Q11">
    <cfRule type="cellIs" dxfId="3307" priority="964" operator="equal">
      <formula>"ja"</formula>
    </cfRule>
  </conditionalFormatting>
  <conditionalFormatting sqref="AG11">
    <cfRule type="dataBar" priority="963">
      <dataBar>
        <cfvo type="min"/>
        <cfvo type="max"/>
        <color rgb="FF63C384"/>
      </dataBar>
      <extLst>
        <ext xmlns:x14="http://schemas.microsoft.com/office/spreadsheetml/2009/9/main" uri="{B025F937-C7B1-47D3-B67F-A62EFF666E3E}">
          <x14:id>{EFA75FBA-54E7-4E8C-B214-BE1FF15C4024}</x14:id>
        </ext>
      </extLst>
    </cfRule>
  </conditionalFormatting>
  <conditionalFormatting sqref="AG11">
    <cfRule type="dataBar" priority="962">
      <dataBar>
        <cfvo type="min"/>
        <cfvo type="max"/>
        <color rgb="FF63C384"/>
      </dataBar>
      <extLst>
        <ext xmlns:x14="http://schemas.microsoft.com/office/spreadsheetml/2009/9/main" uri="{B025F937-C7B1-47D3-B67F-A62EFF666E3E}">
          <x14:id>{B657C33C-8D2D-4A4F-AE7B-F9BEAA629521}</x14:id>
        </ext>
      </extLst>
    </cfRule>
  </conditionalFormatting>
  <conditionalFormatting sqref="AA12">
    <cfRule type="expression" dxfId="3306" priority="961">
      <formula>AND(AND($W12&lt;TODAY(),$W12&lt;&gt;""),$X12="")</formula>
    </cfRule>
  </conditionalFormatting>
  <conditionalFormatting sqref="Q12">
    <cfRule type="cellIs" dxfId="3305" priority="960" operator="equal">
      <formula>"ja"</formula>
    </cfRule>
  </conditionalFormatting>
  <conditionalFormatting sqref="AG12">
    <cfRule type="dataBar" priority="959">
      <dataBar>
        <cfvo type="min"/>
        <cfvo type="max"/>
        <color rgb="FF63C384"/>
      </dataBar>
      <extLst>
        <ext xmlns:x14="http://schemas.microsoft.com/office/spreadsheetml/2009/9/main" uri="{B025F937-C7B1-47D3-B67F-A62EFF666E3E}">
          <x14:id>{2FD7FA71-87E0-4FFE-AEFF-9BF3F7322A62}</x14:id>
        </ext>
      </extLst>
    </cfRule>
  </conditionalFormatting>
  <conditionalFormatting sqref="AG12">
    <cfRule type="dataBar" priority="958">
      <dataBar>
        <cfvo type="min"/>
        <cfvo type="max"/>
        <color rgb="FF63C384"/>
      </dataBar>
      <extLst>
        <ext xmlns:x14="http://schemas.microsoft.com/office/spreadsheetml/2009/9/main" uri="{B025F937-C7B1-47D3-B67F-A62EFF666E3E}">
          <x14:id>{7C548EE3-B0FC-450B-8D43-A2E504E894CB}</x14:id>
        </ext>
      </extLst>
    </cfRule>
  </conditionalFormatting>
  <conditionalFormatting sqref="AA13">
    <cfRule type="expression" dxfId="3304" priority="957">
      <formula>AND(AND($W13&lt;TODAY(),$W13&lt;&gt;""),$X13="")</formula>
    </cfRule>
  </conditionalFormatting>
  <conditionalFormatting sqref="Q13">
    <cfRule type="cellIs" dxfId="3303" priority="956" operator="equal">
      <formula>"ja"</formula>
    </cfRule>
  </conditionalFormatting>
  <conditionalFormatting sqref="AG13">
    <cfRule type="dataBar" priority="955">
      <dataBar>
        <cfvo type="min"/>
        <cfvo type="max"/>
        <color rgb="FF63C384"/>
      </dataBar>
      <extLst>
        <ext xmlns:x14="http://schemas.microsoft.com/office/spreadsheetml/2009/9/main" uri="{B025F937-C7B1-47D3-B67F-A62EFF666E3E}">
          <x14:id>{E6BC4549-8514-4A30-AC38-E525F590D7D4}</x14:id>
        </ext>
      </extLst>
    </cfRule>
  </conditionalFormatting>
  <conditionalFormatting sqref="AG13">
    <cfRule type="dataBar" priority="954">
      <dataBar>
        <cfvo type="min"/>
        <cfvo type="max"/>
        <color rgb="FF63C384"/>
      </dataBar>
      <extLst>
        <ext xmlns:x14="http://schemas.microsoft.com/office/spreadsheetml/2009/9/main" uri="{B025F937-C7B1-47D3-B67F-A62EFF666E3E}">
          <x14:id>{B628AD30-34FD-42CB-8122-BC5D41A294D5}</x14:id>
        </ext>
      </extLst>
    </cfRule>
  </conditionalFormatting>
  <conditionalFormatting sqref="AA14">
    <cfRule type="expression" dxfId="3302" priority="953">
      <formula>AND(AND($W14&lt;TODAY(),$W14&lt;&gt;""),$X14="")</formula>
    </cfRule>
  </conditionalFormatting>
  <conditionalFormatting sqref="AG14">
    <cfRule type="dataBar" priority="952">
      <dataBar>
        <cfvo type="min"/>
        <cfvo type="max"/>
        <color rgb="FF63C384"/>
      </dataBar>
      <extLst>
        <ext xmlns:x14="http://schemas.microsoft.com/office/spreadsheetml/2009/9/main" uri="{B025F937-C7B1-47D3-B67F-A62EFF666E3E}">
          <x14:id>{8748F5F6-ED50-484F-9643-9CAFB10A7346}</x14:id>
        </ext>
      </extLst>
    </cfRule>
  </conditionalFormatting>
  <conditionalFormatting sqref="AG14">
    <cfRule type="dataBar" priority="951">
      <dataBar>
        <cfvo type="min"/>
        <cfvo type="max"/>
        <color rgb="FF63C384"/>
      </dataBar>
      <extLst>
        <ext xmlns:x14="http://schemas.microsoft.com/office/spreadsheetml/2009/9/main" uri="{B025F937-C7B1-47D3-B67F-A62EFF666E3E}">
          <x14:id>{29E47F83-BAE6-4C78-A6EB-4D4139BCC746}</x14:id>
        </ext>
      </extLst>
    </cfRule>
  </conditionalFormatting>
  <conditionalFormatting sqref="Q15">
    <cfRule type="cellIs" dxfId="3301" priority="950" operator="equal">
      <formula>"ja"</formula>
    </cfRule>
  </conditionalFormatting>
  <conditionalFormatting sqref="AA15">
    <cfRule type="expression" dxfId="3300" priority="949">
      <formula>AND(AND($W15&lt;TODAY(),$W15&lt;&gt;""),$X15="")</formula>
    </cfRule>
  </conditionalFormatting>
  <conditionalFormatting sqref="AG15">
    <cfRule type="dataBar" priority="948">
      <dataBar>
        <cfvo type="min"/>
        <cfvo type="max"/>
        <color rgb="FF63C384"/>
      </dataBar>
      <extLst>
        <ext xmlns:x14="http://schemas.microsoft.com/office/spreadsheetml/2009/9/main" uri="{B025F937-C7B1-47D3-B67F-A62EFF666E3E}">
          <x14:id>{B299F6E1-7A30-4445-9309-6C2D6017FA60}</x14:id>
        </ext>
      </extLst>
    </cfRule>
  </conditionalFormatting>
  <conditionalFormatting sqref="AG15">
    <cfRule type="dataBar" priority="947">
      <dataBar>
        <cfvo type="min"/>
        <cfvo type="max"/>
        <color rgb="FF63C384"/>
      </dataBar>
      <extLst>
        <ext xmlns:x14="http://schemas.microsoft.com/office/spreadsheetml/2009/9/main" uri="{B025F937-C7B1-47D3-B67F-A62EFF666E3E}">
          <x14:id>{4CFE7EDE-FFAE-4FB7-AE0C-6E6A9091BDBB}</x14:id>
        </ext>
      </extLst>
    </cfRule>
  </conditionalFormatting>
  <conditionalFormatting sqref="Q16">
    <cfRule type="cellIs" dxfId="3299" priority="946" operator="equal">
      <formula>"ja"</formula>
    </cfRule>
  </conditionalFormatting>
  <conditionalFormatting sqref="AA16">
    <cfRule type="expression" dxfId="3298" priority="945">
      <formula>AND(AND($W16&lt;TODAY(),$W16&lt;&gt;""),$X16="")</formula>
    </cfRule>
  </conditionalFormatting>
  <conditionalFormatting sqref="AG16">
    <cfRule type="dataBar" priority="944">
      <dataBar>
        <cfvo type="min"/>
        <cfvo type="max"/>
        <color rgb="FF63C384"/>
      </dataBar>
      <extLst>
        <ext xmlns:x14="http://schemas.microsoft.com/office/spreadsheetml/2009/9/main" uri="{B025F937-C7B1-47D3-B67F-A62EFF666E3E}">
          <x14:id>{DB9B6963-5390-4278-AAD5-C28E1C139293}</x14:id>
        </ext>
      </extLst>
    </cfRule>
  </conditionalFormatting>
  <conditionalFormatting sqref="AG16">
    <cfRule type="dataBar" priority="943">
      <dataBar>
        <cfvo type="min"/>
        <cfvo type="max"/>
        <color rgb="FF63C384"/>
      </dataBar>
      <extLst>
        <ext xmlns:x14="http://schemas.microsoft.com/office/spreadsheetml/2009/9/main" uri="{B025F937-C7B1-47D3-B67F-A62EFF666E3E}">
          <x14:id>{A2A69843-256A-439A-819B-8CCC11E96464}</x14:id>
        </ext>
      </extLst>
    </cfRule>
  </conditionalFormatting>
  <conditionalFormatting sqref="Q17">
    <cfRule type="cellIs" dxfId="3297" priority="942" operator="equal">
      <formula>"ja"</formula>
    </cfRule>
  </conditionalFormatting>
  <conditionalFormatting sqref="AA17">
    <cfRule type="expression" dxfId="3296" priority="941">
      <formula>AND(AND($W17&lt;TODAY(),$W17&lt;&gt;""),$X17="")</formula>
    </cfRule>
  </conditionalFormatting>
  <conditionalFormatting sqref="AG17">
    <cfRule type="dataBar" priority="940">
      <dataBar>
        <cfvo type="min"/>
        <cfvo type="max"/>
        <color rgb="FF63C384"/>
      </dataBar>
      <extLst>
        <ext xmlns:x14="http://schemas.microsoft.com/office/spreadsheetml/2009/9/main" uri="{B025F937-C7B1-47D3-B67F-A62EFF666E3E}">
          <x14:id>{FE9770F4-C127-4D57-A7A1-3A8EF7F5A9CE}</x14:id>
        </ext>
      </extLst>
    </cfRule>
  </conditionalFormatting>
  <conditionalFormatting sqref="AG17">
    <cfRule type="dataBar" priority="939">
      <dataBar>
        <cfvo type="min"/>
        <cfvo type="max"/>
        <color rgb="FF63C384"/>
      </dataBar>
      <extLst>
        <ext xmlns:x14="http://schemas.microsoft.com/office/spreadsheetml/2009/9/main" uri="{B025F937-C7B1-47D3-B67F-A62EFF666E3E}">
          <x14:id>{68E7A4EE-254C-4C4B-9350-7BCE016A6197}</x14:id>
        </ext>
      </extLst>
    </cfRule>
  </conditionalFormatting>
  <conditionalFormatting sqref="AA18">
    <cfRule type="expression" dxfId="3295" priority="938">
      <formula>AND(AND($W18&lt;TODAY(),$W18&lt;&gt;""),$X18="")</formula>
    </cfRule>
  </conditionalFormatting>
  <conditionalFormatting sqref="Q18">
    <cfRule type="cellIs" dxfId="3294" priority="937" operator="equal">
      <formula>"ja"</formula>
    </cfRule>
  </conditionalFormatting>
  <conditionalFormatting sqref="AG18">
    <cfRule type="dataBar" priority="936">
      <dataBar>
        <cfvo type="min"/>
        <cfvo type="max"/>
        <color rgb="FF63C384"/>
      </dataBar>
      <extLst>
        <ext xmlns:x14="http://schemas.microsoft.com/office/spreadsheetml/2009/9/main" uri="{B025F937-C7B1-47D3-B67F-A62EFF666E3E}">
          <x14:id>{F4EBBDC1-449F-43A5-B481-CC6B087E0D6D}</x14:id>
        </ext>
      </extLst>
    </cfRule>
  </conditionalFormatting>
  <conditionalFormatting sqref="AG18">
    <cfRule type="dataBar" priority="935">
      <dataBar>
        <cfvo type="min"/>
        <cfvo type="max"/>
        <color rgb="FF63C384"/>
      </dataBar>
      <extLst>
        <ext xmlns:x14="http://schemas.microsoft.com/office/spreadsheetml/2009/9/main" uri="{B025F937-C7B1-47D3-B67F-A62EFF666E3E}">
          <x14:id>{35E554D8-53CF-41C9-93FC-E08171E9968F}</x14:id>
        </ext>
      </extLst>
    </cfRule>
  </conditionalFormatting>
  <conditionalFormatting sqref="Q19">
    <cfRule type="cellIs" dxfId="3293" priority="934" operator="equal">
      <formula>"ja"</formula>
    </cfRule>
  </conditionalFormatting>
  <conditionalFormatting sqref="AA19">
    <cfRule type="expression" dxfId="3292" priority="933">
      <formula>AND(AND($W19&lt;TODAY(),$W19&lt;&gt;""),$X19="")</formula>
    </cfRule>
  </conditionalFormatting>
  <conditionalFormatting sqref="AG19">
    <cfRule type="dataBar" priority="932">
      <dataBar>
        <cfvo type="min"/>
        <cfvo type="max"/>
        <color rgb="FF63C384"/>
      </dataBar>
      <extLst>
        <ext xmlns:x14="http://schemas.microsoft.com/office/spreadsheetml/2009/9/main" uri="{B025F937-C7B1-47D3-B67F-A62EFF666E3E}">
          <x14:id>{EAF8CF4E-C84B-4426-9DF6-26C6A048CF1F}</x14:id>
        </ext>
      </extLst>
    </cfRule>
  </conditionalFormatting>
  <conditionalFormatting sqref="AG19">
    <cfRule type="dataBar" priority="931">
      <dataBar>
        <cfvo type="min"/>
        <cfvo type="max"/>
        <color rgb="FF63C384"/>
      </dataBar>
      <extLst>
        <ext xmlns:x14="http://schemas.microsoft.com/office/spreadsheetml/2009/9/main" uri="{B025F937-C7B1-47D3-B67F-A62EFF666E3E}">
          <x14:id>{C56DAE90-631B-4D3A-87CD-A1D5EE08DAA9}</x14:id>
        </ext>
      </extLst>
    </cfRule>
  </conditionalFormatting>
  <conditionalFormatting sqref="AA20">
    <cfRule type="expression" dxfId="3291" priority="930">
      <formula>AND(AND($W20&lt;TODAY(),$W20&lt;&gt;""),$X20="")</formula>
    </cfRule>
  </conditionalFormatting>
  <conditionalFormatting sqref="AG20">
    <cfRule type="dataBar" priority="929">
      <dataBar>
        <cfvo type="min"/>
        <cfvo type="max"/>
        <color rgb="FF63C384"/>
      </dataBar>
      <extLst>
        <ext xmlns:x14="http://schemas.microsoft.com/office/spreadsheetml/2009/9/main" uri="{B025F937-C7B1-47D3-B67F-A62EFF666E3E}">
          <x14:id>{90F42FF1-897D-45E3-A9F3-3F921E6B085E}</x14:id>
        </ext>
      </extLst>
    </cfRule>
  </conditionalFormatting>
  <conditionalFormatting sqref="AG20">
    <cfRule type="dataBar" priority="928">
      <dataBar>
        <cfvo type="min"/>
        <cfvo type="max"/>
        <color rgb="FF63C384"/>
      </dataBar>
      <extLst>
        <ext xmlns:x14="http://schemas.microsoft.com/office/spreadsheetml/2009/9/main" uri="{B025F937-C7B1-47D3-B67F-A62EFF666E3E}">
          <x14:id>{1B74D046-8305-4654-A1D1-DAE180CA7C09}</x14:id>
        </ext>
      </extLst>
    </cfRule>
  </conditionalFormatting>
  <conditionalFormatting sqref="AA21">
    <cfRule type="expression" dxfId="3290" priority="927">
      <formula>AND(AND($W21&lt;TODAY(),$W21&lt;&gt;""),$X21="")</formula>
    </cfRule>
  </conditionalFormatting>
  <conditionalFormatting sqref="Q21">
    <cfRule type="cellIs" dxfId="3289" priority="926" operator="equal">
      <formula>"ja"</formula>
    </cfRule>
  </conditionalFormatting>
  <conditionalFormatting sqref="AG21">
    <cfRule type="dataBar" priority="925">
      <dataBar>
        <cfvo type="min"/>
        <cfvo type="max"/>
        <color rgb="FF63C384"/>
      </dataBar>
      <extLst>
        <ext xmlns:x14="http://schemas.microsoft.com/office/spreadsheetml/2009/9/main" uri="{B025F937-C7B1-47D3-B67F-A62EFF666E3E}">
          <x14:id>{545B1A1A-6D1F-41DF-B4DF-C94097A3FA56}</x14:id>
        </ext>
      </extLst>
    </cfRule>
  </conditionalFormatting>
  <conditionalFormatting sqref="AG21">
    <cfRule type="dataBar" priority="924">
      <dataBar>
        <cfvo type="min"/>
        <cfvo type="max"/>
        <color rgb="FF63C384"/>
      </dataBar>
      <extLst>
        <ext xmlns:x14="http://schemas.microsoft.com/office/spreadsheetml/2009/9/main" uri="{B025F937-C7B1-47D3-B67F-A62EFF666E3E}">
          <x14:id>{E3F201E3-0E70-4562-9646-5274EB28F382}</x14:id>
        </ext>
      </extLst>
    </cfRule>
  </conditionalFormatting>
  <conditionalFormatting sqref="AA22">
    <cfRule type="expression" dxfId="3288" priority="923">
      <formula>AND(AND($W22&lt;TODAY(),$W22&lt;&gt;""),$X22="")</formula>
    </cfRule>
  </conditionalFormatting>
  <conditionalFormatting sqref="AG22">
    <cfRule type="dataBar" priority="922">
      <dataBar>
        <cfvo type="min"/>
        <cfvo type="max"/>
        <color rgb="FF63C384"/>
      </dataBar>
      <extLst>
        <ext xmlns:x14="http://schemas.microsoft.com/office/spreadsheetml/2009/9/main" uri="{B025F937-C7B1-47D3-B67F-A62EFF666E3E}">
          <x14:id>{0D31F884-6296-48B7-8874-B75FC26A70C8}</x14:id>
        </ext>
      </extLst>
    </cfRule>
  </conditionalFormatting>
  <conditionalFormatting sqref="AG22">
    <cfRule type="dataBar" priority="921">
      <dataBar>
        <cfvo type="min"/>
        <cfvo type="max"/>
        <color rgb="FF63C384"/>
      </dataBar>
      <extLst>
        <ext xmlns:x14="http://schemas.microsoft.com/office/spreadsheetml/2009/9/main" uri="{B025F937-C7B1-47D3-B67F-A62EFF666E3E}">
          <x14:id>{B4E8822B-35E9-4CEB-A07B-F70BDA5A65DA}</x14:id>
        </ext>
      </extLst>
    </cfRule>
  </conditionalFormatting>
  <conditionalFormatting sqref="Q22">
    <cfRule type="cellIs" dxfId="3287" priority="920" operator="equal">
      <formula>"ja"</formula>
    </cfRule>
  </conditionalFormatting>
  <conditionalFormatting sqref="Q23">
    <cfRule type="cellIs" dxfId="3286" priority="919" operator="equal">
      <formula>"ja"</formula>
    </cfRule>
  </conditionalFormatting>
  <conditionalFormatting sqref="AA23">
    <cfRule type="expression" dxfId="3285" priority="918">
      <formula>AND(AND($W23&lt;TODAY(),$W23&lt;&gt;""),$X23="")</formula>
    </cfRule>
  </conditionalFormatting>
  <conditionalFormatting sqref="AG23">
    <cfRule type="dataBar" priority="917">
      <dataBar>
        <cfvo type="min"/>
        <cfvo type="max"/>
        <color rgb="FF63C384"/>
      </dataBar>
      <extLst>
        <ext xmlns:x14="http://schemas.microsoft.com/office/spreadsheetml/2009/9/main" uri="{B025F937-C7B1-47D3-B67F-A62EFF666E3E}">
          <x14:id>{246DAC4C-A847-4110-B30C-606902229AE0}</x14:id>
        </ext>
      </extLst>
    </cfRule>
  </conditionalFormatting>
  <conditionalFormatting sqref="AG23">
    <cfRule type="dataBar" priority="916">
      <dataBar>
        <cfvo type="min"/>
        <cfvo type="max"/>
        <color rgb="FF63C384"/>
      </dataBar>
      <extLst>
        <ext xmlns:x14="http://schemas.microsoft.com/office/spreadsheetml/2009/9/main" uri="{B025F937-C7B1-47D3-B67F-A62EFF666E3E}">
          <x14:id>{8DBE9262-E570-49E7-8E11-C77A3B401097}</x14:id>
        </ext>
      </extLst>
    </cfRule>
  </conditionalFormatting>
  <conditionalFormatting sqref="Q24">
    <cfRule type="cellIs" dxfId="3284" priority="915" operator="equal">
      <formula>"ja"</formula>
    </cfRule>
  </conditionalFormatting>
  <conditionalFormatting sqref="AA24">
    <cfRule type="expression" dxfId="3283" priority="914">
      <formula>AND(AND($W24&lt;TODAY(),$W24&lt;&gt;""),$X24="")</formula>
    </cfRule>
  </conditionalFormatting>
  <conditionalFormatting sqref="AG24">
    <cfRule type="dataBar" priority="913">
      <dataBar>
        <cfvo type="min"/>
        <cfvo type="max"/>
        <color rgb="FF63C384"/>
      </dataBar>
      <extLst>
        <ext xmlns:x14="http://schemas.microsoft.com/office/spreadsheetml/2009/9/main" uri="{B025F937-C7B1-47D3-B67F-A62EFF666E3E}">
          <x14:id>{7133E706-FB8C-4105-B9E8-F636F04F630A}</x14:id>
        </ext>
      </extLst>
    </cfRule>
  </conditionalFormatting>
  <conditionalFormatting sqref="AG24">
    <cfRule type="dataBar" priority="912">
      <dataBar>
        <cfvo type="min"/>
        <cfvo type="max"/>
        <color rgb="FF63C384"/>
      </dataBar>
      <extLst>
        <ext xmlns:x14="http://schemas.microsoft.com/office/spreadsheetml/2009/9/main" uri="{B025F937-C7B1-47D3-B67F-A62EFF666E3E}">
          <x14:id>{23575F60-5C9C-4F9B-8BC6-04B03BDDA4C2}</x14:id>
        </ext>
      </extLst>
    </cfRule>
  </conditionalFormatting>
  <conditionalFormatting sqref="Q25">
    <cfRule type="cellIs" dxfId="3282" priority="899" operator="equal">
      <formula>"ja"</formula>
    </cfRule>
  </conditionalFormatting>
  <conditionalFormatting sqref="Q26">
    <cfRule type="cellIs" dxfId="3281" priority="911" operator="equal">
      <formula>"ja"</formula>
    </cfRule>
  </conditionalFormatting>
  <conditionalFormatting sqref="AA26">
    <cfRule type="expression" dxfId="3280" priority="910">
      <formula>AND(AND($W26&lt;TODAY(),$W26&lt;&gt;""),$X26="")</formula>
    </cfRule>
  </conditionalFormatting>
  <conditionalFormatting sqref="AG26">
    <cfRule type="dataBar" priority="909">
      <dataBar>
        <cfvo type="min"/>
        <cfvo type="max"/>
        <color rgb="FF63C384"/>
      </dataBar>
      <extLst>
        <ext xmlns:x14="http://schemas.microsoft.com/office/spreadsheetml/2009/9/main" uri="{B025F937-C7B1-47D3-B67F-A62EFF666E3E}">
          <x14:id>{3E186BD0-EAF3-4C34-ADB8-FFB057F1A7D3}</x14:id>
        </ext>
      </extLst>
    </cfRule>
  </conditionalFormatting>
  <conditionalFormatting sqref="AG26">
    <cfRule type="dataBar" priority="908">
      <dataBar>
        <cfvo type="min"/>
        <cfvo type="max"/>
        <color rgb="FF63C384"/>
      </dataBar>
      <extLst>
        <ext xmlns:x14="http://schemas.microsoft.com/office/spreadsheetml/2009/9/main" uri="{B025F937-C7B1-47D3-B67F-A62EFF666E3E}">
          <x14:id>{FB99271B-0553-4AFE-A01D-84FFC9363CBD}</x14:id>
        </ext>
      </extLst>
    </cfRule>
  </conditionalFormatting>
  <conditionalFormatting sqref="AA26">
    <cfRule type="expression" dxfId="3279" priority="907">
      <formula>AND(AND($W26&lt;TODAY(),$W26&lt;&gt;""),$X26="")</formula>
    </cfRule>
  </conditionalFormatting>
  <conditionalFormatting sqref="Q26">
    <cfRule type="cellIs" dxfId="3278" priority="906" operator="equal">
      <formula>"ja"</formula>
    </cfRule>
  </conditionalFormatting>
  <conditionalFormatting sqref="AG26">
    <cfRule type="dataBar" priority="905">
      <dataBar>
        <cfvo type="min"/>
        <cfvo type="max"/>
        <color rgb="FF63C384"/>
      </dataBar>
      <extLst>
        <ext xmlns:x14="http://schemas.microsoft.com/office/spreadsheetml/2009/9/main" uri="{B025F937-C7B1-47D3-B67F-A62EFF666E3E}">
          <x14:id>{441C2A1A-5D73-47D5-9443-937473F0A9F9}</x14:id>
        </ext>
      </extLst>
    </cfRule>
  </conditionalFormatting>
  <conditionalFormatting sqref="AG26">
    <cfRule type="dataBar" priority="904">
      <dataBar>
        <cfvo type="min"/>
        <cfvo type="max"/>
        <color rgb="FF63C384"/>
      </dataBar>
      <extLst>
        <ext xmlns:x14="http://schemas.microsoft.com/office/spreadsheetml/2009/9/main" uri="{B025F937-C7B1-47D3-B67F-A62EFF666E3E}">
          <x14:id>{7142C527-BB86-41A0-861C-BD167F1C399E}</x14:id>
        </ext>
      </extLst>
    </cfRule>
  </conditionalFormatting>
  <conditionalFormatting sqref="Q27">
    <cfRule type="cellIs" dxfId="3277" priority="903" operator="equal">
      <formula>"ja"</formula>
    </cfRule>
  </conditionalFormatting>
  <conditionalFormatting sqref="AA27">
    <cfRule type="expression" dxfId="3276" priority="902">
      <formula>AND(AND($W27&lt;TODAY(),$W27&lt;&gt;""),$X27="")</formula>
    </cfRule>
  </conditionalFormatting>
  <conditionalFormatting sqref="AG27">
    <cfRule type="dataBar" priority="901">
      <dataBar>
        <cfvo type="min"/>
        <cfvo type="max"/>
        <color rgb="FF63C384"/>
      </dataBar>
      <extLst>
        <ext xmlns:x14="http://schemas.microsoft.com/office/spreadsheetml/2009/9/main" uri="{B025F937-C7B1-47D3-B67F-A62EFF666E3E}">
          <x14:id>{63144FB4-9A9B-4BFF-A62C-3E9CBA9F39D5}</x14:id>
        </ext>
      </extLst>
    </cfRule>
  </conditionalFormatting>
  <conditionalFormatting sqref="AG27">
    <cfRule type="dataBar" priority="900">
      <dataBar>
        <cfvo type="min"/>
        <cfvo type="max"/>
        <color rgb="FF63C384"/>
      </dataBar>
      <extLst>
        <ext xmlns:x14="http://schemas.microsoft.com/office/spreadsheetml/2009/9/main" uri="{B025F937-C7B1-47D3-B67F-A62EFF666E3E}">
          <x14:id>{F41BE857-B390-4BC7-A0FF-EF2D1D7447BD}</x14:id>
        </ext>
      </extLst>
    </cfRule>
  </conditionalFormatting>
  <conditionalFormatting sqref="Q25">
    <cfRule type="cellIs" dxfId="3275" priority="887" operator="equal">
      <formula>"ja"</formula>
    </cfRule>
  </conditionalFormatting>
  <conditionalFormatting sqref="AA25">
    <cfRule type="expression" dxfId="3274" priority="886">
      <formula>AND(AND($W25&lt;TODAY(),$W25&lt;&gt;""),$X25="")</formula>
    </cfRule>
  </conditionalFormatting>
  <conditionalFormatting sqref="AA25">
    <cfRule type="expression" dxfId="3273" priority="898">
      <formula>AND(AND($W25&lt;TODAY(),$W25&lt;&gt;""),$X25="")</formula>
    </cfRule>
  </conditionalFormatting>
  <conditionalFormatting sqref="AG25">
    <cfRule type="dataBar" priority="897">
      <dataBar>
        <cfvo type="min"/>
        <cfvo type="max"/>
        <color rgb="FF63C384"/>
      </dataBar>
      <extLst>
        <ext xmlns:x14="http://schemas.microsoft.com/office/spreadsheetml/2009/9/main" uri="{B025F937-C7B1-47D3-B67F-A62EFF666E3E}">
          <x14:id>{5C2D57CD-051F-46CE-8851-881FA1E8B37A}</x14:id>
        </ext>
      </extLst>
    </cfRule>
  </conditionalFormatting>
  <conditionalFormatting sqref="AG25">
    <cfRule type="dataBar" priority="896">
      <dataBar>
        <cfvo type="min"/>
        <cfvo type="max"/>
        <color rgb="FF63C384"/>
      </dataBar>
      <extLst>
        <ext xmlns:x14="http://schemas.microsoft.com/office/spreadsheetml/2009/9/main" uri="{B025F937-C7B1-47D3-B67F-A62EFF666E3E}">
          <x14:id>{DA8752E2-BAF7-47DC-B3A1-D7B11A86D48C}</x14:id>
        </ext>
      </extLst>
    </cfRule>
  </conditionalFormatting>
  <conditionalFormatting sqref="Q25">
    <cfRule type="cellIs" dxfId="3272" priority="895" operator="equal">
      <formula>"ja"</formula>
    </cfRule>
  </conditionalFormatting>
  <conditionalFormatting sqref="AA25">
    <cfRule type="expression" dxfId="3271" priority="894">
      <formula>AND(AND($W25&lt;TODAY(),$W25&lt;&gt;""),$X25="")</formula>
    </cfRule>
  </conditionalFormatting>
  <conditionalFormatting sqref="AG25">
    <cfRule type="dataBar" priority="893">
      <dataBar>
        <cfvo type="min"/>
        <cfvo type="max"/>
        <color rgb="FF63C384"/>
      </dataBar>
      <extLst>
        <ext xmlns:x14="http://schemas.microsoft.com/office/spreadsheetml/2009/9/main" uri="{B025F937-C7B1-47D3-B67F-A62EFF666E3E}">
          <x14:id>{CB8EB642-40E0-4C9D-AC24-A3D9A2F1BE91}</x14:id>
        </ext>
      </extLst>
    </cfRule>
  </conditionalFormatting>
  <conditionalFormatting sqref="AG25">
    <cfRule type="dataBar" priority="892">
      <dataBar>
        <cfvo type="min"/>
        <cfvo type="max"/>
        <color rgb="FF63C384"/>
      </dataBar>
      <extLst>
        <ext xmlns:x14="http://schemas.microsoft.com/office/spreadsheetml/2009/9/main" uri="{B025F937-C7B1-47D3-B67F-A62EFF666E3E}">
          <x14:id>{3EC731E3-80CF-426B-A043-D94BE151520A}</x14:id>
        </ext>
      </extLst>
    </cfRule>
  </conditionalFormatting>
  <conditionalFormatting sqref="Q25">
    <cfRule type="cellIs" dxfId="3270" priority="891" operator="equal">
      <formula>"ja"</formula>
    </cfRule>
  </conditionalFormatting>
  <conditionalFormatting sqref="AA25">
    <cfRule type="expression" dxfId="3269" priority="890">
      <formula>AND(AND($W25&lt;TODAY(),$W25&lt;&gt;""),$X25="")</formula>
    </cfRule>
  </conditionalFormatting>
  <conditionalFormatting sqref="AG25">
    <cfRule type="dataBar" priority="889">
      <dataBar>
        <cfvo type="min"/>
        <cfvo type="max"/>
        <color rgb="FF63C384"/>
      </dataBar>
      <extLst>
        <ext xmlns:x14="http://schemas.microsoft.com/office/spreadsheetml/2009/9/main" uri="{B025F937-C7B1-47D3-B67F-A62EFF666E3E}">
          <x14:id>{F1D5235C-2553-4DAC-8E3A-0DB3D6EC33AE}</x14:id>
        </ext>
      </extLst>
    </cfRule>
  </conditionalFormatting>
  <conditionalFormatting sqref="AG25">
    <cfRule type="dataBar" priority="888">
      <dataBar>
        <cfvo type="min"/>
        <cfvo type="max"/>
        <color rgb="FF63C384"/>
      </dataBar>
      <extLst>
        <ext xmlns:x14="http://schemas.microsoft.com/office/spreadsheetml/2009/9/main" uri="{B025F937-C7B1-47D3-B67F-A62EFF666E3E}">
          <x14:id>{1CC0C9E7-F873-4A0F-A7DC-A361C0A988BB}</x14:id>
        </ext>
      </extLst>
    </cfRule>
  </conditionalFormatting>
  <conditionalFormatting sqref="AG25">
    <cfRule type="dataBar" priority="885">
      <dataBar>
        <cfvo type="min"/>
        <cfvo type="max"/>
        <color rgb="FF63C384"/>
      </dataBar>
      <extLst>
        <ext xmlns:x14="http://schemas.microsoft.com/office/spreadsheetml/2009/9/main" uri="{B025F937-C7B1-47D3-B67F-A62EFF666E3E}">
          <x14:id>{30F10269-8234-4A2C-8F2B-9CCC3D4D4B3A}</x14:id>
        </ext>
      </extLst>
    </cfRule>
  </conditionalFormatting>
  <conditionalFormatting sqref="AG25">
    <cfRule type="dataBar" priority="884">
      <dataBar>
        <cfvo type="min"/>
        <cfvo type="max"/>
        <color rgb="FF63C384"/>
      </dataBar>
      <extLst>
        <ext xmlns:x14="http://schemas.microsoft.com/office/spreadsheetml/2009/9/main" uri="{B025F937-C7B1-47D3-B67F-A62EFF666E3E}">
          <x14:id>{53A07C08-0253-4BE4-8F78-E954E9AD22CF}</x14:id>
        </ext>
      </extLst>
    </cfRule>
  </conditionalFormatting>
  <conditionalFormatting sqref="Q28">
    <cfRule type="cellIs" dxfId="3268" priority="883" operator="equal">
      <formula>"ja"</formula>
    </cfRule>
  </conditionalFormatting>
  <conditionalFormatting sqref="AA28">
    <cfRule type="expression" dxfId="3267" priority="882">
      <formula>AND(AND($W28&lt;TODAY(),$W28&lt;&gt;""),$X28="")</formula>
    </cfRule>
  </conditionalFormatting>
  <conditionalFormatting sqref="AG28">
    <cfRule type="dataBar" priority="881">
      <dataBar>
        <cfvo type="min"/>
        <cfvo type="max"/>
        <color rgb="FF63C384"/>
      </dataBar>
      <extLst>
        <ext xmlns:x14="http://schemas.microsoft.com/office/spreadsheetml/2009/9/main" uri="{B025F937-C7B1-47D3-B67F-A62EFF666E3E}">
          <x14:id>{57E492A2-E93A-4B3F-80FF-0EA4ADFD5ED3}</x14:id>
        </ext>
      </extLst>
    </cfRule>
  </conditionalFormatting>
  <conditionalFormatting sqref="AG28">
    <cfRule type="dataBar" priority="880">
      <dataBar>
        <cfvo type="min"/>
        <cfvo type="max"/>
        <color rgb="FF63C384"/>
      </dataBar>
      <extLst>
        <ext xmlns:x14="http://schemas.microsoft.com/office/spreadsheetml/2009/9/main" uri="{B025F937-C7B1-47D3-B67F-A62EFF666E3E}">
          <x14:id>{8FCF50B7-CD08-4C8B-B575-1C948C6DD144}</x14:id>
        </ext>
      </extLst>
    </cfRule>
  </conditionalFormatting>
  <conditionalFormatting sqref="Q29">
    <cfRule type="cellIs" dxfId="3266" priority="879" operator="equal">
      <formula>"ja"</formula>
    </cfRule>
  </conditionalFormatting>
  <conditionalFormatting sqref="AG29">
    <cfRule type="dataBar" priority="877">
      <dataBar>
        <cfvo type="min"/>
        <cfvo type="max"/>
        <color rgb="FF63C384"/>
      </dataBar>
      <extLst>
        <ext xmlns:x14="http://schemas.microsoft.com/office/spreadsheetml/2009/9/main" uri="{B025F937-C7B1-47D3-B67F-A62EFF666E3E}">
          <x14:id>{FBCD312C-1B5E-4563-87C1-C4A63EADE19F}</x14:id>
        </ext>
      </extLst>
    </cfRule>
  </conditionalFormatting>
  <conditionalFormatting sqref="AG29">
    <cfRule type="dataBar" priority="876">
      <dataBar>
        <cfvo type="min"/>
        <cfvo type="max"/>
        <color rgb="FF63C384"/>
      </dataBar>
      <extLst>
        <ext xmlns:x14="http://schemas.microsoft.com/office/spreadsheetml/2009/9/main" uri="{B025F937-C7B1-47D3-B67F-A62EFF666E3E}">
          <x14:id>{3E69C19B-9D09-407B-BB43-5B91AE07B148}</x14:id>
        </ext>
      </extLst>
    </cfRule>
  </conditionalFormatting>
  <conditionalFormatting sqref="AA30">
    <cfRule type="expression" dxfId="3265" priority="875">
      <formula>AND(AND($W30&lt;TODAY(),$W30&lt;&gt;""),$X30="")</formula>
    </cfRule>
  </conditionalFormatting>
  <conditionalFormatting sqref="AG30">
    <cfRule type="dataBar" priority="874">
      <dataBar>
        <cfvo type="min"/>
        <cfvo type="max"/>
        <color rgb="FF63C384"/>
      </dataBar>
      <extLst>
        <ext xmlns:x14="http://schemas.microsoft.com/office/spreadsheetml/2009/9/main" uri="{B025F937-C7B1-47D3-B67F-A62EFF666E3E}">
          <x14:id>{6B2A0453-C3F4-42E2-AAB3-5B0C7D2C1C1C}</x14:id>
        </ext>
      </extLst>
    </cfRule>
  </conditionalFormatting>
  <conditionalFormatting sqref="AG30">
    <cfRule type="dataBar" priority="873">
      <dataBar>
        <cfvo type="min"/>
        <cfvo type="max"/>
        <color rgb="FF63C384"/>
      </dataBar>
      <extLst>
        <ext xmlns:x14="http://schemas.microsoft.com/office/spreadsheetml/2009/9/main" uri="{B025F937-C7B1-47D3-B67F-A62EFF666E3E}">
          <x14:id>{210BEAA7-BE7C-49D5-AB4C-DA211DCE8E97}</x14:id>
        </ext>
      </extLst>
    </cfRule>
  </conditionalFormatting>
  <conditionalFormatting sqref="Q31">
    <cfRule type="cellIs" dxfId="3264" priority="872" operator="equal">
      <formula>"ja"</formula>
    </cfRule>
  </conditionalFormatting>
  <conditionalFormatting sqref="AA32">
    <cfRule type="expression" dxfId="3263" priority="871">
      <formula>AND(AND($W32&lt;TODAY(),$W32&lt;&gt;""),$X32="")</formula>
    </cfRule>
  </conditionalFormatting>
  <conditionalFormatting sqref="Q32">
    <cfRule type="cellIs" dxfId="3262" priority="870" operator="equal">
      <formula>"ja"</formula>
    </cfRule>
  </conditionalFormatting>
  <conditionalFormatting sqref="AG32">
    <cfRule type="dataBar" priority="869">
      <dataBar>
        <cfvo type="min"/>
        <cfvo type="max"/>
        <color rgb="FF63C384"/>
      </dataBar>
      <extLst>
        <ext xmlns:x14="http://schemas.microsoft.com/office/spreadsheetml/2009/9/main" uri="{B025F937-C7B1-47D3-B67F-A62EFF666E3E}">
          <x14:id>{E8DE332F-6968-4099-B30E-9A8897E7ED5D}</x14:id>
        </ext>
      </extLst>
    </cfRule>
  </conditionalFormatting>
  <conditionalFormatting sqref="AG32">
    <cfRule type="dataBar" priority="868">
      <dataBar>
        <cfvo type="min"/>
        <cfvo type="max"/>
        <color rgb="FF63C384"/>
      </dataBar>
      <extLst>
        <ext xmlns:x14="http://schemas.microsoft.com/office/spreadsheetml/2009/9/main" uri="{B025F937-C7B1-47D3-B67F-A62EFF666E3E}">
          <x14:id>{8C22EC3A-1499-4158-B576-726B8AF97AD2}</x14:id>
        </ext>
      </extLst>
    </cfRule>
  </conditionalFormatting>
  <conditionalFormatting sqref="Q34">
    <cfRule type="cellIs" dxfId="3261" priority="867" operator="equal">
      <formula>"ja"</formula>
    </cfRule>
  </conditionalFormatting>
  <conditionalFormatting sqref="AA34">
    <cfRule type="expression" dxfId="3260" priority="866">
      <formula>AND(AND($W34&lt;TODAY(),$W34&lt;&gt;""),$X34="")</formula>
    </cfRule>
  </conditionalFormatting>
  <conditionalFormatting sqref="AG34">
    <cfRule type="dataBar" priority="865">
      <dataBar>
        <cfvo type="min"/>
        <cfvo type="max"/>
        <color rgb="FF63C384"/>
      </dataBar>
      <extLst>
        <ext xmlns:x14="http://schemas.microsoft.com/office/spreadsheetml/2009/9/main" uri="{B025F937-C7B1-47D3-B67F-A62EFF666E3E}">
          <x14:id>{55550FAB-B08B-43B6-93E6-500F527CB553}</x14:id>
        </ext>
      </extLst>
    </cfRule>
  </conditionalFormatting>
  <conditionalFormatting sqref="Q33">
    <cfRule type="cellIs" dxfId="3259" priority="864" operator="equal">
      <formula>"ja"</formula>
    </cfRule>
  </conditionalFormatting>
  <conditionalFormatting sqref="Q33">
    <cfRule type="cellIs" dxfId="3258" priority="852" operator="equal">
      <formula>"ja"</formula>
    </cfRule>
  </conditionalFormatting>
  <conditionalFormatting sqref="AA33">
    <cfRule type="expression" dxfId="3257" priority="851">
      <formula>AND(AND($W33&lt;TODAY(),$W33&lt;&gt;""),$X33="")</formula>
    </cfRule>
  </conditionalFormatting>
  <conditionalFormatting sqref="AA33">
    <cfRule type="expression" dxfId="3256" priority="863">
      <formula>AND(AND($W33&lt;TODAY(),$W33&lt;&gt;""),$X33="")</formula>
    </cfRule>
  </conditionalFormatting>
  <conditionalFormatting sqref="AG33">
    <cfRule type="dataBar" priority="862">
      <dataBar>
        <cfvo type="min"/>
        <cfvo type="max"/>
        <color rgb="FF63C384"/>
      </dataBar>
      <extLst>
        <ext xmlns:x14="http://schemas.microsoft.com/office/spreadsheetml/2009/9/main" uri="{B025F937-C7B1-47D3-B67F-A62EFF666E3E}">
          <x14:id>{9578FB4C-5690-4A00-9AFE-86508EE4341D}</x14:id>
        </ext>
      </extLst>
    </cfRule>
  </conditionalFormatting>
  <conditionalFormatting sqref="AG33">
    <cfRule type="dataBar" priority="861">
      <dataBar>
        <cfvo type="min"/>
        <cfvo type="max"/>
        <color rgb="FF63C384"/>
      </dataBar>
      <extLst>
        <ext xmlns:x14="http://schemas.microsoft.com/office/spreadsheetml/2009/9/main" uri="{B025F937-C7B1-47D3-B67F-A62EFF666E3E}">
          <x14:id>{FD42C737-5064-4EC4-8D48-461A0D2C888B}</x14:id>
        </ext>
      </extLst>
    </cfRule>
  </conditionalFormatting>
  <conditionalFormatting sqref="Q33">
    <cfRule type="cellIs" dxfId="3255" priority="860" operator="equal">
      <formula>"ja"</formula>
    </cfRule>
  </conditionalFormatting>
  <conditionalFormatting sqref="AA33">
    <cfRule type="expression" dxfId="3254" priority="859">
      <formula>AND(AND($W33&lt;TODAY(),$W33&lt;&gt;""),$X33="")</formula>
    </cfRule>
  </conditionalFormatting>
  <conditionalFormatting sqref="AG33">
    <cfRule type="dataBar" priority="858">
      <dataBar>
        <cfvo type="min"/>
        <cfvo type="max"/>
        <color rgb="FF63C384"/>
      </dataBar>
      <extLst>
        <ext xmlns:x14="http://schemas.microsoft.com/office/spreadsheetml/2009/9/main" uri="{B025F937-C7B1-47D3-B67F-A62EFF666E3E}">
          <x14:id>{1E9B1641-ABB3-41A0-8900-472FF42F5FB6}</x14:id>
        </ext>
      </extLst>
    </cfRule>
  </conditionalFormatting>
  <conditionalFormatting sqref="AG33">
    <cfRule type="dataBar" priority="857">
      <dataBar>
        <cfvo type="min"/>
        <cfvo type="max"/>
        <color rgb="FF63C384"/>
      </dataBar>
      <extLst>
        <ext xmlns:x14="http://schemas.microsoft.com/office/spreadsheetml/2009/9/main" uri="{B025F937-C7B1-47D3-B67F-A62EFF666E3E}">
          <x14:id>{77A09786-7D83-4BC4-A76A-C55007EE831D}</x14:id>
        </ext>
      </extLst>
    </cfRule>
  </conditionalFormatting>
  <conditionalFormatting sqref="Q33">
    <cfRule type="cellIs" dxfId="3253" priority="856" operator="equal">
      <formula>"ja"</formula>
    </cfRule>
  </conditionalFormatting>
  <conditionalFormatting sqref="AA33">
    <cfRule type="expression" dxfId="3252" priority="855">
      <formula>AND(AND($W33&lt;TODAY(),$W33&lt;&gt;""),$X33="")</formula>
    </cfRule>
  </conditionalFormatting>
  <conditionalFormatting sqref="AG33">
    <cfRule type="dataBar" priority="854">
      <dataBar>
        <cfvo type="min"/>
        <cfvo type="max"/>
        <color rgb="FF63C384"/>
      </dataBar>
      <extLst>
        <ext xmlns:x14="http://schemas.microsoft.com/office/spreadsheetml/2009/9/main" uri="{B025F937-C7B1-47D3-B67F-A62EFF666E3E}">
          <x14:id>{B265092C-8F30-4770-91CB-C46642B9EDE4}</x14:id>
        </ext>
      </extLst>
    </cfRule>
  </conditionalFormatting>
  <conditionalFormatting sqref="AG33">
    <cfRule type="dataBar" priority="853">
      <dataBar>
        <cfvo type="min"/>
        <cfvo type="max"/>
        <color rgb="FF63C384"/>
      </dataBar>
      <extLst>
        <ext xmlns:x14="http://schemas.microsoft.com/office/spreadsheetml/2009/9/main" uri="{B025F937-C7B1-47D3-B67F-A62EFF666E3E}">
          <x14:id>{D9D58275-F98B-4A5D-91BC-794AFF1D3D6A}</x14:id>
        </ext>
      </extLst>
    </cfRule>
  </conditionalFormatting>
  <conditionalFormatting sqref="AG33">
    <cfRule type="dataBar" priority="850">
      <dataBar>
        <cfvo type="min"/>
        <cfvo type="max"/>
        <color rgb="FF63C384"/>
      </dataBar>
      <extLst>
        <ext xmlns:x14="http://schemas.microsoft.com/office/spreadsheetml/2009/9/main" uri="{B025F937-C7B1-47D3-B67F-A62EFF666E3E}">
          <x14:id>{6154C344-60FF-43D1-965F-9BC1F346C427}</x14:id>
        </ext>
      </extLst>
    </cfRule>
  </conditionalFormatting>
  <conditionalFormatting sqref="AG33">
    <cfRule type="dataBar" priority="849">
      <dataBar>
        <cfvo type="min"/>
        <cfvo type="max"/>
        <color rgb="FF63C384"/>
      </dataBar>
      <extLst>
        <ext xmlns:x14="http://schemas.microsoft.com/office/spreadsheetml/2009/9/main" uri="{B025F937-C7B1-47D3-B67F-A62EFF666E3E}">
          <x14:id>{07C4F92C-14C6-4E76-8E04-6666B2B55619}</x14:id>
        </ext>
      </extLst>
    </cfRule>
  </conditionalFormatting>
  <conditionalFormatting sqref="Q35">
    <cfRule type="cellIs" dxfId="3251" priority="848" operator="equal">
      <formula>"ja"</formula>
    </cfRule>
  </conditionalFormatting>
  <conditionalFormatting sqref="AA35">
    <cfRule type="expression" dxfId="3250" priority="847">
      <formula>AND(AND($W35&lt;TODAY(),$W35&lt;&gt;""),$X35="")</formula>
    </cfRule>
  </conditionalFormatting>
  <conditionalFormatting sqref="AG35">
    <cfRule type="dataBar" priority="846">
      <dataBar>
        <cfvo type="min"/>
        <cfvo type="max"/>
        <color rgb="FF63C384"/>
      </dataBar>
      <extLst>
        <ext xmlns:x14="http://schemas.microsoft.com/office/spreadsheetml/2009/9/main" uri="{B025F937-C7B1-47D3-B67F-A62EFF666E3E}">
          <x14:id>{D7ACCC5D-5C78-4285-A495-E3D22C1407D5}</x14:id>
        </ext>
      </extLst>
    </cfRule>
  </conditionalFormatting>
  <conditionalFormatting sqref="AA36">
    <cfRule type="expression" dxfId="3249" priority="845">
      <formula>AND(AND($W36&lt;TODAY(),$W36&lt;&gt;""),$X36="")</formula>
    </cfRule>
  </conditionalFormatting>
  <conditionalFormatting sqref="AG36">
    <cfRule type="dataBar" priority="844">
      <dataBar>
        <cfvo type="min"/>
        <cfvo type="max"/>
        <color rgb="FF63C384"/>
      </dataBar>
      <extLst>
        <ext xmlns:x14="http://schemas.microsoft.com/office/spreadsheetml/2009/9/main" uri="{B025F937-C7B1-47D3-B67F-A62EFF666E3E}">
          <x14:id>{9CF1DF1B-DABB-4ECC-B9FC-37A7AEFD2097}</x14:id>
        </ext>
      </extLst>
    </cfRule>
  </conditionalFormatting>
  <conditionalFormatting sqref="AG36">
    <cfRule type="dataBar" priority="843">
      <dataBar>
        <cfvo type="min"/>
        <cfvo type="max"/>
        <color rgb="FF63C384"/>
      </dataBar>
      <extLst>
        <ext xmlns:x14="http://schemas.microsoft.com/office/spreadsheetml/2009/9/main" uri="{B025F937-C7B1-47D3-B67F-A62EFF666E3E}">
          <x14:id>{DD6F24B2-AFF2-4EA3-A177-E321EF1AB44A}</x14:id>
        </ext>
      </extLst>
    </cfRule>
  </conditionalFormatting>
  <conditionalFormatting sqref="Q36">
    <cfRule type="cellIs" dxfId="3248" priority="842" operator="equal">
      <formula>"ja"</formula>
    </cfRule>
  </conditionalFormatting>
  <conditionalFormatting sqref="Q38">
    <cfRule type="cellIs" dxfId="3247" priority="841" operator="equal">
      <formula>"ja"</formula>
    </cfRule>
  </conditionalFormatting>
  <conditionalFormatting sqref="AA38">
    <cfRule type="expression" dxfId="3246" priority="840">
      <formula>AND(AND($W38&lt;TODAY(),$W38&lt;&gt;""),$X38="")</formula>
    </cfRule>
  </conditionalFormatting>
  <conditionalFormatting sqref="AG38">
    <cfRule type="dataBar" priority="839">
      <dataBar>
        <cfvo type="min"/>
        <cfvo type="max"/>
        <color rgb="FF63C384"/>
      </dataBar>
      <extLst>
        <ext xmlns:x14="http://schemas.microsoft.com/office/spreadsheetml/2009/9/main" uri="{B025F937-C7B1-47D3-B67F-A62EFF666E3E}">
          <x14:id>{C84B63A4-AF9F-4432-91FF-57DB7F7AAA96}</x14:id>
        </ext>
      </extLst>
    </cfRule>
  </conditionalFormatting>
  <conditionalFormatting sqref="Q39">
    <cfRule type="cellIs" dxfId="3245" priority="838" operator="equal">
      <formula>"ja"</formula>
    </cfRule>
  </conditionalFormatting>
  <conditionalFormatting sqref="AA39">
    <cfRule type="expression" dxfId="3244" priority="837">
      <formula>AND(AND($W39&lt;TODAY(),$W39&lt;&gt;""),$X39="")</formula>
    </cfRule>
  </conditionalFormatting>
  <conditionalFormatting sqref="AG39">
    <cfRule type="dataBar" priority="836">
      <dataBar>
        <cfvo type="min"/>
        <cfvo type="max"/>
        <color rgb="FF63C384"/>
      </dataBar>
      <extLst>
        <ext xmlns:x14="http://schemas.microsoft.com/office/spreadsheetml/2009/9/main" uri="{B025F937-C7B1-47D3-B67F-A62EFF666E3E}">
          <x14:id>{EE2F2E57-3E99-43A3-9E1E-3A97B4F75FC8}</x14:id>
        </ext>
      </extLst>
    </cfRule>
  </conditionalFormatting>
  <conditionalFormatting sqref="AG39">
    <cfRule type="dataBar" priority="835">
      <dataBar>
        <cfvo type="min"/>
        <cfvo type="max"/>
        <color rgb="FF63C384"/>
      </dataBar>
      <extLst>
        <ext xmlns:x14="http://schemas.microsoft.com/office/spreadsheetml/2009/9/main" uri="{B025F937-C7B1-47D3-B67F-A62EFF666E3E}">
          <x14:id>{1DF64634-5966-4DF5-B430-0B066B4C6C8E}</x14:id>
        </ext>
      </extLst>
    </cfRule>
  </conditionalFormatting>
  <conditionalFormatting sqref="Q40">
    <cfRule type="cellIs" dxfId="3243" priority="834" operator="equal">
      <formula>"ja"</formula>
    </cfRule>
  </conditionalFormatting>
  <conditionalFormatting sqref="Q40">
    <cfRule type="cellIs" dxfId="3242" priority="822" operator="equal">
      <formula>"ja"</formula>
    </cfRule>
  </conditionalFormatting>
  <conditionalFormatting sqref="AA40">
    <cfRule type="expression" dxfId="3241" priority="821">
      <formula>AND(AND($W40&lt;TODAY(),$W40&lt;&gt;""),$X40="")</formula>
    </cfRule>
  </conditionalFormatting>
  <conditionalFormatting sqref="AA40">
    <cfRule type="expression" dxfId="3240" priority="833">
      <formula>AND(AND($W40&lt;TODAY(),$W40&lt;&gt;""),$X40="")</formula>
    </cfRule>
  </conditionalFormatting>
  <conditionalFormatting sqref="AG40">
    <cfRule type="dataBar" priority="832">
      <dataBar>
        <cfvo type="min"/>
        <cfvo type="max"/>
        <color rgb="FF63C384"/>
      </dataBar>
      <extLst>
        <ext xmlns:x14="http://schemas.microsoft.com/office/spreadsheetml/2009/9/main" uri="{B025F937-C7B1-47D3-B67F-A62EFF666E3E}">
          <x14:id>{1DDBD053-F6E3-4A02-8AC5-50B166F604F8}</x14:id>
        </ext>
      </extLst>
    </cfRule>
  </conditionalFormatting>
  <conditionalFormatting sqref="AG40">
    <cfRule type="dataBar" priority="831">
      <dataBar>
        <cfvo type="min"/>
        <cfvo type="max"/>
        <color rgb="FF63C384"/>
      </dataBar>
      <extLst>
        <ext xmlns:x14="http://schemas.microsoft.com/office/spreadsheetml/2009/9/main" uri="{B025F937-C7B1-47D3-B67F-A62EFF666E3E}">
          <x14:id>{2977CED6-5105-4386-838D-2A18E592B26B}</x14:id>
        </ext>
      </extLst>
    </cfRule>
  </conditionalFormatting>
  <conditionalFormatting sqref="Q40">
    <cfRule type="cellIs" dxfId="3239" priority="830" operator="equal">
      <formula>"ja"</formula>
    </cfRule>
  </conditionalFormatting>
  <conditionalFormatting sqref="AA40">
    <cfRule type="expression" dxfId="3238" priority="829">
      <formula>AND(AND($W40&lt;TODAY(),$W40&lt;&gt;""),$X40="")</formula>
    </cfRule>
  </conditionalFormatting>
  <conditionalFormatting sqref="AG40">
    <cfRule type="dataBar" priority="828">
      <dataBar>
        <cfvo type="min"/>
        <cfvo type="max"/>
        <color rgb="FF63C384"/>
      </dataBar>
      <extLst>
        <ext xmlns:x14="http://schemas.microsoft.com/office/spreadsheetml/2009/9/main" uri="{B025F937-C7B1-47D3-B67F-A62EFF666E3E}">
          <x14:id>{7DD733F1-2D84-4F97-B860-573238D8FA9A}</x14:id>
        </ext>
      </extLst>
    </cfRule>
  </conditionalFormatting>
  <conditionalFormatting sqref="AG40">
    <cfRule type="dataBar" priority="827">
      <dataBar>
        <cfvo type="min"/>
        <cfvo type="max"/>
        <color rgb="FF63C384"/>
      </dataBar>
      <extLst>
        <ext xmlns:x14="http://schemas.microsoft.com/office/spreadsheetml/2009/9/main" uri="{B025F937-C7B1-47D3-B67F-A62EFF666E3E}">
          <x14:id>{89A5E06C-AEFB-4EB4-8E52-7C041D4DFDD4}</x14:id>
        </ext>
      </extLst>
    </cfRule>
  </conditionalFormatting>
  <conditionalFormatting sqref="Q40">
    <cfRule type="cellIs" dxfId="3237" priority="826" operator="equal">
      <formula>"ja"</formula>
    </cfRule>
  </conditionalFormatting>
  <conditionalFormatting sqref="AA40">
    <cfRule type="expression" dxfId="3236" priority="825">
      <formula>AND(AND($W40&lt;TODAY(),$W40&lt;&gt;""),$X40="")</formula>
    </cfRule>
  </conditionalFormatting>
  <conditionalFormatting sqref="AG40">
    <cfRule type="dataBar" priority="824">
      <dataBar>
        <cfvo type="min"/>
        <cfvo type="max"/>
        <color rgb="FF63C384"/>
      </dataBar>
      <extLst>
        <ext xmlns:x14="http://schemas.microsoft.com/office/spreadsheetml/2009/9/main" uri="{B025F937-C7B1-47D3-B67F-A62EFF666E3E}">
          <x14:id>{ECE57422-9C8C-49EE-A419-6184F98CD2E7}</x14:id>
        </ext>
      </extLst>
    </cfRule>
  </conditionalFormatting>
  <conditionalFormatting sqref="AG40">
    <cfRule type="dataBar" priority="823">
      <dataBar>
        <cfvo type="min"/>
        <cfvo type="max"/>
        <color rgb="FF63C384"/>
      </dataBar>
      <extLst>
        <ext xmlns:x14="http://schemas.microsoft.com/office/spreadsheetml/2009/9/main" uri="{B025F937-C7B1-47D3-B67F-A62EFF666E3E}">
          <x14:id>{27BD57FA-F4D1-4366-8838-A24E841E594F}</x14:id>
        </ext>
      </extLst>
    </cfRule>
  </conditionalFormatting>
  <conditionalFormatting sqref="AG40">
    <cfRule type="dataBar" priority="820">
      <dataBar>
        <cfvo type="min"/>
        <cfvo type="max"/>
        <color rgb="FF63C384"/>
      </dataBar>
      <extLst>
        <ext xmlns:x14="http://schemas.microsoft.com/office/spreadsheetml/2009/9/main" uri="{B025F937-C7B1-47D3-B67F-A62EFF666E3E}">
          <x14:id>{C6D9011A-1419-4871-A52E-3608243A8D51}</x14:id>
        </ext>
      </extLst>
    </cfRule>
  </conditionalFormatting>
  <conditionalFormatting sqref="AG40">
    <cfRule type="dataBar" priority="819">
      <dataBar>
        <cfvo type="min"/>
        <cfvo type="max"/>
        <color rgb="FF63C384"/>
      </dataBar>
      <extLst>
        <ext xmlns:x14="http://schemas.microsoft.com/office/spreadsheetml/2009/9/main" uri="{B025F937-C7B1-47D3-B67F-A62EFF666E3E}">
          <x14:id>{35583670-D916-4FBB-84AD-EEB3516569B3}</x14:id>
        </ext>
      </extLst>
    </cfRule>
  </conditionalFormatting>
  <conditionalFormatting sqref="Q41">
    <cfRule type="cellIs" dxfId="3235" priority="818" operator="equal">
      <formula>"ja"</formula>
    </cfRule>
  </conditionalFormatting>
  <conditionalFormatting sqref="AA41">
    <cfRule type="expression" dxfId="3234" priority="817">
      <formula>AND(AND($W41&lt;TODAY(),$W41&lt;&gt;""),$X41="")</formula>
    </cfRule>
  </conditionalFormatting>
  <conditionalFormatting sqref="AG41">
    <cfRule type="dataBar" priority="816">
      <dataBar>
        <cfvo type="min"/>
        <cfvo type="max"/>
        <color rgb="FF63C384"/>
      </dataBar>
      <extLst>
        <ext xmlns:x14="http://schemas.microsoft.com/office/spreadsheetml/2009/9/main" uri="{B025F937-C7B1-47D3-B67F-A62EFF666E3E}">
          <x14:id>{B94B7FC9-6592-4FA7-8D1B-CCF1DFBAFE03}</x14:id>
        </ext>
      </extLst>
    </cfRule>
  </conditionalFormatting>
  <conditionalFormatting sqref="AG41">
    <cfRule type="dataBar" priority="815">
      <dataBar>
        <cfvo type="min"/>
        <cfvo type="max"/>
        <color rgb="FF63C384"/>
      </dataBar>
      <extLst>
        <ext xmlns:x14="http://schemas.microsoft.com/office/spreadsheetml/2009/9/main" uri="{B025F937-C7B1-47D3-B67F-A62EFF666E3E}">
          <x14:id>{FC5EB2A6-C390-4259-A82D-923F00577BFA}</x14:id>
        </ext>
      </extLst>
    </cfRule>
  </conditionalFormatting>
  <conditionalFormatting sqref="Q42">
    <cfRule type="cellIs" dxfId="3233" priority="814" operator="equal">
      <formula>"ja"</formula>
    </cfRule>
  </conditionalFormatting>
  <conditionalFormatting sqref="AA42">
    <cfRule type="expression" dxfId="3232" priority="813">
      <formula>AND(AND($W42&lt;TODAY(),$W42&lt;&gt;""),$X42="")</formula>
    </cfRule>
  </conditionalFormatting>
  <conditionalFormatting sqref="AG42">
    <cfRule type="dataBar" priority="812">
      <dataBar>
        <cfvo type="min"/>
        <cfvo type="max"/>
        <color rgb="FF63C384"/>
      </dataBar>
      <extLst>
        <ext xmlns:x14="http://schemas.microsoft.com/office/spreadsheetml/2009/9/main" uri="{B025F937-C7B1-47D3-B67F-A62EFF666E3E}">
          <x14:id>{4377EC11-0F52-4860-8493-66A2A855A85F}</x14:id>
        </ext>
      </extLst>
    </cfRule>
  </conditionalFormatting>
  <conditionalFormatting sqref="AG42">
    <cfRule type="dataBar" priority="811">
      <dataBar>
        <cfvo type="min"/>
        <cfvo type="max"/>
        <color rgb="FF63C384"/>
      </dataBar>
      <extLst>
        <ext xmlns:x14="http://schemas.microsoft.com/office/spreadsheetml/2009/9/main" uri="{B025F937-C7B1-47D3-B67F-A62EFF666E3E}">
          <x14:id>{FF6A8A7F-6216-4DFA-93EA-21077500D0B4}</x14:id>
        </ext>
      </extLst>
    </cfRule>
  </conditionalFormatting>
  <conditionalFormatting sqref="Q43">
    <cfRule type="cellIs" dxfId="3231" priority="810" operator="equal">
      <formula>"ja"</formula>
    </cfRule>
  </conditionalFormatting>
  <conditionalFormatting sqref="AA43">
    <cfRule type="expression" dxfId="3230" priority="809">
      <formula>AND(AND($W43&lt;TODAY(),$W43&lt;&gt;""),$X43="")</formula>
    </cfRule>
  </conditionalFormatting>
  <conditionalFormatting sqref="AG43">
    <cfRule type="dataBar" priority="808">
      <dataBar>
        <cfvo type="min"/>
        <cfvo type="max"/>
        <color rgb="FF63C384"/>
      </dataBar>
      <extLst>
        <ext xmlns:x14="http://schemas.microsoft.com/office/spreadsheetml/2009/9/main" uri="{B025F937-C7B1-47D3-B67F-A62EFF666E3E}">
          <x14:id>{3A4A6FA9-B88D-4873-B664-04558133318F}</x14:id>
        </ext>
      </extLst>
    </cfRule>
  </conditionalFormatting>
  <conditionalFormatting sqref="AG43">
    <cfRule type="dataBar" priority="807">
      <dataBar>
        <cfvo type="min"/>
        <cfvo type="max"/>
        <color rgb="FF63C384"/>
      </dataBar>
      <extLst>
        <ext xmlns:x14="http://schemas.microsoft.com/office/spreadsheetml/2009/9/main" uri="{B025F937-C7B1-47D3-B67F-A62EFF666E3E}">
          <x14:id>{F809B14D-7C53-4BB6-B174-3BA38213AD67}</x14:id>
        </ext>
      </extLst>
    </cfRule>
  </conditionalFormatting>
  <conditionalFormatting sqref="AA43">
    <cfRule type="expression" dxfId="3229" priority="806">
      <formula>AND(AND($W43&lt;TODAY(),$W43&lt;&gt;""),$X43="")</formula>
    </cfRule>
  </conditionalFormatting>
  <conditionalFormatting sqref="Q43">
    <cfRule type="cellIs" dxfId="3228" priority="805" operator="equal">
      <formula>"ja"</formula>
    </cfRule>
  </conditionalFormatting>
  <conditionalFormatting sqref="AG43">
    <cfRule type="dataBar" priority="804">
      <dataBar>
        <cfvo type="min"/>
        <cfvo type="max"/>
        <color rgb="FF63C384"/>
      </dataBar>
      <extLst>
        <ext xmlns:x14="http://schemas.microsoft.com/office/spreadsheetml/2009/9/main" uri="{B025F937-C7B1-47D3-B67F-A62EFF666E3E}">
          <x14:id>{92E86F4B-3EC7-4C31-9B53-FA6835E9EF45}</x14:id>
        </ext>
      </extLst>
    </cfRule>
  </conditionalFormatting>
  <conditionalFormatting sqref="AG43">
    <cfRule type="dataBar" priority="803">
      <dataBar>
        <cfvo type="min"/>
        <cfvo type="max"/>
        <color rgb="FF63C384"/>
      </dataBar>
      <extLst>
        <ext xmlns:x14="http://schemas.microsoft.com/office/spreadsheetml/2009/9/main" uri="{B025F937-C7B1-47D3-B67F-A62EFF666E3E}">
          <x14:id>{074F6E77-127C-45BC-A735-41386B26A5E4}</x14:id>
        </ext>
      </extLst>
    </cfRule>
  </conditionalFormatting>
  <conditionalFormatting sqref="Q44">
    <cfRule type="cellIs" dxfId="3227" priority="802" operator="equal">
      <formula>"ja"</formula>
    </cfRule>
  </conditionalFormatting>
  <conditionalFormatting sqref="AA44">
    <cfRule type="expression" dxfId="3226" priority="801">
      <formula>AND(AND($W44&lt;TODAY(),$W44&lt;&gt;""),$X44="")</formula>
    </cfRule>
  </conditionalFormatting>
  <conditionalFormatting sqref="AG44">
    <cfRule type="dataBar" priority="800">
      <dataBar>
        <cfvo type="min"/>
        <cfvo type="max"/>
        <color rgb="FF63C384"/>
      </dataBar>
      <extLst>
        <ext xmlns:x14="http://schemas.microsoft.com/office/spreadsheetml/2009/9/main" uri="{B025F937-C7B1-47D3-B67F-A62EFF666E3E}">
          <x14:id>{C7E47D39-DBF9-4AE4-8048-2B855A0A4FF0}</x14:id>
        </ext>
      </extLst>
    </cfRule>
  </conditionalFormatting>
  <conditionalFormatting sqref="Q44">
    <cfRule type="cellIs" dxfId="3225" priority="799" operator="equal">
      <formula>"ja"</formula>
    </cfRule>
  </conditionalFormatting>
  <conditionalFormatting sqref="AA44">
    <cfRule type="expression" dxfId="3224" priority="798">
      <formula>AND(AND($W44&lt;TODAY(),$W44&lt;&gt;""),$X44="")</formula>
    </cfRule>
  </conditionalFormatting>
  <conditionalFormatting sqref="AG44">
    <cfRule type="dataBar" priority="797">
      <dataBar>
        <cfvo type="min"/>
        <cfvo type="max"/>
        <color rgb="FF63C384"/>
      </dataBar>
      <extLst>
        <ext xmlns:x14="http://schemas.microsoft.com/office/spreadsheetml/2009/9/main" uri="{B025F937-C7B1-47D3-B67F-A62EFF666E3E}">
          <x14:id>{F43D7FB2-DD87-4091-B02A-B27855D7FDDA}</x14:id>
        </ext>
      </extLst>
    </cfRule>
  </conditionalFormatting>
  <conditionalFormatting sqref="AG44">
    <cfRule type="dataBar" priority="796">
      <dataBar>
        <cfvo type="min"/>
        <cfvo type="max"/>
        <color rgb="FF63C384"/>
      </dataBar>
      <extLst>
        <ext xmlns:x14="http://schemas.microsoft.com/office/spreadsheetml/2009/9/main" uri="{B025F937-C7B1-47D3-B67F-A62EFF666E3E}">
          <x14:id>{8D781D0C-4772-47A8-B683-E33C357A8645}</x14:id>
        </ext>
      </extLst>
    </cfRule>
  </conditionalFormatting>
  <conditionalFormatting sqref="AA45">
    <cfRule type="expression" dxfId="3223" priority="795">
      <formula>AND(AND($W45&lt;TODAY(),$W45&lt;&gt;""),$X45="")</formula>
    </cfRule>
  </conditionalFormatting>
  <conditionalFormatting sqref="AG45">
    <cfRule type="dataBar" priority="794">
      <dataBar>
        <cfvo type="min"/>
        <cfvo type="max"/>
        <color rgb="FF63C384"/>
      </dataBar>
      <extLst>
        <ext xmlns:x14="http://schemas.microsoft.com/office/spreadsheetml/2009/9/main" uri="{B025F937-C7B1-47D3-B67F-A62EFF666E3E}">
          <x14:id>{D52D785C-22F0-4C2C-BC61-910DC53987BB}</x14:id>
        </ext>
      </extLst>
    </cfRule>
  </conditionalFormatting>
  <conditionalFormatting sqref="AG45">
    <cfRule type="dataBar" priority="793">
      <dataBar>
        <cfvo type="min"/>
        <cfvo type="max"/>
        <color rgb="FF63C384"/>
      </dataBar>
      <extLst>
        <ext xmlns:x14="http://schemas.microsoft.com/office/spreadsheetml/2009/9/main" uri="{B025F937-C7B1-47D3-B67F-A62EFF666E3E}">
          <x14:id>{452401CD-64A6-4FA7-AC72-857C45546318}</x14:id>
        </ext>
      </extLst>
    </cfRule>
  </conditionalFormatting>
  <conditionalFormatting sqref="Q46">
    <cfRule type="cellIs" dxfId="3222" priority="792" operator="equal">
      <formula>"ja"</formula>
    </cfRule>
  </conditionalFormatting>
  <conditionalFormatting sqref="AA47">
    <cfRule type="expression" dxfId="3221" priority="791">
      <formula>AND(AND($W47&lt;TODAY(),$W47&lt;&gt;""),$X47="")</formula>
    </cfRule>
  </conditionalFormatting>
  <conditionalFormatting sqref="Q47">
    <cfRule type="cellIs" dxfId="3220" priority="790" operator="equal">
      <formula>"ja"</formula>
    </cfRule>
  </conditionalFormatting>
  <conditionalFormatting sqref="AG47">
    <cfRule type="dataBar" priority="789">
      <dataBar>
        <cfvo type="min"/>
        <cfvo type="max"/>
        <color rgb="FF63C384"/>
      </dataBar>
      <extLst>
        <ext xmlns:x14="http://schemas.microsoft.com/office/spreadsheetml/2009/9/main" uri="{B025F937-C7B1-47D3-B67F-A62EFF666E3E}">
          <x14:id>{D7EDB501-3FA5-4619-B8A8-568EA09CDE24}</x14:id>
        </ext>
      </extLst>
    </cfRule>
  </conditionalFormatting>
  <conditionalFormatting sqref="AG47">
    <cfRule type="dataBar" priority="788">
      <dataBar>
        <cfvo type="min"/>
        <cfvo type="max"/>
        <color rgb="FF63C384"/>
      </dataBar>
      <extLst>
        <ext xmlns:x14="http://schemas.microsoft.com/office/spreadsheetml/2009/9/main" uri="{B025F937-C7B1-47D3-B67F-A62EFF666E3E}">
          <x14:id>{ED97F381-25A2-4655-AFC3-DAA94B5EDE83}</x14:id>
        </ext>
      </extLst>
    </cfRule>
  </conditionalFormatting>
  <conditionalFormatting sqref="AA48">
    <cfRule type="expression" dxfId="3219" priority="787">
      <formula>AND(AND($W48&lt;TODAY(),$W48&lt;&gt;""),$X48="")</formula>
    </cfRule>
  </conditionalFormatting>
  <conditionalFormatting sqref="AG48">
    <cfRule type="dataBar" priority="786">
      <dataBar>
        <cfvo type="min"/>
        <cfvo type="max"/>
        <color rgb="FF63C384"/>
      </dataBar>
      <extLst>
        <ext xmlns:x14="http://schemas.microsoft.com/office/spreadsheetml/2009/9/main" uri="{B025F937-C7B1-47D3-B67F-A62EFF666E3E}">
          <x14:id>{7C9ED67B-9B5A-4386-A265-5F5E471352CF}</x14:id>
        </ext>
      </extLst>
    </cfRule>
  </conditionalFormatting>
  <conditionalFormatting sqref="AG48">
    <cfRule type="dataBar" priority="785">
      <dataBar>
        <cfvo type="min"/>
        <cfvo type="max"/>
        <color rgb="FF63C384"/>
      </dataBar>
      <extLst>
        <ext xmlns:x14="http://schemas.microsoft.com/office/spreadsheetml/2009/9/main" uri="{B025F937-C7B1-47D3-B67F-A62EFF666E3E}">
          <x14:id>{FDA1A7D5-768C-4211-95E5-390D4B35E2AF}</x14:id>
        </ext>
      </extLst>
    </cfRule>
  </conditionalFormatting>
  <conditionalFormatting sqref="Q48">
    <cfRule type="cellIs" dxfId="3218" priority="784" operator="equal">
      <formula>"ja"</formula>
    </cfRule>
  </conditionalFormatting>
  <conditionalFormatting sqref="Q49">
    <cfRule type="cellIs" dxfId="3217" priority="783" operator="equal">
      <formula>"ja"</formula>
    </cfRule>
  </conditionalFormatting>
  <conditionalFormatting sqref="AA49">
    <cfRule type="expression" dxfId="3216" priority="782">
      <formula>AND(AND($W49&lt;TODAY(),$W49&lt;&gt;""),$X49="")</formula>
    </cfRule>
  </conditionalFormatting>
  <conditionalFormatting sqref="AG49">
    <cfRule type="dataBar" priority="781">
      <dataBar>
        <cfvo type="min"/>
        <cfvo type="max"/>
        <color rgb="FF63C384"/>
      </dataBar>
      <extLst>
        <ext xmlns:x14="http://schemas.microsoft.com/office/spreadsheetml/2009/9/main" uri="{B025F937-C7B1-47D3-B67F-A62EFF666E3E}">
          <x14:id>{15F0EB15-D08F-46CA-9AD5-BF3A515B3B61}</x14:id>
        </ext>
      </extLst>
    </cfRule>
  </conditionalFormatting>
  <conditionalFormatting sqref="Q20">
    <cfRule type="cellIs" dxfId="3215" priority="780" operator="equal">
      <formula>"ja"</formula>
    </cfRule>
  </conditionalFormatting>
  <conditionalFormatting sqref="AA50">
    <cfRule type="expression" dxfId="3214" priority="779">
      <formula>AND(AND($W50&lt;TODAY(),$W50&lt;&gt;""),$X50="")</formula>
    </cfRule>
  </conditionalFormatting>
  <conditionalFormatting sqref="Q50">
    <cfRule type="cellIs" dxfId="3213" priority="778" operator="equal">
      <formula>"ja"</formula>
    </cfRule>
  </conditionalFormatting>
  <conditionalFormatting sqref="AG50">
    <cfRule type="dataBar" priority="777">
      <dataBar>
        <cfvo type="min"/>
        <cfvo type="max"/>
        <color rgb="FF63C384"/>
      </dataBar>
      <extLst>
        <ext xmlns:x14="http://schemas.microsoft.com/office/spreadsheetml/2009/9/main" uri="{B025F937-C7B1-47D3-B67F-A62EFF666E3E}">
          <x14:id>{70A8B040-9744-429F-8BC1-4E59419F9477}</x14:id>
        </ext>
      </extLst>
    </cfRule>
  </conditionalFormatting>
  <conditionalFormatting sqref="AG50">
    <cfRule type="dataBar" priority="776">
      <dataBar>
        <cfvo type="min"/>
        <cfvo type="max"/>
        <color rgb="FF63C384"/>
      </dataBar>
      <extLst>
        <ext xmlns:x14="http://schemas.microsoft.com/office/spreadsheetml/2009/9/main" uri="{B025F937-C7B1-47D3-B67F-A62EFF666E3E}">
          <x14:id>{E0812339-E35A-4E8D-AF8F-30D5C1657805}</x14:id>
        </ext>
      </extLst>
    </cfRule>
  </conditionalFormatting>
  <conditionalFormatting sqref="AA51">
    <cfRule type="expression" dxfId="3212" priority="775">
      <formula>AND(AND($W51&lt;TODAY(),$W51&lt;&gt;""),$X51="")</formula>
    </cfRule>
  </conditionalFormatting>
  <conditionalFormatting sqref="AG51">
    <cfRule type="dataBar" priority="774">
      <dataBar>
        <cfvo type="min"/>
        <cfvo type="max"/>
        <color rgb="FF63C384"/>
      </dataBar>
      <extLst>
        <ext xmlns:x14="http://schemas.microsoft.com/office/spreadsheetml/2009/9/main" uri="{B025F937-C7B1-47D3-B67F-A62EFF666E3E}">
          <x14:id>{038F84BA-70D0-426A-BBF8-2C92F07022FD}</x14:id>
        </ext>
      </extLst>
    </cfRule>
  </conditionalFormatting>
  <conditionalFormatting sqref="AG51">
    <cfRule type="dataBar" priority="773">
      <dataBar>
        <cfvo type="min"/>
        <cfvo type="max"/>
        <color rgb="FF63C384"/>
      </dataBar>
      <extLst>
        <ext xmlns:x14="http://schemas.microsoft.com/office/spreadsheetml/2009/9/main" uri="{B025F937-C7B1-47D3-B67F-A62EFF666E3E}">
          <x14:id>{D5C3976C-AD80-4C67-9A51-014D8A4B81C7}</x14:id>
        </ext>
      </extLst>
    </cfRule>
  </conditionalFormatting>
  <conditionalFormatting sqref="AA52">
    <cfRule type="expression" dxfId="3211" priority="772">
      <formula>AND(AND($W52&lt;TODAY(),$W52&lt;&gt;""),$X52="")</formula>
    </cfRule>
  </conditionalFormatting>
  <conditionalFormatting sqref="AG52">
    <cfRule type="dataBar" priority="771">
      <dataBar>
        <cfvo type="min"/>
        <cfvo type="max"/>
        <color rgb="FF63C384"/>
      </dataBar>
      <extLst>
        <ext xmlns:x14="http://schemas.microsoft.com/office/spreadsheetml/2009/9/main" uri="{B025F937-C7B1-47D3-B67F-A62EFF666E3E}">
          <x14:id>{5DA55CA7-5017-4E93-9A61-92F50FA4EC91}</x14:id>
        </ext>
      </extLst>
    </cfRule>
  </conditionalFormatting>
  <conditionalFormatting sqref="AG52">
    <cfRule type="dataBar" priority="770">
      <dataBar>
        <cfvo type="min"/>
        <cfvo type="max"/>
        <color rgb="FF63C384"/>
      </dataBar>
      <extLst>
        <ext xmlns:x14="http://schemas.microsoft.com/office/spreadsheetml/2009/9/main" uri="{B025F937-C7B1-47D3-B67F-A62EFF666E3E}">
          <x14:id>{427DB6EF-32AC-4711-B1F8-BBAD22D66D41}</x14:id>
        </ext>
      </extLst>
    </cfRule>
  </conditionalFormatting>
  <conditionalFormatting sqref="Q52">
    <cfRule type="cellIs" dxfId="3210" priority="769" operator="equal">
      <formula>"ja"</formula>
    </cfRule>
  </conditionalFormatting>
  <conditionalFormatting sqref="AA53">
    <cfRule type="expression" dxfId="3209" priority="768">
      <formula>AND(AND($W53&lt;TODAY(),$W53&lt;&gt;""),$X53="")</formula>
    </cfRule>
  </conditionalFormatting>
  <conditionalFormatting sqref="AG53">
    <cfRule type="dataBar" priority="767">
      <dataBar>
        <cfvo type="min"/>
        <cfvo type="max"/>
        <color rgb="FF63C384"/>
      </dataBar>
      <extLst>
        <ext xmlns:x14="http://schemas.microsoft.com/office/spreadsheetml/2009/9/main" uri="{B025F937-C7B1-47D3-B67F-A62EFF666E3E}">
          <x14:id>{AA968A88-5A90-44A2-B829-4768CD7672A5}</x14:id>
        </ext>
      </extLst>
    </cfRule>
  </conditionalFormatting>
  <conditionalFormatting sqref="AG53">
    <cfRule type="dataBar" priority="766">
      <dataBar>
        <cfvo type="min"/>
        <cfvo type="max"/>
        <color rgb="FF63C384"/>
      </dataBar>
      <extLst>
        <ext xmlns:x14="http://schemas.microsoft.com/office/spreadsheetml/2009/9/main" uri="{B025F937-C7B1-47D3-B67F-A62EFF666E3E}">
          <x14:id>{4B1BA791-C063-4B9A-AE03-874ADB1F9207}</x14:id>
        </ext>
      </extLst>
    </cfRule>
  </conditionalFormatting>
  <conditionalFormatting sqref="Q54">
    <cfRule type="cellIs" dxfId="3208" priority="765" operator="equal">
      <formula>"ja"</formula>
    </cfRule>
  </conditionalFormatting>
  <conditionalFormatting sqref="AA54">
    <cfRule type="expression" dxfId="3207" priority="764">
      <formula>AND(AND($W54&lt;TODAY(),$W54&lt;&gt;""),$X54="")</formula>
    </cfRule>
  </conditionalFormatting>
  <conditionalFormatting sqref="AG54">
    <cfRule type="dataBar" priority="763">
      <dataBar>
        <cfvo type="min"/>
        <cfvo type="max"/>
        <color rgb="FF63C384"/>
      </dataBar>
      <extLst>
        <ext xmlns:x14="http://schemas.microsoft.com/office/spreadsheetml/2009/9/main" uri="{B025F937-C7B1-47D3-B67F-A62EFF666E3E}">
          <x14:id>{1A9C5DC7-44A8-4A38-92B5-FA8B90CCF47E}</x14:id>
        </ext>
      </extLst>
    </cfRule>
  </conditionalFormatting>
  <conditionalFormatting sqref="AG54">
    <cfRule type="dataBar" priority="762">
      <dataBar>
        <cfvo type="min"/>
        <cfvo type="max"/>
        <color rgb="FF63C384"/>
      </dataBar>
      <extLst>
        <ext xmlns:x14="http://schemas.microsoft.com/office/spreadsheetml/2009/9/main" uri="{B025F937-C7B1-47D3-B67F-A62EFF666E3E}">
          <x14:id>{82A43F51-32B8-4F75-A4C5-BD3D7647852D}</x14:id>
        </ext>
      </extLst>
    </cfRule>
  </conditionalFormatting>
  <conditionalFormatting sqref="AA55">
    <cfRule type="expression" dxfId="3206" priority="761">
      <formula>AND(AND($W55&lt;TODAY(),$W55&lt;&gt;""),$X55="")</formula>
    </cfRule>
  </conditionalFormatting>
  <conditionalFormatting sqref="AG55">
    <cfRule type="dataBar" priority="760">
      <dataBar>
        <cfvo type="min"/>
        <cfvo type="max"/>
        <color rgb="FF63C384"/>
      </dataBar>
      <extLst>
        <ext xmlns:x14="http://schemas.microsoft.com/office/spreadsheetml/2009/9/main" uri="{B025F937-C7B1-47D3-B67F-A62EFF666E3E}">
          <x14:id>{F7810A00-8B2C-469B-9596-075AE1E85ECD}</x14:id>
        </ext>
      </extLst>
    </cfRule>
  </conditionalFormatting>
  <conditionalFormatting sqref="AG55">
    <cfRule type="dataBar" priority="759">
      <dataBar>
        <cfvo type="min"/>
        <cfvo type="max"/>
        <color rgb="FF63C384"/>
      </dataBar>
      <extLst>
        <ext xmlns:x14="http://schemas.microsoft.com/office/spreadsheetml/2009/9/main" uri="{B025F937-C7B1-47D3-B67F-A62EFF666E3E}">
          <x14:id>{34054CA9-490E-4700-8F5A-40F9AA0F760A}</x14:id>
        </ext>
      </extLst>
    </cfRule>
  </conditionalFormatting>
  <conditionalFormatting sqref="Q56">
    <cfRule type="cellIs" dxfId="3205" priority="758" operator="equal">
      <formula>"ja"</formula>
    </cfRule>
  </conditionalFormatting>
  <conditionalFormatting sqref="AA56">
    <cfRule type="expression" dxfId="3204" priority="757">
      <formula>AND(AND($W56&lt;TODAY(),$W56&lt;&gt;""),$X56="")</formula>
    </cfRule>
  </conditionalFormatting>
  <conditionalFormatting sqref="AG56">
    <cfRule type="dataBar" priority="756">
      <dataBar>
        <cfvo type="min"/>
        <cfvo type="max"/>
        <color rgb="FF63C384"/>
      </dataBar>
      <extLst>
        <ext xmlns:x14="http://schemas.microsoft.com/office/spreadsheetml/2009/9/main" uri="{B025F937-C7B1-47D3-B67F-A62EFF666E3E}">
          <x14:id>{9AB56B87-F019-45A3-AEDF-058F6B563697}</x14:id>
        </ext>
      </extLst>
    </cfRule>
  </conditionalFormatting>
  <conditionalFormatting sqref="AG56">
    <cfRule type="dataBar" priority="755">
      <dataBar>
        <cfvo type="min"/>
        <cfvo type="max"/>
        <color rgb="FF63C384"/>
      </dataBar>
      <extLst>
        <ext xmlns:x14="http://schemas.microsoft.com/office/spreadsheetml/2009/9/main" uri="{B025F937-C7B1-47D3-B67F-A62EFF666E3E}">
          <x14:id>{643F7D73-4487-4B09-B619-8E4C454FDBAF}</x14:id>
        </ext>
      </extLst>
    </cfRule>
  </conditionalFormatting>
  <conditionalFormatting sqref="AA56">
    <cfRule type="expression" dxfId="3203" priority="754">
      <formula>AND(AND($W56&lt;TODAY(),$W56&lt;&gt;""),$X56="")</formula>
    </cfRule>
  </conditionalFormatting>
  <conditionalFormatting sqref="Q56">
    <cfRule type="cellIs" dxfId="3202" priority="753" operator="equal">
      <formula>"ja"</formula>
    </cfRule>
  </conditionalFormatting>
  <conditionalFormatting sqref="AG56">
    <cfRule type="dataBar" priority="752">
      <dataBar>
        <cfvo type="min"/>
        <cfvo type="max"/>
        <color rgb="FF63C384"/>
      </dataBar>
      <extLst>
        <ext xmlns:x14="http://schemas.microsoft.com/office/spreadsheetml/2009/9/main" uri="{B025F937-C7B1-47D3-B67F-A62EFF666E3E}">
          <x14:id>{0AD4950B-BB55-4375-96DE-1F5CDF872D54}</x14:id>
        </ext>
      </extLst>
    </cfRule>
  </conditionalFormatting>
  <conditionalFormatting sqref="AG56">
    <cfRule type="dataBar" priority="751">
      <dataBar>
        <cfvo type="min"/>
        <cfvo type="max"/>
        <color rgb="FF63C384"/>
      </dataBar>
      <extLst>
        <ext xmlns:x14="http://schemas.microsoft.com/office/spreadsheetml/2009/9/main" uri="{B025F937-C7B1-47D3-B67F-A62EFF666E3E}">
          <x14:id>{48AE5D84-0816-4993-9BBC-D70E93EAD5FE}</x14:id>
        </ext>
      </extLst>
    </cfRule>
  </conditionalFormatting>
  <conditionalFormatting sqref="Q57">
    <cfRule type="cellIs" dxfId="3201" priority="750" operator="equal">
      <formula>"ja"</formula>
    </cfRule>
  </conditionalFormatting>
  <conditionalFormatting sqref="AA57">
    <cfRule type="expression" dxfId="3200" priority="749">
      <formula>AND(AND($W57&lt;TODAY(),$W57&lt;&gt;""),$X57="")</formula>
    </cfRule>
  </conditionalFormatting>
  <conditionalFormatting sqref="AG57">
    <cfRule type="dataBar" priority="748">
      <dataBar>
        <cfvo type="min"/>
        <cfvo type="max"/>
        <color rgb="FF63C384"/>
      </dataBar>
      <extLst>
        <ext xmlns:x14="http://schemas.microsoft.com/office/spreadsheetml/2009/9/main" uri="{B025F937-C7B1-47D3-B67F-A62EFF666E3E}">
          <x14:id>{9701C793-E32B-4756-A20B-4CCE3E3EB7F0}</x14:id>
        </ext>
      </extLst>
    </cfRule>
  </conditionalFormatting>
  <conditionalFormatting sqref="AG57">
    <cfRule type="dataBar" priority="747">
      <dataBar>
        <cfvo type="min"/>
        <cfvo type="max"/>
        <color rgb="FF63C384"/>
      </dataBar>
      <extLst>
        <ext xmlns:x14="http://schemas.microsoft.com/office/spreadsheetml/2009/9/main" uri="{B025F937-C7B1-47D3-B67F-A62EFF666E3E}">
          <x14:id>{A0CDF85A-C32B-4FFC-9953-1B3CB8AC046C}</x14:id>
        </ext>
      </extLst>
    </cfRule>
  </conditionalFormatting>
  <conditionalFormatting sqref="Q58">
    <cfRule type="cellIs" dxfId="3199" priority="746" operator="equal">
      <formula>"ja"</formula>
    </cfRule>
  </conditionalFormatting>
  <conditionalFormatting sqref="Q58">
    <cfRule type="cellIs" dxfId="3198" priority="734" operator="equal">
      <formula>"ja"</formula>
    </cfRule>
  </conditionalFormatting>
  <conditionalFormatting sqref="AA58">
    <cfRule type="expression" dxfId="3197" priority="733">
      <formula>AND(AND($W58&lt;TODAY(),$W58&lt;&gt;""),$X58="")</formula>
    </cfRule>
  </conditionalFormatting>
  <conditionalFormatting sqref="AA58">
    <cfRule type="expression" dxfId="3196" priority="745">
      <formula>AND(AND($W58&lt;TODAY(),$W58&lt;&gt;""),$X58="")</formula>
    </cfRule>
  </conditionalFormatting>
  <conditionalFormatting sqref="AG58">
    <cfRule type="dataBar" priority="744">
      <dataBar>
        <cfvo type="min"/>
        <cfvo type="max"/>
        <color rgb="FF63C384"/>
      </dataBar>
      <extLst>
        <ext xmlns:x14="http://schemas.microsoft.com/office/spreadsheetml/2009/9/main" uri="{B025F937-C7B1-47D3-B67F-A62EFF666E3E}">
          <x14:id>{A9C95767-3C43-4940-B092-2F2875238BD2}</x14:id>
        </ext>
      </extLst>
    </cfRule>
  </conditionalFormatting>
  <conditionalFormatting sqref="AG58">
    <cfRule type="dataBar" priority="743">
      <dataBar>
        <cfvo type="min"/>
        <cfvo type="max"/>
        <color rgb="FF63C384"/>
      </dataBar>
      <extLst>
        <ext xmlns:x14="http://schemas.microsoft.com/office/spreadsheetml/2009/9/main" uri="{B025F937-C7B1-47D3-B67F-A62EFF666E3E}">
          <x14:id>{93F92281-965A-43BC-AC8C-2A20E1C41092}</x14:id>
        </ext>
      </extLst>
    </cfRule>
  </conditionalFormatting>
  <conditionalFormatting sqref="Q58">
    <cfRule type="cellIs" dxfId="3195" priority="742" operator="equal">
      <formula>"ja"</formula>
    </cfRule>
  </conditionalFormatting>
  <conditionalFormatting sqref="AA58">
    <cfRule type="expression" dxfId="3194" priority="741">
      <formula>AND(AND($W58&lt;TODAY(),$W58&lt;&gt;""),$X58="")</formula>
    </cfRule>
  </conditionalFormatting>
  <conditionalFormatting sqref="AG58">
    <cfRule type="dataBar" priority="740">
      <dataBar>
        <cfvo type="min"/>
        <cfvo type="max"/>
        <color rgb="FF63C384"/>
      </dataBar>
      <extLst>
        <ext xmlns:x14="http://schemas.microsoft.com/office/spreadsheetml/2009/9/main" uri="{B025F937-C7B1-47D3-B67F-A62EFF666E3E}">
          <x14:id>{4D4224E7-D172-43F0-8D8F-D1376E07A4BF}</x14:id>
        </ext>
      </extLst>
    </cfRule>
  </conditionalFormatting>
  <conditionalFormatting sqref="AG58">
    <cfRule type="dataBar" priority="739">
      <dataBar>
        <cfvo type="min"/>
        <cfvo type="max"/>
        <color rgb="FF63C384"/>
      </dataBar>
      <extLst>
        <ext xmlns:x14="http://schemas.microsoft.com/office/spreadsheetml/2009/9/main" uri="{B025F937-C7B1-47D3-B67F-A62EFF666E3E}">
          <x14:id>{66E73542-31B7-4A97-B991-D3FB546A62DF}</x14:id>
        </ext>
      </extLst>
    </cfRule>
  </conditionalFormatting>
  <conditionalFormatting sqref="Q58">
    <cfRule type="cellIs" dxfId="3193" priority="738" operator="equal">
      <formula>"ja"</formula>
    </cfRule>
  </conditionalFormatting>
  <conditionalFormatting sqref="AA58">
    <cfRule type="expression" dxfId="3192" priority="737">
      <formula>AND(AND($W58&lt;TODAY(),$W58&lt;&gt;""),$X58="")</formula>
    </cfRule>
  </conditionalFormatting>
  <conditionalFormatting sqref="AG58">
    <cfRule type="dataBar" priority="736">
      <dataBar>
        <cfvo type="min"/>
        <cfvo type="max"/>
        <color rgb="FF63C384"/>
      </dataBar>
      <extLst>
        <ext xmlns:x14="http://schemas.microsoft.com/office/spreadsheetml/2009/9/main" uri="{B025F937-C7B1-47D3-B67F-A62EFF666E3E}">
          <x14:id>{8D86F1F5-042E-4263-B66C-169C5974EF8D}</x14:id>
        </ext>
      </extLst>
    </cfRule>
  </conditionalFormatting>
  <conditionalFormatting sqref="AG58">
    <cfRule type="dataBar" priority="735">
      <dataBar>
        <cfvo type="min"/>
        <cfvo type="max"/>
        <color rgb="FF63C384"/>
      </dataBar>
      <extLst>
        <ext xmlns:x14="http://schemas.microsoft.com/office/spreadsheetml/2009/9/main" uri="{B025F937-C7B1-47D3-B67F-A62EFF666E3E}">
          <x14:id>{4150F6B0-8E1A-42F2-A84E-0B54159995EF}</x14:id>
        </ext>
      </extLst>
    </cfRule>
  </conditionalFormatting>
  <conditionalFormatting sqref="AG58">
    <cfRule type="dataBar" priority="732">
      <dataBar>
        <cfvo type="min"/>
        <cfvo type="max"/>
        <color rgb="FF63C384"/>
      </dataBar>
      <extLst>
        <ext xmlns:x14="http://schemas.microsoft.com/office/spreadsheetml/2009/9/main" uri="{B025F937-C7B1-47D3-B67F-A62EFF666E3E}">
          <x14:id>{C7891B05-D8CD-4714-9EC2-C15256CE79D0}</x14:id>
        </ext>
      </extLst>
    </cfRule>
  </conditionalFormatting>
  <conditionalFormatting sqref="AG58">
    <cfRule type="dataBar" priority="731">
      <dataBar>
        <cfvo type="min"/>
        <cfvo type="max"/>
        <color rgb="FF63C384"/>
      </dataBar>
      <extLst>
        <ext xmlns:x14="http://schemas.microsoft.com/office/spreadsheetml/2009/9/main" uri="{B025F937-C7B1-47D3-B67F-A62EFF666E3E}">
          <x14:id>{97B3E31F-1535-4F9F-A36A-12E1B5604EE6}</x14:id>
        </ext>
      </extLst>
    </cfRule>
  </conditionalFormatting>
  <conditionalFormatting sqref="Q59">
    <cfRule type="cellIs" dxfId="3191" priority="730" operator="equal">
      <formula>"ja"</formula>
    </cfRule>
  </conditionalFormatting>
  <conditionalFormatting sqref="AA59">
    <cfRule type="expression" dxfId="3190" priority="729">
      <formula>AND(AND($W59&lt;TODAY(),$W59&lt;&gt;""),$X59="")</formula>
    </cfRule>
  </conditionalFormatting>
  <conditionalFormatting sqref="AG59">
    <cfRule type="dataBar" priority="728">
      <dataBar>
        <cfvo type="min"/>
        <cfvo type="max"/>
        <color rgb="FF63C384"/>
      </dataBar>
      <extLst>
        <ext xmlns:x14="http://schemas.microsoft.com/office/spreadsheetml/2009/9/main" uri="{B025F937-C7B1-47D3-B67F-A62EFF666E3E}">
          <x14:id>{BDFB12A7-2ADD-4DFB-832D-86DA76741930}</x14:id>
        </ext>
      </extLst>
    </cfRule>
  </conditionalFormatting>
  <conditionalFormatting sqref="AG59">
    <cfRule type="dataBar" priority="727">
      <dataBar>
        <cfvo type="min"/>
        <cfvo type="max"/>
        <color rgb="FF63C384"/>
      </dataBar>
      <extLst>
        <ext xmlns:x14="http://schemas.microsoft.com/office/spreadsheetml/2009/9/main" uri="{B025F937-C7B1-47D3-B67F-A62EFF666E3E}">
          <x14:id>{DFB5828F-6AC7-4482-BE2A-0670A77571D4}</x14:id>
        </ext>
      </extLst>
    </cfRule>
  </conditionalFormatting>
  <conditionalFormatting sqref="Q59">
    <cfRule type="cellIs" dxfId="3189" priority="726" operator="equal">
      <formula>"ja"</formula>
    </cfRule>
  </conditionalFormatting>
  <conditionalFormatting sqref="AA59">
    <cfRule type="expression" dxfId="3188" priority="725">
      <formula>AND(AND($W59&lt;TODAY(),$W59&lt;&gt;""),$X59="")</formula>
    </cfRule>
  </conditionalFormatting>
  <conditionalFormatting sqref="AG59">
    <cfRule type="dataBar" priority="724">
      <dataBar>
        <cfvo type="min"/>
        <cfvo type="max"/>
        <color rgb="FF63C384"/>
      </dataBar>
      <extLst>
        <ext xmlns:x14="http://schemas.microsoft.com/office/spreadsheetml/2009/9/main" uri="{B025F937-C7B1-47D3-B67F-A62EFF666E3E}">
          <x14:id>{3B08FBEE-7139-40E8-AB43-DA2FAC563158}</x14:id>
        </ext>
      </extLst>
    </cfRule>
  </conditionalFormatting>
  <conditionalFormatting sqref="AG59">
    <cfRule type="dataBar" priority="723">
      <dataBar>
        <cfvo type="min"/>
        <cfvo type="max"/>
        <color rgb="FF63C384"/>
      </dataBar>
      <extLst>
        <ext xmlns:x14="http://schemas.microsoft.com/office/spreadsheetml/2009/9/main" uri="{B025F937-C7B1-47D3-B67F-A62EFF666E3E}">
          <x14:id>{C4C9293F-27E4-4B2E-812A-A9E186505894}</x14:id>
        </ext>
      </extLst>
    </cfRule>
  </conditionalFormatting>
  <conditionalFormatting sqref="Q59">
    <cfRule type="cellIs" dxfId="3187" priority="722" operator="equal">
      <formula>"ja"</formula>
    </cfRule>
  </conditionalFormatting>
  <conditionalFormatting sqref="AA59">
    <cfRule type="expression" dxfId="3186" priority="721">
      <formula>AND(AND($W59&lt;TODAY(),$W59&lt;&gt;""),$X59="")</formula>
    </cfRule>
  </conditionalFormatting>
  <conditionalFormatting sqref="AG59">
    <cfRule type="dataBar" priority="720">
      <dataBar>
        <cfvo type="min"/>
        <cfvo type="max"/>
        <color rgb="FF63C384"/>
      </dataBar>
      <extLst>
        <ext xmlns:x14="http://schemas.microsoft.com/office/spreadsheetml/2009/9/main" uri="{B025F937-C7B1-47D3-B67F-A62EFF666E3E}">
          <x14:id>{E297B60A-848C-4EC8-990C-BED4646F620C}</x14:id>
        </ext>
      </extLst>
    </cfRule>
  </conditionalFormatting>
  <conditionalFormatting sqref="AG59">
    <cfRule type="dataBar" priority="719">
      <dataBar>
        <cfvo type="min"/>
        <cfvo type="max"/>
        <color rgb="FF63C384"/>
      </dataBar>
      <extLst>
        <ext xmlns:x14="http://schemas.microsoft.com/office/spreadsheetml/2009/9/main" uri="{B025F937-C7B1-47D3-B67F-A62EFF666E3E}">
          <x14:id>{28A2CB2F-60D0-4CFD-9F2D-E591FF5B1B2B}</x14:id>
        </ext>
      </extLst>
    </cfRule>
  </conditionalFormatting>
  <conditionalFormatting sqref="Q59">
    <cfRule type="cellIs" dxfId="3185" priority="718" operator="equal">
      <formula>"ja"</formula>
    </cfRule>
  </conditionalFormatting>
  <conditionalFormatting sqref="AA59">
    <cfRule type="expression" dxfId="3184" priority="717">
      <formula>AND(AND($W59&lt;TODAY(),$W59&lt;&gt;""),$X59="")</formula>
    </cfRule>
  </conditionalFormatting>
  <conditionalFormatting sqref="AG59">
    <cfRule type="dataBar" priority="716">
      <dataBar>
        <cfvo type="min"/>
        <cfvo type="max"/>
        <color rgb="FF63C384"/>
      </dataBar>
      <extLst>
        <ext xmlns:x14="http://schemas.microsoft.com/office/spreadsheetml/2009/9/main" uri="{B025F937-C7B1-47D3-B67F-A62EFF666E3E}">
          <x14:id>{0EC447F3-D7D6-48F9-9C9F-DF400AADDE9E}</x14:id>
        </ext>
      </extLst>
    </cfRule>
  </conditionalFormatting>
  <conditionalFormatting sqref="AG59">
    <cfRule type="dataBar" priority="715">
      <dataBar>
        <cfvo type="min"/>
        <cfvo type="max"/>
        <color rgb="FF63C384"/>
      </dataBar>
      <extLst>
        <ext xmlns:x14="http://schemas.microsoft.com/office/spreadsheetml/2009/9/main" uri="{B025F937-C7B1-47D3-B67F-A62EFF666E3E}">
          <x14:id>{395B861C-EBAC-42AD-90CF-FDD400FDC841}</x14:id>
        </ext>
      </extLst>
    </cfRule>
  </conditionalFormatting>
  <conditionalFormatting sqref="Q60">
    <cfRule type="cellIs" dxfId="3183" priority="714" operator="equal">
      <formula>"ja"</formula>
    </cfRule>
  </conditionalFormatting>
  <conditionalFormatting sqref="AA60">
    <cfRule type="expression" dxfId="3182" priority="713">
      <formula>AND(AND($W60&lt;TODAY(),$W60&lt;&gt;""),$X60="")</formula>
    </cfRule>
  </conditionalFormatting>
  <conditionalFormatting sqref="AG60">
    <cfRule type="dataBar" priority="712">
      <dataBar>
        <cfvo type="min"/>
        <cfvo type="max"/>
        <color rgb="FF63C384"/>
      </dataBar>
      <extLst>
        <ext xmlns:x14="http://schemas.microsoft.com/office/spreadsheetml/2009/9/main" uri="{B025F937-C7B1-47D3-B67F-A62EFF666E3E}">
          <x14:id>{FF3B16D3-AFF9-4CA3-94ED-1FC6B7C95425}</x14:id>
        </ext>
      </extLst>
    </cfRule>
  </conditionalFormatting>
  <conditionalFormatting sqref="Q60">
    <cfRule type="cellIs" dxfId="3181" priority="711" operator="equal">
      <formula>"ja"</formula>
    </cfRule>
  </conditionalFormatting>
  <conditionalFormatting sqref="AA60">
    <cfRule type="expression" dxfId="3180" priority="710">
      <formula>AND(AND($W60&lt;TODAY(),$W60&lt;&gt;""),$X60="")</formula>
    </cfRule>
  </conditionalFormatting>
  <conditionalFormatting sqref="AG60">
    <cfRule type="dataBar" priority="709">
      <dataBar>
        <cfvo type="min"/>
        <cfvo type="max"/>
        <color rgb="FF63C384"/>
      </dataBar>
      <extLst>
        <ext xmlns:x14="http://schemas.microsoft.com/office/spreadsheetml/2009/9/main" uri="{B025F937-C7B1-47D3-B67F-A62EFF666E3E}">
          <x14:id>{8CAE485F-BCFB-4146-9292-4F3D807A8B9C}</x14:id>
        </ext>
      </extLst>
    </cfRule>
  </conditionalFormatting>
  <conditionalFormatting sqref="AG60">
    <cfRule type="dataBar" priority="708">
      <dataBar>
        <cfvo type="min"/>
        <cfvo type="max"/>
        <color rgb="FF63C384"/>
      </dataBar>
      <extLst>
        <ext xmlns:x14="http://schemas.microsoft.com/office/spreadsheetml/2009/9/main" uri="{B025F937-C7B1-47D3-B67F-A62EFF666E3E}">
          <x14:id>{D742E38A-9AA5-4F8E-BB9D-9C92C73D7ECC}</x14:id>
        </ext>
      </extLst>
    </cfRule>
  </conditionalFormatting>
  <conditionalFormatting sqref="AA61">
    <cfRule type="expression" dxfId="3179" priority="707">
      <formula>AND(AND($W61&lt;TODAY(),$W61&lt;&gt;""),$X61="")</formula>
    </cfRule>
  </conditionalFormatting>
  <conditionalFormatting sqref="AG61">
    <cfRule type="dataBar" priority="706">
      <dataBar>
        <cfvo type="min"/>
        <cfvo type="max"/>
        <color rgb="FF63C384"/>
      </dataBar>
      <extLst>
        <ext xmlns:x14="http://schemas.microsoft.com/office/spreadsheetml/2009/9/main" uri="{B025F937-C7B1-47D3-B67F-A62EFF666E3E}">
          <x14:id>{72FBB596-293E-44A1-AFE6-FA57DE958A1C}</x14:id>
        </ext>
      </extLst>
    </cfRule>
  </conditionalFormatting>
  <conditionalFormatting sqref="AA61">
    <cfRule type="expression" dxfId="3178" priority="705">
      <formula>AND(AND($W61&lt;TODAY(),$W61&lt;&gt;""),$X61="")</formula>
    </cfRule>
  </conditionalFormatting>
  <conditionalFormatting sqref="AG61">
    <cfRule type="dataBar" priority="704">
      <dataBar>
        <cfvo type="min"/>
        <cfvo type="max"/>
        <color rgb="FF63C384"/>
      </dataBar>
      <extLst>
        <ext xmlns:x14="http://schemas.microsoft.com/office/spreadsheetml/2009/9/main" uri="{B025F937-C7B1-47D3-B67F-A62EFF666E3E}">
          <x14:id>{EC0B801F-209B-4F6A-B641-30CBBEB0C04B}</x14:id>
        </ext>
      </extLst>
    </cfRule>
  </conditionalFormatting>
  <conditionalFormatting sqref="AG61">
    <cfRule type="dataBar" priority="703">
      <dataBar>
        <cfvo type="min"/>
        <cfvo type="max"/>
        <color rgb="FF63C384"/>
      </dataBar>
      <extLst>
        <ext xmlns:x14="http://schemas.microsoft.com/office/spreadsheetml/2009/9/main" uri="{B025F937-C7B1-47D3-B67F-A62EFF666E3E}">
          <x14:id>{7B22465A-D05D-4367-9B92-CD431DDCC264}</x14:id>
        </ext>
      </extLst>
    </cfRule>
  </conditionalFormatting>
  <conditionalFormatting sqref="AA62">
    <cfRule type="expression" dxfId="3177" priority="702">
      <formula>AND(AND($W62&lt;TODAY(),$W62&lt;&gt;""),$X62="")</formula>
    </cfRule>
  </conditionalFormatting>
  <conditionalFormatting sqref="AG62">
    <cfRule type="dataBar" priority="701">
      <dataBar>
        <cfvo type="min"/>
        <cfvo type="max"/>
        <color rgb="FF63C384"/>
      </dataBar>
      <extLst>
        <ext xmlns:x14="http://schemas.microsoft.com/office/spreadsheetml/2009/9/main" uri="{B025F937-C7B1-47D3-B67F-A62EFF666E3E}">
          <x14:id>{A60026E1-2B88-4DD2-A509-60B067F45225}</x14:id>
        </ext>
      </extLst>
    </cfRule>
  </conditionalFormatting>
  <conditionalFormatting sqref="AG62">
    <cfRule type="dataBar" priority="700">
      <dataBar>
        <cfvo type="min"/>
        <cfvo type="max"/>
        <color rgb="FF63C384"/>
      </dataBar>
      <extLst>
        <ext xmlns:x14="http://schemas.microsoft.com/office/spreadsheetml/2009/9/main" uri="{B025F937-C7B1-47D3-B67F-A62EFF666E3E}">
          <x14:id>{875CF0F9-7945-4DA3-9A52-53A76A331F15}</x14:id>
        </ext>
      </extLst>
    </cfRule>
  </conditionalFormatting>
  <conditionalFormatting sqref="Q63">
    <cfRule type="cellIs" dxfId="3176" priority="699" operator="equal">
      <formula>"ja"</formula>
    </cfRule>
  </conditionalFormatting>
  <conditionalFormatting sqref="AA63">
    <cfRule type="expression" dxfId="3175" priority="698">
      <formula>AND(AND($W63&lt;TODAY(),$W63&lt;&gt;""),$X63="")</formula>
    </cfRule>
  </conditionalFormatting>
  <conditionalFormatting sqref="AG63">
    <cfRule type="dataBar" priority="697">
      <dataBar>
        <cfvo type="min"/>
        <cfvo type="max"/>
        <color rgb="FF63C384"/>
      </dataBar>
      <extLst>
        <ext xmlns:x14="http://schemas.microsoft.com/office/spreadsheetml/2009/9/main" uri="{B025F937-C7B1-47D3-B67F-A62EFF666E3E}">
          <x14:id>{9359E25F-9C45-4069-91EF-8E8E909EB1F9}</x14:id>
        </ext>
      </extLst>
    </cfRule>
  </conditionalFormatting>
  <conditionalFormatting sqref="AG63">
    <cfRule type="dataBar" priority="696">
      <dataBar>
        <cfvo type="min"/>
        <cfvo type="max"/>
        <color rgb="FF63C384"/>
      </dataBar>
      <extLst>
        <ext xmlns:x14="http://schemas.microsoft.com/office/spreadsheetml/2009/9/main" uri="{B025F937-C7B1-47D3-B67F-A62EFF666E3E}">
          <x14:id>{1D6E0451-39B0-47E3-B562-2A94505E721D}</x14:id>
        </ext>
      </extLst>
    </cfRule>
  </conditionalFormatting>
  <conditionalFormatting sqref="Q64">
    <cfRule type="cellIs" dxfId="3174" priority="695" operator="equal">
      <formula>"ja"</formula>
    </cfRule>
  </conditionalFormatting>
  <conditionalFormatting sqref="AA64">
    <cfRule type="expression" dxfId="3173" priority="694">
      <formula>AND(AND($W64&lt;TODAY(),$W64&lt;&gt;""),$X64="")</formula>
    </cfRule>
  </conditionalFormatting>
  <conditionalFormatting sqref="AG64">
    <cfRule type="dataBar" priority="693">
      <dataBar>
        <cfvo type="min"/>
        <cfvo type="max"/>
        <color rgb="FF63C384"/>
      </dataBar>
      <extLst>
        <ext xmlns:x14="http://schemas.microsoft.com/office/spreadsheetml/2009/9/main" uri="{B025F937-C7B1-47D3-B67F-A62EFF666E3E}">
          <x14:id>{F1144899-BB22-446A-9FBA-6B4F58A42F22}</x14:id>
        </ext>
      </extLst>
    </cfRule>
  </conditionalFormatting>
  <conditionalFormatting sqref="AG64">
    <cfRule type="dataBar" priority="692">
      <dataBar>
        <cfvo type="min"/>
        <cfvo type="max"/>
        <color rgb="FF63C384"/>
      </dataBar>
      <extLst>
        <ext xmlns:x14="http://schemas.microsoft.com/office/spreadsheetml/2009/9/main" uri="{B025F937-C7B1-47D3-B67F-A62EFF666E3E}">
          <x14:id>{BF71E162-5602-4A66-9EE9-5956DE385B39}</x14:id>
        </ext>
      </extLst>
    </cfRule>
  </conditionalFormatting>
  <conditionalFormatting sqref="AA46">
    <cfRule type="expression" dxfId="3172" priority="691">
      <formula>AND(AND($W46&lt;TODAY(),$W46&lt;&gt;""),$X46="")</formula>
    </cfRule>
  </conditionalFormatting>
  <conditionalFormatting sqref="AG46">
    <cfRule type="dataBar" priority="690">
      <dataBar>
        <cfvo type="min"/>
        <cfvo type="max"/>
        <color rgb="FF63C384"/>
      </dataBar>
      <extLst>
        <ext xmlns:x14="http://schemas.microsoft.com/office/spreadsheetml/2009/9/main" uri="{B025F937-C7B1-47D3-B67F-A62EFF666E3E}">
          <x14:id>{72B98565-6533-47A3-A774-AA417109FE85}</x14:id>
        </ext>
      </extLst>
    </cfRule>
  </conditionalFormatting>
  <conditionalFormatting sqref="AG46">
    <cfRule type="dataBar" priority="689">
      <dataBar>
        <cfvo type="min"/>
        <cfvo type="max"/>
        <color rgb="FF63C384"/>
      </dataBar>
      <extLst>
        <ext xmlns:x14="http://schemas.microsoft.com/office/spreadsheetml/2009/9/main" uri="{B025F937-C7B1-47D3-B67F-A62EFF666E3E}">
          <x14:id>{4A026AD8-57A7-4A01-B786-970789777683}</x14:id>
        </ext>
      </extLst>
    </cfRule>
  </conditionalFormatting>
  <conditionalFormatting sqref="AA31">
    <cfRule type="expression" dxfId="3171" priority="688">
      <formula>AND(AND($W31&lt;TODAY(),$W31&lt;&gt;""),$X31="")</formula>
    </cfRule>
  </conditionalFormatting>
  <conditionalFormatting sqref="AG31">
    <cfRule type="dataBar" priority="687">
      <dataBar>
        <cfvo type="min"/>
        <cfvo type="max"/>
        <color rgb="FF63C384"/>
      </dataBar>
      <extLst>
        <ext xmlns:x14="http://schemas.microsoft.com/office/spreadsheetml/2009/9/main" uri="{B025F937-C7B1-47D3-B67F-A62EFF666E3E}">
          <x14:id>{97E1E77C-0080-4E4A-BECB-71CDBAFA9B7C}</x14:id>
        </ext>
      </extLst>
    </cfRule>
  </conditionalFormatting>
  <conditionalFormatting sqref="AG31">
    <cfRule type="dataBar" priority="686">
      <dataBar>
        <cfvo type="min"/>
        <cfvo type="max"/>
        <color rgb="FF63C384"/>
      </dataBar>
      <extLst>
        <ext xmlns:x14="http://schemas.microsoft.com/office/spreadsheetml/2009/9/main" uri="{B025F937-C7B1-47D3-B67F-A62EFF666E3E}">
          <x14:id>{A3F8D9AD-0332-412C-8D3A-80CD929F4D16}</x14:id>
        </ext>
      </extLst>
    </cfRule>
  </conditionalFormatting>
  <conditionalFormatting sqref="AA65">
    <cfRule type="expression" dxfId="3170" priority="685">
      <formula>AND(AND($W65&lt;TODAY(),$W65&lt;&gt;""),$X65="")</formula>
    </cfRule>
  </conditionalFormatting>
  <conditionalFormatting sqref="Q65">
    <cfRule type="cellIs" dxfId="3169" priority="684" operator="equal">
      <formula>"ja"</formula>
    </cfRule>
  </conditionalFormatting>
  <conditionalFormatting sqref="AG65">
    <cfRule type="dataBar" priority="683">
      <dataBar>
        <cfvo type="min"/>
        <cfvo type="max"/>
        <color rgb="FF63C384"/>
      </dataBar>
      <extLst>
        <ext xmlns:x14="http://schemas.microsoft.com/office/spreadsheetml/2009/9/main" uri="{B025F937-C7B1-47D3-B67F-A62EFF666E3E}">
          <x14:id>{36B8D1F8-9759-478C-8956-2666A7DAB9A1}</x14:id>
        </ext>
      </extLst>
    </cfRule>
  </conditionalFormatting>
  <conditionalFormatting sqref="AG65">
    <cfRule type="dataBar" priority="682">
      <dataBar>
        <cfvo type="min"/>
        <cfvo type="max"/>
        <color rgb="FF63C384"/>
      </dataBar>
      <extLst>
        <ext xmlns:x14="http://schemas.microsoft.com/office/spreadsheetml/2009/9/main" uri="{B025F937-C7B1-47D3-B67F-A62EFF666E3E}">
          <x14:id>{BBA73EBD-21D5-4FDC-B28C-2B298FF40EF6}</x14:id>
        </ext>
      </extLst>
    </cfRule>
  </conditionalFormatting>
  <conditionalFormatting sqref="AA66">
    <cfRule type="expression" dxfId="3168" priority="681">
      <formula>AND(AND($W66&lt;TODAY(),$W66&lt;&gt;""),$X66="")</formula>
    </cfRule>
  </conditionalFormatting>
  <conditionalFormatting sqref="AG66">
    <cfRule type="dataBar" priority="680">
      <dataBar>
        <cfvo type="min"/>
        <cfvo type="max"/>
        <color rgb="FF63C384"/>
      </dataBar>
      <extLst>
        <ext xmlns:x14="http://schemas.microsoft.com/office/spreadsheetml/2009/9/main" uri="{B025F937-C7B1-47D3-B67F-A62EFF666E3E}">
          <x14:id>{8458E2B5-D280-41B8-A391-6E8C8CCB8B1C}</x14:id>
        </ext>
      </extLst>
    </cfRule>
  </conditionalFormatting>
  <conditionalFormatting sqref="AG66">
    <cfRule type="dataBar" priority="679">
      <dataBar>
        <cfvo type="min"/>
        <cfvo type="max"/>
        <color rgb="FF63C384"/>
      </dataBar>
      <extLst>
        <ext xmlns:x14="http://schemas.microsoft.com/office/spreadsheetml/2009/9/main" uri="{B025F937-C7B1-47D3-B67F-A62EFF666E3E}">
          <x14:id>{A5301650-B9D6-4434-BD64-DB34670BC61D}</x14:id>
        </ext>
      </extLst>
    </cfRule>
  </conditionalFormatting>
  <conditionalFormatting sqref="AA67">
    <cfRule type="expression" dxfId="3167" priority="678">
      <formula>AND(AND($W67&lt;TODAY(),$W67&lt;&gt;""),$X67="")</formula>
    </cfRule>
  </conditionalFormatting>
  <conditionalFormatting sqref="AG67">
    <cfRule type="dataBar" priority="677">
      <dataBar>
        <cfvo type="min"/>
        <cfvo type="max"/>
        <color rgb="FF63C384"/>
      </dataBar>
      <extLst>
        <ext xmlns:x14="http://schemas.microsoft.com/office/spreadsheetml/2009/9/main" uri="{B025F937-C7B1-47D3-B67F-A62EFF666E3E}">
          <x14:id>{71504A18-1C3B-4621-8721-3833DF70DB95}</x14:id>
        </ext>
      </extLst>
    </cfRule>
  </conditionalFormatting>
  <conditionalFormatting sqref="AG67">
    <cfRule type="dataBar" priority="676">
      <dataBar>
        <cfvo type="min"/>
        <cfvo type="max"/>
        <color rgb="FF63C384"/>
      </dataBar>
      <extLst>
        <ext xmlns:x14="http://schemas.microsoft.com/office/spreadsheetml/2009/9/main" uri="{B025F937-C7B1-47D3-B67F-A62EFF666E3E}">
          <x14:id>{23396F49-5CA4-42B9-8CEA-7CB7E5DC17EA}</x14:id>
        </ext>
      </extLst>
    </cfRule>
  </conditionalFormatting>
  <conditionalFormatting sqref="Q67">
    <cfRule type="cellIs" dxfId="3166" priority="675" operator="equal">
      <formula>"ja"</formula>
    </cfRule>
  </conditionalFormatting>
  <conditionalFormatting sqref="AA68">
    <cfRule type="expression" dxfId="3165" priority="674">
      <formula>AND(AND($W68&lt;TODAY(),$W68&lt;&gt;""),$X68="")</formula>
    </cfRule>
  </conditionalFormatting>
  <conditionalFormatting sqref="AG68">
    <cfRule type="dataBar" priority="673">
      <dataBar>
        <cfvo type="min"/>
        <cfvo type="max"/>
        <color rgb="FF63C384"/>
      </dataBar>
      <extLst>
        <ext xmlns:x14="http://schemas.microsoft.com/office/spreadsheetml/2009/9/main" uri="{B025F937-C7B1-47D3-B67F-A62EFF666E3E}">
          <x14:id>{E0F96E9B-83DF-4A07-9DB1-2C92EF84B9C6}</x14:id>
        </ext>
      </extLst>
    </cfRule>
  </conditionalFormatting>
  <conditionalFormatting sqref="AG68">
    <cfRule type="dataBar" priority="672">
      <dataBar>
        <cfvo type="min"/>
        <cfvo type="max"/>
        <color rgb="FF63C384"/>
      </dataBar>
      <extLst>
        <ext xmlns:x14="http://schemas.microsoft.com/office/spreadsheetml/2009/9/main" uri="{B025F937-C7B1-47D3-B67F-A62EFF666E3E}">
          <x14:id>{2DACA120-6EC7-4ECC-A3EC-CB24464448A4}</x14:id>
        </ext>
      </extLst>
    </cfRule>
  </conditionalFormatting>
  <conditionalFormatting sqref="Q69">
    <cfRule type="cellIs" dxfId="3164" priority="671" operator="equal">
      <formula>"ja"</formula>
    </cfRule>
  </conditionalFormatting>
  <conditionalFormatting sqref="AA69">
    <cfRule type="expression" dxfId="3163" priority="670">
      <formula>AND(AND($W69&lt;TODAY(),$W69&lt;&gt;""),$X69="")</formula>
    </cfRule>
  </conditionalFormatting>
  <conditionalFormatting sqref="AG69">
    <cfRule type="dataBar" priority="669">
      <dataBar>
        <cfvo type="min"/>
        <cfvo type="max"/>
        <color rgb="FF63C384"/>
      </dataBar>
      <extLst>
        <ext xmlns:x14="http://schemas.microsoft.com/office/spreadsheetml/2009/9/main" uri="{B025F937-C7B1-47D3-B67F-A62EFF666E3E}">
          <x14:id>{6CE12AC6-634C-4C8A-9B64-E6D004876E58}</x14:id>
        </ext>
      </extLst>
    </cfRule>
  </conditionalFormatting>
  <conditionalFormatting sqref="AA70">
    <cfRule type="expression" dxfId="3162" priority="668">
      <formula>AND(AND($W70&lt;TODAY(),$W70&lt;&gt;""),$X70="")</formula>
    </cfRule>
  </conditionalFormatting>
  <conditionalFormatting sqref="AG70">
    <cfRule type="dataBar" priority="667">
      <dataBar>
        <cfvo type="min"/>
        <cfvo type="max"/>
        <color rgb="FF63C384"/>
      </dataBar>
      <extLst>
        <ext xmlns:x14="http://schemas.microsoft.com/office/spreadsheetml/2009/9/main" uri="{B025F937-C7B1-47D3-B67F-A62EFF666E3E}">
          <x14:id>{74C8AB19-8DBD-42A9-9A40-E393048C8283}</x14:id>
        </ext>
      </extLst>
    </cfRule>
  </conditionalFormatting>
  <conditionalFormatting sqref="Q71">
    <cfRule type="cellIs" dxfId="3161" priority="666" operator="equal">
      <formula>"ja"</formula>
    </cfRule>
  </conditionalFormatting>
  <conditionalFormatting sqref="AA71">
    <cfRule type="expression" dxfId="3160" priority="665">
      <formula>AND(AND($W71&lt;TODAY(),$W71&lt;&gt;""),$X71="")</formula>
    </cfRule>
  </conditionalFormatting>
  <conditionalFormatting sqref="AG71">
    <cfRule type="dataBar" priority="664">
      <dataBar>
        <cfvo type="min"/>
        <cfvo type="max"/>
        <color rgb="FF63C384"/>
      </dataBar>
      <extLst>
        <ext xmlns:x14="http://schemas.microsoft.com/office/spreadsheetml/2009/9/main" uri="{B025F937-C7B1-47D3-B67F-A62EFF666E3E}">
          <x14:id>{136F4F26-0EE2-42B5-BEE7-C254EB7E17C9}</x14:id>
        </ext>
      </extLst>
    </cfRule>
  </conditionalFormatting>
  <conditionalFormatting sqref="AG71">
    <cfRule type="dataBar" priority="663">
      <dataBar>
        <cfvo type="min"/>
        <cfvo type="max"/>
        <color rgb="FF63C384"/>
      </dataBar>
      <extLst>
        <ext xmlns:x14="http://schemas.microsoft.com/office/spreadsheetml/2009/9/main" uri="{B025F937-C7B1-47D3-B67F-A62EFF666E3E}">
          <x14:id>{85A9C6CA-474B-4712-8D00-02B1CFC8EA52}</x14:id>
        </ext>
      </extLst>
    </cfRule>
  </conditionalFormatting>
  <conditionalFormatting sqref="AA71">
    <cfRule type="expression" dxfId="3159" priority="662">
      <formula>AND(AND($W71&lt;TODAY(),$W71&lt;&gt;""),$X71="")</formula>
    </cfRule>
  </conditionalFormatting>
  <conditionalFormatting sqref="Q71">
    <cfRule type="cellIs" dxfId="3158" priority="661" operator="equal">
      <formula>"ja"</formula>
    </cfRule>
  </conditionalFormatting>
  <conditionalFormatting sqref="AG71">
    <cfRule type="dataBar" priority="660">
      <dataBar>
        <cfvo type="min"/>
        <cfvo type="max"/>
        <color rgb="FF63C384"/>
      </dataBar>
      <extLst>
        <ext xmlns:x14="http://schemas.microsoft.com/office/spreadsheetml/2009/9/main" uri="{B025F937-C7B1-47D3-B67F-A62EFF666E3E}">
          <x14:id>{AD86BD93-ED0F-4F66-A676-B694AE5CB9A6}</x14:id>
        </ext>
      </extLst>
    </cfRule>
  </conditionalFormatting>
  <conditionalFormatting sqref="AG71">
    <cfRule type="dataBar" priority="659">
      <dataBar>
        <cfvo type="min"/>
        <cfvo type="max"/>
        <color rgb="FF63C384"/>
      </dataBar>
      <extLst>
        <ext xmlns:x14="http://schemas.microsoft.com/office/spreadsheetml/2009/9/main" uri="{B025F937-C7B1-47D3-B67F-A62EFF666E3E}">
          <x14:id>{9F69CC96-7965-4DCC-914B-B3683946E769}</x14:id>
        </ext>
      </extLst>
    </cfRule>
  </conditionalFormatting>
  <conditionalFormatting sqref="AA72">
    <cfRule type="expression" dxfId="3157" priority="658">
      <formula>AND(AND($W72&lt;TODAY(),$W72&lt;&gt;""),$X72="")</formula>
    </cfRule>
  </conditionalFormatting>
  <conditionalFormatting sqref="AG72">
    <cfRule type="dataBar" priority="657">
      <dataBar>
        <cfvo type="min"/>
        <cfvo type="max"/>
        <color rgb="FF63C384"/>
      </dataBar>
      <extLst>
        <ext xmlns:x14="http://schemas.microsoft.com/office/spreadsheetml/2009/9/main" uri="{B025F937-C7B1-47D3-B67F-A62EFF666E3E}">
          <x14:id>{CA7DED38-95D0-497B-8D3B-5F9E1D561510}</x14:id>
        </ext>
      </extLst>
    </cfRule>
  </conditionalFormatting>
  <conditionalFormatting sqref="AG72">
    <cfRule type="dataBar" priority="656">
      <dataBar>
        <cfvo type="min"/>
        <cfvo type="max"/>
        <color rgb="FF63C384"/>
      </dataBar>
      <extLst>
        <ext xmlns:x14="http://schemas.microsoft.com/office/spreadsheetml/2009/9/main" uri="{B025F937-C7B1-47D3-B67F-A62EFF666E3E}">
          <x14:id>{4AA18050-413A-4A3B-B915-BD7524F6B747}</x14:id>
        </ext>
      </extLst>
    </cfRule>
  </conditionalFormatting>
  <conditionalFormatting sqref="Q72">
    <cfRule type="cellIs" dxfId="3156" priority="655" operator="equal">
      <formula>"ja"</formula>
    </cfRule>
  </conditionalFormatting>
  <conditionalFormatting sqref="Q73">
    <cfRule type="cellIs" dxfId="3155" priority="654" operator="equal">
      <formula>"ja"</formula>
    </cfRule>
  </conditionalFormatting>
  <conditionalFormatting sqref="AA73">
    <cfRule type="expression" dxfId="3154" priority="653">
      <formula>AND(AND($W73&lt;TODAY(),$W73&lt;&gt;""),$X73="")</formula>
    </cfRule>
  </conditionalFormatting>
  <conditionalFormatting sqref="AG73">
    <cfRule type="dataBar" priority="652">
      <dataBar>
        <cfvo type="min"/>
        <cfvo type="max"/>
        <color rgb="FF63C384"/>
      </dataBar>
      <extLst>
        <ext xmlns:x14="http://schemas.microsoft.com/office/spreadsheetml/2009/9/main" uri="{B025F937-C7B1-47D3-B67F-A62EFF666E3E}">
          <x14:id>{BB73256B-C41D-472E-BAB2-D0D341A1EBD9}</x14:id>
        </ext>
      </extLst>
    </cfRule>
  </conditionalFormatting>
  <conditionalFormatting sqref="AG73">
    <cfRule type="dataBar" priority="651">
      <dataBar>
        <cfvo type="min"/>
        <cfvo type="max"/>
        <color rgb="FF63C384"/>
      </dataBar>
      <extLst>
        <ext xmlns:x14="http://schemas.microsoft.com/office/spreadsheetml/2009/9/main" uri="{B025F937-C7B1-47D3-B67F-A62EFF666E3E}">
          <x14:id>{C7B67C53-C4D9-44D4-B763-E8EB46C1501A}</x14:id>
        </ext>
      </extLst>
    </cfRule>
  </conditionalFormatting>
  <conditionalFormatting sqref="Q74">
    <cfRule type="cellIs" dxfId="3153" priority="650" operator="equal">
      <formula>"ja"</formula>
    </cfRule>
  </conditionalFormatting>
  <conditionalFormatting sqref="Q74">
    <cfRule type="cellIs" dxfId="3152" priority="638" operator="equal">
      <formula>"ja"</formula>
    </cfRule>
  </conditionalFormatting>
  <conditionalFormatting sqref="AA74">
    <cfRule type="expression" dxfId="3151" priority="637">
      <formula>AND(AND($W74&lt;TODAY(),$W74&lt;&gt;""),$X74="")</formula>
    </cfRule>
  </conditionalFormatting>
  <conditionalFormatting sqref="AA74">
    <cfRule type="expression" dxfId="3150" priority="649">
      <formula>AND(AND($W74&lt;TODAY(),$W74&lt;&gt;""),$X74="")</formula>
    </cfRule>
  </conditionalFormatting>
  <conditionalFormatting sqref="AG74">
    <cfRule type="dataBar" priority="648">
      <dataBar>
        <cfvo type="min"/>
        <cfvo type="max"/>
        <color rgb="FF63C384"/>
      </dataBar>
      <extLst>
        <ext xmlns:x14="http://schemas.microsoft.com/office/spreadsheetml/2009/9/main" uri="{B025F937-C7B1-47D3-B67F-A62EFF666E3E}">
          <x14:id>{C1D641C1-4957-4995-BBA6-1D472E180110}</x14:id>
        </ext>
      </extLst>
    </cfRule>
  </conditionalFormatting>
  <conditionalFormatting sqref="AG74">
    <cfRule type="dataBar" priority="647">
      <dataBar>
        <cfvo type="min"/>
        <cfvo type="max"/>
        <color rgb="FF63C384"/>
      </dataBar>
      <extLst>
        <ext xmlns:x14="http://schemas.microsoft.com/office/spreadsheetml/2009/9/main" uri="{B025F937-C7B1-47D3-B67F-A62EFF666E3E}">
          <x14:id>{94E2BE13-D3C5-4335-B2C4-1A801E5044D4}</x14:id>
        </ext>
      </extLst>
    </cfRule>
  </conditionalFormatting>
  <conditionalFormatting sqref="Q74">
    <cfRule type="cellIs" dxfId="3149" priority="646" operator="equal">
      <formula>"ja"</formula>
    </cfRule>
  </conditionalFormatting>
  <conditionalFormatting sqref="AA74">
    <cfRule type="expression" dxfId="3148" priority="645">
      <formula>AND(AND($W74&lt;TODAY(),$W74&lt;&gt;""),$X74="")</formula>
    </cfRule>
  </conditionalFormatting>
  <conditionalFormatting sqref="AG74">
    <cfRule type="dataBar" priority="644">
      <dataBar>
        <cfvo type="min"/>
        <cfvo type="max"/>
        <color rgb="FF63C384"/>
      </dataBar>
      <extLst>
        <ext xmlns:x14="http://schemas.microsoft.com/office/spreadsheetml/2009/9/main" uri="{B025F937-C7B1-47D3-B67F-A62EFF666E3E}">
          <x14:id>{0AB11A94-9907-49FD-9361-4061DE1A07E5}</x14:id>
        </ext>
      </extLst>
    </cfRule>
  </conditionalFormatting>
  <conditionalFormatting sqref="AG74">
    <cfRule type="dataBar" priority="643">
      <dataBar>
        <cfvo type="min"/>
        <cfvo type="max"/>
        <color rgb="FF63C384"/>
      </dataBar>
      <extLst>
        <ext xmlns:x14="http://schemas.microsoft.com/office/spreadsheetml/2009/9/main" uri="{B025F937-C7B1-47D3-B67F-A62EFF666E3E}">
          <x14:id>{3423CCDA-459C-42DB-96A1-121991C24BF0}</x14:id>
        </ext>
      </extLst>
    </cfRule>
  </conditionalFormatting>
  <conditionalFormatting sqref="Q74">
    <cfRule type="cellIs" dxfId="3147" priority="642" operator="equal">
      <formula>"ja"</formula>
    </cfRule>
  </conditionalFormatting>
  <conditionalFormatting sqref="AA74">
    <cfRule type="expression" dxfId="3146" priority="641">
      <formula>AND(AND($W74&lt;TODAY(),$W74&lt;&gt;""),$X74="")</formula>
    </cfRule>
  </conditionalFormatting>
  <conditionalFormatting sqref="AG74">
    <cfRule type="dataBar" priority="640">
      <dataBar>
        <cfvo type="min"/>
        <cfvo type="max"/>
        <color rgb="FF63C384"/>
      </dataBar>
      <extLst>
        <ext xmlns:x14="http://schemas.microsoft.com/office/spreadsheetml/2009/9/main" uri="{B025F937-C7B1-47D3-B67F-A62EFF666E3E}">
          <x14:id>{E86EBDAE-31DD-4313-8292-AF517389AAB9}</x14:id>
        </ext>
      </extLst>
    </cfRule>
  </conditionalFormatting>
  <conditionalFormatting sqref="AG74">
    <cfRule type="dataBar" priority="639">
      <dataBar>
        <cfvo type="min"/>
        <cfvo type="max"/>
        <color rgb="FF63C384"/>
      </dataBar>
      <extLst>
        <ext xmlns:x14="http://schemas.microsoft.com/office/spreadsheetml/2009/9/main" uri="{B025F937-C7B1-47D3-B67F-A62EFF666E3E}">
          <x14:id>{1565C585-2372-4B99-9D75-8A55A54C7902}</x14:id>
        </ext>
      </extLst>
    </cfRule>
  </conditionalFormatting>
  <conditionalFormatting sqref="AG74">
    <cfRule type="dataBar" priority="636">
      <dataBar>
        <cfvo type="min"/>
        <cfvo type="max"/>
        <color rgb="FF63C384"/>
      </dataBar>
      <extLst>
        <ext xmlns:x14="http://schemas.microsoft.com/office/spreadsheetml/2009/9/main" uri="{B025F937-C7B1-47D3-B67F-A62EFF666E3E}">
          <x14:id>{675BFB9F-1A4B-44CB-8B76-2FA3450912F2}</x14:id>
        </ext>
      </extLst>
    </cfRule>
  </conditionalFormatting>
  <conditionalFormatting sqref="AG74">
    <cfRule type="dataBar" priority="635">
      <dataBar>
        <cfvo type="min"/>
        <cfvo type="max"/>
        <color rgb="FF63C384"/>
      </dataBar>
      <extLst>
        <ext xmlns:x14="http://schemas.microsoft.com/office/spreadsheetml/2009/9/main" uri="{B025F937-C7B1-47D3-B67F-A62EFF666E3E}">
          <x14:id>{6BC3B4E5-3799-4588-A6E5-C944354704CA}</x14:id>
        </ext>
      </extLst>
    </cfRule>
  </conditionalFormatting>
  <conditionalFormatting sqref="Q75">
    <cfRule type="cellIs" dxfId="3145" priority="634" operator="equal">
      <formula>"ja"</formula>
    </cfRule>
  </conditionalFormatting>
  <conditionalFormatting sqref="AA75">
    <cfRule type="expression" dxfId="3144" priority="633">
      <formula>AND(AND($W75&lt;TODAY(),$W75&lt;&gt;""),$X75="")</formula>
    </cfRule>
  </conditionalFormatting>
  <conditionalFormatting sqref="AG75">
    <cfRule type="dataBar" priority="632">
      <dataBar>
        <cfvo type="min"/>
        <cfvo type="max"/>
        <color rgb="FF63C384"/>
      </dataBar>
      <extLst>
        <ext xmlns:x14="http://schemas.microsoft.com/office/spreadsheetml/2009/9/main" uri="{B025F937-C7B1-47D3-B67F-A62EFF666E3E}">
          <x14:id>{202CCCCA-37EA-4D57-B0F7-A918B07A8CF9}</x14:id>
        </ext>
      </extLst>
    </cfRule>
  </conditionalFormatting>
  <conditionalFormatting sqref="Q75">
    <cfRule type="cellIs" dxfId="3143" priority="631" operator="equal">
      <formula>"ja"</formula>
    </cfRule>
  </conditionalFormatting>
  <conditionalFormatting sqref="AA75">
    <cfRule type="expression" dxfId="3142" priority="630">
      <formula>AND(AND($W75&lt;TODAY(),$W75&lt;&gt;""),$X75="")</formula>
    </cfRule>
  </conditionalFormatting>
  <conditionalFormatting sqref="AG75">
    <cfRule type="dataBar" priority="629">
      <dataBar>
        <cfvo type="min"/>
        <cfvo type="max"/>
        <color rgb="FF63C384"/>
      </dataBar>
      <extLst>
        <ext xmlns:x14="http://schemas.microsoft.com/office/spreadsheetml/2009/9/main" uri="{B025F937-C7B1-47D3-B67F-A62EFF666E3E}">
          <x14:id>{9B8187BE-6DFD-4C40-8399-2AF061C3F4C2}</x14:id>
        </ext>
      </extLst>
    </cfRule>
  </conditionalFormatting>
  <conditionalFormatting sqref="AG75">
    <cfRule type="dataBar" priority="628">
      <dataBar>
        <cfvo type="min"/>
        <cfvo type="max"/>
        <color rgb="FF63C384"/>
      </dataBar>
      <extLst>
        <ext xmlns:x14="http://schemas.microsoft.com/office/spreadsheetml/2009/9/main" uri="{B025F937-C7B1-47D3-B67F-A62EFF666E3E}">
          <x14:id>{60086BE6-B859-48AE-963B-4CDAD990F961}</x14:id>
        </ext>
      </extLst>
    </cfRule>
  </conditionalFormatting>
  <conditionalFormatting sqref="AA76">
    <cfRule type="expression" dxfId="3141" priority="627">
      <formula>AND(AND($W76&lt;TODAY(),$W76&lt;&gt;""),$X76="")</formula>
    </cfRule>
  </conditionalFormatting>
  <conditionalFormatting sqref="AG76">
    <cfRule type="dataBar" priority="626">
      <dataBar>
        <cfvo type="min"/>
        <cfvo type="max"/>
        <color rgb="FF63C384"/>
      </dataBar>
      <extLst>
        <ext xmlns:x14="http://schemas.microsoft.com/office/spreadsheetml/2009/9/main" uri="{B025F937-C7B1-47D3-B67F-A62EFF666E3E}">
          <x14:id>{4F1239BE-2B0D-48D3-8ED9-8A8289ED8E7B}</x14:id>
        </ext>
      </extLst>
    </cfRule>
  </conditionalFormatting>
  <conditionalFormatting sqref="AG76">
    <cfRule type="dataBar" priority="625">
      <dataBar>
        <cfvo type="min"/>
        <cfvo type="max"/>
        <color rgb="FF63C384"/>
      </dataBar>
      <extLst>
        <ext xmlns:x14="http://schemas.microsoft.com/office/spreadsheetml/2009/9/main" uri="{B025F937-C7B1-47D3-B67F-A62EFF666E3E}">
          <x14:id>{646A3695-3DDE-44C5-9DF2-B1BE1C457283}</x14:id>
        </ext>
      </extLst>
    </cfRule>
  </conditionalFormatting>
  <conditionalFormatting sqref="Q77">
    <cfRule type="cellIs" dxfId="3140" priority="624" operator="equal">
      <formula>"ja"</formula>
    </cfRule>
  </conditionalFormatting>
  <conditionalFormatting sqref="AA77">
    <cfRule type="expression" dxfId="3139" priority="623">
      <formula>AND(AND($W77&lt;TODAY(),$W77&lt;&gt;""),$X77="")</formula>
    </cfRule>
  </conditionalFormatting>
  <conditionalFormatting sqref="AG77">
    <cfRule type="dataBar" priority="622">
      <dataBar>
        <cfvo type="min"/>
        <cfvo type="max"/>
        <color rgb="FF63C384"/>
      </dataBar>
      <extLst>
        <ext xmlns:x14="http://schemas.microsoft.com/office/spreadsheetml/2009/9/main" uri="{B025F937-C7B1-47D3-B67F-A62EFF666E3E}">
          <x14:id>{6E71F141-FDE8-4FDD-BF42-FC6584AF415A}</x14:id>
        </ext>
      </extLst>
    </cfRule>
  </conditionalFormatting>
  <conditionalFormatting sqref="AG77">
    <cfRule type="dataBar" priority="621">
      <dataBar>
        <cfvo type="min"/>
        <cfvo type="max"/>
        <color rgb="FF63C384"/>
      </dataBar>
      <extLst>
        <ext xmlns:x14="http://schemas.microsoft.com/office/spreadsheetml/2009/9/main" uri="{B025F937-C7B1-47D3-B67F-A62EFF666E3E}">
          <x14:id>{790B5236-AD28-4547-BF1D-D7A780051611}</x14:id>
        </ext>
      </extLst>
    </cfRule>
  </conditionalFormatting>
  <conditionalFormatting sqref="AA78">
    <cfRule type="expression" dxfId="3138" priority="620">
      <formula>AND(AND($W78&lt;TODAY(),$W78&lt;&gt;""),$X78="")</formula>
    </cfRule>
  </conditionalFormatting>
  <conditionalFormatting sqref="Q78">
    <cfRule type="cellIs" dxfId="3137" priority="619" operator="equal">
      <formula>"ja"</formula>
    </cfRule>
  </conditionalFormatting>
  <conditionalFormatting sqref="AG78">
    <cfRule type="dataBar" priority="618">
      <dataBar>
        <cfvo type="min"/>
        <cfvo type="max"/>
        <color rgb="FF63C384"/>
      </dataBar>
      <extLst>
        <ext xmlns:x14="http://schemas.microsoft.com/office/spreadsheetml/2009/9/main" uri="{B025F937-C7B1-47D3-B67F-A62EFF666E3E}">
          <x14:id>{4F54AD3B-5CB0-4DB0-B82A-18AAED62D08F}</x14:id>
        </ext>
      </extLst>
    </cfRule>
  </conditionalFormatting>
  <conditionalFormatting sqref="AG78">
    <cfRule type="dataBar" priority="617">
      <dataBar>
        <cfvo type="min"/>
        <cfvo type="max"/>
        <color rgb="FF63C384"/>
      </dataBar>
      <extLst>
        <ext xmlns:x14="http://schemas.microsoft.com/office/spreadsheetml/2009/9/main" uri="{B025F937-C7B1-47D3-B67F-A62EFF666E3E}">
          <x14:id>{5B73D74F-D14D-4F1C-B098-8158E55415EE}</x14:id>
        </ext>
      </extLst>
    </cfRule>
  </conditionalFormatting>
  <conditionalFormatting sqref="Q79">
    <cfRule type="cellIs" dxfId="3136" priority="616" operator="equal">
      <formula>"ja"</formula>
    </cfRule>
  </conditionalFormatting>
  <conditionalFormatting sqref="AA79">
    <cfRule type="expression" dxfId="3135" priority="615">
      <formula>AND(AND($W79&lt;TODAY(),$W79&lt;&gt;""),$X79="")</formula>
    </cfRule>
  </conditionalFormatting>
  <conditionalFormatting sqref="AG79">
    <cfRule type="dataBar" priority="614">
      <dataBar>
        <cfvo type="min"/>
        <cfvo type="max"/>
        <color rgb="FF63C384"/>
      </dataBar>
      <extLst>
        <ext xmlns:x14="http://schemas.microsoft.com/office/spreadsheetml/2009/9/main" uri="{B025F937-C7B1-47D3-B67F-A62EFF666E3E}">
          <x14:id>{37D02145-E932-43A5-A5A9-DD1EDAD00481}</x14:id>
        </ext>
      </extLst>
    </cfRule>
  </conditionalFormatting>
  <conditionalFormatting sqref="AA80">
    <cfRule type="expression" dxfId="3134" priority="613">
      <formula>AND(AND($W80&lt;TODAY(),$W80&lt;&gt;""),$X80="")</formula>
    </cfRule>
  </conditionalFormatting>
  <conditionalFormatting sqref="AG80">
    <cfRule type="dataBar" priority="612">
      <dataBar>
        <cfvo type="min"/>
        <cfvo type="max"/>
        <color rgb="FF63C384"/>
      </dataBar>
      <extLst>
        <ext xmlns:x14="http://schemas.microsoft.com/office/spreadsheetml/2009/9/main" uri="{B025F937-C7B1-47D3-B67F-A62EFF666E3E}">
          <x14:id>{268C1617-1FB2-4F8F-B3D1-CB000542CAF6}</x14:id>
        </ext>
      </extLst>
    </cfRule>
  </conditionalFormatting>
  <conditionalFormatting sqref="Q81">
    <cfRule type="cellIs" dxfId="3133" priority="611" operator="equal">
      <formula>"ja"</formula>
    </cfRule>
  </conditionalFormatting>
  <conditionalFormatting sqref="AA81">
    <cfRule type="expression" dxfId="3132" priority="610">
      <formula>AND(AND($W81&lt;TODAY(),$W81&lt;&gt;""),$X81="")</formula>
    </cfRule>
  </conditionalFormatting>
  <conditionalFormatting sqref="AG81">
    <cfRule type="dataBar" priority="609">
      <dataBar>
        <cfvo type="min"/>
        <cfvo type="max"/>
        <color rgb="FF63C384"/>
      </dataBar>
      <extLst>
        <ext xmlns:x14="http://schemas.microsoft.com/office/spreadsheetml/2009/9/main" uri="{B025F937-C7B1-47D3-B67F-A62EFF666E3E}">
          <x14:id>{5A0D16C0-09DE-410D-9CE8-DF7D7ED3C3BC}</x14:id>
        </ext>
      </extLst>
    </cfRule>
  </conditionalFormatting>
  <conditionalFormatting sqref="AG81">
    <cfRule type="dataBar" priority="608">
      <dataBar>
        <cfvo type="min"/>
        <cfvo type="max"/>
        <color rgb="FF63C384"/>
      </dataBar>
      <extLst>
        <ext xmlns:x14="http://schemas.microsoft.com/office/spreadsheetml/2009/9/main" uri="{B025F937-C7B1-47D3-B67F-A62EFF666E3E}">
          <x14:id>{F897F7A0-1FDA-4B87-9BA9-4C5F990ACAAB}</x14:id>
        </ext>
      </extLst>
    </cfRule>
  </conditionalFormatting>
  <conditionalFormatting sqref="AA81">
    <cfRule type="expression" dxfId="3131" priority="607">
      <formula>AND(AND($W81&lt;TODAY(),$W81&lt;&gt;""),$X81="")</formula>
    </cfRule>
  </conditionalFormatting>
  <conditionalFormatting sqref="Q81">
    <cfRule type="cellIs" dxfId="3130" priority="606" operator="equal">
      <formula>"ja"</formula>
    </cfRule>
  </conditionalFormatting>
  <conditionalFormatting sqref="AG81">
    <cfRule type="dataBar" priority="605">
      <dataBar>
        <cfvo type="min"/>
        <cfvo type="max"/>
        <color rgb="FF63C384"/>
      </dataBar>
      <extLst>
        <ext xmlns:x14="http://schemas.microsoft.com/office/spreadsheetml/2009/9/main" uri="{B025F937-C7B1-47D3-B67F-A62EFF666E3E}">
          <x14:id>{99ADCDD4-B093-4DD2-87FF-A550B539CB38}</x14:id>
        </ext>
      </extLst>
    </cfRule>
  </conditionalFormatting>
  <conditionalFormatting sqref="AG81">
    <cfRule type="dataBar" priority="604">
      <dataBar>
        <cfvo type="min"/>
        <cfvo type="max"/>
        <color rgb="FF63C384"/>
      </dataBar>
      <extLst>
        <ext xmlns:x14="http://schemas.microsoft.com/office/spreadsheetml/2009/9/main" uri="{B025F937-C7B1-47D3-B67F-A62EFF666E3E}">
          <x14:id>{B38148E9-3D09-4D0A-9AF0-D76CEB821B98}</x14:id>
        </ext>
      </extLst>
    </cfRule>
  </conditionalFormatting>
  <conditionalFormatting sqref="Q82">
    <cfRule type="cellIs" dxfId="3129" priority="603" operator="equal">
      <formula>"ja"</formula>
    </cfRule>
  </conditionalFormatting>
  <conditionalFormatting sqref="AA82">
    <cfRule type="expression" dxfId="3128" priority="602">
      <formula>AND(AND($W82&lt;TODAY(),$W82&lt;&gt;""),$X82="")</formula>
    </cfRule>
  </conditionalFormatting>
  <conditionalFormatting sqref="AG82">
    <cfRule type="dataBar" priority="601">
      <dataBar>
        <cfvo type="min"/>
        <cfvo type="max"/>
        <color rgb="FF63C384"/>
      </dataBar>
      <extLst>
        <ext xmlns:x14="http://schemas.microsoft.com/office/spreadsheetml/2009/9/main" uri="{B025F937-C7B1-47D3-B67F-A62EFF666E3E}">
          <x14:id>{181B2BBD-0E35-4921-BD97-75051E622F43}</x14:id>
        </ext>
      </extLst>
    </cfRule>
  </conditionalFormatting>
  <conditionalFormatting sqref="AG82">
    <cfRule type="dataBar" priority="600">
      <dataBar>
        <cfvo type="min"/>
        <cfvo type="max"/>
        <color rgb="FF63C384"/>
      </dataBar>
      <extLst>
        <ext xmlns:x14="http://schemas.microsoft.com/office/spreadsheetml/2009/9/main" uri="{B025F937-C7B1-47D3-B67F-A62EFF666E3E}">
          <x14:id>{028CDF17-D32C-42DD-8AF6-B5C4BE72F881}</x14:id>
        </ext>
      </extLst>
    </cfRule>
  </conditionalFormatting>
  <conditionalFormatting sqref="AA83">
    <cfRule type="expression" dxfId="3127" priority="599">
      <formula>AND(AND($W83&lt;TODAY(),$W83&lt;&gt;""),$X83="")</formula>
    </cfRule>
  </conditionalFormatting>
  <conditionalFormatting sqref="AG83">
    <cfRule type="dataBar" priority="598">
      <dataBar>
        <cfvo type="min"/>
        <cfvo type="max"/>
        <color rgb="FF63C384"/>
      </dataBar>
      <extLst>
        <ext xmlns:x14="http://schemas.microsoft.com/office/spreadsheetml/2009/9/main" uri="{B025F937-C7B1-47D3-B67F-A62EFF666E3E}">
          <x14:id>{1CDFEAF0-9A93-4500-8EBF-E833CA1A667D}</x14:id>
        </ext>
      </extLst>
    </cfRule>
  </conditionalFormatting>
  <conditionalFormatting sqref="AG83">
    <cfRule type="dataBar" priority="597">
      <dataBar>
        <cfvo type="min"/>
        <cfvo type="max"/>
        <color rgb="FF63C384"/>
      </dataBar>
      <extLst>
        <ext xmlns:x14="http://schemas.microsoft.com/office/spreadsheetml/2009/9/main" uri="{B025F937-C7B1-47D3-B67F-A62EFF666E3E}">
          <x14:id>{52B9EB51-E0A4-46B0-AF15-5470A68CA344}</x14:id>
        </ext>
      </extLst>
    </cfRule>
  </conditionalFormatting>
  <conditionalFormatting sqref="Q83">
    <cfRule type="cellIs" dxfId="3126" priority="596" operator="equal">
      <formula>"ja"</formula>
    </cfRule>
  </conditionalFormatting>
  <conditionalFormatting sqref="Q84">
    <cfRule type="cellIs" dxfId="3125" priority="595" operator="equal">
      <formula>"ja"</formula>
    </cfRule>
  </conditionalFormatting>
  <conditionalFormatting sqref="AA84">
    <cfRule type="expression" dxfId="3124" priority="594">
      <formula>AND(AND($W84&lt;TODAY(),$W84&lt;&gt;""),$X84="")</formula>
    </cfRule>
  </conditionalFormatting>
  <conditionalFormatting sqref="AG84">
    <cfRule type="dataBar" priority="593">
      <dataBar>
        <cfvo type="min"/>
        <cfvo type="max"/>
        <color rgb="FF63C384"/>
      </dataBar>
      <extLst>
        <ext xmlns:x14="http://schemas.microsoft.com/office/spreadsheetml/2009/9/main" uri="{B025F937-C7B1-47D3-B67F-A62EFF666E3E}">
          <x14:id>{28D0E1A9-11FB-427B-BAE7-148DEBD8EBDD}</x14:id>
        </ext>
      </extLst>
    </cfRule>
  </conditionalFormatting>
  <conditionalFormatting sqref="AG84">
    <cfRule type="dataBar" priority="592">
      <dataBar>
        <cfvo type="min"/>
        <cfvo type="max"/>
        <color rgb="FF63C384"/>
      </dataBar>
      <extLst>
        <ext xmlns:x14="http://schemas.microsoft.com/office/spreadsheetml/2009/9/main" uri="{B025F937-C7B1-47D3-B67F-A62EFF666E3E}">
          <x14:id>{682D10FA-F048-459A-AE33-4AB7B32702A1}</x14:id>
        </ext>
      </extLst>
    </cfRule>
  </conditionalFormatting>
  <conditionalFormatting sqref="Q85">
    <cfRule type="cellIs" dxfId="3123" priority="591" operator="equal">
      <formula>"ja"</formula>
    </cfRule>
  </conditionalFormatting>
  <conditionalFormatting sqref="Q85">
    <cfRule type="cellIs" dxfId="3122" priority="579" operator="equal">
      <formula>"ja"</formula>
    </cfRule>
  </conditionalFormatting>
  <conditionalFormatting sqref="AA85">
    <cfRule type="expression" dxfId="3121" priority="578">
      <formula>AND(AND($W85&lt;TODAY(),$W85&lt;&gt;""),$X85="")</formula>
    </cfRule>
  </conditionalFormatting>
  <conditionalFormatting sqref="AA85">
    <cfRule type="expression" dxfId="3120" priority="590">
      <formula>AND(AND($W85&lt;TODAY(),$W85&lt;&gt;""),$X85="")</formula>
    </cfRule>
  </conditionalFormatting>
  <conditionalFormatting sqref="AG85">
    <cfRule type="dataBar" priority="589">
      <dataBar>
        <cfvo type="min"/>
        <cfvo type="max"/>
        <color rgb="FF63C384"/>
      </dataBar>
      <extLst>
        <ext xmlns:x14="http://schemas.microsoft.com/office/spreadsheetml/2009/9/main" uri="{B025F937-C7B1-47D3-B67F-A62EFF666E3E}">
          <x14:id>{EBED4E7D-5E70-4DA1-A386-EB566F02D7BE}</x14:id>
        </ext>
      </extLst>
    </cfRule>
  </conditionalFormatting>
  <conditionalFormatting sqref="AG85">
    <cfRule type="dataBar" priority="588">
      <dataBar>
        <cfvo type="min"/>
        <cfvo type="max"/>
        <color rgb="FF63C384"/>
      </dataBar>
      <extLst>
        <ext xmlns:x14="http://schemas.microsoft.com/office/spreadsheetml/2009/9/main" uri="{B025F937-C7B1-47D3-B67F-A62EFF666E3E}">
          <x14:id>{557B0BE1-BEFC-4E18-8A89-23D4AF1F3DA2}</x14:id>
        </ext>
      </extLst>
    </cfRule>
  </conditionalFormatting>
  <conditionalFormatting sqref="Q85">
    <cfRule type="cellIs" dxfId="3119" priority="587" operator="equal">
      <formula>"ja"</formula>
    </cfRule>
  </conditionalFormatting>
  <conditionalFormatting sqref="AA85">
    <cfRule type="expression" dxfId="3118" priority="586">
      <formula>AND(AND($W85&lt;TODAY(),$W85&lt;&gt;""),$X85="")</formula>
    </cfRule>
  </conditionalFormatting>
  <conditionalFormatting sqref="AG85">
    <cfRule type="dataBar" priority="585">
      <dataBar>
        <cfvo type="min"/>
        <cfvo type="max"/>
        <color rgb="FF63C384"/>
      </dataBar>
      <extLst>
        <ext xmlns:x14="http://schemas.microsoft.com/office/spreadsheetml/2009/9/main" uri="{B025F937-C7B1-47D3-B67F-A62EFF666E3E}">
          <x14:id>{80591784-1868-4851-B283-F8E8D019314F}</x14:id>
        </ext>
      </extLst>
    </cfRule>
  </conditionalFormatting>
  <conditionalFormatting sqref="AG85">
    <cfRule type="dataBar" priority="584">
      <dataBar>
        <cfvo type="min"/>
        <cfvo type="max"/>
        <color rgb="FF63C384"/>
      </dataBar>
      <extLst>
        <ext xmlns:x14="http://schemas.microsoft.com/office/spreadsheetml/2009/9/main" uri="{B025F937-C7B1-47D3-B67F-A62EFF666E3E}">
          <x14:id>{CF08284D-1E79-4C74-8EBF-CAFE7605D192}</x14:id>
        </ext>
      </extLst>
    </cfRule>
  </conditionalFormatting>
  <conditionalFormatting sqref="Q85">
    <cfRule type="cellIs" dxfId="3117" priority="583" operator="equal">
      <formula>"ja"</formula>
    </cfRule>
  </conditionalFormatting>
  <conditionalFormatting sqref="AA85">
    <cfRule type="expression" dxfId="3116" priority="582">
      <formula>AND(AND($W85&lt;TODAY(),$W85&lt;&gt;""),$X85="")</formula>
    </cfRule>
  </conditionalFormatting>
  <conditionalFormatting sqref="AG85">
    <cfRule type="dataBar" priority="581">
      <dataBar>
        <cfvo type="min"/>
        <cfvo type="max"/>
        <color rgb="FF63C384"/>
      </dataBar>
      <extLst>
        <ext xmlns:x14="http://schemas.microsoft.com/office/spreadsheetml/2009/9/main" uri="{B025F937-C7B1-47D3-B67F-A62EFF666E3E}">
          <x14:id>{16722A56-15E0-4C17-8AC2-B78B3A4DD860}</x14:id>
        </ext>
      </extLst>
    </cfRule>
  </conditionalFormatting>
  <conditionalFormatting sqref="AG85">
    <cfRule type="dataBar" priority="580">
      <dataBar>
        <cfvo type="min"/>
        <cfvo type="max"/>
        <color rgb="FF63C384"/>
      </dataBar>
      <extLst>
        <ext xmlns:x14="http://schemas.microsoft.com/office/spreadsheetml/2009/9/main" uri="{B025F937-C7B1-47D3-B67F-A62EFF666E3E}">
          <x14:id>{3CE68564-1C2F-476D-853D-AD1BC3E83BD0}</x14:id>
        </ext>
      </extLst>
    </cfRule>
  </conditionalFormatting>
  <conditionalFormatting sqref="AG85">
    <cfRule type="dataBar" priority="577">
      <dataBar>
        <cfvo type="min"/>
        <cfvo type="max"/>
        <color rgb="FF63C384"/>
      </dataBar>
      <extLst>
        <ext xmlns:x14="http://schemas.microsoft.com/office/spreadsheetml/2009/9/main" uri="{B025F937-C7B1-47D3-B67F-A62EFF666E3E}">
          <x14:id>{F8A6A101-4045-498B-8637-0A6D52E5F344}</x14:id>
        </ext>
      </extLst>
    </cfRule>
  </conditionalFormatting>
  <conditionalFormatting sqref="AG85">
    <cfRule type="dataBar" priority="576">
      <dataBar>
        <cfvo type="min"/>
        <cfvo type="max"/>
        <color rgb="FF63C384"/>
      </dataBar>
      <extLst>
        <ext xmlns:x14="http://schemas.microsoft.com/office/spreadsheetml/2009/9/main" uri="{B025F937-C7B1-47D3-B67F-A62EFF666E3E}">
          <x14:id>{066AB731-DB09-4AD0-A074-0E61191A8D15}</x14:id>
        </ext>
      </extLst>
    </cfRule>
  </conditionalFormatting>
  <conditionalFormatting sqref="Q86">
    <cfRule type="cellIs" dxfId="3115" priority="575" operator="equal">
      <formula>"ja"</formula>
    </cfRule>
  </conditionalFormatting>
  <conditionalFormatting sqref="AA86">
    <cfRule type="expression" dxfId="3114" priority="574">
      <formula>AND(AND($W86&lt;TODAY(),$W86&lt;&gt;""),$X86="")</formula>
    </cfRule>
  </conditionalFormatting>
  <conditionalFormatting sqref="AG86">
    <cfRule type="dataBar" priority="573">
      <dataBar>
        <cfvo type="min"/>
        <cfvo type="max"/>
        <color rgb="FF63C384"/>
      </dataBar>
      <extLst>
        <ext xmlns:x14="http://schemas.microsoft.com/office/spreadsheetml/2009/9/main" uri="{B025F937-C7B1-47D3-B67F-A62EFF666E3E}">
          <x14:id>{20F6B23D-3D94-4675-AB28-84B008F9DEB7}</x14:id>
        </ext>
      </extLst>
    </cfRule>
  </conditionalFormatting>
  <conditionalFormatting sqref="Q86">
    <cfRule type="cellIs" dxfId="3113" priority="572" operator="equal">
      <formula>"ja"</formula>
    </cfRule>
  </conditionalFormatting>
  <conditionalFormatting sqref="AA86">
    <cfRule type="expression" dxfId="3112" priority="571">
      <formula>AND(AND($W86&lt;TODAY(),$W86&lt;&gt;""),$X86="")</formula>
    </cfRule>
  </conditionalFormatting>
  <conditionalFormatting sqref="AG86">
    <cfRule type="dataBar" priority="570">
      <dataBar>
        <cfvo type="min"/>
        <cfvo type="max"/>
        <color rgb="FF63C384"/>
      </dataBar>
      <extLst>
        <ext xmlns:x14="http://schemas.microsoft.com/office/spreadsheetml/2009/9/main" uri="{B025F937-C7B1-47D3-B67F-A62EFF666E3E}">
          <x14:id>{E8DE0013-4882-4FCA-8985-72F3DE153C95}</x14:id>
        </ext>
      </extLst>
    </cfRule>
  </conditionalFormatting>
  <conditionalFormatting sqref="AG86">
    <cfRule type="dataBar" priority="569">
      <dataBar>
        <cfvo type="min"/>
        <cfvo type="max"/>
        <color rgb="FF63C384"/>
      </dataBar>
      <extLst>
        <ext xmlns:x14="http://schemas.microsoft.com/office/spreadsheetml/2009/9/main" uri="{B025F937-C7B1-47D3-B67F-A62EFF666E3E}">
          <x14:id>{B91B0BC9-F07C-41A3-9C39-11185FD839B0}</x14:id>
        </ext>
      </extLst>
    </cfRule>
  </conditionalFormatting>
  <conditionalFormatting sqref="Q87">
    <cfRule type="cellIs" dxfId="3111" priority="568" operator="equal">
      <formula>"ja"</formula>
    </cfRule>
  </conditionalFormatting>
  <conditionalFormatting sqref="AA87">
    <cfRule type="expression" dxfId="3110" priority="567">
      <formula>AND(AND($W87&lt;TODAY(),$W87&lt;&gt;""),$X87="")</formula>
    </cfRule>
  </conditionalFormatting>
  <conditionalFormatting sqref="AG87">
    <cfRule type="dataBar" priority="566">
      <dataBar>
        <cfvo type="min"/>
        <cfvo type="max"/>
        <color rgb="FF63C384"/>
      </dataBar>
      <extLst>
        <ext xmlns:x14="http://schemas.microsoft.com/office/spreadsheetml/2009/9/main" uri="{B025F937-C7B1-47D3-B67F-A62EFF666E3E}">
          <x14:id>{C0B5B184-02B8-4204-B7C3-ED4A3713623E}</x14:id>
        </ext>
      </extLst>
    </cfRule>
  </conditionalFormatting>
  <conditionalFormatting sqref="AG87">
    <cfRule type="dataBar" priority="565">
      <dataBar>
        <cfvo type="min"/>
        <cfvo type="max"/>
        <color rgb="FF63C384"/>
      </dataBar>
      <extLst>
        <ext xmlns:x14="http://schemas.microsoft.com/office/spreadsheetml/2009/9/main" uri="{B025F937-C7B1-47D3-B67F-A62EFF666E3E}">
          <x14:id>{3F074E73-5C4D-4012-9765-3FBFBDD2BE4C}</x14:id>
        </ext>
      </extLst>
    </cfRule>
  </conditionalFormatting>
  <conditionalFormatting sqref="AA88">
    <cfRule type="expression" dxfId="3109" priority="564">
      <formula>AND(AND($W88&lt;TODAY(),$W88&lt;&gt;""),$X88="")</formula>
    </cfRule>
  </conditionalFormatting>
  <conditionalFormatting sqref="AG88">
    <cfRule type="dataBar" priority="563">
      <dataBar>
        <cfvo type="min"/>
        <cfvo type="max"/>
        <color rgb="FF63C384"/>
      </dataBar>
      <extLst>
        <ext xmlns:x14="http://schemas.microsoft.com/office/spreadsheetml/2009/9/main" uri="{B025F937-C7B1-47D3-B67F-A62EFF666E3E}">
          <x14:id>{4681B4C5-70FD-4456-83B6-365975D2DCFF}</x14:id>
        </ext>
      </extLst>
    </cfRule>
  </conditionalFormatting>
  <conditionalFormatting sqref="AG88">
    <cfRule type="dataBar" priority="562">
      <dataBar>
        <cfvo type="min"/>
        <cfvo type="max"/>
        <color rgb="FF63C384"/>
      </dataBar>
      <extLst>
        <ext xmlns:x14="http://schemas.microsoft.com/office/spreadsheetml/2009/9/main" uri="{B025F937-C7B1-47D3-B67F-A62EFF666E3E}">
          <x14:id>{870D9FD9-E153-485F-8A66-43BE6BC23B74}</x14:id>
        </ext>
      </extLst>
    </cfRule>
  </conditionalFormatting>
  <conditionalFormatting sqref="Q89">
    <cfRule type="cellIs" dxfId="3108" priority="561" operator="equal">
      <formula>"ja"</formula>
    </cfRule>
  </conditionalFormatting>
  <conditionalFormatting sqref="AA89">
    <cfRule type="expression" dxfId="3107" priority="560">
      <formula>AND(AND($W89&lt;TODAY(),$W89&lt;&gt;""),$X89="")</formula>
    </cfRule>
  </conditionalFormatting>
  <conditionalFormatting sqref="AG89">
    <cfRule type="dataBar" priority="559">
      <dataBar>
        <cfvo type="min"/>
        <cfvo type="max"/>
        <color rgb="FF63C384"/>
      </dataBar>
      <extLst>
        <ext xmlns:x14="http://schemas.microsoft.com/office/spreadsheetml/2009/9/main" uri="{B025F937-C7B1-47D3-B67F-A62EFF666E3E}">
          <x14:id>{ED26A81B-A50E-4553-B782-EE567EE84263}</x14:id>
        </ext>
      </extLst>
    </cfRule>
  </conditionalFormatting>
  <conditionalFormatting sqref="AG89">
    <cfRule type="dataBar" priority="558">
      <dataBar>
        <cfvo type="min"/>
        <cfvo type="max"/>
        <color rgb="FF63C384"/>
      </dataBar>
      <extLst>
        <ext xmlns:x14="http://schemas.microsoft.com/office/spreadsheetml/2009/9/main" uri="{B025F937-C7B1-47D3-B67F-A62EFF666E3E}">
          <x14:id>{7C390894-423C-4F8C-B103-831478737A21}</x14:id>
        </ext>
      </extLst>
    </cfRule>
  </conditionalFormatting>
  <conditionalFormatting sqref="AA90">
    <cfRule type="expression" dxfId="3106" priority="557">
      <formula>AND(AND($W90&lt;TODAY(),$W90&lt;&gt;""),$X90="")</formula>
    </cfRule>
  </conditionalFormatting>
  <conditionalFormatting sqref="Q90">
    <cfRule type="cellIs" dxfId="3105" priority="556" operator="equal">
      <formula>"ja"</formula>
    </cfRule>
  </conditionalFormatting>
  <conditionalFormatting sqref="AG90">
    <cfRule type="dataBar" priority="555">
      <dataBar>
        <cfvo type="min"/>
        <cfvo type="max"/>
        <color rgb="FF63C384"/>
      </dataBar>
      <extLst>
        <ext xmlns:x14="http://schemas.microsoft.com/office/spreadsheetml/2009/9/main" uri="{B025F937-C7B1-47D3-B67F-A62EFF666E3E}">
          <x14:id>{C152728A-B121-43DB-958F-9F5104DEC26B}</x14:id>
        </ext>
      </extLst>
    </cfRule>
  </conditionalFormatting>
  <conditionalFormatting sqref="AG90">
    <cfRule type="dataBar" priority="554">
      <dataBar>
        <cfvo type="min"/>
        <cfvo type="max"/>
        <color rgb="FF63C384"/>
      </dataBar>
      <extLst>
        <ext xmlns:x14="http://schemas.microsoft.com/office/spreadsheetml/2009/9/main" uri="{B025F937-C7B1-47D3-B67F-A62EFF666E3E}">
          <x14:id>{524C77A6-B3D7-45A1-A0FC-D5484778557E}</x14:id>
        </ext>
      </extLst>
    </cfRule>
  </conditionalFormatting>
  <conditionalFormatting sqref="AA91">
    <cfRule type="expression" dxfId="3104" priority="553">
      <formula>AND(AND($W91&lt;TODAY(),$W91&lt;&gt;""),$X91="")</formula>
    </cfRule>
  </conditionalFormatting>
  <conditionalFormatting sqref="AG91">
    <cfRule type="dataBar" priority="552">
      <dataBar>
        <cfvo type="min"/>
        <cfvo type="max"/>
        <color rgb="FF63C384"/>
      </dataBar>
      <extLst>
        <ext xmlns:x14="http://schemas.microsoft.com/office/spreadsheetml/2009/9/main" uri="{B025F937-C7B1-47D3-B67F-A62EFF666E3E}">
          <x14:id>{3B3EC9DD-1F68-4BD0-9241-E6412B7464AE}</x14:id>
        </ext>
      </extLst>
    </cfRule>
  </conditionalFormatting>
  <conditionalFormatting sqref="AG91">
    <cfRule type="dataBar" priority="551">
      <dataBar>
        <cfvo type="min"/>
        <cfvo type="max"/>
        <color rgb="FF63C384"/>
      </dataBar>
      <extLst>
        <ext xmlns:x14="http://schemas.microsoft.com/office/spreadsheetml/2009/9/main" uri="{B025F937-C7B1-47D3-B67F-A62EFF666E3E}">
          <x14:id>{B87A0715-6A44-47AE-9663-11F459AB90A2}</x14:id>
        </ext>
      </extLst>
    </cfRule>
  </conditionalFormatting>
  <conditionalFormatting sqref="Q92">
    <cfRule type="cellIs" dxfId="3103" priority="550" operator="equal">
      <formula>"ja"</formula>
    </cfRule>
  </conditionalFormatting>
  <conditionalFormatting sqref="AA92">
    <cfRule type="expression" dxfId="3102" priority="549">
      <formula>AND(AND($W92&lt;TODAY(),$W92&lt;&gt;""),$X92="")</formula>
    </cfRule>
  </conditionalFormatting>
  <conditionalFormatting sqref="AG92">
    <cfRule type="dataBar" priority="548">
      <dataBar>
        <cfvo type="min"/>
        <cfvo type="max"/>
        <color rgb="FF63C384"/>
      </dataBar>
      <extLst>
        <ext xmlns:x14="http://schemas.microsoft.com/office/spreadsheetml/2009/9/main" uri="{B025F937-C7B1-47D3-B67F-A62EFF666E3E}">
          <x14:id>{2A0E3854-0C77-4B4B-9CE9-108E5D79E0D7}</x14:id>
        </ext>
      </extLst>
    </cfRule>
  </conditionalFormatting>
  <conditionalFormatting sqref="AG92">
    <cfRule type="dataBar" priority="547">
      <dataBar>
        <cfvo type="min"/>
        <cfvo type="max"/>
        <color rgb="FF63C384"/>
      </dataBar>
      <extLst>
        <ext xmlns:x14="http://schemas.microsoft.com/office/spreadsheetml/2009/9/main" uri="{B025F937-C7B1-47D3-B67F-A62EFF666E3E}">
          <x14:id>{C35A7322-1296-4FE6-B56E-4ED921C48DAD}</x14:id>
        </ext>
      </extLst>
    </cfRule>
  </conditionalFormatting>
  <conditionalFormatting sqref="AA93">
    <cfRule type="expression" dxfId="3101" priority="546">
      <formula>AND(AND($W93&lt;TODAY(),$W93&lt;&gt;""),$X93="")</formula>
    </cfRule>
  </conditionalFormatting>
  <conditionalFormatting sqref="AG93">
    <cfRule type="dataBar" priority="545">
      <dataBar>
        <cfvo type="min"/>
        <cfvo type="max"/>
        <color rgb="FF63C384"/>
      </dataBar>
      <extLst>
        <ext xmlns:x14="http://schemas.microsoft.com/office/spreadsheetml/2009/9/main" uri="{B025F937-C7B1-47D3-B67F-A62EFF666E3E}">
          <x14:id>{AF9AD66E-A0C5-4B2D-85C7-2EF2F75FCEC6}</x14:id>
        </ext>
      </extLst>
    </cfRule>
  </conditionalFormatting>
  <conditionalFormatting sqref="AG93">
    <cfRule type="dataBar" priority="544">
      <dataBar>
        <cfvo type="min"/>
        <cfvo type="max"/>
        <color rgb="FF63C384"/>
      </dataBar>
      <extLst>
        <ext xmlns:x14="http://schemas.microsoft.com/office/spreadsheetml/2009/9/main" uri="{B025F937-C7B1-47D3-B67F-A62EFF666E3E}">
          <x14:id>{E4575CE6-66E0-4859-A6A6-1458B52F40BD}</x14:id>
        </ext>
      </extLst>
    </cfRule>
  </conditionalFormatting>
  <conditionalFormatting sqref="AA94">
    <cfRule type="expression" dxfId="3100" priority="543">
      <formula>AND(AND($W94&lt;TODAY(),$W94&lt;&gt;""),$X94="")</formula>
    </cfRule>
  </conditionalFormatting>
  <conditionalFormatting sqref="AG94">
    <cfRule type="dataBar" priority="542">
      <dataBar>
        <cfvo type="min"/>
        <cfvo type="max"/>
        <color rgb="FF63C384"/>
      </dataBar>
      <extLst>
        <ext xmlns:x14="http://schemas.microsoft.com/office/spreadsheetml/2009/9/main" uri="{B025F937-C7B1-47D3-B67F-A62EFF666E3E}">
          <x14:id>{AC121D03-0A74-4110-B965-B26692A61610}</x14:id>
        </ext>
      </extLst>
    </cfRule>
  </conditionalFormatting>
  <conditionalFormatting sqref="AG94">
    <cfRule type="dataBar" priority="541">
      <dataBar>
        <cfvo type="min"/>
        <cfvo type="max"/>
        <color rgb="FF63C384"/>
      </dataBar>
      <extLst>
        <ext xmlns:x14="http://schemas.microsoft.com/office/spreadsheetml/2009/9/main" uri="{B025F937-C7B1-47D3-B67F-A62EFF666E3E}">
          <x14:id>{94356678-95BF-415A-A833-8041C148857D}</x14:id>
        </ext>
      </extLst>
    </cfRule>
  </conditionalFormatting>
  <conditionalFormatting sqref="Q93">
    <cfRule type="cellIs" dxfId="3099" priority="540" operator="equal">
      <formula>"ja"</formula>
    </cfRule>
  </conditionalFormatting>
  <conditionalFormatting sqref="Q91">
    <cfRule type="cellIs" dxfId="3098" priority="539" operator="equal">
      <formula>"ja"</formula>
    </cfRule>
  </conditionalFormatting>
  <conditionalFormatting sqref="Q88">
    <cfRule type="cellIs" dxfId="3097" priority="538" operator="equal">
      <formula>"ja"</formula>
    </cfRule>
  </conditionalFormatting>
  <conditionalFormatting sqref="AA95">
    <cfRule type="expression" dxfId="3096" priority="537">
      <formula>AND(AND($W95&lt;TODAY(),$W95&lt;&gt;""),$X95="")</formula>
    </cfRule>
  </conditionalFormatting>
  <conditionalFormatting sqref="AG95">
    <cfRule type="dataBar" priority="536">
      <dataBar>
        <cfvo type="min"/>
        <cfvo type="max"/>
        <color rgb="FF63C384"/>
      </dataBar>
      <extLst>
        <ext xmlns:x14="http://schemas.microsoft.com/office/spreadsheetml/2009/9/main" uri="{B025F937-C7B1-47D3-B67F-A62EFF666E3E}">
          <x14:id>{A41D61B7-3BFD-4088-AF04-6B64053EE792}</x14:id>
        </ext>
      </extLst>
    </cfRule>
  </conditionalFormatting>
  <conditionalFormatting sqref="AG95">
    <cfRule type="dataBar" priority="535">
      <dataBar>
        <cfvo type="min"/>
        <cfvo type="max"/>
        <color rgb="FF63C384"/>
      </dataBar>
      <extLst>
        <ext xmlns:x14="http://schemas.microsoft.com/office/spreadsheetml/2009/9/main" uri="{B025F937-C7B1-47D3-B67F-A62EFF666E3E}">
          <x14:id>{1D80F8CF-1FDC-4E07-90DA-909FE98141EF}</x14:id>
        </ext>
      </extLst>
    </cfRule>
  </conditionalFormatting>
  <conditionalFormatting sqref="Q95">
    <cfRule type="cellIs" dxfId="3095" priority="534" operator="equal">
      <formula>"ja"</formula>
    </cfRule>
  </conditionalFormatting>
  <conditionalFormatting sqref="Q94">
    <cfRule type="cellIs" dxfId="3094" priority="533" operator="equal">
      <formula>"ja"</formula>
    </cfRule>
  </conditionalFormatting>
  <conditionalFormatting sqref="Q96">
    <cfRule type="cellIs" dxfId="3093" priority="532" operator="equal">
      <formula>"ja"</formula>
    </cfRule>
  </conditionalFormatting>
  <conditionalFormatting sqref="AA96">
    <cfRule type="expression" dxfId="3092" priority="531">
      <formula>AND(AND($W96&lt;TODAY(),$W96&lt;&gt;""),$X96="")</formula>
    </cfRule>
  </conditionalFormatting>
  <conditionalFormatting sqref="AG96">
    <cfRule type="dataBar" priority="530">
      <dataBar>
        <cfvo type="min"/>
        <cfvo type="max"/>
        <color rgb="FF63C384"/>
      </dataBar>
      <extLst>
        <ext xmlns:x14="http://schemas.microsoft.com/office/spreadsheetml/2009/9/main" uri="{B025F937-C7B1-47D3-B67F-A62EFF666E3E}">
          <x14:id>{6547BE48-5A09-454F-920A-15F62C2ED0A7}</x14:id>
        </ext>
      </extLst>
    </cfRule>
  </conditionalFormatting>
  <conditionalFormatting sqref="AG96">
    <cfRule type="dataBar" priority="529">
      <dataBar>
        <cfvo type="min"/>
        <cfvo type="max"/>
        <color rgb="FF63C384"/>
      </dataBar>
      <extLst>
        <ext xmlns:x14="http://schemas.microsoft.com/office/spreadsheetml/2009/9/main" uri="{B025F937-C7B1-47D3-B67F-A62EFF666E3E}">
          <x14:id>{C4CAC37F-E937-4894-8D22-8819F296C542}</x14:id>
        </ext>
      </extLst>
    </cfRule>
  </conditionalFormatting>
  <conditionalFormatting sqref="AA96">
    <cfRule type="expression" dxfId="3091" priority="528">
      <formula>AND(AND($W96&lt;TODAY(),$W96&lt;&gt;""),$X96="")</formula>
    </cfRule>
  </conditionalFormatting>
  <conditionalFormatting sqref="Q96">
    <cfRule type="cellIs" dxfId="3090" priority="527" operator="equal">
      <formula>"ja"</formula>
    </cfRule>
  </conditionalFormatting>
  <conditionalFormatting sqref="AG96">
    <cfRule type="dataBar" priority="526">
      <dataBar>
        <cfvo type="min"/>
        <cfvo type="max"/>
        <color rgb="FF63C384"/>
      </dataBar>
      <extLst>
        <ext xmlns:x14="http://schemas.microsoft.com/office/spreadsheetml/2009/9/main" uri="{B025F937-C7B1-47D3-B67F-A62EFF666E3E}">
          <x14:id>{75B6F916-F1D7-4E36-B19C-55F1BEFA02C2}</x14:id>
        </ext>
      </extLst>
    </cfRule>
  </conditionalFormatting>
  <conditionalFormatting sqref="AG96">
    <cfRule type="dataBar" priority="525">
      <dataBar>
        <cfvo type="min"/>
        <cfvo type="max"/>
        <color rgb="FF63C384"/>
      </dataBar>
      <extLst>
        <ext xmlns:x14="http://schemas.microsoft.com/office/spreadsheetml/2009/9/main" uri="{B025F937-C7B1-47D3-B67F-A62EFF666E3E}">
          <x14:id>{FD930C8F-F5E0-47D1-9D6C-05592D6F7B62}</x14:id>
        </ext>
      </extLst>
    </cfRule>
  </conditionalFormatting>
  <conditionalFormatting sqref="Q98">
    <cfRule type="cellIs" dxfId="3089" priority="524" operator="equal">
      <formula>"ja"</formula>
    </cfRule>
  </conditionalFormatting>
  <conditionalFormatting sqref="AA98">
    <cfRule type="expression" dxfId="3088" priority="523">
      <formula>AND(AND($W98&lt;TODAY(),$W98&lt;&gt;""),$X98="")</formula>
    </cfRule>
  </conditionalFormatting>
  <conditionalFormatting sqref="AG98">
    <cfRule type="dataBar" priority="522">
      <dataBar>
        <cfvo type="min"/>
        <cfvo type="max"/>
        <color rgb="FF63C384"/>
      </dataBar>
      <extLst>
        <ext xmlns:x14="http://schemas.microsoft.com/office/spreadsheetml/2009/9/main" uri="{B025F937-C7B1-47D3-B67F-A62EFF666E3E}">
          <x14:id>{057F6946-6FE2-4872-BE6B-D4BEBE2880B4}</x14:id>
        </ext>
      </extLst>
    </cfRule>
  </conditionalFormatting>
  <conditionalFormatting sqref="AG98">
    <cfRule type="dataBar" priority="521">
      <dataBar>
        <cfvo type="min"/>
        <cfvo type="max"/>
        <color rgb="FF63C384"/>
      </dataBar>
      <extLst>
        <ext xmlns:x14="http://schemas.microsoft.com/office/spreadsheetml/2009/9/main" uri="{B025F937-C7B1-47D3-B67F-A62EFF666E3E}">
          <x14:id>{A1F423F5-F412-4AF8-8D04-065FF08FFBC2}</x14:id>
        </ext>
      </extLst>
    </cfRule>
  </conditionalFormatting>
  <conditionalFormatting sqref="AA97">
    <cfRule type="expression" dxfId="3087" priority="520">
      <formula>AND(AND($W97&lt;TODAY(),$W97&lt;&gt;""),$X97="")</formula>
    </cfRule>
  </conditionalFormatting>
  <conditionalFormatting sqref="AG97">
    <cfRule type="dataBar" priority="519">
      <dataBar>
        <cfvo type="min"/>
        <cfvo type="max"/>
        <color rgb="FF63C384"/>
      </dataBar>
      <extLst>
        <ext xmlns:x14="http://schemas.microsoft.com/office/spreadsheetml/2009/9/main" uri="{B025F937-C7B1-47D3-B67F-A62EFF666E3E}">
          <x14:id>{1CFB9FB4-70C0-47FA-B67F-12F4E7F799A7}</x14:id>
        </ext>
      </extLst>
    </cfRule>
  </conditionalFormatting>
  <conditionalFormatting sqref="AG97">
    <cfRule type="dataBar" priority="518">
      <dataBar>
        <cfvo type="min"/>
        <cfvo type="max"/>
        <color rgb="FF63C384"/>
      </dataBar>
      <extLst>
        <ext xmlns:x14="http://schemas.microsoft.com/office/spreadsheetml/2009/9/main" uri="{B025F937-C7B1-47D3-B67F-A62EFF666E3E}">
          <x14:id>{5B089349-8861-49E6-A62D-98F06B832C65}</x14:id>
        </ext>
      </extLst>
    </cfRule>
  </conditionalFormatting>
  <conditionalFormatting sqref="Q97">
    <cfRule type="cellIs" dxfId="3086" priority="517" operator="equal">
      <formula>"ja"</formula>
    </cfRule>
  </conditionalFormatting>
  <conditionalFormatting sqref="Q99">
    <cfRule type="cellIs" dxfId="3085" priority="516" operator="equal">
      <formula>"ja"</formula>
    </cfRule>
  </conditionalFormatting>
  <conditionalFormatting sqref="AA99">
    <cfRule type="expression" dxfId="3084" priority="515">
      <formula>AND(AND($W99&lt;TODAY(),$W99&lt;&gt;""),$X99="")</formula>
    </cfRule>
  </conditionalFormatting>
  <conditionalFormatting sqref="AG99">
    <cfRule type="dataBar" priority="514">
      <dataBar>
        <cfvo type="min"/>
        <cfvo type="max"/>
        <color rgb="FF63C384"/>
      </dataBar>
      <extLst>
        <ext xmlns:x14="http://schemas.microsoft.com/office/spreadsheetml/2009/9/main" uri="{B025F937-C7B1-47D3-B67F-A62EFF666E3E}">
          <x14:id>{2C9E11D2-8D76-48D3-88F8-872ACBDD7628}</x14:id>
        </ext>
      </extLst>
    </cfRule>
  </conditionalFormatting>
  <conditionalFormatting sqref="AG99">
    <cfRule type="dataBar" priority="513">
      <dataBar>
        <cfvo type="min"/>
        <cfvo type="max"/>
        <color rgb="FF63C384"/>
      </dataBar>
      <extLst>
        <ext xmlns:x14="http://schemas.microsoft.com/office/spreadsheetml/2009/9/main" uri="{B025F937-C7B1-47D3-B67F-A62EFF666E3E}">
          <x14:id>{ADEB882F-A8F8-4AAE-B030-D344C401D221}</x14:id>
        </ext>
      </extLst>
    </cfRule>
  </conditionalFormatting>
  <conditionalFormatting sqref="AA100">
    <cfRule type="expression" dxfId="3083" priority="512">
      <formula>AND(AND($W100&lt;TODAY(),$W100&lt;&gt;""),$X100="")</formula>
    </cfRule>
  </conditionalFormatting>
  <conditionalFormatting sqref="Q100">
    <cfRule type="cellIs" dxfId="3082" priority="511" operator="equal">
      <formula>"ja"</formula>
    </cfRule>
  </conditionalFormatting>
  <conditionalFormatting sqref="AG100">
    <cfRule type="dataBar" priority="510">
      <dataBar>
        <cfvo type="min"/>
        <cfvo type="max"/>
        <color rgb="FF63C384"/>
      </dataBar>
      <extLst>
        <ext xmlns:x14="http://schemas.microsoft.com/office/spreadsheetml/2009/9/main" uri="{B025F937-C7B1-47D3-B67F-A62EFF666E3E}">
          <x14:id>{DC8C54D2-FD67-40DF-9269-02B4333F19E9}</x14:id>
        </ext>
      </extLst>
    </cfRule>
  </conditionalFormatting>
  <conditionalFormatting sqref="AG100">
    <cfRule type="dataBar" priority="509">
      <dataBar>
        <cfvo type="min"/>
        <cfvo type="max"/>
        <color rgb="FF63C384"/>
      </dataBar>
      <extLst>
        <ext xmlns:x14="http://schemas.microsoft.com/office/spreadsheetml/2009/9/main" uri="{B025F937-C7B1-47D3-B67F-A62EFF666E3E}">
          <x14:id>{D9EED55E-E230-459D-9F91-857731B75514}</x14:id>
        </ext>
      </extLst>
    </cfRule>
  </conditionalFormatting>
  <conditionalFormatting sqref="Q101">
    <cfRule type="cellIs" dxfId="3081" priority="508" operator="equal">
      <formula>"ja"</formula>
    </cfRule>
  </conditionalFormatting>
  <conditionalFormatting sqref="AA101">
    <cfRule type="expression" dxfId="3080" priority="507">
      <formula>AND(AND($W101&lt;TODAY(),$W101&lt;&gt;""),$X101="")</formula>
    </cfRule>
  </conditionalFormatting>
  <conditionalFormatting sqref="AG101">
    <cfRule type="dataBar" priority="506">
      <dataBar>
        <cfvo type="min"/>
        <cfvo type="max"/>
        <color rgb="FF63C384"/>
      </dataBar>
      <extLst>
        <ext xmlns:x14="http://schemas.microsoft.com/office/spreadsheetml/2009/9/main" uri="{B025F937-C7B1-47D3-B67F-A62EFF666E3E}">
          <x14:id>{B1CF244F-E0EC-4FAC-AC99-032D0FC05D98}</x14:id>
        </ext>
      </extLst>
    </cfRule>
  </conditionalFormatting>
  <conditionalFormatting sqref="AG101">
    <cfRule type="dataBar" priority="505">
      <dataBar>
        <cfvo type="min"/>
        <cfvo type="max"/>
        <color rgb="FF63C384"/>
      </dataBar>
      <extLst>
        <ext xmlns:x14="http://schemas.microsoft.com/office/spreadsheetml/2009/9/main" uri="{B025F937-C7B1-47D3-B67F-A62EFF666E3E}">
          <x14:id>{0D535F24-3DE9-4C99-B810-0BF09D511A32}</x14:id>
        </ext>
      </extLst>
    </cfRule>
  </conditionalFormatting>
  <conditionalFormatting sqref="Q102">
    <cfRule type="cellIs" dxfId="3079" priority="504" operator="equal">
      <formula>"ja"</formula>
    </cfRule>
  </conditionalFormatting>
  <conditionalFormatting sqref="AA102">
    <cfRule type="expression" dxfId="3078" priority="503">
      <formula>AND(AND($W102&lt;TODAY(),$W102&lt;&gt;""),$X102="")</formula>
    </cfRule>
  </conditionalFormatting>
  <conditionalFormatting sqref="AG102">
    <cfRule type="dataBar" priority="502">
      <dataBar>
        <cfvo type="min"/>
        <cfvo type="max"/>
        <color rgb="FF63C384"/>
      </dataBar>
      <extLst>
        <ext xmlns:x14="http://schemas.microsoft.com/office/spreadsheetml/2009/9/main" uri="{B025F937-C7B1-47D3-B67F-A62EFF666E3E}">
          <x14:id>{DECC5D36-EC2C-4E69-880C-12EDB468C58C}</x14:id>
        </ext>
      </extLst>
    </cfRule>
  </conditionalFormatting>
  <conditionalFormatting sqref="AG102">
    <cfRule type="dataBar" priority="501">
      <dataBar>
        <cfvo type="min"/>
        <cfvo type="max"/>
        <color rgb="FF63C384"/>
      </dataBar>
      <extLst>
        <ext xmlns:x14="http://schemas.microsoft.com/office/spreadsheetml/2009/9/main" uri="{B025F937-C7B1-47D3-B67F-A62EFF666E3E}">
          <x14:id>{CC06DDB5-7E38-410F-A6CE-214A77C4CF75}</x14:id>
        </ext>
      </extLst>
    </cfRule>
  </conditionalFormatting>
  <conditionalFormatting sqref="Q103">
    <cfRule type="cellIs" dxfId="3077" priority="500" operator="equal">
      <formula>"ja"</formula>
    </cfRule>
  </conditionalFormatting>
  <conditionalFormatting sqref="Q103">
    <cfRule type="cellIs" dxfId="3076" priority="488" operator="equal">
      <formula>"ja"</formula>
    </cfRule>
  </conditionalFormatting>
  <conditionalFormatting sqref="AA103">
    <cfRule type="expression" dxfId="3075" priority="487">
      <formula>AND(AND($W103&lt;TODAY(),$W103&lt;&gt;""),$X103="")</formula>
    </cfRule>
  </conditionalFormatting>
  <conditionalFormatting sqref="AA103">
    <cfRule type="expression" dxfId="3074" priority="499">
      <formula>AND(AND($W103&lt;TODAY(),$W103&lt;&gt;""),$X103="")</formula>
    </cfRule>
  </conditionalFormatting>
  <conditionalFormatting sqref="AG103">
    <cfRule type="dataBar" priority="498">
      <dataBar>
        <cfvo type="min"/>
        <cfvo type="max"/>
        <color rgb="FF63C384"/>
      </dataBar>
      <extLst>
        <ext xmlns:x14="http://schemas.microsoft.com/office/spreadsheetml/2009/9/main" uri="{B025F937-C7B1-47D3-B67F-A62EFF666E3E}">
          <x14:id>{ECB22381-FCA7-437E-A3A5-9A486C67B5EC}</x14:id>
        </ext>
      </extLst>
    </cfRule>
  </conditionalFormatting>
  <conditionalFormatting sqref="AG103">
    <cfRule type="dataBar" priority="497">
      <dataBar>
        <cfvo type="min"/>
        <cfvo type="max"/>
        <color rgb="FF63C384"/>
      </dataBar>
      <extLst>
        <ext xmlns:x14="http://schemas.microsoft.com/office/spreadsheetml/2009/9/main" uri="{B025F937-C7B1-47D3-B67F-A62EFF666E3E}">
          <x14:id>{49739FD6-490E-41ED-AEEA-D43A73FFFB3A}</x14:id>
        </ext>
      </extLst>
    </cfRule>
  </conditionalFormatting>
  <conditionalFormatting sqref="Q103">
    <cfRule type="cellIs" dxfId="3073" priority="496" operator="equal">
      <formula>"ja"</formula>
    </cfRule>
  </conditionalFormatting>
  <conditionalFormatting sqref="AA103">
    <cfRule type="expression" dxfId="3072" priority="495">
      <formula>AND(AND($W103&lt;TODAY(),$W103&lt;&gt;""),$X103="")</formula>
    </cfRule>
  </conditionalFormatting>
  <conditionalFormatting sqref="AG103">
    <cfRule type="dataBar" priority="494">
      <dataBar>
        <cfvo type="min"/>
        <cfvo type="max"/>
        <color rgb="FF63C384"/>
      </dataBar>
      <extLst>
        <ext xmlns:x14="http://schemas.microsoft.com/office/spreadsheetml/2009/9/main" uri="{B025F937-C7B1-47D3-B67F-A62EFF666E3E}">
          <x14:id>{C3854DCE-3451-4856-A3B1-13AAC95A541E}</x14:id>
        </ext>
      </extLst>
    </cfRule>
  </conditionalFormatting>
  <conditionalFormatting sqref="AG103">
    <cfRule type="dataBar" priority="493">
      <dataBar>
        <cfvo type="min"/>
        <cfvo type="max"/>
        <color rgb="FF63C384"/>
      </dataBar>
      <extLst>
        <ext xmlns:x14="http://schemas.microsoft.com/office/spreadsheetml/2009/9/main" uri="{B025F937-C7B1-47D3-B67F-A62EFF666E3E}">
          <x14:id>{482155C0-9477-4F7B-970A-61F8E024C788}</x14:id>
        </ext>
      </extLst>
    </cfRule>
  </conditionalFormatting>
  <conditionalFormatting sqref="Q103">
    <cfRule type="cellIs" dxfId="3071" priority="492" operator="equal">
      <formula>"ja"</formula>
    </cfRule>
  </conditionalFormatting>
  <conditionalFormatting sqref="AA103">
    <cfRule type="expression" dxfId="3070" priority="491">
      <formula>AND(AND($W103&lt;TODAY(),$W103&lt;&gt;""),$X103="")</formula>
    </cfRule>
  </conditionalFormatting>
  <conditionalFormatting sqref="AG103">
    <cfRule type="dataBar" priority="490">
      <dataBar>
        <cfvo type="min"/>
        <cfvo type="max"/>
        <color rgb="FF63C384"/>
      </dataBar>
      <extLst>
        <ext xmlns:x14="http://schemas.microsoft.com/office/spreadsheetml/2009/9/main" uri="{B025F937-C7B1-47D3-B67F-A62EFF666E3E}">
          <x14:id>{DE6EEECD-0E20-4090-94B5-577D93C6EE1E}</x14:id>
        </ext>
      </extLst>
    </cfRule>
  </conditionalFormatting>
  <conditionalFormatting sqref="AG103">
    <cfRule type="dataBar" priority="489">
      <dataBar>
        <cfvo type="min"/>
        <cfvo type="max"/>
        <color rgb="FF63C384"/>
      </dataBar>
      <extLst>
        <ext xmlns:x14="http://schemas.microsoft.com/office/spreadsheetml/2009/9/main" uri="{B025F937-C7B1-47D3-B67F-A62EFF666E3E}">
          <x14:id>{C962A4A9-D16D-4501-9256-AE129E955C07}</x14:id>
        </ext>
      </extLst>
    </cfRule>
  </conditionalFormatting>
  <conditionalFormatting sqref="AG103">
    <cfRule type="dataBar" priority="486">
      <dataBar>
        <cfvo type="min"/>
        <cfvo type="max"/>
        <color rgb="FF63C384"/>
      </dataBar>
      <extLst>
        <ext xmlns:x14="http://schemas.microsoft.com/office/spreadsheetml/2009/9/main" uri="{B025F937-C7B1-47D3-B67F-A62EFF666E3E}">
          <x14:id>{49285E72-0876-4228-9C5A-7411B7388C4C}</x14:id>
        </ext>
      </extLst>
    </cfRule>
  </conditionalFormatting>
  <conditionalFormatting sqref="AG103">
    <cfRule type="dataBar" priority="485">
      <dataBar>
        <cfvo type="min"/>
        <cfvo type="max"/>
        <color rgb="FF63C384"/>
      </dataBar>
      <extLst>
        <ext xmlns:x14="http://schemas.microsoft.com/office/spreadsheetml/2009/9/main" uri="{B025F937-C7B1-47D3-B67F-A62EFF666E3E}">
          <x14:id>{026FE11D-563C-44D6-9F04-F1D95E8B10D0}</x14:id>
        </ext>
      </extLst>
    </cfRule>
  </conditionalFormatting>
  <conditionalFormatting sqref="Q104">
    <cfRule type="cellIs" dxfId="3069" priority="484" operator="equal">
      <formula>"ja"</formula>
    </cfRule>
  </conditionalFormatting>
  <conditionalFormatting sqref="AA104">
    <cfRule type="expression" dxfId="3068" priority="483">
      <formula>AND(AND($W104&lt;TODAY(),$W104&lt;&gt;""),$X104="")</formula>
    </cfRule>
  </conditionalFormatting>
  <conditionalFormatting sqref="AG104">
    <cfRule type="dataBar" priority="482">
      <dataBar>
        <cfvo type="min"/>
        <cfvo type="max"/>
        <color rgb="FF63C384"/>
      </dataBar>
      <extLst>
        <ext xmlns:x14="http://schemas.microsoft.com/office/spreadsheetml/2009/9/main" uri="{B025F937-C7B1-47D3-B67F-A62EFF666E3E}">
          <x14:id>{08C1B911-E18B-43E4-BA71-5F23CCE7FC4E}</x14:id>
        </ext>
      </extLst>
    </cfRule>
  </conditionalFormatting>
  <conditionalFormatting sqref="Q104">
    <cfRule type="cellIs" dxfId="3067" priority="481" operator="equal">
      <formula>"ja"</formula>
    </cfRule>
  </conditionalFormatting>
  <conditionalFormatting sqref="AA104">
    <cfRule type="expression" dxfId="3066" priority="480">
      <formula>AND(AND($W104&lt;TODAY(),$W104&lt;&gt;""),$X104="")</formula>
    </cfRule>
  </conditionalFormatting>
  <conditionalFormatting sqref="AG104">
    <cfRule type="dataBar" priority="479">
      <dataBar>
        <cfvo type="min"/>
        <cfvo type="max"/>
        <color rgb="FF63C384"/>
      </dataBar>
      <extLst>
        <ext xmlns:x14="http://schemas.microsoft.com/office/spreadsheetml/2009/9/main" uri="{B025F937-C7B1-47D3-B67F-A62EFF666E3E}">
          <x14:id>{A9222946-B0DF-4F26-B915-B38A7070325F}</x14:id>
        </ext>
      </extLst>
    </cfRule>
  </conditionalFormatting>
  <conditionalFormatting sqref="AG104">
    <cfRule type="dataBar" priority="478">
      <dataBar>
        <cfvo type="min"/>
        <cfvo type="max"/>
        <color rgb="FF63C384"/>
      </dataBar>
      <extLst>
        <ext xmlns:x14="http://schemas.microsoft.com/office/spreadsheetml/2009/9/main" uri="{B025F937-C7B1-47D3-B67F-A62EFF666E3E}">
          <x14:id>{7075725C-4C7C-4F65-913B-8D7A27B41010}</x14:id>
        </ext>
      </extLst>
    </cfRule>
  </conditionalFormatting>
  <conditionalFormatting sqref="AA105">
    <cfRule type="expression" dxfId="3065" priority="477">
      <formula>AND(AND($W105&lt;TODAY(),$W105&lt;&gt;""),$X105="")</formula>
    </cfRule>
  </conditionalFormatting>
  <conditionalFormatting sqref="AG105">
    <cfRule type="dataBar" priority="476">
      <dataBar>
        <cfvo type="min"/>
        <cfvo type="max"/>
        <color rgb="FF63C384"/>
      </dataBar>
      <extLst>
        <ext xmlns:x14="http://schemas.microsoft.com/office/spreadsheetml/2009/9/main" uri="{B025F937-C7B1-47D3-B67F-A62EFF666E3E}">
          <x14:id>{91F01B10-2EAC-4CCD-8A99-0CB363536DA5}</x14:id>
        </ext>
      </extLst>
    </cfRule>
  </conditionalFormatting>
  <conditionalFormatting sqref="AG105">
    <cfRule type="dataBar" priority="475">
      <dataBar>
        <cfvo type="min"/>
        <cfvo type="max"/>
        <color rgb="FF63C384"/>
      </dataBar>
      <extLst>
        <ext xmlns:x14="http://schemas.microsoft.com/office/spreadsheetml/2009/9/main" uri="{B025F937-C7B1-47D3-B67F-A62EFF666E3E}">
          <x14:id>{B190F74B-3474-4876-8C09-CD2AC1BE89ED}</x14:id>
        </ext>
      </extLst>
    </cfRule>
  </conditionalFormatting>
  <conditionalFormatting sqref="Q105">
    <cfRule type="cellIs" dxfId="3064" priority="474" operator="equal">
      <formula>"ja"</formula>
    </cfRule>
  </conditionalFormatting>
  <conditionalFormatting sqref="Q106">
    <cfRule type="cellIs" dxfId="3063" priority="473" operator="equal">
      <formula>"ja"</formula>
    </cfRule>
  </conditionalFormatting>
  <conditionalFormatting sqref="AA106">
    <cfRule type="expression" dxfId="3062" priority="472">
      <formula>AND(AND($W106&lt;TODAY(),$W106&lt;&gt;""),$X106="")</formula>
    </cfRule>
  </conditionalFormatting>
  <conditionalFormatting sqref="AG106">
    <cfRule type="dataBar" priority="471">
      <dataBar>
        <cfvo type="min"/>
        <cfvo type="max"/>
        <color rgb="FF63C384"/>
      </dataBar>
      <extLst>
        <ext xmlns:x14="http://schemas.microsoft.com/office/spreadsheetml/2009/9/main" uri="{B025F937-C7B1-47D3-B67F-A62EFF666E3E}">
          <x14:id>{AAF19C94-3B2B-4ADE-884C-3080F7EE1158}</x14:id>
        </ext>
      </extLst>
    </cfRule>
  </conditionalFormatting>
  <conditionalFormatting sqref="AG106">
    <cfRule type="dataBar" priority="470">
      <dataBar>
        <cfvo type="min"/>
        <cfvo type="max"/>
        <color rgb="FF63C384"/>
      </dataBar>
      <extLst>
        <ext xmlns:x14="http://schemas.microsoft.com/office/spreadsheetml/2009/9/main" uri="{B025F937-C7B1-47D3-B67F-A62EFF666E3E}">
          <x14:id>{D3A8B973-3F22-4CC1-B219-7685403FF429}</x14:id>
        </ext>
      </extLst>
    </cfRule>
  </conditionalFormatting>
  <conditionalFormatting sqref="AA107">
    <cfRule type="expression" dxfId="3061" priority="469">
      <formula>AND(AND($W107&lt;TODAY(),$W107&lt;&gt;""),$X107="")</formula>
    </cfRule>
  </conditionalFormatting>
  <conditionalFormatting sqref="Q107">
    <cfRule type="cellIs" dxfId="3060" priority="468" operator="equal">
      <formula>"ja"</formula>
    </cfRule>
  </conditionalFormatting>
  <conditionalFormatting sqref="AG107">
    <cfRule type="dataBar" priority="467">
      <dataBar>
        <cfvo type="min"/>
        <cfvo type="max"/>
        <color rgb="FF63C384"/>
      </dataBar>
      <extLst>
        <ext xmlns:x14="http://schemas.microsoft.com/office/spreadsheetml/2009/9/main" uri="{B025F937-C7B1-47D3-B67F-A62EFF666E3E}">
          <x14:id>{D48EF3FE-9DF1-4172-8653-802902E8C2EA}</x14:id>
        </ext>
      </extLst>
    </cfRule>
  </conditionalFormatting>
  <conditionalFormatting sqref="AG107">
    <cfRule type="dataBar" priority="466">
      <dataBar>
        <cfvo type="min"/>
        <cfvo type="max"/>
        <color rgb="FF63C384"/>
      </dataBar>
      <extLst>
        <ext xmlns:x14="http://schemas.microsoft.com/office/spreadsheetml/2009/9/main" uri="{B025F937-C7B1-47D3-B67F-A62EFF666E3E}">
          <x14:id>{F3B68930-BBFB-4157-ABBE-51DA01FC8AE3}</x14:id>
        </ext>
      </extLst>
    </cfRule>
  </conditionalFormatting>
  <conditionalFormatting sqref="Q108">
    <cfRule type="cellIs" dxfId="3059" priority="465" operator="equal">
      <formula>"ja"</formula>
    </cfRule>
  </conditionalFormatting>
  <conditionalFormatting sqref="AA108">
    <cfRule type="expression" dxfId="3058" priority="464">
      <formula>AND(AND($W108&lt;TODAY(),$W108&lt;&gt;""),$X108="")</formula>
    </cfRule>
  </conditionalFormatting>
  <conditionalFormatting sqref="AG108">
    <cfRule type="dataBar" priority="463">
      <dataBar>
        <cfvo type="min"/>
        <cfvo type="max"/>
        <color rgb="FF63C384"/>
      </dataBar>
      <extLst>
        <ext xmlns:x14="http://schemas.microsoft.com/office/spreadsheetml/2009/9/main" uri="{B025F937-C7B1-47D3-B67F-A62EFF666E3E}">
          <x14:id>{ECCB70E7-2769-4FD9-A558-A50A70EE89F2}</x14:id>
        </ext>
      </extLst>
    </cfRule>
  </conditionalFormatting>
  <conditionalFormatting sqref="AG108">
    <cfRule type="dataBar" priority="462">
      <dataBar>
        <cfvo type="min"/>
        <cfvo type="max"/>
        <color rgb="FF63C384"/>
      </dataBar>
      <extLst>
        <ext xmlns:x14="http://schemas.microsoft.com/office/spreadsheetml/2009/9/main" uri="{B025F937-C7B1-47D3-B67F-A62EFF666E3E}">
          <x14:id>{CD17B13F-C9DA-45AE-8040-42A6D31E6A46}</x14:id>
        </ext>
      </extLst>
    </cfRule>
  </conditionalFormatting>
  <conditionalFormatting sqref="Q109">
    <cfRule type="cellIs" dxfId="3057" priority="461" operator="equal">
      <formula>"ja"</formula>
    </cfRule>
  </conditionalFormatting>
  <conditionalFormatting sqref="AA109">
    <cfRule type="expression" dxfId="3056" priority="460">
      <formula>AND(AND($W109&lt;TODAY(),$W109&lt;&gt;""),$X109="")</formula>
    </cfRule>
  </conditionalFormatting>
  <conditionalFormatting sqref="AG109">
    <cfRule type="dataBar" priority="459">
      <dataBar>
        <cfvo type="min"/>
        <cfvo type="max"/>
        <color rgb="FF63C384"/>
      </dataBar>
      <extLst>
        <ext xmlns:x14="http://schemas.microsoft.com/office/spreadsheetml/2009/9/main" uri="{B025F937-C7B1-47D3-B67F-A62EFF666E3E}">
          <x14:id>{E49763D5-F143-4187-82D2-5C71818D22F1}</x14:id>
        </ext>
      </extLst>
    </cfRule>
  </conditionalFormatting>
  <conditionalFormatting sqref="AG109">
    <cfRule type="dataBar" priority="458">
      <dataBar>
        <cfvo type="min"/>
        <cfvo type="max"/>
        <color rgb="FF63C384"/>
      </dataBar>
      <extLst>
        <ext xmlns:x14="http://schemas.microsoft.com/office/spreadsheetml/2009/9/main" uri="{B025F937-C7B1-47D3-B67F-A62EFF666E3E}">
          <x14:id>{1BB2F6DB-0CD0-4061-BCAE-4E4B7A236035}</x14:id>
        </ext>
      </extLst>
    </cfRule>
  </conditionalFormatting>
  <conditionalFormatting sqref="AA110">
    <cfRule type="expression" dxfId="3055" priority="457">
      <formula>AND(AND($W110&lt;TODAY(),$W110&lt;&gt;""),$X110="")</formula>
    </cfRule>
  </conditionalFormatting>
  <conditionalFormatting sqref="AG110">
    <cfRule type="dataBar" priority="456">
      <dataBar>
        <cfvo type="min"/>
        <cfvo type="max"/>
        <color rgb="FF63C384"/>
      </dataBar>
      <extLst>
        <ext xmlns:x14="http://schemas.microsoft.com/office/spreadsheetml/2009/9/main" uri="{B025F937-C7B1-47D3-B67F-A62EFF666E3E}">
          <x14:id>{AB701C46-533F-4756-AD4F-386B9E571B11}</x14:id>
        </ext>
      </extLst>
    </cfRule>
  </conditionalFormatting>
  <conditionalFormatting sqref="AG110">
    <cfRule type="dataBar" priority="455">
      <dataBar>
        <cfvo type="min"/>
        <cfvo type="max"/>
        <color rgb="FF63C384"/>
      </dataBar>
      <extLst>
        <ext xmlns:x14="http://schemas.microsoft.com/office/spreadsheetml/2009/9/main" uri="{B025F937-C7B1-47D3-B67F-A62EFF666E3E}">
          <x14:id>{12CABED9-0CD3-4830-AAA3-F2A02560B322}</x14:id>
        </ext>
      </extLst>
    </cfRule>
  </conditionalFormatting>
  <conditionalFormatting sqref="AA111">
    <cfRule type="expression" dxfId="3054" priority="454">
      <formula>AND(AND($W111&lt;TODAY(),$W111&lt;&gt;""),$X111="")</formula>
    </cfRule>
  </conditionalFormatting>
  <conditionalFormatting sqref="AG111">
    <cfRule type="dataBar" priority="453">
      <dataBar>
        <cfvo type="min"/>
        <cfvo type="max"/>
        <color rgb="FF63C384"/>
      </dataBar>
      <extLst>
        <ext xmlns:x14="http://schemas.microsoft.com/office/spreadsheetml/2009/9/main" uri="{B025F937-C7B1-47D3-B67F-A62EFF666E3E}">
          <x14:id>{42330D71-4342-416A-871C-C06ACDDA1107}</x14:id>
        </ext>
      </extLst>
    </cfRule>
  </conditionalFormatting>
  <conditionalFormatting sqref="AG111">
    <cfRule type="dataBar" priority="452">
      <dataBar>
        <cfvo type="min"/>
        <cfvo type="max"/>
        <color rgb="FF63C384"/>
      </dataBar>
      <extLst>
        <ext xmlns:x14="http://schemas.microsoft.com/office/spreadsheetml/2009/9/main" uri="{B025F937-C7B1-47D3-B67F-A62EFF666E3E}">
          <x14:id>{E7730133-39B3-4558-AB0A-DE1D9004CCD7}</x14:id>
        </ext>
      </extLst>
    </cfRule>
  </conditionalFormatting>
  <conditionalFormatting sqref="Q111">
    <cfRule type="cellIs" dxfId="3053" priority="451" operator="equal">
      <formula>"ja"</formula>
    </cfRule>
  </conditionalFormatting>
  <conditionalFormatting sqref="AA112">
    <cfRule type="expression" dxfId="3052" priority="450">
      <formula>AND(AND($W112&lt;TODAY(),$W112&lt;&gt;""),$X112="")</formula>
    </cfRule>
  </conditionalFormatting>
  <conditionalFormatting sqref="AG112">
    <cfRule type="dataBar" priority="449">
      <dataBar>
        <cfvo type="min"/>
        <cfvo type="max"/>
        <color rgb="FF63C384"/>
      </dataBar>
      <extLst>
        <ext xmlns:x14="http://schemas.microsoft.com/office/spreadsheetml/2009/9/main" uri="{B025F937-C7B1-47D3-B67F-A62EFF666E3E}">
          <x14:id>{D2AB9219-ED37-488C-BE30-2A701568EA4A}</x14:id>
        </ext>
      </extLst>
    </cfRule>
  </conditionalFormatting>
  <conditionalFormatting sqref="AG112">
    <cfRule type="dataBar" priority="448">
      <dataBar>
        <cfvo type="min"/>
        <cfvo type="max"/>
        <color rgb="FF63C384"/>
      </dataBar>
      <extLst>
        <ext xmlns:x14="http://schemas.microsoft.com/office/spreadsheetml/2009/9/main" uri="{B025F937-C7B1-47D3-B67F-A62EFF666E3E}">
          <x14:id>{F7CD8AAB-AD7F-4E50-8EBA-4A0CD6742893}</x14:id>
        </ext>
      </extLst>
    </cfRule>
  </conditionalFormatting>
  <conditionalFormatting sqref="Q112">
    <cfRule type="cellIs" dxfId="3051" priority="447" operator="equal">
      <formula>"ja"</formula>
    </cfRule>
  </conditionalFormatting>
  <conditionalFormatting sqref="AA113">
    <cfRule type="expression" dxfId="3050" priority="446">
      <formula>AND(AND($W113&lt;TODAY(),$W113&lt;&gt;""),$X113="")</formula>
    </cfRule>
  </conditionalFormatting>
  <conditionalFormatting sqref="AG113">
    <cfRule type="dataBar" priority="445">
      <dataBar>
        <cfvo type="min"/>
        <cfvo type="max"/>
        <color rgb="FF63C384"/>
      </dataBar>
      <extLst>
        <ext xmlns:x14="http://schemas.microsoft.com/office/spreadsheetml/2009/9/main" uri="{B025F937-C7B1-47D3-B67F-A62EFF666E3E}">
          <x14:id>{E9B260B2-2B01-4D59-8E48-E72EFA149FAA}</x14:id>
        </ext>
      </extLst>
    </cfRule>
  </conditionalFormatting>
  <conditionalFormatting sqref="AG113">
    <cfRule type="dataBar" priority="444">
      <dataBar>
        <cfvo type="min"/>
        <cfvo type="max"/>
        <color rgb="FF63C384"/>
      </dataBar>
      <extLst>
        <ext xmlns:x14="http://schemas.microsoft.com/office/spreadsheetml/2009/9/main" uri="{B025F937-C7B1-47D3-B67F-A62EFF666E3E}">
          <x14:id>{D23FF85D-40AA-493E-B765-AB83D904BC9C}</x14:id>
        </ext>
      </extLst>
    </cfRule>
  </conditionalFormatting>
  <conditionalFormatting sqref="Q113">
    <cfRule type="cellIs" dxfId="3049" priority="443" operator="equal">
      <formula>"ja"</formula>
    </cfRule>
  </conditionalFormatting>
  <conditionalFormatting sqref="AA114">
    <cfRule type="expression" dxfId="3048" priority="442">
      <formula>AND(AND($W114&lt;TODAY(),$W114&lt;&gt;""),$X114="")</formula>
    </cfRule>
  </conditionalFormatting>
  <conditionalFormatting sqref="AG114">
    <cfRule type="dataBar" priority="441">
      <dataBar>
        <cfvo type="min"/>
        <cfvo type="max"/>
        <color rgb="FF63C384"/>
      </dataBar>
      <extLst>
        <ext xmlns:x14="http://schemas.microsoft.com/office/spreadsheetml/2009/9/main" uri="{B025F937-C7B1-47D3-B67F-A62EFF666E3E}">
          <x14:id>{8931B4AC-B1A1-4D5D-AEE0-B0F0CC4BFB59}</x14:id>
        </ext>
      </extLst>
    </cfRule>
  </conditionalFormatting>
  <conditionalFormatting sqref="AG114">
    <cfRule type="dataBar" priority="440">
      <dataBar>
        <cfvo type="min"/>
        <cfvo type="max"/>
        <color rgb="FF63C384"/>
      </dataBar>
      <extLst>
        <ext xmlns:x14="http://schemas.microsoft.com/office/spreadsheetml/2009/9/main" uri="{B025F937-C7B1-47D3-B67F-A62EFF666E3E}">
          <x14:id>{5D9B315E-95E3-472B-AE85-13F1F5E98A84}</x14:id>
        </ext>
      </extLst>
    </cfRule>
  </conditionalFormatting>
  <conditionalFormatting sqref="Q114">
    <cfRule type="cellIs" dxfId="3047" priority="439" operator="equal">
      <formula>"ja"</formula>
    </cfRule>
  </conditionalFormatting>
  <conditionalFormatting sqref="AA113">
    <cfRule type="expression" dxfId="3046" priority="438">
      <formula>AND(AND($W113&lt;TODAY(),$W113&lt;&gt;""),$X113="")</formula>
    </cfRule>
  </conditionalFormatting>
  <conditionalFormatting sqref="AG113">
    <cfRule type="dataBar" priority="437">
      <dataBar>
        <cfvo type="min"/>
        <cfvo type="max"/>
        <color rgb="FF63C384"/>
      </dataBar>
      <extLst>
        <ext xmlns:x14="http://schemas.microsoft.com/office/spreadsheetml/2009/9/main" uri="{B025F937-C7B1-47D3-B67F-A62EFF666E3E}">
          <x14:id>{0275DE03-F734-4784-AA60-9ADAE7A54B3C}</x14:id>
        </ext>
      </extLst>
    </cfRule>
  </conditionalFormatting>
  <conditionalFormatting sqref="AG113">
    <cfRule type="dataBar" priority="436">
      <dataBar>
        <cfvo type="min"/>
        <cfvo type="max"/>
        <color rgb="FF63C384"/>
      </dataBar>
      <extLst>
        <ext xmlns:x14="http://schemas.microsoft.com/office/spreadsheetml/2009/9/main" uri="{B025F937-C7B1-47D3-B67F-A62EFF666E3E}">
          <x14:id>{A87D875C-04B4-4832-9A09-F4AB378B66D2}</x14:id>
        </ext>
      </extLst>
    </cfRule>
  </conditionalFormatting>
  <conditionalFormatting sqref="Q113">
    <cfRule type="cellIs" dxfId="3045" priority="435" operator="equal">
      <formula>"ja"</formula>
    </cfRule>
  </conditionalFormatting>
  <conditionalFormatting sqref="AA114">
    <cfRule type="expression" dxfId="3044" priority="434">
      <formula>AND(AND($W114&lt;TODAY(),$W114&lt;&gt;""),$X114="")</formula>
    </cfRule>
  </conditionalFormatting>
  <conditionalFormatting sqref="AG114">
    <cfRule type="dataBar" priority="433">
      <dataBar>
        <cfvo type="min"/>
        <cfvo type="max"/>
        <color rgb="FF63C384"/>
      </dataBar>
      <extLst>
        <ext xmlns:x14="http://schemas.microsoft.com/office/spreadsheetml/2009/9/main" uri="{B025F937-C7B1-47D3-B67F-A62EFF666E3E}">
          <x14:id>{30EDD7C3-1F1E-482C-9847-F9370988FFC7}</x14:id>
        </ext>
      </extLst>
    </cfRule>
  </conditionalFormatting>
  <conditionalFormatting sqref="AG114">
    <cfRule type="dataBar" priority="432">
      <dataBar>
        <cfvo type="min"/>
        <cfvo type="max"/>
        <color rgb="FF63C384"/>
      </dataBar>
      <extLst>
        <ext xmlns:x14="http://schemas.microsoft.com/office/spreadsheetml/2009/9/main" uri="{B025F937-C7B1-47D3-B67F-A62EFF666E3E}">
          <x14:id>{B1DF3AF5-4213-49A0-8A9A-A0E4F3F6523C}</x14:id>
        </ext>
      </extLst>
    </cfRule>
  </conditionalFormatting>
  <conditionalFormatting sqref="Q114">
    <cfRule type="cellIs" dxfId="3043" priority="431" operator="equal">
      <formula>"ja"</formula>
    </cfRule>
  </conditionalFormatting>
  <conditionalFormatting sqref="Q115">
    <cfRule type="cellIs" dxfId="3042" priority="430" operator="equal">
      <formula>"ja"</formula>
    </cfRule>
  </conditionalFormatting>
  <conditionalFormatting sqref="AA115">
    <cfRule type="expression" dxfId="3041" priority="429">
      <formula>AND(AND($W115&lt;TODAY(),$W115&lt;&gt;""),$X115="")</formula>
    </cfRule>
  </conditionalFormatting>
  <conditionalFormatting sqref="AG115">
    <cfRule type="dataBar" priority="428">
      <dataBar>
        <cfvo type="min"/>
        <cfvo type="max"/>
        <color rgb="FF63C384"/>
      </dataBar>
      <extLst>
        <ext xmlns:x14="http://schemas.microsoft.com/office/spreadsheetml/2009/9/main" uri="{B025F937-C7B1-47D3-B67F-A62EFF666E3E}">
          <x14:id>{79B113C8-8DF2-4894-BE9E-EAD8CF493E37}</x14:id>
        </ext>
      </extLst>
    </cfRule>
  </conditionalFormatting>
  <conditionalFormatting sqref="AG115">
    <cfRule type="dataBar" priority="427">
      <dataBar>
        <cfvo type="min"/>
        <cfvo type="max"/>
        <color rgb="FF63C384"/>
      </dataBar>
      <extLst>
        <ext xmlns:x14="http://schemas.microsoft.com/office/spreadsheetml/2009/9/main" uri="{B025F937-C7B1-47D3-B67F-A62EFF666E3E}">
          <x14:id>{565BB9C9-2082-4FBC-9C01-3942BBDB1FBB}</x14:id>
        </ext>
      </extLst>
    </cfRule>
  </conditionalFormatting>
  <conditionalFormatting sqref="AA115">
    <cfRule type="expression" dxfId="3040" priority="426">
      <formula>AND(AND($W115&lt;TODAY(),$W115&lt;&gt;""),$X115="")</formula>
    </cfRule>
  </conditionalFormatting>
  <conditionalFormatting sqref="Q115">
    <cfRule type="cellIs" dxfId="3039" priority="425" operator="equal">
      <formula>"ja"</formula>
    </cfRule>
  </conditionalFormatting>
  <conditionalFormatting sqref="AG115">
    <cfRule type="dataBar" priority="424">
      <dataBar>
        <cfvo type="min"/>
        <cfvo type="max"/>
        <color rgb="FF63C384"/>
      </dataBar>
      <extLst>
        <ext xmlns:x14="http://schemas.microsoft.com/office/spreadsheetml/2009/9/main" uri="{B025F937-C7B1-47D3-B67F-A62EFF666E3E}">
          <x14:id>{C34496A6-7210-4E38-B7A3-72436AAE1BBD}</x14:id>
        </ext>
      </extLst>
    </cfRule>
  </conditionalFormatting>
  <conditionalFormatting sqref="AG115">
    <cfRule type="dataBar" priority="423">
      <dataBar>
        <cfvo type="min"/>
        <cfvo type="max"/>
        <color rgb="FF63C384"/>
      </dataBar>
      <extLst>
        <ext xmlns:x14="http://schemas.microsoft.com/office/spreadsheetml/2009/9/main" uri="{B025F937-C7B1-47D3-B67F-A62EFF666E3E}">
          <x14:id>{D85B6A3E-FDDD-4295-B95F-EF9993161B3C}</x14:id>
        </ext>
      </extLst>
    </cfRule>
  </conditionalFormatting>
  <conditionalFormatting sqref="AA116">
    <cfRule type="expression" dxfId="3038" priority="421">
      <formula>AND(AND($W116&lt;TODAY(),$W116&lt;&gt;""),$X116="")</formula>
    </cfRule>
  </conditionalFormatting>
  <conditionalFormatting sqref="Q116">
    <cfRule type="cellIs" dxfId="3037" priority="422" operator="equal">
      <formula>"ja"</formula>
    </cfRule>
  </conditionalFormatting>
  <conditionalFormatting sqref="AG116">
    <cfRule type="dataBar" priority="420">
      <dataBar>
        <cfvo type="min"/>
        <cfvo type="max"/>
        <color rgb="FF63C384"/>
      </dataBar>
      <extLst>
        <ext xmlns:x14="http://schemas.microsoft.com/office/spreadsheetml/2009/9/main" uri="{B025F937-C7B1-47D3-B67F-A62EFF666E3E}">
          <x14:id>{707CCFB9-B017-4EBB-9A43-3CD634E4D297}</x14:id>
        </ext>
      </extLst>
    </cfRule>
  </conditionalFormatting>
  <conditionalFormatting sqref="AG116">
    <cfRule type="dataBar" priority="419">
      <dataBar>
        <cfvo type="min"/>
        <cfvo type="max"/>
        <color rgb="FF63C384"/>
      </dataBar>
      <extLst>
        <ext xmlns:x14="http://schemas.microsoft.com/office/spreadsheetml/2009/9/main" uri="{B025F937-C7B1-47D3-B67F-A62EFF666E3E}">
          <x14:id>{EE54F1B8-E557-4650-8D28-4E08C6801F0E}</x14:id>
        </ext>
      </extLst>
    </cfRule>
  </conditionalFormatting>
  <conditionalFormatting sqref="Q117">
    <cfRule type="cellIs" dxfId="3036" priority="418" operator="equal">
      <formula>"ja"</formula>
    </cfRule>
  </conditionalFormatting>
  <conditionalFormatting sqref="Q117">
    <cfRule type="cellIs" dxfId="3035" priority="406" operator="equal">
      <formula>"ja"</formula>
    </cfRule>
  </conditionalFormatting>
  <conditionalFormatting sqref="AA117">
    <cfRule type="expression" dxfId="3034" priority="405">
      <formula>AND(AND($W117&lt;TODAY(),$W117&lt;&gt;""),$X117="")</formula>
    </cfRule>
  </conditionalFormatting>
  <conditionalFormatting sqref="AA117">
    <cfRule type="expression" dxfId="3033" priority="417">
      <formula>AND(AND($W117&lt;TODAY(),$W117&lt;&gt;""),$X117="")</formula>
    </cfRule>
  </conditionalFormatting>
  <conditionalFormatting sqref="AG117">
    <cfRule type="dataBar" priority="416">
      <dataBar>
        <cfvo type="min"/>
        <cfvo type="max"/>
        <color rgb="FF63C384"/>
      </dataBar>
      <extLst>
        <ext xmlns:x14="http://schemas.microsoft.com/office/spreadsheetml/2009/9/main" uri="{B025F937-C7B1-47D3-B67F-A62EFF666E3E}">
          <x14:id>{176AABBC-47A8-4697-BBF0-5D2589FEAFA9}</x14:id>
        </ext>
      </extLst>
    </cfRule>
  </conditionalFormatting>
  <conditionalFormatting sqref="AG117">
    <cfRule type="dataBar" priority="415">
      <dataBar>
        <cfvo type="min"/>
        <cfvo type="max"/>
        <color rgb="FF63C384"/>
      </dataBar>
      <extLst>
        <ext xmlns:x14="http://schemas.microsoft.com/office/spreadsheetml/2009/9/main" uri="{B025F937-C7B1-47D3-B67F-A62EFF666E3E}">
          <x14:id>{1E67203A-2980-4A3A-B48E-996C521512DB}</x14:id>
        </ext>
      </extLst>
    </cfRule>
  </conditionalFormatting>
  <conditionalFormatting sqref="Q117">
    <cfRule type="cellIs" dxfId="3032" priority="414" operator="equal">
      <formula>"ja"</formula>
    </cfRule>
  </conditionalFormatting>
  <conditionalFormatting sqref="AA117">
    <cfRule type="expression" dxfId="3031" priority="413">
      <formula>AND(AND($W117&lt;TODAY(),$W117&lt;&gt;""),$X117="")</formula>
    </cfRule>
  </conditionalFormatting>
  <conditionalFormatting sqref="AG117">
    <cfRule type="dataBar" priority="412">
      <dataBar>
        <cfvo type="min"/>
        <cfvo type="max"/>
        <color rgb="FF63C384"/>
      </dataBar>
      <extLst>
        <ext xmlns:x14="http://schemas.microsoft.com/office/spreadsheetml/2009/9/main" uri="{B025F937-C7B1-47D3-B67F-A62EFF666E3E}">
          <x14:id>{9B090029-7F41-4075-B239-B30CBC083F85}</x14:id>
        </ext>
      </extLst>
    </cfRule>
  </conditionalFormatting>
  <conditionalFormatting sqref="AG117">
    <cfRule type="dataBar" priority="411">
      <dataBar>
        <cfvo type="min"/>
        <cfvo type="max"/>
        <color rgb="FF63C384"/>
      </dataBar>
      <extLst>
        <ext xmlns:x14="http://schemas.microsoft.com/office/spreadsheetml/2009/9/main" uri="{B025F937-C7B1-47D3-B67F-A62EFF666E3E}">
          <x14:id>{75FD239C-34D2-44EF-8B1A-3D5D9BFE9A52}</x14:id>
        </ext>
      </extLst>
    </cfRule>
  </conditionalFormatting>
  <conditionalFormatting sqref="Q117">
    <cfRule type="cellIs" dxfId="3030" priority="410" operator="equal">
      <formula>"ja"</formula>
    </cfRule>
  </conditionalFormatting>
  <conditionalFormatting sqref="AA117">
    <cfRule type="expression" dxfId="3029" priority="409">
      <formula>AND(AND($W117&lt;TODAY(),$W117&lt;&gt;""),$X117="")</formula>
    </cfRule>
  </conditionalFormatting>
  <conditionalFormatting sqref="AG117">
    <cfRule type="dataBar" priority="408">
      <dataBar>
        <cfvo type="min"/>
        <cfvo type="max"/>
        <color rgb="FF63C384"/>
      </dataBar>
      <extLst>
        <ext xmlns:x14="http://schemas.microsoft.com/office/spreadsheetml/2009/9/main" uri="{B025F937-C7B1-47D3-B67F-A62EFF666E3E}">
          <x14:id>{996A86DA-44FC-4DA8-AE48-B74D41628E7E}</x14:id>
        </ext>
      </extLst>
    </cfRule>
  </conditionalFormatting>
  <conditionalFormatting sqref="AG117">
    <cfRule type="dataBar" priority="407">
      <dataBar>
        <cfvo type="min"/>
        <cfvo type="max"/>
        <color rgb="FF63C384"/>
      </dataBar>
      <extLst>
        <ext xmlns:x14="http://schemas.microsoft.com/office/spreadsheetml/2009/9/main" uri="{B025F937-C7B1-47D3-B67F-A62EFF666E3E}">
          <x14:id>{0FFAEC2B-BE4A-427E-8C6A-0BD01C43B37A}</x14:id>
        </ext>
      </extLst>
    </cfRule>
  </conditionalFormatting>
  <conditionalFormatting sqref="AG117">
    <cfRule type="dataBar" priority="404">
      <dataBar>
        <cfvo type="min"/>
        <cfvo type="max"/>
        <color rgb="FF63C384"/>
      </dataBar>
      <extLst>
        <ext xmlns:x14="http://schemas.microsoft.com/office/spreadsheetml/2009/9/main" uri="{B025F937-C7B1-47D3-B67F-A62EFF666E3E}">
          <x14:id>{33DEE4B9-40F9-4C9E-AD28-1C848D866240}</x14:id>
        </ext>
      </extLst>
    </cfRule>
  </conditionalFormatting>
  <conditionalFormatting sqref="AG117">
    <cfRule type="dataBar" priority="403">
      <dataBar>
        <cfvo type="min"/>
        <cfvo type="max"/>
        <color rgb="FF63C384"/>
      </dataBar>
      <extLst>
        <ext xmlns:x14="http://schemas.microsoft.com/office/spreadsheetml/2009/9/main" uri="{B025F937-C7B1-47D3-B67F-A62EFF666E3E}">
          <x14:id>{51B6EBA4-DD4F-4F35-843E-96B8B6E86758}</x14:id>
        </ext>
      </extLst>
    </cfRule>
  </conditionalFormatting>
  <conditionalFormatting sqref="Q118">
    <cfRule type="cellIs" dxfId="3028" priority="402" operator="equal">
      <formula>"ja"</formula>
    </cfRule>
  </conditionalFormatting>
  <conditionalFormatting sqref="AA118">
    <cfRule type="expression" dxfId="3027" priority="401">
      <formula>AND(AND($W118&lt;TODAY(),$W118&lt;&gt;""),$X118="")</formula>
    </cfRule>
  </conditionalFormatting>
  <conditionalFormatting sqref="AG118">
    <cfRule type="dataBar" priority="400">
      <dataBar>
        <cfvo type="min"/>
        <cfvo type="max"/>
        <color rgb="FF63C384"/>
      </dataBar>
      <extLst>
        <ext xmlns:x14="http://schemas.microsoft.com/office/spreadsheetml/2009/9/main" uri="{B025F937-C7B1-47D3-B67F-A62EFF666E3E}">
          <x14:id>{761E92E5-7245-48B1-AFC9-62CA0B54CB79}</x14:id>
        </ext>
      </extLst>
    </cfRule>
  </conditionalFormatting>
  <conditionalFormatting sqref="AG118">
    <cfRule type="dataBar" priority="399">
      <dataBar>
        <cfvo type="min"/>
        <cfvo type="max"/>
        <color rgb="FF63C384"/>
      </dataBar>
      <extLst>
        <ext xmlns:x14="http://schemas.microsoft.com/office/spreadsheetml/2009/9/main" uri="{B025F937-C7B1-47D3-B67F-A62EFF666E3E}">
          <x14:id>{63407945-2F32-49AA-BEEA-4A5026BCB60B}</x14:id>
        </ext>
      </extLst>
    </cfRule>
  </conditionalFormatting>
  <conditionalFormatting sqref="AA119">
    <cfRule type="expression" dxfId="3026" priority="398">
      <formula>AND(AND($W119&lt;TODAY(),$W119&lt;&gt;""),$X119="")</formula>
    </cfRule>
  </conditionalFormatting>
  <conditionalFormatting sqref="AG119">
    <cfRule type="dataBar" priority="397">
      <dataBar>
        <cfvo type="min"/>
        <cfvo type="max"/>
        <color rgb="FF63C384"/>
      </dataBar>
      <extLst>
        <ext xmlns:x14="http://schemas.microsoft.com/office/spreadsheetml/2009/9/main" uri="{B025F937-C7B1-47D3-B67F-A62EFF666E3E}">
          <x14:id>{B440479D-79D7-4454-B44D-8FC5B5A4465A}</x14:id>
        </ext>
      </extLst>
    </cfRule>
  </conditionalFormatting>
  <conditionalFormatting sqref="AG119">
    <cfRule type="dataBar" priority="396">
      <dataBar>
        <cfvo type="min"/>
        <cfvo type="max"/>
        <color rgb="FF63C384"/>
      </dataBar>
      <extLst>
        <ext xmlns:x14="http://schemas.microsoft.com/office/spreadsheetml/2009/9/main" uri="{B025F937-C7B1-47D3-B67F-A62EFF666E3E}">
          <x14:id>{294C6E6E-C3F8-4637-A4B8-22CD1195A657}</x14:id>
        </ext>
      </extLst>
    </cfRule>
  </conditionalFormatting>
  <conditionalFormatting sqref="Q119">
    <cfRule type="cellIs" dxfId="3025" priority="395" operator="equal">
      <formula>"ja"</formula>
    </cfRule>
  </conditionalFormatting>
  <conditionalFormatting sqref="AA120">
    <cfRule type="expression" dxfId="3024" priority="394">
      <formula>AND(AND($W120&lt;TODAY(),$W120&lt;&gt;""),$X120="")</formula>
    </cfRule>
  </conditionalFormatting>
  <conditionalFormatting sqref="AG120">
    <cfRule type="dataBar" priority="393">
      <dataBar>
        <cfvo type="min"/>
        <cfvo type="max"/>
        <color rgb="FF63C384"/>
      </dataBar>
      <extLst>
        <ext xmlns:x14="http://schemas.microsoft.com/office/spreadsheetml/2009/9/main" uri="{B025F937-C7B1-47D3-B67F-A62EFF666E3E}">
          <x14:id>{128A122A-D256-4168-ADED-EFAD593DB8E6}</x14:id>
        </ext>
      </extLst>
    </cfRule>
  </conditionalFormatting>
  <conditionalFormatting sqref="AG120">
    <cfRule type="dataBar" priority="392">
      <dataBar>
        <cfvo type="min"/>
        <cfvo type="max"/>
        <color rgb="FF63C384"/>
      </dataBar>
      <extLst>
        <ext xmlns:x14="http://schemas.microsoft.com/office/spreadsheetml/2009/9/main" uri="{B025F937-C7B1-47D3-B67F-A62EFF666E3E}">
          <x14:id>{8E9BE57C-83AB-4181-9EC6-2687D310C3DC}</x14:id>
        </ext>
      </extLst>
    </cfRule>
  </conditionalFormatting>
  <conditionalFormatting sqref="Q120">
    <cfRule type="cellIs" dxfId="3023" priority="391" operator="equal">
      <formula>"ja"</formula>
    </cfRule>
  </conditionalFormatting>
  <conditionalFormatting sqref="Q121">
    <cfRule type="cellIs" dxfId="3022" priority="390" operator="equal">
      <formula>"ja"</formula>
    </cfRule>
  </conditionalFormatting>
  <conditionalFormatting sqref="AA121">
    <cfRule type="expression" dxfId="3021" priority="389">
      <formula>AND(AND($W121&lt;TODAY(),$W121&lt;&gt;""),$X121="")</formula>
    </cfRule>
  </conditionalFormatting>
  <conditionalFormatting sqref="AG121">
    <cfRule type="dataBar" priority="388">
      <dataBar>
        <cfvo type="min"/>
        <cfvo type="max"/>
        <color rgb="FF63C384"/>
      </dataBar>
      <extLst>
        <ext xmlns:x14="http://schemas.microsoft.com/office/spreadsheetml/2009/9/main" uri="{B025F937-C7B1-47D3-B67F-A62EFF666E3E}">
          <x14:id>{E686536E-5A9D-43A2-B7A6-BDDCB18AAFCC}</x14:id>
        </ext>
      </extLst>
    </cfRule>
  </conditionalFormatting>
  <conditionalFormatting sqref="AG121">
    <cfRule type="dataBar" priority="387">
      <dataBar>
        <cfvo type="min"/>
        <cfvo type="max"/>
        <color rgb="FF63C384"/>
      </dataBar>
      <extLst>
        <ext xmlns:x14="http://schemas.microsoft.com/office/spreadsheetml/2009/9/main" uri="{B025F937-C7B1-47D3-B67F-A62EFF666E3E}">
          <x14:id>{DC926F2B-72EF-4DDB-A60A-3DB71191DB59}</x14:id>
        </ext>
      </extLst>
    </cfRule>
  </conditionalFormatting>
  <conditionalFormatting sqref="AA122">
    <cfRule type="expression" dxfId="3020" priority="386">
      <formula>AND(AND($W122&lt;TODAY(),$W122&lt;&gt;""),$X122="")</formula>
    </cfRule>
  </conditionalFormatting>
  <conditionalFormatting sqref="AG122">
    <cfRule type="dataBar" priority="385">
      <dataBar>
        <cfvo type="min"/>
        <cfvo type="max"/>
        <color rgb="FF63C384"/>
      </dataBar>
      <extLst>
        <ext xmlns:x14="http://schemas.microsoft.com/office/spreadsheetml/2009/9/main" uri="{B025F937-C7B1-47D3-B67F-A62EFF666E3E}">
          <x14:id>{E6C9ABF9-F72E-4BD2-9444-5BCC0BF9852E}</x14:id>
        </ext>
      </extLst>
    </cfRule>
  </conditionalFormatting>
  <conditionalFormatting sqref="AG122">
    <cfRule type="dataBar" priority="384">
      <dataBar>
        <cfvo type="min"/>
        <cfvo type="max"/>
        <color rgb="FF63C384"/>
      </dataBar>
      <extLst>
        <ext xmlns:x14="http://schemas.microsoft.com/office/spreadsheetml/2009/9/main" uri="{B025F937-C7B1-47D3-B67F-A62EFF666E3E}">
          <x14:id>{15370EBD-437E-4180-9241-F7CA9422CC9F}</x14:id>
        </ext>
      </extLst>
    </cfRule>
  </conditionalFormatting>
  <conditionalFormatting sqref="Q122">
    <cfRule type="cellIs" dxfId="3019" priority="383" operator="equal">
      <formula>"ja"</formula>
    </cfRule>
  </conditionalFormatting>
  <conditionalFormatting sqref="Q123">
    <cfRule type="cellIs" dxfId="3018" priority="382" operator="equal">
      <formula>"ja"</formula>
    </cfRule>
  </conditionalFormatting>
  <conditionalFormatting sqref="AA123">
    <cfRule type="expression" dxfId="3017" priority="381">
      <formula>AND(AND($W123&lt;TODAY(),$W123&lt;&gt;""),$X123="")</formula>
    </cfRule>
  </conditionalFormatting>
  <conditionalFormatting sqref="AG123">
    <cfRule type="dataBar" priority="380">
      <dataBar>
        <cfvo type="min"/>
        <cfvo type="max"/>
        <color rgb="FF63C384"/>
      </dataBar>
      <extLst>
        <ext xmlns:x14="http://schemas.microsoft.com/office/spreadsheetml/2009/9/main" uri="{B025F937-C7B1-47D3-B67F-A62EFF666E3E}">
          <x14:id>{2D72A85F-FCFA-45A4-9F12-3631294B3262}</x14:id>
        </ext>
      </extLst>
    </cfRule>
  </conditionalFormatting>
  <conditionalFormatting sqref="AG123">
    <cfRule type="dataBar" priority="379">
      <dataBar>
        <cfvo type="min"/>
        <cfvo type="max"/>
        <color rgb="FF63C384"/>
      </dataBar>
      <extLst>
        <ext xmlns:x14="http://schemas.microsoft.com/office/spreadsheetml/2009/9/main" uri="{B025F937-C7B1-47D3-B67F-A62EFF666E3E}">
          <x14:id>{CAADA8E1-6555-4648-AD0D-92FB94533EE6}</x14:id>
        </ext>
      </extLst>
    </cfRule>
  </conditionalFormatting>
  <conditionalFormatting sqref="Q124">
    <cfRule type="cellIs" dxfId="3016" priority="378" operator="equal">
      <formula>"ja"</formula>
    </cfRule>
  </conditionalFormatting>
  <conditionalFormatting sqref="AA124">
    <cfRule type="expression" dxfId="3015" priority="377">
      <formula>AND(AND($W124&lt;TODAY(),$W124&lt;&gt;""),$X124="")</formula>
    </cfRule>
  </conditionalFormatting>
  <conditionalFormatting sqref="AG124">
    <cfRule type="dataBar" priority="376">
      <dataBar>
        <cfvo type="min"/>
        <cfvo type="max"/>
        <color rgb="FF63C384"/>
      </dataBar>
      <extLst>
        <ext xmlns:x14="http://schemas.microsoft.com/office/spreadsheetml/2009/9/main" uri="{B025F937-C7B1-47D3-B67F-A62EFF666E3E}">
          <x14:id>{E3345115-7BB4-4F48-8144-6DB1ED970524}</x14:id>
        </ext>
      </extLst>
    </cfRule>
  </conditionalFormatting>
  <conditionalFormatting sqref="AG124">
    <cfRule type="dataBar" priority="375">
      <dataBar>
        <cfvo type="min"/>
        <cfvo type="max"/>
        <color rgb="FF63C384"/>
      </dataBar>
      <extLst>
        <ext xmlns:x14="http://schemas.microsoft.com/office/spreadsheetml/2009/9/main" uri="{B025F937-C7B1-47D3-B67F-A62EFF666E3E}">
          <x14:id>{146BFECE-991D-4A04-856E-115C4513288C}</x14:id>
        </ext>
      </extLst>
    </cfRule>
  </conditionalFormatting>
  <conditionalFormatting sqref="AA125">
    <cfRule type="expression" dxfId="3014" priority="374">
      <formula>AND(AND($W125&lt;TODAY(),$W125&lt;&gt;""),$X125="")</formula>
    </cfRule>
  </conditionalFormatting>
  <conditionalFormatting sqref="Q125">
    <cfRule type="cellIs" dxfId="3013" priority="373" operator="equal">
      <formula>"ja"</formula>
    </cfRule>
  </conditionalFormatting>
  <conditionalFormatting sqref="AG125">
    <cfRule type="dataBar" priority="372">
      <dataBar>
        <cfvo type="min"/>
        <cfvo type="max"/>
        <color rgb="FF63C384"/>
      </dataBar>
      <extLst>
        <ext xmlns:x14="http://schemas.microsoft.com/office/spreadsheetml/2009/9/main" uri="{B025F937-C7B1-47D3-B67F-A62EFF666E3E}">
          <x14:id>{774B633A-5A21-4B1D-8CD9-61B7644A799F}</x14:id>
        </ext>
      </extLst>
    </cfRule>
  </conditionalFormatting>
  <conditionalFormatting sqref="AG125">
    <cfRule type="dataBar" priority="371">
      <dataBar>
        <cfvo type="min"/>
        <cfvo type="max"/>
        <color rgb="FF63C384"/>
      </dataBar>
      <extLst>
        <ext xmlns:x14="http://schemas.microsoft.com/office/spreadsheetml/2009/9/main" uri="{B025F937-C7B1-47D3-B67F-A62EFF666E3E}">
          <x14:id>{F9BD8727-F60C-43A7-926A-05963DBF4271}</x14:id>
        </ext>
      </extLst>
    </cfRule>
  </conditionalFormatting>
  <conditionalFormatting sqref="Q126">
    <cfRule type="cellIs" dxfId="3012" priority="370" operator="equal">
      <formula>"ja"</formula>
    </cfRule>
  </conditionalFormatting>
  <conditionalFormatting sqref="AA126">
    <cfRule type="expression" dxfId="3011" priority="369">
      <formula>AND(AND($W126&lt;TODAY(),$W126&lt;&gt;""),$X126="")</formula>
    </cfRule>
  </conditionalFormatting>
  <conditionalFormatting sqref="AG126">
    <cfRule type="dataBar" priority="368">
      <dataBar>
        <cfvo type="min"/>
        <cfvo type="max"/>
        <color rgb="FF63C384"/>
      </dataBar>
      <extLst>
        <ext xmlns:x14="http://schemas.microsoft.com/office/spreadsheetml/2009/9/main" uri="{B025F937-C7B1-47D3-B67F-A62EFF666E3E}">
          <x14:id>{30514EFF-31A0-4B69-BCDB-E406646F6642}</x14:id>
        </ext>
      </extLst>
    </cfRule>
  </conditionalFormatting>
  <conditionalFormatting sqref="AG126">
    <cfRule type="dataBar" priority="367">
      <dataBar>
        <cfvo type="min"/>
        <cfvo type="max"/>
        <color rgb="FF63C384"/>
      </dataBar>
      <extLst>
        <ext xmlns:x14="http://schemas.microsoft.com/office/spreadsheetml/2009/9/main" uri="{B025F937-C7B1-47D3-B67F-A62EFF666E3E}">
          <x14:id>{70012B07-2641-4BE1-9487-FB3657BD975B}</x14:id>
        </ext>
      </extLst>
    </cfRule>
  </conditionalFormatting>
  <conditionalFormatting sqref="AA127">
    <cfRule type="expression" dxfId="3010" priority="366">
      <formula>AND(AND($W127&lt;TODAY(),$W127&lt;&gt;""),$X127="")</formula>
    </cfRule>
  </conditionalFormatting>
  <conditionalFormatting sqref="AG127">
    <cfRule type="dataBar" priority="365">
      <dataBar>
        <cfvo type="min"/>
        <cfvo type="max"/>
        <color rgb="FF63C384"/>
      </dataBar>
      <extLst>
        <ext xmlns:x14="http://schemas.microsoft.com/office/spreadsheetml/2009/9/main" uri="{B025F937-C7B1-47D3-B67F-A62EFF666E3E}">
          <x14:id>{E2D26E97-E18A-4E98-87AA-7B6052B6A87C}</x14:id>
        </ext>
      </extLst>
    </cfRule>
  </conditionalFormatting>
  <conditionalFormatting sqref="AG127">
    <cfRule type="dataBar" priority="364">
      <dataBar>
        <cfvo type="min"/>
        <cfvo type="max"/>
        <color rgb="FF63C384"/>
      </dataBar>
      <extLst>
        <ext xmlns:x14="http://schemas.microsoft.com/office/spreadsheetml/2009/9/main" uri="{B025F937-C7B1-47D3-B67F-A62EFF666E3E}">
          <x14:id>{68636E9D-52F3-4E72-B20F-28CE91F0C027}</x14:id>
        </ext>
      </extLst>
    </cfRule>
  </conditionalFormatting>
  <conditionalFormatting sqref="Q127">
    <cfRule type="cellIs" dxfId="3009" priority="363" operator="equal">
      <formula>"ja"</formula>
    </cfRule>
  </conditionalFormatting>
  <conditionalFormatting sqref="AA128">
    <cfRule type="expression" dxfId="3008" priority="362">
      <formula>AND(AND($W128&lt;TODAY(),$W128&lt;&gt;""),$X128="")</formula>
    </cfRule>
  </conditionalFormatting>
  <conditionalFormatting sqref="AG128">
    <cfRule type="dataBar" priority="361">
      <dataBar>
        <cfvo type="min"/>
        <cfvo type="max"/>
        <color rgb="FF63C384"/>
      </dataBar>
      <extLst>
        <ext xmlns:x14="http://schemas.microsoft.com/office/spreadsheetml/2009/9/main" uri="{B025F937-C7B1-47D3-B67F-A62EFF666E3E}">
          <x14:id>{C1EB3327-E7D7-4A51-A5A7-78E3037035B3}</x14:id>
        </ext>
      </extLst>
    </cfRule>
  </conditionalFormatting>
  <conditionalFormatting sqref="AG128">
    <cfRule type="dataBar" priority="360">
      <dataBar>
        <cfvo type="min"/>
        <cfvo type="max"/>
        <color rgb="FF63C384"/>
      </dataBar>
      <extLst>
        <ext xmlns:x14="http://schemas.microsoft.com/office/spreadsheetml/2009/9/main" uri="{B025F937-C7B1-47D3-B67F-A62EFF666E3E}">
          <x14:id>{0A41D9C4-5984-47D6-BAC1-B8648677CBE9}</x14:id>
        </ext>
      </extLst>
    </cfRule>
  </conditionalFormatting>
  <conditionalFormatting sqref="Q128">
    <cfRule type="cellIs" dxfId="3007" priority="359" operator="equal">
      <formula>"ja"</formula>
    </cfRule>
  </conditionalFormatting>
  <conditionalFormatting sqref="Q129">
    <cfRule type="cellIs" dxfId="3006" priority="358" operator="equal">
      <formula>"ja"</formula>
    </cfRule>
  </conditionalFormatting>
  <conditionalFormatting sqref="AA129">
    <cfRule type="expression" dxfId="3005" priority="357">
      <formula>AND(AND($W129&lt;TODAY(),$W129&lt;&gt;""),$X129="")</formula>
    </cfRule>
  </conditionalFormatting>
  <conditionalFormatting sqref="AG129">
    <cfRule type="dataBar" priority="356">
      <dataBar>
        <cfvo type="min"/>
        <cfvo type="max"/>
        <color rgb="FF63C384"/>
      </dataBar>
      <extLst>
        <ext xmlns:x14="http://schemas.microsoft.com/office/spreadsheetml/2009/9/main" uri="{B025F937-C7B1-47D3-B67F-A62EFF666E3E}">
          <x14:id>{18408910-C9AA-43EE-B404-CB06933BBA24}</x14:id>
        </ext>
      </extLst>
    </cfRule>
  </conditionalFormatting>
  <conditionalFormatting sqref="AG129">
    <cfRule type="dataBar" priority="355">
      <dataBar>
        <cfvo type="min"/>
        <cfvo type="max"/>
        <color rgb="FF63C384"/>
      </dataBar>
      <extLst>
        <ext xmlns:x14="http://schemas.microsoft.com/office/spreadsheetml/2009/9/main" uri="{B025F937-C7B1-47D3-B67F-A62EFF666E3E}">
          <x14:id>{392BFDE1-5729-4063-A1EE-078AA43B3A85}</x14:id>
        </ext>
      </extLst>
    </cfRule>
  </conditionalFormatting>
  <conditionalFormatting sqref="AA130">
    <cfRule type="expression" dxfId="3004" priority="354">
      <formula>AND(AND($W130&lt;TODAY(),$W130&lt;&gt;""),$X130="")</formula>
    </cfRule>
  </conditionalFormatting>
  <conditionalFormatting sqref="AG130">
    <cfRule type="dataBar" priority="353">
      <dataBar>
        <cfvo type="min"/>
        <cfvo type="max"/>
        <color rgb="FF63C384"/>
      </dataBar>
      <extLst>
        <ext xmlns:x14="http://schemas.microsoft.com/office/spreadsheetml/2009/9/main" uri="{B025F937-C7B1-47D3-B67F-A62EFF666E3E}">
          <x14:id>{EDF4A5CC-15FC-42AC-AAD3-DDDBA6B2D6B0}</x14:id>
        </ext>
      </extLst>
    </cfRule>
  </conditionalFormatting>
  <conditionalFormatting sqref="AG130">
    <cfRule type="dataBar" priority="352">
      <dataBar>
        <cfvo type="min"/>
        <cfvo type="max"/>
        <color rgb="FF63C384"/>
      </dataBar>
      <extLst>
        <ext xmlns:x14="http://schemas.microsoft.com/office/spreadsheetml/2009/9/main" uri="{B025F937-C7B1-47D3-B67F-A62EFF666E3E}">
          <x14:id>{0FD7D263-2329-4210-8F4D-C35F480EF056}</x14:id>
        </ext>
      </extLst>
    </cfRule>
  </conditionalFormatting>
  <conditionalFormatting sqref="Q130">
    <cfRule type="cellIs" dxfId="3003" priority="351" operator="equal">
      <formula>"ja"</formula>
    </cfRule>
  </conditionalFormatting>
  <conditionalFormatting sqref="Q131">
    <cfRule type="cellIs" dxfId="3002" priority="350" operator="equal">
      <formula>"ja"</formula>
    </cfRule>
  </conditionalFormatting>
  <conditionalFormatting sqref="AA131">
    <cfRule type="expression" dxfId="3001" priority="349">
      <formula>AND(AND($W131&lt;TODAY(),$W131&lt;&gt;""),$X131="")</formula>
    </cfRule>
  </conditionalFormatting>
  <conditionalFormatting sqref="AG131">
    <cfRule type="dataBar" priority="348">
      <dataBar>
        <cfvo type="min"/>
        <cfvo type="max"/>
        <color rgb="FF63C384"/>
      </dataBar>
      <extLst>
        <ext xmlns:x14="http://schemas.microsoft.com/office/spreadsheetml/2009/9/main" uri="{B025F937-C7B1-47D3-B67F-A62EFF666E3E}">
          <x14:id>{DBB3E7C1-F263-47F4-AE32-931027B5821B}</x14:id>
        </ext>
      </extLst>
    </cfRule>
  </conditionalFormatting>
  <conditionalFormatting sqref="AG131">
    <cfRule type="dataBar" priority="347">
      <dataBar>
        <cfvo type="min"/>
        <cfvo type="max"/>
        <color rgb="FF63C384"/>
      </dataBar>
      <extLst>
        <ext xmlns:x14="http://schemas.microsoft.com/office/spreadsheetml/2009/9/main" uri="{B025F937-C7B1-47D3-B67F-A62EFF666E3E}">
          <x14:id>{198774C6-927B-453E-AAC5-507E4AFF6FF9}</x14:id>
        </ext>
      </extLst>
    </cfRule>
  </conditionalFormatting>
  <conditionalFormatting sqref="AA131">
    <cfRule type="expression" dxfId="3000" priority="346">
      <formula>AND(AND($W131&lt;TODAY(),$W131&lt;&gt;""),$X131="")</formula>
    </cfRule>
  </conditionalFormatting>
  <conditionalFormatting sqref="Q131">
    <cfRule type="cellIs" dxfId="2999" priority="345" operator="equal">
      <formula>"ja"</formula>
    </cfRule>
  </conditionalFormatting>
  <conditionalFormatting sqref="AG131">
    <cfRule type="dataBar" priority="344">
      <dataBar>
        <cfvo type="min"/>
        <cfvo type="max"/>
        <color rgb="FF63C384"/>
      </dataBar>
      <extLst>
        <ext xmlns:x14="http://schemas.microsoft.com/office/spreadsheetml/2009/9/main" uri="{B025F937-C7B1-47D3-B67F-A62EFF666E3E}">
          <x14:id>{FEBD0678-B0C6-412B-85D4-08A38AFB1FB5}</x14:id>
        </ext>
      </extLst>
    </cfRule>
  </conditionalFormatting>
  <conditionalFormatting sqref="AG131">
    <cfRule type="dataBar" priority="343">
      <dataBar>
        <cfvo type="min"/>
        <cfvo type="max"/>
        <color rgb="FF63C384"/>
      </dataBar>
      <extLst>
        <ext xmlns:x14="http://schemas.microsoft.com/office/spreadsheetml/2009/9/main" uri="{B025F937-C7B1-47D3-B67F-A62EFF666E3E}">
          <x14:id>{EB3F27D6-BA1F-4953-B655-1CFE0C1CEF8C}</x14:id>
        </ext>
      </extLst>
    </cfRule>
  </conditionalFormatting>
  <conditionalFormatting sqref="Q132">
    <cfRule type="cellIs" dxfId="2998" priority="342" operator="equal">
      <formula>"ja"</formula>
    </cfRule>
  </conditionalFormatting>
  <conditionalFormatting sqref="Q132">
    <cfRule type="cellIs" dxfId="2997" priority="330" operator="equal">
      <formula>"ja"</formula>
    </cfRule>
  </conditionalFormatting>
  <conditionalFormatting sqref="AA132">
    <cfRule type="expression" dxfId="2996" priority="329">
      <formula>AND(AND($W132&lt;TODAY(),$W132&lt;&gt;""),$X132="")</formula>
    </cfRule>
  </conditionalFormatting>
  <conditionalFormatting sqref="AA132">
    <cfRule type="expression" dxfId="2995" priority="341">
      <formula>AND(AND($W132&lt;TODAY(),$W132&lt;&gt;""),$X132="")</formula>
    </cfRule>
  </conditionalFormatting>
  <conditionalFormatting sqref="AG132">
    <cfRule type="dataBar" priority="340">
      <dataBar>
        <cfvo type="min"/>
        <cfvo type="max"/>
        <color rgb="FF63C384"/>
      </dataBar>
      <extLst>
        <ext xmlns:x14="http://schemas.microsoft.com/office/spreadsheetml/2009/9/main" uri="{B025F937-C7B1-47D3-B67F-A62EFF666E3E}">
          <x14:id>{EFB37FF8-4183-4006-B8F1-611011408DB0}</x14:id>
        </ext>
      </extLst>
    </cfRule>
  </conditionalFormatting>
  <conditionalFormatting sqref="AG132">
    <cfRule type="dataBar" priority="339">
      <dataBar>
        <cfvo type="min"/>
        <cfvo type="max"/>
        <color rgb="FF63C384"/>
      </dataBar>
      <extLst>
        <ext xmlns:x14="http://schemas.microsoft.com/office/spreadsheetml/2009/9/main" uri="{B025F937-C7B1-47D3-B67F-A62EFF666E3E}">
          <x14:id>{FD74946B-A4CE-47B7-93F1-0FFA9E8D2113}</x14:id>
        </ext>
      </extLst>
    </cfRule>
  </conditionalFormatting>
  <conditionalFormatting sqref="Q132">
    <cfRule type="cellIs" dxfId="2994" priority="338" operator="equal">
      <formula>"ja"</formula>
    </cfRule>
  </conditionalFormatting>
  <conditionalFormatting sqref="AA132">
    <cfRule type="expression" dxfId="2993" priority="337">
      <formula>AND(AND($W132&lt;TODAY(),$W132&lt;&gt;""),$X132="")</formula>
    </cfRule>
  </conditionalFormatting>
  <conditionalFormatting sqref="AG132">
    <cfRule type="dataBar" priority="336">
      <dataBar>
        <cfvo type="min"/>
        <cfvo type="max"/>
        <color rgb="FF63C384"/>
      </dataBar>
      <extLst>
        <ext xmlns:x14="http://schemas.microsoft.com/office/spreadsheetml/2009/9/main" uri="{B025F937-C7B1-47D3-B67F-A62EFF666E3E}">
          <x14:id>{11ABA8F8-2728-4608-AE08-CDEC79C60E9B}</x14:id>
        </ext>
      </extLst>
    </cfRule>
  </conditionalFormatting>
  <conditionalFormatting sqref="AG132">
    <cfRule type="dataBar" priority="335">
      <dataBar>
        <cfvo type="min"/>
        <cfvo type="max"/>
        <color rgb="FF63C384"/>
      </dataBar>
      <extLst>
        <ext xmlns:x14="http://schemas.microsoft.com/office/spreadsheetml/2009/9/main" uri="{B025F937-C7B1-47D3-B67F-A62EFF666E3E}">
          <x14:id>{45EE5624-69BD-45C3-89F0-BF12F98D9958}</x14:id>
        </ext>
      </extLst>
    </cfRule>
  </conditionalFormatting>
  <conditionalFormatting sqref="Q132">
    <cfRule type="cellIs" dxfId="2992" priority="334" operator="equal">
      <formula>"ja"</formula>
    </cfRule>
  </conditionalFormatting>
  <conditionalFormatting sqref="AA132">
    <cfRule type="expression" dxfId="2991" priority="333">
      <formula>AND(AND($W132&lt;TODAY(),$W132&lt;&gt;""),$X132="")</formula>
    </cfRule>
  </conditionalFormatting>
  <conditionalFormatting sqref="AG132">
    <cfRule type="dataBar" priority="332">
      <dataBar>
        <cfvo type="min"/>
        <cfvo type="max"/>
        <color rgb="FF63C384"/>
      </dataBar>
      <extLst>
        <ext xmlns:x14="http://schemas.microsoft.com/office/spreadsheetml/2009/9/main" uri="{B025F937-C7B1-47D3-B67F-A62EFF666E3E}">
          <x14:id>{4FC5B3EF-4DC7-42B5-B608-E1FB00AC0647}</x14:id>
        </ext>
      </extLst>
    </cfRule>
  </conditionalFormatting>
  <conditionalFormatting sqref="AG132">
    <cfRule type="dataBar" priority="331">
      <dataBar>
        <cfvo type="min"/>
        <cfvo type="max"/>
        <color rgb="FF63C384"/>
      </dataBar>
      <extLst>
        <ext xmlns:x14="http://schemas.microsoft.com/office/spreadsheetml/2009/9/main" uri="{B025F937-C7B1-47D3-B67F-A62EFF666E3E}">
          <x14:id>{6EE792AF-0228-4325-BC48-70EA8DE998B6}</x14:id>
        </ext>
      </extLst>
    </cfRule>
  </conditionalFormatting>
  <conditionalFormatting sqref="AG132">
    <cfRule type="dataBar" priority="328">
      <dataBar>
        <cfvo type="min"/>
        <cfvo type="max"/>
        <color rgb="FF63C384"/>
      </dataBar>
      <extLst>
        <ext xmlns:x14="http://schemas.microsoft.com/office/spreadsheetml/2009/9/main" uri="{B025F937-C7B1-47D3-B67F-A62EFF666E3E}">
          <x14:id>{E417533D-E735-47E8-87C7-115CFE8C3DA1}</x14:id>
        </ext>
      </extLst>
    </cfRule>
  </conditionalFormatting>
  <conditionalFormatting sqref="AG132">
    <cfRule type="dataBar" priority="327">
      <dataBar>
        <cfvo type="min"/>
        <cfvo type="max"/>
        <color rgb="FF63C384"/>
      </dataBar>
      <extLst>
        <ext xmlns:x14="http://schemas.microsoft.com/office/spreadsheetml/2009/9/main" uri="{B025F937-C7B1-47D3-B67F-A62EFF666E3E}">
          <x14:id>{FED6ECE8-F6F6-4609-867F-DA5074670D61}</x14:id>
        </ext>
      </extLst>
    </cfRule>
  </conditionalFormatting>
  <conditionalFormatting sqref="Q133">
    <cfRule type="cellIs" dxfId="2990" priority="326" operator="equal">
      <formula>"ja"</formula>
    </cfRule>
  </conditionalFormatting>
  <conditionalFormatting sqref="AA133">
    <cfRule type="expression" dxfId="2989" priority="325">
      <formula>AND(AND($W133&lt;TODAY(),$W133&lt;&gt;""),$X133="")</formula>
    </cfRule>
  </conditionalFormatting>
  <conditionalFormatting sqref="AG133">
    <cfRule type="dataBar" priority="324">
      <dataBar>
        <cfvo type="min"/>
        <cfvo type="max"/>
        <color rgb="FF63C384"/>
      </dataBar>
      <extLst>
        <ext xmlns:x14="http://schemas.microsoft.com/office/spreadsheetml/2009/9/main" uri="{B025F937-C7B1-47D3-B67F-A62EFF666E3E}">
          <x14:id>{D425FE88-0283-4AD9-AEA5-D5C69DD81DCF}</x14:id>
        </ext>
      </extLst>
    </cfRule>
  </conditionalFormatting>
  <conditionalFormatting sqref="AG133">
    <cfRule type="dataBar" priority="323">
      <dataBar>
        <cfvo type="min"/>
        <cfvo type="max"/>
        <color rgb="FF63C384"/>
      </dataBar>
      <extLst>
        <ext xmlns:x14="http://schemas.microsoft.com/office/spreadsheetml/2009/9/main" uri="{B025F937-C7B1-47D3-B67F-A62EFF666E3E}">
          <x14:id>{92CBAF00-D811-49B5-AEA8-F9FBA9C8E264}</x14:id>
        </ext>
      </extLst>
    </cfRule>
  </conditionalFormatting>
  <conditionalFormatting sqref="AA134">
    <cfRule type="expression" dxfId="2988" priority="322">
      <formula>AND(AND($W134&lt;TODAY(),$W134&lt;&gt;""),$X134="")</formula>
    </cfRule>
  </conditionalFormatting>
  <conditionalFormatting sqref="AG134">
    <cfRule type="dataBar" priority="321">
      <dataBar>
        <cfvo type="min"/>
        <cfvo type="max"/>
        <color rgb="FF63C384"/>
      </dataBar>
      <extLst>
        <ext xmlns:x14="http://schemas.microsoft.com/office/spreadsheetml/2009/9/main" uri="{B025F937-C7B1-47D3-B67F-A62EFF666E3E}">
          <x14:id>{FA23D198-E603-4C13-8016-C398EB77ABAE}</x14:id>
        </ext>
      </extLst>
    </cfRule>
  </conditionalFormatting>
  <conditionalFormatting sqref="AG134">
    <cfRule type="dataBar" priority="320">
      <dataBar>
        <cfvo type="min"/>
        <cfvo type="max"/>
        <color rgb="FF63C384"/>
      </dataBar>
      <extLst>
        <ext xmlns:x14="http://schemas.microsoft.com/office/spreadsheetml/2009/9/main" uri="{B025F937-C7B1-47D3-B67F-A62EFF666E3E}">
          <x14:id>{21C13F1A-CA97-4B6B-8AAA-17C9DD87EEBA}</x14:id>
        </ext>
      </extLst>
    </cfRule>
  </conditionalFormatting>
  <conditionalFormatting sqref="Q134">
    <cfRule type="cellIs" dxfId="2987" priority="319" operator="equal">
      <formula>"ja"</formula>
    </cfRule>
  </conditionalFormatting>
  <conditionalFormatting sqref="Q135">
    <cfRule type="cellIs" dxfId="2986" priority="318" operator="equal">
      <formula>"ja"</formula>
    </cfRule>
  </conditionalFormatting>
  <conditionalFormatting sqref="AA135">
    <cfRule type="expression" dxfId="2985" priority="317">
      <formula>AND(AND($W135&lt;TODAY(),$W135&lt;&gt;""),$X135="")</formula>
    </cfRule>
  </conditionalFormatting>
  <conditionalFormatting sqref="AG135">
    <cfRule type="dataBar" priority="316">
      <dataBar>
        <cfvo type="min"/>
        <cfvo type="max"/>
        <color rgb="FF63C384"/>
      </dataBar>
      <extLst>
        <ext xmlns:x14="http://schemas.microsoft.com/office/spreadsheetml/2009/9/main" uri="{B025F937-C7B1-47D3-B67F-A62EFF666E3E}">
          <x14:id>{B01FA2F9-C1BA-448F-90EB-71D3B27F09C7}</x14:id>
        </ext>
      </extLst>
    </cfRule>
  </conditionalFormatting>
  <conditionalFormatting sqref="AG135">
    <cfRule type="dataBar" priority="315">
      <dataBar>
        <cfvo type="min"/>
        <cfvo type="max"/>
        <color rgb="FF63C384"/>
      </dataBar>
      <extLst>
        <ext xmlns:x14="http://schemas.microsoft.com/office/spreadsheetml/2009/9/main" uri="{B025F937-C7B1-47D3-B67F-A62EFF666E3E}">
          <x14:id>{6AB3B42C-29ED-4FBC-A68D-9855D4B6A708}</x14:id>
        </ext>
      </extLst>
    </cfRule>
  </conditionalFormatting>
  <conditionalFormatting sqref="AA136">
    <cfRule type="expression" dxfId="2984" priority="314">
      <formula>AND(AND($W136&lt;TODAY(),$W136&lt;&gt;""),$X136="")</formula>
    </cfRule>
  </conditionalFormatting>
  <conditionalFormatting sqref="AG136">
    <cfRule type="dataBar" priority="313">
      <dataBar>
        <cfvo type="min"/>
        <cfvo type="max"/>
        <color rgb="FF63C384"/>
      </dataBar>
      <extLst>
        <ext xmlns:x14="http://schemas.microsoft.com/office/spreadsheetml/2009/9/main" uri="{B025F937-C7B1-47D3-B67F-A62EFF666E3E}">
          <x14:id>{07595043-CB11-41C8-AE5B-B64A28DCCB7B}</x14:id>
        </ext>
      </extLst>
    </cfRule>
  </conditionalFormatting>
  <conditionalFormatting sqref="AG136">
    <cfRule type="dataBar" priority="312">
      <dataBar>
        <cfvo type="min"/>
        <cfvo type="max"/>
        <color rgb="FF63C384"/>
      </dataBar>
      <extLst>
        <ext xmlns:x14="http://schemas.microsoft.com/office/spreadsheetml/2009/9/main" uri="{B025F937-C7B1-47D3-B67F-A62EFF666E3E}">
          <x14:id>{204F7A9D-BA15-417E-BF77-5836D4B458E4}</x14:id>
        </ext>
      </extLst>
    </cfRule>
  </conditionalFormatting>
  <conditionalFormatting sqref="Q136">
    <cfRule type="cellIs" dxfId="2983" priority="311" operator="equal">
      <formula>"ja"</formula>
    </cfRule>
  </conditionalFormatting>
  <conditionalFormatting sqref="Q137">
    <cfRule type="cellIs" dxfId="2982" priority="310" operator="equal">
      <formula>"ja"</formula>
    </cfRule>
  </conditionalFormatting>
  <conditionalFormatting sqref="AA137">
    <cfRule type="expression" dxfId="2981" priority="309">
      <formula>AND(AND($W137&lt;TODAY(),$W137&lt;&gt;""),$X137="")</formula>
    </cfRule>
  </conditionalFormatting>
  <conditionalFormatting sqref="AG137">
    <cfRule type="dataBar" priority="308">
      <dataBar>
        <cfvo type="min"/>
        <cfvo type="max"/>
        <color rgb="FF63C384"/>
      </dataBar>
      <extLst>
        <ext xmlns:x14="http://schemas.microsoft.com/office/spreadsheetml/2009/9/main" uri="{B025F937-C7B1-47D3-B67F-A62EFF666E3E}">
          <x14:id>{F6936457-3ED0-4890-A0FB-D033A969824E}</x14:id>
        </ext>
      </extLst>
    </cfRule>
  </conditionalFormatting>
  <conditionalFormatting sqref="AG137">
    <cfRule type="dataBar" priority="307">
      <dataBar>
        <cfvo type="min"/>
        <cfvo type="max"/>
        <color rgb="FF63C384"/>
      </dataBar>
      <extLst>
        <ext xmlns:x14="http://schemas.microsoft.com/office/spreadsheetml/2009/9/main" uri="{B025F937-C7B1-47D3-B67F-A62EFF666E3E}">
          <x14:id>{440F05D8-85AD-4517-9CD6-7DB952ED8C44}</x14:id>
        </ext>
      </extLst>
    </cfRule>
  </conditionalFormatting>
  <conditionalFormatting sqref="AA138">
    <cfRule type="expression" dxfId="2980" priority="306">
      <formula>AND(AND($W138&lt;TODAY(),$W138&lt;&gt;""),$X138="")</formula>
    </cfRule>
  </conditionalFormatting>
  <conditionalFormatting sqref="Q138">
    <cfRule type="cellIs" dxfId="2979" priority="305" operator="equal">
      <formula>"ja"</formula>
    </cfRule>
  </conditionalFormatting>
  <conditionalFormatting sqref="AG138">
    <cfRule type="dataBar" priority="304">
      <dataBar>
        <cfvo type="min"/>
        <cfvo type="max"/>
        <color rgb="FF63C384"/>
      </dataBar>
      <extLst>
        <ext xmlns:x14="http://schemas.microsoft.com/office/spreadsheetml/2009/9/main" uri="{B025F937-C7B1-47D3-B67F-A62EFF666E3E}">
          <x14:id>{2633D5F5-F757-41BE-8B06-FE819D97FE70}</x14:id>
        </ext>
      </extLst>
    </cfRule>
  </conditionalFormatting>
  <conditionalFormatting sqref="AG138">
    <cfRule type="dataBar" priority="303">
      <dataBar>
        <cfvo type="min"/>
        <cfvo type="max"/>
        <color rgb="FF63C384"/>
      </dataBar>
      <extLst>
        <ext xmlns:x14="http://schemas.microsoft.com/office/spreadsheetml/2009/9/main" uri="{B025F937-C7B1-47D3-B67F-A62EFF666E3E}">
          <x14:id>{4C287C5D-D82F-418A-B6F7-E08CEFA647F4}</x14:id>
        </ext>
      </extLst>
    </cfRule>
  </conditionalFormatting>
  <conditionalFormatting sqref="AA139">
    <cfRule type="expression" dxfId="2978" priority="302">
      <formula>AND(AND($W139&lt;TODAY(),$W139&lt;&gt;""),$X139="")</formula>
    </cfRule>
  </conditionalFormatting>
  <conditionalFormatting sqref="AG139">
    <cfRule type="dataBar" priority="301">
      <dataBar>
        <cfvo type="min"/>
        <cfvo type="max"/>
        <color rgb="FF63C384"/>
      </dataBar>
      <extLst>
        <ext xmlns:x14="http://schemas.microsoft.com/office/spreadsheetml/2009/9/main" uri="{B025F937-C7B1-47D3-B67F-A62EFF666E3E}">
          <x14:id>{5F349829-AD8C-4E44-806F-21BC4A4212E4}</x14:id>
        </ext>
      </extLst>
    </cfRule>
  </conditionalFormatting>
  <conditionalFormatting sqref="AG139">
    <cfRule type="dataBar" priority="300">
      <dataBar>
        <cfvo type="min"/>
        <cfvo type="max"/>
        <color rgb="FF63C384"/>
      </dataBar>
      <extLst>
        <ext xmlns:x14="http://schemas.microsoft.com/office/spreadsheetml/2009/9/main" uri="{B025F937-C7B1-47D3-B67F-A62EFF666E3E}">
          <x14:id>{D212EC1B-BE71-47A8-B423-9044883C7545}</x14:id>
        </ext>
      </extLst>
    </cfRule>
  </conditionalFormatting>
  <conditionalFormatting sqref="Q139">
    <cfRule type="cellIs" dxfId="2977" priority="299" operator="equal">
      <formula>"ja"</formula>
    </cfRule>
  </conditionalFormatting>
  <conditionalFormatting sqref="AA140">
    <cfRule type="expression" dxfId="2976" priority="298">
      <formula>AND(AND($W140&lt;TODAY(),$W140&lt;&gt;""),$X140="")</formula>
    </cfRule>
  </conditionalFormatting>
  <conditionalFormatting sqref="AG140">
    <cfRule type="dataBar" priority="297">
      <dataBar>
        <cfvo type="min"/>
        <cfvo type="max"/>
        <color rgb="FF63C384"/>
      </dataBar>
      <extLst>
        <ext xmlns:x14="http://schemas.microsoft.com/office/spreadsheetml/2009/9/main" uri="{B025F937-C7B1-47D3-B67F-A62EFF666E3E}">
          <x14:id>{1DB75D5A-CDCA-4BB6-8F6B-1B57F0F7A757}</x14:id>
        </ext>
      </extLst>
    </cfRule>
  </conditionalFormatting>
  <conditionalFormatting sqref="AG140">
    <cfRule type="dataBar" priority="296">
      <dataBar>
        <cfvo type="min"/>
        <cfvo type="max"/>
        <color rgb="FF63C384"/>
      </dataBar>
      <extLst>
        <ext xmlns:x14="http://schemas.microsoft.com/office/spreadsheetml/2009/9/main" uri="{B025F937-C7B1-47D3-B67F-A62EFF666E3E}">
          <x14:id>{4D304229-5B22-4E5F-8027-E331AE948F17}</x14:id>
        </ext>
      </extLst>
    </cfRule>
  </conditionalFormatting>
  <conditionalFormatting sqref="Q140">
    <cfRule type="cellIs" dxfId="2975" priority="295" operator="equal">
      <formula>"ja"</formula>
    </cfRule>
  </conditionalFormatting>
  <conditionalFormatting sqref="Q141">
    <cfRule type="cellIs" dxfId="2974" priority="294" operator="equal">
      <formula>"ja"</formula>
    </cfRule>
  </conditionalFormatting>
  <conditionalFormatting sqref="AA141">
    <cfRule type="expression" dxfId="2973" priority="293">
      <formula>AND(AND($W141&lt;TODAY(),$W141&lt;&gt;""),$X141="")</formula>
    </cfRule>
  </conditionalFormatting>
  <conditionalFormatting sqref="AG141">
    <cfRule type="dataBar" priority="292">
      <dataBar>
        <cfvo type="min"/>
        <cfvo type="max"/>
        <color rgb="FF63C384"/>
      </dataBar>
      <extLst>
        <ext xmlns:x14="http://schemas.microsoft.com/office/spreadsheetml/2009/9/main" uri="{B025F937-C7B1-47D3-B67F-A62EFF666E3E}">
          <x14:id>{0CA74A9B-A89E-42DC-9B6D-1693361594C2}</x14:id>
        </ext>
      </extLst>
    </cfRule>
  </conditionalFormatting>
  <conditionalFormatting sqref="AG141">
    <cfRule type="dataBar" priority="291">
      <dataBar>
        <cfvo type="min"/>
        <cfvo type="max"/>
        <color rgb="FF63C384"/>
      </dataBar>
      <extLst>
        <ext xmlns:x14="http://schemas.microsoft.com/office/spreadsheetml/2009/9/main" uri="{B025F937-C7B1-47D3-B67F-A62EFF666E3E}">
          <x14:id>{FCA7323D-A3EC-44D7-B452-0D6054D24345}</x14:id>
        </ext>
      </extLst>
    </cfRule>
  </conditionalFormatting>
  <conditionalFormatting sqref="AA141">
    <cfRule type="expression" dxfId="2972" priority="290">
      <formula>AND(AND($W141&lt;TODAY(),$W141&lt;&gt;""),$X141="")</formula>
    </cfRule>
  </conditionalFormatting>
  <conditionalFormatting sqref="Q141">
    <cfRule type="cellIs" dxfId="2971" priority="289" operator="equal">
      <formula>"ja"</formula>
    </cfRule>
  </conditionalFormatting>
  <conditionalFormatting sqref="AG141">
    <cfRule type="dataBar" priority="288">
      <dataBar>
        <cfvo type="min"/>
        <cfvo type="max"/>
        <color rgb="FF63C384"/>
      </dataBar>
      <extLst>
        <ext xmlns:x14="http://schemas.microsoft.com/office/spreadsheetml/2009/9/main" uri="{B025F937-C7B1-47D3-B67F-A62EFF666E3E}">
          <x14:id>{42225AF4-E8EA-4182-AA52-09D5D510869D}</x14:id>
        </ext>
      </extLst>
    </cfRule>
  </conditionalFormatting>
  <conditionalFormatting sqref="AG141">
    <cfRule type="dataBar" priority="287">
      <dataBar>
        <cfvo type="min"/>
        <cfvo type="max"/>
        <color rgb="FF63C384"/>
      </dataBar>
      <extLst>
        <ext xmlns:x14="http://schemas.microsoft.com/office/spreadsheetml/2009/9/main" uri="{B025F937-C7B1-47D3-B67F-A62EFF666E3E}">
          <x14:id>{DCC7CDFA-1405-45C4-934B-7193165673B4}</x14:id>
        </ext>
      </extLst>
    </cfRule>
  </conditionalFormatting>
  <conditionalFormatting sqref="Q142">
    <cfRule type="cellIs" dxfId="2970" priority="286" operator="equal">
      <formula>"ja"</formula>
    </cfRule>
  </conditionalFormatting>
  <conditionalFormatting sqref="AA142">
    <cfRule type="expression" dxfId="2969" priority="285">
      <formula>AND(AND($W142&lt;TODAY(),$W142&lt;&gt;""),$X142="")</formula>
    </cfRule>
  </conditionalFormatting>
  <conditionalFormatting sqref="AG142">
    <cfRule type="dataBar" priority="284">
      <dataBar>
        <cfvo type="min"/>
        <cfvo type="max"/>
        <color rgb="FF63C384"/>
      </dataBar>
      <extLst>
        <ext xmlns:x14="http://schemas.microsoft.com/office/spreadsheetml/2009/9/main" uri="{B025F937-C7B1-47D3-B67F-A62EFF666E3E}">
          <x14:id>{3E6B38E0-0C56-4F73-8803-293F45285620}</x14:id>
        </ext>
      </extLst>
    </cfRule>
  </conditionalFormatting>
  <conditionalFormatting sqref="AG142">
    <cfRule type="dataBar" priority="283">
      <dataBar>
        <cfvo type="min"/>
        <cfvo type="max"/>
        <color rgb="FF63C384"/>
      </dataBar>
      <extLst>
        <ext xmlns:x14="http://schemas.microsoft.com/office/spreadsheetml/2009/9/main" uri="{B025F937-C7B1-47D3-B67F-A62EFF666E3E}">
          <x14:id>{89488020-6971-42EF-9CD3-7FA4F34F36A4}</x14:id>
        </ext>
      </extLst>
    </cfRule>
  </conditionalFormatting>
  <conditionalFormatting sqref="Q143">
    <cfRule type="cellIs" dxfId="2968" priority="282" operator="equal">
      <formula>"ja"</formula>
    </cfRule>
  </conditionalFormatting>
  <conditionalFormatting sqref="AA143">
    <cfRule type="expression" dxfId="2967" priority="281">
      <formula>AND(AND($W143&lt;TODAY(),$W143&lt;&gt;""),$X143="")</formula>
    </cfRule>
  </conditionalFormatting>
  <conditionalFormatting sqref="AG143">
    <cfRule type="dataBar" priority="280">
      <dataBar>
        <cfvo type="min"/>
        <cfvo type="max"/>
        <color rgb="FF63C384"/>
      </dataBar>
      <extLst>
        <ext xmlns:x14="http://schemas.microsoft.com/office/spreadsheetml/2009/9/main" uri="{B025F937-C7B1-47D3-B67F-A62EFF666E3E}">
          <x14:id>{4A53320A-CE24-414C-83C6-01CC2DE39591}</x14:id>
        </ext>
      </extLst>
    </cfRule>
  </conditionalFormatting>
  <conditionalFormatting sqref="AG143">
    <cfRule type="dataBar" priority="279">
      <dataBar>
        <cfvo type="min"/>
        <cfvo type="max"/>
        <color rgb="FF63C384"/>
      </dataBar>
      <extLst>
        <ext xmlns:x14="http://schemas.microsoft.com/office/spreadsheetml/2009/9/main" uri="{B025F937-C7B1-47D3-B67F-A62EFF666E3E}">
          <x14:id>{075407F2-CAC1-49C9-8F91-E4E4B1DDA73E}</x14:id>
        </ext>
      </extLst>
    </cfRule>
  </conditionalFormatting>
  <conditionalFormatting sqref="Q144">
    <cfRule type="cellIs" dxfId="2966" priority="278" operator="equal">
      <formula>"ja"</formula>
    </cfRule>
  </conditionalFormatting>
  <conditionalFormatting sqref="AA144">
    <cfRule type="expression" dxfId="2965" priority="277">
      <formula>AND(AND($W144&lt;TODAY(),$W144&lt;&gt;""),$X144="")</formula>
    </cfRule>
  </conditionalFormatting>
  <conditionalFormatting sqref="AG144">
    <cfRule type="dataBar" priority="276">
      <dataBar>
        <cfvo type="min"/>
        <cfvo type="max"/>
        <color rgb="FF63C384"/>
      </dataBar>
      <extLst>
        <ext xmlns:x14="http://schemas.microsoft.com/office/spreadsheetml/2009/9/main" uri="{B025F937-C7B1-47D3-B67F-A62EFF666E3E}">
          <x14:id>{CA475EE2-8305-4717-BAFF-54A45A3CE77B}</x14:id>
        </ext>
      </extLst>
    </cfRule>
  </conditionalFormatting>
  <conditionalFormatting sqref="AG144">
    <cfRule type="dataBar" priority="275">
      <dataBar>
        <cfvo type="min"/>
        <cfvo type="max"/>
        <color rgb="FF63C384"/>
      </dataBar>
      <extLst>
        <ext xmlns:x14="http://schemas.microsoft.com/office/spreadsheetml/2009/9/main" uri="{B025F937-C7B1-47D3-B67F-A62EFF666E3E}">
          <x14:id>{CC326F99-AA17-4724-9E66-EB0393C63CB7}</x14:id>
        </ext>
      </extLst>
    </cfRule>
  </conditionalFormatting>
  <conditionalFormatting sqref="Q145">
    <cfRule type="cellIs" dxfId="2964" priority="274" operator="equal">
      <formula>"ja"</formula>
    </cfRule>
  </conditionalFormatting>
  <conditionalFormatting sqref="AA145">
    <cfRule type="expression" dxfId="2963" priority="273">
      <formula>AND(AND($W145&lt;TODAY(),$W145&lt;&gt;""),$X145="")</formula>
    </cfRule>
  </conditionalFormatting>
  <conditionalFormatting sqref="AG145">
    <cfRule type="dataBar" priority="272">
      <dataBar>
        <cfvo type="min"/>
        <cfvo type="max"/>
        <color rgb="FF63C384"/>
      </dataBar>
      <extLst>
        <ext xmlns:x14="http://schemas.microsoft.com/office/spreadsheetml/2009/9/main" uri="{B025F937-C7B1-47D3-B67F-A62EFF666E3E}">
          <x14:id>{6733471C-CC38-47D2-B1BE-1BAE095FD661}</x14:id>
        </ext>
      </extLst>
    </cfRule>
  </conditionalFormatting>
  <conditionalFormatting sqref="AG145">
    <cfRule type="dataBar" priority="271">
      <dataBar>
        <cfvo type="min"/>
        <cfvo type="max"/>
        <color rgb="FF63C384"/>
      </dataBar>
      <extLst>
        <ext xmlns:x14="http://schemas.microsoft.com/office/spreadsheetml/2009/9/main" uri="{B025F937-C7B1-47D3-B67F-A62EFF666E3E}">
          <x14:id>{27F3D8C1-7363-4970-B813-FF8B1BC3323B}</x14:id>
        </ext>
      </extLst>
    </cfRule>
  </conditionalFormatting>
  <conditionalFormatting sqref="AA146">
    <cfRule type="expression" dxfId="2962" priority="270">
      <formula>AND(AND($W146&lt;TODAY(),$W146&lt;&gt;""),$X146="")</formula>
    </cfRule>
  </conditionalFormatting>
  <conditionalFormatting sqref="AG146">
    <cfRule type="dataBar" priority="269">
      <dataBar>
        <cfvo type="min"/>
        <cfvo type="max"/>
        <color rgb="FF63C384"/>
      </dataBar>
      <extLst>
        <ext xmlns:x14="http://schemas.microsoft.com/office/spreadsheetml/2009/9/main" uri="{B025F937-C7B1-47D3-B67F-A62EFF666E3E}">
          <x14:id>{AB724692-3D43-4AA3-9424-82151317F6BD}</x14:id>
        </ext>
      </extLst>
    </cfRule>
  </conditionalFormatting>
  <conditionalFormatting sqref="AG146">
    <cfRule type="dataBar" priority="268">
      <dataBar>
        <cfvo type="min"/>
        <cfvo type="max"/>
        <color rgb="FF63C384"/>
      </dataBar>
      <extLst>
        <ext xmlns:x14="http://schemas.microsoft.com/office/spreadsheetml/2009/9/main" uri="{B025F937-C7B1-47D3-B67F-A62EFF666E3E}">
          <x14:id>{A686FCB6-A6E3-4D44-BEF9-C46637428209}</x14:id>
        </ext>
      </extLst>
    </cfRule>
  </conditionalFormatting>
  <conditionalFormatting sqref="Q146">
    <cfRule type="cellIs" dxfId="2961" priority="267" operator="equal">
      <formula>"ja"</formula>
    </cfRule>
  </conditionalFormatting>
  <conditionalFormatting sqref="Q147">
    <cfRule type="cellIs" dxfId="2960" priority="266" operator="equal">
      <formula>"ja"</formula>
    </cfRule>
  </conditionalFormatting>
  <conditionalFormatting sqref="Q147">
    <cfRule type="cellIs" dxfId="2959" priority="254" operator="equal">
      <formula>"ja"</formula>
    </cfRule>
  </conditionalFormatting>
  <conditionalFormatting sqref="AA147">
    <cfRule type="expression" dxfId="2958" priority="253">
      <formula>AND(AND($W147&lt;TODAY(),$W147&lt;&gt;""),$X147="")</formula>
    </cfRule>
  </conditionalFormatting>
  <conditionalFormatting sqref="AA147">
    <cfRule type="expression" dxfId="2957" priority="265">
      <formula>AND(AND($W147&lt;TODAY(),$W147&lt;&gt;""),$X147="")</formula>
    </cfRule>
  </conditionalFormatting>
  <conditionalFormatting sqref="AG147">
    <cfRule type="dataBar" priority="264">
      <dataBar>
        <cfvo type="min"/>
        <cfvo type="max"/>
        <color rgb="FF63C384"/>
      </dataBar>
      <extLst>
        <ext xmlns:x14="http://schemas.microsoft.com/office/spreadsheetml/2009/9/main" uri="{B025F937-C7B1-47D3-B67F-A62EFF666E3E}">
          <x14:id>{9E6A9D51-421B-421D-A66B-24B631CB364E}</x14:id>
        </ext>
      </extLst>
    </cfRule>
  </conditionalFormatting>
  <conditionalFormatting sqref="AG147">
    <cfRule type="dataBar" priority="263">
      <dataBar>
        <cfvo type="min"/>
        <cfvo type="max"/>
        <color rgb="FF63C384"/>
      </dataBar>
      <extLst>
        <ext xmlns:x14="http://schemas.microsoft.com/office/spreadsheetml/2009/9/main" uri="{B025F937-C7B1-47D3-B67F-A62EFF666E3E}">
          <x14:id>{84DE0FAA-C19D-45B7-A4EE-71790063691F}</x14:id>
        </ext>
      </extLst>
    </cfRule>
  </conditionalFormatting>
  <conditionalFormatting sqref="Q147">
    <cfRule type="cellIs" dxfId="2956" priority="262" operator="equal">
      <formula>"ja"</formula>
    </cfRule>
  </conditionalFormatting>
  <conditionalFormatting sqref="AA147">
    <cfRule type="expression" dxfId="2955" priority="261">
      <formula>AND(AND($W147&lt;TODAY(),$W147&lt;&gt;""),$X147="")</formula>
    </cfRule>
  </conditionalFormatting>
  <conditionalFormatting sqref="AG147">
    <cfRule type="dataBar" priority="260">
      <dataBar>
        <cfvo type="min"/>
        <cfvo type="max"/>
        <color rgb="FF63C384"/>
      </dataBar>
      <extLst>
        <ext xmlns:x14="http://schemas.microsoft.com/office/spreadsheetml/2009/9/main" uri="{B025F937-C7B1-47D3-B67F-A62EFF666E3E}">
          <x14:id>{B1B7FF50-17E0-44AD-B49C-232E75C819DA}</x14:id>
        </ext>
      </extLst>
    </cfRule>
  </conditionalFormatting>
  <conditionalFormatting sqref="AG147">
    <cfRule type="dataBar" priority="259">
      <dataBar>
        <cfvo type="min"/>
        <cfvo type="max"/>
        <color rgb="FF63C384"/>
      </dataBar>
      <extLst>
        <ext xmlns:x14="http://schemas.microsoft.com/office/spreadsheetml/2009/9/main" uri="{B025F937-C7B1-47D3-B67F-A62EFF666E3E}">
          <x14:id>{4D85B6D0-457F-4938-BD75-CF5E130CD10D}</x14:id>
        </ext>
      </extLst>
    </cfRule>
  </conditionalFormatting>
  <conditionalFormatting sqref="Q147">
    <cfRule type="cellIs" dxfId="2954" priority="258" operator="equal">
      <formula>"ja"</formula>
    </cfRule>
  </conditionalFormatting>
  <conditionalFormatting sqref="AA147">
    <cfRule type="expression" dxfId="2953" priority="257">
      <formula>AND(AND($W147&lt;TODAY(),$W147&lt;&gt;""),$X147="")</formula>
    </cfRule>
  </conditionalFormatting>
  <conditionalFormatting sqref="AG147">
    <cfRule type="dataBar" priority="256">
      <dataBar>
        <cfvo type="min"/>
        <cfvo type="max"/>
        <color rgb="FF63C384"/>
      </dataBar>
      <extLst>
        <ext xmlns:x14="http://schemas.microsoft.com/office/spreadsheetml/2009/9/main" uri="{B025F937-C7B1-47D3-B67F-A62EFF666E3E}">
          <x14:id>{809B84FE-B83B-4226-B8B9-373391A7D5F0}</x14:id>
        </ext>
      </extLst>
    </cfRule>
  </conditionalFormatting>
  <conditionalFormatting sqref="AG147">
    <cfRule type="dataBar" priority="255">
      <dataBar>
        <cfvo type="min"/>
        <cfvo type="max"/>
        <color rgb="FF63C384"/>
      </dataBar>
      <extLst>
        <ext xmlns:x14="http://schemas.microsoft.com/office/spreadsheetml/2009/9/main" uri="{B025F937-C7B1-47D3-B67F-A62EFF666E3E}">
          <x14:id>{009CAF7F-FAC9-4789-886D-B24E4B7D1BAF}</x14:id>
        </ext>
      </extLst>
    </cfRule>
  </conditionalFormatting>
  <conditionalFormatting sqref="AG147">
    <cfRule type="dataBar" priority="252">
      <dataBar>
        <cfvo type="min"/>
        <cfvo type="max"/>
        <color rgb="FF63C384"/>
      </dataBar>
      <extLst>
        <ext xmlns:x14="http://schemas.microsoft.com/office/spreadsheetml/2009/9/main" uri="{B025F937-C7B1-47D3-B67F-A62EFF666E3E}">
          <x14:id>{FA8D1F4A-E26E-43D9-A539-AAEA1954443B}</x14:id>
        </ext>
      </extLst>
    </cfRule>
  </conditionalFormatting>
  <conditionalFormatting sqref="AG147">
    <cfRule type="dataBar" priority="251">
      <dataBar>
        <cfvo type="min"/>
        <cfvo type="max"/>
        <color rgb="FF63C384"/>
      </dataBar>
      <extLst>
        <ext xmlns:x14="http://schemas.microsoft.com/office/spreadsheetml/2009/9/main" uri="{B025F937-C7B1-47D3-B67F-A62EFF666E3E}">
          <x14:id>{36315473-16F4-4510-9730-F6310847BFA1}</x14:id>
        </ext>
      </extLst>
    </cfRule>
  </conditionalFormatting>
  <conditionalFormatting sqref="AA148">
    <cfRule type="expression" dxfId="2952" priority="250">
      <formula>AND(AND($W148&lt;TODAY(),$W148&lt;&gt;""),$X148="")</formula>
    </cfRule>
  </conditionalFormatting>
  <conditionalFormatting sqref="AG148">
    <cfRule type="dataBar" priority="249">
      <dataBar>
        <cfvo type="min"/>
        <cfvo type="max"/>
        <color rgb="FF63C384"/>
      </dataBar>
      <extLst>
        <ext xmlns:x14="http://schemas.microsoft.com/office/spreadsheetml/2009/9/main" uri="{B025F937-C7B1-47D3-B67F-A62EFF666E3E}">
          <x14:id>{739972FB-49EB-4435-B6CA-790A621E1229}</x14:id>
        </ext>
      </extLst>
    </cfRule>
  </conditionalFormatting>
  <conditionalFormatting sqref="AG148">
    <cfRule type="dataBar" priority="248">
      <dataBar>
        <cfvo type="min"/>
        <cfvo type="max"/>
        <color rgb="FF63C384"/>
      </dataBar>
      <extLst>
        <ext xmlns:x14="http://schemas.microsoft.com/office/spreadsheetml/2009/9/main" uri="{B025F937-C7B1-47D3-B67F-A62EFF666E3E}">
          <x14:id>{8382A3C9-6EAB-4EB6-B054-E33FE602941F}</x14:id>
        </ext>
      </extLst>
    </cfRule>
  </conditionalFormatting>
  <conditionalFormatting sqref="Q148">
    <cfRule type="cellIs" dxfId="2951" priority="247" operator="equal">
      <formula>"ja"</formula>
    </cfRule>
  </conditionalFormatting>
  <conditionalFormatting sqref="Q149">
    <cfRule type="cellIs" dxfId="2950" priority="246" operator="equal">
      <formula>"ja"</formula>
    </cfRule>
  </conditionalFormatting>
  <conditionalFormatting sqref="AA149">
    <cfRule type="expression" dxfId="2949" priority="245">
      <formula>AND(AND($W149&lt;TODAY(),$W149&lt;&gt;""),$X149="")</formula>
    </cfRule>
  </conditionalFormatting>
  <conditionalFormatting sqref="AG149">
    <cfRule type="dataBar" priority="244">
      <dataBar>
        <cfvo type="min"/>
        <cfvo type="max"/>
        <color rgb="FF63C384"/>
      </dataBar>
      <extLst>
        <ext xmlns:x14="http://schemas.microsoft.com/office/spreadsheetml/2009/9/main" uri="{B025F937-C7B1-47D3-B67F-A62EFF666E3E}">
          <x14:id>{1E67E7B4-CE09-412B-8EFA-DB8B9CA850D6}</x14:id>
        </ext>
      </extLst>
    </cfRule>
  </conditionalFormatting>
  <conditionalFormatting sqref="AG149">
    <cfRule type="dataBar" priority="243">
      <dataBar>
        <cfvo type="min"/>
        <cfvo type="max"/>
        <color rgb="FF63C384"/>
      </dataBar>
      <extLst>
        <ext xmlns:x14="http://schemas.microsoft.com/office/spreadsheetml/2009/9/main" uri="{B025F937-C7B1-47D3-B67F-A62EFF666E3E}">
          <x14:id>{A491E08F-8CBA-4C39-AD5F-89B4E322467B}</x14:id>
        </ext>
      </extLst>
    </cfRule>
  </conditionalFormatting>
  <conditionalFormatting sqref="Q150">
    <cfRule type="cellIs" dxfId="2948" priority="242" operator="equal">
      <formula>"ja"</formula>
    </cfRule>
  </conditionalFormatting>
  <conditionalFormatting sqref="AA150">
    <cfRule type="expression" dxfId="2947" priority="241">
      <formula>AND(AND($W150&lt;TODAY(),$W150&lt;&gt;""),$X150="")</formula>
    </cfRule>
  </conditionalFormatting>
  <conditionalFormatting sqref="AG150">
    <cfRule type="dataBar" priority="240">
      <dataBar>
        <cfvo type="min"/>
        <cfvo type="max"/>
        <color rgb="FF63C384"/>
      </dataBar>
      <extLst>
        <ext xmlns:x14="http://schemas.microsoft.com/office/spreadsheetml/2009/9/main" uri="{B025F937-C7B1-47D3-B67F-A62EFF666E3E}">
          <x14:id>{B1904BF9-252D-4A9C-A8B0-68D10A2E079B}</x14:id>
        </ext>
      </extLst>
    </cfRule>
  </conditionalFormatting>
  <conditionalFormatting sqref="AG150">
    <cfRule type="dataBar" priority="239">
      <dataBar>
        <cfvo type="min"/>
        <cfvo type="max"/>
        <color rgb="FF63C384"/>
      </dataBar>
      <extLst>
        <ext xmlns:x14="http://schemas.microsoft.com/office/spreadsheetml/2009/9/main" uri="{B025F937-C7B1-47D3-B67F-A62EFF666E3E}">
          <x14:id>{69ECE7D5-9B25-4FB8-A405-9A7F2FE4A442}</x14:id>
        </ext>
      </extLst>
    </cfRule>
  </conditionalFormatting>
  <conditionalFormatting sqref="Q151">
    <cfRule type="cellIs" dxfId="2946" priority="238" operator="equal">
      <formula>"ja"</formula>
    </cfRule>
  </conditionalFormatting>
  <conditionalFormatting sqref="AA151">
    <cfRule type="expression" dxfId="2945" priority="237">
      <formula>AND(AND($W151&lt;TODAY(),$W151&lt;&gt;""),$X151="")</formula>
    </cfRule>
  </conditionalFormatting>
  <conditionalFormatting sqref="AG151">
    <cfRule type="dataBar" priority="236">
      <dataBar>
        <cfvo type="min"/>
        <cfvo type="max"/>
        <color rgb="FF63C384"/>
      </dataBar>
      <extLst>
        <ext xmlns:x14="http://schemas.microsoft.com/office/spreadsheetml/2009/9/main" uri="{B025F937-C7B1-47D3-B67F-A62EFF666E3E}">
          <x14:id>{30EDC619-83D4-489B-8A49-36B085F66156}</x14:id>
        </ext>
      </extLst>
    </cfRule>
  </conditionalFormatting>
  <conditionalFormatting sqref="AG151">
    <cfRule type="dataBar" priority="235">
      <dataBar>
        <cfvo type="min"/>
        <cfvo type="max"/>
        <color rgb="FF63C384"/>
      </dataBar>
      <extLst>
        <ext xmlns:x14="http://schemas.microsoft.com/office/spreadsheetml/2009/9/main" uri="{B025F937-C7B1-47D3-B67F-A62EFF666E3E}">
          <x14:id>{A7829C21-8848-4046-B0F9-153EE91C1D7E}</x14:id>
        </ext>
      </extLst>
    </cfRule>
  </conditionalFormatting>
  <conditionalFormatting sqref="AA152">
    <cfRule type="expression" dxfId="2944" priority="234">
      <formula>AND(AND($W152&lt;TODAY(),$W152&lt;&gt;""),$X152="")</formula>
    </cfRule>
  </conditionalFormatting>
  <conditionalFormatting sqref="Q152">
    <cfRule type="cellIs" dxfId="2943" priority="233" operator="equal">
      <formula>"ja"</formula>
    </cfRule>
  </conditionalFormatting>
  <conditionalFormatting sqref="AG152">
    <cfRule type="dataBar" priority="232">
      <dataBar>
        <cfvo type="min"/>
        <cfvo type="max"/>
        <color rgb="FF63C384"/>
      </dataBar>
      <extLst>
        <ext xmlns:x14="http://schemas.microsoft.com/office/spreadsheetml/2009/9/main" uri="{B025F937-C7B1-47D3-B67F-A62EFF666E3E}">
          <x14:id>{912F9BCF-B75D-40E0-B26D-133DD54EB21A}</x14:id>
        </ext>
      </extLst>
    </cfRule>
  </conditionalFormatting>
  <conditionalFormatting sqref="AG152">
    <cfRule type="dataBar" priority="231">
      <dataBar>
        <cfvo type="min"/>
        <cfvo type="max"/>
        <color rgb="FF63C384"/>
      </dataBar>
      <extLst>
        <ext xmlns:x14="http://schemas.microsoft.com/office/spreadsheetml/2009/9/main" uri="{B025F937-C7B1-47D3-B67F-A62EFF666E3E}">
          <x14:id>{C6F0319B-FF38-4A17-BEB2-78B45E31CEC3}</x14:id>
        </ext>
      </extLst>
    </cfRule>
  </conditionalFormatting>
  <conditionalFormatting sqref="AA153">
    <cfRule type="expression" dxfId="2942" priority="230">
      <formula>AND(AND($W153&lt;TODAY(),$W153&lt;&gt;""),$X153="")</formula>
    </cfRule>
  </conditionalFormatting>
  <conditionalFormatting sqref="AG153">
    <cfRule type="dataBar" priority="229">
      <dataBar>
        <cfvo type="min"/>
        <cfvo type="max"/>
        <color rgb="FF63C384"/>
      </dataBar>
      <extLst>
        <ext xmlns:x14="http://schemas.microsoft.com/office/spreadsheetml/2009/9/main" uri="{B025F937-C7B1-47D3-B67F-A62EFF666E3E}">
          <x14:id>{F1CAA1F4-173D-4063-AD40-0253C977B424}</x14:id>
        </ext>
      </extLst>
    </cfRule>
  </conditionalFormatting>
  <conditionalFormatting sqref="AG153">
    <cfRule type="dataBar" priority="228">
      <dataBar>
        <cfvo type="min"/>
        <cfvo type="max"/>
        <color rgb="FF63C384"/>
      </dataBar>
      <extLst>
        <ext xmlns:x14="http://schemas.microsoft.com/office/spreadsheetml/2009/9/main" uri="{B025F937-C7B1-47D3-B67F-A62EFF666E3E}">
          <x14:id>{46988DBD-348C-4567-9857-85691600AF4C}</x14:id>
        </ext>
      </extLst>
    </cfRule>
  </conditionalFormatting>
  <conditionalFormatting sqref="AA154">
    <cfRule type="expression" dxfId="2941" priority="227">
      <formula>AND(AND($W154&lt;TODAY(),$W154&lt;&gt;""),$X154="")</formula>
    </cfRule>
  </conditionalFormatting>
  <conditionalFormatting sqref="AG154">
    <cfRule type="dataBar" priority="226">
      <dataBar>
        <cfvo type="min"/>
        <cfvo type="max"/>
        <color rgb="FF63C384"/>
      </dataBar>
      <extLst>
        <ext xmlns:x14="http://schemas.microsoft.com/office/spreadsheetml/2009/9/main" uri="{B025F937-C7B1-47D3-B67F-A62EFF666E3E}">
          <x14:id>{E9248B9F-4732-4C49-BA59-FDBAED94E2B6}</x14:id>
        </ext>
      </extLst>
    </cfRule>
  </conditionalFormatting>
  <conditionalFormatting sqref="AG154">
    <cfRule type="dataBar" priority="225">
      <dataBar>
        <cfvo type="min"/>
        <cfvo type="max"/>
        <color rgb="FF63C384"/>
      </dataBar>
      <extLst>
        <ext xmlns:x14="http://schemas.microsoft.com/office/spreadsheetml/2009/9/main" uri="{B025F937-C7B1-47D3-B67F-A62EFF666E3E}">
          <x14:id>{10A7E0EF-6D1E-46A7-8604-3E3472940EE1}</x14:id>
        </ext>
      </extLst>
    </cfRule>
  </conditionalFormatting>
  <conditionalFormatting sqref="Q154">
    <cfRule type="cellIs" dxfId="2940" priority="224" operator="equal">
      <formula>"ja"</formula>
    </cfRule>
  </conditionalFormatting>
  <conditionalFormatting sqref="Q155">
    <cfRule type="cellIs" dxfId="2939" priority="223" operator="equal">
      <formula>"ja"</formula>
    </cfRule>
  </conditionalFormatting>
  <conditionalFormatting sqref="AA155">
    <cfRule type="expression" dxfId="2938" priority="222">
      <formula>AND(AND($W155&lt;TODAY(),$W155&lt;&gt;""),$X155="")</formula>
    </cfRule>
  </conditionalFormatting>
  <conditionalFormatting sqref="AG155">
    <cfRule type="dataBar" priority="221">
      <dataBar>
        <cfvo type="min"/>
        <cfvo type="max"/>
        <color rgb="FF63C384"/>
      </dataBar>
      <extLst>
        <ext xmlns:x14="http://schemas.microsoft.com/office/spreadsheetml/2009/9/main" uri="{B025F937-C7B1-47D3-B67F-A62EFF666E3E}">
          <x14:id>{3048D991-6E2F-419C-A011-16CE3EB8AECC}</x14:id>
        </ext>
      </extLst>
    </cfRule>
  </conditionalFormatting>
  <conditionalFormatting sqref="AG155">
    <cfRule type="dataBar" priority="220">
      <dataBar>
        <cfvo type="min"/>
        <cfvo type="max"/>
        <color rgb="FF63C384"/>
      </dataBar>
      <extLst>
        <ext xmlns:x14="http://schemas.microsoft.com/office/spreadsheetml/2009/9/main" uri="{B025F937-C7B1-47D3-B67F-A62EFF666E3E}">
          <x14:id>{FC8058B9-65CA-4B3B-A5DF-294F6F3110A7}</x14:id>
        </ext>
      </extLst>
    </cfRule>
  </conditionalFormatting>
  <conditionalFormatting sqref="AA156">
    <cfRule type="expression" dxfId="2937" priority="219">
      <formula>AND(AND($W156&lt;TODAY(),$W156&lt;&gt;""),$X156="")</formula>
    </cfRule>
  </conditionalFormatting>
  <conditionalFormatting sqref="AG156">
    <cfRule type="dataBar" priority="218">
      <dataBar>
        <cfvo type="min"/>
        <cfvo type="max"/>
        <color rgb="FF63C384"/>
      </dataBar>
      <extLst>
        <ext xmlns:x14="http://schemas.microsoft.com/office/spreadsheetml/2009/9/main" uri="{B025F937-C7B1-47D3-B67F-A62EFF666E3E}">
          <x14:id>{75FC50B0-E5FF-4A02-8037-6E8539103062}</x14:id>
        </ext>
      </extLst>
    </cfRule>
  </conditionalFormatting>
  <conditionalFormatting sqref="AG156">
    <cfRule type="dataBar" priority="217">
      <dataBar>
        <cfvo type="min"/>
        <cfvo type="max"/>
        <color rgb="FF63C384"/>
      </dataBar>
      <extLst>
        <ext xmlns:x14="http://schemas.microsoft.com/office/spreadsheetml/2009/9/main" uri="{B025F937-C7B1-47D3-B67F-A62EFF666E3E}">
          <x14:id>{F535DDDB-4482-4C4D-87BA-D76926A160FB}</x14:id>
        </ext>
      </extLst>
    </cfRule>
  </conditionalFormatting>
  <conditionalFormatting sqref="Q157">
    <cfRule type="cellIs" dxfId="2936" priority="216" operator="equal">
      <formula>"ja"</formula>
    </cfRule>
  </conditionalFormatting>
  <conditionalFormatting sqref="AA157">
    <cfRule type="expression" dxfId="2935" priority="215">
      <formula>AND(AND($W157&lt;TODAY(),$W157&lt;&gt;""),$X157="")</formula>
    </cfRule>
  </conditionalFormatting>
  <conditionalFormatting sqref="AG157">
    <cfRule type="dataBar" priority="214">
      <dataBar>
        <cfvo type="min"/>
        <cfvo type="max"/>
        <color rgb="FF63C384"/>
      </dataBar>
      <extLst>
        <ext xmlns:x14="http://schemas.microsoft.com/office/spreadsheetml/2009/9/main" uri="{B025F937-C7B1-47D3-B67F-A62EFF666E3E}">
          <x14:id>{A672A59F-E5FD-40D3-9E3A-AFDD045575F1}</x14:id>
        </ext>
      </extLst>
    </cfRule>
  </conditionalFormatting>
  <conditionalFormatting sqref="AG157">
    <cfRule type="dataBar" priority="213">
      <dataBar>
        <cfvo type="min"/>
        <cfvo type="max"/>
        <color rgb="FF63C384"/>
      </dataBar>
      <extLst>
        <ext xmlns:x14="http://schemas.microsoft.com/office/spreadsheetml/2009/9/main" uri="{B025F937-C7B1-47D3-B67F-A62EFF666E3E}">
          <x14:id>{535B3B5F-ED23-4224-972D-A7D6A5E1AC32}</x14:id>
        </ext>
      </extLst>
    </cfRule>
  </conditionalFormatting>
  <conditionalFormatting sqref="AA158">
    <cfRule type="expression" dxfId="2934" priority="212">
      <formula>AND(AND($W158&lt;TODAY(),$W158&lt;&gt;""),$X158="")</formula>
    </cfRule>
  </conditionalFormatting>
  <conditionalFormatting sqref="AG158">
    <cfRule type="dataBar" priority="211">
      <dataBar>
        <cfvo type="min"/>
        <cfvo type="max"/>
        <color rgb="FF63C384"/>
      </dataBar>
      <extLst>
        <ext xmlns:x14="http://schemas.microsoft.com/office/spreadsheetml/2009/9/main" uri="{B025F937-C7B1-47D3-B67F-A62EFF666E3E}">
          <x14:id>{C5E51254-DD24-4B5A-B582-784A89CEEA70}</x14:id>
        </ext>
      </extLst>
    </cfRule>
  </conditionalFormatting>
  <conditionalFormatting sqref="AG158">
    <cfRule type="dataBar" priority="210">
      <dataBar>
        <cfvo type="min"/>
        <cfvo type="max"/>
        <color rgb="FF63C384"/>
      </dataBar>
      <extLst>
        <ext xmlns:x14="http://schemas.microsoft.com/office/spreadsheetml/2009/9/main" uri="{B025F937-C7B1-47D3-B67F-A62EFF666E3E}">
          <x14:id>{C0AE664C-DE8D-46DD-AB8A-513096113DA3}</x14:id>
        </ext>
      </extLst>
    </cfRule>
  </conditionalFormatting>
  <conditionalFormatting sqref="Q158">
    <cfRule type="cellIs" dxfId="2933" priority="209" operator="equal">
      <formula>"ja"</formula>
    </cfRule>
  </conditionalFormatting>
  <conditionalFormatting sqref="Q159">
    <cfRule type="cellIs" dxfId="2932" priority="208" operator="equal">
      <formula>"ja"</formula>
    </cfRule>
  </conditionalFormatting>
  <conditionalFormatting sqref="AA159">
    <cfRule type="expression" dxfId="2931" priority="207">
      <formula>AND(AND($W159&lt;TODAY(),$W159&lt;&gt;""),$X159="")</formula>
    </cfRule>
  </conditionalFormatting>
  <conditionalFormatting sqref="AG159">
    <cfRule type="dataBar" priority="206">
      <dataBar>
        <cfvo type="min"/>
        <cfvo type="max"/>
        <color rgb="FF63C384"/>
      </dataBar>
      <extLst>
        <ext xmlns:x14="http://schemas.microsoft.com/office/spreadsheetml/2009/9/main" uri="{B025F937-C7B1-47D3-B67F-A62EFF666E3E}">
          <x14:id>{0F7A2090-EA15-4C51-B2AD-F8A52B80E3CC}</x14:id>
        </ext>
      </extLst>
    </cfRule>
  </conditionalFormatting>
  <conditionalFormatting sqref="AG159">
    <cfRule type="dataBar" priority="205">
      <dataBar>
        <cfvo type="min"/>
        <cfvo type="max"/>
        <color rgb="FF63C384"/>
      </dataBar>
      <extLst>
        <ext xmlns:x14="http://schemas.microsoft.com/office/spreadsheetml/2009/9/main" uri="{B025F937-C7B1-47D3-B67F-A62EFF666E3E}">
          <x14:id>{442D5C22-9FA0-4C37-BCA7-A9BEB014A2D0}</x14:id>
        </ext>
      </extLst>
    </cfRule>
  </conditionalFormatting>
  <conditionalFormatting sqref="AA159">
    <cfRule type="expression" dxfId="2930" priority="204">
      <formula>AND(AND($W159&lt;TODAY(),$W159&lt;&gt;""),$X159="")</formula>
    </cfRule>
  </conditionalFormatting>
  <conditionalFormatting sqref="Q159">
    <cfRule type="cellIs" dxfId="2929" priority="203" operator="equal">
      <formula>"ja"</formula>
    </cfRule>
  </conditionalFormatting>
  <conditionalFormatting sqref="AG159">
    <cfRule type="dataBar" priority="202">
      <dataBar>
        <cfvo type="min"/>
        <cfvo type="max"/>
        <color rgb="FF63C384"/>
      </dataBar>
      <extLst>
        <ext xmlns:x14="http://schemas.microsoft.com/office/spreadsheetml/2009/9/main" uri="{B025F937-C7B1-47D3-B67F-A62EFF666E3E}">
          <x14:id>{4813F664-6008-47F4-9D4F-2D185B0433CE}</x14:id>
        </ext>
      </extLst>
    </cfRule>
  </conditionalFormatting>
  <conditionalFormatting sqref="AG159">
    <cfRule type="dataBar" priority="201">
      <dataBar>
        <cfvo type="min"/>
        <cfvo type="max"/>
        <color rgb="FF63C384"/>
      </dataBar>
      <extLst>
        <ext xmlns:x14="http://schemas.microsoft.com/office/spreadsheetml/2009/9/main" uri="{B025F937-C7B1-47D3-B67F-A62EFF666E3E}">
          <x14:id>{23AEA19A-9265-40FB-A459-2F2E31225536}</x14:id>
        </ext>
      </extLst>
    </cfRule>
  </conditionalFormatting>
  <conditionalFormatting sqref="Q160">
    <cfRule type="cellIs" dxfId="2928" priority="200" operator="equal">
      <formula>"ja"</formula>
    </cfRule>
  </conditionalFormatting>
  <conditionalFormatting sqref="AA160">
    <cfRule type="expression" dxfId="2927" priority="199">
      <formula>AND(AND($W160&lt;TODAY(),$W160&lt;&gt;""),$X160="")</formula>
    </cfRule>
  </conditionalFormatting>
  <conditionalFormatting sqref="AG160">
    <cfRule type="dataBar" priority="198">
      <dataBar>
        <cfvo type="min"/>
        <cfvo type="max"/>
        <color rgb="FF63C384"/>
      </dataBar>
      <extLst>
        <ext xmlns:x14="http://schemas.microsoft.com/office/spreadsheetml/2009/9/main" uri="{B025F937-C7B1-47D3-B67F-A62EFF666E3E}">
          <x14:id>{FF632713-93C8-492A-866B-9683F20BA57A}</x14:id>
        </ext>
      </extLst>
    </cfRule>
  </conditionalFormatting>
  <conditionalFormatting sqref="AG160">
    <cfRule type="dataBar" priority="197">
      <dataBar>
        <cfvo type="min"/>
        <cfvo type="max"/>
        <color rgb="FF63C384"/>
      </dataBar>
      <extLst>
        <ext xmlns:x14="http://schemas.microsoft.com/office/spreadsheetml/2009/9/main" uri="{B025F937-C7B1-47D3-B67F-A62EFF666E3E}">
          <x14:id>{F81E7E91-32BA-4437-9874-3B5A2138BB3C}</x14:id>
        </ext>
      </extLst>
    </cfRule>
  </conditionalFormatting>
  <conditionalFormatting sqref="Q161">
    <cfRule type="cellIs" dxfId="2926" priority="196" operator="equal">
      <formula>"ja"</formula>
    </cfRule>
  </conditionalFormatting>
  <conditionalFormatting sqref="AA161">
    <cfRule type="expression" dxfId="2925" priority="195">
      <formula>AND(AND($W161&lt;TODAY(),$W161&lt;&gt;""),$X161="")</formula>
    </cfRule>
  </conditionalFormatting>
  <conditionalFormatting sqref="AG161">
    <cfRule type="dataBar" priority="194">
      <dataBar>
        <cfvo type="min"/>
        <cfvo type="max"/>
        <color rgb="FF63C384"/>
      </dataBar>
      <extLst>
        <ext xmlns:x14="http://schemas.microsoft.com/office/spreadsheetml/2009/9/main" uri="{B025F937-C7B1-47D3-B67F-A62EFF666E3E}">
          <x14:id>{8D14E725-6540-41EF-A2D1-A024B117D799}</x14:id>
        </ext>
      </extLst>
    </cfRule>
  </conditionalFormatting>
  <conditionalFormatting sqref="AG161">
    <cfRule type="dataBar" priority="193">
      <dataBar>
        <cfvo type="min"/>
        <cfvo type="max"/>
        <color rgb="FF63C384"/>
      </dataBar>
      <extLst>
        <ext xmlns:x14="http://schemas.microsoft.com/office/spreadsheetml/2009/9/main" uri="{B025F937-C7B1-47D3-B67F-A62EFF666E3E}">
          <x14:id>{7EC2370D-7606-46C1-8587-2BCDD4793B23}</x14:id>
        </ext>
      </extLst>
    </cfRule>
  </conditionalFormatting>
  <conditionalFormatting sqref="Q162">
    <cfRule type="cellIs" dxfId="2924" priority="192" operator="equal">
      <formula>"ja"</formula>
    </cfRule>
  </conditionalFormatting>
  <conditionalFormatting sqref="Q162">
    <cfRule type="cellIs" dxfId="2923" priority="180" operator="equal">
      <formula>"ja"</formula>
    </cfRule>
  </conditionalFormatting>
  <conditionalFormatting sqref="AA162">
    <cfRule type="expression" dxfId="2922" priority="179">
      <formula>AND(AND($W162&lt;TODAY(),$W162&lt;&gt;""),$X162="")</formula>
    </cfRule>
  </conditionalFormatting>
  <conditionalFormatting sqref="AA162">
    <cfRule type="expression" dxfId="2921" priority="191">
      <formula>AND(AND($W162&lt;TODAY(),$W162&lt;&gt;""),$X162="")</formula>
    </cfRule>
  </conditionalFormatting>
  <conditionalFormatting sqref="AG162">
    <cfRule type="dataBar" priority="190">
      <dataBar>
        <cfvo type="min"/>
        <cfvo type="max"/>
        <color rgb="FF63C384"/>
      </dataBar>
      <extLst>
        <ext xmlns:x14="http://schemas.microsoft.com/office/spreadsheetml/2009/9/main" uri="{B025F937-C7B1-47D3-B67F-A62EFF666E3E}">
          <x14:id>{39808307-8EF7-4B60-963D-20334EACBD56}</x14:id>
        </ext>
      </extLst>
    </cfRule>
  </conditionalFormatting>
  <conditionalFormatting sqref="AG162">
    <cfRule type="dataBar" priority="189">
      <dataBar>
        <cfvo type="min"/>
        <cfvo type="max"/>
        <color rgb="FF63C384"/>
      </dataBar>
      <extLst>
        <ext xmlns:x14="http://schemas.microsoft.com/office/spreadsheetml/2009/9/main" uri="{B025F937-C7B1-47D3-B67F-A62EFF666E3E}">
          <x14:id>{B776AEEC-34D0-4730-87CB-2CAB1FF31775}</x14:id>
        </ext>
      </extLst>
    </cfRule>
  </conditionalFormatting>
  <conditionalFormatting sqref="Q162">
    <cfRule type="cellIs" dxfId="2920" priority="188" operator="equal">
      <formula>"ja"</formula>
    </cfRule>
  </conditionalFormatting>
  <conditionalFormatting sqref="AA162">
    <cfRule type="expression" dxfId="2919" priority="187">
      <formula>AND(AND($W162&lt;TODAY(),$W162&lt;&gt;""),$X162="")</formula>
    </cfRule>
  </conditionalFormatting>
  <conditionalFormatting sqref="AG162">
    <cfRule type="dataBar" priority="186">
      <dataBar>
        <cfvo type="min"/>
        <cfvo type="max"/>
        <color rgb="FF63C384"/>
      </dataBar>
      <extLst>
        <ext xmlns:x14="http://schemas.microsoft.com/office/spreadsheetml/2009/9/main" uri="{B025F937-C7B1-47D3-B67F-A62EFF666E3E}">
          <x14:id>{586D216C-6D14-402E-B390-1AA1AB04B09C}</x14:id>
        </ext>
      </extLst>
    </cfRule>
  </conditionalFormatting>
  <conditionalFormatting sqref="AG162">
    <cfRule type="dataBar" priority="185">
      <dataBar>
        <cfvo type="min"/>
        <cfvo type="max"/>
        <color rgb="FF63C384"/>
      </dataBar>
      <extLst>
        <ext xmlns:x14="http://schemas.microsoft.com/office/spreadsheetml/2009/9/main" uri="{B025F937-C7B1-47D3-B67F-A62EFF666E3E}">
          <x14:id>{C8AF4290-6D44-40A4-A813-F8601644D983}</x14:id>
        </ext>
      </extLst>
    </cfRule>
  </conditionalFormatting>
  <conditionalFormatting sqref="Q162">
    <cfRule type="cellIs" dxfId="2918" priority="184" operator="equal">
      <formula>"ja"</formula>
    </cfRule>
  </conditionalFormatting>
  <conditionalFormatting sqref="AA162">
    <cfRule type="expression" dxfId="2917" priority="183">
      <formula>AND(AND($W162&lt;TODAY(),$W162&lt;&gt;""),$X162="")</formula>
    </cfRule>
  </conditionalFormatting>
  <conditionalFormatting sqref="AG162">
    <cfRule type="dataBar" priority="182">
      <dataBar>
        <cfvo type="min"/>
        <cfvo type="max"/>
        <color rgb="FF63C384"/>
      </dataBar>
      <extLst>
        <ext xmlns:x14="http://schemas.microsoft.com/office/spreadsheetml/2009/9/main" uri="{B025F937-C7B1-47D3-B67F-A62EFF666E3E}">
          <x14:id>{96052F57-0B43-436A-A548-D5E5D10A4E22}</x14:id>
        </ext>
      </extLst>
    </cfRule>
  </conditionalFormatting>
  <conditionalFormatting sqref="AG162">
    <cfRule type="dataBar" priority="181">
      <dataBar>
        <cfvo type="min"/>
        <cfvo type="max"/>
        <color rgb="FF63C384"/>
      </dataBar>
      <extLst>
        <ext xmlns:x14="http://schemas.microsoft.com/office/spreadsheetml/2009/9/main" uri="{B025F937-C7B1-47D3-B67F-A62EFF666E3E}">
          <x14:id>{208F54C7-CCC1-4A4B-854C-6C063EF932C8}</x14:id>
        </ext>
      </extLst>
    </cfRule>
  </conditionalFormatting>
  <conditionalFormatting sqref="AG162">
    <cfRule type="dataBar" priority="178">
      <dataBar>
        <cfvo type="min"/>
        <cfvo type="max"/>
        <color rgb="FF63C384"/>
      </dataBar>
      <extLst>
        <ext xmlns:x14="http://schemas.microsoft.com/office/spreadsheetml/2009/9/main" uri="{B025F937-C7B1-47D3-B67F-A62EFF666E3E}">
          <x14:id>{C20C7A83-4047-4F05-BFB6-C8B1157C79C8}</x14:id>
        </ext>
      </extLst>
    </cfRule>
  </conditionalFormatting>
  <conditionalFormatting sqref="AG162">
    <cfRule type="dataBar" priority="177">
      <dataBar>
        <cfvo type="min"/>
        <cfvo type="max"/>
        <color rgb="FF63C384"/>
      </dataBar>
      <extLst>
        <ext xmlns:x14="http://schemas.microsoft.com/office/spreadsheetml/2009/9/main" uri="{B025F937-C7B1-47D3-B67F-A62EFF666E3E}">
          <x14:id>{EA9BBA23-DE65-4C0E-9D56-E6A915886FA2}</x14:id>
        </ext>
      </extLst>
    </cfRule>
  </conditionalFormatting>
  <conditionalFormatting sqref="AA163">
    <cfRule type="expression" dxfId="2916" priority="176">
      <formula>AND(AND($W163&lt;TODAY(),$W163&lt;&gt;""),$X163="")</formula>
    </cfRule>
  </conditionalFormatting>
  <conditionalFormatting sqref="AG163">
    <cfRule type="dataBar" priority="175">
      <dataBar>
        <cfvo type="min"/>
        <cfvo type="max"/>
        <color rgb="FF63C384"/>
      </dataBar>
      <extLst>
        <ext xmlns:x14="http://schemas.microsoft.com/office/spreadsheetml/2009/9/main" uri="{B025F937-C7B1-47D3-B67F-A62EFF666E3E}">
          <x14:id>{9600155F-8794-4596-A851-89C117E2C2AF}</x14:id>
        </ext>
      </extLst>
    </cfRule>
  </conditionalFormatting>
  <conditionalFormatting sqref="AG163">
    <cfRule type="dataBar" priority="174">
      <dataBar>
        <cfvo type="min"/>
        <cfvo type="max"/>
        <color rgb="FF63C384"/>
      </dataBar>
      <extLst>
        <ext xmlns:x14="http://schemas.microsoft.com/office/spreadsheetml/2009/9/main" uri="{B025F937-C7B1-47D3-B67F-A62EFF666E3E}">
          <x14:id>{D49E9863-D1A8-48C0-9732-9CABA905F6BF}</x14:id>
        </ext>
      </extLst>
    </cfRule>
  </conditionalFormatting>
  <conditionalFormatting sqref="Q163">
    <cfRule type="cellIs" dxfId="2915" priority="173" operator="equal">
      <formula>"ja"</formula>
    </cfRule>
  </conditionalFormatting>
  <conditionalFormatting sqref="Q164">
    <cfRule type="cellIs" dxfId="2914" priority="172" operator="equal">
      <formula>"ja"</formula>
    </cfRule>
  </conditionalFormatting>
  <conditionalFormatting sqref="AA164">
    <cfRule type="expression" dxfId="2913" priority="171">
      <formula>AND(AND($W164&lt;TODAY(),$W164&lt;&gt;""),$X164="")</formula>
    </cfRule>
  </conditionalFormatting>
  <conditionalFormatting sqref="AG164">
    <cfRule type="dataBar" priority="170">
      <dataBar>
        <cfvo type="min"/>
        <cfvo type="max"/>
        <color rgb="FF63C384"/>
      </dataBar>
      <extLst>
        <ext xmlns:x14="http://schemas.microsoft.com/office/spreadsheetml/2009/9/main" uri="{B025F937-C7B1-47D3-B67F-A62EFF666E3E}">
          <x14:id>{A74479E4-781E-41CD-8825-4E98FCFF908B}</x14:id>
        </ext>
      </extLst>
    </cfRule>
  </conditionalFormatting>
  <conditionalFormatting sqref="AG164">
    <cfRule type="dataBar" priority="169">
      <dataBar>
        <cfvo type="min"/>
        <cfvo type="max"/>
        <color rgb="FF63C384"/>
      </dataBar>
      <extLst>
        <ext xmlns:x14="http://schemas.microsoft.com/office/spreadsheetml/2009/9/main" uri="{B025F937-C7B1-47D3-B67F-A62EFF666E3E}">
          <x14:id>{C0C92D15-70A1-421E-9276-A745933DFF42}</x14:id>
        </ext>
      </extLst>
    </cfRule>
  </conditionalFormatting>
  <conditionalFormatting sqref="AG165">
    <cfRule type="dataBar" priority="168">
      <dataBar>
        <cfvo type="min"/>
        <cfvo type="max"/>
        <color rgb="FF63C384"/>
      </dataBar>
      <extLst>
        <ext xmlns:x14="http://schemas.microsoft.com/office/spreadsheetml/2009/9/main" uri="{B025F937-C7B1-47D3-B67F-A62EFF666E3E}">
          <x14:id>{0DA6A759-7837-4D79-8893-F8F6E386F60C}</x14:id>
        </ext>
      </extLst>
    </cfRule>
  </conditionalFormatting>
  <conditionalFormatting sqref="AG165">
    <cfRule type="dataBar" priority="167">
      <dataBar>
        <cfvo type="min"/>
        <cfvo type="max"/>
        <color rgb="FF63C384"/>
      </dataBar>
      <extLst>
        <ext xmlns:x14="http://schemas.microsoft.com/office/spreadsheetml/2009/9/main" uri="{B025F937-C7B1-47D3-B67F-A62EFF666E3E}">
          <x14:id>{6240301C-F676-4B82-B99A-1285813A8A31}</x14:id>
        </ext>
      </extLst>
    </cfRule>
  </conditionalFormatting>
  <conditionalFormatting sqref="Q165">
    <cfRule type="cellIs" dxfId="2912" priority="166" operator="equal">
      <formula>"ja"</formula>
    </cfRule>
  </conditionalFormatting>
  <conditionalFormatting sqref="AA165">
    <cfRule type="expression" dxfId="2911" priority="165">
      <formula>AND(AND($W165&lt;TODAY(),$W165&lt;&gt;""),$X165="")</formula>
    </cfRule>
  </conditionalFormatting>
  <conditionalFormatting sqref="Q166">
    <cfRule type="cellIs" dxfId="2910" priority="164" operator="equal">
      <formula>"ja"</formula>
    </cfRule>
  </conditionalFormatting>
  <conditionalFormatting sqref="AA166">
    <cfRule type="expression" dxfId="2909" priority="163">
      <formula>AND(AND($W166&lt;TODAY(),$W166&lt;&gt;""),$X166="")</formula>
    </cfRule>
  </conditionalFormatting>
  <conditionalFormatting sqref="AG166">
    <cfRule type="dataBar" priority="162">
      <dataBar>
        <cfvo type="min"/>
        <cfvo type="max"/>
        <color rgb="FF63C384"/>
      </dataBar>
      <extLst>
        <ext xmlns:x14="http://schemas.microsoft.com/office/spreadsheetml/2009/9/main" uri="{B025F937-C7B1-47D3-B67F-A62EFF666E3E}">
          <x14:id>{37D842EE-21AF-4304-B221-904D9DE6615A}</x14:id>
        </ext>
      </extLst>
    </cfRule>
  </conditionalFormatting>
  <conditionalFormatting sqref="AG166">
    <cfRule type="dataBar" priority="161">
      <dataBar>
        <cfvo type="min"/>
        <cfvo type="max"/>
        <color rgb="FF63C384"/>
      </dataBar>
      <extLst>
        <ext xmlns:x14="http://schemas.microsoft.com/office/spreadsheetml/2009/9/main" uri="{B025F937-C7B1-47D3-B67F-A62EFF666E3E}">
          <x14:id>{0C956E4B-9AD3-43DF-8CC2-DAE529B2E357}</x14:id>
        </ext>
      </extLst>
    </cfRule>
  </conditionalFormatting>
  <conditionalFormatting sqref="AA167">
    <cfRule type="expression" dxfId="2908" priority="160">
      <formula>AND(AND($W167&lt;TODAY(),$W167&lt;&gt;""),$X167="")</formula>
    </cfRule>
  </conditionalFormatting>
  <conditionalFormatting sqref="Q167">
    <cfRule type="cellIs" dxfId="2907" priority="159" operator="equal">
      <formula>"ja"</formula>
    </cfRule>
  </conditionalFormatting>
  <conditionalFormatting sqref="AG167">
    <cfRule type="dataBar" priority="158">
      <dataBar>
        <cfvo type="min"/>
        <cfvo type="max"/>
        <color rgb="FF63C384"/>
      </dataBar>
      <extLst>
        <ext xmlns:x14="http://schemas.microsoft.com/office/spreadsheetml/2009/9/main" uri="{B025F937-C7B1-47D3-B67F-A62EFF666E3E}">
          <x14:id>{5A7F3695-96D9-47A1-8456-DF575254EDC7}</x14:id>
        </ext>
      </extLst>
    </cfRule>
  </conditionalFormatting>
  <conditionalFormatting sqref="AG167">
    <cfRule type="dataBar" priority="157">
      <dataBar>
        <cfvo type="min"/>
        <cfvo type="max"/>
        <color rgb="FF63C384"/>
      </dataBar>
      <extLst>
        <ext xmlns:x14="http://schemas.microsoft.com/office/spreadsheetml/2009/9/main" uri="{B025F937-C7B1-47D3-B67F-A62EFF666E3E}">
          <x14:id>{6325F6AD-A2B4-41DD-911A-1D1A8E53F4B9}</x14:id>
        </ext>
      </extLst>
    </cfRule>
  </conditionalFormatting>
  <conditionalFormatting sqref="AA168">
    <cfRule type="expression" dxfId="2906" priority="156">
      <formula>AND(AND($W168&lt;TODAY(),$W168&lt;&gt;""),$X168="")</formula>
    </cfRule>
  </conditionalFormatting>
  <conditionalFormatting sqref="AG168">
    <cfRule type="dataBar" priority="155">
      <dataBar>
        <cfvo type="min"/>
        <cfvo type="max"/>
        <color rgb="FF63C384"/>
      </dataBar>
      <extLst>
        <ext xmlns:x14="http://schemas.microsoft.com/office/spreadsheetml/2009/9/main" uri="{B025F937-C7B1-47D3-B67F-A62EFF666E3E}">
          <x14:id>{A0F0EB60-8EA4-492E-9E2C-86E1C0002630}</x14:id>
        </ext>
      </extLst>
    </cfRule>
  </conditionalFormatting>
  <conditionalFormatting sqref="AG168">
    <cfRule type="dataBar" priority="154">
      <dataBar>
        <cfvo type="min"/>
        <cfvo type="max"/>
        <color rgb="FF63C384"/>
      </dataBar>
      <extLst>
        <ext xmlns:x14="http://schemas.microsoft.com/office/spreadsheetml/2009/9/main" uri="{B025F937-C7B1-47D3-B67F-A62EFF666E3E}">
          <x14:id>{FD04A77F-CFE5-41C5-9F4E-36B151E28E6F}</x14:id>
        </ext>
      </extLst>
    </cfRule>
  </conditionalFormatting>
  <conditionalFormatting sqref="Q169">
    <cfRule type="cellIs" dxfId="2905" priority="153" operator="equal">
      <formula>"ja"</formula>
    </cfRule>
  </conditionalFormatting>
  <conditionalFormatting sqref="AA169">
    <cfRule type="expression" dxfId="2904" priority="152">
      <formula>AND(AND($W169&lt;TODAY(),$W169&lt;&gt;""),$X169="")</formula>
    </cfRule>
  </conditionalFormatting>
  <conditionalFormatting sqref="AG169">
    <cfRule type="dataBar" priority="151">
      <dataBar>
        <cfvo type="min"/>
        <cfvo type="max"/>
        <color rgb="FF63C384"/>
      </dataBar>
      <extLst>
        <ext xmlns:x14="http://schemas.microsoft.com/office/spreadsheetml/2009/9/main" uri="{B025F937-C7B1-47D3-B67F-A62EFF666E3E}">
          <x14:id>{BAFCB3FD-6D1F-4BA2-B8DC-E45CBBC3EB48}</x14:id>
        </ext>
      </extLst>
    </cfRule>
  </conditionalFormatting>
  <conditionalFormatting sqref="AG169">
    <cfRule type="dataBar" priority="150">
      <dataBar>
        <cfvo type="min"/>
        <cfvo type="max"/>
        <color rgb="FF63C384"/>
      </dataBar>
      <extLst>
        <ext xmlns:x14="http://schemas.microsoft.com/office/spreadsheetml/2009/9/main" uri="{B025F937-C7B1-47D3-B67F-A62EFF666E3E}">
          <x14:id>{573BC4EA-0989-4C99-BF9D-43AE10D2F590}</x14:id>
        </ext>
      </extLst>
    </cfRule>
  </conditionalFormatting>
  <conditionalFormatting sqref="Q170">
    <cfRule type="cellIs" dxfId="2903" priority="149" operator="equal">
      <formula>"ja"</formula>
    </cfRule>
  </conditionalFormatting>
  <conditionalFormatting sqref="AA170">
    <cfRule type="expression" dxfId="2902" priority="148">
      <formula>AND(AND($W170&lt;TODAY(),$W170&lt;&gt;""),$X170="")</formula>
    </cfRule>
  </conditionalFormatting>
  <conditionalFormatting sqref="AG170">
    <cfRule type="dataBar" priority="147">
      <dataBar>
        <cfvo type="min"/>
        <cfvo type="max"/>
        <color rgb="FF63C384"/>
      </dataBar>
      <extLst>
        <ext xmlns:x14="http://schemas.microsoft.com/office/spreadsheetml/2009/9/main" uri="{B025F937-C7B1-47D3-B67F-A62EFF666E3E}">
          <x14:id>{57047C05-7EC2-40B8-A33F-6BC3C767EC9C}</x14:id>
        </ext>
      </extLst>
    </cfRule>
  </conditionalFormatting>
  <conditionalFormatting sqref="AG170">
    <cfRule type="dataBar" priority="146">
      <dataBar>
        <cfvo type="min"/>
        <cfvo type="max"/>
        <color rgb="FF63C384"/>
      </dataBar>
      <extLst>
        <ext xmlns:x14="http://schemas.microsoft.com/office/spreadsheetml/2009/9/main" uri="{B025F937-C7B1-47D3-B67F-A62EFF666E3E}">
          <x14:id>{BCC1767A-4B10-473C-A7D3-FEB8C4E9E1BC}</x14:id>
        </ext>
      </extLst>
    </cfRule>
  </conditionalFormatting>
  <conditionalFormatting sqref="AA171">
    <cfRule type="expression" dxfId="2901" priority="145">
      <formula>AND(AND($W171&lt;TODAY(),$W171&lt;&gt;""),$X171="")</formula>
    </cfRule>
  </conditionalFormatting>
  <conditionalFormatting sqref="AG171">
    <cfRule type="dataBar" priority="144">
      <dataBar>
        <cfvo type="min"/>
        <cfvo type="max"/>
        <color rgb="FF63C384"/>
      </dataBar>
      <extLst>
        <ext xmlns:x14="http://schemas.microsoft.com/office/spreadsheetml/2009/9/main" uri="{B025F937-C7B1-47D3-B67F-A62EFF666E3E}">
          <x14:id>{2CFCC8A1-06B5-4A1E-92E8-EAC4A6FA99B3}</x14:id>
        </ext>
      </extLst>
    </cfRule>
  </conditionalFormatting>
  <conditionalFormatting sqref="AG171">
    <cfRule type="dataBar" priority="143">
      <dataBar>
        <cfvo type="min"/>
        <cfvo type="max"/>
        <color rgb="FF63C384"/>
      </dataBar>
      <extLst>
        <ext xmlns:x14="http://schemas.microsoft.com/office/spreadsheetml/2009/9/main" uri="{B025F937-C7B1-47D3-B67F-A62EFF666E3E}">
          <x14:id>{55ED58EA-94A2-4AF5-ACE8-D826F4F1B98F}</x14:id>
        </ext>
      </extLst>
    </cfRule>
  </conditionalFormatting>
  <conditionalFormatting sqref="Q171">
    <cfRule type="cellIs" dxfId="2900" priority="142" operator="equal">
      <formula>"ja"</formula>
    </cfRule>
  </conditionalFormatting>
  <conditionalFormatting sqref="Q172">
    <cfRule type="cellIs" dxfId="2899" priority="141" operator="equal">
      <formula>"ja"</formula>
    </cfRule>
  </conditionalFormatting>
  <conditionalFormatting sqref="AA172">
    <cfRule type="expression" dxfId="2898" priority="140">
      <formula>AND(AND($W172&lt;TODAY(),$W172&lt;&gt;""),$X172="")</formula>
    </cfRule>
  </conditionalFormatting>
  <conditionalFormatting sqref="AG172">
    <cfRule type="dataBar" priority="139">
      <dataBar>
        <cfvo type="min"/>
        <cfvo type="max"/>
        <color rgb="FF63C384"/>
      </dataBar>
      <extLst>
        <ext xmlns:x14="http://schemas.microsoft.com/office/spreadsheetml/2009/9/main" uri="{B025F937-C7B1-47D3-B67F-A62EFF666E3E}">
          <x14:id>{EA995765-1404-4126-B093-5D51252A4ADE}</x14:id>
        </ext>
      </extLst>
    </cfRule>
  </conditionalFormatting>
  <conditionalFormatting sqref="AG172">
    <cfRule type="dataBar" priority="138">
      <dataBar>
        <cfvo type="min"/>
        <cfvo type="max"/>
        <color rgb="FF63C384"/>
      </dataBar>
      <extLst>
        <ext xmlns:x14="http://schemas.microsoft.com/office/spreadsheetml/2009/9/main" uri="{B025F937-C7B1-47D3-B67F-A62EFF666E3E}">
          <x14:id>{FC3D94D8-60D0-4499-AEC9-4E6E8B421BCE}</x14:id>
        </ext>
      </extLst>
    </cfRule>
  </conditionalFormatting>
  <conditionalFormatting sqref="Q173">
    <cfRule type="cellIs" dxfId="2897" priority="137" operator="equal">
      <formula>"ja"</formula>
    </cfRule>
  </conditionalFormatting>
  <conditionalFormatting sqref="AA173">
    <cfRule type="expression" dxfId="2896" priority="136">
      <formula>AND(AND($W173&lt;TODAY(),$W173&lt;&gt;""),$X173="")</formula>
    </cfRule>
  </conditionalFormatting>
  <conditionalFormatting sqref="AG173">
    <cfRule type="dataBar" priority="135">
      <dataBar>
        <cfvo type="min"/>
        <cfvo type="max"/>
        <color rgb="FF63C384"/>
      </dataBar>
      <extLst>
        <ext xmlns:x14="http://schemas.microsoft.com/office/spreadsheetml/2009/9/main" uri="{B025F937-C7B1-47D3-B67F-A62EFF666E3E}">
          <x14:id>{B5E5AF28-25BF-421E-91C0-2FCF05BF8C9D}</x14:id>
        </ext>
      </extLst>
    </cfRule>
  </conditionalFormatting>
  <conditionalFormatting sqref="AG173">
    <cfRule type="dataBar" priority="134">
      <dataBar>
        <cfvo type="min"/>
        <cfvo type="max"/>
        <color rgb="FF63C384"/>
      </dataBar>
      <extLst>
        <ext xmlns:x14="http://schemas.microsoft.com/office/spreadsheetml/2009/9/main" uri="{B025F937-C7B1-47D3-B67F-A62EFF666E3E}">
          <x14:id>{6C8F693F-FF3D-4840-9C9E-7455C13E3690}</x14:id>
        </ext>
      </extLst>
    </cfRule>
  </conditionalFormatting>
  <conditionalFormatting sqref="Q174">
    <cfRule type="cellIs" dxfId="2895" priority="133" operator="equal">
      <formula>"ja"</formula>
    </cfRule>
  </conditionalFormatting>
  <conditionalFormatting sqref="AA174">
    <cfRule type="expression" dxfId="2894" priority="132">
      <formula>AND(AND($W174&lt;TODAY(),$W174&lt;&gt;""),$X174="")</formula>
    </cfRule>
  </conditionalFormatting>
  <conditionalFormatting sqref="AG174">
    <cfRule type="dataBar" priority="131">
      <dataBar>
        <cfvo type="min"/>
        <cfvo type="max"/>
        <color rgb="FF63C384"/>
      </dataBar>
      <extLst>
        <ext xmlns:x14="http://schemas.microsoft.com/office/spreadsheetml/2009/9/main" uri="{B025F937-C7B1-47D3-B67F-A62EFF666E3E}">
          <x14:id>{177D5B09-5806-47B4-86BC-358FD6596BCF}</x14:id>
        </ext>
      </extLst>
    </cfRule>
  </conditionalFormatting>
  <conditionalFormatting sqref="AG174">
    <cfRule type="dataBar" priority="130">
      <dataBar>
        <cfvo type="min"/>
        <cfvo type="max"/>
        <color rgb="FF63C384"/>
      </dataBar>
      <extLst>
        <ext xmlns:x14="http://schemas.microsoft.com/office/spreadsheetml/2009/9/main" uri="{B025F937-C7B1-47D3-B67F-A62EFF666E3E}">
          <x14:id>{6C227760-0FA8-480C-8CB5-3DCF6B0E2708}</x14:id>
        </ext>
      </extLst>
    </cfRule>
  </conditionalFormatting>
  <conditionalFormatting sqref="Q175">
    <cfRule type="cellIs" dxfId="2893" priority="129" operator="equal">
      <formula>"ja"</formula>
    </cfRule>
  </conditionalFormatting>
  <conditionalFormatting sqref="AA175">
    <cfRule type="expression" dxfId="2892" priority="128">
      <formula>AND(AND($W175&lt;TODAY(),$W175&lt;&gt;""),$X175="")</formula>
    </cfRule>
  </conditionalFormatting>
  <conditionalFormatting sqref="AG175">
    <cfRule type="dataBar" priority="127">
      <dataBar>
        <cfvo type="min"/>
        <cfvo type="max"/>
        <color rgb="FF63C384"/>
      </dataBar>
      <extLst>
        <ext xmlns:x14="http://schemas.microsoft.com/office/spreadsheetml/2009/9/main" uri="{B025F937-C7B1-47D3-B67F-A62EFF666E3E}">
          <x14:id>{B067E278-EF4C-4B72-9FBA-61375D20C3E6}</x14:id>
        </ext>
      </extLst>
    </cfRule>
  </conditionalFormatting>
  <conditionalFormatting sqref="AG175">
    <cfRule type="dataBar" priority="126">
      <dataBar>
        <cfvo type="min"/>
        <cfvo type="max"/>
        <color rgb="FF63C384"/>
      </dataBar>
      <extLst>
        <ext xmlns:x14="http://schemas.microsoft.com/office/spreadsheetml/2009/9/main" uri="{B025F937-C7B1-47D3-B67F-A62EFF666E3E}">
          <x14:id>{79372EE2-E9F3-49BD-9FB0-D3BB5644F5F0}</x14:id>
        </ext>
      </extLst>
    </cfRule>
  </conditionalFormatting>
  <conditionalFormatting sqref="AA176">
    <cfRule type="expression" dxfId="2891" priority="125">
      <formula>AND(AND($W176&lt;TODAY(),$W176&lt;&gt;""),$X176="")</formula>
    </cfRule>
  </conditionalFormatting>
  <conditionalFormatting sqref="AG176">
    <cfRule type="dataBar" priority="124">
      <dataBar>
        <cfvo type="min"/>
        <cfvo type="max"/>
        <color rgb="FF63C384"/>
      </dataBar>
      <extLst>
        <ext xmlns:x14="http://schemas.microsoft.com/office/spreadsheetml/2009/9/main" uri="{B025F937-C7B1-47D3-B67F-A62EFF666E3E}">
          <x14:id>{65A17936-8F8A-4D48-8317-296C9CE70536}</x14:id>
        </ext>
      </extLst>
    </cfRule>
  </conditionalFormatting>
  <conditionalFormatting sqref="AG176">
    <cfRule type="dataBar" priority="123">
      <dataBar>
        <cfvo type="min"/>
        <cfvo type="max"/>
        <color rgb="FF63C384"/>
      </dataBar>
      <extLst>
        <ext xmlns:x14="http://schemas.microsoft.com/office/spreadsheetml/2009/9/main" uri="{B025F937-C7B1-47D3-B67F-A62EFF666E3E}">
          <x14:id>{6B84E0AF-B9C9-4725-88CC-3AE46BD6111F}</x14:id>
        </ext>
      </extLst>
    </cfRule>
  </conditionalFormatting>
  <conditionalFormatting sqref="Q176">
    <cfRule type="cellIs" dxfId="2890" priority="122" operator="equal">
      <formula>"ja"</formula>
    </cfRule>
  </conditionalFormatting>
  <conditionalFormatting sqref="AA177">
    <cfRule type="expression" dxfId="2889" priority="121">
      <formula>AND(AND($W177&lt;TODAY(),$W177&lt;&gt;""),$X177="")</formula>
    </cfRule>
  </conditionalFormatting>
  <conditionalFormatting sqref="AG177">
    <cfRule type="dataBar" priority="120">
      <dataBar>
        <cfvo type="min"/>
        <cfvo type="max"/>
        <color rgb="FF63C384"/>
      </dataBar>
      <extLst>
        <ext xmlns:x14="http://schemas.microsoft.com/office/spreadsheetml/2009/9/main" uri="{B025F937-C7B1-47D3-B67F-A62EFF666E3E}">
          <x14:id>{2B40D1DC-A000-4665-9971-53E55D4F1C98}</x14:id>
        </ext>
      </extLst>
    </cfRule>
  </conditionalFormatting>
  <conditionalFormatting sqref="AG177">
    <cfRule type="dataBar" priority="119">
      <dataBar>
        <cfvo type="min"/>
        <cfvo type="max"/>
        <color rgb="FF63C384"/>
      </dataBar>
      <extLst>
        <ext xmlns:x14="http://schemas.microsoft.com/office/spreadsheetml/2009/9/main" uri="{B025F937-C7B1-47D3-B67F-A62EFF666E3E}">
          <x14:id>{4FFB3410-CCC5-4DE3-93FE-56D4936E3137}</x14:id>
        </ext>
      </extLst>
    </cfRule>
  </conditionalFormatting>
  <conditionalFormatting sqref="Q177">
    <cfRule type="cellIs" dxfId="2888" priority="118" operator="equal">
      <formula>"ja"</formula>
    </cfRule>
  </conditionalFormatting>
  <conditionalFormatting sqref="Q178">
    <cfRule type="cellIs" dxfId="2887" priority="117" operator="equal">
      <formula>"ja"</formula>
    </cfRule>
  </conditionalFormatting>
  <conditionalFormatting sqref="AA178">
    <cfRule type="expression" dxfId="2886" priority="116">
      <formula>AND(AND($W178&lt;TODAY(),$W178&lt;&gt;""),$X178="")</formula>
    </cfRule>
  </conditionalFormatting>
  <conditionalFormatting sqref="AG178">
    <cfRule type="dataBar" priority="115">
      <dataBar>
        <cfvo type="min"/>
        <cfvo type="max"/>
        <color rgb="FF63C384"/>
      </dataBar>
      <extLst>
        <ext xmlns:x14="http://schemas.microsoft.com/office/spreadsheetml/2009/9/main" uri="{B025F937-C7B1-47D3-B67F-A62EFF666E3E}">
          <x14:id>{2EBD755E-B6A8-4391-A1E1-67B1B9E4C952}</x14:id>
        </ext>
      </extLst>
    </cfRule>
  </conditionalFormatting>
  <conditionalFormatting sqref="AG178">
    <cfRule type="dataBar" priority="114">
      <dataBar>
        <cfvo type="min"/>
        <cfvo type="max"/>
        <color rgb="FF63C384"/>
      </dataBar>
      <extLst>
        <ext xmlns:x14="http://schemas.microsoft.com/office/spreadsheetml/2009/9/main" uri="{B025F937-C7B1-47D3-B67F-A62EFF666E3E}">
          <x14:id>{32199BD9-C25C-46C8-8609-E5470E83A905}</x14:id>
        </ext>
      </extLst>
    </cfRule>
  </conditionalFormatting>
  <conditionalFormatting sqref="Q179">
    <cfRule type="cellIs" dxfId="2885" priority="113" operator="equal">
      <formula>"ja"</formula>
    </cfRule>
  </conditionalFormatting>
  <conditionalFormatting sqref="AA179">
    <cfRule type="expression" dxfId="2884" priority="112">
      <formula>AND(AND($W179&lt;TODAY(),$W179&lt;&gt;""),$X179="")</formula>
    </cfRule>
  </conditionalFormatting>
  <conditionalFormatting sqref="AG179">
    <cfRule type="dataBar" priority="111">
      <dataBar>
        <cfvo type="min"/>
        <cfvo type="max"/>
        <color rgb="FF63C384"/>
      </dataBar>
      <extLst>
        <ext xmlns:x14="http://schemas.microsoft.com/office/spreadsheetml/2009/9/main" uri="{B025F937-C7B1-47D3-B67F-A62EFF666E3E}">
          <x14:id>{03844C1A-C2C9-4DEB-B7B8-9C3567945EB2}</x14:id>
        </ext>
      </extLst>
    </cfRule>
  </conditionalFormatting>
  <conditionalFormatting sqref="AG179">
    <cfRule type="dataBar" priority="110">
      <dataBar>
        <cfvo type="min"/>
        <cfvo type="max"/>
        <color rgb="FF63C384"/>
      </dataBar>
      <extLst>
        <ext xmlns:x14="http://schemas.microsoft.com/office/spreadsheetml/2009/9/main" uri="{B025F937-C7B1-47D3-B67F-A62EFF666E3E}">
          <x14:id>{B19F7987-8196-430E-AFC7-6DBF04B07D44}</x14:id>
        </ext>
      </extLst>
    </cfRule>
  </conditionalFormatting>
  <conditionalFormatting sqref="AA179">
    <cfRule type="expression" dxfId="2883" priority="109">
      <formula>AND(AND($W179&lt;TODAY(),$W179&lt;&gt;""),$X179="")</formula>
    </cfRule>
  </conditionalFormatting>
  <conditionalFormatting sqref="Q179">
    <cfRule type="cellIs" dxfId="2882" priority="108" operator="equal">
      <formula>"ja"</formula>
    </cfRule>
  </conditionalFormatting>
  <conditionalFormatting sqref="AG179">
    <cfRule type="dataBar" priority="107">
      <dataBar>
        <cfvo type="min"/>
        <cfvo type="max"/>
        <color rgb="FF63C384"/>
      </dataBar>
      <extLst>
        <ext xmlns:x14="http://schemas.microsoft.com/office/spreadsheetml/2009/9/main" uri="{B025F937-C7B1-47D3-B67F-A62EFF666E3E}">
          <x14:id>{FFD42252-0A03-46A3-B1E0-57ECD8E6846E}</x14:id>
        </ext>
      </extLst>
    </cfRule>
  </conditionalFormatting>
  <conditionalFormatting sqref="AG179">
    <cfRule type="dataBar" priority="106">
      <dataBar>
        <cfvo type="min"/>
        <cfvo type="max"/>
        <color rgb="FF63C384"/>
      </dataBar>
      <extLst>
        <ext xmlns:x14="http://schemas.microsoft.com/office/spreadsheetml/2009/9/main" uri="{B025F937-C7B1-47D3-B67F-A62EFF666E3E}">
          <x14:id>{DDAC0149-3BFD-4CB2-B872-CF58BB3592FB}</x14:id>
        </ext>
      </extLst>
    </cfRule>
  </conditionalFormatting>
  <conditionalFormatting sqref="Q180">
    <cfRule type="cellIs" dxfId="2881" priority="105" operator="equal">
      <formula>"ja"</formula>
    </cfRule>
  </conditionalFormatting>
  <conditionalFormatting sqref="Q180">
    <cfRule type="cellIs" dxfId="2880" priority="93" operator="equal">
      <formula>"ja"</formula>
    </cfRule>
  </conditionalFormatting>
  <conditionalFormatting sqref="AA180">
    <cfRule type="expression" dxfId="2879" priority="92">
      <formula>AND(AND($W180&lt;TODAY(),$W180&lt;&gt;""),$X180="")</formula>
    </cfRule>
  </conditionalFormatting>
  <conditionalFormatting sqref="AA180">
    <cfRule type="expression" dxfId="2878" priority="104">
      <formula>AND(AND($W180&lt;TODAY(),$W180&lt;&gt;""),$X180="")</formula>
    </cfRule>
  </conditionalFormatting>
  <conditionalFormatting sqref="AG180">
    <cfRule type="dataBar" priority="103">
      <dataBar>
        <cfvo type="min"/>
        <cfvo type="max"/>
        <color rgb="FF63C384"/>
      </dataBar>
      <extLst>
        <ext xmlns:x14="http://schemas.microsoft.com/office/spreadsheetml/2009/9/main" uri="{B025F937-C7B1-47D3-B67F-A62EFF666E3E}">
          <x14:id>{BB33A9EA-D6C6-4ECA-AEBC-89F5BED06A1B}</x14:id>
        </ext>
      </extLst>
    </cfRule>
  </conditionalFormatting>
  <conditionalFormatting sqref="AG180">
    <cfRule type="dataBar" priority="102">
      <dataBar>
        <cfvo type="min"/>
        <cfvo type="max"/>
        <color rgb="FF63C384"/>
      </dataBar>
      <extLst>
        <ext xmlns:x14="http://schemas.microsoft.com/office/spreadsheetml/2009/9/main" uri="{B025F937-C7B1-47D3-B67F-A62EFF666E3E}">
          <x14:id>{BCCB8F82-37C5-4819-9664-6FFE31C27B54}</x14:id>
        </ext>
      </extLst>
    </cfRule>
  </conditionalFormatting>
  <conditionalFormatting sqref="Q180">
    <cfRule type="cellIs" dxfId="2877" priority="101" operator="equal">
      <formula>"ja"</formula>
    </cfRule>
  </conditionalFormatting>
  <conditionalFormatting sqref="AA180">
    <cfRule type="expression" dxfId="2876" priority="100">
      <formula>AND(AND($W180&lt;TODAY(),$W180&lt;&gt;""),$X180="")</formula>
    </cfRule>
  </conditionalFormatting>
  <conditionalFormatting sqref="AG180">
    <cfRule type="dataBar" priority="99">
      <dataBar>
        <cfvo type="min"/>
        <cfvo type="max"/>
        <color rgb="FF63C384"/>
      </dataBar>
      <extLst>
        <ext xmlns:x14="http://schemas.microsoft.com/office/spreadsheetml/2009/9/main" uri="{B025F937-C7B1-47D3-B67F-A62EFF666E3E}">
          <x14:id>{437EC3A8-D3EF-4AF7-834B-D3A0B17BB798}</x14:id>
        </ext>
      </extLst>
    </cfRule>
  </conditionalFormatting>
  <conditionalFormatting sqref="AG180">
    <cfRule type="dataBar" priority="98">
      <dataBar>
        <cfvo type="min"/>
        <cfvo type="max"/>
        <color rgb="FF63C384"/>
      </dataBar>
      <extLst>
        <ext xmlns:x14="http://schemas.microsoft.com/office/spreadsheetml/2009/9/main" uri="{B025F937-C7B1-47D3-B67F-A62EFF666E3E}">
          <x14:id>{E037DBE2-00FD-4CC6-BBFF-4BD1002EDB39}</x14:id>
        </ext>
      </extLst>
    </cfRule>
  </conditionalFormatting>
  <conditionalFormatting sqref="Q180">
    <cfRule type="cellIs" dxfId="2875" priority="97" operator="equal">
      <formula>"ja"</formula>
    </cfRule>
  </conditionalFormatting>
  <conditionalFormatting sqref="AA180">
    <cfRule type="expression" dxfId="2874" priority="96">
      <formula>AND(AND($W180&lt;TODAY(),$W180&lt;&gt;""),$X180="")</formula>
    </cfRule>
  </conditionalFormatting>
  <conditionalFormatting sqref="AG180">
    <cfRule type="dataBar" priority="95">
      <dataBar>
        <cfvo type="min"/>
        <cfvo type="max"/>
        <color rgb="FF63C384"/>
      </dataBar>
      <extLst>
        <ext xmlns:x14="http://schemas.microsoft.com/office/spreadsheetml/2009/9/main" uri="{B025F937-C7B1-47D3-B67F-A62EFF666E3E}">
          <x14:id>{5B829A88-AD5C-43F6-BF16-7C80726E1FBC}</x14:id>
        </ext>
      </extLst>
    </cfRule>
  </conditionalFormatting>
  <conditionalFormatting sqref="AG180">
    <cfRule type="dataBar" priority="94">
      <dataBar>
        <cfvo type="min"/>
        <cfvo type="max"/>
        <color rgb="FF63C384"/>
      </dataBar>
      <extLst>
        <ext xmlns:x14="http://schemas.microsoft.com/office/spreadsheetml/2009/9/main" uri="{B025F937-C7B1-47D3-B67F-A62EFF666E3E}">
          <x14:id>{5AD580BC-1653-4514-B5AC-AB833A4D860B}</x14:id>
        </ext>
      </extLst>
    </cfRule>
  </conditionalFormatting>
  <conditionalFormatting sqref="AG180">
    <cfRule type="dataBar" priority="91">
      <dataBar>
        <cfvo type="min"/>
        <cfvo type="max"/>
        <color rgb="FF63C384"/>
      </dataBar>
      <extLst>
        <ext xmlns:x14="http://schemas.microsoft.com/office/spreadsheetml/2009/9/main" uri="{B025F937-C7B1-47D3-B67F-A62EFF666E3E}">
          <x14:id>{91A4B5FD-9692-4956-9822-248F0EBC2E8A}</x14:id>
        </ext>
      </extLst>
    </cfRule>
  </conditionalFormatting>
  <conditionalFormatting sqref="AG180">
    <cfRule type="dataBar" priority="90">
      <dataBar>
        <cfvo type="min"/>
        <cfvo type="max"/>
        <color rgb="FF63C384"/>
      </dataBar>
      <extLst>
        <ext xmlns:x14="http://schemas.microsoft.com/office/spreadsheetml/2009/9/main" uri="{B025F937-C7B1-47D3-B67F-A62EFF666E3E}">
          <x14:id>{7771C62B-4829-4E54-A4FE-59F8EB75475A}</x14:id>
        </ext>
      </extLst>
    </cfRule>
  </conditionalFormatting>
  <conditionalFormatting sqref="AA181">
    <cfRule type="expression" dxfId="2873" priority="89">
      <formula>AND(AND($W181&lt;TODAY(),$W181&lt;&gt;""),$X181="")</formula>
    </cfRule>
  </conditionalFormatting>
  <conditionalFormatting sqref="AG181">
    <cfRule type="dataBar" priority="88">
      <dataBar>
        <cfvo type="min"/>
        <cfvo type="max"/>
        <color rgb="FF63C384"/>
      </dataBar>
      <extLst>
        <ext xmlns:x14="http://schemas.microsoft.com/office/spreadsheetml/2009/9/main" uri="{B025F937-C7B1-47D3-B67F-A62EFF666E3E}">
          <x14:id>{D0E43380-8A81-4FB3-A9B7-EDB3340681B5}</x14:id>
        </ext>
      </extLst>
    </cfRule>
  </conditionalFormatting>
  <conditionalFormatting sqref="AG181">
    <cfRule type="dataBar" priority="87">
      <dataBar>
        <cfvo type="min"/>
        <cfvo type="max"/>
        <color rgb="FF63C384"/>
      </dataBar>
      <extLst>
        <ext xmlns:x14="http://schemas.microsoft.com/office/spreadsheetml/2009/9/main" uri="{B025F937-C7B1-47D3-B67F-A62EFF666E3E}">
          <x14:id>{53EE487C-E065-42E6-BD00-2FD0B46304E2}</x14:id>
        </ext>
      </extLst>
    </cfRule>
  </conditionalFormatting>
  <conditionalFormatting sqref="Q181">
    <cfRule type="cellIs" dxfId="2872" priority="86" operator="equal">
      <formula>"ja"</formula>
    </cfRule>
  </conditionalFormatting>
  <conditionalFormatting sqref="Q182">
    <cfRule type="cellIs" dxfId="2871" priority="85" operator="equal">
      <formula>"ja"</formula>
    </cfRule>
  </conditionalFormatting>
  <conditionalFormatting sqref="AA182">
    <cfRule type="expression" dxfId="2870" priority="84">
      <formula>AND(AND($W182&lt;TODAY(),$W182&lt;&gt;""),$X182="")</formula>
    </cfRule>
  </conditionalFormatting>
  <conditionalFormatting sqref="AG182">
    <cfRule type="dataBar" priority="83">
      <dataBar>
        <cfvo type="min"/>
        <cfvo type="max"/>
        <color rgb="FF63C384"/>
      </dataBar>
      <extLst>
        <ext xmlns:x14="http://schemas.microsoft.com/office/spreadsheetml/2009/9/main" uri="{B025F937-C7B1-47D3-B67F-A62EFF666E3E}">
          <x14:id>{845089AF-A187-46D4-8FDE-B53AB346FA95}</x14:id>
        </ext>
      </extLst>
    </cfRule>
  </conditionalFormatting>
  <conditionalFormatting sqref="AG182">
    <cfRule type="dataBar" priority="82">
      <dataBar>
        <cfvo type="min"/>
        <cfvo type="max"/>
        <color rgb="FF63C384"/>
      </dataBar>
      <extLst>
        <ext xmlns:x14="http://schemas.microsoft.com/office/spreadsheetml/2009/9/main" uri="{B025F937-C7B1-47D3-B67F-A62EFF666E3E}">
          <x14:id>{2747E6AD-9277-48BD-80BA-378E187D6740}</x14:id>
        </ext>
      </extLst>
    </cfRule>
  </conditionalFormatting>
  <conditionalFormatting sqref="Q182">
    <cfRule type="cellIs" dxfId="2869" priority="81" operator="equal">
      <formula>"ja"</formula>
    </cfRule>
  </conditionalFormatting>
  <conditionalFormatting sqref="AA182">
    <cfRule type="expression" dxfId="2868" priority="80">
      <formula>AND(AND($W182&lt;TODAY(),$W182&lt;&gt;""),$X182="")</formula>
    </cfRule>
  </conditionalFormatting>
  <conditionalFormatting sqref="AG182">
    <cfRule type="dataBar" priority="79">
      <dataBar>
        <cfvo type="min"/>
        <cfvo type="max"/>
        <color rgb="FF63C384"/>
      </dataBar>
      <extLst>
        <ext xmlns:x14="http://schemas.microsoft.com/office/spreadsheetml/2009/9/main" uri="{B025F937-C7B1-47D3-B67F-A62EFF666E3E}">
          <x14:id>{62ACE364-60F2-4FA4-9705-C5BA2FAE5220}</x14:id>
        </ext>
      </extLst>
    </cfRule>
  </conditionalFormatting>
  <conditionalFormatting sqref="AG182">
    <cfRule type="dataBar" priority="78">
      <dataBar>
        <cfvo type="min"/>
        <cfvo type="max"/>
        <color rgb="FF63C384"/>
      </dataBar>
      <extLst>
        <ext xmlns:x14="http://schemas.microsoft.com/office/spreadsheetml/2009/9/main" uri="{B025F937-C7B1-47D3-B67F-A62EFF666E3E}">
          <x14:id>{AD6DE749-EA80-497E-BCE5-3FB4445598E1}</x14:id>
        </ext>
      </extLst>
    </cfRule>
  </conditionalFormatting>
  <conditionalFormatting sqref="AG183">
    <cfRule type="dataBar" priority="77">
      <dataBar>
        <cfvo type="min"/>
        <cfvo type="max"/>
        <color rgb="FF63C384"/>
      </dataBar>
      <extLst>
        <ext xmlns:x14="http://schemas.microsoft.com/office/spreadsheetml/2009/9/main" uri="{B025F937-C7B1-47D3-B67F-A62EFF666E3E}">
          <x14:id>{16B2802F-D8E5-4EC1-B32E-9CCA05561027}</x14:id>
        </ext>
      </extLst>
    </cfRule>
  </conditionalFormatting>
  <conditionalFormatting sqref="AG183">
    <cfRule type="dataBar" priority="76">
      <dataBar>
        <cfvo type="min"/>
        <cfvo type="max"/>
        <color rgb="FF63C384"/>
      </dataBar>
      <extLst>
        <ext xmlns:x14="http://schemas.microsoft.com/office/spreadsheetml/2009/9/main" uri="{B025F937-C7B1-47D3-B67F-A62EFF666E3E}">
          <x14:id>{20CF8831-C17F-40BB-8DEF-DBA95AA2070B}</x14:id>
        </ext>
      </extLst>
    </cfRule>
  </conditionalFormatting>
  <conditionalFormatting sqref="Q183">
    <cfRule type="cellIs" dxfId="2867" priority="75" operator="equal">
      <formula>"ja"</formula>
    </cfRule>
  </conditionalFormatting>
  <conditionalFormatting sqref="AA183">
    <cfRule type="expression" dxfId="2866" priority="74">
      <formula>AND(AND($W183&lt;TODAY(),$W183&lt;&gt;""),$X183="")</formula>
    </cfRule>
  </conditionalFormatting>
  <conditionalFormatting sqref="AA184">
    <cfRule type="expression" dxfId="2865" priority="73">
      <formula>AND(AND($W184&lt;TODAY(),$W184&lt;&gt;""),$X184="")</formula>
    </cfRule>
  </conditionalFormatting>
  <conditionalFormatting sqref="Q184">
    <cfRule type="cellIs" dxfId="2864" priority="72" operator="equal">
      <formula>"ja"</formula>
    </cfRule>
  </conditionalFormatting>
  <conditionalFormatting sqref="AG184">
    <cfRule type="dataBar" priority="71">
      <dataBar>
        <cfvo type="min"/>
        <cfvo type="max"/>
        <color rgb="FF63C384"/>
      </dataBar>
      <extLst>
        <ext xmlns:x14="http://schemas.microsoft.com/office/spreadsheetml/2009/9/main" uri="{B025F937-C7B1-47D3-B67F-A62EFF666E3E}">
          <x14:id>{D9E88D14-ACA1-4FB5-BCD2-16C32F84B599}</x14:id>
        </ext>
      </extLst>
    </cfRule>
  </conditionalFormatting>
  <conditionalFormatting sqref="AG184">
    <cfRule type="dataBar" priority="70">
      <dataBar>
        <cfvo type="min"/>
        <cfvo type="max"/>
        <color rgb="FF63C384"/>
      </dataBar>
      <extLst>
        <ext xmlns:x14="http://schemas.microsoft.com/office/spreadsheetml/2009/9/main" uri="{B025F937-C7B1-47D3-B67F-A62EFF666E3E}">
          <x14:id>{00747B9E-1344-4827-9FC6-FF90B6162FC0}</x14:id>
        </ext>
      </extLst>
    </cfRule>
  </conditionalFormatting>
  <conditionalFormatting sqref="Q185">
    <cfRule type="cellIs" dxfId="2863" priority="69" operator="equal">
      <formula>"ja"</formula>
    </cfRule>
  </conditionalFormatting>
  <conditionalFormatting sqref="AA185">
    <cfRule type="expression" dxfId="2862" priority="68">
      <formula>AND(AND($W185&lt;TODAY(),$W185&lt;&gt;""),$X185="")</formula>
    </cfRule>
  </conditionalFormatting>
  <conditionalFormatting sqref="AG185">
    <cfRule type="dataBar" priority="67">
      <dataBar>
        <cfvo type="min"/>
        <cfvo type="max"/>
        <color rgb="FF63C384"/>
      </dataBar>
      <extLst>
        <ext xmlns:x14="http://schemas.microsoft.com/office/spreadsheetml/2009/9/main" uri="{B025F937-C7B1-47D3-B67F-A62EFF666E3E}">
          <x14:id>{CA69CD50-C0E3-474A-88CC-25E177840963}</x14:id>
        </ext>
      </extLst>
    </cfRule>
  </conditionalFormatting>
  <conditionalFormatting sqref="AG185">
    <cfRule type="dataBar" priority="66">
      <dataBar>
        <cfvo type="min"/>
        <cfvo type="max"/>
        <color rgb="FF63C384"/>
      </dataBar>
      <extLst>
        <ext xmlns:x14="http://schemas.microsoft.com/office/spreadsheetml/2009/9/main" uri="{B025F937-C7B1-47D3-B67F-A62EFF666E3E}">
          <x14:id>{9BE2C40D-8945-4E43-B689-BE9FB5896C59}</x14:id>
        </ext>
      </extLst>
    </cfRule>
  </conditionalFormatting>
  <conditionalFormatting sqref="AA186">
    <cfRule type="expression" dxfId="2861" priority="65">
      <formula>AND(AND($W186&lt;TODAY(),$W186&lt;&gt;""),$X186="")</formula>
    </cfRule>
  </conditionalFormatting>
  <conditionalFormatting sqref="AG186">
    <cfRule type="dataBar" priority="64">
      <dataBar>
        <cfvo type="min"/>
        <cfvo type="max"/>
        <color rgb="FF63C384"/>
      </dataBar>
      <extLst>
        <ext xmlns:x14="http://schemas.microsoft.com/office/spreadsheetml/2009/9/main" uri="{B025F937-C7B1-47D3-B67F-A62EFF666E3E}">
          <x14:id>{61D5A1F9-A8CF-475C-8DD6-3465DE401A49}</x14:id>
        </ext>
      </extLst>
    </cfRule>
  </conditionalFormatting>
  <conditionalFormatting sqref="AG186">
    <cfRule type="dataBar" priority="63">
      <dataBar>
        <cfvo type="min"/>
        <cfvo type="max"/>
        <color rgb="FF63C384"/>
      </dataBar>
      <extLst>
        <ext xmlns:x14="http://schemas.microsoft.com/office/spreadsheetml/2009/9/main" uri="{B025F937-C7B1-47D3-B67F-A62EFF666E3E}">
          <x14:id>{26C07423-2B72-48BF-A64A-FF914947DE0E}</x14:id>
        </ext>
      </extLst>
    </cfRule>
  </conditionalFormatting>
  <conditionalFormatting sqref="Q186">
    <cfRule type="cellIs" dxfId="2860" priority="62" operator="equal">
      <formula>"ja"</formula>
    </cfRule>
  </conditionalFormatting>
  <conditionalFormatting sqref="Q187">
    <cfRule type="cellIs" dxfId="2859" priority="61" operator="equal">
      <formula>"ja"</formula>
    </cfRule>
  </conditionalFormatting>
  <conditionalFormatting sqref="AA187">
    <cfRule type="expression" dxfId="2858" priority="60">
      <formula>AND(AND($W187&lt;TODAY(),$W187&lt;&gt;""),$X187="")</formula>
    </cfRule>
  </conditionalFormatting>
  <conditionalFormatting sqref="AG187">
    <cfRule type="dataBar" priority="59">
      <dataBar>
        <cfvo type="min"/>
        <cfvo type="max"/>
        <color rgb="FF63C384"/>
      </dataBar>
      <extLst>
        <ext xmlns:x14="http://schemas.microsoft.com/office/spreadsheetml/2009/9/main" uri="{B025F937-C7B1-47D3-B67F-A62EFF666E3E}">
          <x14:id>{4BA32098-C5E0-4DF5-90C8-5C5C28247A66}</x14:id>
        </ext>
      </extLst>
    </cfRule>
  </conditionalFormatting>
  <conditionalFormatting sqref="AG187">
    <cfRule type="dataBar" priority="58">
      <dataBar>
        <cfvo type="min"/>
        <cfvo type="max"/>
        <color rgb="FF63C384"/>
      </dataBar>
      <extLst>
        <ext xmlns:x14="http://schemas.microsoft.com/office/spreadsheetml/2009/9/main" uri="{B025F937-C7B1-47D3-B67F-A62EFF666E3E}">
          <x14:id>{2F70FD84-E496-4A35-B489-F9A4F2ECC648}</x14:id>
        </ext>
      </extLst>
    </cfRule>
  </conditionalFormatting>
  <conditionalFormatting sqref="Q188">
    <cfRule type="cellIs" dxfId="2857" priority="57" operator="equal">
      <formula>"ja"</formula>
    </cfRule>
  </conditionalFormatting>
  <conditionalFormatting sqref="AA188">
    <cfRule type="expression" dxfId="2856" priority="56">
      <formula>AND(AND($W188&lt;TODAY(),$W188&lt;&gt;""),$X188="")</formula>
    </cfRule>
  </conditionalFormatting>
  <conditionalFormatting sqref="AG188">
    <cfRule type="dataBar" priority="55">
      <dataBar>
        <cfvo type="min"/>
        <cfvo type="max"/>
        <color rgb="FF63C384"/>
      </dataBar>
      <extLst>
        <ext xmlns:x14="http://schemas.microsoft.com/office/spreadsheetml/2009/9/main" uri="{B025F937-C7B1-47D3-B67F-A62EFF666E3E}">
          <x14:id>{11FDD1C8-6278-4638-B316-EC776125A7B3}</x14:id>
        </ext>
      </extLst>
    </cfRule>
  </conditionalFormatting>
  <conditionalFormatting sqref="AG188">
    <cfRule type="dataBar" priority="54">
      <dataBar>
        <cfvo type="min"/>
        <cfvo type="max"/>
        <color rgb="FF63C384"/>
      </dataBar>
      <extLst>
        <ext xmlns:x14="http://schemas.microsoft.com/office/spreadsheetml/2009/9/main" uri="{B025F937-C7B1-47D3-B67F-A62EFF666E3E}">
          <x14:id>{F57066AD-D669-4158-900F-7E491AA10B34}</x14:id>
        </ext>
      </extLst>
    </cfRule>
  </conditionalFormatting>
  <conditionalFormatting sqref="Q189">
    <cfRule type="cellIs" dxfId="2855" priority="53" operator="equal">
      <formula>"ja"</formula>
    </cfRule>
  </conditionalFormatting>
  <conditionalFormatting sqref="AA189">
    <cfRule type="expression" dxfId="2854" priority="52">
      <formula>AND(AND($W189&lt;TODAY(),$W189&lt;&gt;""),$X189="")</formula>
    </cfRule>
  </conditionalFormatting>
  <conditionalFormatting sqref="AG189">
    <cfRule type="dataBar" priority="51">
      <dataBar>
        <cfvo type="min"/>
        <cfvo type="max"/>
        <color rgb="FF63C384"/>
      </dataBar>
      <extLst>
        <ext xmlns:x14="http://schemas.microsoft.com/office/spreadsheetml/2009/9/main" uri="{B025F937-C7B1-47D3-B67F-A62EFF666E3E}">
          <x14:id>{B0B8F63B-DEFF-4D0B-8CCD-28D0D5609CE5}</x14:id>
        </ext>
      </extLst>
    </cfRule>
  </conditionalFormatting>
  <conditionalFormatting sqref="AG189">
    <cfRule type="dataBar" priority="50">
      <dataBar>
        <cfvo type="min"/>
        <cfvo type="max"/>
        <color rgb="FF63C384"/>
      </dataBar>
      <extLst>
        <ext xmlns:x14="http://schemas.microsoft.com/office/spreadsheetml/2009/9/main" uri="{B025F937-C7B1-47D3-B67F-A62EFF666E3E}">
          <x14:id>{C6C7C7CE-AB04-4ABC-BD55-1F542E6596BF}</x14:id>
        </ext>
      </extLst>
    </cfRule>
  </conditionalFormatting>
  <conditionalFormatting sqref="AA190">
    <cfRule type="expression" dxfId="2853" priority="49">
      <formula>AND(AND($W190&lt;TODAY(),$W190&lt;&gt;""),$X190="")</formula>
    </cfRule>
  </conditionalFormatting>
  <conditionalFormatting sqref="Q190">
    <cfRule type="cellIs" dxfId="2852" priority="48" operator="equal">
      <formula>"ja"</formula>
    </cfRule>
  </conditionalFormatting>
  <conditionalFormatting sqref="AG190">
    <cfRule type="dataBar" priority="47">
      <dataBar>
        <cfvo type="min"/>
        <cfvo type="max"/>
        <color rgb="FF63C384"/>
      </dataBar>
      <extLst>
        <ext xmlns:x14="http://schemas.microsoft.com/office/spreadsheetml/2009/9/main" uri="{B025F937-C7B1-47D3-B67F-A62EFF666E3E}">
          <x14:id>{41714103-AA6F-4C6D-A938-EC0154374010}</x14:id>
        </ext>
      </extLst>
    </cfRule>
  </conditionalFormatting>
  <conditionalFormatting sqref="AG190">
    <cfRule type="dataBar" priority="46">
      <dataBar>
        <cfvo type="min"/>
        <cfvo type="max"/>
        <color rgb="FF63C384"/>
      </dataBar>
      <extLst>
        <ext xmlns:x14="http://schemas.microsoft.com/office/spreadsheetml/2009/9/main" uri="{B025F937-C7B1-47D3-B67F-A62EFF666E3E}">
          <x14:id>{8CC60EDC-A883-45CD-A449-AAF70425198B}</x14:id>
        </ext>
      </extLst>
    </cfRule>
  </conditionalFormatting>
  <conditionalFormatting sqref="Q191">
    <cfRule type="cellIs" dxfId="2851" priority="45" operator="equal">
      <formula>"ja"</formula>
    </cfRule>
  </conditionalFormatting>
  <conditionalFormatting sqref="AA191">
    <cfRule type="expression" dxfId="2850" priority="44">
      <formula>AND(AND($W191&lt;TODAY(),$W191&lt;&gt;""),$X191="")</formula>
    </cfRule>
  </conditionalFormatting>
  <conditionalFormatting sqref="AG191">
    <cfRule type="dataBar" priority="43">
      <dataBar>
        <cfvo type="min"/>
        <cfvo type="max"/>
        <color rgb="FF63C384"/>
      </dataBar>
      <extLst>
        <ext xmlns:x14="http://schemas.microsoft.com/office/spreadsheetml/2009/9/main" uri="{B025F937-C7B1-47D3-B67F-A62EFF666E3E}">
          <x14:id>{7D14CD59-E1E1-452D-8499-38AD0664CB90}</x14:id>
        </ext>
      </extLst>
    </cfRule>
  </conditionalFormatting>
  <conditionalFormatting sqref="AG191">
    <cfRule type="dataBar" priority="42">
      <dataBar>
        <cfvo type="min"/>
        <cfvo type="max"/>
        <color rgb="FF63C384"/>
      </dataBar>
      <extLst>
        <ext xmlns:x14="http://schemas.microsoft.com/office/spreadsheetml/2009/9/main" uri="{B025F937-C7B1-47D3-B67F-A62EFF666E3E}">
          <x14:id>{19858C4C-ECD0-487C-A9B6-69E6999B52A0}</x14:id>
        </ext>
      </extLst>
    </cfRule>
  </conditionalFormatting>
  <conditionalFormatting sqref="AA187">
    <cfRule type="expression" dxfId="2849" priority="41">
      <formula>AND(AND($W187&lt;TODAY(),$W187&lt;&gt;""),$X187="")</formula>
    </cfRule>
  </conditionalFormatting>
  <conditionalFormatting sqref="AG187">
    <cfRule type="dataBar" priority="40">
      <dataBar>
        <cfvo type="min"/>
        <cfvo type="max"/>
        <color rgb="FF63C384"/>
      </dataBar>
      <extLst>
        <ext xmlns:x14="http://schemas.microsoft.com/office/spreadsheetml/2009/9/main" uri="{B025F937-C7B1-47D3-B67F-A62EFF666E3E}">
          <x14:id>{D9D2BFB8-746A-4CAC-8A9E-7D68A60421D5}</x14:id>
        </ext>
      </extLst>
    </cfRule>
  </conditionalFormatting>
  <conditionalFormatting sqref="AG187">
    <cfRule type="dataBar" priority="39">
      <dataBar>
        <cfvo type="min"/>
        <cfvo type="max"/>
        <color rgb="FF63C384"/>
      </dataBar>
      <extLst>
        <ext xmlns:x14="http://schemas.microsoft.com/office/spreadsheetml/2009/9/main" uri="{B025F937-C7B1-47D3-B67F-A62EFF666E3E}">
          <x14:id>{8D3A0840-FE1D-440F-BA80-CDC4711D2340}</x14:id>
        </ext>
      </extLst>
    </cfRule>
  </conditionalFormatting>
  <conditionalFormatting sqref="Q187">
    <cfRule type="cellIs" dxfId="2848" priority="38" operator="equal">
      <formula>"ja"</formula>
    </cfRule>
  </conditionalFormatting>
  <conditionalFormatting sqref="Q188">
    <cfRule type="cellIs" dxfId="2847" priority="37" operator="equal">
      <formula>"ja"</formula>
    </cfRule>
  </conditionalFormatting>
  <conditionalFormatting sqref="AA188">
    <cfRule type="expression" dxfId="2846" priority="36">
      <formula>AND(AND($W188&lt;TODAY(),$W188&lt;&gt;""),$X188="")</formula>
    </cfRule>
  </conditionalFormatting>
  <conditionalFormatting sqref="AG188">
    <cfRule type="dataBar" priority="35">
      <dataBar>
        <cfvo type="min"/>
        <cfvo type="max"/>
        <color rgb="FF63C384"/>
      </dataBar>
      <extLst>
        <ext xmlns:x14="http://schemas.microsoft.com/office/spreadsheetml/2009/9/main" uri="{B025F937-C7B1-47D3-B67F-A62EFF666E3E}">
          <x14:id>{844E2EDC-1DE0-46FC-9906-0F6C95A21017}</x14:id>
        </ext>
      </extLst>
    </cfRule>
  </conditionalFormatting>
  <conditionalFormatting sqref="AG188">
    <cfRule type="dataBar" priority="34">
      <dataBar>
        <cfvo type="min"/>
        <cfvo type="max"/>
        <color rgb="FF63C384"/>
      </dataBar>
      <extLst>
        <ext xmlns:x14="http://schemas.microsoft.com/office/spreadsheetml/2009/9/main" uri="{B025F937-C7B1-47D3-B67F-A62EFF666E3E}">
          <x14:id>{31679D1F-7B35-47C5-AA11-49765EAC3408}</x14:id>
        </ext>
      </extLst>
    </cfRule>
  </conditionalFormatting>
  <conditionalFormatting sqref="Q189">
    <cfRule type="cellIs" dxfId="2845" priority="33" operator="equal">
      <formula>"ja"</formula>
    </cfRule>
  </conditionalFormatting>
  <conditionalFormatting sqref="AA189">
    <cfRule type="expression" dxfId="2844" priority="32">
      <formula>AND(AND($W189&lt;TODAY(),$W189&lt;&gt;""),$X189="")</formula>
    </cfRule>
  </conditionalFormatting>
  <conditionalFormatting sqref="AG189">
    <cfRule type="dataBar" priority="31">
      <dataBar>
        <cfvo type="min"/>
        <cfvo type="max"/>
        <color rgb="FF63C384"/>
      </dataBar>
      <extLst>
        <ext xmlns:x14="http://schemas.microsoft.com/office/spreadsheetml/2009/9/main" uri="{B025F937-C7B1-47D3-B67F-A62EFF666E3E}">
          <x14:id>{18F5656C-844B-4A3F-AD6E-0C7FBFC80E7D}</x14:id>
        </ext>
      </extLst>
    </cfRule>
  </conditionalFormatting>
  <conditionalFormatting sqref="AG189">
    <cfRule type="dataBar" priority="30">
      <dataBar>
        <cfvo type="min"/>
        <cfvo type="max"/>
        <color rgb="FF63C384"/>
      </dataBar>
      <extLst>
        <ext xmlns:x14="http://schemas.microsoft.com/office/spreadsheetml/2009/9/main" uri="{B025F937-C7B1-47D3-B67F-A62EFF666E3E}">
          <x14:id>{A2AADF8C-C752-4FDB-BA3F-1CCC4599F093}</x14:id>
        </ext>
      </extLst>
    </cfRule>
  </conditionalFormatting>
  <conditionalFormatting sqref="Q190">
    <cfRule type="cellIs" dxfId="2843" priority="29" operator="equal">
      <formula>"ja"</formula>
    </cfRule>
  </conditionalFormatting>
  <conditionalFormatting sqref="AA190">
    <cfRule type="expression" dxfId="2842" priority="28">
      <formula>AND(AND($W190&lt;TODAY(),$W190&lt;&gt;""),$X190="")</formula>
    </cfRule>
  </conditionalFormatting>
  <conditionalFormatting sqref="AG190">
    <cfRule type="dataBar" priority="27">
      <dataBar>
        <cfvo type="min"/>
        <cfvo type="max"/>
        <color rgb="FF63C384"/>
      </dataBar>
      <extLst>
        <ext xmlns:x14="http://schemas.microsoft.com/office/spreadsheetml/2009/9/main" uri="{B025F937-C7B1-47D3-B67F-A62EFF666E3E}">
          <x14:id>{1EEF4FD9-61B0-421E-88DE-3B86012CED72}</x14:id>
        </ext>
      </extLst>
    </cfRule>
  </conditionalFormatting>
  <conditionalFormatting sqref="AG190">
    <cfRule type="dataBar" priority="26">
      <dataBar>
        <cfvo type="min"/>
        <cfvo type="max"/>
        <color rgb="FF63C384"/>
      </dataBar>
      <extLst>
        <ext xmlns:x14="http://schemas.microsoft.com/office/spreadsheetml/2009/9/main" uri="{B025F937-C7B1-47D3-B67F-A62EFF666E3E}">
          <x14:id>{61C7A8A0-B49B-46E6-9534-78D25EFE5812}</x14:id>
        </ext>
      </extLst>
    </cfRule>
  </conditionalFormatting>
  <conditionalFormatting sqref="AA191">
    <cfRule type="expression" dxfId="2841" priority="25">
      <formula>AND(AND($W191&lt;TODAY(),$W191&lt;&gt;""),$X191="")</formula>
    </cfRule>
  </conditionalFormatting>
  <conditionalFormatting sqref="Q191">
    <cfRule type="cellIs" dxfId="2840" priority="24" operator="equal">
      <formula>"ja"</formula>
    </cfRule>
  </conditionalFormatting>
  <conditionalFormatting sqref="AG191">
    <cfRule type="dataBar" priority="23">
      <dataBar>
        <cfvo type="min"/>
        <cfvo type="max"/>
        <color rgb="FF63C384"/>
      </dataBar>
      <extLst>
        <ext xmlns:x14="http://schemas.microsoft.com/office/spreadsheetml/2009/9/main" uri="{B025F937-C7B1-47D3-B67F-A62EFF666E3E}">
          <x14:id>{2146330F-1B91-44A1-9838-351EE88D24CC}</x14:id>
        </ext>
      </extLst>
    </cfRule>
  </conditionalFormatting>
  <conditionalFormatting sqref="AG191">
    <cfRule type="dataBar" priority="22">
      <dataBar>
        <cfvo type="min"/>
        <cfvo type="max"/>
        <color rgb="FF63C384"/>
      </dataBar>
      <extLst>
        <ext xmlns:x14="http://schemas.microsoft.com/office/spreadsheetml/2009/9/main" uri="{B025F937-C7B1-47D3-B67F-A62EFF666E3E}">
          <x14:id>{F6CF3C31-4555-4678-B462-3161C7D75176}</x14:id>
        </ext>
      </extLst>
    </cfRule>
  </conditionalFormatting>
  <conditionalFormatting sqref="Q192">
    <cfRule type="cellIs" dxfId="2839" priority="21" operator="equal">
      <formula>"ja"</formula>
    </cfRule>
  </conditionalFormatting>
  <conditionalFormatting sqref="AA192">
    <cfRule type="expression" dxfId="2838" priority="20">
      <formula>AND(AND($W192&lt;TODAY(),$W192&lt;&gt;""),$X192="")</formula>
    </cfRule>
  </conditionalFormatting>
  <conditionalFormatting sqref="AG192">
    <cfRule type="dataBar" priority="19">
      <dataBar>
        <cfvo type="min"/>
        <cfvo type="max"/>
        <color rgb="FF63C384"/>
      </dataBar>
      <extLst>
        <ext xmlns:x14="http://schemas.microsoft.com/office/spreadsheetml/2009/9/main" uri="{B025F937-C7B1-47D3-B67F-A62EFF666E3E}">
          <x14:id>{56772C29-97CE-4546-9905-E8FDB8429CFD}</x14:id>
        </ext>
      </extLst>
    </cfRule>
  </conditionalFormatting>
  <conditionalFormatting sqref="AG192">
    <cfRule type="dataBar" priority="18">
      <dataBar>
        <cfvo type="min"/>
        <cfvo type="max"/>
        <color rgb="FF63C384"/>
      </dataBar>
      <extLst>
        <ext xmlns:x14="http://schemas.microsoft.com/office/spreadsheetml/2009/9/main" uri="{B025F937-C7B1-47D3-B67F-A62EFF666E3E}">
          <x14:id>{A14FDAE3-7E4D-441C-ABBC-F24B0C1A455D}</x14:id>
        </ext>
      </extLst>
    </cfRule>
  </conditionalFormatting>
  <conditionalFormatting sqref="AA193">
    <cfRule type="expression" dxfId="2837" priority="17">
      <formula>AND(AND($W193&lt;TODAY(),$W193&lt;&gt;""),$X193="")</formula>
    </cfRule>
  </conditionalFormatting>
  <conditionalFormatting sqref="AG193">
    <cfRule type="dataBar" priority="16">
      <dataBar>
        <cfvo type="min"/>
        <cfvo type="max"/>
        <color rgb="FF63C384"/>
      </dataBar>
      <extLst>
        <ext xmlns:x14="http://schemas.microsoft.com/office/spreadsheetml/2009/9/main" uri="{B025F937-C7B1-47D3-B67F-A62EFF666E3E}">
          <x14:id>{BD21B5AD-4EF3-4408-8300-51CD89426714}</x14:id>
        </ext>
      </extLst>
    </cfRule>
  </conditionalFormatting>
  <conditionalFormatting sqref="AG193">
    <cfRule type="dataBar" priority="15">
      <dataBar>
        <cfvo type="min"/>
        <cfvo type="max"/>
        <color rgb="FF63C384"/>
      </dataBar>
      <extLst>
        <ext xmlns:x14="http://schemas.microsoft.com/office/spreadsheetml/2009/9/main" uri="{B025F937-C7B1-47D3-B67F-A62EFF666E3E}">
          <x14:id>{898CA3B0-9584-423C-91E6-B49EED3BFB63}</x14:id>
        </ext>
      </extLst>
    </cfRule>
  </conditionalFormatting>
  <conditionalFormatting sqref="AA193">
    <cfRule type="expression" dxfId="2836" priority="14">
      <formula>AND(AND($W193&lt;TODAY(),$W193&lt;&gt;""),$X193="")</formula>
    </cfRule>
  </conditionalFormatting>
  <conditionalFormatting sqref="AG193">
    <cfRule type="dataBar" priority="13">
      <dataBar>
        <cfvo type="min"/>
        <cfvo type="max"/>
        <color rgb="FF63C384"/>
      </dataBar>
      <extLst>
        <ext xmlns:x14="http://schemas.microsoft.com/office/spreadsheetml/2009/9/main" uri="{B025F937-C7B1-47D3-B67F-A62EFF666E3E}">
          <x14:id>{8F40CFB7-4908-40D4-8C18-3709F4788EEF}</x14:id>
        </ext>
      </extLst>
    </cfRule>
  </conditionalFormatting>
  <conditionalFormatting sqref="AG193">
    <cfRule type="dataBar" priority="12">
      <dataBar>
        <cfvo type="min"/>
        <cfvo type="max"/>
        <color rgb="FF63C384"/>
      </dataBar>
      <extLst>
        <ext xmlns:x14="http://schemas.microsoft.com/office/spreadsheetml/2009/9/main" uri="{B025F937-C7B1-47D3-B67F-A62EFF666E3E}">
          <x14:id>{205A538F-D79F-4C81-B907-13A32564FAAE}</x14:id>
        </ext>
      </extLst>
    </cfRule>
  </conditionalFormatting>
  <conditionalFormatting sqref="AA194">
    <cfRule type="expression" dxfId="2835" priority="11">
      <formula>AND(AND($W194&lt;TODAY(),$W194&lt;&gt;""),$X194="")</formula>
    </cfRule>
  </conditionalFormatting>
  <conditionalFormatting sqref="AG194">
    <cfRule type="dataBar" priority="10">
      <dataBar>
        <cfvo type="min"/>
        <cfvo type="max"/>
        <color rgb="FF63C384"/>
      </dataBar>
      <extLst>
        <ext xmlns:x14="http://schemas.microsoft.com/office/spreadsheetml/2009/9/main" uri="{B025F937-C7B1-47D3-B67F-A62EFF666E3E}">
          <x14:id>{DF6B661A-F7E4-4235-BCEC-45EF65C34AAF}</x14:id>
        </ext>
      </extLst>
    </cfRule>
  </conditionalFormatting>
  <conditionalFormatting sqref="AG194">
    <cfRule type="dataBar" priority="9">
      <dataBar>
        <cfvo type="min"/>
        <cfvo type="max"/>
        <color rgb="FF63C384"/>
      </dataBar>
      <extLst>
        <ext xmlns:x14="http://schemas.microsoft.com/office/spreadsheetml/2009/9/main" uri="{B025F937-C7B1-47D3-B67F-A62EFF666E3E}">
          <x14:id>{D8CB52CE-27AD-4B0B-AA58-10D9BCC79549}</x14:id>
        </ext>
      </extLst>
    </cfRule>
  </conditionalFormatting>
  <conditionalFormatting sqref="AA194">
    <cfRule type="expression" dxfId="2834" priority="8">
      <formula>AND(AND($W194&lt;TODAY(),$W194&lt;&gt;""),$X194="")</formula>
    </cfRule>
  </conditionalFormatting>
  <conditionalFormatting sqref="AG194">
    <cfRule type="dataBar" priority="7">
      <dataBar>
        <cfvo type="min"/>
        <cfvo type="max"/>
        <color rgb="FF63C384"/>
      </dataBar>
      <extLst>
        <ext xmlns:x14="http://schemas.microsoft.com/office/spreadsheetml/2009/9/main" uri="{B025F937-C7B1-47D3-B67F-A62EFF666E3E}">
          <x14:id>{76727250-F8D6-42DE-B3F2-616C395DD52C}</x14:id>
        </ext>
      </extLst>
    </cfRule>
  </conditionalFormatting>
  <conditionalFormatting sqref="AG194">
    <cfRule type="dataBar" priority="6">
      <dataBar>
        <cfvo type="min"/>
        <cfvo type="max"/>
        <color rgb="FF63C384"/>
      </dataBar>
      <extLst>
        <ext xmlns:x14="http://schemas.microsoft.com/office/spreadsheetml/2009/9/main" uri="{B025F937-C7B1-47D3-B67F-A62EFF666E3E}">
          <x14:id>{1D8CB764-B917-41F8-8499-3DD7853FDA26}</x14:id>
        </ext>
      </extLst>
    </cfRule>
  </conditionalFormatting>
  <conditionalFormatting sqref="Q76">
    <cfRule type="cellIs" dxfId="2833" priority="5" operator="equal">
      <formula>"ja"</formula>
    </cfRule>
  </conditionalFormatting>
  <conditionalFormatting sqref="Q62">
    <cfRule type="cellIs" dxfId="2832" priority="4" operator="equal">
      <formula>"ja"</formula>
    </cfRule>
  </conditionalFormatting>
  <conditionalFormatting sqref="Q45">
    <cfRule type="cellIs" dxfId="2831" priority="3" operator="equal">
      <formula>"ja"</formula>
    </cfRule>
  </conditionalFormatting>
  <conditionalFormatting sqref="Q30">
    <cfRule type="cellIs" dxfId="2830" priority="2" operator="equal">
      <formula>"ja"</formula>
    </cfRule>
  </conditionalFormatting>
  <conditionalFormatting sqref="Q7">
    <cfRule type="cellIs" dxfId="2829" priority="1" operator="equal">
      <formula>"ja"</formula>
    </cfRule>
  </conditionalFormatting>
  <dataValidations count="3">
    <dataValidation type="list" allowBlank="1" showInputMessage="1" showErrorMessage="1" sqref="Q11:Q12 Q26 Q43 Q56 Q71 Q81 Q96 Q100 Q115 Q131 Q133 Q141 Q159 Q179" xr:uid="{58DF2E03-00E0-4997-8429-423AFA97E531}">
      <formula1>"Weiterverkauf,"</formula1>
    </dataValidation>
    <dataValidation type="list" allowBlank="1" showInputMessage="1" showErrorMessage="1" sqref="K41 K5 K11 K16 K21 K28 K63 K100 K121 K170" xr:uid="{E3E6E449-582B-4272-8EED-24ACC46C41BE}">
      <formula1>"Einnahmen,Ausgaben"</formula1>
    </dataValidation>
    <dataValidation type="list" allowBlank="1" showInputMessage="1" showErrorMessage="1" sqref="L2:L194" xr:uid="{9D7BD8DD-DFBC-402A-86D6-635E7AE4644C}">
      <formula1>Spesenart</formula1>
    </dataValidation>
  </dataValidations>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DF769813-F9B5-4319-A35A-A51D276A1844}">
            <x14:dataBar minLength="0" maxLength="100" border="1" negativeBarBorderColorSameAsPositive="0">
              <x14:cfvo type="autoMin"/>
              <x14:cfvo type="autoMax"/>
              <x14:borderColor rgb="FF63C384"/>
              <x14:negativeFillColor rgb="FFFF0000"/>
              <x14:negativeBorderColor rgb="FFFF0000"/>
              <x14:axisColor rgb="FF000000"/>
            </x14:dataBar>
          </x14:cfRule>
          <xm:sqref>AG192</xm:sqref>
        </x14:conditionalFormatting>
        <x14:conditionalFormatting xmlns:xm="http://schemas.microsoft.com/office/excel/2006/main">
          <x14:cfRule type="dataBar" id="{21A8E2D7-4397-413C-AD75-3E501A3BEE6D}">
            <x14:dataBar minLength="0" maxLength="100" border="1" negativeBarBorderColorSameAsPositive="0">
              <x14:cfvo type="autoMin"/>
              <x14:cfvo type="autoMax"/>
              <x14:borderColor rgb="FF63C384"/>
              <x14:negativeFillColor rgb="FFFF0000"/>
              <x14:negativeBorderColor rgb="FFFF0000"/>
              <x14:axisColor rgb="FF000000"/>
            </x14:dataBar>
          </x14:cfRule>
          <xm:sqref>AG192</xm:sqref>
        </x14:conditionalFormatting>
        <x14:conditionalFormatting xmlns:xm="http://schemas.microsoft.com/office/excel/2006/main">
          <x14:cfRule type="dataBar" id="{38819BD5-D467-4CF2-9870-BE052E044104}">
            <x14:dataBar minLength="0" maxLength="100" border="1" negativeBarBorderColorSameAsPositive="0">
              <x14:cfvo type="autoMin"/>
              <x14:cfvo type="autoMax"/>
              <x14:borderColor rgb="FF63C384"/>
              <x14:negativeFillColor rgb="FFFF0000"/>
              <x14:negativeBorderColor rgb="FFFF0000"/>
              <x14:axisColor rgb="FF000000"/>
            </x14:dataBar>
          </x14:cfRule>
          <xm:sqref>AG9:AG10 AG27 AG37</xm:sqref>
        </x14:conditionalFormatting>
        <x14:conditionalFormatting xmlns:xm="http://schemas.microsoft.com/office/excel/2006/main">
          <x14:cfRule type="dataBar" id="{1B12E488-BB27-4780-91A1-BF9ED31EFA63}">
            <x14:dataBar minLength="0" maxLength="100" border="1" negativeBarBorderColorSameAsPositive="0">
              <x14:cfvo type="autoMin"/>
              <x14:cfvo type="autoMax"/>
              <x14:borderColor rgb="FF63C384"/>
              <x14:negativeFillColor rgb="FFFF0000"/>
              <x14:negativeBorderColor rgb="FFFF0000"/>
              <x14:axisColor rgb="FF000000"/>
            </x14:dataBar>
          </x14:cfRule>
          <xm:sqref>AG9:AG10</xm:sqref>
        </x14:conditionalFormatting>
        <x14:conditionalFormatting xmlns:xm="http://schemas.microsoft.com/office/excel/2006/main">
          <x14:cfRule type="dataBar" id="{B39A667D-08E9-4640-8329-7AD51C507B7E}">
            <x14:dataBar minLength="0" maxLength="100" border="1" negativeBarBorderColorSameAsPositive="0">
              <x14:cfvo type="autoMin"/>
              <x14:cfvo type="autoMax"/>
              <x14:borderColor rgb="FF63C384"/>
              <x14:negativeFillColor rgb="FFFF0000"/>
              <x14:negativeBorderColor rgb="FFFF0000"/>
              <x14:axisColor rgb="FF000000"/>
            </x14:dataBar>
          </x14:cfRule>
          <xm:sqref>AG2</xm:sqref>
        </x14:conditionalFormatting>
        <x14:conditionalFormatting xmlns:xm="http://schemas.microsoft.com/office/excel/2006/main">
          <x14:cfRule type="dataBar" id="{69F1B8D0-D1B1-4CDB-B146-EF4C9C718D9A}">
            <x14:dataBar minLength="0" maxLength="100" border="1" negativeBarBorderColorSameAsPositive="0">
              <x14:cfvo type="autoMin"/>
              <x14:cfvo type="autoMax"/>
              <x14:borderColor rgb="FF63C384"/>
              <x14:negativeFillColor rgb="FFFF0000"/>
              <x14:negativeBorderColor rgb="FFFF0000"/>
              <x14:axisColor rgb="FF000000"/>
            </x14:dataBar>
          </x14:cfRule>
          <xm:sqref>AG2</xm:sqref>
        </x14:conditionalFormatting>
        <x14:conditionalFormatting xmlns:xm="http://schemas.microsoft.com/office/excel/2006/main">
          <x14:cfRule type="dataBar" id="{F1B9DA39-5BF6-447B-8E64-FB707BFF6B64}">
            <x14:dataBar minLength="0" maxLength="100" border="1" negativeBarBorderColorSameAsPositive="0">
              <x14:cfvo type="autoMin"/>
              <x14:cfvo type="autoMax"/>
              <x14:borderColor rgb="FF63C384"/>
              <x14:negativeFillColor rgb="FFFF0000"/>
              <x14:negativeBorderColor rgb="FFFF0000"/>
              <x14:axisColor rgb="FF000000"/>
            </x14:dataBar>
          </x14:cfRule>
          <xm:sqref>AG3</xm:sqref>
        </x14:conditionalFormatting>
        <x14:conditionalFormatting xmlns:xm="http://schemas.microsoft.com/office/excel/2006/main">
          <x14:cfRule type="dataBar" id="{19A0AE55-16D9-4876-BD85-2FEFA7DA10FF}">
            <x14:dataBar minLength="0" maxLength="100" border="1" negativeBarBorderColorSameAsPositive="0">
              <x14:cfvo type="autoMin"/>
              <x14:cfvo type="autoMax"/>
              <x14:borderColor rgb="FF63C384"/>
              <x14:negativeFillColor rgb="FFFF0000"/>
              <x14:negativeBorderColor rgb="FFFF0000"/>
              <x14:axisColor rgb="FF000000"/>
            </x14:dataBar>
          </x14:cfRule>
          <xm:sqref>AG3</xm:sqref>
        </x14:conditionalFormatting>
        <x14:conditionalFormatting xmlns:xm="http://schemas.microsoft.com/office/excel/2006/main">
          <x14:cfRule type="dataBar" id="{5C344AB1-CB4D-4AB1-8D39-C811313BB277}">
            <x14:dataBar minLength="0" maxLength="100" border="1" negativeBarBorderColorSameAsPositive="0">
              <x14:cfvo type="autoMin"/>
              <x14:cfvo type="autoMax"/>
              <x14:borderColor rgb="FF63C384"/>
              <x14:negativeFillColor rgb="FFFF0000"/>
              <x14:negativeBorderColor rgb="FFFF0000"/>
              <x14:axisColor rgb="FF000000"/>
            </x14:dataBar>
          </x14:cfRule>
          <xm:sqref>AG4</xm:sqref>
        </x14:conditionalFormatting>
        <x14:conditionalFormatting xmlns:xm="http://schemas.microsoft.com/office/excel/2006/main">
          <x14:cfRule type="dataBar" id="{40F0837C-C27A-4412-A531-795B4C13E47C}">
            <x14:dataBar minLength="0" maxLength="100" border="1" negativeBarBorderColorSameAsPositive="0">
              <x14:cfvo type="autoMin"/>
              <x14:cfvo type="autoMax"/>
              <x14:borderColor rgb="FF63C384"/>
              <x14:negativeFillColor rgb="FFFF0000"/>
              <x14:negativeBorderColor rgb="FFFF0000"/>
              <x14:axisColor rgb="FF000000"/>
            </x14:dataBar>
          </x14:cfRule>
          <xm:sqref>AG4</xm:sqref>
        </x14:conditionalFormatting>
        <x14:conditionalFormatting xmlns:xm="http://schemas.microsoft.com/office/excel/2006/main">
          <x14:cfRule type="dataBar" id="{FCB04E5D-9090-4B90-94E5-A619D1526ECC}">
            <x14:dataBar minLength="0" maxLength="100" border="1" negativeBarBorderColorSameAsPositive="0">
              <x14:cfvo type="autoMin"/>
              <x14:cfvo type="autoMax"/>
              <x14:borderColor rgb="FF63C384"/>
              <x14:negativeFillColor rgb="FFFF0000"/>
              <x14:negativeBorderColor rgb="FFFF0000"/>
              <x14:axisColor rgb="FF000000"/>
            </x14:dataBar>
          </x14:cfRule>
          <xm:sqref>AG8</xm:sqref>
        </x14:conditionalFormatting>
        <x14:conditionalFormatting xmlns:xm="http://schemas.microsoft.com/office/excel/2006/main">
          <x14:cfRule type="dataBar" id="{0785E09A-52FD-49C8-97BC-16D907B63C39}">
            <x14:dataBar minLength="0" maxLength="100" border="1" negativeBarBorderColorSameAsPositive="0">
              <x14:cfvo type="autoMin"/>
              <x14:cfvo type="autoMax"/>
              <x14:borderColor rgb="FF63C384"/>
              <x14:negativeFillColor rgb="FFFF0000"/>
              <x14:negativeBorderColor rgb="FFFF0000"/>
              <x14:axisColor rgb="FF000000"/>
            </x14:dataBar>
          </x14:cfRule>
          <xm:sqref>AG8</xm:sqref>
        </x14:conditionalFormatting>
        <x14:conditionalFormatting xmlns:xm="http://schemas.microsoft.com/office/excel/2006/main">
          <x14:cfRule type="dataBar" id="{24A1262C-DCBA-419D-BF0B-418F4929F0CC}">
            <x14:dataBar minLength="0" maxLength="100" border="1" negativeBarBorderColorSameAsPositive="0">
              <x14:cfvo type="autoMin"/>
              <x14:cfvo type="autoMax"/>
              <x14:borderColor rgb="FF63C384"/>
              <x14:negativeFillColor rgb="FFFF0000"/>
              <x14:negativeBorderColor rgb="FFFF0000"/>
              <x14:axisColor rgb="FF000000"/>
            </x14:dataBar>
          </x14:cfRule>
          <xm:sqref>AG8</xm:sqref>
        </x14:conditionalFormatting>
        <x14:conditionalFormatting xmlns:xm="http://schemas.microsoft.com/office/excel/2006/main">
          <x14:cfRule type="dataBar" id="{09BD2663-754D-4404-9B6A-FCA818011C5B}">
            <x14:dataBar minLength="0" maxLength="100" border="1" negativeBarBorderColorSameAsPositive="0">
              <x14:cfvo type="autoMin"/>
              <x14:cfvo type="autoMax"/>
              <x14:borderColor rgb="FF63C384"/>
              <x14:negativeFillColor rgb="FFFF0000"/>
              <x14:negativeBorderColor rgb="FFFF0000"/>
              <x14:axisColor rgb="FF000000"/>
            </x14:dataBar>
          </x14:cfRule>
          <xm:sqref>AG8</xm:sqref>
        </x14:conditionalFormatting>
        <x14:conditionalFormatting xmlns:xm="http://schemas.microsoft.com/office/excel/2006/main">
          <x14:cfRule type="dataBar" id="{112F1AB2-E060-4CBF-A169-46F2478877E8}">
            <x14:dataBar minLength="0" maxLength="100" border="1" negativeBarBorderColorSameAsPositive="0">
              <x14:cfvo type="autoMin"/>
              <x14:cfvo type="autoMax"/>
              <x14:borderColor rgb="FF63C384"/>
              <x14:negativeFillColor rgb="FFFF0000"/>
              <x14:negativeBorderColor rgb="FFFF0000"/>
              <x14:axisColor rgb="FF000000"/>
            </x14:dataBar>
          </x14:cfRule>
          <xm:sqref>AG9</xm:sqref>
        </x14:conditionalFormatting>
        <x14:conditionalFormatting xmlns:xm="http://schemas.microsoft.com/office/excel/2006/main">
          <x14:cfRule type="dataBar" id="{1AD0BDD5-56A0-449B-9830-DC117C443641}">
            <x14:dataBar minLength="0" maxLength="100" border="1" negativeBarBorderColorSameAsPositive="0">
              <x14:cfvo type="autoMin"/>
              <x14:cfvo type="autoMax"/>
              <x14:borderColor rgb="FF63C384"/>
              <x14:negativeFillColor rgb="FFFF0000"/>
              <x14:negativeBorderColor rgb="FFFF0000"/>
              <x14:axisColor rgb="FF000000"/>
            </x14:dataBar>
          </x14:cfRule>
          <xm:sqref>AG9</xm:sqref>
        </x14:conditionalFormatting>
        <x14:conditionalFormatting xmlns:xm="http://schemas.microsoft.com/office/excel/2006/main">
          <x14:cfRule type="dataBar" id="{5B637F20-BAD4-4CAF-A391-F6DDFF2CBE73}">
            <x14:dataBar minLength="0" maxLength="100" border="1" negativeBarBorderColorSameAsPositive="0">
              <x14:cfvo type="autoMin"/>
              <x14:cfvo type="autoMax"/>
              <x14:borderColor rgb="FF63C384"/>
              <x14:negativeFillColor rgb="FFFF0000"/>
              <x14:negativeBorderColor rgb="FFFF0000"/>
              <x14:axisColor rgb="FF000000"/>
            </x14:dataBar>
          </x14:cfRule>
          <xm:sqref>AG8</xm:sqref>
        </x14:conditionalFormatting>
        <x14:conditionalFormatting xmlns:xm="http://schemas.microsoft.com/office/excel/2006/main">
          <x14:cfRule type="dataBar" id="{D1D148C1-790F-4DB6-A96D-ABED7138EA4F}">
            <x14:dataBar minLength="0" maxLength="100" border="1" negativeBarBorderColorSameAsPositive="0">
              <x14:cfvo type="autoMin"/>
              <x14:cfvo type="autoMax"/>
              <x14:borderColor rgb="FF63C384"/>
              <x14:negativeFillColor rgb="FFFF0000"/>
              <x14:negativeBorderColor rgb="FFFF0000"/>
              <x14:axisColor rgb="FF000000"/>
            </x14:dataBar>
          </x14:cfRule>
          <xm:sqref>AG8</xm:sqref>
        </x14:conditionalFormatting>
        <x14:conditionalFormatting xmlns:xm="http://schemas.microsoft.com/office/excel/2006/main">
          <x14:cfRule type="dataBar" id="{FCAB8B22-D50A-4487-A77E-705E190FF24B}">
            <x14:dataBar minLength="0" maxLength="100" border="1" negativeBarBorderColorSameAsPositive="0">
              <x14:cfvo type="autoMin"/>
              <x14:cfvo type="autoMax"/>
              <x14:borderColor rgb="FF63C384"/>
              <x14:negativeFillColor rgb="FFFF0000"/>
              <x14:negativeBorderColor rgb="FFFF0000"/>
              <x14:axisColor rgb="FF000000"/>
            </x14:dataBar>
          </x14:cfRule>
          <xm:sqref>AG9</xm:sqref>
        </x14:conditionalFormatting>
        <x14:conditionalFormatting xmlns:xm="http://schemas.microsoft.com/office/excel/2006/main">
          <x14:cfRule type="dataBar" id="{78565BFB-F010-48E2-8008-220C5CA1833F}">
            <x14:dataBar minLength="0" maxLength="100" border="1" negativeBarBorderColorSameAsPositive="0">
              <x14:cfvo type="autoMin"/>
              <x14:cfvo type="autoMax"/>
              <x14:borderColor rgb="FF63C384"/>
              <x14:negativeFillColor rgb="FFFF0000"/>
              <x14:negativeBorderColor rgb="FFFF0000"/>
              <x14:axisColor rgb="FF000000"/>
            </x14:dataBar>
          </x14:cfRule>
          <xm:sqref>AG9</xm:sqref>
        </x14:conditionalFormatting>
        <x14:conditionalFormatting xmlns:xm="http://schemas.microsoft.com/office/excel/2006/main">
          <x14:cfRule type="dataBar" id="{48CB76D8-7C91-4F11-9C49-B5F78A5E55A4}">
            <x14:dataBar minLength="0" maxLength="100" border="1" negativeBarBorderColorSameAsPositive="0">
              <x14:cfvo type="autoMin"/>
              <x14:cfvo type="autoMax"/>
              <x14:borderColor rgb="FF63C384"/>
              <x14:negativeFillColor rgb="FFFF0000"/>
              <x14:negativeBorderColor rgb="FFFF0000"/>
              <x14:axisColor rgb="FF000000"/>
            </x14:dataBar>
          </x14:cfRule>
          <xm:sqref>AG8</xm:sqref>
        </x14:conditionalFormatting>
        <x14:conditionalFormatting xmlns:xm="http://schemas.microsoft.com/office/excel/2006/main">
          <x14:cfRule type="dataBar" id="{3456DDE1-EC31-4F93-ABEB-8BB1C1959DAC}">
            <x14:dataBar minLength="0" maxLength="100" border="1" negativeBarBorderColorSameAsPositive="0">
              <x14:cfvo type="autoMin"/>
              <x14:cfvo type="autoMax"/>
              <x14:borderColor rgb="FF63C384"/>
              <x14:negativeFillColor rgb="FFFF0000"/>
              <x14:negativeBorderColor rgb="FFFF0000"/>
              <x14:axisColor rgb="FF000000"/>
            </x14:dataBar>
          </x14:cfRule>
          <xm:sqref>AG8</xm:sqref>
        </x14:conditionalFormatting>
        <x14:conditionalFormatting xmlns:xm="http://schemas.microsoft.com/office/excel/2006/main">
          <x14:cfRule type="dataBar" id="{ABBDD64E-83AD-4D60-82A6-2ECE234C3BBC}">
            <x14:dataBar minLength="0" maxLength="100" border="1" negativeBarBorderColorSameAsPositive="0">
              <x14:cfvo type="autoMin"/>
              <x14:cfvo type="autoMax"/>
              <x14:borderColor rgb="FF63C384"/>
              <x14:negativeFillColor rgb="FFFF0000"/>
              <x14:negativeBorderColor rgb="FFFF0000"/>
              <x14:axisColor rgb="FF000000"/>
            </x14:dataBar>
          </x14:cfRule>
          <xm:sqref>AG9</xm:sqref>
        </x14:conditionalFormatting>
        <x14:conditionalFormatting xmlns:xm="http://schemas.microsoft.com/office/excel/2006/main">
          <x14:cfRule type="dataBar" id="{6C0C32DF-D63B-4BA9-902E-D67C439C9538}">
            <x14:dataBar minLength="0" maxLength="100" border="1" negativeBarBorderColorSameAsPositive="0">
              <x14:cfvo type="autoMin"/>
              <x14:cfvo type="autoMax"/>
              <x14:borderColor rgb="FF63C384"/>
              <x14:negativeFillColor rgb="FFFF0000"/>
              <x14:negativeBorderColor rgb="FFFF0000"/>
              <x14:axisColor rgb="FF000000"/>
            </x14:dataBar>
          </x14:cfRule>
          <xm:sqref>AG9</xm:sqref>
        </x14:conditionalFormatting>
        <x14:conditionalFormatting xmlns:xm="http://schemas.microsoft.com/office/excel/2006/main">
          <x14:cfRule type="dataBar" id="{2303D427-D4F0-4347-927B-7EBEC86C0B5F}">
            <x14:dataBar minLength="0" maxLength="100" border="1" negativeBarBorderColorSameAsPositive="0">
              <x14:cfvo type="autoMin"/>
              <x14:cfvo type="autoMax"/>
              <x14:borderColor rgb="FF63C384"/>
              <x14:negativeFillColor rgb="FFFF0000"/>
              <x14:negativeBorderColor rgb="FFFF0000"/>
              <x14:axisColor rgb="FF000000"/>
            </x14:dataBar>
          </x14:cfRule>
          <xm:sqref>AG10</xm:sqref>
        </x14:conditionalFormatting>
        <x14:conditionalFormatting xmlns:xm="http://schemas.microsoft.com/office/excel/2006/main">
          <x14:cfRule type="dataBar" id="{3C11DB7D-B1B4-411F-81AE-C1DF1F03CFB3}">
            <x14:dataBar minLength="0" maxLength="100" border="1" negativeBarBorderColorSameAsPositive="0">
              <x14:cfvo type="autoMin"/>
              <x14:cfvo type="autoMax"/>
              <x14:borderColor rgb="FF63C384"/>
              <x14:negativeFillColor rgb="FFFF0000"/>
              <x14:negativeBorderColor rgb="FFFF0000"/>
              <x14:axisColor rgb="FF000000"/>
            </x14:dataBar>
          </x14:cfRule>
          <xm:sqref>AG10</xm:sqref>
        </x14:conditionalFormatting>
        <x14:conditionalFormatting xmlns:xm="http://schemas.microsoft.com/office/excel/2006/main">
          <x14:cfRule type="dataBar" id="{8EC3BDF2-9796-4966-9E4A-C1D04A06BEDC}">
            <x14:dataBar minLength="0" maxLength="100" border="1" negativeBarBorderColorSameAsPositive="0">
              <x14:cfvo type="autoMin"/>
              <x14:cfvo type="autoMax"/>
              <x14:borderColor rgb="FF63C384"/>
              <x14:negativeFillColor rgb="FFFF0000"/>
              <x14:negativeBorderColor rgb="FFFF0000"/>
              <x14:axisColor rgb="FF000000"/>
            </x14:dataBar>
          </x14:cfRule>
          <xm:sqref>AG7</xm:sqref>
        </x14:conditionalFormatting>
        <x14:conditionalFormatting xmlns:xm="http://schemas.microsoft.com/office/excel/2006/main">
          <x14:cfRule type="dataBar" id="{841B3715-5058-4EF2-A342-6E9007EB04CF}">
            <x14:dataBar minLength="0" maxLength="100" border="1" negativeBarBorderColorSameAsPositive="0">
              <x14:cfvo type="autoMin"/>
              <x14:cfvo type="autoMax"/>
              <x14:borderColor rgb="FF63C384"/>
              <x14:negativeFillColor rgb="FFFF0000"/>
              <x14:negativeBorderColor rgb="FFFF0000"/>
              <x14:axisColor rgb="FF000000"/>
            </x14:dataBar>
          </x14:cfRule>
          <xm:sqref>AG7</xm:sqref>
        </x14:conditionalFormatting>
        <x14:conditionalFormatting xmlns:xm="http://schemas.microsoft.com/office/excel/2006/main">
          <x14:cfRule type="dataBar" id="{7FBACF1F-948E-4F9C-B82B-C0DEAAD7CF57}">
            <x14:dataBar minLength="0" maxLength="100" border="1" negativeBarBorderColorSameAsPositive="0">
              <x14:cfvo type="autoMin"/>
              <x14:cfvo type="autoMax"/>
              <x14:borderColor rgb="FF63C384"/>
              <x14:negativeFillColor rgb="FFFF0000"/>
              <x14:negativeBorderColor rgb="FFFF0000"/>
              <x14:axisColor rgb="FF000000"/>
            </x14:dataBar>
          </x14:cfRule>
          <xm:sqref>AG6</xm:sqref>
        </x14:conditionalFormatting>
        <x14:conditionalFormatting xmlns:xm="http://schemas.microsoft.com/office/excel/2006/main">
          <x14:cfRule type="dataBar" id="{D9302D56-5456-4E61-B3FA-6E7168F56C13}">
            <x14:dataBar minLength="0" maxLength="100" border="1" negativeBarBorderColorSameAsPositive="0">
              <x14:cfvo type="autoMin"/>
              <x14:cfvo type="autoMax"/>
              <x14:borderColor rgb="FF63C384"/>
              <x14:negativeFillColor rgb="FFFF0000"/>
              <x14:negativeBorderColor rgb="FFFF0000"/>
              <x14:axisColor rgb="FF000000"/>
            </x14:dataBar>
          </x14:cfRule>
          <xm:sqref>AG6</xm:sqref>
        </x14:conditionalFormatting>
        <x14:conditionalFormatting xmlns:xm="http://schemas.microsoft.com/office/excel/2006/main">
          <x14:cfRule type="dataBar" id="{50A5114C-3E79-4FB3-BA04-2D0E93F8C03D}">
            <x14:dataBar minLength="0" maxLength="100" border="1" negativeBarBorderColorSameAsPositive="0">
              <x14:cfvo type="autoMin"/>
              <x14:cfvo type="autoMax"/>
              <x14:borderColor rgb="FF63C384"/>
              <x14:negativeFillColor rgb="FFFF0000"/>
              <x14:negativeBorderColor rgb="FFFF0000"/>
              <x14:axisColor rgb="FF000000"/>
            </x14:dataBar>
          </x14:cfRule>
          <xm:sqref>AG5</xm:sqref>
        </x14:conditionalFormatting>
        <x14:conditionalFormatting xmlns:xm="http://schemas.microsoft.com/office/excel/2006/main">
          <x14:cfRule type="dataBar" id="{633B13B9-6A1A-4B13-9EE5-E8690F57C033}">
            <x14:dataBar minLength="0" maxLength="100" border="1" negativeBarBorderColorSameAsPositive="0">
              <x14:cfvo type="autoMin"/>
              <x14:cfvo type="autoMax"/>
              <x14:borderColor rgb="FF63C384"/>
              <x14:negativeFillColor rgb="FFFF0000"/>
              <x14:negativeBorderColor rgb="FFFF0000"/>
              <x14:axisColor rgb="FF000000"/>
            </x14:dataBar>
          </x14:cfRule>
          <xm:sqref>AG5</xm:sqref>
        </x14:conditionalFormatting>
        <x14:conditionalFormatting xmlns:xm="http://schemas.microsoft.com/office/excel/2006/main">
          <x14:cfRule type="dataBar" id="{EFA75FBA-54E7-4E8C-B214-BE1FF15C4024}">
            <x14:dataBar minLength="0" maxLength="100" border="1" negativeBarBorderColorSameAsPositive="0">
              <x14:cfvo type="autoMin"/>
              <x14:cfvo type="autoMax"/>
              <x14:borderColor rgb="FF63C384"/>
              <x14:negativeFillColor rgb="FFFF0000"/>
              <x14:negativeBorderColor rgb="FFFF0000"/>
              <x14:axisColor rgb="FF000000"/>
            </x14:dataBar>
          </x14:cfRule>
          <xm:sqref>AG11</xm:sqref>
        </x14:conditionalFormatting>
        <x14:conditionalFormatting xmlns:xm="http://schemas.microsoft.com/office/excel/2006/main">
          <x14:cfRule type="dataBar" id="{B657C33C-8D2D-4A4F-AE7B-F9BEAA629521}">
            <x14:dataBar minLength="0" maxLength="100" border="1" negativeBarBorderColorSameAsPositive="0">
              <x14:cfvo type="autoMin"/>
              <x14:cfvo type="autoMax"/>
              <x14:borderColor rgb="FF63C384"/>
              <x14:negativeFillColor rgb="FFFF0000"/>
              <x14:negativeBorderColor rgb="FFFF0000"/>
              <x14:axisColor rgb="FF000000"/>
            </x14:dataBar>
          </x14:cfRule>
          <xm:sqref>AG11</xm:sqref>
        </x14:conditionalFormatting>
        <x14:conditionalFormatting xmlns:xm="http://schemas.microsoft.com/office/excel/2006/main">
          <x14:cfRule type="dataBar" id="{2FD7FA71-87E0-4FFE-AEFF-9BF3F7322A62}">
            <x14:dataBar minLength="0" maxLength="100" border="1" negativeBarBorderColorSameAsPositive="0">
              <x14:cfvo type="autoMin"/>
              <x14:cfvo type="autoMax"/>
              <x14:borderColor rgb="FF63C384"/>
              <x14:negativeFillColor rgb="FFFF0000"/>
              <x14:negativeBorderColor rgb="FFFF0000"/>
              <x14:axisColor rgb="FF000000"/>
            </x14:dataBar>
          </x14:cfRule>
          <xm:sqref>AG12</xm:sqref>
        </x14:conditionalFormatting>
        <x14:conditionalFormatting xmlns:xm="http://schemas.microsoft.com/office/excel/2006/main">
          <x14:cfRule type="dataBar" id="{7C548EE3-B0FC-450B-8D43-A2E504E894CB}">
            <x14:dataBar minLength="0" maxLength="100" border="1" negativeBarBorderColorSameAsPositive="0">
              <x14:cfvo type="autoMin"/>
              <x14:cfvo type="autoMax"/>
              <x14:borderColor rgb="FF63C384"/>
              <x14:negativeFillColor rgb="FFFF0000"/>
              <x14:negativeBorderColor rgb="FFFF0000"/>
              <x14:axisColor rgb="FF000000"/>
            </x14:dataBar>
          </x14:cfRule>
          <xm:sqref>AG12</xm:sqref>
        </x14:conditionalFormatting>
        <x14:conditionalFormatting xmlns:xm="http://schemas.microsoft.com/office/excel/2006/main">
          <x14:cfRule type="dataBar" id="{E6BC4549-8514-4A30-AC38-E525F590D7D4}">
            <x14:dataBar minLength="0" maxLength="100" border="1" negativeBarBorderColorSameAsPositive="0">
              <x14:cfvo type="autoMin"/>
              <x14:cfvo type="autoMax"/>
              <x14:borderColor rgb="FF63C384"/>
              <x14:negativeFillColor rgb="FFFF0000"/>
              <x14:negativeBorderColor rgb="FFFF0000"/>
              <x14:axisColor rgb="FF000000"/>
            </x14:dataBar>
          </x14:cfRule>
          <xm:sqref>AG13</xm:sqref>
        </x14:conditionalFormatting>
        <x14:conditionalFormatting xmlns:xm="http://schemas.microsoft.com/office/excel/2006/main">
          <x14:cfRule type="dataBar" id="{B628AD30-34FD-42CB-8122-BC5D41A294D5}">
            <x14:dataBar minLength="0" maxLength="100" border="1" negativeBarBorderColorSameAsPositive="0">
              <x14:cfvo type="autoMin"/>
              <x14:cfvo type="autoMax"/>
              <x14:borderColor rgb="FF63C384"/>
              <x14:negativeFillColor rgb="FFFF0000"/>
              <x14:negativeBorderColor rgb="FFFF0000"/>
              <x14:axisColor rgb="FF000000"/>
            </x14:dataBar>
          </x14:cfRule>
          <xm:sqref>AG13</xm:sqref>
        </x14:conditionalFormatting>
        <x14:conditionalFormatting xmlns:xm="http://schemas.microsoft.com/office/excel/2006/main">
          <x14:cfRule type="dataBar" id="{8748F5F6-ED50-484F-9643-9CAFB10A7346}">
            <x14:dataBar minLength="0" maxLength="100" border="1" negativeBarBorderColorSameAsPositive="0">
              <x14:cfvo type="autoMin"/>
              <x14:cfvo type="autoMax"/>
              <x14:borderColor rgb="FF63C384"/>
              <x14:negativeFillColor rgb="FFFF0000"/>
              <x14:negativeBorderColor rgb="FFFF0000"/>
              <x14:axisColor rgb="FF000000"/>
            </x14:dataBar>
          </x14:cfRule>
          <xm:sqref>AG14</xm:sqref>
        </x14:conditionalFormatting>
        <x14:conditionalFormatting xmlns:xm="http://schemas.microsoft.com/office/excel/2006/main">
          <x14:cfRule type="dataBar" id="{29E47F83-BAE6-4C78-A6EB-4D4139BCC746}">
            <x14:dataBar minLength="0" maxLength="100" border="1" negativeBarBorderColorSameAsPositive="0">
              <x14:cfvo type="autoMin"/>
              <x14:cfvo type="autoMax"/>
              <x14:borderColor rgb="FF63C384"/>
              <x14:negativeFillColor rgb="FFFF0000"/>
              <x14:negativeBorderColor rgb="FFFF0000"/>
              <x14:axisColor rgb="FF000000"/>
            </x14:dataBar>
          </x14:cfRule>
          <xm:sqref>AG14</xm:sqref>
        </x14:conditionalFormatting>
        <x14:conditionalFormatting xmlns:xm="http://schemas.microsoft.com/office/excel/2006/main">
          <x14:cfRule type="dataBar" id="{B299F6E1-7A30-4445-9309-6C2D6017FA60}">
            <x14:dataBar minLength="0" maxLength="100" border="1" negativeBarBorderColorSameAsPositive="0">
              <x14:cfvo type="autoMin"/>
              <x14:cfvo type="autoMax"/>
              <x14:borderColor rgb="FF63C384"/>
              <x14:negativeFillColor rgb="FFFF0000"/>
              <x14:negativeBorderColor rgb="FFFF0000"/>
              <x14:axisColor rgb="FF000000"/>
            </x14:dataBar>
          </x14:cfRule>
          <xm:sqref>AG15</xm:sqref>
        </x14:conditionalFormatting>
        <x14:conditionalFormatting xmlns:xm="http://schemas.microsoft.com/office/excel/2006/main">
          <x14:cfRule type="dataBar" id="{4CFE7EDE-FFAE-4FB7-AE0C-6E6A9091BDBB}">
            <x14:dataBar minLength="0" maxLength="100" border="1" negativeBarBorderColorSameAsPositive="0">
              <x14:cfvo type="autoMin"/>
              <x14:cfvo type="autoMax"/>
              <x14:borderColor rgb="FF63C384"/>
              <x14:negativeFillColor rgb="FFFF0000"/>
              <x14:negativeBorderColor rgb="FFFF0000"/>
              <x14:axisColor rgb="FF000000"/>
            </x14:dataBar>
          </x14:cfRule>
          <xm:sqref>AG15</xm:sqref>
        </x14:conditionalFormatting>
        <x14:conditionalFormatting xmlns:xm="http://schemas.microsoft.com/office/excel/2006/main">
          <x14:cfRule type="dataBar" id="{DB9B6963-5390-4278-AAD5-C28E1C139293}">
            <x14:dataBar minLength="0" maxLength="100" border="1" negativeBarBorderColorSameAsPositive="0">
              <x14:cfvo type="autoMin"/>
              <x14:cfvo type="autoMax"/>
              <x14:borderColor rgb="FF63C384"/>
              <x14:negativeFillColor rgb="FFFF0000"/>
              <x14:negativeBorderColor rgb="FFFF0000"/>
              <x14:axisColor rgb="FF000000"/>
            </x14:dataBar>
          </x14:cfRule>
          <xm:sqref>AG16</xm:sqref>
        </x14:conditionalFormatting>
        <x14:conditionalFormatting xmlns:xm="http://schemas.microsoft.com/office/excel/2006/main">
          <x14:cfRule type="dataBar" id="{A2A69843-256A-439A-819B-8CCC11E96464}">
            <x14:dataBar minLength="0" maxLength="100" border="1" negativeBarBorderColorSameAsPositive="0">
              <x14:cfvo type="autoMin"/>
              <x14:cfvo type="autoMax"/>
              <x14:borderColor rgb="FF63C384"/>
              <x14:negativeFillColor rgb="FFFF0000"/>
              <x14:negativeBorderColor rgb="FFFF0000"/>
              <x14:axisColor rgb="FF000000"/>
            </x14:dataBar>
          </x14:cfRule>
          <xm:sqref>AG16</xm:sqref>
        </x14:conditionalFormatting>
        <x14:conditionalFormatting xmlns:xm="http://schemas.microsoft.com/office/excel/2006/main">
          <x14:cfRule type="dataBar" id="{FE9770F4-C127-4D57-A7A1-3A8EF7F5A9CE}">
            <x14:dataBar minLength="0" maxLength="100" border="1" negativeBarBorderColorSameAsPositive="0">
              <x14:cfvo type="autoMin"/>
              <x14:cfvo type="autoMax"/>
              <x14:borderColor rgb="FF63C384"/>
              <x14:negativeFillColor rgb="FFFF0000"/>
              <x14:negativeBorderColor rgb="FFFF0000"/>
              <x14:axisColor rgb="FF000000"/>
            </x14:dataBar>
          </x14:cfRule>
          <xm:sqref>AG17</xm:sqref>
        </x14:conditionalFormatting>
        <x14:conditionalFormatting xmlns:xm="http://schemas.microsoft.com/office/excel/2006/main">
          <x14:cfRule type="dataBar" id="{68E7A4EE-254C-4C4B-9350-7BCE016A6197}">
            <x14:dataBar minLength="0" maxLength="100" border="1" negativeBarBorderColorSameAsPositive="0">
              <x14:cfvo type="autoMin"/>
              <x14:cfvo type="autoMax"/>
              <x14:borderColor rgb="FF63C384"/>
              <x14:negativeFillColor rgb="FFFF0000"/>
              <x14:negativeBorderColor rgb="FFFF0000"/>
              <x14:axisColor rgb="FF000000"/>
            </x14:dataBar>
          </x14:cfRule>
          <xm:sqref>AG17</xm:sqref>
        </x14:conditionalFormatting>
        <x14:conditionalFormatting xmlns:xm="http://schemas.microsoft.com/office/excel/2006/main">
          <x14:cfRule type="dataBar" id="{F4EBBDC1-449F-43A5-B481-CC6B087E0D6D}">
            <x14:dataBar minLength="0" maxLength="100" border="1" negativeBarBorderColorSameAsPositive="0">
              <x14:cfvo type="autoMin"/>
              <x14:cfvo type="autoMax"/>
              <x14:borderColor rgb="FF63C384"/>
              <x14:negativeFillColor rgb="FFFF0000"/>
              <x14:negativeBorderColor rgb="FFFF0000"/>
              <x14:axisColor rgb="FF000000"/>
            </x14:dataBar>
          </x14:cfRule>
          <xm:sqref>AG18</xm:sqref>
        </x14:conditionalFormatting>
        <x14:conditionalFormatting xmlns:xm="http://schemas.microsoft.com/office/excel/2006/main">
          <x14:cfRule type="dataBar" id="{35E554D8-53CF-41C9-93FC-E08171E9968F}">
            <x14:dataBar minLength="0" maxLength="100" border="1" negativeBarBorderColorSameAsPositive="0">
              <x14:cfvo type="autoMin"/>
              <x14:cfvo type="autoMax"/>
              <x14:borderColor rgb="FF63C384"/>
              <x14:negativeFillColor rgb="FFFF0000"/>
              <x14:negativeBorderColor rgb="FFFF0000"/>
              <x14:axisColor rgb="FF000000"/>
            </x14:dataBar>
          </x14:cfRule>
          <xm:sqref>AG18</xm:sqref>
        </x14:conditionalFormatting>
        <x14:conditionalFormatting xmlns:xm="http://schemas.microsoft.com/office/excel/2006/main">
          <x14:cfRule type="dataBar" id="{EAF8CF4E-C84B-4426-9DF6-26C6A048CF1F}">
            <x14:dataBar minLength="0" maxLength="100" border="1" negativeBarBorderColorSameAsPositive="0">
              <x14:cfvo type="autoMin"/>
              <x14:cfvo type="autoMax"/>
              <x14:borderColor rgb="FF63C384"/>
              <x14:negativeFillColor rgb="FFFF0000"/>
              <x14:negativeBorderColor rgb="FFFF0000"/>
              <x14:axisColor rgb="FF000000"/>
            </x14:dataBar>
          </x14:cfRule>
          <xm:sqref>AG19</xm:sqref>
        </x14:conditionalFormatting>
        <x14:conditionalFormatting xmlns:xm="http://schemas.microsoft.com/office/excel/2006/main">
          <x14:cfRule type="dataBar" id="{C56DAE90-631B-4D3A-87CD-A1D5EE08DAA9}">
            <x14:dataBar minLength="0" maxLength="100" border="1" negativeBarBorderColorSameAsPositive="0">
              <x14:cfvo type="autoMin"/>
              <x14:cfvo type="autoMax"/>
              <x14:borderColor rgb="FF63C384"/>
              <x14:negativeFillColor rgb="FFFF0000"/>
              <x14:negativeBorderColor rgb="FFFF0000"/>
              <x14:axisColor rgb="FF000000"/>
            </x14:dataBar>
          </x14:cfRule>
          <xm:sqref>AG19</xm:sqref>
        </x14:conditionalFormatting>
        <x14:conditionalFormatting xmlns:xm="http://schemas.microsoft.com/office/excel/2006/main">
          <x14:cfRule type="dataBar" id="{90F42FF1-897D-45E3-A9F3-3F921E6B085E}">
            <x14:dataBar minLength="0" maxLength="100" border="1" negativeBarBorderColorSameAsPositive="0">
              <x14:cfvo type="autoMin"/>
              <x14:cfvo type="autoMax"/>
              <x14:borderColor rgb="FF63C384"/>
              <x14:negativeFillColor rgb="FFFF0000"/>
              <x14:negativeBorderColor rgb="FFFF0000"/>
              <x14:axisColor rgb="FF000000"/>
            </x14:dataBar>
          </x14:cfRule>
          <xm:sqref>AG20</xm:sqref>
        </x14:conditionalFormatting>
        <x14:conditionalFormatting xmlns:xm="http://schemas.microsoft.com/office/excel/2006/main">
          <x14:cfRule type="dataBar" id="{1B74D046-8305-4654-A1D1-DAE180CA7C09}">
            <x14:dataBar minLength="0" maxLength="100" border="1" negativeBarBorderColorSameAsPositive="0">
              <x14:cfvo type="autoMin"/>
              <x14:cfvo type="autoMax"/>
              <x14:borderColor rgb="FF63C384"/>
              <x14:negativeFillColor rgb="FFFF0000"/>
              <x14:negativeBorderColor rgb="FFFF0000"/>
              <x14:axisColor rgb="FF000000"/>
            </x14:dataBar>
          </x14:cfRule>
          <xm:sqref>AG20</xm:sqref>
        </x14:conditionalFormatting>
        <x14:conditionalFormatting xmlns:xm="http://schemas.microsoft.com/office/excel/2006/main">
          <x14:cfRule type="dataBar" id="{545B1A1A-6D1F-41DF-B4DF-C94097A3FA56}">
            <x14:dataBar minLength="0" maxLength="100" border="1" negativeBarBorderColorSameAsPositive="0">
              <x14:cfvo type="autoMin"/>
              <x14:cfvo type="autoMax"/>
              <x14:borderColor rgb="FF63C384"/>
              <x14:negativeFillColor rgb="FFFF0000"/>
              <x14:negativeBorderColor rgb="FFFF0000"/>
              <x14:axisColor rgb="FF000000"/>
            </x14:dataBar>
          </x14:cfRule>
          <xm:sqref>AG21</xm:sqref>
        </x14:conditionalFormatting>
        <x14:conditionalFormatting xmlns:xm="http://schemas.microsoft.com/office/excel/2006/main">
          <x14:cfRule type="dataBar" id="{E3F201E3-0E70-4562-9646-5274EB28F382}">
            <x14:dataBar minLength="0" maxLength="100" border="1" negativeBarBorderColorSameAsPositive="0">
              <x14:cfvo type="autoMin"/>
              <x14:cfvo type="autoMax"/>
              <x14:borderColor rgb="FF63C384"/>
              <x14:negativeFillColor rgb="FFFF0000"/>
              <x14:negativeBorderColor rgb="FFFF0000"/>
              <x14:axisColor rgb="FF000000"/>
            </x14:dataBar>
          </x14:cfRule>
          <xm:sqref>AG21</xm:sqref>
        </x14:conditionalFormatting>
        <x14:conditionalFormatting xmlns:xm="http://schemas.microsoft.com/office/excel/2006/main">
          <x14:cfRule type="dataBar" id="{0D31F884-6296-48B7-8874-B75FC26A70C8}">
            <x14:dataBar minLength="0" maxLength="100" border="1" negativeBarBorderColorSameAsPositive="0">
              <x14:cfvo type="autoMin"/>
              <x14:cfvo type="autoMax"/>
              <x14:borderColor rgb="FF63C384"/>
              <x14:negativeFillColor rgb="FFFF0000"/>
              <x14:negativeBorderColor rgb="FFFF0000"/>
              <x14:axisColor rgb="FF000000"/>
            </x14:dataBar>
          </x14:cfRule>
          <xm:sqref>AG22</xm:sqref>
        </x14:conditionalFormatting>
        <x14:conditionalFormatting xmlns:xm="http://schemas.microsoft.com/office/excel/2006/main">
          <x14:cfRule type="dataBar" id="{B4E8822B-35E9-4CEB-A07B-F70BDA5A65DA}">
            <x14:dataBar minLength="0" maxLength="100" border="1" negativeBarBorderColorSameAsPositive="0">
              <x14:cfvo type="autoMin"/>
              <x14:cfvo type="autoMax"/>
              <x14:borderColor rgb="FF63C384"/>
              <x14:negativeFillColor rgb="FFFF0000"/>
              <x14:negativeBorderColor rgb="FFFF0000"/>
              <x14:axisColor rgb="FF000000"/>
            </x14:dataBar>
          </x14:cfRule>
          <xm:sqref>AG22</xm:sqref>
        </x14:conditionalFormatting>
        <x14:conditionalFormatting xmlns:xm="http://schemas.microsoft.com/office/excel/2006/main">
          <x14:cfRule type="dataBar" id="{246DAC4C-A847-4110-B30C-606902229AE0}">
            <x14:dataBar minLength="0" maxLength="100" border="1" negativeBarBorderColorSameAsPositive="0">
              <x14:cfvo type="autoMin"/>
              <x14:cfvo type="autoMax"/>
              <x14:borderColor rgb="FF63C384"/>
              <x14:negativeFillColor rgb="FFFF0000"/>
              <x14:negativeBorderColor rgb="FFFF0000"/>
              <x14:axisColor rgb="FF000000"/>
            </x14:dataBar>
          </x14:cfRule>
          <xm:sqref>AG23</xm:sqref>
        </x14:conditionalFormatting>
        <x14:conditionalFormatting xmlns:xm="http://schemas.microsoft.com/office/excel/2006/main">
          <x14:cfRule type="dataBar" id="{8DBE9262-E570-49E7-8E11-C77A3B401097}">
            <x14:dataBar minLength="0" maxLength="100" border="1" negativeBarBorderColorSameAsPositive="0">
              <x14:cfvo type="autoMin"/>
              <x14:cfvo type="autoMax"/>
              <x14:borderColor rgb="FF63C384"/>
              <x14:negativeFillColor rgb="FFFF0000"/>
              <x14:negativeBorderColor rgb="FFFF0000"/>
              <x14:axisColor rgb="FF000000"/>
            </x14:dataBar>
          </x14:cfRule>
          <xm:sqref>AG23</xm:sqref>
        </x14:conditionalFormatting>
        <x14:conditionalFormatting xmlns:xm="http://schemas.microsoft.com/office/excel/2006/main">
          <x14:cfRule type="dataBar" id="{7133E706-FB8C-4105-B9E8-F636F04F630A}">
            <x14:dataBar minLength="0" maxLength="100" border="1" negativeBarBorderColorSameAsPositive="0">
              <x14:cfvo type="autoMin"/>
              <x14:cfvo type="autoMax"/>
              <x14:borderColor rgb="FF63C384"/>
              <x14:negativeFillColor rgb="FFFF0000"/>
              <x14:negativeBorderColor rgb="FFFF0000"/>
              <x14:axisColor rgb="FF000000"/>
            </x14:dataBar>
          </x14:cfRule>
          <xm:sqref>AG24</xm:sqref>
        </x14:conditionalFormatting>
        <x14:conditionalFormatting xmlns:xm="http://schemas.microsoft.com/office/excel/2006/main">
          <x14:cfRule type="dataBar" id="{23575F60-5C9C-4F9B-8BC6-04B03BDDA4C2}">
            <x14:dataBar minLength="0" maxLength="100" border="1" negativeBarBorderColorSameAsPositive="0">
              <x14:cfvo type="autoMin"/>
              <x14:cfvo type="autoMax"/>
              <x14:borderColor rgb="FF63C384"/>
              <x14:negativeFillColor rgb="FFFF0000"/>
              <x14:negativeBorderColor rgb="FFFF0000"/>
              <x14:axisColor rgb="FF000000"/>
            </x14:dataBar>
          </x14:cfRule>
          <xm:sqref>AG24</xm:sqref>
        </x14:conditionalFormatting>
        <x14:conditionalFormatting xmlns:xm="http://schemas.microsoft.com/office/excel/2006/main">
          <x14:cfRule type="dataBar" id="{3E186BD0-EAF3-4C34-ADB8-FFB057F1A7D3}">
            <x14:dataBar minLength="0" maxLength="100" border="1" negativeBarBorderColorSameAsPositive="0">
              <x14:cfvo type="autoMin"/>
              <x14:cfvo type="autoMax"/>
              <x14:borderColor rgb="FF63C384"/>
              <x14:negativeFillColor rgb="FFFF0000"/>
              <x14:negativeBorderColor rgb="FFFF0000"/>
              <x14:axisColor rgb="FF000000"/>
            </x14:dataBar>
          </x14:cfRule>
          <xm:sqref>AG26</xm:sqref>
        </x14:conditionalFormatting>
        <x14:conditionalFormatting xmlns:xm="http://schemas.microsoft.com/office/excel/2006/main">
          <x14:cfRule type="dataBar" id="{FB99271B-0553-4AFE-A01D-84FFC9363CBD}">
            <x14:dataBar minLength="0" maxLength="100" border="1" negativeBarBorderColorSameAsPositive="0">
              <x14:cfvo type="autoMin"/>
              <x14:cfvo type="autoMax"/>
              <x14:borderColor rgb="FF63C384"/>
              <x14:negativeFillColor rgb="FFFF0000"/>
              <x14:negativeBorderColor rgb="FFFF0000"/>
              <x14:axisColor rgb="FF000000"/>
            </x14:dataBar>
          </x14:cfRule>
          <xm:sqref>AG26</xm:sqref>
        </x14:conditionalFormatting>
        <x14:conditionalFormatting xmlns:xm="http://schemas.microsoft.com/office/excel/2006/main">
          <x14:cfRule type="dataBar" id="{441C2A1A-5D73-47D5-9443-937473F0A9F9}">
            <x14:dataBar minLength="0" maxLength="100" border="1" negativeBarBorderColorSameAsPositive="0">
              <x14:cfvo type="autoMin"/>
              <x14:cfvo type="autoMax"/>
              <x14:borderColor rgb="FF63C384"/>
              <x14:negativeFillColor rgb="FFFF0000"/>
              <x14:negativeBorderColor rgb="FFFF0000"/>
              <x14:axisColor rgb="FF000000"/>
            </x14:dataBar>
          </x14:cfRule>
          <xm:sqref>AG26</xm:sqref>
        </x14:conditionalFormatting>
        <x14:conditionalFormatting xmlns:xm="http://schemas.microsoft.com/office/excel/2006/main">
          <x14:cfRule type="dataBar" id="{7142C527-BB86-41A0-861C-BD167F1C399E}">
            <x14:dataBar minLength="0" maxLength="100" border="1" negativeBarBorderColorSameAsPositive="0">
              <x14:cfvo type="autoMin"/>
              <x14:cfvo type="autoMax"/>
              <x14:borderColor rgb="FF63C384"/>
              <x14:negativeFillColor rgb="FFFF0000"/>
              <x14:negativeBorderColor rgb="FFFF0000"/>
              <x14:axisColor rgb="FF000000"/>
            </x14:dataBar>
          </x14:cfRule>
          <xm:sqref>AG26</xm:sqref>
        </x14:conditionalFormatting>
        <x14:conditionalFormatting xmlns:xm="http://schemas.microsoft.com/office/excel/2006/main">
          <x14:cfRule type="dataBar" id="{63144FB4-9A9B-4BFF-A62C-3E9CBA9F39D5}">
            <x14:dataBar minLength="0" maxLength="100" border="1" negativeBarBorderColorSameAsPositive="0">
              <x14:cfvo type="autoMin"/>
              <x14:cfvo type="autoMax"/>
              <x14:borderColor rgb="FF63C384"/>
              <x14:negativeFillColor rgb="FFFF0000"/>
              <x14:negativeBorderColor rgb="FFFF0000"/>
              <x14:axisColor rgb="FF000000"/>
            </x14:dataBar>
          </x14:cfRule>
          <xm:sqref>AG27</xm:sqref>
        </x14:conditionalFormatting>
        <x14:conditionalFormatting xmlns:xm="http://schemas.microsoft.com/office/excel/2006/main">
          <x14:cfRule type="dataBar" id="{F41BE857-B390-4BC7-A0FF-EF2D1D7447BD}">
            <x14:dataBar minLength="0" maxLength="100" border="1" negativeBarBorderColorSameAsPositive="0">
              <x14:cfvo type="autoMin"/>
              <x14:cfvo type="autoMax"/>
              <x14:borderColor rgb="FF63C384"/>
              <x14:negativeFillColor rgb="FFFF0000"/>
              <x14:negativeBorderColor rgb="FFFF0000"/>
              <x14:axisColor rgb="FF000000"/>
            </x14:dataBar>
          </x14:cfRule>
          <xm:sqref>AG27</xm:sqref>
        </x14:conditionalFormatting>
        <x14:conditionalFormatting xmlns:xm="http://schemas.microsoft.com/office/excel/2006/main">
          <x14:cfRule type="dataBar" id="{5C2D57CD-051F-46CE-8851-881FA1E8B37A}">
            <x14:dataBar minLength="0" maxLength="100" border="1" negativeBarBorderColorSameAsPositive="0">
              <x14:cfvo type="autoMin"/>
              <x14:cfvo type="autoMax"/>
              <x14:borderColor rgb="FF63C384"/>
              <x14:negativeFillColor rgb="FFFF0000"/>
              <x14:negativeBorderColor rgb="FFFF0000"/>
              <x14:axisColor rgb="FF000000"/>
            </x14:dataBar>
          </x14:cfRule>
          <xm:sqref>AG25</xm:sqref>
        </x14:conditionalFormatting>
        <x14:conditionalFormatting xmlns:xm="http://schemas.microsoft.com/office/excel/2006/main">
          <x14:cfRule type="dataBar" id="{DA8752E2-BAF7-47DC-B3A1-D7B11A86D48C}">
            <x14:dataBar minLength="0" maxLength="100" border="1" negativeBarBorderColorSameAsPositive="0">
              <x14:cfvo type="autoMin"/>
              <x14:cfvo type="autoMax"/>
              <x14:borderColor rgb="FF63C384"/>
              <x14:negativeFillColor rgb="FFFF0000"/>
              <x14:negativeBorderColor rgb="FFFF0000"/>
              <x14:axisColor rgb="FF000000"/>
            </x14:dataBar>
          </x14:cfRule>
          <xm:sqref>AG25</xm:sqref>
        </x14:conditionalFormatting>
        <x14:conditionalFormatting xmlns:xm="http://schemas.microsoft.com/office/excel/2006/main">
          <x14:cfRule type="dataBar" id="{CB8EB642-40E0-4C9D-AC24-A3D9A2F1BE91}">
            <x14:dataBar minLength="0" maxLength="100" border="1" negativeBarBorderColorSameAsPositive="0">
              <x14:cfvo type="autoMin"/>
              <x14:cfvo type="autoMax"/>
              <x14:borderColor rgb="FF63C384"/>
              <x14:negativeFillColor rgb="FFFF0000"/>
              <x14:negativeBorderColor rgb="FFFF0000"/>
              <x14:axisColor rgb="FF000000"/>
            </x14:dataBar>
          </x14:cfRule>
          <xm:sqref>AG25</xm:sqref>
        </x14:conditionalFormatting>
        <x14:conditionalFormatting xmlns:xm="http://schemas.microsoft.com/office/excel/2006/main">
          <x14:cfRule type="dataBar" id="{3EC731E3-80CF-426B-A043-D94BE151520A}">
            <x14:dataBar minLength="0" maxLength="100" border="1" negativeBarBorderColorSameAsPositive="0">
              <x14:cfvo type="autoMin"/>
              <x14:cfvo type="autoMax"/>
              <x14:borderColor rgb="FF63C384"/>
              <x14:negativeFillColor rgb="FFFF0000"/>
              <x14:negativeBorderColor rgb="FFFF0000"/>
              <x14:axisColor rgb="FF000000"/>
            </x14:dataBar>
          </x14:cfRule>
          <xm:sqref>AG25</xm:sqref>
        </x14:conditionalFormatting>
        <x14:conditionalFormatting xmlns:xm="http://schemas.microsoft.com/office/excel/2006/main">
          <x14:cfRule type="dataBar" id="{F1D5235C-2553-4DAC-8E3A-0DB3D6EC33AE}">
            <x14:dataBar minLength="0" maxLength="100" border="1" negativeBarBorderColorSameAsPositive="0">
              <x14:cfvo type="autoMin"/>
              <x14:cfvo type="autoMax"/>
              <x14:borderColor rgb="FF63C384"/>
              <x14:negativeFillColor rgb="FFFF0000"/>
              <x14:negativeBorderColor rgb="FFFF0000"/>
              <x14:axisColor rgb="FF000000"/>
            </x14:dataBar>
          </x14:cfRule>
          <xm:sqref>AG25</xm:sqref>
        </x14:conditionalFormatting>
        <x14:conditionalFormatting xmlns:xm="http://schemas.microsoft.com/office/excel/2006/main">
          <x14:cfRule type="dataBar" id="{1CC0C9E7-F873-4A0F-A7DC-A361C0A988BB}">
            <x14:dataBar minLength="0" maxLength="100" border="1" negativeBarBorderColorSameAsPositive="0">
              <x14:cfvo type="autoMin"/>
              <x14:cfvo type="autoMax"/>
              <x14:borderColor rgb="FF63C384"/>
              <x14:negativeFillColor rgb="FFFF0000"/>
              <x14:negativeBorderColor rgb="FFFF0000"/>
              <x14:axisColor rgb="FF000000"/>
            </x14:dataBar>
          </x14:cfRule>
          <xm:sqref>AG25</xm:sqref>
        </x14:conditionalFormatting>
        <x14:conditionalFormatting xmlns:xm="http://schemas.microsoft.com/office/excel/2006/main">
          <x14:cfRule type="dataBar" id="{30F10269-8234-4A2C-8F2B-9CCC3D4D4B3A}">
            <x14:dataBar minLength="0" maxLength="100" border="1" negativeBarBorderColorSameAsPositive="0">
              <x14:cfvo type="autoMin"/>
              <x14:cfvo type="autoMax"/>
              <x14:borderColor rgb="FF63C384"/>
              <x14:negativeFillColor rgb="FFFF0000"/>
              <x14:negativeBorderColor rgb="FFFF0000"/>
              <x14:axisColor rgb="FF000000"/>
            </x14:dataBar>
          </x14:cfRule>
          <xm:sqref>AG25</xm:sqref>
        </x14:conditionalFormatting>
        <x14:conditionalFormatting xmlns:xm="http://schemas.microsoft.com/office/excel/2006/main">
          <x14:cfRule type="dataBar" id="{53A07C08-0253-4BE4-8F78-E954E9AD22CF}">
            <x14:dataBar minLength="0" maxLength="100" border="1" negativeBarBorderColorSameAsPositive="0">
              <x14:cfvo type="autoMin"/>
              <x14:cfvo type="autoMax"/>
              <x14:borderColor rgb="FF63C384"/>
              <x14:negativeFillColor rgb="FFFF0000"/>
              <x14:negativeBorderColor rgb="FFFF0000"/>
              <x14:axisColor rgb="FF000000"/>
            </x14:dataBar>
          </x14:cfRule>
          <xm:sqref>AG25</xm:sqref>
        </x14:conditionalFormatting>
        <x14:conditionalFormatting xmlns:xm="http://schemas.microsoft.com/office/excel/2006/main">
          <x14:cfRule type="dataBar" id="{57E492A2-E93A-4B3F-80FF-0EA4ADFD5ED3}">
            <x14:dataBar minLength="0" maxLength="100" border="1" negativeBarBorderColorSameAsPositive="0">
              <x14:cfvo type="autoMin"/>
              <x14:cfvo type="autoMax"/>
              <x14:borderColor rgb="FF63C384"/>
              <x14:negativeFillColor rgb="FFFF0000"/>
              <x14:negativeBorderColor rgb="FFFF0000"/>
              <x14:axisColor rgb="FF000000"/>
            </x14:dataBar>
          </x14:cfRule>
          <xm:sqref>AG28</xm:sqref>
        </x14:conditionalFormatting>
        <x14:conditionalFormatting xmlns:xm="http://schemas.microsoft.com/office/excel/2006/main">
          <x14:cfRule type="dataBar" id="{8FCF50B7-CD08-4C8B-B575-1C948C6DD144}">
            <x14:dataBar minLength="0" maxLength="100" border="1" negativeBarBorderColorSameAsPositive="0">
              <x14:cfvo type="autoMin"/>
              <x14:cfvo type="autoMax"/>
              <x14:borderColor rgb="FF63C384"/>
              <x14:negativeFillColor rgb="FFFF0000"/>
              <x14:negativeBorderColor rgb="FFFF0000"/>
              <x14:axisColor rgb="FF000000"/>
            </x14:dataBar>
          </x14:cfRule>
          <xm:sqref>AG28</xm:sqref>
        </x14:conditionalFormatting>
        <x14:conditionalFormatting xmlns:xm="http://schemas.microsoft.com/office/excel/2006/main">
          <x14:cfRule type="dataBar" id="{FBCD312C-1B5E-4563-87C1-C4A63EADE19F}">
            <x14:dataBar minLength="0" maxLength="100" border="1" negativeBarBorderColorSameAsPositive="0">
              <x14:cfvo type="autoMin"/>
              <x14:cfvo type="autoMax"/>
              <x14:borderColor rgb="FF63C384"/>
              <x14:negativeFillColor rgb="FFFF0000"/>
              <x14:negativeBorderColor rgb="FFFF0000"/>
              <x14:axisColor rgb="FF000000"/>
            </x14:dataBar>
          </x14:cfRule>
          <xm:sqref>AG29</xm:sqref>
        </x14:conditionalFormatting>
        <x14:conditionalFormatting xmlns:xm="http://schemas.microsoft.com/office/excel/2006/main">
          <x14:cfRule type="dataBar" id="{3E69C19B-9D09-407B-BB43-5B91AE07B148}">
            <x14:dataBar minLength="0" maxLength="100" border="1" negativeBarBorderColorSameAsPositive="0">
              <x14:cfvo type="autoMin"/>
              <x14:cfvo type="autoMax"/>
              <x14:borderColor rgb="FF63C384"/>
              <x14:negativeFillColor rgb="FFFF0000"/>
              <x14:negativeBorderColor rgb="FFFF0000"/>
              <x14:axisColor rgb="FF000000"/>
            </x14:dataBar>
          </x14:cfRule>
          <xm:sqref>AG29</xm:sqref>
        </x14:conditionalFormatting>
        <x14:conditionalFormatting xmlns:xm="http://schemas.microsoft.com/office/excel/2006/main">
          <x14:cfRule type="dataBar" id="{6B2A0453-C3F4-42E2-AAB3-5B0C7D2C1C1C}">
            <x14:dataBar minLength="0" maxLength="100" border="1" negativeBarBorderColorSameAsPositive="0">
              <x14:cfvo type="autoMin"/>
              <x14:cfvo type="autoMax"/>
              <x14:borderColor rgb="FF63C384"/>
              <x14:negativeFillColor rgb="FFFF0000"/>
              <x14:negativeBorderColor rgb="FFFF0000"/>
              <x14:axisColor rgb="FF000000"/>
            </x14:dataBar>
          </x14:cfRule>
          <xm:sqref>AG30</xm:sqref>
        </x14:conditionalFormatting>
        <x14:conditionalFormatting xmlns:xm="http://schemas.microsoft.com/office/excel/2006/main">
          <x14:cfRule type="dataBar" id="{210BEAA7-BE7C-49D5-AB4C-DA211DCE8E97}">
            <x14:dataBar minLength="0" maxLength="100" border="1" negativeBarBorderColorSameAsPositive="0">
              <x14:cfvo type="autoMin"/>
              <x14:cfvo type="autoMax"/>
              <x14:borderColor rgb="FF63C384"/>
              <x14:negativeFillColor rgb="FFFF0000"/>
              <x14:negativeBorderColor rgb="FFFF0000"/>
              <x14:axisColor rgb="FF000000"/>
            </x14:dataBar>
          </x14:cfRule>
          <xm:sqref>AG30</xm:sqref>
        </x14:conditionalFormatting>
        <x14:conditionalFormatting xmlns:xm="http://schemas.microsoft.com/office/excel/2006/main">
          <x14:cfRule type="dataBar" id="{E8DE332F-6968-4099-B30E-9A8897E7ED5D}">
            <x14:dataBar minLength="0" maxLength="100" border="1" negativeBarBorderColorSameAsPositive="0">
              <x14:cfvo type="autoMin"/>
              <x14:cfvo type="autoMax"/>
              <x14:borderColor rgb="FF63C384"/>
              <x14:negativeFillColor rgb="FFFF0000"/>
              <x14:negativeBorderColor rgb="FFFF0000"/>
              <x14:axisColor rgb="FF000000"/>
            </x14:dataBar>
          </x14:cfRule>
          <xm:sqref>AG32</xm:sqref>
        </x14:conditionalFormatting>
        <x14:conditionalFormatting xmlns:xm="http://schemas.microsoft.com/office/excel/2006/main">
          <x14:cfRule type="dataBar" id="{8C22EC3A-1499-4158-B576-726B8AF97AD2}">
            <x14:dataBar minLength="0" maxLength="100" border="1" negativeBarBorderColorSameAsPositive="0">
              <x14:cfvo type="autoMin"/>
              <x14:cfvo type="autoMax"/>
              <x14:borderColor rgb="FF63C384"/>
              <x14:negativeFillColor rgb="FFFF0000"/>
              <x14:negativeBorderColor rgb="FFFF0000"/>
              <x14:axisColor rgb="FF000000"/>
            </x14:dataBar>
          </x14:cfRule>
          <xm:sqref>AG32</xm:sqref>
        </x14:conditionalFormatting>
        <x14:conditionalFormatting xmlns:xm="http://schemas.microsoft.com/office/excel/2006/main">
          <x14:cfRule type="dataBar" id="{55550FAB-B08B-43B6-93E6-500F527CB553}">
            <x14:dataBar minLength="0" maxLength="100" border="1" negativeBarBorderColorSameAsPositive="0">
              <x14:cfvo type="autoMin"/>
              <x14:cfvo type="autoMax"/>
              <x14:borderColor rgb="FF63C384"/>
              <x14:negativeFillColor rgb="FFFF0000"/>
              <x14:negativeBorderColor rgb="FFFF0000"/>
              <x14:axisColor rgb="FF000000"/>
            </x14:dataBar>
          </x14:cfRule>
          <xm:sqref>AG34</xm:sqref>
        </x14:conditionalFormatting>
        <x14:conditionalFormatting xmlns:xm="http://schemas.microsoft.com/office/excel/2006/main">
          <x14:cfRule type="dataBar" id="{9578FB4C-5690-4A00-9AFE-86508EE4341D}">
            <x14:dataBar minLength="0" maxLength="100" border="1" negativeBarBorderColorSameAsPositive="0">
              <x14:cfvo type="autoMin"/>
              <x14:cfvo type="autoMax"/>
              <x14:borderColor rgb="FF63C384"/>
              <x14:negativeFillColor rgb="FFFF0000"/>
              <x14:negativeBorderColor rgb="FFFF0000"/>
              <x14:axisColor rgb="FF000000"/>
            </x14:dataBar>
          </x14:cfRule>
          <xm:sqref>AG33</xm:sqref>
        </x14:conditionalFormatting>
        <x14:conditionalFormatting xmlns:xm="http://schemas.microsoft.com/office/excel/2006/main">
          <x14:cfRule type="dataBar" id="{FD42C737-5064-4EC4-8D48-461A0D2C888B}">
            <x14:dataBar minLength="0" maxLength="100" border="1" negativeBarBorderColorSameAsPositive="0">
              <x14:cfvo type="autoMin"/>
              <x14:cfvo type="autoMax"/>
              <x14:borderColor rgb="FF63C384"/>
              <x14:negativeFillColor rgb="FFFF0000"/>
              <x14:negativeBorderColor rgb="FFFF0000"/>
              <x14:axisColor rgb="FF000000"/>
            </x14:dataBar>
          </x14:cfRule>
          <xm:sqref>AG33</xm:sqref>
        </x14:conditionalFormatting>
        <x14:conditionalFormatting xmlns:xm="http://schemas.microsoft.com/office/excel/2006/main">
          <x14:cfRule type="dataBar" id="{1E9B1641-ABB3-41A0-8900-472FF42F5FB6}">
            <x14:dataBar minLength="0" maxLength="100" border="1" negativeBarBorderColorSameAsPositive="0">
              <x14:cfvo type="autoMin"/>
              <x14:cfvo type="autoMax"/>
              <x14:borderColor rgb="FF63C384"/>
              <x14:negativeFillColor rgb="FFFF0000"/>
              <x14:negativeBorderColor rgb="FFFF0000"/>
              <x14:axisColor rgb="FF000000"/>
            </x14:dataBar>
          </x14:cfRule>
          <xm:sqref>AG33</xm:sqref>
        </x14:conditionalFormatting>
        <x14:conditionalFormatting xmlns:xm="http://schemas.microsoft.com/office/excel/2006/main">
          <x14:cfRule type="dataBar" id="{77A09786-7D83-4BC4-A76A-C55007EE831D}">
            <x14:dataBar minLength="0" maxLength="100" border="1" negativeBarBorderColorSameAsPositive="0">
              <x14:cfvo type="autoMin"/>
              <x14:cfvo type="autoMax"/>
              <x14:borderColor rgb="FF63C384"/>
              <x14:negativeFillColor rgb="FFFF0000"/>
              <x14:negativeBorderColor rgb="FFFF0000"/>
              <x14:axisColor rgb="FF000000"/>
            </x14:dataBar>
          </x14:cfRule>
          <xm:sqref>AG33</xm:sqref>
        </x14:conditionalFormatting>
        <x14:conditionalFormatting xmlns:xm="http://schemas.microsoft.com/office/excel/2006/main">
          <x14:cfRule type="dataBar" id="{B265092C-8F30-4770-91CB-C46642B9EDE4}">
            <x14:dataBar minLength="0" maxLength="100" border="1" negativeBarBorderColorSameAsPositive="0">
              <x14:cfvo type="autoMin"/>
              <x14:cfvo type="autoMax"/>
              <x14:borderColor rgb="FF63C384"/>
              <x14:negativeFillColor rgb="FFFF0000"/>
              <x14:negativeBorderColor rgb="FFFF0000"/>
              <x14:axisColor rgb="FF000000"/>
            </x14:dataBar>
          </x14:cfRule>
          <xm:sqref>AG33</xm:sqref>
        </x14:conditionalFormatting>
        <x14:conditionalFormatting xmlns:xm="http://schemas.microsoft.com/office/excel/2006/main">
          <x14:cfRule type="dataBar" id="{D9D58275-F98B-4A5D-91BC-794AFF1D3D6A}">
            <x14:dataBar minLength="0" maxLength="100" border="1" negativeBarBorderColorSameAsPositive="0">
              <x14:cfvo type="autoMin"/>
              <x14:cfvo type="autoMax"/>
              <x14:borderColor rgb="FF63C384"/>
              <x14:negativeFillColor rgb="FFFF0000"/>
              <x14:negativeBorderColor rgb="FFFF0000"/>
              <x14:axisColor rgb="FF000000"/>
            </x14:dataBar>
          </x14:cfRule>
          <xm:sqref>AG33</xm:sqref>
        </x14:conditionalFormatting>
        <x14:conditionalFormatting xmlns:xm="http://schemas.microsoft.com/office/excel/2006/main">
          <x14:cfRule type="dataBar" id="{6154C344-60FF-43D1-965F-9BC1F346C427}">
            <x14:dataBar minLength="0" maxLength="100" border="1" negativeBarBorderColorSameAsPositive="0">
              <x14:cfvo type="autoMin"/>
              <x14:cfvo type="autoMax"/>
              <x14:borderColor rgb="FF63C384"/>
              <x14:negativeFillColor rgb="FFFF0000"/>
              <x14:negativeBorderColor rgb="FFFF0000"/>
              <x14:axisColor rgb="FF000000"/>
            </x14:dataBar>
          </x14:cfRule>
          <xm:sqref>AG33</xm:sqref>
        </x14:conditionalFormatting>
        <x14:conditionalFormatting xmlns:xm="http://schemas.microsoft.com/office/excel/2006/main">
          <x14:cfRule type="dataBar" id="{07C4F92C-14C6-4E76-8E04-6666B2B55619}">
            <x14:dataBar minLength="0" maxLength="100" border="1" negativeBarBorderColorSameAsPositive="0">
              <x14:cfvo type="autoMin"/>
              <x14:cfvo type="autoMax"/>
              <x14:borderColor rgb="FF63C384"/>
              <x14:negativeFillColor rgb="FFFF0000"/>
              <x14:negativeBorderColor rgb="FFFF0000"/>
              <x14:axisColor rgb="FF000000"/>
            </x14:dataBar>
          </x14:cfRule>
          <xm:sqref>AG33</xm:sqref>
        </x14:conditionalFormatting>
        <x14:conditionalFormatting xmlns:xm="http://schemas.microsoft.com/office/excel/2006/main">
          <x14:cfRule type="dataBar" id="{D7ACCC5D-5C78-4285-A495-E3D22C1407D5}">
            <x14:dataBar minLength="0" maxLength="100" border="1" negativeBarBorderColorSameAsPositive="0">
              <x14:cfvo type="autoMin"/>
              <x14:cfvo type="autoMax"/>
              <x14:borderColor rgb="FF63C384"/>
              <x14:negativeFillColor rgb="FFFF0000"/>
              <x14:negativeBorderColor rgb="FFFF0000"/>
              <x14:axisColor rgb="FF000000"/>
            </x14:dataBar>
          </x14:cfRule>
          <xm:sqref>AG35</xm:sqref>
        </x14:conditionalFormatting>
        <x14:conditionalFormatting xmlns:xm="http://schemas.microsoft.com/office/excel/2006/main">
          <x14:cfRule type="dataBar" id="{9CF1DF1B-DABB-4ECC-B9FC-37A7AEFD2097}">
            <x14:dataBar minLength="0" maxLength="100" border="1" negativeBarBorderColorSameAsPositive="0">
              <x14:cfvo type="autoMin"/>
              <x14:cfvo type="autoMax"/>
              <x14:borderColor rgb="FF63C384"/>
              <x14:negativeFillColor rgb="FFFF0000"/>
              <x14:negativeBorderColor rgb="FFFF0000"/>
              <x14:axisColor rgb="FF000000"/>
            </x14:dataBar>
          </x14:cfRule>
          <xm:sqref>AG36</xm:sqref>
        </x14:conditionalFormatting>
        <x14:conditionalFormatting xmlns:xm="http://schemas.microsoft.com/office/excel/2006/main">
          <x14:cfRule type="dataBar" id="{DD6F24B2-AFF2-4EA3-A177-E321EF1AB44A}">
            <x14:dataBar minLength="0" maxLength="100" border="1" negativeBarBorderColorSameAsPositive="0">
              <x14:cfvo type="autoMin"/>
              <x14:cfvo type="autoMax"/>
              <x14:borderColor rgb="FF63C384"/>
              <x14:negativeFillColor rgb="FFFF0000"/>
              <x14:negativeBorderColor rgb="FFFF0000"/>
              <x14:axisColor rgb="FF000000"/>
            </x14:dataBar>
          </x14:cfRule>
          <xm:sqref>AG36</xm:sqref>
        </x14:conditionalFormatting>
        <x14:conditionalFormatting xmlns:xm="http://schemas.microsoft.com/office/excel/2006/main">
          <x14:cfRule type="dataBar" id="{C84B63A4-AF9F-4432-91FF-57DB7F7AAA96}">
            <x14:dataBar minLength="0" maxLength="100" border="1" negativeBarBorderColorSameAsPositive="0">
              <x14:cfvo type="autoMin"/>
              <x14:cfvo type="autoMax"/>
              <x14:borderColor rgb="FF63C384"/>
              <x14:negativeFillColor rgb="FFFF0000"/>
              <x14:negativeBorderColor rgb="FFFF0000"/>
              <x14:axisColor rgb="FF000000"/>
            </x14:dataBar>
          </x14:cfRule>
          <xm:sqref>AG38</xm:sqref>
        </x14:conditionalFormatting>
        <x14:conditionalFormatting xmlns:xm="http://schemas.microsoft.com/office/excel/2006/main">
          <x14:cfRule type="dataBar" id="{EE2F2E57-3E99-43A3-9E1E-3A97B4F75FC8}">
            <x14:dataBar minLength="0" maxLength="100" border="1" negativeBarBorderColorSameAsPositive="0">
              <x14:cfvo type="autoMin"/>
              <x14:cfvo type="autoMax"/>
              <x14:borderColor rgb="FF63C384"/>
              <x14:negativeFillColor rgb="FFFF0000"/>
              <x14:negativeBorderColor rgb="FFFF0000"/>
              <x14:axisColor rgb="FF000000"/>
            </x14:dataBar>
          </x14:cfRule>
          <xm:sqref>AG39</xm:sqref>
        </x14:conditionalFormatting>
        <x14:conditionalFormatting xmlns:xm="http://schemas.microsoft.com/office/excel/2006/main">
          <x14:cfRule type="dataBar" id="{1DF64634-5966-4DF5-B430-0B066B4C6C8E}">
            <x14:dataBar minLength="0" maxLength="100" border="1" negativeBarBorderColorSameAsPositive="0">
              <x14:cfvo type="autoMin"/>
              <x14:cfvo type="autoMax"/>
              <x14:borderColor rgb="FF63C384"/>
              <x14:negativeFillColor rgb="FFFF0000"/>
              <x14:negativeBorderColor rgb="FFFF0000"/>
              <x14:axisColor rgb="FF000000"/>
            </x14:dataBar>
          </x14:cfRule>
          <xm:sqref>AG39</xm:sqref>
        </x14:conditionalFormatting>
        <x14:conditionalFormatting xmlns:xm="http://schemas.microsoft.com/office/excel/2006/main">
          <x14:cfRule type="dataBar" id="{1DDBD053-F6E3-4A02-8AC5-50B166F604F8}">
            <x14:dataBar minLength="0" maxLength="100" border="1" negativeBarBorderColorSameAsPositive="0">
              <x14:cfvo type="autoMin"/>
              <x14:cfvo type="autoMax"/>
              <x14:borderColor rgb="FF63C384"/>
              <x14:negativeFillColor rgb="FFFF0000"/>
              <x14:negativeBorderColor rgb="FFFF0000"/>
              <x14:axisColor rgb="FF000000"/>
            </x14:dataBar>
          </x14:cfRule>
          <xm:sqref>AG40</xm:sqref>
        </x14:conditionalFormatting>
        <x14:conditionalFormatting xmlns:xm="http://schemas.microsoft.com/office/excel/2006/main">
          <x14:cfRule type="dataBar" id="{2977CED6-5105-4386-838D-2A18E592B26B}">
            <x14:dataBar minLength="0" maxLength="100" border="1" negativeBarBorderColorSameAsPositive="0">
              <x14:cfvo type="autoMin"/>
              <x14:cfvo type="autoMax"/>
              <x14:borderColor rgb="FF63C384"/>
              <x14:negativeFillColor rgb="FFFF0000"/>
              <x14:negativeBorderColor rgb="FFFF0000"/>
              <x14:axisColor rgb="FF000000"/>
            </x14:dataBar>
          </x14:cfRule>
          <xm:sqref>AG40</xm:sqref>
        </x14:conditionalFormatting>
        <x14:conditionalFormatting xmlns:xm="http://schemas.microsoft.com/office/excel/2006/main">
          <x14:cfRule type="dataBar" id="{7DD733F1-2D84-4F97-B860-573238D8FA9A}">
            <x14:dataBar minLength="0" maxLength="100" border="1" negativeBarBorderColorSameAsPositive="0">
              <x14:cfvo type="autoMin"/>
              <x14:cfvo type="autoMax"/>
              <x14:borderColor rgb="FF63C384"/>
              <x14:negativeFillColor rgb="FFFF0000"/>
              <x14:negativeBorderColor rgb="FFFF0000"/>
              <x14:axisColor rgb="FF000000"/>
            </x14:dataBar>
          </x14:cfRule>
          <xm:sqref>AG40</xm:sqref>
        </x14:conditionalFormatting>
        <x14:conditionalFormatting xmlns:xm="http://schemas.microsoft.com/office/excel/2006/main">
          <x14:cfRule type="dataBar" id="{89A5E06C-AEFB-4EB4-8E52-7C041D4DFDD4}">
            <x14:dataBar minLength="0" maxLength="100" border="1" negativeBarBorderColorSameAsPositive="0">
              <x14:cfvo type="autoMin"/>
              <x14:cfvo type="autoMax"/>
              <x14:borderColor rgb="FF63C384"/>
              <x14:negativeFillColor rgb="FFFF0000"/>
              <x14:negativeBorderColor rgb="FFFF0000"/>
              <x14:axisColor rgb="FF000000"/>
            </x14:dataBar>
          </x14:cfRule>
          <xm:sqref>AG40</xm:sqref>
        </x14:conditionalFormatting>
        <x14:conditionalFormatting xmlns:xm="http://schemas.microsoft.com/office/excel/2006/main">
          <x14:cfRule type="dataBar" id="{ECE57422-9C8C-49EE-A419-6184F98CD2E7}">
            <x14:dataBar minLength="0" maxLength="100" border="1" negativeBarBorderColorSameAsPositive="0">
              <x14:cfvo type="autoMin"/>
              <x14:cfvo type="autoMax"/>
              <x14:borderColor rgb="FF63C384"/>
              <x14:negativeFillColor rgb="FFFF0000"/>
              <x14:negativeBorderColor rgb="FFFF0000"/>
              <x14:axisColor rgb="FF000000"/>
            </x14:dataBar>
          </x14:cfRule>
          <xm:sqref>AG40</xm:sqref>
        </x14:conditionalFormatting>
        <x14:conditionalFormatting xmlns:xm="http://schemas.microsoft.com/office/excel/2006/main">
          <x14:cfRule type="dataBar" id="{27BD57FA-F4D1-4366-8838-A24E841E594F}">
            <x14:dataBar minLength="0" maxLength="100" border="1" negativeBarBorderColorSameAsPositive="0">
              <x14:cfvo type="autoMin"/>
              <x14:cfvo type="autoMax"/>
              <x14:borderColor rgb="FF63C384"/>
              <x14:negativeFillColor rgb="FFFF0000"/>
              <x14:negativeBorderColor rgb="FFFF0000"/>
              <x14:axisColor rgb="FF000000"/>
            </x14:dataBar>
          </x14:cfRule>
          <xm:sqref>AG40</xm:sqref>
        </x14:conditionalFormatting>
        <x14:conditionalFormatting xmlns:xm="http://schemas.microsoft.com/office/excel/2006/main">
          <x14:cfRule type="dataBar" id="{C6D9011A-1419-4871-A52E-3608243A8D51}">
            <x14:dataBar minLength="0" maxLength="100" border="1" negativeBarBorderColorSameAsPositive="0">
              <x14:cfvo type="autoMin"/>
              <x14:cfvo type="autoMax"/>
              <x14:borderColor rgb="FF63C384"/>
              <x14:negativeFillColor rgb="FFFF0000"/>
              <x14:negativeBorderColor rgb="FFFF0000"/>
              <x14:axisColor rgb="FF000000"/>
            </x14:dataBar>
          </x14:cfRule>
          <xm:sqref>AG40</xm:sqref>
        </x14:conditionalFormatting>
        <x14:conditionalFormatting xmlns:xm="http://schemas.microsoft.com/office/excel/2006/main">
          <x14:cfRule type="dataBar" id="{35583670-D916-4FBB-84AD-EEB3516569B3}">
            <x14:dataBar minLength="0" maxLength="100" border="1" negativeBarBorderColorSameAsPositive="0">
              <x14:cfvo type="autoMin"/>
              <x14:cfvo type="autoMax"/>
              <x14:borderColor rgb="FF63C384"/>
              <x14:negativeFillColor rgb="FFFF0000"/>
              <x14:negativeBorderColor rgb="FFFF0000"/>
              <x14:axisColor rgb="FF000000"/>
            </x14:dataBar>
          </x14:cfRule>
          <xm:sqref>AG40</xm:sqref>
        </x14:conditionalFormatting>
        <x14:conditionalFormatting xmlns:xm="http://schemas.microsoft.com/office/excel/2006/main">
          <x14:cfRule type="dataBar" id="{B94B7FC9-6592-4FA7-8D1B-CCF1DFBAFE03}">
            <x14:dataBar minLength="0" maxLength="100" border="1" negativeBarBorderColorSameAsPositive="0">
              <x14:cfvo type="autoMin"/>
              <x14:cfvo type="autoMax"/>
              <x14:borderColor rgb="FF63C384"/>
              <x14:negativeFillColor rgb="FFFF0000"/>
              <x14:negativeBorderColor rgb="FFFF0000"/>
              <x14:axisColor rgb="FF000000"/>
            </x14:dataBar>
          </x14:cfRule>
          <xm:sqref>AG41</xm:sqref>
        </x14:conditionalFormatting>
        <x14:conditionalFormatting xmlns:xm="http://schemas.microsoft.com/office/excel/2006/main">
          <x14:cfRule type="dataBar" id="{FC5EB2A6-C390-4259-A82D-923F00577BFA}">
            <x14:dataBar minLength="0" maxLength="100" border="1" negativeBarBorderColorSameAsPositive="0">
              <x14:cfvo type="autoMin"/>
              <x14:cfvo type="autoMax"/>
              <x14:borderColor rgb="FF63C384"/>
              <x14:negativeFillColor rgb="FFFF0000"/>
              <x14:negativeBorderColor rgb="FFFF0000"/>
              <x14:axisColor rgb="FF000000"/>
            </x14:dataBar>
          </x14:cfRule>
          <xm:sqref>AG41</xm:sqref>
        </x14:conditionalFormatting>
        <x14:conditionalFormatting xmlns:xm="http://schemas.microsoft.com/office/excel/2006/main">
          <x14:cfRule type="dataBar" id="{4377EC11-0F52-4860-8493-66A2A855A85F}">
            <x14:dataBar minLength="0" maxLength="100" border="1" negativeBarBorderColorSameAsPositive="0">
              <x14:cfvo type="autoMin"/>
              <x14:cfvo type="autoMax"/>
              <x14:borderColor rgb="FF63C384"/>
              <x14:negativeFillColor rgb="FFFF0000"/>
              <x14:negativeBorderColor rgb="FFFF0000"/>
              <x14:axisColor rgb="FF000000"/>
            </x14:dataBar>
          </x14:cfRule>
          <xm:sqref>AG42</xm:sqref>
        </x14:conditionalFormatting>
        <x14:conditionalFormatting xmlns:xm="http://schemas.microsoft.com/office/excel/2006/main">
          <x14:cfRule type="dataBar" id="{FF6A8A7F-6216-4DFA-93EA-21077500D0B4}">
            <x14:dataBar minLength="0" maxLength="100" border="1" negativeBarBorderColorSameAsPositive="0">
              <x14:cfvo type="autoMin"/>
              <x14:cfvo type="autoMax"/>
              <x14:borderColor rgb="FF63C384"/>
              <x14:negativeFillColor rgb="FFFF0000"/>
              <x14:negativeBorderColor rgb="FFFF0000"/>
              <x14:axisColor rgb="FF000000"/>
            </x14:dataBar>
          </x14:cfRule>
          <xm:sqref>AG42</xm:sqref>
        </x14:conditionalFormatting>
        <x14:conditionalFormatting xmlns:xm="http://schemas.microsoft.com/office/excel/2006/main">
          <x14:cfRule type="dataBar" id="{3A4A6FA9-B88D-4873-B664-04558133318F}">
            <x14:dataBar minLength="0" maxLength="100" border="1" negativeBarBorderColorSameAsPositive="0">
              <x14:cfvo type="autoMin"/>
              <x14:cfvo type="autoMax"/>
              <x14:borderColor rgb="FF63C384"/>
              <x14:negativeFillColor rgb="FFFF0000"/>
              <x14:negativeBorderColor rgb="FFFF0000"/>
              <x14:axisColor rgb="FF000000"/>
            </x14:dataBar>
          </x14:cfRule>
          <xm:sqref>AG43</xm:sqref>
        </x14:conditionalFormatting>
        <x14:conditionalFormatting xmlns:xm="http://schemas.microsoft.com/office/excel/2006/main">
          <x14:cfRule type="dataBar" id="{F809B14D-7C53-4BB6-B174-3BA38213AD67}">
            <x14:dataBar minLength="0" maxLength="100" border="1" negativeBarBorderColorSameAsPositive="0">
              <x14:cfvo type="autoMin"/>
              <x14:cfvo type="autoMax"/>
              <x14:borderColor rgb="FF63C384"/>
              <x14:negativeFillColor rgb="FFFF0000"/>
              <x14:negativeBorderColor rgb="FFFF0000"/>
              <x14:axisColor rgb="FF000000"/>
            </x14:dataBar>
          </x14:cfRule>
          <xm:sqref>AG43</xm:sqref>
        </x14:conditionalFormatting>
        <x14:conditionalFormatting xmlns:xm="http://schemas.microsoft.com/office/excel/2006/main">
          <x14:cfRule type="dataBar" id="{92E86F4B-3EC7-4C31-9B53-FA6835E9EF45}">
            <x14:dataBar minLength="0" maxLength="100" border="1" negativeBarBorderColorSameAsPositive="0">
              <x14:cfvo type="autoMin"/>
              <x14:cfvo type="autoMax"/>
              <x14:borderColor rgb="FF63C384"/>
              <x14:negativeFillColor rgb="FFFF0000"/>
              <x14:negativeBorderColor rgb="FFFF0000"/>
              <x14:axisColor rgb="FF000000"/>
            </x14:dataBar>
          </x14:cfRule>
          <xm:sqref>AG43</xm:sqref>
        </x14:conditionalFormatting>
        <x14:conditionalFormatting xmlns:xm="http://schemas.microsoft.com/office/excel/2006/main">
          <x14:cfRule type="dataBar" id="{074F6E77-127C-45BC-A735-41386B26A5E4}">
            <x14:dataBar minLength="0" maxLength="100" border="1" negativeBarBorderColorSameAsPositive="0">
              <x14:cfvo type="autoMin"/>
              <x14:cfvo type="autoMax"/>
              <x14:borderColor rgb="FF63C384"/>
              <x14:negativeFillColor rgb="FFFF0000"/>
              <x14:negativeBorderColor rgb="FFFF0000"/>
              <x14:axisColor rgb="FF000000"/>
            </x14:dataBar>
          </x14:cfRule>
          <xm:sqref>AG43</xm:sqref>
        </x14:conditionalFormatting>
        <x14:conditionalFormatting xmlns:xm="http://schemas.microsoft.com/office/excel/2006/main">
          <x14:cfRule type="dataBar" id="{C7E47D39-DBF9-4AE4-8048-2B855A0A4FF0}">
            <x14:dataBar minLength="0" maxLength="100" border="1" negativeBarBorderColorSameAsPositive="0">
              <x14:cfvo type="autoMin"/>
              <x14:cfvo type="autoMax"/>
              <x14:borderColor rgb="FF63C384"/>
              <x14:negativeFillColor rgb="FFFF0000"/>
              <x14:negativeBorderColor rgb="FFFF0000"/>
              <x14:axisColor rgb="FF000000"/>
            </x14:dataBar>
          </x14:cfRule>
          <xm:sqref>AG44</xm:sqref>
        </x14:conditionalFormatting>
        <x14:conditionalFormatting xmlns:xm="http://schemas.microsoft.com/office/excel/2006/main">
          <x14:cfRule type="dataBar" id="{F43D7FB2-DD87-4091-B02A-B27855D7FDDA}">
            <x14:dataBar minLength="0" maxLength="100" border="1" negativeBarBorderColorSameAsPositive="0">
              <x14:cfvo type="autoMin"/>
              <x14:cfvo type="autoMax"/>
              <x14:borderColor rgb="FF63C384"/>
              <x14:negativeFillColor rgb="FFFF0000"/>
              <x14:negativeBorderColor rgb="FFFF0000"/>
              <x14:axisColor rgb="FF000000"/>
            </x14:dataBar>
          </x14:cfRule>
          <xm:sqref>AG44</xm:sqref>
        </x14:conditionalFormatting>
        <x14:conditionalFormatting xmlns:xm="http://schemas.microsoft.com/office/excel/2006/main">
          <x14:cfRule type="dataBar" id="{8D781D0C-4772-47A8-B683-E33C357A8645}">
            <x14:dataBar minLength="0" maxLength="100" border="1" negativeBarBorderColorSameAsPositive="0">
              <x14:cfvo type="autoMin"/>
              <x14:cfvo type="autoMax"/>
              <x14:borderColor rgb="FF63C384"/>
              <x14:negativeFillColor rgb="FFFF0000"/>
              <x14:negativeBorderColor rgb="FFFF0000"/>
              <x14:axisColor rgb="FF000000"/>
            </x14:dataBar>
          </x14:cfRule>
          <xm:sqref>AG44</xm:sqref>
        </x14:conditionalFormatting>
        <x14:conditionalFormatting xmlns:xm="http://schemas.microsoft.com/office/excel/2006/main">
          <x14:cfRule type="dataBar" id="{D52D785C-22F0-4C2C-BC61-910DC53987BB}">
            <x14:dataBar minLength="0" maxLength="100" border="1" negativeBarBorderColorSameAsPositive="0">
              <x14:cfvo type="autoMin"/>
              <x14:cfvo type="autoMax"/>
              <x14:borderColor rgb="FF63C384"/>
              <x14:negativeFillColor rgb="FFFF0000"/>
              <x14:negativeBorderColor rgb="FFFF0000"/>
              <x14:axisColor rgb="FF000000"/>
            </x14:dataBar>
          </x14:cfRule>
          <xm:sqref>AG45</xm:sqref>
        </x14:conditionalFormatting>
        <x14:conditionalFormatting xmlns:xm="http://schemas.microsoft.com/office/excel/2006/main">
          <x14:cfRule type="dataBar" id="{452401CD-64A6-4FA7-AC72-857C45546318}">
            <x14:dataBar minLength="0" maxLength="100" border="1" negativeBarBorderColorSameAsPositive="0">
              <x14:cfvo type="autoMin"/>
              <x14:cfvo type="autoMax"/>
              <x14:borderColor rgb="FF63C384"/>
              <x14:negativeFillColor rgb="FFFF0000"/>
              <x14:negativeBorderColor rgb="FFFF0000"/>
              <x14:axisColor rgb="FF000000"/>
            </x14:dataBar>
          </x14:cfRule>
          <xm:sqref>AG45</xm:sqref>
        </x14:conditionalFormatting>
        <x14:conditionalFormatting xmlns:xm="http://schemas.microsoft.com/office/excel/2006/main">
          <x14:cfRule type="dataBar" id="{D7EDB501-3FA5-4619-B8A8-568EA09CDE24}">
            <x14:dataBar minLength="0" maxLength="100" border="1" negativeBarBorderColorSameAsPositive="0">
              <x14:cfvo type="autoMin"/>
              <x14:cfvo type="autoMax"/>
              <x14:borderColor rgb="FF63C384"/>
              <x14:negativeFillColor rgb="FFFF0000"/>
              <x14:negativeBorderColor rgb="FFFF0000"/>
              <x14:axisColor rgb="FF000000"/>
            </x14:dataBar>
          </x14:cfRule>
          <xm:sqref>AG47</xm:sqref>
        </x14:conditionalFormatting>
        <x14:conditionalFormatting xmlns:xm="http://schemas.microsoft.com/office/excel/2006/main">
          <x14:cfRule type="dataBar" id="{ED97F381-25A2-4655-AFC3-DAA94B5EDE83}">
            <x14:dataBar minLength="0" maxLength="100" border="1" negativeBarBorderColorSameAsPositive="0">
              <x14:cfvo type="autoMin"/>
              <x14:cfvo type="autoMax"/>
              <x14:borderColor rgb="FF63C384"/>
              <x14:negativeFillColor rgb="FFFF0000"/>
              <x14:negativeBorderColor rgb="FFFF0000"/>
              <x14:axisColor rgb="FF000000"/>
            </x14:dataBar>
          </x14:cfRule>
          <xm:sqref>AG47</xm:sqref>
        </x14:conditionalFormatting>
        <x14:conditionalFormatting xmlns:xm="http://schemas.microsoft.com/office/excel/2006/main">
          <x14:cfRule type="dataBar" id="{7C9ED67B-9B5A-4386-A265-5F5E471352CF}">
            <x14:dataBar minLength="0" maxLength="100" border="1" negativeBarBorderColorSameAsPositive="0">
              <x14:cfvo type="autoMin"/>
              <x14:cfvo type="autoMax"/>
              <x14:borderColor rgb="FF63C384"/>
              <x14:negativeFillColor rgb="FFFF0000"/>
              <x14:negativeBorderColor rgb="FFFF0000"/>
              <x14:axisColor rgb="FF000000"/>
            </x14:dataBar>
          </x14:cfRule>
          <xm:sqref>AG48</xm:sqref>
        </x14:conditionalFormatting>
        <x14:conditionalFormatting xmlns:xm="http://schemas.microsoft.com/office/excel/2006/main">
          <x14:cfRule type="dataBar" id="{FDA1A7D5-768C-4211-95E5-390D4B35E2AF}">
            <x14:dataBar minLength="0" maxLength="100" border="1" negativeBarBorderColorSameAsPositive="0">
              <x14:cfvo type="autoMin"/>
              <x14:cfvo type="autoMax"/>
              <x14:borderColor rgb="FF63C384"/>
              <x14:negativeFillColor rgb="FFFF0000"/>
              <x14:negativeBorderColor rgb="FFFF0000"/>
              <x14:axisColor rgb="FF000000"/>
            </x14:dataBar>
          </x14:cfRule>
          <xm:sqref>AG48</xm:sqref>
        </x14:conditionalFormatting>
        <x14:conditionalFormatting xmlns:xm="http://schemas.microsoft.com/office/excel/2006/main">
          <x14:cfRule type="dataBar" id="{15F0EB15-D08F-46CA-9AD5-BF3A515B3B61}">
            <x14:dataBar minLength="0" maxLength="100" border="1" negativeBarBorderColorSameAsPositive="0">
              <x14:cfvo type="autoMin"/>
              <x14:cfvo type="autoMax"/>
              <x14:borderColor rgb="FF63C384"/>
              <x14:negativeFillColor rgb="FFFF0000"/>
              <x14:negativeBorderColor rgb="FFFF0000"/>
              <x14:axisColor rgb="FF000000"/>
            </x14:dataBar>
          </x14:cfRule>
          <xm:sqref>AG49</xm:sqref>
        </x14:conditionalFormatting>
        <x14:conditionalFormatting xmlns:xm="http://schemas.microsoft.com/office/excel/2006/main">
          <x14:cfRule type="dataBar" id="{70A8B040-9744-429F-8BC1-4E59419F9477}">
            <x14:dataBar minLength="0" maxLength="100" border="1" negativeBarBorderColorSameAsPositive="0">
              <x14:cfvo type="autoMin"/>
              <x14:cfvo type="autoMax"/>
              <x14:borderColor rgb="FF63C384"/>
              <x14:negativeFillColor rgb="FFFF0000"/>
              <x14:negativeBorderColor rgb="FFFF0000"/>
              <x14:axisColor rgb="FF000000"/>
            </x14:dataBar>
          </x14:cfRule>
          <xm:sqref>AG50</xm:sqref>
        </x14:conditionalFormatting>
        <x14:conditionalFormatting xmlns:xm="http://schemas.microsoft.com/office/excel/2006/main">
          <x14:cfRule type="dataBar" id="{E0812339-E35A-4E8D-AF8F-30D5C1657805}">
            <x14:dataBar minLength="0" maxLength="100" border="1" negativeBarBorderColorSameAsPositive="0">
              <x14:cfvo type="autoMin"/>
              <x14:cfvo type="autoMax"/>
              <x14:borderColor rgb="FF63C384"/>
              <x14:negativeFillColor rgb="FFFF0000"/>
              <x14:negativeBorderColor rgb="FFFF0000"/>
              <x14:axisColor rgb="FF000000"/>
            </x14:dataBar>
          </x14:cfRule>
          <xm:sqref>AG50</xm:sqref>
        </x14:conditionalFormatting>
        <x14:conditionalFormatting xmlns:xm="http://schemas.microsoft.com/office/excel/2006/main">
          <x14:cfRule type="dataBar" id="{038F84BA-70D0-426A-BBF8-2C92F07022FD}">
            <x14:dataBar minLength="0" maxLength="100" border="1" negativeBarBorderColorSameAsPositive="0">
              <x14:cfvo type="autoMin"/>
              <x14:cfvo type="autoMax"/>
              <x14:borderColor rgb="FF63C384"/>
              <x14:negativeFillColor rgb="FFFF0000"/>
              <x14:negativeBorderColor rgb="FFFF0000"/>
              <x14:axisColor rgb="FF000000"/>
            </x14:dataBar>
          </x14:cfRule>
          <xm:sqref>AG51</xm:sqref>
        </x14:conditionalFormatting>
        <x14:conditionalFormatting xmlns:xm="http://schemas.microsoft.com/office/excel/2006/main">
          <x14:cfRule type="dataBar" id="{D5C3976C-AD80-4C67-9A51-014D8A4B81C7}">
            <x14:dataBar minLength="0" maxLength="100" border="1" negativeBarBorderColorSameAsPositive="0">
              <x14:cfvo type="autoMin"/>
              <x14:cfvo type="autoMax"/>
              <x14:borderColor rgb="FF63C384"/>
              <x14:negativeFillColor rgb="FFFF0000"/>
              <x14:negativeBorderColor rgb="FFFF0000"/>
              <x14:axisColor rgb="FF000000"/>
            </x14:dataBar>
          </x14:cfRule>
          <xm:sqref>AG51</xm:sqref>
        </x14:conditionalFormatting>
        <x14:conditionalFormatting xmlns:xm="http://schemas.microsoft.com/office/excel/2006/main">
          <x14:cfRule type="dataBar" id="{5DA55CA7-5017-4E93-9A61-92F50FA4EC91}">
            <x14:dataBar minLength="0" maxLength="100" border="1" negativeBarBorderColorSameAsPositive="0">
              <x14:cfvo type="autoMin"/>
              <x14:cfvo type="autoMax"/>
              <x14:borderColor rgb="FF63C384"/>
              <x14:negativeFillColor rgb="FFFF0000"/>
              <x14:negativeBorderColor rgb="FFFF0000"/>
              <x14:axisColor rgb="FF000000"/>
            </x14:dataBar>
          </x14:cfRule>
          <xm:sqref>AG52</xm:sqref>
        </x14:conditionalFormatting>
        <x14:conditionalFormatting xmlns:xm="http://schemas.microsoft.com/office/excel/2006/main">
          <x14:cfRule type="dataBar" id="{427DB6EF-32AC-4711-B1F8-BBAD22D66D41}">
            <x14:dataBar minLength="0" maxLength="100" border="1" negativeBarBorderColorSameAsPositive="0">
              <x14:cfvo type="autoMin"/>
              <x14:cfvo type="autoMax"/>
              <x14:borderColor rgb="FF63C384"/>
              <x14:negativeFillColor rgb="FFFF0000"/>
              <x14:negativeBorderColor rgb="FFFF0000"/>
              <x14:axisColor rgb="FF000000"/>
            </x14:dataBar>
          </x14:cfRule>
          <xm:sqref>AG52</xm:sqref>
        </x14:conditionalFormatting>
        <x14:conditionalFormatting xmlns:xm="http://schemas.microsoft.com/office/excel/2006/main">
          <x14:cfRule type="dataBar" id="{AA968A88-5A90-44A2-B829-4768CD7672A5}">
            <x14:dataBar minLength="0" maxLength="100" border="1" negativeBarBorderColorSameAsPositive="0">
              <x14:cfvo type="autoMin"/>
              <x14:cfvo type="autoMax"/>
              <x14:borderColor rgb="FF63C384"/>
              <x14:negativeFillColor rgb="FFFF0000"/>
              <x14:negativeBorderColor rgb="FFFF0000"/>
              <x14:axisColor rgb="FF000000"/>
            </x14:dataBar>
          </x14:cfRule>
          <xm:sqref>AG53</xm:sqref>
        </x14:conditionalFormatting>
        <x14:conditionalFormatting xmlns:xm="http://schemas.microsoft.com/office/excel/2006/main">
          <x14:cfRule type="dataBar" id="{4B1BA791-C063-4B9A-AE03-874ADB1F9207}">
            <x14:dataBar minLength="0" maxLength="100" border="1" negativeBarBorderColorSameAsPositive="0">
              <x14:cfvo type="autoMin"/>
              <x14:cfvo type="autoMax"/>
              <x14:borderColor rgb="FF63C384"/>
              <x14:negativeFillColor rgb="FFFF0000"/>
              <x14:negativeBorderColor rgb="FFFF0000"/>
              <x14:axisColor rgb="FF000000"/>
            </x14:dataBar>
          </x14:cfRule>
          <xm:sqref>AG53</xm:sqref>
        </x14:conditionalFormatting>
        <x14:conditionalFormatting xmlns:xm="http://schemas.microsoft.com/office/excel/2006/main">
          <x14:cfRule type="dataBar" id="{1A9C5DC7-44A8-4A38-92B5-FA8B90CCF47E}">
            <x14:dataBar minLength="0" maxLength="100" border="1" negativeBarBorderColorSameAsPositive="0">
              <x14:cfvo type="autoMin"/>
              <x14:cfvo type="autoMax"/>
              <x14:borderColor rgb="FF63C384"/>
              <x14:negativeFillColor rgb="FFFF0000"/>
              <x14:negativeBorderColor rgb="FFFF0000"/>
              <x14:axisColor rgb="FF000000"/>
            </x14:dataBar>
          </x14:cfRule>
          <xm:sqref>AG54</xm:sqref>
        </x14:conditionalFormatting>
        <x14:conditionalFormatting xmlns:xm="http://schemas.microsoft.com/office/excel/2006/main">
          <x14:cfRule type="dataBar" id="{82A43F51-32B8-4F75-A4C5-BD3D7647852D}">
            <x14:dataBar minLength="0" maxLength="100" border="1" negativeBarBorderColorSameAsPositive="0">
              <x14:cfvo type="autoMin"/>
              <x14:cfvo type="autoMax"/>
              <x14:borderColor rgb="FF63C384"/>
              <x14:negativeFillColor rgb="FFFF0000"/>
              <x14:negativeBorderColor rgb="FFFF0000"/>
              <x14:axisColor rgb="FF000000"/>
            </x14:dataBar>
          </x14:cfRule>
          <xm:sqref>AG54</xm:sqref>
        </x14:conditionalFormatting>
        <x14:conditionalFormatting xmlns:xm="http://schemas.microsoft.com/office/excel/2006/main">
          <x14:cfRule type="dataBar" id="{F7810A00-8B2C-469B-9596-075AE1E85ECD}">
            <x14:dataBar minLength="0" maxLength="100" border="1" negativeBarBorderColorSameAsPositive="0">
              <x14:cfvo type="autoMin"/>
              <x14:cfvo type="autoMax"/>
              <x14:borderColor rgb="FF63C384"/>
              <x14:negativeFillColor rgb="FFFF0000"/>
              <x14:negativeBorderColor rgb="FFFF0000"/>
              <x14:axisColor rgb="FF000000"/>
            </x14:dataBar>
          </x14:cfRule>
          <xm:sqref>AG55</xm:sqref>
        </x14:conditionalFormatting>
        <x14:conditionalFormatting xmlns:xm="http://schemas.microsoft.com/office/excel/2006/main">
          <x14:cfRule type="dataBar" id="{34054CA9-490E-4700-8F5A-40F9AA0F760A}">
            <x14:dataBar minLength="0" maxLength="100" border="1" negativeBarBorderColorSameAsPositive="0">
              <x14:cfvo type="autoMin"/>
              <x14:cfvo type="autoMax"/>
              <x14:borderColor rgb="FF63C384"/>
              <x14:negativeFillColor rgb="FFFF0000"/>
              <x14:negativeBorderColor rgb="FFFF0000"/>
              <x14:axisColor rgb="FF000000"/>
            </x14:dataBar>
          </x14:cfRule>
          <xm:sqref>AG55</xm:sqref>
        </x14:conditionalFormatting>
        <x14:conditionalFormatting xmlns:xm="http://schemas.microsoft.com/office/excel/2006/main">
          <x14:cfRule type="dataBar" id="{9AB56B87-F019-45A3-AEDF-058F6B563697}">
            <x14:dataBar minLength="0" maxLength="100" border="1" negativeBarBorderColorSameAsPositive="0">
              <x14:cfvo type="autoMin"/>
              <x14:cfvo type="autoMax"/>
              <x14:borderColor rgb="FF63C384"/>
              <x14:negativeFillColor rgb="FFFF0000"/>
              <x14:negativeBorderColor rgb="FFFF0000"/>
              <x14:axisColor rgb="FF000000"/>
            </x14:dataBar>
          </x14:cfRule>
          <xm:sqref>AG56</xm:sqref>
        </x14:conditionalFormatting>
        <x14:conditionalFormatting xmlns:xm="http://schemas.microsoft.com/office/excel/2006/main">
          <x14:cfRule type="dataBar" id="{643F7D73-4487-4B09-B619-8E4C454FDBAF}">
            <x14:dataBar minLength="0" maxLength="100" border="1" negativeBarBorderColorSameAsPositive="0">
              <x14:cfvo type="autoMin"/>
              <x14:cfvo type="autoMax"/>
              <x14:borderColor rgb="FF63C384"/>
              <x14:negativeFillColor rgb="FFFF0000"/>
              <x14:negativeBorderColor rgb="FFFF0000"/>
              <x14:axisColor rgb="FF000000"/>
            </x14:dataBar>
          </x14:cfRule>
          <xm:sqref>AG56</xm:sqref>
        </x14:conditionalFormatting>
        <x14:conditionalFormatting xmlns:xm="http://schemas.microsoft.com/office/excel/2006/main">
          <x14:cfRule type="dataBar" id="{0AD4950B-BB55-4375-96DE-1F5CDF872D54}">
            <x14:dataBar minLength="0" maxLength="100" border="1" negativeBarBorderColorSameAsPositive="0">
              <x14:cfvo type="autoMin"/>
              <x14:cfvo type="autoMax"/>
              <x14:borderColor rgb="FF63C384"/>
              <x14:negativeFillColor rgb="FFFF0000"/>
              <x14:negativeBorderColor rgb="FFFF0000"/>
              <x14:axisColor rgb="FF000000"/>
            </x14:dataBar>
          </x14:cfRule>
          <xm:sqref>AG56</xm:sqref>
        </x14:conditionalFormatting>
        <x14:conditionalFormatting xmlns:xm="http://schemas.microsoft.com/office/excel/2006/main">
          <x14:cfRule type="dataBar" id="{48AE5D84-0816-4993-9BBC-D70E93EAD5FE}">
            <x14:dataBar minLength="0" maxLength="100" border="1" negativeBarBorderColorSameAsPositive="0">
              <x14:cfvo type="autoMin"/>
              <x14:cfvo type="autoMax"/>
              <x14:borderColor rgb="FF63C384"/>
              <x14:negativeFillColor rgb="FFFF0000"/>
              <x14:negativeBorderColor rgb="FFFF0000"/>
              <x14:axisColor rgb="FF000000"/>
            </x14:dataBar>
          </x14:cfRule>
          <xm:sqref>AG56</xm:sqref>
        </x14:conditionalFormatting>
        <x14:conditionalFormatting xmlns:xm="http://schemas.microsoft.com/office/excel/2006/main">
          <x14:cfRule type="dataBar" id="{9701C793-E32B-4756-A20B-4CCE3E3EB7F0}">
            <x14:dataBar minLength="0" maxLength="100" border="1" negativeBarBorderColorSameAsPositive="0">
              <x14:cfvo type="autoMin"/>
              <x14:cfvo type="autoMax"/>
              <x14:borderColor rgb="FF63C384"/>
              <x14:negativeFillColor rgb="FFFF0000"/>
              <x14:negativeBorderColor rgb="FFFF0000"/>
              <x14:axisColor rgb="FF000000"/>
            </x14:dataBar>
          </x14:cfRule>
          <xm:sqref>AG57</xm:sqref>
        </x14:conditionalFormatting>
        <x14:conditionalFormatting xmlns:xm="http://schemas.microsoft.com/office/excel/2006/main">
          <x14:cfRule type="dataBar" id="{A0CDF85A-C32B-4FFC-9953-1B3CB8AC046C}">
            <x14:dataBar minLength="0" maxLength="100" border="1" negativeBarBorderColorSameAsPositive="0">
              <x14:cfvo type="autoMin"/>
              <x14:cfvo type="autoMax"/>
              <x14:borderColor rgb="FF63C384"/>
              <x14:negativeFillColor rgb="FFFF0000"/>
              <x14:negativeBorderColor rgb="FFFF0000"/>
              <x14:axisColor rgb="FF000000"/>
            </x14:dataBar>
          </x14:cfRule>
          <xm:sqref>AG57</xm:sqref>
        </x14:conditionalFormatting>
        <x14:conditionalFormatting xmlns:xm="http://schemas.microsoft.com/office/excel/2006/main">
          <x14:cfRule type="dataBar" id="{A9C95767-3C43-4940-B092-2F2875238BD2}">
            <x14:dataBar minLength="0" maxLength="100" border="1" negativeBarBorderColorSameAsPositive="0">
              <x14:cfvo type="autoMin"/>
              <x14:cfvo type="autoMax"/>
              <x14:borderColor rgb="FF63C384"/>
              <x14:negativeFillColor rgb="FFFF0000"/>
              <x14:negativeBorderColor rgb="FFFF0000"/>
              <x14:axisColor rgb="FF000000"/>
            </x14:dataBar>
          </x14:cfRule>
          <xm:sqref>AG58</xm:sqref>
        </x14:conditionalFormatting>
        <x14:conditionalFormatting xmlns:xm="http://schemas.microsoft.com/office/excel/2006/main">
          <x14:cfRule type="dataBar" id="{93F92281-965A-43BC-AC8C-2A20E1C41092}">
            <x14:dataBar minLength="0" maxLength="100" border="1" negativeBarBorderColorSameAsPositive="0">
              <x14:cfvo type="autoMin"/>
              <x14:cfvo type="autoMax"/>
              <x14:borderColor rgb="FF63C384"/>
              <x14:negativeFillColor rgb="FFFF0000"/>
              <x14:negativeBorderColor rgb="FFFF0000"/>
              <x14:axisColor rgb="FF000000"/>
            </x14:dataBar>
          </x14:cfRule>
          <xm:sqref>AG58</xm:sqref>
        </x14:conditionalFormatting>
        <x14:conditionalFormatting xmlns:xm="http://schemas.microsoft.com/office/excel/2006/main">
          <x14:cfRule type="dataBar" id="{4D4224E7-D172-43F0-8D8F-D1376E07A4BF}">
            <x14:dataBar minLength="0" maxLength="100" border="1" negativeBarBorderColorSameAsPositive="0">
              <x14:cfvo type="autoMin"/>
              <x14:cfvo type="autoMax"/>
              <x14:borderColor rgb="FF63C384"/>
              <x14:negativeFillColor rgb="FFFF0000"/>
              <x14:negativeBorderColor rgb="FFFF0000"/>
              <x14:axisColor rgb="FF000000"/>
            </x14:dataBar>
          </x14:cfRule>
          <xm:sqref>AG58</xm:sqref>
        </x14:conditionalFormatting>
        <x14:conditionalFormatting xmlns:xm="http://schemas.microsoft.com/office/excel/2006/main">
          <x14:cfRule type="dataBar" id="{66E73542-31B7-4A97-B991-D3FB546A62DF}">
            <x14:dataBar minLength="0" maxLength="100" border="1" negativeBarBorderColorSameAsPositive="0">
              <x14:cfvo type="autoMin"/>
              <x14:cfvo type="autoMax"/>
              <x14:borderColor rgb="FF63C384"/>
              <x14:negativeFillColor rgb="FFFF0000"/>
              <x14:negativeBorderColor rgb="FFFF0000"/>
              <x14:axisColor rgb="FF000000"/>
            </x14:dataBar>
          </x14:cfRule>
          <xm:sqref>AG58</xm:sqref>
        </x14:conditionalFormatting>
        <x14:conditionalFormatting xmlns:xm="http://schemas.microsoft.com/office/excel/2006/main">
          <x14:cfRule type="dataBar" id="{8D86F1F5-042E-4263-B66C-169C5974EF8D}">
            <x14:dataBar minLength="0" maxLength="100" border="1" negativeBarBorderColorSameAsPositive="0">
              <x14:cfvo type="autoMin"/>
              <x14:cfvo type="autoMax"/>
              <x14:borderColor rgb="FF63C384"/>
              <x14:negativeFillColor rgb="FFFF0000"/>
              <x14:negativeBorderColor rgb="FFFF0000"/>
              <x14:axisColor rgb="FF000000"/>
            </x14:dataBar>
          </x14:cfRule>
          <xm:sqref>AG58</xm:sqref>
        </x14:conditionalFormatting>
        <x14:conditionalFormatting xmlns:xm="http://schemas.microsoft.com/office/excel/2006/main">
          <x14:cfRule type="dataBar" id="{4150F6B0-8E1A-42F2-A84E-0B54159995EF}">
            <x14:dataBar minLength="0" maxLength="100" border="1" negativeBarBorderColorSameAsPositive="0">
              <x14:cfvo type="autoMin"/>
              <x14:cfvo type="autoMax"/>
              <x14:borderColor rgb="FF63C384"/>
              <x14:negativeFillColor rgb="FFFF0000"/>
              <x14:negativeBorderColor rgb="FFFF0000"/>
              <x14:axisColor rgb="FF000000"/>
            </x14:dataBar>
          </x14:cfRule>
          <xm:sqref>AG58</xm:sqref>
        </x14:conditionalFormatting>
        <x14:conditionalFormatting xmlns:xm="http://schemas.microsoft.com/office/excel/2006/main">
          <x14:cfRule type="dataBar" id="{C7891B05-D8CD-4714-9EC2-C15256CE79D0}">
            <x14:dataBar minLength="0" maxLength="100" border="1" negativeBarBorderColorSameAsPositive="0">
              <x14:cfvo type="autoMin"/>
              <x14:cfvo type="autoMax"/>
              <x14:borderColor rgb="FF63C384"/>
              <x14:negativeFillColor rgb="FFFF0000"/>
              <x14:negativeBorderColor rgb="FFFF0000"/>
              <x14:axisColor rgb="FF000000"/>
            </x14:dataBar>
          </x14:cfRule>
          <xm:sqref>AG58</xm:sqref>
        </x14:conditionalFormatting>
        <x14:conditionalFormatting xmlns:xm="http://schemas.microsoft.com/office/excel/2006/main">
          <x14:cfRule type="dataBar" id="{97B3E31F-1535-4F9F-A36A-12E1B5604EE6}">
            <x14:dataBar minLength="0" maxLength="100" border="1" negativeBarBorderColorSameAsPositive="0">
              <x14:cfvo type="autoMin"/>
              <x14:cfvo type="autoMax"/>
              <x14:borderColor rgb="FF63C384"/>
              <x14:negativeFillColor rgb="FFFF0000"/>
              <x14:negativeBorderColor rgb="FFFF0000"/>
              <x14:axisColor rgb="FF000000"/>
            </x14:dataBar>
          </x14:cfRule>
          <xm:sqref>AG58</xm:sqref>
        </x14:conditionalFormatting>
        <x14:conditionalFormatting xmlns:xm="http://schemas.microsoft.com/office/excel/2006/main">
          <x14:cfRule type="dataBar" id="{BDFB12A7-2ADD-4DFB-832D-86DA76741930}">
            <x14:dataBar minLength="0" maxLength="100" border="1" negativeBarBorderColorSameAsPositive="0">
              <x14:cfvo type="autoMin"/>
              <x14:cfvo type="autoMax"/>
              <x14:borderColor rgb="FF63C384"/>
              <x14:negativeFillColor rgb="FFFF0000"/>
              <x14:negativeBorderColor rgb="FFFF0000"/>
              <x14:axisColor rgb="FF000000"/>
            </x14:dataBar>
          </x14:cfRule>
          <xm:sqref>AG59</xm:sqref>
        </x14:conditionalFormatting>
        <x14:conditionalFormatting xmlns:xm="http://schemas.microsoft.com/office/excel/2006/main">
          <x14:cfRule type="dataBar" id="{DFB5828F-6AC7-4482-BE2A-0670A77571D4}">
            <x14:dataBar minLength="0" maxLength="100" border="1" negativeBarBorderColorSameAsPositive="0">
              <x14:cfvo type="autoMin"/>
              <x14:cfvo type="autoMax"/>
              <x14:borderColor rgb="FF63C384"/>
              <x14:negativeFillColor rgb="FFFF0000"/>
              <x14:negativeBorderColor rgb="FFFF0000"/>
              <x14:axisColor rgb="FF000000"/>
            </x14:dataBar>
          </x14:cfRule>
          <xm:sqref>AG59</xm:sqref>
        </x14:conditionalFormatting>
        <x14:conditionalFormatting xmlns:xm="http://schemas.microsoft.com/office/excel/2006/main">
          <x14:cfRule type="dataBar" id="{3B08FBEE-7139-40E8-AB43-DA2FAC563158}">
            <x14:dataBar minLength="0" maxLength="100" border="1" negativeBarBorderColorSameAsPositive="0">
              <x14:cfvo type="autoMin"/>
              <x14:cfvo type="autoMax"/>
              <x14:borderColor rgb="FF63C384"/>
              <x14:negativeFillColor rgb="FFFF0000"/>
              <x14:negativeBorderColor rgb="FFFF0000"/>
              <x14:axisColor rgb="FF000000"/>
            </x14:dataBar>
          </x14:cfRule>
          <xm:sqref>AG59</xm:sqref>
        </x14:conditionalFormatting>
        <x14:conditionalFormatting xmlns:xm="http://schemas.microsoft.com/office/excel/2006/main">
          <x14:cfRule type="dataBar" id="{C4C9293F-27E4-4B2E-812A-A9E186505894}">
            <x14:dataBar minLength="0" maxLength="100" border="1" negativeBarBorderColorSameAsPositive="0">
              <x14:cfvo type="autoMin"/>
              <x14:cfvo type="autoMax"/>
              <x14:borderColor rgb="FF63C384"/>
              <x14:negativeFillColor rgb="FFFF0000"/>
              <x14:negativeBorderColor rgb="FFFF0000"/>
              <x14:axisColor rgb="FF000000"/>
            </x14:dataBar>
          </x14:cfRule>
          <xm:sqref>AG59</xm:sqref>
        </x14:conditionalFormatting>
        <x14:conditionalFormatting xmlns:xm="http://schemas.microsoft.com/office/excel/2006/main">
          <x14:cfRule type="dataBar" id="{E297B60A-848C-4EC8-990C-BED4646F620C}">
            <x14:dataBar minLength="0" maxLength="100" border="1" negativeBarBorderColorSameAsPositive="0">
              <x14:cfvo type="autoMin"/>
              <x14:cfvo type="autoMax"/>
              <x14:borderColor rgb="FF63C384"/>
              <x14:negativeFillColor rgb="FFFF0000"/>
              <x14:negativeBorderColor rgb="FFFF0000"/>
              <x14:axisColor rgb="FF000000"/>
            </x14:dataBar>
          </x14:cfRule>
          <xm:sqref>AG59</xm:sqref>
        </x14:conditionalFormatting>
        <x14:conditionalFormatting xmlns:xm="http://schemas.microsoft.com/office/excel/2006/main">
          <x14:cfRule type="dataBar" id="{28A2CB2F-60D0-4CFD-9F2D-E591FF5B1B2B}">
            <x14:dataBar minLength="0" maxLength="100" border="1" negativeBarBorderColorSameAsPositive="0">
              <x14:cfvo type="autoMin"/>
              <x14:cfvo type="autoMax"/>
              <x14:borderColor rgb="FF63C384"/>
              <x14:negativeFillColor rgb="FFFF0000"/>
              <x14:negativeBorderColor rgb="FFFF0000"/>
              <x14:axisColor rgb="FF000000"/>
            </x14:dataBar>
          </x14:cfRule>
          <xm:sqref>AG59</xm:sqref>
        </x14:conditionalFormatting>
        <x14:conditionalFormatting xmlns:xm="http://schemas.microsoft.com/office/excel/2006/main">
          <x14:cfRule type="dataBar" id="{0EC447F3-D7D6-48F9-9C9F-DF400AADDE9E}">
            <x14:dataBar minLength="0" maxLength="100" border="1" negativeBarBorderColorSameAsPositive="0">
              <x14:cfvo type="autoMin"/>
              <x14:cfvo type="autoMax"/>
              <x14:borderColor rgb="FF63C384"/>
              <x14:negativeFillColor rgb="FFFF0000"/>
              <x14:negativeBorderColor rgb="FFFF0000"/>
              <x14:axisColor rgb="FF000000"/>
            </x14:dataBar>
          </x14:cfRule>
          <xm:sqref>AG59</xm:sqref>
        </x14:conditionalFormatting>
        <x14:conditionalFormatting xmlns:xm="http://schemas.microsoft.com/office/excel/2006/main">
          <x14:cfRule type="dataBar" id="{395B861C-EBAC-42AD-90CF-FDD400FDC841}">
            <x14:dataBar minLength="0" maxLength="100" border="1" negativeBarBorderColorSameAsPositive="0">
              <x14:cfvo type="autoMin"/>
              <x14:cfvo type="autoMax"/>
              <x14:borderColor rgb="FF63C384"/>
              <x14:negativeFillColor rgb="FFFF0000"/>
              <x14:negativeBorderColor rgb="FFFF0000"/>
              <x14:axisColor rgb="FF000000"/>
            </x14:dataBar>
          </x14:cfRule>
          <xm:sqref>AG59</xm:sqref>
        </x14:conditionalFormatting>
        <x14:conditionalFormatting xmlns:xm="http://schemas.microsoft.com/office/excel/2006/main">
          <x14:cfRule type="dataBar" id="{FF3B16D3-AFF9-4CA3-94ED-1FC6B7C95425}">
            <x14:dataBar minLength="0" maxLength="100" border="1" negativeBarBorderColorSameAsPositive="0">
              <x14:cfvo type="autoMin"/>
              <x14:cfvo type="autoMax"/>
              <x14:borderColor rgb="FF63C384"/>
              <x14:negativeFillColor rgb="FFFF0000"/>
              <x14:negativeBorderColor rgb="FFFF0000"/>
              <x14:axisColor rgb="FF000000"/>
            </x14:dataBar>
          </x14:cfRule>
          <xm:sqref>AG60</xm:sqref>
        </x14:conditionalFormatting>
        <x14:conditionalFormatting xmlns:xm="http://schemas.microsoft.com/office/excel/2006/main">
          <x14:cfRule type="dataBar" id="{8CAE485F-BCFB-4146-9292-4F3D807A8B9C}">
            <x14:dataBar minLength="0" maxLength="100" border="1" negativeBarBorderColorSameAsPositive="0">
              <x14:cfvo type="autoMin"/>
              <x14:cfvo type="autoMax"/>
              <x14:borderColor rgb="FF63C384"/>
              <x14:negativeFillColor rgb="FFFF0000"/>
              <x14:negativeBorderColor rgb="FFFF0000"/>
              <x14:axisColor rgb="FF000000"/>
            </x14:dataBar>
          </x14:cfRule>
          <xm:sqref>AG60</xm:sqref>
        </x14:conditionalFormatting>
        <x14:conditionalFormatting xmlns:xm="http://schemas.microsoft.com/office/excel/2006/main">
          <x14:cfRule type="dataBar" id="{D742E38A-9AA5-4F8E-BB9D-9C92C73D7ECC}">
            <x14:dataBar minLength="0" maxLength="100" border="1" negativeBarBorderColorSameAsPositive="0">
              <x14:cfvo type="autoMin"/>
              <x14:cfvo type="autoMax"/>
              <x14:borderColor rgb="FF63C384"/>
              <x14:negativeFillColor rgb="FFFF0000"/>
              <x14:negativeBorderColor rgb="FFFF0000"/>
              <x14:axisColor rgb="FF000000"/>
            </x14:dataBar>
          </x14:cfRule>
          <xm:sqref>AG60</xm:sqref>
        </x14:conditionalFormatting>
        <x14:conditionalFormatting xmlns:xm="http://schemas.microsoft.com/office/excel/2006/main">
          <x14:cfRule type="dataBar" id="{72FBB596-293E-44A1-AFE6-FA57DE958A1C}">
            <x14:dataBar minLength="0" maxLength="100" border="1" negativeBarBorderColorSameAsPositive="0">
              <x14:cfvo type="autoMin"/>
              <x14:cfvo type="autoMax"/>
              <x14:borderColor rgb="FF63C384"/>
              <x14:negativeFillColor rgb="FFFF0000"/>
              <x14:negativeBorderColor rgb="FFFF0000"/>
              <x14:axisColor rgb="FF000000"/>
            </x14:dataBar>
          </x14:cfRule>
          <xm:sqref>AG61</xm:sqref>
        </x14:conditionalFormatting>
        <x14:conditionalFormatting xmlns:xm="http://schemas.microsoft.com/office/excel/2006/main">
          <x14:cfRule type="dataBar" id="{EC0B801F-209B-4F6A-B641-30CBBEB0C04B}">
            <x14:dataBar minLength="0" maxLength="100" border="1" negativeBarBorderColorSameAsPositive="0">
              <x14:cfvo type="autoMin"/>
              <x14:cfvo type="autoMax"/>
              <x14:borderColor rgb="FF63C384"/>
              <x14:negativeFillColor rgb="FFFF0000"/>
              <x14:negativeBorderColor rgb="FFFF0000"/>
              <x14:axisColor rgb="FF000000"/>
            </x14:dataBar>
          </x14:cfRule>
          <xm:sqref>AG61</xm:sqref>
        </x14:conditionalFormatting>
        <x14:conditionalFormatting xmlns:xm="http://schemas.microsoft.com/office/excel/2006/main">
          <x14:cfRule type="dataBar" id="{7B22465A-D05D-4367-9B92-CD431DDCC264}">
            <x14:dataBar minLength="0" maxLength="100" border="1" negativeBarBorderColorSameAsPositive="0">
              <x14:cfvo type="autoMin"/>
              <x14:cfvo type="autoMax"/>
              <x14:borderColor rgb="FF63C384"/>
              <x14:negativeFillColor rgb="FFFF0000"/>
              <x14:negativeBorderColor rgb="FFFF0000"/>
              <x14:axisColor rgb="FF000000"/>
            </x14:dataBar>
          </x14:cfRule>
          <xm:sqref>AG61</xm:sqref>
        </x14:conditionalFormatting>
        <x14:conditionalFormatting xmlns:xm="http://schemas.microsoft.com/office/excel/2006/main">
          <x14:cfRule type="dataBar" id="{A60026E1-2B88-4DD2-A509-60B067F45225}">
            <x14:dataBar minLength="0" maxLength="100" border="1" negativeBarBorderColorSameAsPositive="0">
              <x14:cfvo type="autoMin"/>
              <x14:cfvo type="autoMax"/>
              <x14:borderColor rgb="FF63C384"/>
              <x14:negativeFillColor rgb="FFFF0000"/>
              <x14:negativeBorderColor rgb="FFFF0000"/>
              <x14:axisColor rgb="FF000000"/>
            </x14:dataBar>
          </x14:cfRule>
          <xm:sqref>AG62</xm:sqref>
        </x14:conditionalFormatting>
        <x14:conditionalFormatting xmlns:xm="http://schemas.microsoft.com/office/excel/2006/main">
          <x14:cfRule type="dataBar" id="{875CF0F9-7945-4DA3-9A52-53A76A331F15}">
            <x14:dataBar minLength="0" maxLength="100" border="1" negativeBarBorderColorSameAsPositive="0">
              <x14:cfvo type="autoMin"/>
              <x14:cfvo type="autoMax"/>
              <x14:borderColor rgb="FF63C384"/>
              <x14:negativeFillColor rgb="FFFF0000"/>
              <x14:negativeBorderColor rgb="FFFF0000"/>
              <x14:axisColor rgb="FF000000"/>
            </x14:dataBar>
          </x14:cfRule>
          <xm:sqref>AG62</xm:sqref>
        </x14:conditionalFormatting>
        <x14:conditionalFormatting xmlns:xm="http://schemas.microsoft.com/office/excel/2006/main">
          <x14:cfRule type="dataBar" id="{9359E25F-9C45-4069-91EF-8E8E909EB1F9}">
            <x14:dataBar minLength="0" maxLength="100" border="1" negativeBarBorderColorSameAsPositive="0">
              <x14:cfvo type="autoMin"/>
              <x14:cfvo type="autoMax"/>
              <x14:borderColor rgb="FF63C384"/>
              <x14:negativeFillColor rgb="FFFF0000"/>
              <x14:negativeBorderColor rgb="FFFF0000"/>
              <x14:axisColor rgb="FF000000"/>
            </x14:dataBar>
          </x14:cfRule>
          <xm:sqref>AG63</xm:sqref>
        </x14:conditionalFormatting>
        <x14:conditionalFormatting xmlns:xm="http://schemas.microsoft.com/office/excel/2006/main">
          <x14:cfRule type="dataBar" id="{1D6E0451-39B0-47E3-B562-2A94505E721D}">
            <x14:dataBar minLength="0" maxLength="100" border="1" negativeBarBorderColorSameAsPositive="0">
              <x14:cfvo type="autoMin"/>
              <x14:cfvo type="autoMax"/>
              <x14:borderColor rgb="FF63C384"/>
              <x14:negativeFillColor rgb="FFFF0000"/>
              <x14:negativeBorderColor rgb="FFFF0000"/>
              <x14:axisColor rgb="FF000000"/>
            </x14:dataBar>
          </x14:cfRule>
          <xm:sqref>AG63</xm:sqref>
        </x14:conditionalFormatting>
        <x14:conditionalFormatting xmlns:xm="http://schemas.microsoft.com/office/excel/2006/main">
          <x14:cfRule type="dataBar" id="{F1144899-BB22-446A-9FBA-6B4F58A42F22}">
            <x14:dataBar minLength="0" maxLength="100" border="1" negativeBarBorderColorSameAsPositive="0">
              <x14:cfvo type="autoMin"/>
              <x14:cfvo type="autoMax"/>
              <x14:borderColor rgb="FF63C384"/>
              <x14:negativeFillColor rgb="FFFF0000"/>
              <x14:negativeBorderColor rgb="FFFF0000"/>
              <x14:axisColor rgb="FF000000"/>
            </x14:dataBar>
          </x14:cfRule>
          <xm:sqref>AG64</xm:sqref>
        </x14:conditionalFormatting>
        <x14:conditionalFormatting xmlns:xm="http://schemas.microsoft.com/office/excel/2006/main">
          <x14:cfRule type="dataBar" id="{BF71E162-5602-4A66-9EE9-5956DE385B39}">
            <x14:dataBar minLength="0" maxLength="100" border="1" negativeBarBorderColorSameAsPositive="0">
              <x14:cfvo type="autoMin"/>
              <x14:cfvo type="autoMax"/>
              <x14:borderColor rgb="FF63C384"/>
              <x14:negativeFillColor rgb="FFFF0000"/>
              <x14:negativeBorderColor rgb="FFFF0000"/>
              <x14:axisColor rgb="FF000000"/>
            </x14:dataBar>
          </x14:cfRule>
          <xm:sqref>AG64</xm:sqref>
        </x14:conditionalFormatting>
        <x14:conditionalFormatting xmlns:xm="http://schemas.microsoft.com/office/excel/2006/main">
          <x14:cfRule type="dataBar" id="{72B98565-6533-47A3-A774-AA417109FE85}">
            <x14:dataBar minLength="0" maxLength="100" border="1" negativeBarBorderColorSameAsPositive="0">
              <x14:cfvo type="autoMin"/>
              <x14:cfvo type="autoMax"/>
              <x14:borderColor rgb="FF63C384"/>
              <x14:negativeFillColor rgb="FFFF0000"/>
              <x14:negativeBorderColor rgb="FFFF0000"/>
              <x14:axisColor rgb="FF000000"/>
            </x14:dataBar>
          </x14:cfRule>
          <xm:sqref>AG46</xm:sqref>
        </x14:conditionalFormatting>
        <x14:conditionalFormatting xmlns:xm="http://schemas.microsoft.com/office/excel/2006/main">
          <x14:cfRule type="dataBar" id="{4A026AD8-57A7-4A01-B786-970789777683}">
            <x14:dataBar minLength="0" maxLength="100" border="1" negativeBarBorderColorSameAsPositive="0">
              <x14:cfvo type="autoMin"/>
              <x14:cfvo type="autoMax"/>
              <x14:borderColor rgb="FF63C384"/>
              <x14:negativeFillColor rgb="FFFF0000"/>
              <x14:negativeBorderColor rgb="FFFF0000"/>
              <x14:axisColor rgb="FF000000"/>
            </x14:dataBar>
          </x14:cfRule>
          <xm:sqref>AG46</xm:sqref>
        </x14:conditionalFormatting>
        <x14:conditionalFormatting xmlns:xm="http://schemas.microsoft.com/office/excel/2006/main">
          <x14:cfRule type="dataBar" id="{97E1E77C-0080-4E4A-BECB-71CDBAFA9B7C}">
            <x14:dataBar minLength="0" maxLength="100" border="1" negativeBarBorderColorSameAsPositive="0">
              <x14:cfvo type="autoMin"/>
              <x14:cfvo type="autoMax"/>
              <x14:borderColor rgb="FF63C384"/>
              <x14:negativeFillColor rgb="FFFF0000"/>
              <x14:negativeBorderColor rgb="FFFF0000"/>
              <x14:axisColor rgb="FF000000"/>
            </x14:dataBar>
          </x14:cfRule>
          <xm:sqref>AG31</xm:sqref>
        </x14:conditionalFormatting>
        <x14:conditionalFormatting xmlns:xm="http://schemas.microsoft.com/office/excel/2006/main">
          <x14:cfRule type="dataBar" id="{A3F8D9AD-0332-412C-8D3A-80CD929F4D16}">
            <x14:dataBar minLength="0" maxLength="100" border="1" negativeBarBorderColorSameAsPositive="0">
              <x14:cfvo type="autoMin"/>
              <x14:cfvo type="autoMax"/>
              <x14:borderColor rgb="FF63C384"/>
              <x14:negativeFillColor rgb="FFFF0000"/>
              <x14:negativeBorderColor rgb="FFFF0000"/>
              <x14:axisColor rgb="FF000000"/>
            </x14:dataBar>
          </x14:cfRule>
          <xm:sqref>AG31</xm:sqref>
        </x14:conditionalFormatting>
        <x14:conditionalFormatting xmlns:xm="http://schemas.microsoft.com/office/excel/2006/main">
          <x14:cfRule type="dataBar" id="{36B8D1F8-9759-478C-8956-2666A7DAB9A1}">
            <x14:dataBar minLength="0" maxLength="100" border="1" negativeBarBorderColorSameAsPositive="0">
              <x14:cfvo type="autoMin"/>
              <x14:cfvo type="autoMax"/>
              <x14:borderColor rgb="FF63C384"/>
              <x14:negativeFillColor rgb="FFFF0000"/>
              <x14:negativeBorderColor rgb="FFFF0000"/>
              <x14:axisColor rgb="FF000000"/>
            </x14:dataBar>
          </x14:cfRule>
          <xm:sqref>AG65</xm:sqref>
        </x14:conditionalFormatting>
        <x14:conditionalFormatting xmlns:xm="http://schemas.microsoft.com/office/excel/2006/main">
          <x14:cfRule type="dataBar" id="{BBA73EBD-21D5-4FDC-B28C-2B298FF40EF6}">
            <x14:dataBar minLength="0" maxLength="100" border="1" negativeBarBorderColorSameAsPositive="0">
              <x14:cfvo type="autoMin"/>
              <x14:cfvo type="autoMax"/>
              <x14:borderColor rgb="FF63C384"/>
              <x14:negativeFillColor rgb="FFFF0000"/>
              <x14:negativeBorderColor rgb="FFFF0000"/>
              <x14:axisColor rgb="FF000000"/>
            </x14:dataBar>
          </x14:cfRule>
          <xm:sqref>AG65</xm:sqref>
        </x14:conditionalFormatting>
        <x14:conditionalFormatting xmlns:xm="http://schemas.microsoft.com/office/excel/2006/main">
          <x14:cfRule type="dataBar" id="{8458E2B5-D280-41B8-A391-6E8C8CCB8B1C}">
            <x14:dataBar minLength="0" maxLength="100" border="1" negativeBarBorderColorSameAsPositive="0">
              <x14:cfvo type="autoMin"/>
              <x14:cfvo type="autoMax"/>
              <x14:borderColor rgb="FF63C384"/>
              <x14:negativeFillColor rgb="FFFF0000"/>
              <x14:negativeBorderColor rgb="FFFF0000"/>
              <x14:axisColor rgb="FF000000"/>
            </x14:dataBar>
          </x14:cfRule>
          <xm:sqref>AG66</xm:sqref>
        </x14:conditionalFormatting>
        <x14:conditionalFormatting xmlns:xm="http://schemas.microsoft.com/office/excel/2006/main">
          <x14:cfRule type="dataBar" id="{A5301650-B9D6-4434-BD64-DB34670BC61D}">
            <x14:dataBar minLength="0" maxLength="100" border="1" negativeBarBorderColorSameAsPositive="0">
              <x14:cfvo type="autoMin"/>
              <x14:cfvo type="autoMax"/>
              <x14:borderColor rgb="FF63C384"/>
              <x14:negativeFillColor rgb="FFFF0000"/>
              <x14:negativeBorderColor rgb="FFFF0000"/>
              <x14:axisColor rgb="FF000000"/>
            </x14:dataBar>
          </x14:cfRule>
          <xm:sqref>AG66</xm:sqref>
        </x14:conditionalFormatting>
        <x14:conditionalFormatting xmlns:xm="http://schemas.microsoft.com/office/excel/2006/main">
          <x14:cfRule type="dataBar" id="{71504A18-1C3B-4621-8721-3833DF70DB95}">
            <x14:dataBar minLength="0" maxLength="100" border="1" negativeBarBorderColorSameAsPositive="0">
              <x14:cfvo type="autoMin"/>
              <x14:cfvo type="autoMax"/>
              <x14:borderColor rgb="FF63C384"/>
              <x14:negativeFillColor rgb="FFFF0000"/>
              <x14:negativeBorderColor rgb="FFFF0000"/>
              <x14:axisColor rgb="FF000000"/>
            </x14:dataBar>
          </x14:cfRule>
          <xm:sqref>AG67</xm:sqref>
        </x14:conditionalFormatting>
        <x14:conditionalFormatting xmlns:xm="http://schemas.microsoft.com/office/excel/2006/main">
          <x14:cfRule type="dataBar" id="{23396F49-5CA4-42B9-8CEA-7CB7E5DC17EA}">
            <x14:dataBar minLength="0" maxLength="100" border="1" negativeBarBorderColorSameAsPositive="0">
              <x14:cfvo type="autoMin"/>
              <x14:cfvo type="autoMax"/>
              <x14:borderColor rgb="FF63C384"/>
              <x14:negativeFillColor rgb="FFFF0000"/>
              <x14:negativeBorderColor rgb="FFFF0000"/>
              <x14:axisColor rgb="FF000000"/>
            </x14:dataBar>
          </x14:cfRule>
          <xm:sqref>AG67</xm:sqref>
        </x14:conditionalFormatting>
        <x14:conditionalFormatting xmlns:xm="http://schemas.microsoft.com/office/excel/2006/main">
          <x14:cfRule type="dataBar" id="{E0F96E9B-83DF-4A07-9DB1-2C92EF84B9C6}">
            <x14:dataBar minLength="0" maxLength="100" border="1" negativeBarBorderColorSameAsPositive="0">
              <x14:cfvo type="autoMin"/>
              <x14:cfvo type="autoMax"/>
              <x14:borderColor rgb="FF63C384"/>
              <x14:negativeFillColor rgb="FFFF0000"/>
              <x14:negativeBorderColor rgb="FFFF0000"/>
              <x14:axisColor rgb="FF000000"/>
            </x14:dataBar>
          </x14:cfRule>
          <xm:sqref>AG68</xm:sqref>
        </x14:conditionalFormatting>
        <x14:conditionalFormatting xmlns:xm="http://schemas.microsoft.com/office/excel/2006/main">
          <x14:cfRule type="dataBar" id="{2DACA120-6EC7-4ECC-A3EC-CB24464448A4}">
            <x14:dataBar minLength="0" maxLength="100" border="1" negativeBarBorderColorSameAsPositive="0">
              <x14:cfvo type="autoMin"/>
              <x14:cfvo type="autoMax"/>
              <x14:borderColor rgb="FF63C384"/>
              <x14:negativeFillColor rgb="FFFF0000"/>
              <x14:negativeBorderColor rgb="FFFF0000"/>
              <x14:axisColor rgb="FF000000"/>
            </x14:dataBar>
          </x14:cfRule>
          <xm:sqref>AG68</xm:sqref>
        </x14:conditionalFormatting>
        <x14:conditionalFormatting xmlns:xm="http://schemas.microsoft.com/office/excel/2006/main">
          <x14:cfRule type="dataBar" id="{6CE12AC6-634C-4C8A-9B64-E6D004876E58}">
            <x14:dataBar minLength="0" maxLength="100" border="1" negativeBarBorderColorSameAsPositive="0">
              <x14:cfvo type="autoMin"/>
              <x14:cfvo type="autoMax"/>
              <x14:borderColor rgb="FF63C384"/>
              <x14:negativeFillColor rgb="FFFF0000"/>
              <x14:negativeBorderColor rgb="FFFF0000"/>
              <x14:axisColor rgb="FF000000"/>
            </x14:dataBar>
          </x14:cfRule>
          <xm:sqref>AG69</xm:sqref>
        </x14:conditionalFormatting>
        <x14:conditionalFormatting xmlns:xm="http://schemas.microsoft.com/office/excel/2006/main">
          <x14:cfRule type="dataBar" id="{74C8AB19-8DBD-42A9-9A40-E393048C8283}">
            <x14:dataBar minLength="0" maxLength="100" border="1" negativeBarBorderColorSameAsPositive="0">
              <x14:cfvo type="autoMin"/>
              <x14:cfvo type="autoMax"/>
              <x14:borderColor rgb="FF63C384"/>
              <x14:negativeFillColor rgb="FFFF0000"/>
              <x14:negativeBorderColor rgb="FFFF0000"/>
              <x14:axisColor rgb="FF000000"/>
            </x14:dataBar>
          </x14:cfRule>
          <xm:sqref>AG70</xm:sqref>
        </x14:conditionalFormatting>
        <x14:conditionalFormatting xmlns:xm="http://schemas.microsoft.com/office/excel/2006/main">
          <x14:cfRule type="dataBar" id="{136F4F26-0EE2-42B5-BEE7-C254EB7E17C9}">
            <x14:dataBar minLength="0" maxLength="100" border="1" negativeBarBorderColorSameAsPositive="0">
              <x14:cfvo type="autoMin"/>
              <x14:cfvo type="autoMax"/>
              <x14:borderColor rgb="FF63C384"/>
              <x14:negativeFillColor rgb="FFFF0000"/>
              <x14:negativeBorderColor rgb="FFFF0000"/>
              <x14:axisColor rgb="FF000000"/>
            </x14:dataBar>
          </x14:cfRule>
          <xm:sqref>AG71</xm:sqref>
        </x14:conditionalFormatting>
        <x14:conditionalFormatting xmlns:xm="http://schemas.microsoft.com/office/excel/2006/main">
          <x14:cfRule type="dataBar" id="{85A9C6CA-474B-4712-8D00-02B1CFC8EA52}">
            <x14:dataBar minLength="0" maxLength="100" border="1" negativeBarBorderColorSameAsPositive="0">
              <x14:cfvo type="autoMin"/>
              <x14:cfvo type="autoMax"/>
              <x14:borderColor rgb="FF63C384"/>
              <x14:negativeFillColor rgb="FFFF0000"/>
              <x14:negativeBorderColor rgb="FFFF0000"/>
              <x14:axisColor rgb="FF000000"/>
            </x14:dataBar>
          </x14:cfRule>
          <xm:sqref>AG71</xm:sqref>
        </x14:conditionalFormatting>
        <x14:conditionalFormatting xmlns:xm="http://schemas.microsoft.com/office/excel/2006/main">
          <x14:cfRule type="dataBar" id="{AD86BD93-ED0F-4F66-A676-B694AE5CB9A6}">
            <x14:dataBar minLength="0" maxLength="100" border="1" negativeBarBorderColorSameAsPositive="0">
              <x14:cfvo type="autoMin"/>
              <x14:cfvo type="autoMax"/>
              <x14:borderColor rgb="FF63C384"/>
              <x14:negativeFillColor rgb="FFFF0000"/>
              <x14:negativeBorderColor rgb="FFFF0000"/>
              <x14:axisColor rgb="FF000000"/>
            </x14:dataBar>
          </x14:cfRule>
          <xm:sqref>AG71</xm:sqref>
        </x14:conditionalFormatting>
        <x14:conditionalFormatting xmlns:xm="http://schemas.microsoft.com/office/excel/2006/main">
          <x14:cfRule type="dataBar" id="{9F69CC96-7965-4DCC-914B-B3683946E769}">
            <x14:dataBar minLength="0" maxLength="100" border="1" negativeBarBorderColorSameAsPositive="0">
              <x14:cfvo type="autoMin"/>
              <x14:cfvo type="autoMax"/>
              <x14:borderColor rgb="FF63C384"/>
              <x14:negativeFillColor rgb="FFFF0000"/>
              <x14:negativeBorderColor rgb="FFFF0000"/>
              <x14:axisColor rgb="FF000000"/>
            </x14:dataBar>
          </x14:cfRule>
          <xm:sqref>AG71</xm:sqref>
        </x14:conditionalFormatting>
        <x14:conditionalFormatting xmlns:xm="http://schemas.microsoft.com/office/excel/2006/main">
          <x14:cfRule type="dataBar" id="{CA7DED38-95D0-497B-8D3B-5F9E1D561510}">
            <x14:dataBar minLength="0" maxLength="100" border="1" negativeBarBorderColorSameAsPositive="0">
              <x14:cfvo type="autoMin"/>
              <x14:cfvo type="autoMax"/>
              <x14:borderColor rgb="FF63C384"/>
              <x14:negativeFillColor rgb="FFFF0000"/>
              <x14:negativeBorderColor rgb="FFFF0000"/>
              <x14:axisColor rgb="FF000000"/>
            </x14:dataBar>
          </x14:cfRule>
          <xm:sqref>AG72</xm:sqref>
        </x14:conditionalFormatting>
        <x14:conditionalFormatting xmlns:xm="http://schemas.microsoft.com/office/excel/2006/main">
          <x14:cfRule type="dataBar" id="{4AA18050-413A-4A3B-B915-BD7524F6B747}">
            <x14:dataBar minLength="0" maxLength="100" border="1" negativeBarBorderColorSameAsPositive="0">
              <x14:cfvo type="autoMin"/>
              <x14:cfvo type="autoMax"/>
              <x14:borderColor rgb="FF63C384"/>
              <x14:negativeFillColor rgb="FFFF0000"/>
              <x14:negativeBorderColor rgb="FFFF0000"/>
              <x14:axisColor rgb="FF000000"/>
            </x14:dataBar>
          </x14:cfRule>
          <xm:sqref>AG72</xm:sqref>
        </x14:conditionalFormatting>
        <x14:conditionalFormatting xmlns:xm="http://schemas.microsoft.com/office/excel/2006/main">
          <x14:cfRule type="dataBar" id="{BB73256B-C41D-472E-BAB2-D0D341A1EBD9}">
            <x14:dataBar minLength="0" maxLength="100" border="1" negativeBarBorderColorSameAsPositive="0">
              <x14:cfvo type="autoMin"/>
              <x14:cfvo type="autoMax"/>
              <x14:borderColor rgb="FF63C384"/>
              <x14:negativeFillColor rgb="FFFF0000"/>
              <x14:negativeBorderColor rgb="FFFF0000"/>
              <x14:axisColor rgb="FF000000"/>
            </x14:dataBar>
          </x14:cfRule>
          <xm:sqref>AG73</xm:sqref>
        </x14:conditionalFormatting>
        <x14:conditionalFormatting xmlns:xm="http://schemas.microsoft.com/office/excel/2006/main">
          <x14:cfRule type="dataBar" id="{C7B67C53-C4D9-44D4-B763-E8EB46C1501A}">
            <x14:dataBar minLength="0" maxLength="100" border="1" negativeBarBorderColorSameAsPositive="0">
              <x14:cfvo type="autoMin"/>
              <x14:cfvo type="autoMax"/>
              <x14:borderColor rgb="FF63C384"/>
              <x14:negativeFillColor rgb="FFFF0000"/>
              <x14:negativeBorderColor rgb="FFFF0000"/>
              <x14:axisColor rgb="FF000000"/>
            </x14:dataBar>
          </x14:cfRule>
          <xm:sqref>AG73</xm:sqref>
        </x14:conditionalFormatting>
        <x14:conditionalFormatting xmlns:xm="http://schemas.microsoft.com/office/excel/2006/main">
          <x14:cfRule type="dataBar" id="{C1D641C1-4957-4995-BBA6-1D472E180110}">
            <x14:dataBar minLength="0" maxLength="100" border="1" negativeBarBorderColorSameAsPositive="0">
              <x14:cfvo type="autoMin"/>
              <x14:cfvo type="autoMax"/>
              <x14:borderColor rgb="FF63C384"/>
              <x14:negativeFillColor rgb="FFFF0000"/>
              <x14:negativeBorderColor rgb="FFFF0000"/>
              <x14:axisColor rgb="FF000000"/>
            </x14:dataBar>
          </x14:cfRule>
          <xm:sqref>AG74</xm:sqref>
        </x14:conditionalFormatting>
        <x14:conditionalFormatting xmlns:xm="http://schemas.microsoft.com/office/excel/2006/main">
          <x14:cfRule type="dataBar" id="{94E2BE13-D3C5-4335-B2C4-1A801E5044D4}">
            <x14:dataBar minLength="0" maxLength="100" border="1" negativeBarBorderColorSameAsPositive="0">
              <x14:cfvo type="autoMin"/>
              <x14:cfvo type="autoMax"/>
              <x14:borderColor rgb="FF63C384"/>
              <x14:negativeFillColor rgb="FFFF0000"/>
              <x14:negativeBorderColor rgb="FFFF0000"/>
              <x14:axisColor rgb="FF000000"/>
            </x14:dataBar>
          </x14:cfRule>
          <xm:sqref>AG74</xm:sqref>
        </x14:conditionalFormatting>
        <x14:conditionalFormatting xmlns:xm="http://schemas.microsoft.com/office/excel/2006/main">
          <x14:cfRule type="dataBar" id="{0AB11A94-9907-49FD-9361-4061DE1A07E5}">
            <x14:dataBar minLength="0" maxLength="100" border="1" negativeBarBorderColorSameAsPositive="0">
              <x14:cfvo type="autoMin"/>
              <x14:cfvo type="autoMax"/>
              <x14:borderColor rgb="FF63C384"/>
              <x14:negativeFillColor rgb="FFFF0000"/>
              <x14:negativeBorderColor rgb="FFFF0000"/>
              <x14:axisColor rgb="FF000000"/>
            </x14:dataBar>
          </x14:cfRule>
          <xm:sqref>AG74</xm:sqref>
        </x14:conditionalFormatting>
        <x14:conditionalFormatting xmlns:xm="http://schemas.microsoft.com/office/excel/2006/main">
          <x14:cfRule type="dataBar" id="{3423CCDA-459C-42DB-96A1-121991C24BF0}">
            <x14:dataBar minLength="0" maxLength="100" border="1" negativeBarBorderColorSameAsPositive="0">
              <x14:cfvo type="autoMin"/>
              <x14:cfvo type="autoMax"/>
              <x14:borderColor rgb="FF63C384"/>
              <x14:negativeFillColor rgb="FFFF0000"/>
              <x14:negativeBorderColor rgb="FFFF0000"/>
              <x14:axisColor rgb="FF000000"/>
            </x14:dataBar>
          </x14:cfRule>
          <xm:sqref>AG74</xm:sqref>
        </x14:conditionalFormatting>
        <x14:conditionalFormatting xmlns:xm="http://schemas.microsoft.com/office/excel/2006/main">
          <x14:cfRule type="dataBar" id="{E86EBDAE-31DD-4313-8292-AF517389AAB9}">
            <x14:dataBar minLength="0" maxLength="100" border="1" negativeBarBorderColorSameAsPositive="0">
              <x14:cfvo type="autoMin"/>
              <x14:cfvo type="autoMax"/>
              <x14:borderColor rgb="FF63C384"/>
              <x14:negativeFillColor rgb="FFFF0000"/>
              <x14:negativeBorderColor rgb="FFFF0000"/>
              <x14:axisColor rgb="FF000000"/>
            </x14:dataBar>
          </x14:cfRule>
          <xm:sqref>AG74</xm:sqref>
        </x14:conditionalFormatting>
        <x14:conditionalFormatting xmlns:xm="http://schemas.microsoft.com/office/excel/2006/main">
          <x14:cfRule type="dataBar" id="{1565C585-2372-4B99-9D75-8A55A54C7902}">
            <x14:dataBar minLength="0" maxLength="100" border="1" negativeBarBorderColorSameAsPositive="0">
              <x14:cfvo type="autoMin"/>
              <x14:cfvo type="autoMax"/>
              <x14:borderColor rgb="FF63C384"/>
              <x14:negativeFillColor rgb="FFFF0000"/>
              <x14:negativeBorderColor rgb="FFFF0000"/>
              <x14:axisColor rgb="FF000000"/>
            </x14:dataBar>
          </x14:cfRule>
          <xm:sqref>AG74</xm:sqref>
        </x14:conditionalFormatting>
        <x14:conditionalFormatting xmlns:xm="http://schemas.microsoft.com/office/excel/2006/main">
          <x14:cfRule type="dataBar" id="{675BFB9F-1A4B-44CB-8B76-2FA3450912F2}">
            <x14:dataBar minLength="0" maxLength="100" border="1" negativeBarBorderColorSameAsPositive="0">
              <x14:cfvo type="autoMin"/>
              <x14:cfvo type="autoMax"/>
              <x14:borderColor rgb="FF63C384"/>
              <x14:negativeFillColor rgb="FFFF0000"/>
              <x14:negativeBorderColor rgb="FFFF0000"/>
              <x14:axisColor rgb="FF000000"/>
            </x14:dataBar>
          </x14:cfRule>
          <xm:sqref>AG74</xm:sqref>
        </x14:conditionalFormatting>
        <x14:conditionalFormatting xmlns:xm="http://schemas.microsoft.com/office/excel/2006/main">
          <x14:cfRule type="dataBar" id="{6BC3B4E5-3799-4588-A6E5-C944354704CA}">
            <x14:dataBar minLength="0" maxLength="100" border="1" negativeBarBorderColorSameAsPositive="0">
              <x14:cfvo type="autoMin"/>
              <x14:cfvo type="autoMax"/>
              <x14:borderColor rgb="FF63C384"/>
              <x14:negativeFillColor rgb="FFFF0000"/>
              <x14:negativeBorderColor rgb="FFFF0000"/>
              <x14:axisColor rgb="FF000000"/>
            </x14:dataBar>
          </x14:cfRule>
          <xm:sqref>AG74</xm:sqref>
        </x14:conditionalFormatting>
        <x14:conditionalFormatting xmlns:xm="http://schemas.microsoft.com/office/excel/2006/main">
          <x14:cfRule type="dataBar" id="{202CCCCA-37EA-4D57-B0F7-A918B07A8CF9}">
            <x14:dataBar minLength="0" maxLength="100" border="1" negativeBarBorderColorSameAsPositive="0">
              <x14:cfvo type="autoMin"/>
              <x14:cfvo type="autoMax"/>
              <x14:borderColor rgb="FF63C384"/>
              <x14:negativeFillColor rgb="FFFF0000"/>
              <x14:negativeBorderColor rgb="FFFF0000"/>
              <x14:axisColor rgb="FF000000"/>
            </x14:dataBar>
          </x14:cfRule>
          <xm:sqref>AG75</xm:sqref>
        </x14:conditionalFormatting>
        <x14:conditionalFormatting xmlns:xm="http://schemas.microsoft.com/office/excel/2006/main">
          <x14:cfRule type="dataBar" id="{9B8187BE-6DFD-4C40-8399-2AF061C3F4C2}">
            <x14:dataBar minLength="0" maxLength="100" border="1" negativeBarBorderColorSameAsPositive="0">
              <x14:cfvo type="autoMin"/>
              <x14:cfvo type="autoMax"/>
              <x14:borderColor rgb="FF63C384"/>
              <x14:negativeFillColor rgb="FFFF0000"/>
              <x14:negativeBorderColor rgb="FFFF0000"/>
              <x14:axisColor rgb="FF000000"/>
            </x14:dataBar>
          </x14:cfRule>
          <xm:sqref>AG75</xm:sqref>
        </x14:conditionalFormatting>
        <x14:conditionalFormatting xmlns:xm="http://schemas.microsoft.com/office/excel/2006/main">
          <x14:cfRule type="dataBar" id="{60086BE6-B859-48AE-963B-4CDAD990F961}">
            <x14:dataBar minLength="0" maxLength="100" border="1" negativeBarBorderColorSameAsPositive="0">
              <x14:cfvo type="autoMin"/>
              <x14:cfvo type="autoMax"/>
              <x14:borderColor rgb="FF63C384"/>
              <x14:negativeFillColor rgb="FFFF0000"/>
              <x14:negativeBorderColor rgb="FFFF0000"/>
              <x14:axisColor rgb="FF000000"/>
            </x14:dataBar>
          </x14:cfRule>
          <xm:sqref>AG75</xm:sqref>
        </x14:conditionalFormatting>
        <x14:conditionalFormatting xmlns:xm="http://schemas.microsoft.com/office/excel/2006/main">
          <x14:cfRule type="dataBar" id="{4F1239BE-2B0D-48D3-8ED9-8A8289ED8E7B}">
            <x14:dataBar minLength="0" maxLength="100" border="1" negativeBarBorderColorSameAsPositive="0">
              <x14:cfvo type="autoMin"/>
              <x14:cfvo type="autoMax"/>
              <x14:borderColor rgb="FF63C384"/>
              <x14:negativeFillColor rgb="FFFF0000"/>
              <x14:negativeBorderColor rgb="FFFF0000"/>
              <x14:axisColor rgb="FF000000"/>
            </x14:dataBar>
          </x14:cfRule>
          <xm:sqref>AG76</xm:sqref>
        </x14:conditionalFormatting>
        <x14:conditionalFormatting xmlns:xm="http://schemas.microsoft.com/office/excel/2006/main">
          <x14:cfRule type="dataBar" id="{646A3695-3DDE-44C5-9DF2-B1BE1C457283}">
            <x14:dataBar minLength="0" maxLength="100" border="1" negativeBarBorderColorSameAsPositive="0">
              <x14:cfvo type="autoMin"/>
              <x14:cfvo type="autoMax"/>
              <x14:borderColor rgb="FF63C384"/>
              <x14:negativeFillColor rgb="FFFF0000"/>
              <x14:negativeBorderColor rgb="FFFF0000"/>
              <x14:axisColor rgb="FF000000"/>
            </x14:dataBar>
          </x14:cfRule>
          <xm:sqref>AG76</xm:sqref>
        </x14:conditionalFormatting>
        <x14:conditionalFormatting xmlns:xm="http://schemas.microsoft.com/office/excel/2006/main">
          <x14:cfRule type="dataBar" id="{6E71F141-FDE8-4FDD-BF42-FC6584AF415A}">
            <x14:dataBar minLength="0" maxLength="100" border="1" negativeBarBorderColorSameAsPositive="0">
              <x14:cfvo type="autoMin"/>
              <x14:cfvo type="autoMax"/>
              <x14:borderColor rgb="FF63C384"/>
              <x14:negativeFillColor rgb="FFFF0000"/>
              <x14:negativeBorderColor rgb="FFFF0000"/>
              <x14:axisColor rgb="FF000000"/>
            </x14:dataBar>
          </x14:cfRule>
          <xm:sqref>AG77</xm:sqref>
        </x14:conditionalFormatting>
        <x14:conditionalFormatting xmlns:xm="http://schemas.microsoft.com/office/excel/2006/main">
          <x14:cfRule type="dataBar" id="{790B5236-AD28-4547-BF1D-D7A780051611}">
            <x14:dataBar minLength="0" maxLength="100" border="1" negativeBarBorderColorSameAsPositive="0">
              <x14:cfvo type="autoMin"/>
              <x14:cfvo type="autoMax"/>
              <x14:borderColor rgb="FF63C384"/>
              <x14:negativeFillColor rgb="FFFF0000"/>
              <x14:negativeBorderColor rgb="FFFF0000"/>
              <x14:axisColor rgb="FF000000"/>
            </x14:dataBar>
          </x14:cfRule>
          <xm:sqref>AG77</xm:sqref>
        </x14:conditionalFormatting>
        <x14:conditionalFormatting xmlns:xm="http://schemas.microsoft.com/office/excel/2006/main">
          <x14:cfRule type="dataBar" id="{4F54AD3B-5CB0-4DB0-B82A-18AAED62D08F}">
            <x14:dataBar minLength="0" maxLength="100" border="1" negativeBarBorderColorSameAsPositive="0">
              <x14:cfvo type="autoMin"/>
              <x14:cfvo type="autoMax"/>
              <x14:borderColor rgb="FF63C384"/>
              <x14:negativeFillColor rgb="FFFF0000"/>
              <x14:negativeBorderColor rgb="FFFF0000"/>
              <x14:axisColor rgb="FF000000"/>
            </x14:dataBar>
          </x14:cfRule>
          <xm:sqref>AG78</xm:sqref>
        </x14:conditionalFormatting>
        <x14:conditionalFormatting xmlns:xm="http://schemas.microsoft.com/office/excel/2006/main">
          <x14:cfRule type="dataBar" id="{5B73D74F-D14D-4F1C-B098-8158E55415EE}">
            <x14:dataBar minLength="0" maxLength="100" border="1" negativeBarBorderColorSameAsPositive="0">
              <x14:cfvo type="autoMin"/>
              <x14:cfvo type="autoMax"/>
              <x14:borderColor rgb="FF63C384"/>
              <x14:negativeFillColor rgb="FFFF0000"/>
              <x14:negativeBorderColor rgb="FFFF0000"/>
              <x14:axisColor rgb="FF000000"/>
            </x14:dataBar>
          </x14:cfRule>
          <xm:sqref>AG78</xm:sqref>
        </x14:conditionalFormatting>
        <x14:conditionalFormatting xmlns:xm="http://schemas.microsoft.com/office/excel/2006/main">
          <x14:cfRule type="dataBar" id="{37D02145-E932-43A5-A5A9-DD1EDAD00481}">
            <x14:dataBar minLength="0" maxLength="100" border="1" negativeBarBorderColorSameAsPositive="0">
              <x14:cfvo type="autoMin"/>
              <x14:cfvo type="autoMax"/>
              <x14:borderColor rgb="FF63C384"/>
              <x14:negativeFillColor rgb="FFFF0000"/>
              <x14:negativeBorderColor rgb="FFFF0000"/>
              <x14:axisColor rgb="FF000000"/>
            </x14:dataBar>
          </x14:cfRule>
          <xm:sqref>AG79</xm:sqref>
        </x14:conditionalFormatting>
        <x14:conditionalFormatting xmlns:xm="http://schemas.microsoft.com/office/excel/2006/main">
          <x14:cfRule type="dataBar" id="{268C1617-1FB2-4F8F-B3D1-CB000542CAF6}">
            <x14:dataBar minLength="0" maxLength="100" border="1" negativeBarBorderColorSameAsPositive="0">
              <x14:cfvo type="autoMin"/>
              <x14:cfvo type="autoMax"/>
              <x14:borderColor rgb="FF63C384"/>
              <x14:negativeFillColor rgb="FFFF0000"/>
              <x14:negativeBorderColor rgb="FFFF0000"/>
              <x14:axisColor rgb="FF000000"/>
            </x14:dataBar>
          </x14:cfRule>
          <xm:sqref>AG80</xm:sqref>
        </x14:conditionalFormatting>
        <x14:conditionalFormatting xmlns:xm="http://schemas.microsoft.com/office/excel/2006/main">
          <x14:cfRule type="dataBar" id="{5A0D16C0-09DE-410D-9CE8-DF7D7ED3C3BC}">
            <x14:dataBar minLength="0" maxLength="100" border="1" negativeBarBorderColorSameAsPositive="0">
              <x14:cfvo type="autoMin"/>
              <x14:cfvo type="autoMax"/>
              <x14:borderColor rgb="FF63C384"/>
              <x14:negativeFillColor rgb="FFFF0000"/>
              <x14:negativeBorderColor rgb="FFFF0000"/>
              <x14:axisColor rgb="FF000000"/>
            </x14:dataBar>
          </x14:cfRule>
          <xm:sqref>AG81</xm:sqref>
        </x14:conditionalFormatting>
        <x14:conditionalFormatting xmlns:xm="http://schemas.microsoft.com/office/excel/2006/main">
          <x14:cfRule type="dataBar" id="{F897F7A0-1FDA-4B87-9BA9-4C5F990ACAAB}">
            <x14:dataBar minLength="0" maxLength="100" border="1" negativeBarBorderColorSameAsPositive="0">
              <x14:cfvo type="autoMin"/>
              <x14:cfvo type="autoMax"/>
              <x14:borderColor rgb="FF63C384"/>
              <x14:negativeFillColor rgb="FFFF0000"/>
              <x14:negativeBorderColor rgb="FFFF0000"/>
              <x14:axisColor rgb="FF000000"/>
            </x14:dataBar>
          </x14:cfRule>
          <xm:sqref>AG81</xm:sqref>
        </x14:conditionalFormatting>
        <x14:conditionalFormatting xmlns:xm="http://schemas.microsoft.com/office/excel/2006/main">
          <x14:cfRule type="dataBar" id="{99ADCDD4-B093-4DD2-87FF-A550B539CB38}">
            <x14:dataBar minLength="0" maxLength="100" border="1" negativeBarBorderColorSameAsPositive="0">
              <x14:cfvo type="autoMin"/>
              <x14:cfvo type="autoMax"/>
              <x14:borderColor rgb="FF63C384"/>
              <x14:negativeFillColor rgb="FFFF0000"/>
              <x14:negativeBorderColor rgb="FFFF0000"/>
              <x14:axisColor rgb="FF000000"/>
            </x14:dataBar>
          </x14:cfRule>
          <xm:sqref>AG81</xm:sqref>
        </x14:conditionalFormatting>
        <x14:conditionalFormatting xmlns:xm="http://schemas.microsoft.com/office/excel/2006/main">
          <x14:cfRule type="dataBar" id="{B38148E9-3D09-4D0A-9AF0-D76CEB821B98}">
            <x14:dataBar minLength="0" maxLength="100" border="1" negativeBarBorderColorSameAsPositive="0">
              <x14:cfvo type="autoMin"/>
              <x14:cfvo type="autoMax"/>
              <x14:borderColor rgb="FF63C384"/>
              <x14:negativeFillColor rgb="FFFF0000"/>
              <x14:negativeBorderColor rgb="FFFF0000"/>
              <x14:axisColor rgb="FF000000"/>
            </x14:dataBar>
          </x14:cfRule>
          <xm:sqref>AG81</xm:sqref>
        </x14:conditionalFormatting>
        <x14:conditionalFormatting xmlns:xm="http://schemas.microsoft.com/office/excel/2006/main">
          <x14:cfRule type="dataBar" id="{181B2BBD-0E35-4921-BD97-75051E622F43}">
            <x14:dataBar minLength="0" maxLength="100" border="1" negativeBarBorderColorSameAsPositive="0">
              <x14:cfvo type="autoMin"/>
              <x14:cfvo type="autoMax"/>
              <x14:borderColor rgb="FF63C384"/>
              <x14:negativeFillColor rgb="FFFF0000"/>
              <x14:negativeBorderColor rgb="FFFF0000"/>
              <x14:axisColor rgb="FF000000"/>
            </x14:dataBar>
          </x14:cfRule>
          <xm:sqref>AG82</xm:sqref>
        </x14:conditionalFormatting>
        <x14:conditionalFormatting xmlns:xm="http://schemas.microsoft.com/office/excel/2006/main">
          <x14:cfRule type="dataBar" id="{028CDF17-D32C-42DD-8AF6-B5C4BE72F881}">
            <x14:dataBar minLength="0" maxLength="100" border="1" negativeBarBorderColorSameAsPositive="0">
              <x14:cfvo type="autoMin"/>
              <x14:cfvo type="autoMax"/>
              <x14:borderColor rgb="FF63C384"/>
              <x14:negativeFillColor rgb="FFFF0000"/>
              <x14:negativeBorderColor rgb="FFFF0000"/>
              <x14:axisColor rgb="FF000000"/>
            </x14:dataBar>
          </x14:cfRule>
          <xm:sqref>AG82</xm:sqref>
        </x14:conditionalFormatting>
        <x14:conditionalFormatting xmlns:xm="http://schemas.microsoft.com/office/excel/2006/main">
          <x14:cfRule type="dataBar" id="{1CDFEAF0-9A93-4500-8EBF-E833CA1A667D}">
            <x14:dataBar minLength="0" maxLength="100" border="1" negativeBarBorderColorSameAsPositive="0">
              <x14:cfvo type="autoMin"/>
              <x14:cfvo type="autoMax"/>
              <x14:borderColor rgb="FF63C384"/>
              <x14:negativeFillColor rgb="FFFF0000"/>
              <x14:negativeBorderColor rgb="FFFF0000"/>
              <x14:axisColor rgb="FF000000"/>
            </x14:dataBar>
          </x14:cfRule>
          <xm:sqref>AG83</xm:sqref>
        </x14:conditionalFormatting>
        <x14:conditionalFormatting xmlns:xm="http://schemas.microsoft.com/office/excel/2006/main">
          <x14:cfRule type="dataBar" id="{52B9EB51-E0A4-46B0-AF15-5470A68CA344}">
            <x14:dataBar minLength="0" maxLength="100" border="1" negativeBarBorderColorSameAsPositive="0">
              <x14:cfvo type="autoMin"/>
              <x14:cfvo type="autoMax"/>
              <x14:borderColor rgb="FF63C384"/>
              <x14:negativeFillColor rgb="FFFF0000"/>
              <x14:negativeBorderColor rgb="FFFF0000"/>
              <x14:axisColor rgb="FF000000"/>
            </x14:dataBar>
          </x14:cfRule>
          <xm:sqref>AG83</xm:sqref>
        </x14:conditionalFormatting>
        <x14:conditionalFormatting xmlns:xm="http://schemas.microsoft.com/office/excel/2006/main">
          <x14:cfRule type="dataBar" id="{28D0E1A9-11FB-427B-BAE7-148DEBD8EBDD}">
            <x14:dataBar minLength="0" maxLength="100" border="1" negativeBarBorderColorSameAsPositive="0">
              <x14:cfvo type="autoMin"/>
              <x14:cfvo type="autoMax"/>
              <x14:borderColor rgb="FF63C384"/>
              <x14:negativeFillColor rgb="FFFF0000"/>
              <x14:negativeBorderColor rgb="FFFF0000"/>
              <x14:axisColor rgb="FF000000"/>
            </x14:dataBar>
          </x14:cfRule>
          <xm:sqref>AG84</xm:sqref>
        </x14:conditionalFormatting>
        <x14:conditionalFormatting xmlns:xm="http://schemas.microsoft.com/office/excel/2006/main">
          <x14:cfRule type="dataBar" id="{682D10FA-F048-459A-AE33-4AB7B32702A1}">
            <x14:dataBar minLength="0" maxLength="100" border="1" negativeBarBorderColorSameAsPositive="0">
              <x14:cfvo type="autoMin"/>
              <x14:cfvo type="autoMax"/>
              <x14:borderColor rgb="FF63C384"/>
              <x14:negativeFillColor rgb="FFFF0000"/>
              <x14:negativeBorderColor rgb="FFFF0000"/>
              <x14:axisColor rgb="FF000000"/>
            </x14:dataBar>
          </x14:cfRule>
          <xm:sqref>AG84</xm:sqref>
        </x14:conditionalFormatting>
        <x14:conditionalFormatting xmlns:xm="http://schemas.microsoft.com/office/excel/2006/main">
          <x14:cfRule type="dataBar" id="{EBED4E7D-5E70-4DA1-A386-EB566F02D7BE}">
            <x14:dataBar minLength="0" maxLength="100" border="1" negativeBarBorderColorSameAsPositive="0">
              <x14:cfvo type="autoMin"/>
              <x14:cfvo type="autoMax"/>
              <x14:borderColor rgb="FF63C384"/>
              <x14:negativeFillColor rgb="FFFF0000"/>
              <x14:negativeBorderColor rgb="FFFF0000"/>
              <x14:axisColor rgb="FF000000"/>
            </x14:dataBar>
          </x14:cfRule>
          <xm:sqref>AG85</xm:sqref>
        </x14:conditionalFormatting>
        <x14:conditionalFormatting xmlns:xm="http://schemas.microsoft.com/office/excel/2006/main">
          <x14:cfRule type="dataBar" id="{557B0BE1-BEFC-4E18-8A89-23D4AF1F3DA2}">
            <x14:dataBar minLength="0" maxLength="100" border="1" negativeBarBorderColorSameAsPositive="0">
              <x14:cfvo type="autoMin"/>
              <x14:cfvo type="autoMax"/>
              <x14:borderColor rgb="FF63C384"/>
              <x14:negativeFillColor rgb="FFFF0000"/>
              <x14:negativeBorderColor rgb="FFFF0000"/>
              <x14:axisColor rgb="FF000000"/>
            </x14:dataBar>
          </x14:cfRule>
          <xm:sqref>AG85</xm:sqref>
        </x14:conditionalFormatting>
        <x14:conditionalFormatting xmlns:xm="http://schemas.microsoft.com/office/excel/2006/main">
          <x14:cfRule type="dataBar" id="{80591784-1868-4851-B283-F8E8D019314F}">
            <x14:dataBar minLength="0" maxLength="100" border="1" negativeBarBorderColorSameAsPositive="0">
              <x14:cfvo type="autoMin"/>
              <x14:cfvo type="autoMax"/>
              <x14:borderColor rgb="FF63C384"/>
              <x14:negativeFillColor rgb="FFFF0000"/>
              <x14:negativeBorderColor rgb="FFFF0000"/>
              <x14:axisColor rgb="FF000000"/>
            </x14:dataBar>
          </x14:cfRule>
          <xm:sqref>AG85</xm:sqref>
        </x14:conditionalFormatting>
        <x14:conditionalFormatting xmlns:xm="http://schemas.microsoft.com/office/excel/2006/main">
          <x14:cfRule type="dataBar" id="{CF08284D-1E79-4C74-8EBF-CAFE7605D192}">
            <x14:dataBar minLength="0" maxLength="100" border="1" negativeBarBorderColorSameAsPositive="0">
              <x14:cfvo type="autoMin"/>
              <x14:cfvo type="autoMax"/>
              <x14:borderColor rgb="FF63C384"/>
              <x14:negativeFillColor rgb="FFFF0000"/>
              <x14:negativeBorderColor rgb="FFFF0000"/>
              <x14:axisColor rgb="FF000000"/>
            </x14:dataBar>
          </x14:cfRule>
          <xm:sqref>AG85</xm:sqref>
        </x14:conditionalFormatting>
        <x14:conditionalFormatting xmlns:xm="http://schemas.microsoft.com/office/excel/2006/main">
          <x14:cfRule type="dataBar" id="{16722A56-15E0-4C17-8AC2-B78B3A4DD860}">
            <x14:dataBar minLength="0" maxLength="100" border="1" negativeBarBorderColorSameAsPositive="0">
              <x14:cfvo type="autoMin"/>
              <x14:cfvo type="autoMax"/>
              <x14:borderColor rgb="FF63C384"/>
              <x14:negativeFillColor rgb="FFFF0000"/>
              <x14:negativeBorderColor rgb="FFFF0000"/>
              <x14:axisColor rgb="FF000000"/>
            </x14:dataBar>
          </x14:cfRule>
          <xm:sqref>AG85</xm:sqref>
        </x14:conditionalFormatting>
        <x14:conditionalFormatting xmlns:xm="http://schemas.microsoft.com/office/excel/2006/main">
          <x14:cfRule type="dataBar" id="{3CE68564-1C2F-476D-853D-AD1BC3E83BD0}">
            <x14:dataBar minLength="0" maxLength="100" border="1" negativeBarBorderColorSameAsPositive="0">
              <x14:cfvo type="autoMin"/>
              <x14:cfvo type="autoMax"/>
              <x14:borderColor rgb="FF63C384"/>
              <x14:negativeFillColor rgb="FFFF0000"/>
              <x14:negativeBorderColor rgb="FFFF0000"/>
              <x14:axisColor rgb="FF000000"/>
            </x14:dataBar>
          </x14:cfRule>
          <xm:sqref>AG85</xm:sqref>
        </x14:conditionalFormatting>
        <x14:conditionalFormatting xmlns:xm="http://schemas.microsoft.com/office/excel/2006/main">
          <x14:cfRule type="dataBar" id="{F8A6A101-4045-498B-8637-0A6D52E5F344}">
            <x14:dataBar minLength="0" maxLength="100" border="1" negativeBarBorderColorSameAsPositive="0">
              <x14:cfvo type="autoMin"/>
              <x14:cfvo type="autoMax"/>
              <x14:borderColor rgb="FF63C384"/>
              <x14:negativeFillColor rgb="FFFF0000"/>
              <x14:negativeBorderColor rgb="FFFF0000"/>
              <x14:axisColor rgb="FF000000"/>
            </x14:dataBar>
          </x14:cfRule>
          <xm:sqref>AG85</xm:sqref>
        </x14:conditionalFormatting>
        <x14:conditionalFormatting xmlns:xm="http://schemas.microsoft.com/office/excel/2006/main">
          <x14:cfRule type="dataBar" id="{066AB731-DB09-4AD0-A074-0E61191A8D15}">
            <x14:dataBar minLength="0" maxLength="100" border="1" negativeBarBorderColorSameAsPositive="0">
              <x14:cfvo type="autoMin"/>
              <x14:cfvo type="autoMax"/>
              <x14:borderColor rgb="FF63C384"/>
              <x14:negativeFillColor rgb="FFFF0000"/>
              <x14:negativeBorderColor rgb="FFFF0000"/>
              <x14:axisColor rgb="FF000000"/>
            </x14:dataBar>
          </x14:cfRule>
          <xm:sqref>AG85</xm:sqref>
        </x14:conditionalFormatting>
        <x14:conditionalFormatting xmlns:xm="http://schemas.microsoft.com/office/excel/2006/main">
          <x14:cfRule type="dataBar" id="{20F6B23D-3D94-4675-AB28-84B008F9DEB7}">
            <x14:dataBar minLength="0" maxLength="100" border="1" negativeBarBorderColorSameAsPositive="0">
              <x14:cfvo type="autoMin"/>
              <x14:cfvo type="autoMax"/>
              <x14:borderColor rgb="FF63C384"/>
              <x14:negativeFillColor rgb="FFFF0000"/>
              <x14:negativeBorderColor rgb="FFFF0000"/>
              <x14:axisColor rgb="FF000000"/>
            </x14:dataBar>
          </x14:cfRule>
          <xm:sqref>AG86</xm:sqref>
        </x14:conditionalFormatting>
        <x14:conditionalFormatting xmlns:xm="http://schemas.microsoft.com/office/excel/2006/main">
          <x14:cfRule type="dataBar" id="{E8DE0013-4882-4FCA-8985-72F3DE153C95}">
            <x14:dataBar minLength="0" maxLength="100" border="1" negativeBarBorderColorSameAsPositive="0">
              <x14:cfvo type="autoMin"/>
              <x14:cfvo type="autoMax"/>
              <x14:borderColor rgb="FF63C384"/>
              <x14:negativeFillColor rgb="FFFF0000"/>
              <x14:negativeBorderColor rgb="FFFF0000"/>
              <x14:axisColor rgb="FF000000"/>
            </x14:dataBar>
          </x14:cfRule>
          <xm:sqref>AG86</xm:sqref>
        </x14:conditionalFormatting>
        <x14:conditionalFormatting xmlns:xm="http://schemas.microsoft.com/office/excel/2006/main">
          <x14:cfRule type="dataBar" id="{B91B0BC9-F07C-41A3-9C39-11185FD839B0}">
            <x14:dataBar minLength="0" maxLength="100" border="1" negativeBarBorderColorSameAsPositive="0">
              <x14:cfvo type="autoMin"/>
              <x14:cfvo type="autoMax"/>
              <x14:borderColor rgb="FF63C384"/>
              <x14:negativeFillColor rgb="FFFF0000"/>
              <x14:negativeBorderColor rgb="FFFF0000"/>
              <x14:axisColor rgb="FF000000"/>
            </x14:dataBar>
          </x14:cfRule>
          <xm:sqref>AG86</xm:sqref>
        </x14:conditionalFormatting>
        <x14:conditionalFormatting xmlns:xm="http://schemas.microsoft.com/office/excel/2006/main">
          <x14:cfRule type="dataBar" id="{C0B5B184-02B8-4204-B7C3-ED4A3713623E}">
            <x14:dataBar minLength="0" maxLength="100" border="1" negativeBarBorderColorSameAsPositive="0">
              <x14:cfvo type="autoMin"/>
              <x14:cfvo type="autoMax"/>
              <x14:borderColor rgb="FF63C384"/>
              <x14:negativeFillColor rgb="FFFF0000"/>
              <x14:negativeBorderColor rgb="FFFF0000"/>
              <x14:axisColor rgb="FF000000"/>
            </x14:dataBar>
          </x14:cfRule>
          <xm:sqref>AG87</xm:sqref>
        </x14:conditionalFormatting>
        <x14:conditionalFormatting xmlns:xm="http://schemas.microsoft.com/office/excel/2006/main">
          <x14:cfRule type="dataBar" id="{3F074E73-5C4D-4012-9765-3FBFBDD2BE4C}">
            <x14:dataBar minLength="0" maxLength="100" border="1" negativeBarBorderColorSameAsPositive="0">
              <x14:cfvo type="autoMin"/>
              <x14:cfvo type="autoMax"/>
              <x14:borderColor rgb="FF63C384"/>
              <x14:negativeFillColor rgb="FFFF0000"/>
              <x14:negativeBorderColor rgb="FFFF0000"/>
              <x14:axisColor rgb="FF000000"/>
            </x14:dataBar>
          </x14:cfRule>
          <xm:sqref>AG87</xm:sqref>
        </x14:conditionalFormatting>
        <x14:conditionalFormatting xmlns:xm="http://schemas.microsoft.com/office/excel/2006/main">
          <x14:cfRule type="dataBar" id="{4681B4C5-70FD-4456-83B6-365975D2DCFF}">
            <x14:dataBar minLength="0" maxLength="100" border="1" negativeBarBorderColorSameAsPositive="0">
              <x14:cfvo type="autoMin"/>
              <x14:cfvo type="autoMax"/>
              <x14:borderColor rgb="FF63C384"/>
              <x14:negativeFillColor rgb="FFFF0000"/>
              <x14:negativeBorderColor rgb="FFFF0000"/>
              <x14:axisColor rgb="FF000000"/>
            </x14:dataBar>
          </x14:cfRule>
          <xm:sqref>AG88</xm:sqref>
        </x14:conditionalFormatting>
        <x14:conditionalFormatting xmlns:xm="http://schemas.microsoft.com/office/excel/2006/main">
          <x14:cfRule type="dataBar" id="{870D9FD9-E153-485F-8A66-43BE6BC23B74}">
            <x14:dataBar minLength="0" maxLength="100" border="1" negativeBarBorderColorSameAsPositive="0">
              <x14:cfvo type="autoMin"/>
              <x14:cfvo type="autoMax"/>
              <x14:borderColor rgb="FF63C384"/>
              <x14:negativeFillColor rgb="FFFF0000"/>
              <x14:negativeBorderColor rgb="FFFF0000"/>
              <x14:axisColor rgb="FF000000"/>
            </x14:dataBar>
          </x14:cfRule>
          <xm:sqref>AG88</xm:sqref>
        </x14:conditionalFormatting>
        <x14:conditionalFormatting xmlns:xm="http://schemas.microsoft.com/office/excel/2006/main">
          <x14:cfRule type="dataBar" id="{ED26A81B-A50E-4553-B782-EE567EE84263}">
            <x14:dataBar minLength="0" maxLength="100" border="1" negativeBarBorderColorSameAsPositive="0">
              <x14:cfvo type="autoMin"/>
              <x14:cfvo type="autoMax"/>
              <x14:borderColor rgb="FF63C384"/>
              <x14:negativeFillColor rgb="FFFF0000"/>
              <x14:negativeBorderColor rgb="FFFF0000"/>
              <x14:axisColor rgb="FF000000"/>
            </x14:dataBar>
          </x14:cfRule>
          <xm:sqref>AG89</xm:sqref>
        </x14:conditionalFormatting>
        <x14:conditionalFormatting xmlns:xm="http://schemas.microsoft.com/office/excel/2006/main">
          <x14:cfRule type="dataBar" id="{7C390894-423C-4F8C-B103-831478737A21}">
            <x14:dataBar minLength="0" maxLength="100" border="1" negativeBarBorderColorSameAsPositive="0">
              <x14:cfvo type="autoMin"/>
              <x14:cfvo type="autoMax"/>
              <x14:borderColor rgb="FF63C384"/>
              <x14:negativeFillColor rgb="FFFF0000"/>
              <x14:negativeBorderColor rgb="FFFF0000"/>
              <x14:axisColor rgb="FF000000"/>
            </x14:dataBar>
          </x14:cfRule>
          <xm:sqref>AG89</xm:sqref>
        </x14:conditionalFormatting>
        <x14:conditionalFormatting xmlns:xm="http://schemas.microsoft.com/office/excel/2006/main">
          <x14:cfRule type="dataBar" id="{C152728A-B121-43DB-958F-9F5104DEC26B}">
            <x14:dataBar minLength="0" maxLength="100" border="1" negativeBarBorderColorSameAsPositive="0">
              <x14:cfvo type="autoMin"/>
              <x14:cfvo type="autoMax"/>
              <x14:borderColor rgb="FF63C384"/>
              <x14:negativeFillColor rgb="FFFF0000"/>
              <x14:negativeBorderColor rgb="FFFF0000"/>
              <x14:axisColor rgb="FF000000"/>
            </x14:dataBar>
          </x14:cfRule>
          <xm:sqref>AG90</xm:sqref>
        </x14:conditionalFormatting>
        <x14:conditionalFormatting xmlns:xm="http://schemas.microsoft.com/office/excel/2006/main">
          <x14:cfRule type="dataBar" id="{524C77A6-B3D7-45A1-A0FC-D5484778557E}">
            <x14:dataBar minLength="0" maxLength="100" border="1" negativeBarBorderColorSameAsPositive="0">
              <x14:cfvo type="autoMin"/>
              <x14:cfvo type="autoMax"/>
              <x14:borderColor rgb="FF63C384"/>
              <x14:negativeFillColor rgb="FFFF0000"/>
              <x14:negativeBorderColor rgb="FFFF0000"/>
              <x14:axisColor rgb="FF000000"/>
            </x14:dataBar>
          </x14:cfRule>
          <xm:sqref>AG90</xm:sqref>
        </x14:conditionalFormatting>
        <x14:conditionalFormatting xmlns:xm="http://schemas.microsoft.com/office/excel/2006/main">
          <x14:cfRule type="dataBar" id="{3B3EC9DD-1F68-4BD0-9241-E6412B7464AE}">
            <x14:dataBar minLength="0" maxLength="100" border="1" negativeBarBorderColorSameAsPositive="0">
              <x14:cfvo type="autoMin"/>
              <x14:cfvo type="autoMax"/>
              <x14:borderColor rgb="FF63C384"/>
              <x14:negativeFillColor rgb="FFFF0000"/>
              <x14:negativeBorderColor rgb="FFFF0000"/>
              <x14:axisColor rgb="FF000000"/>
            </x14:dataBar>
          </x14:cfRule>
          <xm:sqref>AG91</xm:sqref>
        </x14:conditionalFormatting>
        <x14:conditionalFormatting xmlns:xm="http://schemas.microsoft.com/office/excel/2006/main">
          <x14:cfRule type="dataBar" id="{B87A0715-6A44-47AE-9663-11F459AB90A2}">
            <x14:dataBar minLength="0" maxLength="100" border="1" negativeBarBorderColorSameAsPositive="0">
              <x14:cfvo type="autoMin"/>
              <x14:cfvo type="autoMax"/>
              <x14:borderColor rgb="FF63C384"/>
              <x14:negativeFillColor rgb="FFFF0000"/>
              <x14:negativeBorderColor rgb="FFFF0000"/>
              <x14:axisColor rgb="FF000000"/>
            </x14:dataBar>
          </x14:cfRule>
          <xm:sqref>AG91</xm:sqref>
        </x14:conditionalFormatting>
        <x14:conditionalFormatting xmlns:xm="http://schemas.microsoft.com/office/excel/2006/main">
          <x14:cfRule type="dataBar" id="{2A0E3854-0C77-4B4B-9CE9-108E5D79E0D7}">
            <x14:dataBar minLength="0" maxLength="100" border="1" negativeBarBorderColorSameAsPositive="0">
              <x14:cfvo type="autoMin"/>
              <x14:cfvo type="autoMax"/>
              <x14:borderColor rgb="FF63C384"/>
              <x14:negativeFillColor rgb="FFFF0000"/>
              <x14:negativeBorderColor rgb="FFFF0000"/>
              <x14:axisColor rgb="FF000000"/>
            </x14:dataBar>
          </x14:cfRule>
          <xm:sqref>AG92</xm:sqref>
        </x14:conditionalFormatting>
        <x14:conditionalFormatting xmlns:xm="http://schemas.microsoft.com/office/excel/2006/main">
          <x14:cfRule type="dataBar" id="{C35A7322-1296-4FE6-B56E-4ED921C48DAD}">
            <x14:dataBar minLength="0" maxLength="100" border="1" negativeBarBorderColorSameAsPositive="0">
              <x14:cfvo type="autoMin"/>
              <x14:cfvo type="autoMax"/>
              <x14:borderColor rgb="FF63C384"/>
              <x14:negativeFillColor rgb="FFFF0000"/>
              <x14:negativeBorderColor rgb="FFFF0000"/>
              <x14:axisColor rgb="FF000000"/>
            </x14:dataBar>
          </x14:cfRule>
          <xm:sqref>AG92</xm:sqref>
        </x14:conditionalFormatting>
        <x14:conditionalFormatting xmlns:xm="http://schemas.microsoft.com/office/excel/2006/main">
          <x14:cfRule type="dataBar" id="{AF9AD66E-A0C5-4B2D-85C7-2EF2F75FCEC6}">
            <x14:dataBar minLength="0" maxLength="100" border="1" negativeBarBorderColorSameAsPositive="0">
              <x14:cfvo type="autoMin"/>
              <x14:cfvo type="autoMax"/>
              <x14:borderColor rgb="FF63C384"/>
              <x14:negativeFillColor rgb="FFFF0000"/>
              <x14:negativeBorderColor rgb="FFFF0000"/>
              <x14:axisColor rgb="FF000000"/>
            </x14:dataBar>
          </x14:cfRule>
          <xm:sqref>AG93</xm:sqref>
        </x14:conditionalFormatting>
        <x14:conditionalFormatting xmlns:xm="http://schemas.microsoft.com/office/excel/2006/main">
          <x14:cfRule type="dataBar" id="{E4575CE6-66E0-4859-A6A6-1458B52F40BD}">
            <x14:dataBar minLength="0" maxLength="100" border="1" negativeBarBorderColorSameAsPositive="0">
              <x14:cfvo type="autoMin"/>
              <x14:cfvo type="autoMax"/>
              <x14:borderColor rgb="FF63C384"/>
              <x14:negativeFillColor rgb="FFFF0000"/>
              <x14:negativeBorderColor rgb="FFFF0000"/>
              <x14:axisColor rgb="FF000000"/>
            </x14:dataBar>
          </x14:cfRule>
          <xm:sqref>AG93</xm:sqref>
        </x14:conditionalFormatting>
        <x14:conditionalFormatting xmlns:xm="http://schemas.microsoft.com/office/excel/2006/main">
          <x14:cfRule type="dataBar" id="{AC121D03-0A74-4110-B965-B26692A61610}">
            <x14:dataBar minLength="0" maxLength="100" border="1" negativeBarBorderColorSameAsPositive="0">
              <x14:cfvo type="autoMin"/>
              <x14:cfvo type="autoMax"/>
              <x14:borderColor rgb="FF63C384"/>
              <x14:negativeFillColor rgb="FFFF0000"/>
              <x14:negativeBorderColor rgb="FFFF0000"/>
              <x14:axisColor rgb="FF000000"/>
            </x14:dataBar>
          </x14:cfRule>
          <xm:sqref>AG94</xm:sqref>
        </x14:conditionalFormatting>
        <x14:conditionalFormatting xmlns:xm="http://schemas.microsoft.com/office/excel/2006/main">
          <x14:cfRule type="dataBar" id="{94356678-95BF-415A-A833-8041C148857D}">
            <x14:dataBar minLength="0" maxLength="100" border="1" negativeBarBorderColorSameAsPositive="0">
              <x14:cfvo type="autoMin"/>
              <x14:cfvo type="autoMax"/>
              <x14:borderColor rgb="FF63C384"/>
              <x14:negativeFillColor rgb="FFFF0000"/>
              <x14:negativeBorderColor rgb="FFFF0000"/>
              <x14:axisColor rgb="FF000000"/>
            </x14:dataBar>
          </x14:cfRule>
          <xm:sqref>AG94</xm:sqref>
        </x14:conditionalFormatting>
        <x14:conditionalFormatting xmlns:xm="http://schemas.microsoft.com/office/excel/2006/main">
          <x14:cfRule type="dataBar" id="{A41D61B7-3BFD-4088-AF04-6B64053EE792}">
            <x14:dataBar minLength="0" maxLength="100" border="1" negativeBarBorderColorSameAsPositive="0">
              <x14:cfvo type="autoMin"/>
              <x14:cfvo type="autoMax"/>
              <x14:borderColor rgb="FF63C384"/>
              <x14:negativeFillColor rgb="FFFF0000"/>
              <x14:negativeBorderColor rgb="FFFF0000"/>
              <x14:axisColor rgb="FF000000"/>
            </x14:dataBar>
          </x14:cfRule>
          <xm:sqref>AG95</xm:sqref>
        </x14:conditionalFormatting>
        <x14:conditionalFormatting xmlns:xm="http://schemas.microsoft.com/office/excel/2006/main">
          <x14:cfRule type="dataBar" id="{1D80F8CF-1FDC-4E07-90DA-909FE98141EF}">
            <x14:dataBar minLength="0" maxLength="100" border="1" negativeBarBorderColorSameAsPositive="0">
              <x14:cfvo type="autoMin"/>
              <x14:cfvo type="autoMax"/>
              <x14:borderColor rgb="FF63C384"/>
              <x14:negativeFillColor rgb="FFFF0000"/>
              <x14:negativeBorderColor rgb="FFFF0000"/>
              <x14:axisColor rgb="FF000000"/>
            </x14:dataBar>
          </x14:cfRule>
          <xm:sqref>AG95</xm:sqref>
        </x14:conditionalFormatting>
        <x14:conditionalFormatting xmlns:xm="http://schemas.microsoft.com/office/excel/2006/main">
          <x14:cfRule type="dataBar" id="{6547BE48-5A09-454F-920A-15F62C2ED0A7}">
            <x14:dataBar minLength="0" maxLength="100" border="1" negativeBarBorderColorSameAsPositive="0">
              <x14:cfvo type="autoMin"/>
              <x14:cfvo type="autoMax"/>
              <x14:borderColor rgb="FF63C384"/>
              <x14:negativeFillColor rgb="FFFF0000"/>
              <x14:negativeBorderColor rgb="FFFF0000"/>
              <x14:axisColor rgb="FF000000"/>
            </x14:dataBar>
          </x14:cfRule>
          <xm:sqref>AG96</xm:sqref>
        </x14:conditionalFormatting>
        <x14:conditionalFormatting xmlns:xm="http://schemas.microsoft.com/office/excel/2006/main">
          <x14:cfRule type="dataBar" id="{C4CAC37F-E937-4894-8D22-8819F296C542}">
            <x14:dataBar minLength="0" maxLength="100" border="1" negativeBarBorderColorSameAsPositive="0">
              <x14:cfvo type="autoMin"/>
              <x14:cfvo type="autoMax"/>
              <x14:borderColor rgb="FF63C384"/>
              <x14:negativeFillColor rgb="FFFF0000"/>
              <x14:negativeBorderColor rgb="FFFF0000"/>
              <x14:axisColor rgb="FF000000"/>
            </x14:dataBar>
          </x14:cfRule>
          <xm:sqref>AG96</xm:sqref>
        </x14:conditionalFormatting>
        <x14:conditionalFormatting xmlns:xm="http://schemas.microsoft.com/office/excel/2006/main">
          <x14:cfRule type="dataBar" id="{75B6F916-F1D7-4E36-B19C-55F1BEFA02C2}">
            <x14:dataBar minLength="0" maxLength="100" border="1" negativeBarBorderColorSameAsPositive="0">
              <x14:cfvo type="autoMin"/>
              <x14:cfvo type="autoMax"/>
              <x14:borderColor rgb="FF63C384"/>
              <x14:negativeFillColor rgb="FFFF0000"/>
              <x14:negativeBorderColor rgb="FFFF0000"/>
              <x14:axisColor rgb="FF000000"/>
            </x14:dataBar>
          </x14:cfRule>
          <xm:sqref>AG96</xm:sqref>
        </x14:conditionalFormatting>
        <x14:conditionalFormatting xmlns:xm="http://schemas.microsoft.com/office/excel/2006/main">
          <x14:cfRule type="dataBar" id="{FD930C8F-F5E0-47D1-9D6C-05592D6F7B62}">
            <x14:dataBar minLength="0" maxLength="100" border="1" negativeBarBorderColorSameAsPositive="0">
              <x14:cfvo type="autoMin"/>
              <x14:cfvo type="autoMax"/>
              <x14:borderColor rgb="FF63C384"/>
              <x14:negativeFillColor rgb="FFFF0000"/>
              <x14:negativeBorderColor rgb="FFFF0000"/>
              <x14:axisColor rgb="FF000000"/>
            </x14:dataBar>
          </x14:cfRule>
          <xm:sqref>AG96</xm:sqref>
        </x14:conditionalFormatting>
        <x14:conditionalFormatting xmlns:xm="http://schemas.microsoft.com/office/excel/2006/main">
          <x14:cfRule type="dataBar" id="{057F6946-6FE2-4872-BE6B-D4BEBE2880B4}">
            <x14:dataBar minLength="0" maxLength="100" border="1" negativeBarBorderColorSameAsPositive="0">
              <x14:cfvo type="autoMin"/>
              <x14:cfvo type="autoMax"/>
              <x14:borderColor rgb="FF63C384"/>
              <x14:negativeFillColor rgb="FFFF0000"/>
              <x14:negativeBorderColor rgb="FFFF0000"/>
              <x14:axisColor rgb="FF000000"/>
            </x14:dataBar>
          </x14:cfRule>
          <xm:sqref>AG98</xm:sqref>
        </x14:conditionalFormatting>
        <x14:conditionalFormatting xmlns:xm="http://schemas.microsoft.com/office/excel/2006/main">
          <x14:cfRule type="dataBar" id="{A1F423F5-F412-4AF8-8D04-065FF08FFBC2}">
            <x14:dataBar minLength="0" maxLength="100" border="1" negativeBarBorderColorSameAsPositive="0">
              <x14:cfvo type="autoMin"/>
              <x14:cfvo type="autoMax"/>
              <x14:borderColor rgb="FF63C384"/>
              <x14:negativeFillColor rgb="FFFF0000"/>
              <x14:negativeBorderColor rgb="FFFF0000"/>
              <x14:axisColor rgb="FF000000"/>
            </x14:dataBar>
          </x14:cfRule>
          <xm:sqref>AG98</xm:sqref>
        </x14:conditionalFormatting>
        <x14:conditionalFormatting xmlns:xm="http://schemas.microsoft.com/office/excel/2006/main">
          <x14:cfRule type="dataBar" id="{1CFB9FB4-70C0-47FA-B67F-12F4E7F799A7}">
            <x14:dataBar minLength="0" maxLength="100" border="1" negativeBarBorderColorSameAsPositive="0">
              <x14:cfvo type="autoMin"/>
              <x14:cfvo type="autoMax"/>
              <x14:borderColor rgb="FF63C384"/>
              <x14:negativeFillColor rgb="FFFF0000"/>
              <x14:negativeBorderColor rgb="FFFF0000"/>
              <x14:axisColor rgb="FF000000"/>
            </x14:dataBar>
          </x14:cfRule>
          <xm:sqref>AG97</xm:sqref>
        </x14:conditionalFormatting>
        <x14:conditionalFormatting xmlns:xm="http://schemas.microsoft.com/office/excel/2006/main">
          <x14:cfRule type="dataBar" id="{5B089349-8861-49E6-A62D-98F06B832C65}">
            <x14:dataBar minLength="0" maxLength="100" border="1" negativeBarBorderColorSameAsPositive="0">
              <x14:cfvo type="autoMin"/>
              <x14:cfvo type="autoMax"/>
              <x14:borderColor rgb="FF63C384"/>
              <x14:negativeFillColor rgb="FFFF0000"/>
              <x14:negativeBorderColor rgb="FFFF0000"/>
              <x14:axisColor rgb="FF000000"/>
            </x14:dataBar>
          </x14:cfRule>
          <xm:sqref>AG97</xm:sqref>
        </x14:conditionalFormatting>
        <x14:conditionalFormatting xmlns:xm="http://schemas.microsoft.com/office/excel/2006/main">
          <x14:cfRule type="dataBar" id="{2C9E11D2-8D76-48D3-88F8-872ACBDD7628}">
            <x14:dataBar minLength="0" maxLength="100" border="1" negativeBarBorderColorSameAsPositive="0">
              <x14:cfvo type="autoMin"/>
              <x14:cfvo type="autoMax"/>
              <x14:borderColor rgb="FF63C384"/>
              <x14:negativeFillColor rgb="FFFF0000"/>
              <x14:negativeBorderColor rgb="FFFF0000"/>
              <x14:axisColor rgb="FF000000"/>
            </x14:dataBar>
          </x14:cfRule>
          <xm:sqref>AG99</xm:sqref>
        </x14:conditionalFormatting>
        <x14:conditionalFormatting xmlns:xm="http://schemas.microsoft.com/office/excel/2006/main">
          <x14:cfRule type="dataBar" id="{ADEB882F-A8F8-4AAE-B030-D344C401D221}">
            <x14:dataBar minLength="0" maxLength="100" border="1" negativeBarBorderColorSameAsPositive="0">
              <x14:cfvo type="autoMin"/>
              <x14:cfvo type="autoMax"/>
              <x14:borderColor rgb="FF63C384"/>
              <x14:negativeFillColor rgb="FFFF0000"/>
              <x14:negativeBorderColor rgb="FFFF0000"/>
              <x14:axisColor rgb="FF000000"/>
            </x14:dataBar>
          </x14:cfRule>
          <xm:sqref>AG99</xm:sqref>
        </x14:conditionalFormatting>
        <x14:conditionalFormatting xmlns:xm="http://schemas.microsoft.com/office/excel/2006/main">
          <x14:cfRule type="dataBar" id="{DC8C54D2-FD67-40DF-9269-02B4333F19E9}">
            <x14:dataBar minLength="0" maxLength="100" border="1" negativeBarBorderColorSameAsPositive="0">
              <x14:cfvo type="autoMin"/>
              <x14:cfvo type="autoMax"/>
              <x14:borderColor rgb="FF63C384"/>
              <x14:negativeFillColor rgb="FFFF0000"/>
              <x14:negativeBorderColor rgb="FFFF0000"/>
              <x14:axisColor rgb="FF000000"/>
            </x14:dataBar>
          </x14:cfRule>
          <xm:sqref>AG100</xm:sqref>
        </x14:conditionalFormatting>
        <x14:conditionalFormatting xmlns:xm="http://schemas.microsoft.com/office/excel/2006/main">
          <x14:cfRule type="dataBar" id="{D9EED55E-E230-459D-9F91-857731B75514}">
            <x14:dataBar minLength="0" maxLength="100" border="1" negativeBarBorderColorSameAsPositive="0">
              <x14:cfvo type="autoMin"/>
              <x14:cfvo type="autoMax"/>
              <x14:borderColor rgb="FF63C384"/>
              <x14:negativeFillColor rgb="FFFF0000"/>
              <x14:negativeBorderColor rgb="FFFF0000"/>
              <x14:axisColor rgb="FF000000"/>
            </x14:dataBar>
          </x14:cfRule>
          <xm:sqref>AG100</xm:sqref>
        </x14:conditionalFormatting>
        <x14:conditionalFormatting xmlns:xm="http://schemas.microsoft.com/office/excel/2006/main">
          <x14:cfRule type="dataBar" id="{B1CF244F-E0EC-4FAC-AC99-032D0FC05D98}">
            <x14:dataBar minLength="0" maxLength="100" border="1" negativeBarBorderColorSameAsPositive="0">
              <x14:cfvo type="autoMin"/>
              <x14:cfvo type="autoMax"/>
              <x14:borderColor rgb="FF63C384"/>
              <x14:negativeFillColor rgb="FFFF0000"/>
              <x14:negativeBorderColor rgb="FFFF0000"/>
              <x14:axisColor rgb="FF000000"/>
            </x14:dataBar>
          </x14:cfRule>
          <xm:sqref>AG101</xm:sqref>
        </x14:conditionalFormatting>
        <x14:conditionalFormatting xmlns:xm="http://schemas.microsoft.com/office/excel/2006/main">
          <x14:cfRule type="dataBar" id="{0D535F24-3DE9-4C99-B810-0BF09D511A32}">
            <x14:dataBar minLength="0" maxLength="100" border="1" negativeBarBorderColorSameAsPositive="0">
              <x14:cfvo type="autoMin"/>
              <x14:cfvo type="autoMax"/>
              <x14:borderColor rgb="FF63C384"/>
              <x14:negativeFillColor rgb="FFFF0000"/>
              <x14:negativeBorderColor rgb="FFFF0000"/>
              <x14:axisColor rgb="FF000000"/>
            </x14:dataBar>
          </x14:cfRule>
          <xm:sqref>AG101</xm:sqref>
        </x14:conditionalFormatting>
        <x14:conditionalFormatting xmlns:xm="http://schemas.microsoft.com/office/excel/2006/main">
          <x14:cfRule type="dataBar" id="{DECC5D36-EC2C-4E69-880C-12EDB468C58C}">
            <x14:dataBar minLength="0" maxLength="100" border="1" negativeBarBorderColorSameAsPositive="0">
              <x14:cfvo type="autoMin"/>
              <x14:cfvo type="autoMax"/>
              <x14:borderColor rgb="FF63C384"/>
              <x14:negativeFillColor rgb="FFFF0000"/>
              <x14:negativeBorderColor rgb="FFFF0000"/>
              <x14:axisColor rgb="FF000000"/>
            </x14:dataBar>
          </x14:cfRule>
          <xm:sqref>AG102</xm:sqref>
        </x14:conditionalFormatting>
        <x14:conditionalFormatting xmlns:xm="http://schemas.microsoft.com/office/excel/2006/main">
          <x14:cfRule type="dataBar" id="{CC06DDB5-7E38-410F-A6CE-214A77C4CF75}">
            <x14:dataBar minLength="0" maxLength="100" border="1" negativeBarBorderColorSameAsPositive="0">
              <x14:cfvo type="autoMin"/>
              <x14:cfvo type="autoMax"/>
              <x14:borderColor rgb="FF63C384"/>
              <x14:negativeFillColor rgb="FFFF0000"/>
              <x14:negativeBorderColor rgb="FFFF0000"/>
              <x14:axisColor rgb="FF000000"/>
            </x14:dataBar>
          </x14:cfRule>
          <xm:sqref>AG102</xm:sqref>
        </x14:conditionalFormatting>
        <x14:conditionalFormatting xmlns:xm="http://schemas.microsoft.com/office/excel/2006/main">
          <x14:cfRule type="dataBar" id="{ECB22381-FCA7-437E-A3A5-9A486C67B5EC}">
            <x14:dataBar minLength="0" maxLength="100" border="1" negativeBarBorderColorSameAsPositive="0">
              <x14:cfvo type="autoMin"/>
              <x14:cfvo type="autoMax"/>
              <x14:borderColor rgb="FF63C384"/>
              <x14:negativeFillColor rgb="FFFF0000"/>
              <x14:negativeBorderColor rgb="FFFF0000"/>
              <x14:axisColor rgb="FF000000"/>
            </x14:dataBar>
          </x14:cfRule>
          <xm:sqref>AG103</xm:sqref>
        </x14:conditionalFormatting>
        <x14:conditionalFormatting xmlns:xm="http://schemas.microsoft.com/office/excel/2006/main">
          <x14:cfRule type="dataBar" id="{49739FD6-490E-41ED-AEEA-D43A73FFFB3A}">
            <x14:dataBar minLength="0" maxLength="100" border="1" negativeBarBorderColorSameAsPositive="0">
              <x14:cfvo type="autoMin"/>
              <x14:cfvo type="autoMax"/>
              <x14:borderColor rgb="FF63C384"/>
              <x14:negativeFillColor rgb="FFFF0000"/>
              <x14:negativeBorderColor rgb="FFFF0000"/>
              <x14:axisColor rgb="FF000000"/>
            </x14:dataBar>
          </x14:cfRule>
          <xm:sqref>AG103</xm:sqref>
        </x14:conditionalFormatting>
        <x14:conditionalFormatting xmlns:xm="http://schemas.microsoft.com/office/excel/2006/main">
          <x14:cfRule type="dataBar" id="{C3854DCE-3451-4856-A3B1-13AAC95A541E}">
            <x14:dataBar minLength="0" maxLength="100" border="1" negativeBarBorderColorSameAsPositive="0">
              <x14:cfvo type="autoMin"/>
              <x14:cfvo type="autoMax"/>
              <x14:borderColor rgb="FF63C384"/>
              <x14:negativeFillColor rgb="FFFF0000"/>
              <x14:negativeBorderColor rgb="FFFF0000"/>
              <x14:axisColor rgb="FF000000"/>
            </x14:dataBar>
          </x14:cfRule>
          <xm:sqref>AG103</xm:sqref>
        </x14:conditionalFormatting>
        <x14:conditionalFormatting xmlns:xm="http://schemas.microsoft.com/office/excel/2006/main">
          <x14:cfRule type="dataBar" id="{482155C0-9477-4F7B-970A-61F8E024C788}">
            <x14:dataBar minLength="0" maxLength="100" border="1" negativeBarBorderColorSameAsPositive="0">
              <x14:cfvo type="autoMin"/>
              <x14:cfvo type="autoMax"/>
              <x14:borderColor rgb="FF63C384"/>
              <x14:negativeFillColor rgb="FFFF0000"/>
              <x14:negativeBorderColor rgb="FFFF0000"/>
              <x14:axisColor rgb="FF000000"/>
            </x14:dataBar>
          </x14:cfRule>
          <xm:sqref>AG103</xm:sqref>
        </x14:conditionalFormatting>
        <x14:conditionalFormatting xmlns:xm="http://schemas.microsoft.com/office/excel/2006/main">
          <x14:cfRule type="dataBar" id="{DE6EEECD-0E20-4090-94B5-577D93C6EE1E}">
            <x14:dataBar minLength="0" maxLength="100" border="1" negativeBarBorderColorSameAsPositive="0">
              <x14:cfvo type="autoMin"/>
              <x14:cfvo type="autoMax"/>
              <x14:borderColor rgb="FF63C384"/>
              <x14:negativeFillColor rgb="FFFF0000"/>
              <x14:negativeBorderColor rgb="FFFF0000"/>
              <x14:axisColor rgb="FF000000"/>
            </x14:dataBar>
          </x14:cfRule>
          <xm:sqref>AG103</xm:sqref>
        </x14:conditionalFormatting>
        <x14:conditionalFormatting xmlns:xm="http://schemas.microsoft.com/office/excel/2006/main">
          <x14:cfRule type="dataBar" id="{C962A4A9-D16D-4501-9256-AE129E955C07}">
            <x14:dataBar minLength="0" maxLength="100" border="1" negativeBarBorderColorSameAsPositive="0">
              <x14:cfvo type="autoMin"/>
              <x14:cfvo type="autoMax"/>
              <x14:borderColor rgb="FF63C384"/>
              <x14:negativeFillColor rgb="FFFF0000"/>
              <x14:negativeBorderColor rgb="FFFF0000"/>
              <x14:axisColor rgb="FF000000"/>
            </x14:dataBar>
          </x14:cfRule>
          <xm:sqref>AG103</xm:sqref>
        </x14:conditionalFormatting>
        <x14:conditionalFormatting xmlns:xm="http://schemas.microsoft.com/office/excel/2006/main">
          <x14:cfRule type="dataBar" id="{49285E72-0876-4228-9C5A-7411B7388C4C}">
            <x14:dataBar minLength="0" maxLength="100" border="1" negativeBarBorderColorSameAsPositive="0">
              <x14:cfvo type="autoMin"/>
              <x14:cfvo type="autoMax"/>
              <x14:borderColor rgb="FF63C384"/>
              <x14:negativeFillColor rgb="FFFF0000"/>
              <x14:negativeBorderColor rgb="FFFF0000"/>
              <x14:axisColor rgb="FF000000"/>
            </x14:dataBar>
          </x14:cfRule>
          <xm:sqref>AG103</xm:sqref>
        </x14:conditionalFormatting>
        <x14:conditionalFormatting xmlns:xm="http://schemas.microsoft.com/office/excel/2006/main">
          <x14:cfRule type="dataBar" id="{026FE11D-563C-44D6-9F04-F1D95E8B10D0}">
            <x14:dataBar minLength="0" maxLength="100" border="1" negativeBarBorderColorSameAsPositive="0">
              <x14:cfvo type="autoMin"/>
              <x14:cfvo type="autoMax"/>
              <x14:borderColor rgb="FF63C384"/>
              <x14:negativeFillColor rgb="FFFF0000"/>
              <x14:negativeBorderColor rgb="FFFF0000"/>
              <x14:axisColor rgb="FF000000"/>
            </x14:dataBar>
          </x14:cfRule>
          <xm:sqref>AG103</xm:sqref>
        </x14:conditionalFormatting>
        <x14:conditionalFormatting xmlns:xm="http://schemas.microsoft.com/office/excel/2006/main">
          <x14:cfRule type="dataBar" id="{08C1B911-E18B-43E4-BA71-5F23CCE7FC4E}">
            <x14:dataBar minLength="0" maxLength="100" border="1" negativeBarBorderColorSameAsPositive="0">
              <x14:cfvo type="autoMin"/>
              <x14:cfvo type="autoMax"/>
              <x14:borderColor rgb="FF63C384"/>
              <x14:negativeFillColor rgb="FFFF0000"/>
              <x14:negativeBorderColor rgb="FFFF0000"/>
              <x14:axisColor rgb="FF000000"/>
            </x14:dataBar>
          </x14:cfRule>
          <xm:sqref>AG104</xm:sqref>
        </x14:conditionalFormatting>
        <x14:conditionalFormatting xmlns:xm="http://schemas.microsoft.com/office/excel/2006/main">
          <x14:cfRule type="dataBar" id="{A9222946-B0DF-4F26-B915-B38A7070325F}">
            <x14:dataBar minLength="0" maxLength="100" border="1" negativeBarBorderColorSameAsPositive="0">
              <x14:cfvo type="autoMin"/>
              <x14:cfvo type="autoMax"/>
              <x14:borderColor rgb="FF63C384"/>
              <x14:negativeFillColor rgb="FFFF0000"/>
              <x14:negativeBorderColor rgb="FFFF0000"/>
              <x14:axisColor rgb="FF000000"/>
            </x14:dataBar>
          </x14:cfRule>
          <xm:sqref>AG104</xm:sqref>
        </x14:conditionalFormatting>
        <x14:conditionalFormatting xmlns:xm="http://schemas.microsoft.com/office/excel/2006/main">
          <x14:cfRule type="dataBar" id="{7075725C-4C7C-4F65-913B-8D7A27B41010}">
            <x14:dataBar minLength="0" maxLength="100" border="1" negativeBarBorderColorSameAsPositive="0">
              <x14:cfvo type="autoMin"/>
              <x14:cfvo type="autoMax"/>
              <x14:borderColor rgb="FF63C384"/>
              <x14:negativeFillColor rgb="FFFF0000"/>
              <x14:negativeBorderColor rgb="FFFF0000"/>
              <x14:axisColor rgb="FF000000"/>
            </x14:dataBar>
          </x14:cfRule>
          <xm:sqref>AG104</xm:sqref>
        </x14:conditionalFormatting>
        <x14:conditionalFormatting xmlns:xm="http://schemas.microsoft.com/office/excel/2006/main">
          <x14:cfRule type="dataBar" id="{91F01B10-2EAC-4CCD-8A99-0CB363536DA5}">
            <x14:dataBar minLength="0" maxLength="100" border="1" negativeBarBorderColorSameAsPositive="0">
              <x14:cfvo type="autoMin"/>
              <x14:cfvo type="autoMax"/>
              <x14:borderColor rgb="FF63C384"/>
              <x14:negativeFillColor rgb="FFFF0000"/>
              <x14:negativeBorderColor rgb="FFFF0000"/>
              <x14:axisColor rgb="FF000000"/>
            </x14:dataBar>
          </x14:cfRule>
          <xm:sqref>AG105</xm:sqref>
        </x14:conditionalFormatting>
        <x14:conditionalFormatting xmlns:xm="http://schemas.microsoft.com/office/excel/2006/main">
          <x14:cfRule type="dataBar" id="{B190F74B-3474-4876-8C09-CD2AC1BE89ED}">
            <x14:dataBar minLength="0" maxLength="100" border="1" negativeBarBorderColorSameAsPositive="0">
              <x14:cfvo type="autoMin"/>
              <x14:cfvo type="autoMax"/>
              <x14:borderColor rgb="FF63C384"/>
              <x14:negativeFillColor rgb="FFFF0000"/>
              <x14:negativeBorderColor rgb="FFFF0000"/>
              <x14:axisColor rgb="FF000000"/>
            </x14:dataBar>
          </x14:cfRule>
          <xm:sqref>AG105</xm:sqref>
        </x14:conditionalFormatting>
        <x14:conditionalFormatting xmlns:xm="http://schemas.microsoft.com/office/excel/2006/main">
          <x14:cfRule type="dataBar" id="{AAF19C94-3B2B-4ADE-884C-3080F7EE1158}">
            <x14:dataBar minLength="0" maxLength="100" border="1" negativeBarBorderColorSameAsPositive="0">
              <x14:cfvo type="autoMin"/>
              <x14:cfvo type="autoMax"/>
              <x14:borderColor rgb="FF63C384"/>
              <x14:negativeFillColor rgb="FFFF0000"/>
              <x14:negativeBorderColor rgb="FFFF0000"/>
              <x14:axisColor rgb="FF000000"/>
            </x14:dataBar>
          </x14:cfRule>
          <xm:sqref>AG106</xm:sqref>
        </x14:conditionalFormatting>
        <x14:conditionalFormatting xmlns:xm="http://schemas.microsoft.com/office/excel/2006/main">
          <x14:cfRule type="dataBar" id="{D3A8B973-3F22-4CC1-B219-7685403FF429}">
            <x14:dataBar minLength="0" maxLength="100" border="1" negativeBarBorderColorSameAsPositive="0">
              <x14:cfvo type="autoMin"/>
              <x14:cfvo type="autoMax"/>
              <x14:borderColor rgb="FF63C384"/>
              <x14:negativeFillColor rgb="FFFF0000"/>
              <x14:negativeBorderColor rgb="FFFF0000"/>
              <x14:axisColor rgb="FF000000"/>
            </x14:dataBar>
          </x14:cfRule>
          <xm:sqref>AG106</xm:sqref>
        </x14:conditionalFormatting>
        <x14:conditionalFormatting xmlns:xm="http://schemas.microsoft.com/office/excel/2006/main">
          <x14:cfRule type="dataBar" id="{D48EF3FE-9DF1-4172-8653-802902E8C2EA}">
            <x14:dataBar minLength="0" maxLength="100" border="1" negativeBarBorderColorSameAsPositive="0">
              <x14:cfvo type="autoMin"/>
              <x14:cfvo type="autoMax"/>
              <x14:borderColor rgb="FF63C384"/>
              <x14:negativeFillColor rgb="FFFF0000"/>
              <x14:negativeBorderColor rgb="FFFF0000"/>
              <x14:axisColor rgb="FF000000"/>
            </x14:dataBar>
          </x14:cfRule>
          <xm:sqref>AG107</xm:sqref>
        </x14:conditionalFormatting>
        <x14:conditionalFormatting xmlns:xm="http://schemas.microsoft.com/office/excel/2006/main">
          <x14:cfRule type="dataBar" id="{F3B68930-BBFB-4157-ABBE-51DA01FC8AE3}">
            <x14:dataBar minLength="0" maxLength="100" border="1" negativeBarBorderColorSameAsPositive="0">
              <x14:cfvo type="autoMin"/>
              <x14:cfvo type="autoMax"/>
              <x14:borderColor rgb="FF63C384"/>
              <x14:negativeFillColor rgb="FFFF0000"/>
              <x14:negativeBorderColor rgb="FFFF0000"/>
              <x14:axisColor rgb="FF000000"/>
            </x14:dataBar>
          </x14:cfRule>
          <xm:sqref>AG107</xm:sqref>
        </x14:conditionalFormatting>
        <x14:conditionalFormatting xmlns:xm="http://schemas.microsoft.com/office/excel/2006/main">
          <x14:cfRule type="dataBar" id="{ECCB70E7-2769-4FD9-A558-A50A70EE89F2}">
            <x14:dataBar minLength="0" maxLength="100" border="1" negativeBarBorderColorSameAsPositive="0">
              <x14:cfvo type="autoMin"/>
              <x14:cfvo type="autoMax"/>
              <x14:borderColor rgb="FF63C384"/>
              <x14:negativeFillColor rgb="FFFF0000"/>
              <x14:negativeBorderColor rgb="FFFF0000"/>
              <x14:axisColor rgb="FF000000"/>
            </x14:dataBar>
          </x14:cfRule>
          <xm:sqref>AG108</xm:sqref>
        </x14:conditionalFormatting>
        <x14:conditionalFormatting xmlns:xm="http://schemas.microsoft.com/office/excel/2006/main">
          <x14:cfRule type="dataBar" id="{CD17B13F-C9DA-45AE-8040-42A6D31E6A46}">
            <x14:dataBar minLength="0" maxLength="100" border="1" negativeBarBorderColorSameAsPositive="0">
              <x14:cfvo type="autoMin"/>
              <x14:cfvo type="autoMax"/>
              <x14:borderColor rgb="FF63C384"/>
              <x14:negativeFillColor rgb="FFFF0000"/>
              <x14:negativeBorderColor rgb="FFFF0000"/>
              <x14:axisColor rgb="FF000000"/>
            </x14:dataBar>
          </x14:cfRule>
          <xm:sqref>AG108</xm:sqref>
        </x14:conditionalFormatting>
        <x14:conditionalFormatting xmlns:xm="http://schemas.microsoft.com/office/excel/2006/main">
          <x14:cfRule type="dataBar" id="{E49763D5-F143-4187-82D2-5C71818D22F1}">
            <x14:dataBar minLength="0" maxLength="100" border="1" negativeBarBorderColorSameAsPositive="0">
              <x14:cfvo type="autoMin"/>
              <x14:cfvo type="autoMax"/>
              <x14:borderColor rgb="FF63C384"/>
              <x14:negativeFillColor rgb="FFFF0000"/>
              <x14:negativeBorderColor rgb="FFFF0000"/>
              <x14:axisColor rgb="FF000000"/>
            </x14:dataBar>
          </x14:cfRule>
          <xm:sqref>AG109</xm:sqref>
        </x14:conditionalFormatting>
        <x14:conditionalFormatting xmlns:xm="http://schemas.microsoft.com/office/excel/2006/main">
          <x14:cfRule type="dataBar" id="{1BB2F6DB-0CD0-4061-BCAE-4E4B7A236035}">
            <x14:dataBar minLength="0" maxLength="100" border="1" negativeBarBorderColorSameAsPositive="0">
              <x14:cfvo type="autoMin"/>
              <x14:cfvo type="autoMax"/>
              <x14:borderColor rgb="FF63C384"/>
              <x14:negativeFillColor rgb="FFFF0000"/>
              <x14:negativeBorderColor rgb="FFFF0000"/>
              <x14:axisColor rgb="FF000000"/>
            </x14:dataBar>
          </x14:cfRule>
          <xm:sqref>AG109</xm:sqref>
        </x14:conditionalFormatting>
        <x14:conditionalFormatting xmlns:xm="http://schemas.microsoft.com/office/excel/2006/main">
          <x14:cfRule type="dataBar" id="{AB701C46-533F-4756-AD4F-386B9E571B11}">
            <x14:dataBar minLength="0" maxLength="100" border="1" negativeBarBorderColorSameAsPositive="0">
              <x14:cfvo type="autoMin"/>
              <x14:cfvo type="autoMax"/>
              <x14:borderColor rgb="FF63C384"/>
              <x14:negativeFillColor rgb="FFFF0000"/>
              <x14:negativeBorderColor rgb="FFFF0000"/>
              <x14:axisColor rgb="FF000000"/>
            </x14:dataBar>
          </x14:cfRule>
          <xm:sqref>AG110</xm:sqref>
        </x14:conditionalFormatting>
        <x14:conditionalFormatting xmlns:xm="http://schemas.microsoft.com/office/excel/2006/main">
          <x14:cfRule type="dataBar" id="{12CABED9-0CD3-4830-AAA3-F2A02560B322}">
            <x14:dataBar minLength="0" maxLength="100" border="1" negativeBarBorderColorSameAsPositive="0">
              <x14:cfvo type="autoMin"/>
              <x14:cfvo type="autoMax"/>
              <x14:borderColor rgb="FF63C384"/>
              <x14:negativeFillColor rgb="FFFF0000"/>
              <x14:negativeBorderColor rgb="FFFF0000"/>
              <x14:axisColor rgb="FF000000"/>
            </x14:dataBar>
          </x14:cfRule>
          <xm:sqref>AG110</xm:sqref>
        </x14:conditionalFormatting>
        <x14:conditionalFormatting xmlns:xm="http://schemas.microsoft.com/office/excel/2006/main">
          <x14:cfRule type="dataBar" id="{42330D71-4342-416A-871C-C06ACDDA1107}">
            <x14:dataBar minLength="0" maxLength="100" border="1" negativeBarBorderColorSameAsPositive="0">
              <x14:cfvo type="autoMin"/>
              <x14:cfvo type="autoMax"/>
              <x14:borderColor rgb="FF63C384"/>
              <x14:negativeFillColor rgb="FFFF0000"/>
              <x14:negativeBorderColor rgb="FFFF0000"/>
              <x14:axisColor rgb="FF000000"/>
            </x14:dataBar>
          </x14:cfRule>
          <xm:sqref>AG111</xm:sqref>
        </x14:conditionalFormatting>
        <x14:conditionalFormatting xmlns:xm="http://schemas.microsoft.com/office/excel/2006/main">
          <x14:cfRule type="dataBar" id="{E7730133-39B3-4558-AB0A-DE1D9004CCD7}">
            <x14:dataBar minLength="0" maxLength="100" border="1" negativeBarBorderColorSameAsPositive="0">
              <x14:cfvo type="autoMin"/>
              <x14:cfvo type="autoMax"/>
              <x14:borderColor rgb="FF63C384"/>
              <x14:negativeFillColor rgb="FFFF0000"/>
              <x14:negativeBorderColor rgb="FFFF0000"/>
              <x14:axisColor rgb="FF000000"/>
            </x14:dataBar>
          </x14:cfRule>
          <xm:sqref>AG111</xm:sqref>
        </x14:conditionalFormatting>
        <x14:conditionalFormatting xmlns:xm="http://schemas.microsoft.com/office/excel/2006/main">
          <x14:cfRule type="dataBar" id="{D2AB9219-ED37-488C-BE30-2A701568EA4A}">
            <x14:dataBar minLength="0" maxLength="100" border="1" negativeBarBorderColorSameAsPositive="0">
              <x14:cfvo type="autoMin"/>
              <x14:cfvo type="autoMax"/>
              <x14:borderColor rgb="FF63C384"/>
              <x14:negativeFillColor rgb="FFFF0000"/>
              <x14:negativeBorderColor rgb="FFFF0000"/>
              <x14:axisColor rgb="FF000000"/>
            </x14:dataBar>
          </x14:cfRule>
          <xm:sqref>AG112</xm:sqref>
        </x14:conditionalFormatting>
        <x14:conditionalFormatting xmlns:xm="http://schemas.microsoft.com/office/excel/2006/main">
          <x14:cfRule type="dataBar" id="{F7CD8AAB-AD7F-4E50-8EBA-4A0CD6742893}">
            <x14:dataBar minLength="0" maxLength="100" border="1" negativeBarBorderColorSameAsPositive="0">
              <x14:cfvo type="autoMin"/>
              <x14:cfvo type="autoMax"/>
              <x14:borderColor rgb="FF63C384"/>
              <x14:negativeFillColor rgb="FFFF0000"/>
              <x14:negativeBorderColor rgb="FFFF0000"/>
              <x14:axisColor rgb="FF000000"/>
            </x14:dataBar>
          </x14:cfRule>
          <xm:sqref>AG112</xm:sqref>
        </x14:conditionalFormatting>
        <x14:conditionalFormatting xmlns:xm="http://schemas.microsoft.com/office/excel/2006/main">
          <x14:cfRule type="dataBar" id="{E9B260B2-2B01-4D59-8E48-E72EFA149FAA}">
            <x14:dataBar minLength="0" maxLength="100" border="1" negativeBarBorderColorSameAsPositive="0">
              <x14:cfvo type="autoMin"/>
              <x14:cfvo type="autoMax"/>
              <x14:borderColor rgb="FF63C384"/>
              <x14:negativeFillColor rgb="FFFF0000"/>
              <x14:negativeBorderColor rgb="FFFF0000"/>
              <x14:axisColor rgb="FF000000"/>
            </x14:dataBar>
          </x14:cfRule>
          <xm:sqref>AG113</xm:sqref>
        </x14:conditionalFormatting>
        <x14:conditionalFormatting xmlns:xm="http://schemas.microsoft.com/office/excel/2006/main">
          <x14:cfRule type="dataBar" id="{D23FF85D-40AA-493E-B765-AB83D904BC9C}">
            <x14:dataBar minLength="0" maxLength="100" border="1" negativeBarBorderColorSameAsPositive="0">
              <x14:cfvo type="autoMin"/>
              <x14:cfvo type="autoMax"/>
              <x14:borderColor rgb="FF63C384"/>
              <x14:negativeFillColor rgb="FFFF0000"/>
              <x14:negativeBorderColor rgb="FFFF0000"/>
              <x14:axisColor rgb="FF000000"/>
            </x14:dataBar>
          </x14:cfRule>
          <xm:sqref>AG113</xm:sqref>
        </x14:conditionalFormatting>
        <x14:conditionalFormatting xmlns:xm="http://schemas.microsoft.com/office/excel/2006/main">
          <x14:cfRule type="dataBar" id="{8931B4AC-B1A1-4D5D-AEE0-B0F0CC4BFB59}">
            <x14:dataBar minLength="0" maxLength="100" border="1" negativeBarBorderColorSameAsPositive="0">
              <x14:cfvo type="autoMin"/>
              <x14:cfvo type="autoMax"/>
              <x14:borderColor rgb="FF63C384"/>
              <x14:negativeFillColor rgb="FFFF0000"/>
              <x14:negativeBorderColor rgb="FFFF0000"/>
              <x14:axisColor rgb="FF000000"/>
            </x14:dataBar>
          </x14:cfRule>
          <xm:sqref>AG114</xm:sqref>
        </x14:conditionalFormatting>
        <x14:conditionalFormatting xmlns:xm="http://schemas.microsoft.com/office/excel/2006/main">
          <x14:cfRule type="dataBar" id="{5D9B315E-95E3-472B-AE85-13F1F5E98A84}">
            <x14:dataBar minLength="0" maxLength="100" border="1" negativeBarBorderColorSameAsPositive="0">
              <x14:cfvo type="autoMin"/>
              <x14:cfvo type="autoMax"/>
              <x14:borderColor rgb="FF63C384"/>
              <x14:negativeFillColor rgb="FFFF0000"/>
              <x14:negativeBorderColor rgb="FFFF0000"/>
              <x14:axisColor rgb="FF000000"/>
            </x14:dataBar>
          </x14:cfRule>
          <xm:sqref>AG114</xm:sqref>
        </x14:conditionalFormatting>
        <x14:conditionalFormatting xmlns:xm="http://schemas.microsoft.com/office/excel/2006/main">
          <x14:cfRule type="dataBar" id="{0275DE03-F734-4784-AA60-9ADAE7A54B3C}">
            <x14:dataBar minLength="0" maxLength="100" border="1" negativeBarBorderColorSameAsPositive="0">
              <x14:cfvo type="autoMin"/>
              <x14:cfvo type="autoMax"/>
              <x14:borderColor rgb="FF63C384"/>
              <x14:negativeFillColor rgb="FFFF0000"/>
              <x14:negativeBorderColor rgb="FFFF0000"/>
              <x14:axisColor rgb="FF000000"/>
            </x14:dataBar>
          </x14:cfRule>
          <xm:sqref>AG113</xm:sqref>
        </x14:conditionalFormatting>
        <x14:conditionalFormatting xmlns:xm="http://schemas.microsoft.com/office/excel/2006/main">
          <x14:cfRule type="dataBar" id="{A87D875C-04B4-4832-9A09-F4AB378B66D2}">
            <x14:dataBar minLength="0" maxLength="100" border="1" negativeBarBorderColorSameAsPositive="0">
              <x14:cfvo type="autoMin"/>
              <x14:cfvo type="autoMax"/>
              <x14:borderColor rgb="FF63C384"/>
              <x14:negativeFillColor rgb="FFFF0000"/>
              <x14:negativeBorderColor rgb="FFFF0000"/>
              <x14:axisColor rgb="FF000000"/>
            </x14:dataBar>
          </x14:cfRule>
          <xm:sqref>AG113</xm:sqref>
        </x14:conditionalFormatting>
        <x14:conditionalFormatting xmlns:xm="http://schemas.microsoft.com/office/excel/2006/main">
          <x14:cfRule type="dataBar" id="{30EDD7C3-1F1E-482C-9847-F9370988FFC7}">
            <x14:dataBar minLength="0" maxLength="100" border="1" negativeBarBorderColorSameAsPositive="0">
              <x14:cfvo type="autoMin"/>
              <x14:cfvo type="autoMax"/>
              <x14:borderColor rgb="FF63C384"/>
              <x14:negativeFillColor rgb="FFFF0000"/>
              <x14:negativeBorderColor rgb="FFFF0000"/>
              <x14:axisColor rgb="FF000000"/>
            </x14:dataBar>
          </x14:cfRule>
          <xm:sqref>AG114</xm:sqref>
        </x14:conditionalFormatting>
        <x14:conditionalFormatting xmlns:xm="http://schemas.microsoft.com/office/excel/2006/main">
          <x14:cfRule type="dataBar" id="{B1DF3AF5-4213-49A0-8A9A-A0E4F3F6523C}">
            <x14:dataBar minLength="0" maxLength="100" border="1" negativeBarBorderColorSameAsPositive="0">
              <x14:cfvo type="autoMin"/>
              <x14:cfvo type="autoMax"/>
              <x14:borderColor rgb="FF63C384"/>
              <x14:negativeFillColor rgb="FFFF0000"/>
              <x14:negativeBorderColor rgb="FFFF0000"/>
              <x14:axisColor rgb="FF000000"/>
            </x14:dataBar>
          </x14:cfRule>
          <xm:sqref>AG114</xm:sqref>
        </x14:conditionalFormatting>
        <x14:conditionalFormatting xmlns:xm="http://schemas.microsoft.com/office/excel/2006/main">
          <x14:cfRule type="dataBar" id="{79B113C8-8DF2-4894-BE9E-EAD8CF493E37}">
            <x14:dataBar minLength="0" maxLength="100" border="1" negativeBarBorderColorSameAsPositive="0">
              <x14:cfvo type="autoMin"/>
              <x14:cfvo type="autoMax"/>
              <x14:borderColor rgb="FF63C384"/>
              <x14:negativeFillColor rgb="FFFF0000"/>
              <x14:negativeBorderColor rgb="FFFF0000"/>
              <x14:axisColor rgb="FF000000"/>
            </x14:dataBar>
          </x14:cfRule>
          <xm:sqref>AG115</xm:sqref>
        </x14:conditionalFormatting>
        <x14:conditionalFormatting xmlns:xm="http://schemas.microsoft.com/office/excel/2006/main">
          <x14:cfRule type="dataBar" id="{565BB9C9-2082-4FBC-9C01-3942BBDB1FBB}">
            <x14:dataBar minLength="0" maxLength="100" border="1" negativeBarBorderColorSameAsPositive="0">
              <x14:cfvo type="autoMin"/>
              <x14:cfvo type="autoMax"/>
              <x14:borderColor rgb="FF63C384"/>
              <x14:negativeFillColor rgb="FFFF0000"/>
              <x14:negativeBorderColor rgb="FFFF0000"/>
              <x14:axisColor rgb="FF000000"/>
            </x14:dataBar>
          </x14:cfRule>
          <xm:sqref>AG115</xm:sqref>
        </x14:conditionalFormatting>
        <x14:conditionalFormatting xmlns:xm="http://schemas.microsoft.com/office/excel/2006/main">
          <x14:cfRule type="dataBar" id="{C34496A6-7210-4E38-B7A3-72436AAE1BBD}">
            <x14:dataBar minLength="0" maxLength="100" border="1" negativeBarBorderColorSameAsPositive="0">
              <x14:cfvo type="autoMin"/>
              <x14:cfvo type="autoMax"/>
              <x14:borderColor rgb="FF63C384"/>
              <x14:negativeFillColor rgb="FFFF0000"/>
              <x14:negativeBorderColor rgb="FFFF0000"/>
              <x14:axisColor rgb="FF000000"/>
            </x14:dataBar>
          </x14:cfRule>
          <xm:sqref>AG115</xm:sqref>
        </x14:conditionalFormatting>
        <x14:conditionalFormatting xmlns:xm="http://schemas.microsoft.com/office/excel/2006/main">
          <x14:cfRule type="dataBar" id="{D85B6A3E-FDDD-4295-B95F-EF9993161B3C}">
            <x14:dataBar minLength="0" maxLength="100" border="1" negativeBarBorderColorSameAsPositive="0">
              <x14:cfvo type="autoMin"/>
              <x14:cfvo type="autoMax"/>
              <x14:borderColor rgb="FF63C384"/>
              <x14:negativeFillColor rgb="FFFF0000"/>
              <x14:negativeBorderColor rgb="FFFF0000"/>
              <x14:axisColor rgb="FF000000"/>
            </x14:dataBar>
          </x14:cfRule>
          <xm:sqref>AG115</xm:sqref>
        </x14:conditionalFormatting>
        <x14:conditionalFormatting xmlns:xm="http://schemas.microsoft.com/office/excel/2006/main">
          <x14:cfRule type="dataBar" id="{707CCFB9-B017-4EBB-9A43-3CD634E4D297}">
            <x14:dataBar minLength="0" maxLength="100" border="1" negativeBarBorderColorSameAsPositive="0">
              <x14:cfvo type="autoMin"/>
              <x14:cfvo type="autoMax"/>
              <x14:borderColor rgb="FF63C384"/>
              <x14:negativeFillColor rgb="FFFF0000"/>
              <x14:negativeBorderColor rgb="FFFF0000"/>
              <x14:axisColor rgb="FF000000"/>
            </x14:dataBar>
          </x14:cfRule>
          <xm:sqref>AG116</xm:sqref>
        </x14:conditionalFormatting>
        <x14:conditionalFormatting xmlns:xm="http://schemas.microsoft.com/office/excel/2006/main">
          <x14:cfRule type="dataBar" id="{EE54F1B8-E557-4650-8D28-4E08C6801F0E}">
            <x14:dataBar minLength="0" maxLength="100" border="1" negativeBarBorderColorSameAsPositive="0">
              <x14:cfvo type="autoMin"/>
              <x14:cfvo type="autoMax"/>
              <x14:borderColor rgb="FF63C384"/>
              <x14:negativeFillColor rgb="FFFF0000"/>
              <x14:negativeBorderColor rgb="FFFF0000"/>
              <x14:axisColor rgb="FF000000"/>
            </x14:dataBar>
          </x14:cfRule>
          <xm:sqref>AG116</xm:sqref>
        </x14:conditionalFormatting>
        <x14:conditionalFormatting xmlns:xm="http://schemas.microsoft.com/office/excel/2006/main">
          <x14:cfRule type="dataBar" id="{176AABBC-47A8-4697-BBF0-5D2589FEAFA9}">
            <x14:dataBar minLength="0" maxLength="100" border="1" negativeBarBorderColorSameAsPositive="0">
              <x14:cfvo type="autoMin"/>
              <x14:cfvo type="autoMax"/>
              <x14:borderColor rgb="FF63C384"/>
              <x14:negativeFillColor rgb="FFFF0000"/>
              <x14:negativeBorderColor rgb="FFFF0000"/>
              <x14:axisColor rgb="FF000000"/>
            </x14:dataBar>
          </x14:cfRule>
          <xm:sqref>AG117</xm:sqref>
        </x14:conditionalFormatting>
        <x14:conditionalFormatting xmlns:xm="http://schemas.microsoft.com/office/excel/2006/main">
          <x14:cfRule type="dataBar" id="{1E67203A-2980-4A3A-B48E-996C521512DB}">
            <x14:dataBar minLength="0" maxLength="100" border="1" negativeBarBorderColorSameAsPositive="0">
              <x14:cfvo type="autoMin"/>
              <x14:cfvo type="autoMax"/>
              <x14:borderColor rgb="FF63C384"/>
              <x14:negativeFillColor rgb="FFFF0000"/>
              <x14:negativeBorderColor rgb="FFFF0000"/>
              <x14:axisColor rgb="FF000000"/>
            </x14:dataBar>
          </x14:cfRule>
          <xm:sqref>AG117</xm:sqref>
        </x14:conditionalFormatting>
        <x14:conditionalFormatting xmlns:xm="http://schemas.microsoft.com/office/excel/2006/main">
          <x14:cfRule type="dataBar" id="{9B090029-7F41-4075-B239-B30CBC083F85}">
            <x14:dataBar minLength="0" maxLength="100" border="1" negativeBarBorderColorSameAsPositive="0">
              <x14:cfvo type="autoMin"/>
              <x14:cfvo type="autoMax"/>
              <x14:borderColor rgb="FF63C384"/>
              <x14:negativeFillColor rgb="FFFF0000"/>
              <x14:negativeBorderColor rgb="FFFF0000"/>
              <x14:axisColor rgb="FF000000"/>
            </x14:dataBar>
          </x14:cfRule>
          <xm:sqref>AG117</xm:sqref>
        </x14:conditionalFormatting>
        <x14:conditionalFormatting xmlns:xm="http://schemas.microsoft.com/office/excel/2006/main">
          <x14:cfRule type="dataBar" id="{75FD239C-34D2-44EF-8B1A-3D5D9BFE9A52}">
            <x14:dataBar minLength="0" maxLength="100" border="1" negativeBarBorderColorSameAsPositive="0">
              <x14:cfvo type="autoMin"/>
              <x14:cfvo type="autoMax"/>
              <x14:borderColor rgb="FF63C384"/>
              <x14:negativeFillColor rgb="FFFF0000"/>
              <x14:negativeBorderColor rgb="FFFF0000"/>
              <x14:axisColor rgb="FF000000"/>
            </x14:dataBar>
          </x14:cfRule>
          <xm:sqref>AG117</xm:sqref>
        </x14:conditionalFormatting>
        <x14:conditionalFormatting xmlns:xm="http://schemas.microsoft.com/office/excel/2006/main">
          <x14:cfRule type="dataBar" id="{996A86DA-44FC-4DA8-AE48-B74D41628E7E}">
            <x14:dataBar minLength="0" maxLength="100" border="1" negativeBarBorderColorSameAsPositive="0">
              <x14:cfvo type="autoMin"/>
              <x14:cfvo type="autoMax"/>
              <x14:borderColor rgb="FF63C384"/>
              <x14:negativeFillColor rgb="FFFF0000"/>
              <x14:negativeBorderColor rgb="FFFF0000"/>
              <x14:axisColor rgb="FF000000"/>
            </x14:dataBar>
          </x14:cfRule>
          <xm:sqref>AG117</xm:sqref>
        </x14:conditionalFormatting>
        <x14:conditionalFormatting xmlns:xm="http://schemas.microsoft.com/office/excel/2006/main">
          <x14:cfRule type="dataBar" id="{0FFAEC2B-BE4A-427E-8C6A-0BD01C43B37A}">
            <x14:dataBar minLength="0" maxLength="100" border="1" negativeBarBorderColorSameAsPositive="0">
              <x14:cfvo type="autoMin"/>
              <x14:cfvo type="autoMax"/>
              <x14:borderColor rgb="FF63C384"/>
              <x14:negativeFillColor rgb="FFFF0000"/>
              <x14:negativeBorderColor rgb="FFFF0000"/>
              <x14:axisColor rgb="FF000000"/>
            </x14:dataBar>
          </x14:cfRule>
          <xm:sqref>AG117</xm:sqref>
        </x14:conditionalFormatting>
        <x14:conditionalFormatting xmlns:xm="http://schemas.microsoft.com/office/excel/2006/main">
          <x14:cfRule type="dataBar" id="{33DEE4B9-40F9-4C9E-AD28-1C848D866240}">
            <x14:dataBar minLength="0" maxLength="100" border="1" negativeBarBorderColorSameAsPositive="0">
              <x14:cfvo type="autoMin"/>
              <x14:cfvo type="autoMax"/>
              <x14:borderColor rgb="FF63C384"/>
              <x14:negativeFillColor rgb="FFFF0000"/>
              <x14:negativeBorderColor rgb="FFFF0000"/>
              <x14:axisColor rgb="FF000000"/>
            </x14:dataBar>
          </x14:cfRule>
          <xm:sqref>AG117</xm:sqref>
        </x14:conditionalFormatting>
        <x14:conditionalFormatting xmlns:xm="http://schemas.microsoft.com/office/excel/2006/main">
          <x14:cfRule type="dataBar" id="{51B6EBA4-DD4F-4F35-843E-96B8B6E86758}">
            <x14:dataBar minLength="0" maxLength="100" border="1" negativeBarBorderColorSameAsPositive="0">
              <x14:cfvo type="autoMin"/>
              <x14:cfvo type="autoMax"/>
              <x14:borderColor rgb="FF63C384"/>
              <x14:negativeFillColor rgb="FFFF0000"/>
              <x14:negativeBorderColor rgb="FFFF0000"/>
              <x14:axisColor rgb="FF000000"/>
            </x14:dataBar>
          </x14:cfRule>
          <xm:sqref>AG117</xm:sqref>
        </x14:conditionalFormatting>
        <x14:conditionalFormatting xmlns:xm="http://schemas.microsoft.com/office/excel/2006/main">
          <x14:cfRule type="dataBar" id="{761E92E5-7245-48B1-AFC9-62CA0B54CB79}">
            <x14:dataBar minLength="0" maxLength="100" border="1" negativeBarBorderColorSameAsPositive="0">
              <x14:cfvo type="autoMin"/>
              <x14:cfvo type="autoMax"/>
              <x14:borderColor rgb="FF63C384"/>
              <x14:negativeFillColor rgb="FFFF0000"/>
              <x14:negativeBorderColor rgb="FFFF0000"/>
              <x14:axisColor rgb="FF000000"/>
            </x14:dataBar>
          </x14:cfRule>
          <xm:sqref>AG118</xm:sqref>
        </x14:conditionalFormatting>
        <x14:conditionalFormatting xmlns:xm="http://schemas.microsoft.com/office/excel/2006/main">
          <x14:cfRule type="dataBar" id="{63407945-2F32-49AA-BEEA-4A5026BCB60B}">
            <x14:dataBar minLength="0" maxLength="100" border="1" negativeBarBorderColorSameAsPositive="0">
              <x14:cfvo type="autoMin"/>
              <x14:cfvo type="autoMax"/>
              <x14:borderColor rgb="FF63C384"/>
              <x14:negativeFillColor rgb="FFFF0000"/>
              <x14:negativeBorderColor rgb="FFFF0000"/>
              <x14:axisColor rgb="FF000000"/>
            </x14:dataBar>
          </x14:cfRule>
          <xm:sqref>AG118</xm:sqref>
        </x14:conditionalFormatting>
        <x14:conditionalFormatting xmlns:xm="http://schemas.microsoft.com/office/excel/2006/main">
          <x14:cfRule type="dataBar" id="{B440479D-79D7-4454-B44D-8FC5B5A4465A}">
            <x14:dataBar minLength="0" maxLength="100" border="1" negativeBarBorderColorSameAsPositive="0">
              <x14:cfvo type="autoMin"/>
              <x14:cfvo type="autoMax"/>
              <x14:borderColor rgb="FF63C384"/>
              <x14:negativeFillColor rgb="FFFF0000"/>
              <x14:negativeBorderColor rgb="FFFF0000"/>
              <x14:axisColor rgb="FF000000"/>
            </x14:dataBar>
          </x14:cfRule>
          <xm:sqref>AG119</xm:sqref>
        </x14:conditionalFormatting>
        <x14:conditionalFormatting xmlns:xm="http://schemas.microsoft.com/office/excel/2006/main">
          <x14:cfRule type="dataBar" id="{294C6E6E-C3F8-4637-A4B8-22CD1195A657}">
            <x14:dataBar minLength="0" maxLength="100" border="1" negativeBarBorderColorSameAsPositive="0">
              <x14:cfvo type="autoMin"/>
              <x14:cfvo type="autoMax"/>
              <x14:borderColor rgb="FF63C384"/>
              <x14:negativeFillColor rgb="FFFF0000"/>
              <x14:negativeBorderColor rgb="FFFF0000"/>
              <x14:axisColor rgb="FF000000"/>
            </x14:dataBar>
          </x14:cfRule>
          <xm:sqref>AG119</xm:sqref>
        </x14:conditionalFormatting>
        <x14:conditionalFormatting xmlns:xm="http://schemas.microsoft.com/office/excel/2006/main">
          <x14:cfRule type="dataBar" id="{128A122A-D256-4168-ADED-EFAD593DB8E6}">
            <x14:dataBar minLength="0" maxLength="100" border="1" negativeBarBorderColorSameAsPositive="0">
              <x14:cfvo type="autoMin"/>
              <x14:cfvo type="autoMax"/>
              <x14:borderColor rgb="FF63C384"/>
              <x14:negativeFillColor rgb="FFFF0000"/>
              <x14:negativeBorderColor rgb="FFFF0000"/>
              <x14:axisColor rgb="FF000000"/>
            </x14:dataBar>
          </x14:cfRule>
          <xm:sqref>AG120</xm:sqref>
        </x14:conditionalFormatting>
        <x14:conditionalFormatting xmlns:xm="http://schemas.microsoft.com/office/excel/2006/main">
          <x14:cfRule type="dataBar" id="{8E9BE57C-83AB-4181-9EC6-2687D310C3DC}">
            <x14:dataBar minLength="0" maxLength="100" border="1" negativeBarBorderColorSameAsPositive="0">
              <x14:cfvo type="autoMin"/>
              <x14:cfvo type="autoMax"/>
              <x14:borderColor rgb="FF63C384"/>
              <x14:negativeFillColor rgb="FFFF0000"/>
              <x14:negativeBorderColor rgb="FFFF0000"/>
              <x14:axisColor rgb="FF000000"/>
            </x14:dataBar>
          </x14:cfRule>
          <xm:sqref>AG120</xm:sqref>
        </x14:conditionalFormatting>
        <x14:conditionalFormatting xmlns:xm="http://schemas.microsoft.com/office/excel/2006/main">
          <x14:cfRule type="dataBar" id="{E686536E-5A9D-43A2-B7A6-BDDCB18AAFCC}">
            <x14:dataBar minLength="0" maxLength="100" border="1" negativeBarBorderColorSameAsPositive="0">
              <x14:cfvo type="autoMin"/>
              <x14:cfvo type="autoMax"/>
              <x14:borderColor rgb="FF63C384"/>
              <x14:negativeFillColor rgb="FFFF0000"/>
              <x14:negativeBorderColor rgb="FFFF0000"/>
              <x14:axisColor rgb="FF000000"/>
            </x14:dataBar>
          </x14:cfRule>
          <xm:sqref>AG121</xm:sqref>
        </x14:conditionalFormatting>
        <x14:conditionalFormatting xmlns:xm="http://schemas.microsoft.com/office/excel/2006/main">
          <x14:cfRule type="dataBar" id="{DC926F2B-72EF-4DDB-A60A-3DB71191DB59}">
            <x14:dataBar minLength="0" maxLength="100" border="1" negativeBarBorderColorSameAsPositive="0">
              <x14:cfvo type="autoMin"/>
              <x14:cfvo type="autoMax"/>
              <x14:borderColor rgb="FF63C384"/>
              <x14:negativeFillColor rgb="FFFF0000"/>
              <x14:negativeBorderColor rgb="FFFF0000"/>
              <x14:axisColor rgb="FF000000"/>
            </x14:dataBar>
          </x14:cfRule>
          <xm:sqref>AG121</xm:sqref>
        </x14:conditionalFormatting>
        <x14:conditionalFormatting xmlns:xm="http://schemas.microsoft.com/office/excel/2006/main">
          <x14:cfRule type="dataBar" id="{E6C9ABF9-F72E-4BD2-9444-5BCC0BF9852E}">
            <x14:dataBar minLength="0" maxLength="100" border="1" negativeBarBorderColorSameAsPositive="0">
              <x14:cfvo type="autoMin"/>
              <x14:cfvo type="autoMax"/>
              <x14:borderColor rgb="FF63C384"/>
              <x14:negativeFillColor rgb="FFFF0000"/>
              <x14:negativeBorderColor rgb="FFFF0000"/>
              <x14:axisColor rgb="FF000000"/>
            </x14:dataBar>
          </x14:cfRule>
          <xm:sqref>AG122</xm:sqref>
        </x14:conditionalFormatting>
        <x14:conditionalFormatting xmlns:xm="http://schemas.microsoft.com/office/excel/2006/main">
          <x14:cfRule type="dataBar" id="{15370EBD-437E-4180-9241-F7CA9422CC9F}">
            <x14:dataBar minLength="0" maxLength="100" border="1" negativeBarBorderColorSameAsPositive="0">
              <x14:cfvo type="autoMin"/>
              <x14:cfvo type="autoMax"/>
              <x14:borderColor rgb="FF63C384"/>
              <x14:negativeFillColor rgb="FFFF0000"/>
              <x14:negativeBorderColor rgb="FFFF0000"/>
              <x14:axisColor rgb="FF000000"/>
            </x14:dataBar>
          </x14:cfRule>
          <xm:sqref>AG122</xm:sqref>
        </x14:conditionalFormatting>
        <x14:conditionalFormatting xmlns:xm="http://schemas.microsoft.com/office/excel/2006/main">
          <x14:cfRule type="dataBar" id="{2D72A85F-FCFA-45A4-9F12-3631294B3262}">
            <x14:dataBar minLength="0" maxLength="100" border="1" negativeBarBorderColorSameAsPositive="0">
              <x14:cfvo type="autoMin"/>
              <x14:cfvo type="autoMax"/>
              <x14:borderColor rgb="FF63C384"/>
              <x14:negativeFillColor rgb="FFFF0000"/>
              <x14:negativeBorderColor rgb="FFFF0000"/>
              <x14:axisColor rgb="FF000000"/>
            </x14:dataBar>
          </x14:cfRule>
          <xm:sqref>AG123</xm:sqref>
        </x14:conditionalFormatting>
        <x14:conditionalFormatting xmlns:xm="http://schemas.microsoft.com/office/excel/2006/main">
          <x14:cfRule type="dataBar" id="{CAADA8E1-6555-4648-AD0D-92FB94533EE6}">
            <x14:dataBar minLength="0" maxLength="100" border="1" negativeBarBorderColorSameAsPositive="0">
              <x14:cfvo type="autoMin"/>
              <x14:cfvo type="autoMax"/>
              <x14:borderColor rgb="FF63C384"/>
              <x14:negativeFillColor rgb="FFFF0000"/>
              <x14:negativeBorderColor rgb="FFFF0000"/>
              <x14:axisColor rgb="FF000000"/>
            </x14:dataBar>
          </x14:cfRule>
          <xm:sqref>AG123</xm:sqref>
        </x14:conditionalFormatting>
        <x14:conditionalFormatting xmlns:xm="http://schemas.microsoft.com/office/excel/2006/main">
          <x14:cfRule type="dataBar" id="{E3345115-7BB4-4F48-8144-6DB1ED970524}">
            <x14:dataBar minLength="0" maxLength="100" border="1" negativeBarBorderColorSameAsPositive="0">
              <x14:cfvo type="autoMin"/>
              <x14:cfvo type="autoMax"/>
              <x14:borderColor rgb="FF63C384"/>
              <x14:negativeFillColor rgb="FFFF0000"/>
              <x14:negativeBorderColor rgb="FFFF0000"/>
              <x14:axisColor rgb="FF000000"/>
            </x14:dataBar>
          </x14:cfRule>
          <xm:sqref>AG124</xm:sqref>
        </x14:conditionalFormatting>
        <x14:conditionalFormatting xmlns:xm="http://schemas.microsoft.com/office/excel/2006/main">
          <x14:cfRule type="dataBar" id="{146BFECE-991D-4A04-856E-115C4513288C}">
            <x14:dataBar minLength="0" maxLength="100" border="1" negativeBarBorderColorSameAsPositive="0">
              <x14:cfvo type="autoMin"/>
              <x14:cfvo type="autoMax"/>
              <x14:borderColor rgb="FF63C384"/>
              <x14:negativeFillColor rgb="FFFF0000"/>
              <x14:negativeBorderColor rgb="FFFF0000"/>
              <x14:axisColor rgb="FF000000"/>
            </x14:dataBar>
          </x14:cfRule>
          <xm:sqref>AG124</xm:sqref>
        </x14:conditionalFormatting>
        <x14:conditionalFormatting xmlns:xm="http://schemas.microsoft.com/office/excel/2006/main">
          <x14:cfRule type="dataBar" id="{774B633A-5A21-4B1D-8CD9-61B7644A799F}">
            <x14:dataBar minLength="0" maxLength="100" border="1" negativeBarBorderColorSameAsPositive="0">
              <x14:cfvo type="autoMin"/>
              <x14:cfvo type="autoMax"/>
              <x14:borderColor rgb="FF63C384"/>
              <x14:negativeFillColor rgb="FFFF0000"/>
              <x14:negativeBorderColor rgb="FFFF0000"/>
              <x14:axisColor rgb="FF000000"/>
            </x14:dataBar>
          </x14:cfRule>
          <xm:sqref>AG125</xm:sqref>
        </x14:conditionalFormatting>
        <x14:conditionalFormatting xmlns:xm="http://schemas.microsoft.com/office/excel/2006/main">
          <x14:cfRule type="dataBar" id="{F9BD8727-F60C-43A7-926A-05963DBF4271}">
            <x14:dataBar minLength="0" maxLength="100" border="1" negativeBarBorderColorSameAsPositive="0">
              <x14:cfvo type="autoMin"/>
              <x14:cfvo type="autoMax"/>
              <x14:borderColor rgb="FF63C384"/>
              <x14:negativeFillColor rgb="FFFF0000"/>
              <x14:negativeBorderColor rgb="FFFF0000"/>
              <x14:axisColor rgb="FF000000"/>
            </x14:dataBar>
          </x14:cfRule>
          <xm:sqref>AG125</xm:sqref>
        </x14:conditionalFormatting>
        <x14:conditionalFormatting xmlns:xm="http://schemas.microsoft.com/office/excel/2006/main">
          <x14:cfRule type="dataBar" id="{30514EFF-31A0-4B69-BCDB-E406646F6642}">
            <x14:dataBar minLength="0" maxLength="100" border="1" negativeBarBorderColorSameAsPositive="0">
              <x14:cfvo type="autoMin"/>
              <x14:cfvo type="autoMax"/>
              <x14:borderColor rgb="FF63C384"/>
              <x14:negativeFillColor rgb="FFFF0000"/>
              <x14:negativeBorderColor rgb="FFFF0000"/>
              <x14:axisColor rgb="FF000000"/>
            </x14:dataBar>
          </x14:cfRule>
          <xm:sqref>AG126</xm:sqref>
        </x14:conditionalFormatting>
        <x14:conditionalFormatting xmlns:xm="http://schemas.microsoft.com/office/excel/2006/main">
          <x14:cfRule type="dataBar" id="{70012B07-2641-4BE1-9487-FB3657BD975B}">
            <x14:dataBar minLength="0" maxLength="100" border="1" negativeBarBorderColorSameAsPositive="0">
              <x14:cfvo type="autoMin"/>
              <x14:cfvo type="autoMax"/>
              <x14:borderColor rgb="FF63C384"/>
              <x14:negativeFillColor rgb="FFFF0000"/>
              <x14:negativeBorderColor rgb="FFFF0000"/>
              <x14:axisColor rgb="FF000000"/>
            </x14:dataBar>
          </x14:cfRule>
          <xm:sqref>AG126</xm:sqref>
        </x14:conditionalFormatting>
        <x14:conditionalFormatting xmlns:xm="http://schemas.microsoft.com/office/excel/2006/main">
          <x14:cfRule type="dataBar" id="{E2D26E97-E18A-4E98-87AA-7B6052B6A87C}">
            <x14:dataBar minLength="0" maxLength="100" border="1" negativeBarBorderColorSameAsPositive="0">
              <x14:cfvo type="autoMin"/>
              <x14:cfvo type="autoMax"/>
              <x14:borderColor rgb="FF63C384"/>
              <x14:negativeFillColor rgb="FFFF0000"/>
              <x14:negativeBorderColor rgb="FFFF0000"/>
              <x14:axisColor rgb="FF000000"/>
            </x14:dataBar>
          </x14:cfRule>
          <xm:sqref>AG127</xm:sqref>
        </x14:conditionalFormatting>
        <x14:conditionalFormatting xmlns:xm="http://schemas.microsoft.com/office/excel/2006/main">
          <x14:cfRule type="dataBar" id="{68636E9D-52F3-4E72-B20F-28CE91F0C027}">
            <x14:dataBar minLength="0" maxLength="100" border="1" negativeBarBorderColorSameAsPositive="0">
              <x14:cfvo type="autoMin"/>
              <x14:cfvo type="autoMax"/>
              <x14:borderColor rgb="FF63C384"/>
              <x14:negativeFillColor rgb="FFFF0000"/>
              <x14:negativeBorderColor rgb="FFFF0000"/>
              <x14:axisColor rgb="FF000000"/>
            </x14:dataBar>
          </x14:cfRule>
          <xm:sqref>AG127</xm:sqref>
        </x14:conditionalFormatting>
        <x14:conditionalFormatting xmlns:xm="http://schemas.microsoft.com/office/excel/2006/main">
          <x14:cfRule type="dataBar" id="{C1EB3327-E7D7-4A51-A5A7-78E3037035B3}">
            <x14:dataBar minLength="0" maxLength="100" border="1" negativeBarBorderColorSameAsPositive="0">
              <x14:cfvo type="autoMin"/>
              <x14:cfvo type="autoMax"/>
              <x14:borderColor rgb="FF63C384"/>
              <x14:negativeFillColor rgb="FFFF0000"/>
              <x14:negativeBorderColor rgb="FFFF0000"/>
              <x14:axisColor rgb="FF000000"/>
            </x14:dataBar>
          </x14:cfRule>
          <xm:sqref>AG128</xm:sqref>
        </x14:conditionalFormatting>
        <x14:conditionalFormatting xmlns:xm="http://schemas.microsoft.com/office/excel/2006/main">
          <x14:cfRule type="dataBar" id="{0A41D9C4-5984-47D6-BAC1-B8648677CBE9}">
            <x14:dataBar minLength="0" maxLength="100" border="1" negativeBarBorderColorSameAsPositive="0">
              <x14:cfvo type="autoMin"/>
              <x14:cfvo type="autoMax"/>
              <x14:borderColor rgb="FF63C384"/>
              <x14:negativeFillColor rgb="FFFF0000"/>
              <x14:negativeBorderColor rgb="FFFF0000"/>
              <x14:axisColor rgb="FF000000"/>
            </x14:dataBar>
          </x14:cfRule>
          <xm:sqref>AG128</xm:sqref>
        </x14:conditionalFormatting>
        <x14:conditionalFormatting xmlns:xm="http://schemas.microsoft.com/office/excel/2006/main">
          <x14:cfRule type="dataBar" id="{18408910-C9AA-43EE-B404-CB06933BBA24}">
            <x14:dataBar minLength="0" maxLength="100" border="1" negativeBarBorderColorSameAsPositive="0">
              <x14:cfvo type="autoMin"/>
              <x14:cfvo type="autoMax"/>
              <x14:borderColor rgb="FF63C384"/>
              <x14:negativeFillColor rgb="FFFF0000"/>
              <x14:negativeBorderColor rgb="FFFF0000"/>
              <x14:axisColor rgb="FF000000"/>
            </x14:dataBar>
          </x14:cfRule>
          <xm:sqref>AG129</xm:sqref>
        </x14:conditionalFormatting>
        <x14:conditionalFormatting xmlns:xm="http://schemas.microsoft.com/office/excel/2006/main">
          <x14:cfRule type="dataBar" id="{392BFDE1-5729-4063-A1EE-078AA43B3A85}">
            <x14:dataBar minLength="0" maxLength="100" border="1" negativeBarBorderColorSameAsPositive="0">
              <x14:cfvo type="autoMin"/>
              <x14:cfvo type="autoMax"/>
              <x14:borderColor rgb="FF63C384"/>
              <x14:negativeFillColor rgb="FFFF0000"/>
              <x14:negativeBorderColor rgb="FFFF0000"/>
              <x14:axisColor rgb="FF000000"/>
            </x14:dataBar>
          </x14:cfRule>
          <xm:sqref>AG129</xm:sqref>
        </x14:conditionalFormatting>
        <x14:conditionalFormatting xmlns:xm="http://schemas.microsoft.com/office/excel/2006/main">
          <x14:cfRule type="dataBar" id="{EDF4A5CC-15FC-42AC-AAD3-DDDBA6B2D6B0}">
            <x14:dataBar minLength="0" maxLength="100" border="1" negativeBarBorderColorSameAsPositive="0">
              <x14:cfvo type="autoMin"/>
              <x14:cfvo type="autoMax"/>
              <x14:borderColor rgb="FF63C384"/>
              <x14:negativeFillColor rgb="FFFF0000"/>
              <x14:negativeBorderColor rgb="FFFF0000"/>
              <x14:axisColor rgb="FF000000"/>
            </x14:dataBar>
          </x14:cfRule>
          <xm:sqref>AG130</xm:sqref>
        </x14:conditionalFormatting>
        <x14:conditionalFormatting xmlns:xm="http://schemas.microsoft.com/office/excel/2006/main">
          <x14:cfRule type="dataBar" id="{0FD7D263-2329-4210-8F4D-C35F480EF056}">
            <x14:dataBar minLength="0" maxLength="100" border="1" negativeBarBorderColorSameAsPositive="0">
              <x14:cfvo type="autoMin"/>
              <x14:cfvo type="autoMax"/>
              <x14:borderColor rgb="FF63C384"/>
              <x14:negativeFillColor rgb="FFFF0000"/>
              <x14:negativeBorderColor rgb="FFFF0000"/>
              <x14:axisColor rgb="FF000000"/>
            </x14:dataBar>
          </x14:cfRule>
          <xm:sqref>AG130</xm:sqref>
        </x14:conditionalFormatting>
        <x14:conditionalFormatting xmlns:xm="http://schemas.microsoft.com/office/excel/2006/main">
          <x14:cfRule type="dataBar" id="{DBB3E7C1-F263-47F4-AE32-931027B5821B}">
            <x14:dataBar minLength="0" maxLength="100" border="1" negativeBarBorderColorSameAsPositive="0">
              <x14:cfvo type="autoMin"/>
              <x14:cfvo type="autoMax"/>
              <x14:borderColor rgb="FF63C384"/>
              <x14:negativeFillColor rgb="FFFF0000"/>
              <x14:negativeBorderColor rgb="FFFF0000"/>
              <x14:axisColor rgb="FF000000"/>
            </x14:dataBar>
          </x14:cfRule>
          <xm:sqref>AG131</xm:sqref>
        </x14:conditionalFormatting>
        <x14:conditionalFormatting xmlns:xm="http://schemas.microsoft.com/office/excel/2006/main">
          <x14:cfRule type="dataBar" id="{198774C6-927B-453E-AAC5-507E4AFF6FF9}">
            <x14:dataBar minLength="0" maxLength="100" border="1" negativeBarBorderColorSameAsPositive="0">
              <x14:cfvo type="autoMin"/>
              <x14:cfvo type="autoMax"/>
              <x14:borderColor rgb="FF63C384"/>
              <x14:negativeFillColor rgb="FFFF0000"/>
              <x14:negativeBorderColor rgb="FFFF0000"/>
              <x14:axisColor rgb="FF000000"/>
            </x14:dataBar>
          </x14:cfRule>
          <xm:sqref>AG131</xm:sqref>
        </x14:conditionalFormatting>
        <x14:conditionalFormatting xmlns:xm="http://schemas.microsoft.com/office/excel/2006/main">
          <x14:cfRule type="dataBar" id="{FEBD0678-B0C6-412B-85D4-08A38AFB1FB5}">
            <x14:dataBar minLength="0" maxLength="100" border="1" negativeBarBorderColorSameAsPositive="0">
              <x14:cfvo type="autoMin"/>
              <x14:cfvo type="autoMax"/>
              <x14:borderColor rgb="FF63C384"/>
              <x14:negativeFillColor rgb="FFFF0000"/>
              <x14:negativeBorderColor rgb="FFFF0000"/>
              <x14:axisColor rgb="FF000000"/>
            </x14:dataBar>
          </x14:cfRule>
          <xm:sqref>AG131</xm:sqref>
        </x14:conditionalFormatting>
        <x14:conditionalFormatting xmlns:xm="http://schemas.microsoft.com/office/excel/2006/main">
          <x14:cfRule type="dataBar" id="{EB3F27D6-BA1F-4953-B655-1CFE0C1CEF8C}">
            <x14:dataBar minLength="0" maxLength="100" border="1" negativeBarBorderColorSameAsPositive="0">
              <x14:cfvo type="autoMin"/>
              <x14:cfvo type="autoMax"/>
              <x14:borderColor rgb="FF63C384"/>
              <x14:negativeFillColor rgb="FFFF0000"/>
              <x14:negativeBorderColor rgb="FFFF0000"/>
              <x14:axisColor rgb="FF000000"/>
            </x14:dataBar>
          </x14:cfRule>
          <xm:sqref>AG131</xm:sqref>
        </x14:conditionalFormatting>
        <x14:conditionalFormatting xmlns:xm="http://schemas.microsoft.com/office/excel/2006/main">
          <x14:cfRule type="dataBar" id="{EFB37FF8-4183-4006-B8F1-611011408DB0}">
            <x14:dataBar minLength="0" maxLength="100" border="1" negativeBarBorderColorSameAsPositive="0">
              <x14:cfvo type="autoMin"/>
              <x14:cfvo type="autoMax"/>
              <x14:borderColor rgb="FF63C384"/>
              <x14:negativeFillColor rgb="FFFF0000"/>
              <x14:negativeBorderColor rgb="FFFF0000"/>
              <x14:axisColor rgb="FF000000"/>
            </x14:dataBar>
          </x14:cfRule>
          <xm:sqref>AG132</xm:sqref>
        </x14:conditionalFormatting>
        <x14:conditionalFormatting xmlns:xm="http://schemas.microsoft.com/office/excel/2006/main">
          <x14:cfRule type="dataBar" id="{FD74946B-A4CE-47B7-93F1-0FFA9E8D2113}">
            <x14:dataBar minLength="0" maxLength="100" border="1" negativeBarBorderColorSameAsPositive="0">
              <x14:cfvo type="autoMin"/>
              <x14:cfvo type="autoMax"/>
              <x14:borderColor rgb="FF63C384"/>
              <x14:negativeFillColor rgb="FFFF0000"/>
              <x14:negativeBorderColor rgb="FFFF0000"/>
              <x14:axisColor rgb="FF000000"/>
            </x14:dataBar>
          </x14:cfRule>
          <xm:sqref>AG132</xm:sqref>
        </x14:conditionalFormatting>
        <x14:conditionalFormatting xmlns:xm="http://schemas.microsoft.com/office/excel/2006/main">
          <x14:cfRule type="dataBar" id="{11ABA8F8-2728-4608-AE08-CDEC79C60E9B}">
            <x14:dataBar minLength="0" maxLength="100" border="1" negativeBarBorderColorSameAsPositive="0">
              <x14:cfvo type="autoMin"/>
              <x14:cfvo type="autoMax"/>
              <x14:borderColor rgb="FF63C384"/>
              <x14:negativeFillColor rgb="FFFF0000"/>
              <x14:negativeBorderColor rgb="FFFF0000"/>
              <x14:axisColor rgb="FF000000"/>
            </x14:dataBar>
          </x14:cfRule>
          <xm:sqref>AG132</xm:sqref>
        </x14:conditionalFormatting>
        <x14:conditionalFormatting xmlns:xm="http://schemas.microsoft.com/office/excel/2006/main">
          <x14:cfRule type="dataBar" id="{45EE5624-69BD-45C3-89F0-BF12F98D9958}">
            <x14:dataBar minLength="0" maxLength="100" border="1" negativeBarBorderColorSameAsPositive="0">
              <x14:cfvo type="autoMin"/>
              <x14:cfvo type="autoMax"/>
              <x14:borderColor rgb="FF63C384"/>
              <x14:negativeFillColor rgb="FFFF0000"/>
              <x14:negativeBorderColor rgb="FFFF0000"/>
              <x14:axisColor rgb="FF000000"/>
            </x14:dataBar>
          </x14:cfRule>
          <xm:sqref>AG132</xm:sqref>
        </x14:conditionalFormatting>
        <x14:conditionalFormatting xmlns:xm="http://schemas.microsoft.com/office/excel/2006/main">
          <x14:cfRule type="dataBar" id="{4FC5B3EF-4DC7-42B5-B608-E1FB00AC0647}">
            <x14:dataBar minLength="0" maxLength="100" border="1" negativeBarBorderColorSameAsPositive="0">
              <x14:cfvo type="autoMin"/>
              <x14:cfvo type="autoMax"/>
              <x14:borderColor rgb="FF63C384"/>
              <x14:negativeFillColor rgb="FFFF0000"/>
              <x14:negativeBorderColor rgb="FFFF0000"/>
              <x14:axisColor rgb="FF000000"/>
            </x14:dataBar>
          </x14:cfRule>
          <xm:sqref>AG132</xm:sqref>
        </x14:conditionalFormatting>
        <x14:conditionalFormatting xmlns:xm="http://schemas.microsoft.com/office/excel/2006/main">
          <x14:cfRule type="dataBar" id="{6EE792AF-0228-4325-BC48-70EA8DE998B6}">
            <x14:dataBar minLength="0" maxLength="100" border="1" negativeBarBorderColorSameAsPositive="0">
              <x14:cfvo type="autoMin"/>
              <x14:cfvo type="autoMax"/>
              <x14:borderColor rgb="FF63C384"/>
              <x14:negativeFillColor rgb="FFFF0000"/>
              <x14:negativeBorderColor rgb="FFFF0000"/>
              <x14:axisColor rgb="FF000000"/>
            </x14:dataBar>
          </x14:cfRule>
          <xm:sqref>AG132</xm:sqref>
        </x14:conditionalFormatting>
        <x14:conditionalFormatting xmlns:xm="http://schemas.microsoft.com/office/excel/2006/main">
          <x14:cfRule type="dataBar" id="{E417533D-E735-47E8-87C7-115CFE8C3DA1}">
            <x14:dataBar minLength="0" maxLength="100" border="1" negativeBarBorderColorSameAsPositive="0">
              <x14:cfvo type="autoMin"/>
              <x14:cfvo type="autoMax"/>
              <x14:borderColor rgb="FF63C384"/>
              <x14:negativeFillColor rgb="FFFF0000"/>
              <x14:negativeBorderColor rgb="FFFF0000"/>
              <x14:axisColor rgb="FF000000"/>
            </x14:dataBar>
          </x14:cfRule>
          <xm:sqref>AG132</xm:sqref>
        </x14:conditionalFormatting>
        <x14:conditionalFormatting xmlns:xm="http://schemas.microsoft.com/office/excel/2006/main">
          <x14:cfRule type="dataBar" id="{FED6ECE8-F6F6-4609-867F-DA5074670D61}">
            <x14:dataBar minLength="0" maxLength="100" border="1" negativeBarBorderColorSameAsPositive="0">
              <x14:cfvo type="autoMin"/>
              <x14:cfvo type="autoMax"/>
              <x14:borderColor rgb="FF63C384"/>
              <x14:negativeFillColor rgb="FFFF0000"/>
              <x14:negativeBorderColor rgb="FFFF0000"/>
              <x14:axisColor rgb="FF000000"/>
            </x14:dataBar>
          </x14:cfRule>
          <xm:sqref>AG132</xm:sqref>
        </x14:conditionalFormatting>
        <x14:conditionalFormatting xmlns:xm="http://schemas.microsoft.com/office/excel/2006/main">
          <x14:cfRule type="dataBar" id="{D425FE88-0283-4AD9-AEA5-D5C69DD81DCF}">
            <x14:dataBar minLength="0" maxLength="100" border="1" negativeBarBorderColorSameAsPositive="0">
              <x14:cfvo type="autoMin"/>
              <x14:cfvo type="autoMax"/>
              <x14:borderColor rgb="FF63C384"/>
              <x14:negativeFillColor rgb="FFFF0000"/>
              <x14:negativeBorderColor rgb="FFFF0000"/>
              <x14:axisColor rgb="FF000000"/>
            </x14:dataBar>
          </x14:cfRule>
          <xm:sqref>AG133</xm:sqref>
        </x14:conditionalFormatting>
        <x14:conditionalFormatting xmlns:xm="http://schemas.microsoft.com/office/excel/2006/main">
          <x14:cfRule type="dataBar" id="{92CBAF00-D811-49B5-AEA8-F9FBA9C8E264}">
            <x14:dataBar minLength="0" maxLength="100" border="1" negativeBarBorderColorSameAsPositive="0">
              <x14:cfvo type="autoMin"/>
              <x14:cfvo type="autoMax"/>
              <x14:borderColor rgb="FF63C384"/>
              <x14:negativeFillColor rgb="FFFF0000"/>
              <x14:negativeBorderColor rgb="FFFF0000"/>
              <x14:axisColor rgb="FF000000"/>
            </x14:dataBar>
          </x14:cfRule>
          <xm:sqref>AG133</xm:sqref>
        </x14:conditionalFormatting>
        <x14:conditionalFormatting xmlns:xm="http://schemas.microsoft.com/office/excel/2006/main">
          <x14:cfRule type="dataBar" id="{FA23D198-E603-4C13-8016-C398EB77ABAE}">
            <x14:dataBar minLength="0" maxLength="100" border="1" negativeBarBorderColorSameAsPositive="0">
              <x14:cfvo type="autoMin"/>
              <x14:cfvo type="autoMax"/>
              <x14:borderColor rgb="FF63C384"/>
              <x14:negativeFillColor rgb="FFFF0000"/>
              <x14:negativeBorderColor rgb="FFFF0000"/>
              <x14:axisColor rgb="FF000000"/>
            </x14:dataBar>
          </x14:cfRule>
          <xm:sqref>AG134</xm:sqref>
        </x14:conditionalFormatting>
        <x14:conditionalFormatting xmlns:xm="http://schemas.microsoft.com/office/excel/2006/main">
          <x14:cfRule type="dataBar" id="{21C13F1A-CA97-4B6B-8AAA-17C9DD87EEBA}">
            <x14:dataBar minLength="0" maxLength="100" border="1" negativeBarBorderColorSameAsPositive="0">
              <x14:cfvo type="autoMin"/>
              <x14:cfvo type="autoMax"/>
              <x14:borderColor rgb="FF63C384"/>
              <x14:negativeFillColor rgb="FFFF0000"/>
              <x14:negativeBorderColor rgb="FFFF0000"/>
              <x14:axisColor rgb="FF000000"/>
            </x14:dataBar>
          </x14:cfRule>
          <xm:sqref>AG134</xm:sqref>
        </x14:conditionalFormatting>
        <x14:conditionalFormatting xmlns:xm="http://schemas.microsoft.com/office/excel/2006/main">
          <x14:cfRule type="dataBar" id="{B01FA2F9-C1BA-448F-90EB-71D3B27F09C7}">
            <x14:dataBar minLength="0" maxLength="100" border="1" negativeBarBorderColorSameAsPositive="0">
              <x14:cfvo type="autoMin"/>
              <x14:cfvo type="autoMax"/>
              <x14:borderColor rgb="FF63C384"/>
              <x14:negativeFillColor rgb="FFFF0000"/>
              <x14:negativeBorderColor rgb="FFFF0000"/>
              <x14:axisColor rgb="FF000000"/>
            </x14:dataBar>
          </x14:cfRule>
          <xm:sqref>AG135</xm:sqref>
        </x14:conditionalFormatting>
        <x14:conditionalFormatting xmlns:xm="http://schemas.microsoft.com/office/excel/2006/main">
          <x14:cfRule type="dataBar" id="{6AB3B42C-29ED-4FBC-A68D-9855D4B6A708}">
            <x14:dataBar minLength="0" maxLength="100" border="1" negativeBarBorderColorSameAsPositive="0">
              <x14:cfvo type="autoMin"/>
              <x14:cfvo type="autoMax"/>
              <x14:borderColor rgb="FF63C384"/>
              <x14:negativeFillColor rgb="FFFF0000"/>
              <x14:negativeBorderColor rgb="FFFF0000"/>
              <x14:axisColor rgb="FF000000"/>
            </x14:dataBar>
          </x14:cfRule>
          <xm:sqref>AG135</xm:sqref>
        </x14:conditionalFormatting>
        <x14:conditionalFormatting xmlns:xm="http://schemas.microsoft.com/office/excel/2006/main">
          <x14:cfRule type="dataBar" id="{07595043-CB11-41C8-AE5B-B64A28DCCB7B}">
            <x14:dataBar minLength="0" maxLength="100" border="1" negativeBarBorderColorSameAsPositive="0">
              <x14:cfvo type="autoMin"/>
              <x14:cfvo type="autoMax"/>
              <x14:borderColor rgb="FF63C384"/>
              <x14:negativeFillColor rgb="FFFF0000"/>
              <x14:negativeBorderColor rgb="FFFF0000"/>
              <x14:axisColor rgb="FF000000"/>
            </x14:dataBar>
          </x14:cfRule>
          <xm:sqref>AG136</xm:sqref>
        </x14:conditionalFormatting>
        <x14:conditionalFormatting xmlns:xm="http://schemas.microsoft.com/office/excel/2006/main">
          <x14:cfRule type="dataBar" id="{204F7A9D-BA15-417E-BF77-5836D4B458E4}">
            <x14:dataBar minLength="0" maxLength="100" border="1" negativeBarBorderColorSameAsPositive="0">
              <x14:cfvo type="autoMin"/>
              <x14:cfvo type="autoMax"/>
              <x14:borderColor rgb="FF63C384"/>
              <x14:negativeFillColor rgb="FFFF0000"/>
              <x14:negativeBorderColor rgb="FFFF0000"/>
              <x14:axisColor rgb="FF000000"/>
            </x14:dataBar>
          </x14:cfRule>
          <xm:sqref>AG136</xm:sqref>
        </x14:conditionalFormatting>
        <x14:conditionalFormatting xmlns:xm="http://schemas.microsoft.com/office/excel/2006/main">
          <x14:cfRule type="dataBar" id="{F6936457-3ED0-4890-A0FB-D033A969824E}">
            <x14:dataBar minLength="0" maxLength="100" border="1" negativeBarBorderColorSameAsPositive="0">
              <x14:cfvo type="autoMin"/>
              <x14:cfvo type="autoMax"/>
              <x14:borderColor rgb="FF63C384"/>
              <x14:negativeFillColor rgb="FFFF0000"/>
              <x14:negativeBorderColor rgb="FFFF0000"/>
              <x14:axisColor rgb="FF000000"/>
            </x14:dataBar>
          </x14:cfRule>
          <xm:sqref>AG137</xm:sqref>
        </x14:conditionalFormatting>
        <x14:conditionalFormatting xmlns:xm="http://schemas.microsoft.com/office/excel/2006/main">
          <x14:cfRule type="dataBar" id="{440F05D8-85AD-4517-9CD6-7DB952ED8C44}">
            <x14:dataBar minLength="0" maxLength="100" border="1" negativeBarBorderColorSameAsPositive="0">
              <x14:cfvo type="autoMin"/>
              <x14:cfvo type="autoMax"/>
              <x14:borderColor rgb="FF63C384"/>
              <x14:negativeFillColor rgb="FFFF0000"/>
              <x14:negativeBorderColor rgb="FFFF0000"/>
              <x14:axisColor rgb="FF000000"/>
            </x14:dataBar>
          </x14:cfRule>
          <xm:sqref>AG137</xm:sqref>
        </x14:conditionalFormatting>
        <x14:conditionalFormatting xmlns:xm="http://schemas.microsoft.com/office/excel/2006/main">
          <x14:cfRule type="dataBar" id="{2633D5F5-F757-41BE-8B06-FE819D97FE70}">
            <x14:dataBar minLength="0" maxLength="100" border="1" negativeBarBorderColorSameAsPositive="0">
              <x14:cfvo type="autoMin"/>
              <x14:cfvo type="autoMax"/>
              <x14:borderColor rgb="FF63C384"/>
              <x14:negativeFillColor rgb="FFFF0000"/>
              <x14:negativeBorderColor rgb="FFFF0000"/>
              <x14:axisColor rgb="FF000000"/>
            </x14:dataBar>
          </x14:cfRule>
          <xm:sqref>AG138</xm:sqref>
        </x14:conditionalFormatting>
        <x14:conditionalFormatting xmlns:xm="http://schemas.microsoft.com/office/excel/2006/main">
          <x14:cfRule type="dataBar" id="{4C287C5D-D82F-418A-B6F7-E08CEFA647F4}">
            <x14:dataBar minLength="0" maxLength="100" border="1" negativeBarBorderColorSameAsPositive="0">
              <x14:cfvo type="autoMin"/>
              <x14:cfvo type="autoMax"/>
              <x14:borderColor rgb="FF63C384"/>
              <x14:negativeFillColor rgb="FFFF0000"/>
              <x14:negativeBorderColor rgb="FFFF0000"/>
              <x14:axisColor rgb="FF000000"/>
            </x14:dataBar>
          </x14:cfRule>
          <xm:sqref>AG138</xm:sqref>
        </x14:conditionalFormatting>
        <x14:conditionalFormatting xmlns:xm="http://schemas.microsoft.com/office/excel/2006/main">
          <x14:cfRule type="dataBar" id="{5F349829-AD8C-4E44-806F-21BC4A4212E4}">
            <x14:dataBar minLength="0" maxLength="100" border="1" negativeBarBorderColorSameAsPositive="0">
              <x14:cfvo type="autoMin"/>
              <x14:cfvo type="autoMax"/>
              <x14:borderColor rgb="FF63C384"/>
              <x14:negativeFillColor rgb="FFFF0000"/>
              <x14:negativeBorderColor rgb="FFFF0000"/>
              <x14:axisColor rgb="FF000000"/>
            </x14:dataBar>
          </x14:cfRule>
          <xm:sqref>AG139</xm:sqref>
        </x14:conditionalFormatting>
        <x14:conditionalFormatting xmlns:xm="http://schemas.microsoft.com/office/excel/2006/main">
          <x14:cfRule type="dataBar" id="{D212EC1B-BE71-47A8-B423-9044883C7545}">
            <x14:dataBar minLength="0" maxLength="100" border="1" negativeBarBorderColorSameAsPositive="0">
              <x14:cfvo type="autoMin"/>
              <x14:cfvo type="autoMax"/>
              <x14:borderColor rgb="FF63C384"/>
              <x14:negativeFillColor rgb="FFFF0000"/>
              <x14:negativeBorderColor rgb="FFFF0000"/>
              <x14:axisColor rgb="FF000000"/>
            </x14:dataBar>
          </x14:cfRule>
          <xm:sqref>AG139</xm:sqref>
        </x14:conditionalFormatting>
        <x14:conditionalFormatting xmlns:xm="http://schemas.microsoft.com/office/excel/2006/main">
          <x14:cfRule type="dataBar" id="{1DB75D5A-CDCA-4BB6-8F6B-1B57F0F7A757}">
            <x14:dataBar minLength="0" maxLength="100" border="1" negativeBarBorderColorSameAsPositive="0">
              <x14:cfvo type="autoMin"/>
              <x14:cfvo type="autoMax"/>
              <x14:borderColor rgb="FF63C384"/>
              <x14:negativeFillColor rgb="FFFF0000"/>
              <x14:negativeBorderColor rgb="FFFF0000"/>
              <x14:axisColor rgb="FF000000"/>
            </x14:dataBar>
          </x14:cfRule>
          <xm:sqref>AG140</xm:sqref>
        </x14:conditionalFormatting>
        <x14:conditionalFormatting xmlns:xm="http://schemas.microsoft.com/office/excel/2006/main">
          <x14:cfRule type="dataBar" id="{4D304229-5B22-4E5F-8027-E331AE948F17}">
            <x14:dataBar minLength="0" maxLength="100" border="1" negativeBarBorderColorSameAsPositive="0">
              <x14:cfvo type="autoMin"/>
              <x14:cfvo type="autoMax"/>
              <x14:borderColor rgb="FF63C384"/>
              <x14:negativeFillColor rgb="FFFF0000"/>
              <x14:negativeBorderColor rgb="FFFF0000"/>
              <x14:axisColor rgb="FF000000"/>
            </x14:dataBar>
          </x14:cfRule>
          <xm:sqref>AG140</xm:sqref>
        </x14:conditionalFormatting>
        <x14:conditionalFormatting xmlns:xm="http://schemas.microsoft.com/office/excel/2006/main">
          <x14:cfRule type="dataBar" id="{0CA74A9B-A89E-42DC-9B6D-1693361594C2}">
            <x14:dataBar minLength="0" maxLength="100" border="1" negativeBarBorderColorSameAsPositive="0">
              <x14:cfvo type="autoMin"/>
              <x14:cfvo type="autoMax"/>
              <x14:borderColor rgb="FF63C384"/>
              <x14:negativeFillColor rgb="FFFF0000"/>
              <x14:negativeBorderColor rgb="FFFF0000"/>
              <x14:axisColor rgb="FF000000"/>
            </x14:dataBar>
          </x14:cfRule>
          <xm:sqref>AG141</xm:sqref>
        </x14:conditionalFormatting>
        <x14:conditionalFormatting xmlns:xm="http://schemas.microsoft.com/office/excel/2006/main">
          <x14:cfRule type="dataBar" id="{FCA7323D-A3EC-44D7-B452-0D6054D24345}">
            <x14:dataBar minLength="0" maxLength="100" border="1" negativeBarBorderColorSameAsPositive="0">
              <x14:cfvo type="autoMin"/>
              <x14:cfvo type="autoMax"/>
              <x14:borderColor rgb="FF63C384"/>
              <x14:negativeFillColor rgb="FFFF0000"/>
              <x14:negativeBorderColor rgb="FFFF0000"/>
              <x14:axisColor rgb="FF000000"/>
            </x14:dataBar>
          </x14:cfRule>
          <xm:sqref>AG141</xm:sqref>
        </x14:conditionalFormatting>
        <x14:conditionalFormatting xmlns:xm="http://schemas.microsoft.com/office/excel/2006/main">
          <x14:cfRule type="dataBar" id="{42225AF4-E8EA-4182-AA52-09D5D510869D}">
            <x14:dataBar minLength="0" maxLength="100" border="1" negativeBarBorderColorSameAsPositive="0">
              <x14:cfvo type="autoMin"/>
              <x14:cfvo type="autoMax"/>
              <x14:borderColor rgb="FF63C384"/>
              <x14:negativeFillColor rgb="FFFF0000"/>
              <x14:negativeBorderColor rgb="FFFF0000"/>
              <x14:axisColor rgb="FF000000"/>
            </x14:dataBar>
          </x14:cfRule>
          <xm:sqref>AG141</xm:sqref>
        </x14:conditionalFormatting>
        <x14:conditionalFormatting xmlns:xm="http://schemas.microsoft.com/office/excel/2006/main">
          <x14:cfRule type="dataBar" id="{DCC7CDFA-1405-45C4-934B-7193165673B4}">
            <x14:dataBar minLength="0" maxLength="100" border="1" negativeBarBorderColorSameAsPositive="0">
              <x14:cfvo type="autoMin"/>
              <x14:cfvo type="autoMax"/>
              <x14:borderColor rgb="FF63C384"/>
              <x14:negativeFillColor rgb="FFFF0000"/>
              <x14:negativeBorderColor rgb="FFFF0000"/>
              <x14:axisColor rgb="FF000000"/>
            </x14:dataBar>
          </x14:cfRule>
          <xm:sqref>AG141</xm:sqref>
        </x14:conditionalFormatting>
        <x14:conditionalFormatting xmlns:xm="http://schemas.microsoft.com/office/excel/2006/main">
          <x14:cfRule type="dataBar" id="{3E6B38E0-0C56-4F73-8803-293F45285620}">
            <x14:dataBar minLength="0" maxLength="100" border="1" negativeBarBorderColorSameAsPositive="0">
              <x14:cfvo type="autoMin"/>
              <x14:cfvo type="autoMax"/>
              <x14:borderColor rgb="FF63C384"/>
              <x14:negativeFillColor rgb="FFFF0000"/>
              <x14:negativeBorderColor rgb="FFFF0000"/>
              <x14:axisColor rgb="FF000000"/>
            </x14:dataBar>
          </x14:cfRule>
          <xm:sqref>AG142</xm:sqref>
        </x14:conditionalFormatting>
        <x14:conditionalFormatting xmlns:xm="http://schemas.microsoft.com/office/excel/2006/main">
          <x14:cfRule type="dataBar" id="{89488020-6971-42EF-9CD3-7FA4F34F36A4}">
            <x14:dataBar minLength="0" maxLength="100" border="1" negativeBarBorderColorSameAsPositive="0">
              <x14:cfvo type="autoMin"/>
              <x14:cfvo type="autoMax"/>
              <x14:borderColor rgb="FF63C384"/>
              <x14:negativeFillColor rgb="FFFF0000"/>
              <x14:negativeBorderColor rgb="FFFF0000"/>
              <x14:axisColor rgb="FF000000"/>
            </x14:dataBar>
          </x14:cfRule>
          <xm:sqref>AG142</xm:sqref>
        </x14:conditionalFormatting>
        <x14:conditionalFormatting xmlns:xm="http://schemas.microsoft.com/office/excel/2006/main">
          <x14:cfRule type="dataBar" id="{4A53320A-CE24-414C-83C6-01CC2DE39591}">
            <x14:dataBar minLength="0" maxLength="100" border="1" negativeBarBorderColorSameAsPositive="0">
              <x14:cfvo type="autoMin"/>
              <x14:cfvo type="autoMax"/>
              <x14:borderColor rgb="FF63C384"/>
              <x14:negativeFillColor rgb="FFFF0000"/>
              <x14:negativeBorderColor rgb="FFFF0000"/>
              <x14:axisColor rgb="FF000000"/>
            </x14:dataBar>
          </x14:cfRule>
          <xm:sqref>AG143</xm:sqref>
        </x14:conditionalFormatting>
        <x14:conditionalFormatting xmlns:xm="http://schemas.microsoft.com/office/excel/2006/main">
          <x14:cfRule type="dataBar" id="{075407F2-CAC1-49C9-8F91-E4E4B1DDA73E}">
            <x14:dataBar minLength="0" maxLength="100" border="1" negativeBarBorderColorSameAsPositive="0">
              <x14:cfvo type="autoMin"/>
              <x14:cfvo type="autoMax"/>
              <x14:borderColor rgb="FF63C384"/>
              <x14:negativeFillColor rgb="FFFF0000"/>
              <x14:negativeBorderColor rgb="FFFF0000"/>
              <x14:axisColor rgb="FF000000"/>
            </x14:dataBar>
          </x14:cfRule>
          <xm:sqref>AG143</xm:sqref>
        </x14:conditionalFormatting>
        <x14:conditionalFormatting xmlns:xm="http://schemas.microsoft.com/office/excel/2006/main">
          <x14:cfRule type="dataBar" id="{CA475EE2-8305-4717-BAFF-54A45A3CE77B}">
            <x14:dataBar minLength="0" maxLength="100" border="1" negativeBarBorderColorSameAsPositive="0">
              <x14:cfvo type="autoMin"/>
              <x14:cfvo type="autoMax"/>
              <x14:borderColor rgb="FF63C384"/>
              <x14:negativeFillColor rgb="FFFF0000"/>
              <x14:negativeBorderColor rgb="FFFF0000"/>
              <x14:axisColor rgb="FF000000"/>
            </x14:dataBar>
          </x14:cfRule>
          <xm:sqref>AG144</xm:sqref>
        </x14:conditionalFormatting>
        <x14:conditionalFormatting xmlns:xm="http://schemas.microsoft.com/office/excel/2006/main">
          <x14:cfRule type="dataBar" id="{CC326F99-AA17-4724-9E66-EB0393C63CB7}">
            <x14:dataBar minLength="0" maxLength="100" border="1" negativeBarBorderColorSameAsPositive="0">
              <x14:cfvo type="autoMin"/>
              <x14:cfvo type="autoMax"/>
              <x14:borderColor rgb="FF63C384"/>
              <x14:negativeFillColor rgb="FFFF0000"/>
              <x14:negativeBorderColor rgb="FFFF0000"/>
              <x14:axisColor rgb="FF000000"/>
            </x14:dataBar>
          </x14:cfRule>
          <xm:sqref>AG144</xm:sqref>
        </x14:conditionalFormatting>
        <x14:conditionalFormatting xmlns:xm="http://schemas.microsoft.com/office/excel/2006/main">
          <x14:cfRule type="dataBar" id="{6733471C-CC38-47D2-B1BE-1BAE095FD661}">
            <x14:dataBar minLength="0" maxLength="100" border="1" negativeBarBorderColorSameAsPositive="0">
              <x14:cfvo type="autoMin"/>
              <x14:cfvo type="autoMax"/>
              <x14:borderColor rgb="FF63C384"/>
              <x14:negativeFillColor rgb="FFFF0000"/>
              <x14:negativeBorderColor rgb="FFFF0000"/>
              <x14:axisColor rgb="FF000000"/>
            </x14:dataBar>
          </x14:cfRule>
          <xm:sqref>AG145</xm:sqref>
        </x14:conditionalFormatting>
        <x14:conditionalFormatting xmlns:xm="http://schemas.microsoft.com/office/excel/2006/main">
          <x14:cfRule type="dataBar" id="{27F3D8C1-7363-4970-B813-FF8B1BC3323B}">
            <x14:dataBar minLength="0" maxLength="100" border="1" negativeBarBorderColorSameAsPositive="0">
              <x14:cfvo type="autoMin"/>
              <x14:cfvo type="autoMax"/>
              <x14:borderColor rgb="FF63C384"/>
              <x14:negativeFillColor rgb="FFFF0000"/>
              <x14:negativeBorderColor rgb="FFFF0000"/>
              <x14:axisColor rgb="FF000000"/>
            </x14:dataBar>
          </x14:cfRule>
          <xm:sqref>AG145</xm:sqref>
        </x14:conditionalFormatting>
        <x14:conditionalFormatting xmlns:xm="http://schemas.microsoft.com/office/excel/2006/main">
          <x14:cfRule type="dataBar" id="{AB724692-3D43-4AA3-9424-82151317F6BD}">
            <x14:dataBar minLength="0" maxLength="100" border="1" negativeBarBorderColorSameAsPositive="0">
              <x14:cfvo type="autoMin"/>
              <x14:cfvo type="autoMax"/>
              <x14:borderColor rgb="FF63C384"/>
              <x14:negativeFillColor rgb="FFFF0000"/>
              <x14:negativeBorderColor rgb="FFFF0000"/>
              <x14:axisColor rgb="FF000000"/>
            </x14:dataBar>
          </x14:cfRule>
          <xm:sqref>AG146</xm:sqref>
        </x14:conditionalFormatting>
        <x14:conditionalFormatting xmlns:xm="http://schemas.microsoft.com/office/excel/2006/main">
          <x14:cfRule type="dataBar" id="{A686FCB6-A6E3-4D44-BEF9-C46637428209}">
            <x14:dataBar minLength="0" maxLength="100" border="1" negativeBarBorderColorSameAsPositive="0">
              <x14:cfvo type="autoMin"/>
              <x14:cfvo type="autoMax"/>
              <x14:borderColor rgb="FF63C384"/>
              <x14:negativeFillColor rgb="FFFF0000"/>
              <x14:negativeBorderColor rgb="FFFF0000"/>
              <x14:axisColor rgb="FF000000"/>
            </x14:dataBar>
          </x14:cfRule>
          <xm:sqref>AG146</xm:sqref>
        </x14:conditionalFormatting>
        <x14:conditionalFormatting xmlns:xm="http://schemas.microsoft.com/office/excel/2006/main">
          <x14:cfRule type="dataBar" id="{9E6A9D51-421B-421D-A66B-24B631CB364E}">
            <x14:dataBar minLength="0" maxLength="100" border="1" negativeBarBorderColorSameAsPositive="0">
              <x14:cfvo type="autoMin"/>
              <x14:cfvo type="autoMax"/>
              <x14:borderColor rgb="FF63C384"/>
              <x14:negativeFillColor rgb="FFFF0000"/>
              <x14:negativeBorderColor rgb="FFFF0000"/>
              <x14:axisColor rgb="FF000000"/>
            </x14:dataBar>
          </x14:cfRule>
          <xm:sqref>AG147</xm:sqref>
        </x14:conditionalFormatting>
        <x14:conditionalFormatting xmlns:xm="http://schemas.microsoft.com/office/excel/2006/main">
          <x14:cfRule type="dataBar" id="{84DE0FAA-C19D-45B7-A4EE-71790063691F}">
            <x14:dataBar minLength="0" maxLength="100" border="1" negativeBarBorderColorSameAsPositive="0">
              <x14:cfvo type="autoMin"/>
              <x14:cfvo type="autoMax"/>
              <x14:borderColor rgb="FF63C384"/>
              <x14:negativeFillColor rgb="FFFF0000"/>
              <x14:negativeBorderColor rgb="FFFF0000"/>
              <x14:axisColor rgb="FF000000"/>
            </x14:dataBar>
          </x14:cfRule>
          <xm:sqref>AG147</xm:sqref>
        </x14:conditionalFormatting>
        <x14:conditionalFormatting xmlns:xm="http://schemas.microsoft.com/office/excel/2006/main">
          <x14:cfRule type="dataBar" id="{B1B7FF50-17E0-44AD-B49C-232E75C819DA}">
            <x14:dataBar minLength="0" maxLength="100" border="1" negativeBarBorderColorSameAsPositive="0">
              <x14:cfvo type="autoMin"/>
              <x14:cfvo type="autoMax"/>
              <x14:borderColor rgb="FF63C384"/>
              <x14:negativeFillColor rgb="FFFF0000"/>
              <x14:negativeBorderColor rgb="FFFF0000"/>
              <x14:axisColor rgb="FF000000"/>
            </x14:dataBar>
          </x14:cfRule>
          <xm:sqref>AG147</xm:sqref>
        </x14:conditionalFormatting>
        <x14:conditionalFormatting xmlns:xm="http://schemas.microsoft.com/office/excel/2006/main">
          <x14:cfRule type="dataBar" id="{4D85B6D0-457F-4938-BD75-CF5E130CD10D}">
            <x14:dataBar minLength="0" maxLength="100" border="1" negativeBarBorderColorSameAsPositive="0">
              <x14:cfvo type="autoMin"/>
              <x14:cfvo type="autoMax"/>
              <x14:borderColor rgb="FF63C384"/>
              <x14:negativeFillColor rgb="FFFF0000"/>
              <x14:negativeBorderColor rgb="FFFF0000"/>
              <x14:axisColor rgb="FF000000"/>
            </x14:dataBar>
          </x14:cfRule>
          <xm:sqref>AG147</xm:sqref>
        </x14:conditionalFormatting>
        <x14:conditionalFormatting xmlns:xm="http://schemas.microsoft.com/office/excel/2006/main">
          <x14:cfRule type="dataBar" id="{809B84FE-B83B-4226-B8B9-373391A7D5F0}">
            <x14:dataBar minLength="0" maxLength="100" border="1" negativeBarBorderColorSameAsPositive="0">
              <x14:cfvo type="autoMin"/>
              <x14:cfvo type="autoMax"/>
              <x14:borderColor rgb="FF63C384"/>
              <x14:negativeFillColor rgb="FFFF0000"/>
              <x14:negativeBorderColor rgb="FFFF0000"/>
              <x14:axisColor rgb="FF000000"/>
            </x14:dataBar>
          </x14:cfRule>
          <xm:sqref>AG147</xm:sqref>
        </x14:conditionalFormatting>
        <x14:conditionalFormatting xmlns:xm="http://schemas.microsoft.com/office/excel/2006/main">
          <x14:cfRule type="dataBar" id="{009CAF7F-FAC9-4789-886D-B24E4B7D1BAF}">
            <x14:dataBar minLength="0" maxLength="100" border="1" negativeBarBorderColorSameAsPositive="0">
              <x14:cfvo type="autoMin"/>
              <x14:cfvo type="autoMax"/>
              <x14:borderColor rgb="FF63C384"/>
              <x14:negativeFillColor rgb="FFFF0000"/>
              <x14:negativeBorderColor rgb="FFFF0000"/>
              <x14:axisColor rgb="FF000000"/>
            </x14:dataBar>
          </x14:cfRule>
          <xm:sqref>AG147</xm:sqref>
        </x14:conditionalFormatting>
        <x14:conditionalFormatting xmlns:xm="http://schemas.microsoft.com/office/excel/2006/main">
          <x14:cfRule type="dataBar" id="{FA8D1F4A-E26E-43D9-A539-AAEA1954443B}">
            <x14:dataBar minLength="0" maxLength="100" border="1" negativeBarBorderColorSameAsPositive="0">
              <x14:cfvo type="autoMin"/>
              <x14:cfvo type="autoMax"/>
              <x14:borderColor rgb="FF63C384"/>
              <x14:negativeFillColor rgb="FFFF0000"/>
              <x14:negativeBorderColor rgb="FFFF0000"/>
              <x14:axisColor rgb="FF000000"/>
            </x14:dataBar>
          </x14:cfRule>
          <xm:sqref>AG147</xm:sqref>
        </x14:conditionalFormatting>
        <x14:conditionalFormatting xmlns:xm="http://schemas.microsoft.com/office/excel/2006/main">
          <x14:cfRule type="dataBar" id="{36315473-16F4-4510-9730-F6310847BFA1}">
            <x14:dataBar minLength="0" maxLength="100" border="1" negativeBarBorderColorSameAsPositive="0">
              <x14:cfvo type="autoMin"/>
              <x14:cfvo type="autoMax"/>
              <x14:borderColor rgb="FF63C384"/>
              <x14:negativeFillColor rgb="FFFF0000"/>
              <x14:negativeBorderColor rgb="FFFF0000"/>
              <x14:axisColor rgb="FF000000"/>
            </x14:dataBar>
          </x14:cfRule>
          <xm:sqref>AG147</xm:sqref>
        </x14:conditionalFormatting>
        <x14:conditionalFormatting xmlns:xm="http://schemas.microsoft.com/office/excel/2006/main">
          <x14:cfRule type="dataBar" id="{739972FB-49EB-4435-B6CA-790A621E1229}">
            <x14:dataBar minLength="0" maxLength="100" border="1" negativeBarBorderColorSameAsPositive="0">
              <x14:cfvo type="autoMin"/>
              <x14:cfvo type="autoMax"/>
              <x14:borderColor rgb="FF63C384"/>
              <x14:negativeFillColor rgb="FFFF0000"/>
              <x14:negativeBorderColor rgb="FFFF0000"/>
              <x14:axisColor rgb="FF000000"/>
            </x14:dataBar>
          </x14:cfRule>
          <xm:sqref>AG148</xm:sqref>
        </x14:conditionalFormatting>
        <x14:conditionalFormatting xmlns:xm="http://schemas.microsoft.com/office/excel/2006/main">
          <x14:cfRule type="dataBar" id="{8382A3C9-6EAB-4EB6-B054-E33FE602941F}">
            <x14:dataBar minLength="0" maxLength="100" border="1" negativeBarBorderColorSameAsPositive="0">
              <x14:cfvo type="autoMin"/>
              <x14:cfvo type="autoMax"/>
              <x14:borderColor rgb="FF63C384"/>
              <x14:negativeFillColor rgb="FFFF0000"/>
              <x14:negativeBorderColor rgb="FFFF0000"/>
              <x14:axisColor rgb="FF000000"/>
            </x14:dataBar>
          </x14:cfRule>
          <xm:sqref>AG148</xm:sqref>
        </x14:conditionalFormatting>
        <x14:conditionalFormatting xmlns:xm="http://schemas.microsoft.com/office/excel/2006/main">
          <x14:cfRule type="dataBar" id="{1E67E7B4-CE09-412B-8EFA-DB8B9CA850D6}">
            <x14:dataBar minLength="0" maxLength="100" border="1" negativeBarBorderColorSameAsPositive="0">
              <x14:cfvo type="autoMin"/>
              <x14:cfvo type="autoMax"/>
              <x14:borderColor rgb="FF63C384"/>
              <x14:negativeFillColor rgb="FFFF0000"/>
              <x14:negativeBorderColor rgb="FFFF0000"/>
              <x14:axisColor rgb="FF000000"/>
            </x14:dataBar>
          </x14:cfRule>
          <xm:sqref>AG149</xm:sqref>
        </x14:conditionalFormatting>
        <x14:conditionalFormatting xmlns:xm="http://schemas.microsoft.com/office/excel/2006/main">
          <x14:cfRule type="dataBar" id="{A491E08F-8CBA-4C39-AD5F-89B4E322467B}">
            <x14:dataBar minLength="0" maxLength="100" border="1" negativeBarBorderColorSameAsPositive="0">
              <x14:cfvo type="autoMin"/>
              <x14:cfvo type="autoMax"/>
              <x14:borderColor rgb="FF63C384"/>
              <x14:negativeFillColor rgb="FFFF0000"/>
              <x14:negativeBorderColor rgb="FFFF0000"/>
              <x14:axisColor rgb="FF000000"/>
            </x14:dataBar>
          </x14:cfRule>
          <xm:sqref>AG149</xm:sqref>
        </x14:conditionalFormatting>
        <x14:conditionalFormatting xmlns:xm="http://schemas.microsoft.com/office/excel/2006/main">
          <x14:cfRule type="dataBar" id="{B1904BF9-252D-4A9C-A8B0-68D10A2E079B}">
            <x14:dataBar minLength="0" maxLength="100" border="1" negativeBarBorderColorSameAsPositive="0">
              <x14:cfvo type="autoMin"/>
              <x14:cfvo type="autoMax"/>
              <x14:borderColor rgb="FF63C384"/>
              <x14:negativeFillColor rgb="FFFF0000"/>
              <x14:negativeBorderColor rgb="FFFF0000"/>
              <x14:axisColor rgb="FF000000"/>
            </x14:dataBar>
          </x14:cfRule>
          <xm:sqref>AG150</xm:sqref>
        </x14:conditionalFormatting>
        <x14:conditionalFormatting xmlns:xm="http://schemas.microsoft.com/office/excel/2006/main">
          <x14:cfRule type="dataBar" id="{69ECE7D5-9B25-4FB8-A405-9A7F2FE4A442}">
            <x14:dataBar minLength="0" maxLength="100" border="1" negativeBarBorderColorSameAsPositive="0">
              <x14:cfvo type="autoMin"/>
              <x14:cfvo type="autoMax"/>
              <x14:borderColor rgb="FF63C384"/>
              <x14:negativeFillColor rgb="FFFF0000"/>
              <x14:negativeBorderColor rgb="FFFF0000"/>
              <x14:axisColor rgb="FF000000"/>
            </x14:dataBar>
          </x14:cfRule>
          <xm:sqref>AG150</xm:sqref>
        </x14:conditionalFormatting>
        <x14:conditionalFormatting xmlns:xm="http://schemas.microsoft.com/office/excel/2006/main">
          <x14:cfRule type="dataBar" id="{30EDC619-83D4-489B-8A49-36B085F66156}">
            <x14:dataBar minLength="0" maxLength="100" border="1" negativeBarBorderColorSameAsPositive="0">
              <x14:cfvo type="autoMin"/>
              <x14:cfvo type="autoMax"/>
              <x14:borderColor rgb="FF63C384"/>
              <x14:negativeFillColor rgb="FFFF0000"/>
              <x14:negativeBorderColor rgb="FFFF0000"/>
              <x14:axisColor rgb="FF000000"/>
            </x14:dataBar>
          </x14:cfRule>
          <xm:sqref>AG151</xm:sqref>
        </x14:conditionalFormatting>
        <x14:conditionalFormatting xmlns:xm="http://schemas.microsoft.com/office/excel/2006/main">
          <x14:cfRule type="dataBar" id="{A7829C21-8848-4046-B0F9-153EE91C1D7E}">
            <x14:dataBar minLength="0" maxLength="100" border="1" negativeBarBorderColorSameAsPositive="0">
              <x14:cfvo type="autoMin"/>
              <x14:cfvo type="autoMax"/>
              <x14:borderColor rgb="FF63C384"/>
              <x14:negativeFillColor rgb="FFFF0000"/>
              <x14:negativeBorderColor rgb="FFFF0000"/>
              <x14:axisColor rgb="FF000000"/>
            </x14:dataBar>
          </x14:cfRule>
          <xm:sqref>AG151</xm:sqref>
        </x14:conditionalFormatting>
        <x14:conditionalFormatting xmlns:xm="http://schemas.microsoft.com/office/excel/2006/main">
          <x14:cfRule type="dataBar" id="{912F9BCF-B75D-40E0-B26D-133DD54EB21A}">
            <x14:dataBar minLength="0" maxLength="100" border="1" negativeBarBorderColorSameAsPositive="0">
              <x14:cfvo type="autoMin"/>
              <x14:cfvo type="autoMax"/>
              <x14:borderColor rgb="FF63C384"/>
              <x14:negativeFillColor rgb="FFFF0000"/>
              <x14:negativeBorderColor rgb="FFFF0000"/>
              <x14:axisColor rgb="FF000000"/>
            </x14:dataBar>
          </x14:cfRule>
          <xm:sqref>AG152</xm:sqref>
        </x14:conditionalFormatting>
        <x14:conditionalFormatting xmlns:xm="http://schemas.microsoft.com/office/excel/2006/main">
          <x14:cfRule type="dataBar" id="{C6F0319B-FF38-4A17-BEB2-78B45E31CEC3}">
            <x14:dataBar minLength="0" maxLength="100" border="1" negativeBarBorderColorSameAsPositive="0">
              <x14:cfvo type="autoMin"/>
              <x14:cfvo type="autoMax"/>
              <x14:borderColor rgb="FF63C384"/>
              <x14:negativeFillColor rgb="FFFF0000"/>
              <x14:negativeBorderColor rgb="FFFF0000"/>
              <x14:axisColor rgb="FF000000"/>
            </x14:dataBar>
          </x14:cfRule>
          <xm:sqref>AG152</xm:sqref>
        </x14:conditionalFormatting>
        <x14:conditionalFormatting xmlns:xm="http://schemas.microsoft.com/office/excel/2006/main">
          <x14:cfRule type="dataBar" id="{F1CAA1F4-173D-4063-AD40-0253C977B424}">
            <x14:dataBar minLength="0" maxLength="100" border="1" negativeBarBorderColorSameAsPositive="0">
              <x14:cfvo type="autoMin"/>
              <x14:cfvo type="autoMax"/>
              <x14:borderColor rgb="FF63C384"/>
              <x14:negativeFillColor rgb="FFFF0000"/>
              <x14:negativeBorderColor rgb="FFFF0000"/>
              <x14:axisColor rgb="FF000000"/>
            </x14:dataBar>
          </x14:cfRule>
          <xm:sqref>AG153</xm:sqref>
        </x14:conditionalFormatting>
        <x14:conditionalFormatting xmlns:xm="http://schemas.microsoft.com/office/excel/2006/main">
          <x14:cfRule type="dataBar" id="{46988DBD-348C-4567-9857-85691600AF4C}">
            <x14:dataBar minLength="0" maxLength="100" border="1" negativeBarBorderColorSameAsPositive="0">
              <x14:cfvo type="autoMin"/>
              <x14:cfvo type="autoMax"/>
              <x14:borderColor rgb="FF63C384"/>
              <x14:negativeFillColor rgb="FFFF0000"/>
              <x14:negativeBorderColor rgb="FFFF0000"/>
              <x14:axisColor rgb="FF000000"/>
            </x14:dataBar>
          </x14:cfRule>
          <xm:sqref>AG153</xm:sqref>
        </x14:conditionalFormatting>
        <x14:conditionalFormatting xmlns:xm="http://schemas.microsoft.com/office/excel/2006/main">
          <x14:cfRule type="dataBar" id="{E9248B9F-4732-4C49-BA59-FDBAED94E2B6}">
            <x14:dataBar minLength="0" maxLength="100" border="1" negativeBarBorderColorSameAsPositive="0">
              <x14:cfvo type="autoMin"/>
              <x14:cfvo type="autoMax"/>
              <x14:borderColor rgb="FF63C384"/>
              <x14:negativeFillColor rgb="FFFF0000"/>
              <x14:negativeBorderColor rgb="FFFF0000"/>
              <x14:axisColor rgb="FF000000"/>
            </x14:dataBar>
          </x14:cfRule>
          <xm:sqref>AG154</xm:sqref>
        </x14:conditionalFormatting>
        <x14:conditionalFormatting xmlns:xm="http://schemas.microsoft.com/office/excel/2006/main">
          <x14:cfRule type="dataBar" id="{10A7E0EF-6D1E-46A7-8604-3E3472940EE1}">
            <x14:dataBar minLength="0" maxLength="100" border="1" negativeBarBorderColorSameAsPositive="0">
              <x14:cfvo type="autoMin"/>
              <x14:cfvo type="autoMax"/>
              <x14:borderColor rgb="FF63C384"/>
              <x14:negativeFillColor rgb="FFFF0000"/>
              <x14:negativeBorderColor rgb="FFFF0000"/>
              <x14:axisColor rgb="FF000000"/>
            </x14:dataBar>
          </x14:cfRule>
          <xm:sqref>AG154</xm:sqref>
        </x14:conditionalFormatting>
        <x14:conditionalFormatting xmlns:xm="http://schemas.microsoft.com/office/excel/2006/main">
          <x14:cfRule type="dataBar" id="{3048D991-6E2F-419C-A011-16CE3EB8AECC}">
            <x14:dataBar minLength="0" maxLength="100" border="1" negativeBarBorderColorSameAsPositive="0">
              <x14:cfvo type="autoMin"/>
              <x14:cfvo type="autoMax"/>
              <x14:borderColor rgb="FF63C384"/>
              <x14:negativeFillColor rgb="FFFF0000"/>
              <x14:negativeBorderColor rgb="FFFF0000"/>
              <x14:axisColor rgb="FF000000"/>
            </x14:dataBar>
          </x14:cfRule>
          <xm:sqref>AG155</xm:sqref>
        </x14:conditionalFormatting>
        <x14:conditionalFormatting xmlns:xm="http://schemas.microsoft.com/office/excel/2006/main">
          <x14:cfRule type="dataBar" id="{FC8058B9-65CA-4B3B-A5DF-294F6F3110A7}">
            <x14:dataBar minLength="0" maxLength="100" border="1" negativeBarBorderColorSameAsPositive="0">
              <x14:cfvo type="autoMin"/>
              <x14:cfvo type="autoMax"/>
              <x14:borderColor rgb="FF63C384"/>
              <x14:negativeFillColor rgb="FFFF0000"/>
              <x14:negativeBorderColor rgb="FFFF0000"/>
              <x14:axisColor rgb="FF000000"/>
            </x14:dataBar>
          </x14:cfRule>
          <xm:sqref>AG155</xm:sqref>
        </x14:conditionalFormatting>
        <x14:conditionalFormatting xmlns:xm="http://schemas.microsoft.com/office/excel/2006/main">
          <x14:cfRule type="dataBar" id="{75FC50B0-E5FF-4A02-8037-6E8539103062}">
            <x14:dataBar minLength="0" maxLength="100" border="1" negativeBarBorderColorSameAsPositive="0">
              <x14:cfvo type="autoMin"/>
              <x14:cfvo type="autoMax"/>
              <x14:borderColor rgb="FF63C384"/>
              <x14:negativeFillColor rgb="FFFF0000"/>
              <x14:negativeBorderColor rgb="FFFF0000"/>
              <x14:axisColor rgb="FF000000"/>
            </x14:dataBar>
          </x14:cfRule>
          <xm:sqref>AG156</xm:sqref>
        </x14:conditionalFormatting>
        <x14:conditionalFormatting xmlns:xm="http://schemas.microsoft.com/office/excel/2006/main">
          <x14:cfRule type="dataBar" id="{F535DDDB-4482-4C4D-87BA-D76926A160FB}">
            <x14:dataBar minLength="0" maxLength="100" border="1" negativeBarBorderColorSameAsPositive="0">
              <x14:cfvo type="autoMin"/>
              <x14:cfvo type="autoMax"/>
              <x14:borderColor rgb="FF63C384"/>
              <x14:negativeFillColor rgb="FFFF0000"/>
              <x14:negativeBorderColor rgb="FFFF0000"/>
              <x14:axisColor rgb="FF000000"/>
            </x14:dataBar>
          </x14:cfRule>
          <xm:sqref>AG156</xm:sqref>
        </x14:conditionalFormatting>
        <x14:conditionalFormatting xmlns:xm="http://schemas.microsoft.com/office/excel/2006/main">
          <x14:cfRule type="dataBar" id="{A672A59F-E5FD-40D3-9E3A-AFDD045575F1}">
            <x14:dataBar minLength="0" maxLength="100" border="1" negativeBarBorderColorSameAsPositive="0">
              <x14:cfvo type="autoMin"/>
              <x14:cfvo type="autoMax"/>
              <x14:borderColor rgb="FF63C384"/>
              <x14:negativeFillColor rgb="FFFF0000"/>
              <x14:negativeBorderColor rgb="FFFF0000"/>
              <x14:axisColor rgb="FF000000"/>
            </x14:dataBar>
          </x14:cfRule>
          <xm:sqref>AG157</xm:sqref>
        </x14:conditionalFormatting>
        <x14:conditionalFormatting xmlns:xm="http://schemas.microsoft.com/office/excel/2006/main">
          <x14:cfRule type="dataBar" id="{535B3B5F-ED23-4224-972D-A7D6A5E1AC32}">
            <x14:dataBar minLength="0" maxLength="100" border="1" negativeBarBorderColorSameAsPositive="0">
              <x14:cfvo type="autoMin"/>
              <x14:cfvo type="autoMax"/>
              <x14:borderColor rgb="FF63C384"/>
              <x14:negativeFillColor rgb="FFFF0000"/>
              <x14:negativeBorderColor rgb="FFFF0000"/>
              <x14:axisColor rgb="FF000000"/>
            </x14:dataBar>
          </x14:cfRule>
          <xm:sqref>AG157</xm:sqref>
        </x14:conditionalFormatting>
        <x14:conditionalFormatting xmlns:xm="http://schemas.microsoft.com/office/excel/2006/main">
          <x14:cfRule type="dataBar" id="{C5E51254-DD24-4B5A-B582-784A89CEEA70}">
            <x14:dataBar minLength="0" maxLength="100" border="1" negativeBarBorderColorSameAsPositive="0">
              <x14:cfvo type="autoMin"/>
              <x14:cfvo type="autoMax"/>
              <x14:borderColor rgb="FF63C384"/>
              <x14:negativeFillColor rgb="FFFF0000"/>
              <x14:negativeBorderColor rgb="FFFF0000"/>
              <x14:axisColor rgb="FF000000"/>
            </x14:dataBar>
          </x14:cfRule>
          <xm:sqref>AG158</xm:sqref>
        </x14:conditionalFormatting>
        <x14:conditionalFormatting xmlns:xm="http://schemas.microsoft.com/office/excel/2006/main">
          <x14:cfRule type="dataBar" id="{C0AE664C-DE8D-46DD-AB8A-513096113DA3}">
            <x14:dataBar minLength="0" maxLength="100" border="1" negativeBarBorderColorSameAsPositive="0">
              <x14:cfvo type="autoMin"/>
              <x14:cfvo type="autoMax"/>
              <x14:borderColor rgb="FF63C384"/>
              <x14:negativeFillColor rgb="FFFF0000"/>
              <x14:negativeBorderColor rgb="FFFF0000"/>
              <x14:axisColor rgb="FF000000"/>
            </x14:dataBar>
          </x14:cfRule>
          <xm:sqref>AG158</xm:sqref>
        </x14:conditionalFormatting>
        <x14:conditionalFormatting xmlns:xm="http://schemas.microsoft.com/office/excel/2006/main">
          <x14:cfRule type="dataBar" id="{0F7A2090-EA15-4C51-B2AD-F8A52B80E3CC}">
            <x14:dataBar minLength="0" maxLength="100" border="1" negativeBarBorderColorSameAsPositive="0">
              <x14:cfvo type="autoMin"/>
              <x14:cfvo type="autoMax"/>
              <x14:borderColor rgb="FF63C384"/>
              <x14:negativeFillColor rgb="FFFF0000"/>
              <x14:negativeBorderColor rgb="FFFF0000"/>
              <x14:axisColor rgb="FF000000"/>
            </x14:dataBar>
          </x14:cfRule>
          <xm:sqref>AG159</xm:sqref>
        </x14:conditionalFormatting>
        <x14:conditionalFormatting xmlns:xm="http://schemas.microsoft.com/office/excel/2006/main">
          <x14:cfRule type="dataBar" id="{442D5C22-9FA0-4C37-BCA7-A9BEB014A2D0}">
            <x14:dataBar minLength="0" maxLength="100" border="1" negativeBarBorderColorSameAsPositive="0">
              <x14:cfvo type="autoMin"/>
              <x14:cfvo type="autoMax"/>
              <x14:borderColor rgb="FF63C384"/>
              <x14:negativeFillColor rgb="FFFF0000"/>
              <x14:negativeBorderColor rgb="FFFF0000"/>
              <x14:axisColor rgb="FF000000"/>
            </x14:dataBar>
          </x14:cfRule>
          <xm:sqref>AG159</xm:sqref>
        </x14:conditionalFormatting>
        <x14:conditionalFormatting xmlns:xm="http://schemas.microsoft.com/office/excel/2006/main">
          <x14:cfRule type="dataBar" id="{4813F664-6008-47F4-9D4F-2D185B0433CE}">
            <x14:dataBar minLength="0" maxLength="100" border="1" negativeBarBorderColorSameAsPositive="0">
              <x14:cfvo type="autoMin"/>
              <x14:cfvo type="autoMax"/>
              <x14:borderColor rgb="FF63C384"/>
              <x14:negativeFillColor rgb="FFFF0000"/>
              <x14:negativeBorderColor rgb="FFFF0000"/>
              <x14:axisColor rgb="FF000000"/>
            </x14:dataBar>
          </x14:cfRule>
          <xm:sqref>AG159</xm:sqref>
        </x14:conditionalFormatting>
        <x14:conditionalFormatting xmlns:xm="http://schemas.microsoft.com/office/excel/2006/main">
          <x14:cfRule type="dataBar" id="{23AEA19A-9265-40FB-A459-2F2E31225536}">
            <x14:dataBar minLength="0" maxLength="100" border="1" negativeBarBorderColorSameAsPositive="0">
              <x14:cfvo type="autoMin"/>
              <x14:cfvo type="autoMax"/>
              <x14:borderColor rgb="FF63C384"/>
              <x14:negativeFillColor rgb="FFFF0000"/>
              <x14:negativeBorderColor rgb="FFFF0000"/>
              <x14:axisColor rgb="FF000000"/>
            </x14:dataBar>
          </x14:cfRule>
          <xm:sqref>AG159</xm:sqref>
        </x14:conditionalFormatting>
        <x14:conditionalFormatting xmlns:xm="http://schemas.microsoft.com/office/excel/2006/main">
          <x14:cfRule type="dataBar" id="{FF632713-93C8-492A-866B-9683F20BA57A}">
            <x14:dataBar minLength="0" maxLength="100" border="1" negativeBarBorderColorSameAsPositive="0">
              <x14:cfvo type="autoMin"/>
              <x14:cfvo type="autoMax"/>
              <x14:borderColor rgb="FF63C384"/>
              <x14:negativeFillColor rgb="FFFF0000"/>
              <x14:negativeBorderColor rgb="FFFF0000"/>
              <x14:axisColor rgb="FF000000"/>
            </x14:dataBar>
          </x14:cfRule>
          <xm:sqref>AG160</xm:sqref>
        </x14:conditionalFormatting>
        <x14:conditionalFormatting xmlns:xm="http://schemas.microsoft.com/office/excel/2006/main">
          <x14:cfRule type="dataBar" id="{F81E7E91-32BA-4437-9874-3B5A2138BB3C}">
            <x14:dataBar minLength="0" maxLength="100" border="1" negativeBarBorderColorSameAsPositive="0">
              <x14:cfvo type="autoMin"/>
              <x14:cfvo type="autoMax"/>
              <x14:borderColor rgb="FF63C384"/>
              <x14:negativeFillColor rgb="FFFF0000"/>
              <x14:negativeBorderColor rgb="FFFF0000"/>
              <x14:axisColor rgb="FF000000"/>
            </x14:dataBar>
          </x14:cfRule>
          <xm:sqref>AG160</xm:sqref>
        </x14:conditionalFormatting>
        <x14:conditionalFormatting xmlns:xm="http://schemas.microsoft.com/office/excel/2006/main">
          <x14:cfRule type="dataBar" id="{8D14E725-6540-41EF-A2D1-A024B117D799}">
            <x14:dataBar minLength="0" maxLength="100" border="1" negativeBarBorderColorSameAsPositive="0">
              <x14:cfvo type="autoMin"/>
              <x14:cfvo type="autoMax"/>
              <x14:borderColor rgb="FF63C384"/>
              <x14:negativeFillColor rgb="FFFF0000"/>
              <x14:negativeBorderColor rgb="FFFF0000"/>
              <x14:axisColor rgb="FF000000"/>
            </x14:dataBar>
          </x14:cfRule>
          <xm:sqref>AG161</xm:sqref>
        </x14:conditionalFormatting>
        <x14:conditionalFormatting xmlns:xm="http://schemas.microsoft.com/office/excel/2006/main">
          <x14:cfRule type="dataBar" id="{7EC2370D-7606-46C1-8587-2BCDD4793B23}">
            <x14:dataBar minLength="0" maxLength="100" border="1" negativeBarBorderColorSameAsPositive="0">
              <x14:cfvo type="autoMin"/>
              <x14:cfvo type="autoMax"/>
              <x14:borderColor rgb="FF63C384"/>
              <x14:negativeFillColor rgb="FFFF0000"/>
              <x14:negativeBorderColor rgb="FFFF0000"/>
              <x14:axisColor rgb="FF000000"/>
            </x14:dataBar>
          </x14:cfRule>
          <xm:sqref>AG161</xm:sqref>
        </x14:conditionalFormatting>
        <x14:conditionalFormatting xmlns:xm="http://schemas.microsoft.com/office/excel/2006/main">
          <x14:cfRule type="dataBar" id="{39808307-8EF7-4B60-963D-20334EACBD56}">
            <x14:dataBar minLength="0" maxLength="100" border="1" negativeBarBorderColorSameAsPositive="0">
              <x14:cfvo type="autoMin"/>
              <x14:cfvo type="autoMax"/>
              <x14:borderColor rgb="FF63C384"/>
              <x14:negativeFillColor rgb="FFFF0000"/>
              <x14:negativeBorderColor rgb="FFFF0000"/>
              <x14:axisColor rgb="FF000000"/>
            </x14:dataBar>
          </x14:cfRule>
          <xm:sqref>AG162</xm:sqref>
        </x14:conditionalFormatting>
        <x14:conditionalFormatting xmlns:xm="http://schemas.microsoft.com/office/excel/2006/main">
          <x14:cfRule type="dataBar" id="{B776AEEC-34D0-4730-87CB-2CAB1FF31775}">
            <x14:dataBar minLength="0" maxLength="100" border="1" negativeBarBorderColorSameAsPositive="0">
              <x14:cfvo type="autoMin"/>
              <x14:cfvo type="autoMax"/>
              <x14:borderColor rgb="FF63C384"/>
              <x14:negativeFillColor rgb="FFFF0000"/>
              <x14:negativeBorderColor rgb="FFFF0000"/>
              <x14:axisColor rgb="FF000000"/>
            </x14:dataBar>
          </x14:cfRule>
          <xm:sqref>AG162</xm:sqref>
        </x14:conditionalFormatting>
        <x14:conditionalFormatting xmlns:xm="http://schemas.microsoft.com/office/excel/2006/main">
          <x14:cfRule type="dataBar" id="{586D216C-6D14-402E-B390-1AA1AB04B09C}">
            <x14:dataBar minLength="0" maxLength="100" border="1" negativeBarBorderColorSameAsPositive="0">
              <x14:cfvo type="autoMin"/>
              <x14:cfvo type="autoMax"/>
              <x14:borderColor rgb="FF63C384"/>
              <x14:negativeFillColor rgb="FFFF0000"/>
              <x14:negativeBorderColor rgb="FFFF0000"/>
              <x14:axisColor rgb="FF000000"/>
            </x14:dataBar>
          </x14:cfRule>
          <xm:sqref>AG162</xm:sqref>
        </x14:conditionalFormatting>
        <x14:conditionalFormatting xmlns:xm="http://schemas.microsoft.com/office/excel/2006/main">
          <x14:cfRule type="dataBar" id="{C8AF4290-6D44-40A4-A813-F8601644D983}">
            <x14:dataBar minLength="0" maxLength="100" border="1" negativeBarBorderColorSameAsPositive="0">
              <x14:cfvo type="autoMin"/>
              <x14:cfvo type="autoMax"/>
              <x14:borderColor rgb="FF63C384"/>
              <x14:negativeFillColor rgb="FFFF0000"/>
              <x14:negativeBorderColor rgb="FFFF0000"/>
              <x14:axisColor rgb="FF000000"/>
            </x14:dataBar>
          </x14:cfRule>
          <xm:sqref>AG162</xm:sqref>
        </x14:conditionalFormatting>
        <x14:conditionalFormatting xmlns:xm="http://schemas.microsoft.com/office/excel/2006/main">
          <x14:cfRule type="dataBar" id="{96052F57-0B43-436A-A548-D5E5D10A4E22}">
            <x14:dataBar minLength="0" maxLength="100" border="1" negativeBarBorderColorSameAsPositive="0">
              <x14:cfvo type="autoMin"/>
              <x14:cfvo type="autoMax"/>
              <x14:borderColor rgb="FF63C384"/>
              <x14:negativeFillColor rgb="FFFF0000"/>
              <x14:negativeBorderColor rgb="FFFF0000"/>
              <x14:axisColor rgb="FF000000"/>
            </x14:dataBar>
          </x14:cfRule>
          <xm:sqref>AG162</xm:sqref>
        </x14:conditionalFormatting>
        <x14:conditionalFormatting xmlns:xm="http://schemas.microsoft.com/office/excel/2006/main">
          <x14:cfRule type="dataBar" id="{208F54C7-CCC1-4A4B-854C-6C063EF932C8}">
            <x14:dataBar minLength="0" maxLength="100" border="1" negativeBarBorderColorSameAsPositive="0">
              <x14:cfvo type="autoMin"/>
              <x14:cfvo type="autoMax"/>
              <x14:borderColor rgb="FF63C384"/>
              <x14:negativeFillColor rgb="FFFF0000"/>
              <x14:negativeBorderColor rgb="FFFF0000"/>
              <x14:axisColor rgb="FF000000"/>
            </x14:dataBar>
          </x14:cfRule>
          <xm:sqref>AG162</xm:sqref>
        </x14:conditionalFormatting>
        <x14:conditionalFormatting xmlns:xm="http://schemas.microsoft.com/office/excel/2006/main">
          <x14:cfRule type="dataBar" id="{C20C7A83-4047-4F05-BFB6-C8B1157C79C8}">
            <x14:dataBar minLength="0" maxLength="100" border="1" negativeBarBorderColorSameAsPositive="0">
              <x14:cfvo type="autoMin"/>
              <x14:cfvo type="autoMax"/>
              <x14:borderColor rgb="FF63C384"/>
              <x14:negativeFillColor rgb="FFFF0000"/>
              <x14:negativeBorderColor rgb="FFFF0000"/>
              <x14:axisColor rgb="FF000000"/>
            </x14:dataBar>
          </x14:cfRule>
          <xm:sqref>AG162</xm:sqref>
        </x14:conditionalFormatting>
        <x14:conditionalFormatting xmlns:xm="http://schemas.microsoft.com/office/excel/2006/main">
          <x14:cfRule type="dataBar" id="{EA9BBA23-DE65-4C0E-9D56-E6A915886FA2}">
            <x14:dataBar minLength="0" maxLength="100" border="1" negativeBarBorderColorSameAsPositive="0">
              <x14:cfvo type="autoMin"/>
              <x14:cfvo type="autoMax"/>
              <x14:borderColor rgb="FF63C384"/>
              <x14:negativeFillColor rgb="FFFF0000"/>
              <x14:negativeBorderColor rgb="FFFF0000"/>
              <x14:axisColor rgb="FF000000"/>
            </x14:dataBar>
          </x14:cfRule>
          <xm:sqref>AG162</xm:sqref>
        </x14:conditionalFormatting>
        <x14:conditionalFormatting xmlns:xm="http://schemas.microsoft.com/office/excel/2006/main">
          <x14:cfRule type="dataBar" id="{9600155F-8794-4596-A851-89C117E2C2AF}">
            <x14:dataBar minLength="0" maxLength="100" border="1" negativeBarBorderColorSameAsPositive="0">
              <x14:cfvo type="autoMin"/>
              <x14:cfvo type="autoMax"/>
              <x14:borderColor rgb="FF63C384"/>
              <x14:negativeFillColor rgb="FFFF0000"/>
              <x14:negativeBorderColor rgb="FFFF0000"/>
              <x14:axisColor rgb="FF000000"/>
            </x14:dataBar>
          </x14:cfRule>
          <xm:sqref>AG163</xm:sqref>
        </x14:conditionalFormatting>
        <x14:conditionalFormatting xmlns:xm="http://schemas.microsoft.com/office/excel/2006/main">
          <x14:cfRule type="dataBar" id="{D49E9863-D1A8-48C0-9732-9CABA905F6BF}">
            <x14:dataBar minLength="0" maxLength="100" border="1" negativeBarBorderColorSameAsPositive="0">
              <x14:cfvo type="autoMin"/>
              <x14:cfvo type="autoMax"/>
              <x14:borderColor rgb="FF63C384"/>
              <x14:negativeFillColor rgb="FFFF0000"/>
              <x14:negativeBorderColor rgb="FFFF0000"/>
              <x14:axisColor rgb="FF000000"/>
            </x14:dataBar>
          </x14:cfRule>
          <xm:sqref>AG163</xm:sqref>
        </x14:conditionalFormatting>
        <x14:conditionalFormatting xmlns:xm="http://schemas.microsoft.com/office/excel/2006/main">
          <x14:cfRule type="dataBar" id="{A74479E4-781E-41CD-8825-4E98FCFF908B}">
            <x14:dataBar minLength="0" maxLength="100" border="1" negativeBarBorderColorSameAsPositive="0">
              <x14:cfvo type="autoMin"/>
              <x14:cfvo type="autoMax"/>
              <x14:borderColor rgb="FF63C384"/>
              <x14:negativeFillColor rgb="FFFF0000"/>
              <x14:negativeBorderColor rgb="FFFF0000"/>
              <x14:axisColor rgb="FF000000"/>
            </x14:dataBar>
          </x14:cfRule>
          <xm:sqref>AG164</xm:sqref>
        </x14:conditionalFormatting>
        <x14:conditionalFormatting xmlns:xm="http://schemas.microsoft.com/office/excel/2006/main">
          <x14:cfRule type="dataBar" id="{C0C92D15-70A1-421E-9276-A745933DFF42}">
            <x14:dataBar minLength="0" maxLength="100" border="1" negativeBarBorderColorSameAsPositive="0">
              <x14:cfvo type="autoMin"/>
              <x14:cfvo type="autoMax"/>
              <x14:borderColor rgb="FF63C384"/>
              <x14:negativeFillColor rgb="FFFF0000"/>
              <x14:negativeBorderColor rgb="FFFF0000"/>
              <x14:axisColor rgb="FF000000"/>
            </x14:dataBar>
          </x14:cfRule>
          <xm:sqref>AG164</xm:sqref>
        </x14:conditionalFormatting>
        <x14:conditionalFormatting xmlns:xm="http://schemas.microsoft.com/office/excel/2006/main">
          <x14:cfRule type="dataBar" id="{0DA6A759-7837-4D79-8893-F8F6E386F60C}">
            <x14:dataBar minLength="0" maxLength="100" border="1" negativeBarBorderColorSameAsPositive="0">
              <x14:cfvo type="autoMin"/>
              <x14:cfvo type="autoMax"/>
              <x14:borderColor rgb="FF63C384"/>
              <x14:negativeFillColor rgb="FFFF0000"/>
              <x14:negativeBorderColor rgb="FFFF0000"/>
              <x14:axisColor rgb="FF000000"/>
            </x14:dataBar>
          </x14:cfRule>
          <xm:sqref>AG165</xm:sqref>
        </x14:conditionalFormatting>
        <x14:conditionalFormatting xmlns:xm="http://schemas.microsoft.com/office/excel/2006/main">
          <x14:cfRule type="dataBar" id="{6240301C-F676-4B82-B99A-1285813A8A31}">
            <x14:dataBar minLength="0" maxLength="100" border="1" negativeBarBorderColorSameAsPositive="0">
              <x14:cfvo type="autoMin"/>
              <x14:cfvo type="autoMax"/>
              <x14:borderColor rgb="FF63C384"/>
              <x14:negativeFillColor rgb="FFFF0000"/>
              <x14:negativeBorderColor rgb="FFFF0000"/>
              <x14:axisColor rgb="FF000000"/>
            </x14:dataBar>
          </x14:cfRule>
          <xm:sqref>AG165</xm:sqref>
        </x14:conditionalFormatting>
        <x14:conditionalFormatting xmlns:xm="http://schemas.microsoft.com/office/excel/2006/main">
          <x14:cfRule type="dataBar" id="{37D842EE-21AF-4304-B221-904D9DE6615A}">
            <x14:dataBar minLength="0" maxLength="100" border="1" negativeBarBorderColorSameAsPositive="0">
              <x14:cfvo type="autoMin"/>
              <x14:cfvo type="autoMax"/>
              <x14:borderColor rgb="FF63C384"/>
              <x14:negativeFillColor rgb="FFFF0000"/>
              <x14:negativeBorderColor rgb="FFFF0000"/>
              <x14:axisColor rgb="FF000000"/>
            </x14:dataBar>
          </x14:cfRule>
          <xm:sqref>AG166</xm:sqref>
        </x14:conditionalFormatting>
        <x14:conditionalFormatting xmlns:xm="http://schemas.microsoft.com/office/excel/2006/main">
          <x14:cfRule type="dataBar" id="{0C956E4B-9AD3-43DF-8CC2-DAE529B2E357}">
            <x14:dataBar minLength="0" maxLength="100" border="1" negativeBarBorderColorSameAsPositive="0">
              <x14:cfvo type="autoMin"/>
              <x14:cfvo type="autoMax"/>
              <x14:borderColor rgb="FF63C384"/>
              <x14:negativeFillColor rgb="FFFF0000"/>
              <x14:negativeBorderColor rgb="FFFF0000"/>
              <x14:axisColor rgb="FF000000"/>
            </x14:dataBar>
          </x14:cfRule>
          <xm:sqref>AG166</xm:sqref>
        </x14:conditionalFormatting>
        <x14:conditionalFormatting xmlns:xm="http://schemas.microsoft.com/office/excel/2006/main">
          <x14:cfRule type="dataBar" id="{5A7F3695-96D9-47A1-8456-DF575254EDC7}">
            <x14:dataBar minLength="0" maxLength="100" border="1" negativeBarBorderColorSameAsPositive="0">
              <x14:cfvo type="autoMin"/>
              <x14:cfvo type="autoMax"/>
              <x14:borderColor rgb="FF63C384"/>
              <x14:negativeFillColor rgb="FFFF0000"/>
              <x14:negativeBorderColor rgb="FFFF0000"/>
              <x14:axisColor rgb="FF000000"/>
            </x14:dataBar>
          </x14:cfRule>
          <xm:sqref>AG167</xm:sqref>
        </x14:conditionalFormatting>
        <x14:conditionalFormatting xmlns:xm="http://schemas.microsoft.com/office/excel/2006/main">
          <x14:cfRule type="dataBar" id="{6325F6AD-A2B4-41DD-911A-1D1A8E53F4B9}">
            <x14:dataBar minLength="0" maxLength="100" border="1" negativeBarBorderColorSameAsPositive="0">
              <x14:cfvo type="autoMin"/>
              <x14:cfvo type="autoMax"/>
              <x14:borderColor rgb="FF63C384"/>
              <x14:negativeFillColor rgb="FFFF0000"/>
              <x14:negativeBorderColor rgb="FFFF0000"/>
              <x14:axisColor rgb="FF000000"/>
            </x14:dataBar>
          </x14:cfRule>
          <xm:sqref>AG167</xm:sqref>
        </x14:conditionalFormatting>
        <x14:conditionalFormatting xmlns:xm="http://schemas.microsoft.com/office/excel/2006/main">
          <x14:cfRule type="dataBar" id="{A0F0EB60-8EA4-492E-9E2C-86E1C0002630}">
            <x14:dataBar minLength="0" maxLength="100" border="1" negativeBarBorderColorSameAsPositive="0">
              <x14:cfvo type="autoMin"/>
              <x14:cfvo type="autoMax"/>
              <x14:borderColor rgb="FF63C384"/>
              <x14:negativeFillColor rgb="FFFF0000"/>
              <x14:negativeBorderColor rgb="FFFF0000"/>
              <x14:axisColor rgb="FF000000"/>
            </x14:dataBar>
          </x14:cfRule>
          <xm:sqref>AG168</xm:sqref>
        </x14:conditionalFormatting>
        <x14:conditionalFormatting xmlns:xm="http://schemas.microsoft.com/office/excel/2006/main">
          <x14:cfRule type="dataBar" id="{FD04A77F-CFE5-41C5-9F4E-36B151E28E6F}">
            <x14:dataBar minLength="0" maxLength="100" border="1" negativeBarBorderColorSameAsPositive="0">
              <x14:cfvo type="autoMin"/>
              <x14:cfvo type="autoMax"/>
              <x14:borderColor rgb="FF63C384"/>
              <x14:negativeFillColor rgb="FFFF0000"/>
              <x14:negativeBorderColor rgb="FFFF0000"/>
              <x14:axisColor rgb="FF000000"/>
            </x14:dataBar>
          </x14:cfRule>
          <xm:sqref>AG168</xm:sqref>
        </x14:conditionalFormatting>
        <x14:conditionalFormatting xmlns:xm="http://schemas.microsoft.com/office/excel/2006/main">
          <x14:cfRule type="dataBar" id="{BAFCB3FD-6D1F-4BA2-B8DC-E45CBBC3EB48}">
            <x14:dataBar minLength="0" maxLength="100" border="1" negativeBarBorderColorSameAsPositive="0">
              <x14:cfvo type="autoMin"/>
              <x14:cfvo type="autoMax"/>
              <x14:borderColor rgb="FF63C384"/>
              <x14:negativeFillColor rgb="FFFF0000"/>
              <x14:negativeBorderColor rgb="FFFF0000"/>
              <x14:axisColor rgb="FF000000"/>
            </x14:dataBar>
          </x14:cfRule>
          <xm:sqref>AG169</xm:sqref>
        </x14:conditionalFormatting>
        <x14:conditionalFormatting xmlns:xm="http://schemas.microsoft.com/office/excel/2006/main">
          <x14:cfRule type="dataBar" id="{573BC4EA-0989-4C99-BF9D-43AE10D2F590}">
            <x14:dataBar minLength="0" maxLength="100" border="1" negativeBarBorderColorSameAsPositive="0">
              <x14:cfvo type="autoMin"/>
              <x14:cfvo type="autoMax"/>
              <x14:borderColor rgb="FF63C384"/>
              <x14:negativeFillColor rgb="FFFF0000"/>
              <x14:negativeBorderColor rgb="FFFF0000"/>
              <x14:axisColor rgb="FF000000"/>
            </x14:dataBar>
          </x14:cfRule>
          <xm:sqref>AG169</xm:sqref>
        </x14:conditionalFormatting>
        <x14:conditionalFormatting xmlns:xm="http://schemas.microsoft.com/office/excel/2006/main">
          <x14:cfRule type="dataBar" id="{57047C05-7EC2-40B8-A33F-6BC3C767EC9C}">
            <x14:dataBar minLength="0" maxLength="100" border="1" negativeBarBorderColorSameAsPositive="0">
              <x14:cfvo type="autoMin"/>
              <x14:cfvo type="autoMax"/>
              <x14:borderColor rgb="FF63C384"/>
              <x14:negativeFillColor rgb="FFFF0000"/>
              <x14:negativeBorderColor rgb="FFFF0000"/>
              <x14:axisColor rgb="FF000000"/>
            </x14:dataBar>
          </x14:cfRule>
          <xm:sqref>AG170</xm:sqref>
        </x14:conditionalFormatting>
        <x14:conditionalFormatting xmlns:xm="http://schemas.microsoft.com/office/excel/2006/main">
          <x14:cfRule type="dataBar" id="{BCC1767A-4B10-473C-A7D3-FEB8C4E9E1BC}">
            <x14:dataBar minLength="0" maxLength="100" border="1" negativeBarBorderColorSameAsPositive="0">
              <x14:cfvo type="autoMin"/>
              <x14:cfvo type="autoMax"/>
              <x14:borderColor rgb="FF63C384"/>
              <x14:negativeFillColor rgb="FFFF0000"/>
              <x14:negativeBorderColor rgb="FFFF0000"/>
              <x14:axisColor rgb="FF000000"/>
            </x14:dataBar>
          </x14:cfRule>
          <xm:sqref>AG170</xm:sqref>
        </x14:conditionalFormatting>
        <x14:conditionalFormatting xmlns:xm="http://schemas.microsoft.com/office/excel/2006/main">
          <x14:cfRule type="dataBar" id="{2CFCC8A1-06B5-4A1E-92E8-EAC4A6FA99B3}">
            <x14:dataBar minLength="0" maxLength="100" border="1" negativeBarBorderColorSameAsPositive="0">
              <x14:cfvo type="autoMin"/>
              <x14:cfvo type="autoMax"/>
              <x14:borderColor rgb="FF63C384"/>
              <x14:negativeFillColor rgb="FFFF0000"/>
              <x14:negativeBorderColor rgb="FFFF0000"/>
              <x14:axisColor rgb="FF000000"/>
            </x14:dataBar>
          </x14:cfRule>
          <xm:sqref>AG171</xm:sqref>
        </x14:conditionalFormatting>
        <x14:conditionalFormatting xmlns:xm="http://schemas.microsoft.com/office/excel/2006/main">
          <x14:cfRule type="dataBar" id="{55ED58EA-94A2-4AF5-ACE8-D826F4F1B98F}">
            <x14:dataBar minLength="0" maxLength="100" border="1" negativeBarBorderColorSameAsPositive="0">
              <x14:cfvo type="autoMin"/>
              <x14:cfvo type="autoMax"/>
              <x14:borderColor rgb="FF63C384"/>
              <x14:negativeFillColor rgb="FFFF0000"/>
              <x14:negativeBorderColor rgb="FFFF0000"/>
              <x14:axisColor rgb="FF000000"/>
            </x14:dataBar>
          </x14:cfRule>
          <xm:sqref>AG171</xm:sqref>
        </x14:conditionalFormatting>
        <x14:conditionalFormatting xmlns:xm="http://schemas.microsoft.com/office/excel/2006/main">
          <x14:cfRule type="dataBar" id="{EA995765-1404-4126-B093-5D51252A4ADE}">
            <x14:dataBar minLength="0" maxLength="100" border="1" negativeBarBorderColorSameAsPositive="0">
              <x14:cfvo type="autoMin"/>
              <x14:cfvo type="autoMax"/>
              <x14:borderColor rgb="FF63C384"/>
              <x14:negativeFillColor rgb="FFFF0000"/>
              <x14:negativeBorderColor rgb="FFFF0000"/>
              <x14:axisColor rgb="FF000000"/>
            </x14:dataBar>
          </x14:cfRule>
          <xm:sqref>AG172</xm:sqref>
        </x14:conditionalFormatting>
        <x14:conditionalFormatting xmlns:xm="http://schemas.microsoft.com/office/excel/2006/main">
          <x14:cfRule type="dataBar" id="{FC3D94D8-60D0-4499-AEC9-4E6E8B421BCE}">
            <x14:dataBar minLength="0" maxLength="100" border="1" negativeBarBorderColorSameAsPositive="0">
              <x14:cfvo type="autoMin"/>
              <x14:cfvo type="autoMax"/>
              <x14:borderColor rgb="FF63C384"/>
              <x14:negativeFillColor rgb="FFFF0000"/>
              <x14:negativeBorderColor rgb="FFFF0000"/>
              <x14:axisColor rgb="FF000000"/>
            </x14:dataBar>
          </x14:cfRule>
          <xm:sqref>AG172</xm:sqref>
        </x14:conditionalFormatting>
        <x14:conditionalFormatting xmlns:xm="http://schemas.microsoft.com/office/excel/2006/main">
          <x14:cfRule type="dataBar" id="{B5E5AF28-25BF-421E-91C0-2FCF05BF8C9D}">
            <x14:dataBar minLength="0" maxLength="100" border="1" negativeBarBorderColorSameAsPositive="0">
              <x14:cfvo type="autoMin"/>
              <x14:cfvo type="autoMax"/>
              <x14:borderColor rgb="FF63C384"/>
              <x14:negativeFillColor rgb="FFFF0000"/>
              <x14:negativeBorderColor rgb="FFFF0000"/>
              <x14:axisColor rgb="FF000000"/>
            </x14:dataBar>
          </x14:cfRule>
          <xm:sqref>AG173</xm:sqref>
        </x14:conditionalFormatting>
        <x14:conditionalFormatting xmlns:xm="http://schemas.microsoft.com/office/excel/2006/main">
          <x14:cfRule type="dataBar" id="{6C8F693F-FF3D-4840-9C9E-7455C13E3690}">
            <x14:dataBar minLength="0" maxLength="100" border="1" negativeBarBorderColorSameAsPositive="0">
              <x14:cfvo type="autoMin"/>
              <x14:cfvo type="autoMax"/>
              <x14:borderColor rgb="FF63C384"/>
              <x14:negativeFillColor rgb="FFFF0000"/>
              <x14:negativeBorderColor rgb="FFFF0000"/>
              <x14:axisColor rgb="FF000000"/>
            </x14:dataBar>
          </x14:cfRule>
          <xm:sqref>AG173</xm:sqref>
        </x14:conditionalFormatting>
        <x14:conditionalFormatting xmlns:xm="http://schemas.microsoft.com/office/excel/2006/main">
          <x14:cfRule type="dataBar" id="{177D5B09-5806-47B4-86BC-358FD6596BCF}">
            <x14:dataBar minLength="0" maxLength="100" border="1" negativeBarBorderColorSameAsPositive="0">
              <x14:cfvo type="autoMin"/>
              <x14:cfvo type="autoMax"/>
              <x14:borderColor rgb="FF63C384"/>
              <x14:negativeFillColor rgb="FFFF0000"/>
              <x14:negativeBorderColor rgb="FFFF0000"/>
              <x14:axisColor rgb="FF000000"/>
            </x14:dataBar>
          </x14:cfRule>
          <xm:sqref>AG174</xm:sqref>
        </x14:conditionalFormatting>
        <x14:conditionalFormatting xmlns:xm="http://schemas.microsoft.com/office/excel/2006/main">
          <x14:cfRule type="dataBar" id="{6C227760-0FA8-480C-8CB5-3DCF6B0E2708}">
            <x14:dataBar minLength="0" maxLength="100" border="1" negativeBarBorderColorSameAsPositive="0">
              <x14:cfvo type="autoMin"/>
              <x14:cfvo type="autoMax"/>
              <x14:borderColor rgb="FF63C384"/>
              <x14:negativeFillColor rgb="FFFF0000"/>
              <x14:negativeBorderColor rgb="FFFF0000"/>
              <x14:axisColor rgb="FF000000"/>
            </x14:dataBar>
          </x14:cfRule>
          <xm:sqref>AG174</xm:sqref>
        </x14:conditionalFormatting>
        <x14:conditionalFormatting xmlns:xm="http://schemas.microsoft.com/office/excel/2006/main">
          <x14:cfRule type="dataBar" id="{B067E278-EF4C-4B72-9FBA-61375D20C3E6}">
            <x14:dataBar minLength="0" maxLength="100" border="1" negativeBarBorderColorSameAsPositive="0">
              <x14:cfvo type="autoMin"/>
              <x14:cfvo type="autoMax"/>
              <x14:borderColor rgb="FF63C384"/>
              <x14:negativeFillColor rgb="FFFF0000"/>
              <x14:negativeBorderColor rgb="FFFF0000"/>
              <x14:axisColor rgb="FF000000"/>
            </x14:dataBar>
          </x14:cfRule>
          <xm:sqref>AG175</xm:sqref>
        </x14:conditionalFormatting>
        <x14:conditionalFormatting xmlns:xm="http://schemas.microsoft.com/office/excel/2006/main">
          <x14:cfRule type="dataBar" id="{79372EE2-E9F3-49BD-9FB0-D3BB5644F5F0}">
            <x14:dataBar minLength="0" maxLength="100" border="1" negativeBarBorderColorSameAsPositive="0">
              <x14:cfvo type="autoMin"/>
              <x14:cfvo type="autoMax"/>
              <x14:borderColor rgb="FF63C384"/>
              <x14:negativeFillColor rgb="FFFF0000"/>
              <x14:negativeBorderColor rgb="FFFF0000"/>
              <x14:axisColor rgb="FF000000"/>
            </x14:dataBar>
          </x14:cfRule>
          <xm:sqref>AG175</xm:sqref>
        </x14:conditionalFormatting>
        <x14:conditionalFormatting xmlns:xm="http://schemas.microsoft.com/office/excel/2006/main">
          <x14:cfRule type="dataBar" id="{65A17936-8F8A-4D48-8317-296C9CE70536}">
            <x14:dataBar minLength="0" maxLength="100" border="1" negativeBarBorderColorSameAsPositive="0">
              <x14:cfvo type="autoMin"/>
              <x14:cfvo type="autoMax"/>
              <x14:borderColor rgb="FF63C384"/>
              <x14:negativeFillColor rgb="FFFF0000"/>
              <x14:negativeBorderColor rgb="FFFF0000"/>
              <x14:axisColor rgb="FF000000"/>
            </x14:dataBar>
          </x14:cfRule>
          <xm:sqref>AG176</xm:sqref>
        </x14:conditionalFormatting>
        <x14:conditionalFormatting xmlns:xm="http://schemas.microsoft.com/office/excel/2006/main">
          <x14:cfRule type="dataBar" id="{6B84E0AF-B9C9-4725-88CC-3AE46BD6111F}">
            <x14:dataBar minLength="0" maxLength="100" border="1" negativeBarBorderColorSameAsPositive="0">
              <x14:cfvo type="autoMin"/>
              <x14:cfvo type="autoMax"/>
              <x14:borderColor rgb="FF63C384"/>
              <x14:negativeFillColor rgb="FFFF0000"/>
              <x14:negativeBorderColor rgb="FFFF0000"/>
              <x14:axisColor rgb="FF000000"/>
            </x14:dataBar>
          </x14:cfRule>
          <xm:sqref>AG176</xm:sqref>
        </x14:conditionalFormatting>
        <x14:conditionalFormatting xmlns:xm="http://schemas.microsoft.com/office/excel/2006/main">
          <x14:cfRule type="dataBar" id="{2B40D1DC-A000-4665-9971-53E55D4F1C98}">
            <x14:dataBar minLength="0" maxLength="100" border="1" negativeBarBorderColorSameAsPositive="0">
              <x14:cfvo type="autoMin"/>
              <x14:cfvo type="autoMax"/>
              <x14:borderColor rgb="FF63C384"/>
              <x14:negativeFillColor rgb="FFFF0000"/>
              <x14:negativeBorderColor rgb="FFFF0000"/>
              <x14:axisColor rgb="FF000000"/>
            </x14:dataBar>
          </x14:cfRule>
          <xm:sqref>AG177</xm:sqref>
        </x14:conditionalFormatting>
        <x14:conditionalFormatting xmlns:xm="http://schemas.microsoft.com/office/excel/2006/main">
          <x14:cfRule type="dataBar" id="{4FFB3410-CCC5-4DE3-93FE-56D4936E3137}">
            <x14:dataBar minLength="0" maxLength="100" border="1" negativeBarBorderColorSameAsPositive="0">
              <x14:cfvo type="autoMin"/>
              <x14:cfvo type="autoMax"/>
              <x14:borderColor rgb="FF63C384"/>
              <x14:negativeFillColor rgb="FFFF0000"/>
              <x14:negativeBorderColor rgb="FFFF0000"/>
              <x14:axisColor rgb="FF000000"/>
            </x14:dataBar>
          </x14:cfRule>
          <xm:sqref>AG177</xm:sqref>
        </x14:conditionalFormatting>
        <x14:conditionalFormatting xmlns:xm="http://schemas.microsoft.com/office/excel/2006/main">
          <x14:cfRule type="dataBar" id="{2EBD755E-B6A8-4391-A1E1-67B1B9E4C952}">
            <x14:dataBar minLength="0" maxLength="100" border="1" negativeBarBorderColorSameAsPositive="0">
              <x14:cfvo type="autoMin"/>
              <x14:cfvo type="autoMax"/>
              <x14:borderColor rgb="FF63C384"/>
              <x14:negativeFillColor rgb="FFFF0000"/>
              <x14:negativeBorderColor rgb="FFFF0000"/>
              <x14:axisColor rgb="FF000000"/>
            </x14:dataBar>
          </x14:cfRule>
          <xm:sqref>AG178</xm:sqref>
        </x14:conditionalFormatting>
        <x14:conditionalFormatting xmlns:xm="http://schemas.microsoft.com/office/excel/2006/main">
          <x14:cfRule type="dataBar" id="{32199BD9-C25C-46C8-8609-E5470E83A905}">
            <x14:dataBar minLength="0" maxLength="100" border="1" negativeBarBorderColorSameAsPositive="0">
              <x14:cfvo type="autoMin"/>
              <x14:cfvo type="autoMax"/>
              <x14:borderColor rgb="FF63C384"/>
              <x14:negativeFillColor rgb="FFFF0000"/>
              <x14:negativeBorderColor rgb="FFFF0000"/>
              <x14:axisColor rgb="FF000000"/>
            </x14:dataBar>
          </x14:cfRule>
          <xm:sqref>AG178</xm:sqref>
        </x14:conditionalFormatting>
        <x14:conditionalFormatting xmlns:xm="http://schemas.microsoft.com/office/excel/2006/main">
          <x14:cfRule type="dataBar" id="{03844C1A-C2C9-4DEB-B7B8-9C3567945EB2}">
            <x14:dataBar minLength="0" maxLength="100" border="1" negativeBarBorderColorSameAsPositive="0">
              <x14:cfvo type="autoMin"/>
              <x14:cfvo type="autoMax"/>
              <x14:borderColor rgb="FF63C384"/>
              <x14:negativeFillColor rgb="FFFF0000"/>
              <x14:negativeBorderColor rgb="FFFF0000"/>
              <x14:axisColor rgb="FF000000"/>
            </x14:dataBar>
          </x14:cfRule>
          <xm:sqref>AG179</xm:sqref>
        </x14:conditionalFormatting>
        <x14:conditionalFormatting xmlns:xm="http://schemas.microsoft.com/office/excel/2006/main">
          <x14:cfRule type="dataBar" id="{B19F7987-8196-430E-AFC7-6DBF04B07D44}">
            <x14:dataBar minLength="0" maxLength="100" border="1" negativeBarBorderColorSameAsPositive="0">
              <x14:cfvo type="autoMin"/>
              <x14:cfvo type="autoMax"/>
              <x14:borderColor rgb="FF63C384"/>
              <x14:negativeFillColor rgb="FFFF0000"/>
              <x14:negativeBorderColor rgb="FFFF0000"/>
              <x14:axisColor rgb="FF000000"/>
            </x14:dataBar>
          </x14:cfRule>
          <xm:sqref>AG179</xm:sqref>
        </x14:conditionalFormatting>
        <x14:conditionalFormatting xmlns:xm="http://schemas.microsoft.com/office/excel/2006/main">
          <x14:cfRule type="dataBar" id="{FFD42252-0A03-46A3-B1E0-57ECD8E6846E}">
            <x14:dataBar minLength="0" maxLength="100" border="1" negativeBarBorderColorSameAsPositive="0">
              <x14:cfvo type="autoMin"/>
              <x14:cfvo type="autoMax"/>
              <x14:borderColor rgb="FF63C384"/>
              <x14:negativeFillColor rgb="FFFF0000"/>
              <x14:negativeBorderColor rgb="FFFF0000"/>
              <x14:axisColor rgb="FF000000"/>
            </x14:dataBar>
          </x14:cfRule>
          <xm:sqref>AG179</xm:sqref>
        </x14:conditionalFormatting>
        <x14:conditionalFormatting xmlns:xm="http://schemas.microsoft.com/office/excel/2006/main">
          <x14:cfRule type="dataBar" id="{DDAC0149-3BFD-4CB2-B872-CF58BB3592FB}">
            <x14:dataBar minLength="0" maxLength="100" border="1" negativeBarBorderColorSameAsPositive="0">
              <x14:cfvo type="autoMin"/>
              <x14:cfvo type="autoMax"/>
              <x14:borderColor rgb="FF63C384"/>
              <x14:negativeFillColor rgb="FFFF0000"/>
              <x14:negativeBorderColor rgb="FFFF0000"/>
              <x14:axisColor rgb="FF000000"/>
            </x14:dataBar>
          </x14:cfRule>
          <xm:sqref>AG179</xm:sqref>
        </x14:conditionalFormatting>
        <x14:conditionalFormatting xmlns:xm="http://schemas.microsoft.com/office/excel/2006/main">
          <x14:cfRule type="dataBar" id="{BB33A9EA-D6C6-4ECA-AEBC-89F5BED06A1B}">
            <x14:dataBar minLength="0" maxLength="100" border="1" negativeBarBorderColorSameAsPositive="0">
              <x14:cfvo type="autoMin"/>
              <x14:cfvo type="autoMax"/>
              <x14:borderColor rgb="FF63C384"/>
              <x14:negativeFillColor rgb="FFFF0000"/>
              <x14:negativeBorderColor rgb="FFFF0000"/>
              <x14:axisColor rgb="FF000000"/>
            </x14:dataBar>
          </x14:cfRule>
          <xm:sqref>AG180</xm:sqref>
        </x14:conditionalFormatting>
        <x14:conditionalFormatting xmlns:xm="http://schemas.microsoft.com/office/excel/2006/main">
          <x14:cfRule type="dataBar" id="{BCCB8F82-37C5-4819-9664-6FFE31C27B54}">
            <x14:dataBar minLength="0" maxLength="100" border="1" negativeBarBorderColorSameAsPositive="0">
              <x14:cfvo type="autoMin"/>
              <x14:cfvo type="autoMax"/>
              <x14:borderColor rgb="FF63C384"/>
              <x14:negativeFillColor rgb="FFFF0000"/>
              <x14:negativeBorderColor rgb="FFFF0000"/>
              <x14:axisColor rgb="FF000000"/>
            </x14:dataBar>
          </x14:cfRule>
          <xm:sqref>AG180</xm:sqref>
        </x14:conditionalFormatting>
        <x14:conditionalFormatting xmlns:xm="http://schemas.microsoft.com/office/excel/2006/main">
          <x14:cfRule type="dataBar" id="{437EC3A8-D3EF-4AF7-834B-D3A0B17BB798}">
            <x14:dataBar minLength="0" maxLength="100" border="1" negativeBarBorderColorSameAsPositive="0">
              <x14:cfvo type="autoMin"/>
              <x14:cfvo type="autoMax"/>
              <x14:borderColor rgb="FF63C384"/>
              <x14:negativeFillColor rgb="FFFF0000"/>
              <x14:negativeBorderColor rgb="FFFF0000"/>
              <x14:axisColor rgb="FF000000"/>
            </x14:dataBar>
          </x14:cfRule>
          <xm:sqref>AG180</xm:sqref>
        </x14:conditionalFormatting>
        <x14:conditionalFormatting xmlns:xm="http://schemas.microsoft.com/office/excel/2006/main">
          <x14:cfRule type="dataBar" id="{E037DBE2-00FD-4CC6-BBFF-4BD1002EDB39}">
            <x14:dataBar minLength="0" maxLength="100" border="1" negativeBarBorderColorSameAsPositive="0">
              <x14:cfvo type="autoMin"/>
              <x14:cfvo type="autoMax"/>
              <x14:borderColor rgb="FF63C384"/>
              <x14:negativeFillColor rgb="FFFF0000"/>
              <x14:negativeBorderColor rgb="FFFF0000"/>
              <x14:axisColor rgb="FF000000"/>
            </x14:dataBar>
          </x14:cfRule>
          <xm:sqref>AG180</xm:sqref>
        </x14:conditionalFormatting>
        <x14:conditionalFormatting xmlns:xm="http://schemas.microsoft.com/office/excel/2006/main">
          <x14:cfRule type="dataBar" id="{5B829A88-AD5C-43F6-BF16-7C80726E1FBC}">
            <x14:dataBar minLength="0" maxLength="100" border="1" negativeBarBorderColorSameAsPositive="0">
              <x14:cfvo type="autoMin"/>
              <x14:cfvo type="autoMax"/>
              <x14:borderColor rgb="FF63C384"/>
              <x14:negativeFillColor rgb="FFFF0000"/>
              <x14:negativeBorderColor rgb="FFFF0000"/>
              <x14:axisColor rgb="FF000000"/>
            </x14:dataBar>
          </x14:cfRule>
          <xm:sqref>AG180</xm:sqref>
        </x14:conditionalFormatting>
        <x14:conditionalFormatting xmlns:xm="http://schemas.microsoft.com/office/excel/2006/main">
          <x14:cfRule type="dataBar" id="{5AD580BC-1653-4514-B5AC-AB833A4D860B}">
            <x14:dataBar minLength="0" maxLength="100" border="1" negativeBarBorderColorSameAsPositive="0">
              <x14:cfvo type="autoMin"/>
              <x14:cfvo type="autoMax"/>
              <x14:borderColor rgb="FF63C384"/>
              <x14:negativeFillColor rgb="FFFF0000"/>
              <x14:negativeBorderColor rgb="FFFF0000"/>
              <x14:axisColor rgb="FF000000"/>
            </x14:dataBar>
          </x14:cfRule>
          <xm:sqref>AG180</xm:sqref>
        </x14:conditionalFormatting>
        <x14:conditionalFormatting xmlns:xm="http://schemas.microsoft.com/office/excel/2006/main">
          <x14:cfRule type="dataBar" id="{91A4B5FD-9692-4956-9822-248F0EBC2E8A}">
            <x14:dataBar minLength="0" maxLength="100" border="1" negativeBarBorderColorSameAsPositive="0">
              <x14:cfvo type="autoMin"/>
              <x14:cfvo type="autoMax"/>
              <x14:borderColor rgb="FF63C384"/>
              <x14:negativeFillColor rgb="FFFF0000"/>
              <x14:negativeBorderColor rgb="FFFF0000"/>
              <x14:axisColor rgb="FF000000"/>
            </x14:dataBar>
          </x14:cfRule>
          <xm:sqref>AG180</xm:sqref>
        </x14:conditionalFormatting>
        <x14:conditionalFormatting xmlns:xm="http://schemas.microsoft.com/office/excel/2006/main">
          <x14:cfRule type="dataBar" id="{7771C62B-4829-4E54-A4FE-59F8EB75475A}">
            <x14:dataBar minLength="0" maxLength="100" border="1" negativeBarBorderColorSameAsPositive="0">
              <x14:cfvo type="autoMin"/>
              <x14:cfvo type="autoMax"/>
              <x14:borderColor rgb="FF63C384"/>
              <x14:negativeFillColor rgb="FFFF0000"/>
              <x14:negativeBorderColor rgb="FFFF0000"/>
              <x14:axisColor rgb="FF000000"/>
            </x14:dataBar>
          </x14:cfRule>
          <xm:sqref>AG180</xm:sqref>
        </x14:conditionalFormatting>
        <x14:conditionalFormatting xmlns:xm="http://schemas.microsoft.com/office/excel/2006/main">
          <x14:cfRule type="dataBar" id="{D0E43380-8A81-4FB3-A9B7-EDB3340681B5}">
            <x14:dataBar minLength="0" maxLength="100" border="1" negativeBarBorderColorSameAsPositive="0">
              <x14:cfvo type="autoMin"/>
              <x14:cfvo type="autoMax"/>
              <x14:borderColor rgb="FF63C384"/>
              <x14:negativeFillColor rgb="FFFF0000"/>
              <x14:negativeBorderColor rgb="FFFF0000"/>
              <x14:axisColor rgb="FF000000"/>
            </x14:dataBar>
          </x14:cfRule>
          <xm:sqref>AG181</xm:sqref>
        </x14:conditionalFormatting>
        <x14:conditionalFormatting xmlns:xm="http://schemas.microsoft.com/office/excel/2006/main">
          <x14:cfRule type="dataBar" id="{53EE487C-E065-42E6-BD00-2FD0B46304E2}">
            <x14:dataBar minLength="0" maxLength="100" border="1" negativeBarBorderColorSameAsPositive="0">
              <x14:cfvo type="autoMin"/>
              <x14:cfvo type="autoMax"/>
              <x14:borderColor rgb="FF63C384"/>
              <x14:negativeFillColor rgb="FFFF0000"/>
              <x14:negativeBorderColor rgb="FFFF0000"/>
              <x14:axisColor rgb="FF000000"/>
            </x14:dataBar>
          </x14:cfRule>
          <xm:sqref>AG181</xm:sqref>
        </x14:conditionalFormatting>
        <x14:conditionalFormatting xmlns:xm="http://schemas.microsoft.com/office/excel/2006/main">
          <x14:cfRule type="dataBar" id="{845089AF-A187-46D4-8FDE-B53AB346FA95}">
            <x14:dataBar minLength="0" maxLength="100" border="1" negativeBarBorderColorSameAsPositive="0">
              <x14:cfvo type="autoMin"/>
              <x14:cfvo type="autoMax"/>
              <x14:borderColor rgb="FF63C384"/>
              <x14:negativeFillColor rgb="FFFF0000"/>
              <x14:negativeBorderColor rgb="FFFF0000"/>
              <x14:axisColor rgb="FF000000"/>
            </x14:dataBar>
          </x14:cfRule>
          <xm:sqref>AG182</xm:sqref>
        </x14:conditionalFormatting>
        <x14:conditionalFormatting xmlns:xm="http://schemas.microsoft.com/office/excel/2006/main">
          <x14:cfRule type="dataBar" id="{2747E6AD-9277-48BD-80BA-378E187D6740}">
            <x14:dataBar minLength="0" maxLength="100" border="1" negativeBarBorderColorSameAsPositive="0">
              <x14:cfvo type="autoMin"/>
              <x14:cfvo type="autoMax"/>
              <x14:borderColor rgb="FF63C384"/>
              <x14:negativeFillColor rgb="FFFF0000"/>
              <x14:negativeBorderColor rgb="FFFF0000"/>
              <x14:axisColor rgb="FF000000"/>
            </x14:dataBar>
          </x14:cfRule>
          <xm:sqref>AG182</xm:sqref>
        </x14:conditionalFormatting>
        <x14:conditionalFormatting xmlns:xm="http://schemas.microsoft.com/office/excel/2006/main">
          <x14:cfRule type="dataBar" id="{62ACE364-60F2-4FA4-9705-C5BA2FAE5220}">
            <x14:dataBar minLength="0" maxLength="100" border="1" negativeBarBorderColorSameAsPositive="0">
              <x14:cfvo type="autoMin"/>
              <x14:cfvo type="autoMax"/>
              <x14:borderColor rgb="FF63C384"/>
              <x14:negativeFillColor rgb="FFFF0000"/>
              <x14:negativeBorderColor rgb="FFFF0000"/>
              <x14:axisColor rgb="FF000000"/>
            </x14:dataBar>
          </x14:cfRule>
          <xm:sqref>AG182</xm:sqref>
        </x14:conditionalFormatting>
        <x14:conditionalFormatting xmlns:xm="http://schemas.microsoft.com/office/excel/2006/main">
          <x14:cfRule type="dataBar" id="{AD6DE749-EA80-497E-BCE5-3FB4445598E1}">
            <x14:dataBar minLength="0" maxLength="100" border="1" negativeBarBorderColorSameAsPositive="0">
              <x14:cfvo type="autoMin"/>
              <x14:cfvo type="autoMax"/>
              <x14:borderColor rgb="FF63C384"/>
              <x14:negativeFillColor rgb="FFFF0000"/>
              <x14:negativeBorderColor rgb="FFFF0000"/>
              <x14:axisColor rgb="FF000000"/>
            </x14:dataBar>
          </x14:cfRule>
          <xm:sqref>AG182</xm:sqref>
        </x14:conditionalFormatting>
        <x14:conditionalFormatting xmlns:xm="http://schemas.microsoft.com/office/excel/2006/main">
          <x14:cfRule type="dataBar" id="{16B2802F-D8E5-4EC1-B32E-9CCA05561027}">
            <x14:dataBar minLength="0" maxLength="100" border="1" negativeBarBorderColorSameAsPositive="0">
              <x14:cfvo type="autoMin"/>
              <x14:cfvo type="autoMax"/>
              <x14:borderColor rgb="FF63C384"/>
              <x14:negativeFillColor rgb="FFFF0000"/>
              <x14:negativeBorderColor rgb="FFFF0000"/>
              <x14:axisColor rgb="FF000000"/>
            </x14:dataBar>
          </x14:cfRule>
          <xm:sqref>AG183</xm:sqref>
        </x14:conditionalFormatting>
        <x14:conditionalFormatting xmlns:xm="http://schemas.microsoft.com/office/excel/2006/main">
          <x14:cfRule type="dataBar" id="{20CF8831-C17F-40BB-8DEF-DBA95AA2070B}">
            <x14:dataBar minLength="0" maxLength="100" border="1" negativeBarBorderColorSameAsPositive="0">
              <x14:cfvo type="autoMin"/>
              <x14:cfvo type="autoMax"/>
              <x14:borderColor rgb="FF63C384"/>
              <x14:negativeFillColor rgb="FFFF0000"/>
              <x14:negativeBorderColor rgb="FFFF0000"/>
              <x14:axisColor rgb="FF000000"/>
            </x14:dataBar>
          </x14:cfRule>
          <xm:sqref>AG183</xm:sqref>
        </x14:conditionalFormatting>
        <x14:conditionalFormatting xmlns:xm="http://schemas.microsoft.com/office/excel/2006/main">
          <x14:cfRule type="dataBar" id="{D9E88D14-ACA1-4FB5-BCD2-16C32F84B599}">
            <x14:dataBar minLength="0" maxLength="100" border="1" negativeBarBorderColorSameAsPositive="0">
              <x14:cfvo type="autoMin"/>
              <x14:cfvo type="autoMax"/>
              <x14:borderColor rgb="FF63C384"/>
              <x14:negativeFillColor rgb="FFFF0000"/>
              <x14:negativeBorderColor rgb="FFFF0000"/>
              <x14:axisColor rgb="FF000000"/>
            </x14:dataBar>
          </x14:cfRule>
          <xm:sqref>AG184</xm:sqref>
        </x14:conditionalFormatting>
        <x14:conditionalFormatting xmlns:xm="http://schemas.microsoft.com/office/excel/2006/main">
          <x14:cfRule type="dataBar" id="{00747B9E-1344-4827-9FC6-FF90B6162FC0}">
            <x14:dataBar minLength="0" maxLength="100" border="1" negativeBarBorderColorSameAsPositive="0">
              <x14:cfvo type="autoMin"/>
              <x14:cfvo type="autoMax"/>
              <x14:borderColor rgb="FF63C384"/>
              <x14:negativeFillColor rgb="FFFF0000"/>
              <x14:negativeBorderColor rgb="FFFF0000"/>
              <x14:axisColor rgb="FF000000"/>
            </x14:dataBar>
          </x14:cfRule>
          <xm:sqref>AG184</xm:sqref>
        </x14:conditionalFormatting>
        <x14:conditionalFormatting xmlns:xm="http://schemas.microsoft.com/office/excel/2006/main">
          <x14:cfRule type="dataBar" id="{CA69CD50-C0E3-474A-88CC-25E177840963}">
            <x14:dataBar minLength="0" maxLength="100" border="1" negativeBarBorderColorSameAsPositive="0">
              <x14:cfvo type="autoMin"/>
              <x14:cfvo type="autoMax"/>
              <x14:borderColor rgb="FF63C384"/>
              <x14:negativeFillColor rgb="FFFF0000"/>
              <x14:negativeBorderColor rgb="FFFF0000"/>
              <x14:axisColor rgb="FF000000"/>
            </x14:dataBar>
          </x14:cfRule>
          <xm:sqref>AG185</xm:sqref>
        </x14:conditionalFormatting>
        <x14:conditionalFormatting xmlns:xm="http://schemas.microsoft.com/office/excel/2006/main">
          <x14:cfRule type="dataBar" id="{9BE2C40D-8945-4E43-B689-BE9FB5896C59}">
            <x14:dataBar minLength="0" maxLength="100" border="1" negativeBarBorderColorSameAsPositive="0">
              <x14:cfvo type="autoMin"/>
              <x14:cfvo type="autoMax"/>
              <x14:borderColor rgb="FF63C384"/>
              <x14:negativeFillColor rgb="FFFF0000"/>
              <x14:negativeBorderColor rgb="FFFF0000"/>
              <x14:axisColor rgb="FF000000"/>
            </x14:dataBar>
          </x14:cfRule>
          <xm:sqref>AG185</xm:sqref>
        </x14:conditionalFormatting>
        <x14:conditionalFormatting xmlns:xm="http://schemas.microsoft.com/office/excel/2006/main">
          <x14:cfRule type="dataBar" id="{61D5A1F9-A8CF-475C-8DD6-3465DE401A49}">
            <x14:dataBar minLength="0" maxLength="100" border="1" negativeBarBorderColorSameAsPositive="0">
              <x14:cfvo type="autoMin"/>
              <x14:cfvo type="autoMax"/>
              <x14:borderColor rgb="FF63C384"/>
              <x14:negativeFillColor rgb="FFFF0000"/>
              <x14:negativeBorderColor rgb="FFFF0000"/>
              <x14:axisColor rgb="FF000000"/>
            </x14:dataBar>
          </x14:cfRule>
          <xm:sqref>AG186</xm:sqref>
        </x14:conditionalFormatting>
        <x14:conditionalFormatting xmlns:xm="http://schemas.microsoft.com/office/excel/2006/main">
          <x14:cfRule type="dataBar" id="{26C07423-2B72-48BF-A64A-FF914947DE0E}">
            <x14:dataBar minLength="0" maxLength="100" border="1" negativeBarBorderColorSameAsPositive="0">
              <x14:cfvo type="autoMin"/>
              <x14:cfvo type="autoMax"/>
              <x14:borderColor rgb="FF63C384"/>
              <x14:negativeFillColor rgb="FFFF0000"/>
              <x14:negativeBorderColor rgb="FFFF0000"/>
              <x14:axisColor rgb="FF000000"/>
            </x14:dataBar>
          </x14:cfRule>
          <xm:sqref>AG186</xm:sqref>
        </x14:conditionalFormatting>
        <x14:conditionalFormatting xmlns:xm="http://schemas.microsoft.com/office/excel/2006/main">
          <x14:cfRule type="dataBar" id="{4BA32098-C5E0-4DF5-90C8-5C5C28247A66}">
            <x14:dataBar minLength="0" maxLength="100" border="1" negativeBarBorderColorSameAsPositive="0">
              <x14:cfvo type="autoMin"/>
              <x14:cfvo type="autoMax"/>
              <x14:borderColor rgb="FF63C384"/>
              <x14:negativeFillColor rgb="FFFF0000"/>
              <x14:negativeBorderColor rgb="FFFF0000"/>
              <x14:axisColor rgb="FF000000"/>
            </x14:dataBar>
          </x14:cfRule>
          <xm:sqref>AG187</xm:sqref>
        </x14:conditionalFormatting>
        <x14:conditionalFormatting xmlns:xm="http://schemas.microsoft.com/office/excel/2006/main">
          <x14:cfRule type="dataBar" id="{2F70FD84-E496-4A35-B489-F9A4F2ECC648}">
            <x14:dataBar minLength="0" maxLength="100" border="1" negativeBarBorderColorSameAsPositive="0">
              <x14:cfvo type="autoMin"/>
              <x14:cfvo type="autoMax"/>
              <x14:borderColor rgb="FF63C384"/>
              <x14:negativeFillColor rgb="FFFF0000"/>
              <x14:negativeBorderColor rgb="FFFF0000"/>
              <x14:axisColor rgb="FF000000"/>
            </x14:dataBar>
          </x14:cfRule>
          <xm:sqref>AG187</xm:sqref>
        </x14:conditionalFormatting>
        <x14:conditionalFormatting xmlns:xm="http://schemas.microsoft.com/office/excel/2006/main">
          <x14:cfRule type="dataBar" id="{11FDD1C8-6278-4638-B316-EC776125A7B3}">
            <x14:dataBar minLength="0" maxLength="100" border="1" negativeBarBorderColorSameAsPositive="0">
              <x14:cfvo type="autoMin"/>
              <x14:cfvo type="autoMax"/>
              <x14:borderColor rgb="FF63C384"/>
              <x14:negativeFillColor rgb="FFFF0000"/>
              <x14:negativeBorderColor rgb="FFFF0000"/>
              <x14:axisColor rgb="FF000000"/>
            </x14:dataBar>
          </x14:cfRule>
          <xm:sqref>AG188</xm:sqref>
        </x14:conditionalFormatting>
        <x14:conditionalFormatting xmlns:xm="http://schemas.microsoft.com/office/excel/2006/main">
          <x14:cfRule type="dataBar" id="{F57066AD-D669-4158-900F-7E491AA10B34}">
            <x14:dataBar minLength="0" maxLength="100" border="1" negativeBarBorderColorSameAsPositive="0">
              <x14:cfvo type="autoMin"/>
              <x14:cfvo type="autoMax"/>
              <x14:borderColor rgb="FF63C384"/>
              <x14:negativeFillColor rgb="FFFF0000"/>
              <x14:negativeBorderColor rgb="FFFF0000"/>
              <x14:axisColor rgb="FF000000"/>
            </x14:dataBar>
          </x14:cfRule>
          <xm:sqref>AG188</xm:sqref>
        </x14:conditionalFormatting>
        <x14:conditionalFormatting xmlns:xm="http://schemas.microsoft.com/office/excel/2006/main">
          <x14:cfRule type="dataBar" id="{B0B8F63B-DEFF-4D0B-8CCD-28D0D5609CE5}">
            <x14:dataBar minLength="0" maxLength="100" border="1" negativeBarBorderColorSameAsPositive="0">
              <x14:cfvo type="autoMin"/>
              <x14:cfvo type="autoMax"/>
              <x14:borderColor rgb="FF63C384"/>
              <x14:negativeFillColor rgb="FFFF0000"/>
              <x14:negativeBorderColor rgb="FFFF0000"/>
              <x14:axisColor rgb="FF000000"/>
            </x14:dataBar>
          </x14:cfRule>
          <xm:sqref>AG189</xm:sqref>
        </x14:conditionalFormatting>
        <x14:conditionalFormatting xmlns:xm="http://schemas.microsoft.com/office/excel/2006/main">
          <x14:cfRule type="dataBar" id="{C6C7C7CE-AB04-4ABC-BD55-1F542E6596BF}">
            <x14:dataBar minLength="0" maxLength="100" border="1" negativeBarBorderColorSameAsPositive="0">
              <x14:cfvo type="autoMin"/>
              <x14:cfvo type="autoMax"/>
              <x14:borderColor rgb="FF63C384"/>
              <x14:negativeFillColor rgb="FFFF0000"/>
              <x14:negativeBorderColor rgb="FFFF0000"/>
              <x14:axisColor rgb="FF000000"/>
            </x14:dataBar>
          </x14:cfRule>
          <xm:sqref>AG189</xm:sqref>
        </x14:conditionalFormatting>
        <x14:conditionalFormatting xmlns:xm="http://schemas.microsoft.com/office/excel/2006/main">
          <x14:cfRule type="dataBar" id="{41714103-AA6F-4C6D-A938-EC0154374010}">
            <x14:dataBar minLength="0" maxLength="100" border="1" negativeBarBorderColorSameAsPositive="0">
              <x14:cfvo type="autoMin"/>
              <x14:cfvo type="autoMax"/>
              <x14:borderColor rgb="FF63C384"/>
              <x14:negativeFillColor rgb="FFFF0000"/>
              <x14:negativeBorderColor rgb="FFFF0000"/>
              <x14:axisColor rgb="FF000000"/>
            </x14:dataBar>
          </x14:cfRule>
          <xm:sqref>AG190</xm:sqref>
        </x14:conditionalFormatting>
        <x14:conditionalFormatting xmlns:xm="http://schemas.microsoft.com/office/excel/2006/main">
          <x14:cfRule type="dataBar" id="{8CC60EDC-A883-45CD-A449-AAF70425198B}">
            <x14:dataBar minLength="0" maxLength="100" border="1" negativeBarBorderColorSameAsPositive="0">
              <x14:cfvo type="autoMin"/>
              <x14:cfvo type="autoMax"/>
              <x14:borderColor rgb="FF63C384"/>
              <x14:negativeFillColor rgb="FFFF0000"/>
              <x14:negativeBorderColor rgb="FFFF0000"/>
              <x14:axisColor rgb="FF000000"/>
            </x14:dataBar>
          </x14:cfRule>
          <xm:sqref>AG190</xm:sqref>
        </x14:conditionalFormatting>
        <x14:conditionalFormatting xmlns:xm="http://schemas.microsoft.com/office/excel/2006/main">
          <x14:cfRule type="dataBar" id="{7D14CD59-E1E1-452D-8499-38AD0664CB90}">
            <x14:dataBar minLength="0" maxLength="100" border="1" negativeBarBorderColorSameAsPositive="0">
              <x14:cfvo type="autoMin"/>
              <x14:cfvo type="autoMax"/>
              <x14:borderColor rgb="FF63C384"/>
              <x14:negativeFillColor rgb="FFFF0000"/>
              <x14:negativeBorderColor rgb="FFFF0000"/>
              <x14:axisColor rgb="FF000000"/>
            </x14:dataBar>
          </x14:cfRule>
          <xm:sqref>AG191</xm:sqref>
        </x14:conditionalFormatting>
        <x14:conditionalFormatting xmlns:xm="http://schemas.microsoft.com/office/excel/2006/main">
          <x14:cfRule type="dataBar" id="{19858C4C-ECD0-487C-A9B6-69E6999B52A0}">
            <x14:dataBar minLength="0" maxLength="100" border="1" negativeBarBorderColorSameAsPositive="0">
              <x14:cfvo type="autoMin"/>
              <x14:cfvo type="autoMax"/>
              <x14:borderColor rgb="FF63C384"/>
              <x14:negativeFillColor rgb="FFFF0000"/>
              <x14:negativeBorderColor rgb="FFFF0000"/>
              <x14:axisColor rgb="FF000000"/>
            </x14:dataBar>
          </x14:cfRule>
          <xm:sqref>AG191</xm:sqref>
        </x14:conditionalFormatting>
        <x14:conditionalFormatting xmlns:xm="http://schemas.microsoft.com/office/excel/2006/main">
          <x14:cfRule type="dataBar" id="{D9D2BFB8-746A-4CAC-8A9E-7D68A60421D5}">
            <x14:dataBar minLength="0" maxLength="100" border="1" negativeBarBorderColorSameAsPositive="0">
              <x14:cfvo type="autoMin"/>
              <x14:cfvo type="autoMax"/>
              <x14:borderColor rgb="FF63C384"/>
              <x14:negativeFillColor rgb="FFFF0000"/>
              <x14:negativeBorderColor rgb="FFFF0000"/>
              <x14:axisColor rgb="FF000000"/>
            </x14:dataBar>
          </x14:cfRule>
          <xm:sqref>AG187</xm:sqref>
        </x14:conditionalFormatting>
        <x14:conditionalFormatting xmlns:xm="http://schemas.microsoft.com/office/excel/2006/main">
          <x14:cfRule type="dataBar" id="{8D3A0840-FE1D-440F-BA80-CDC4711D2340}">
            <x14:dataBar minLength="0" maxLength="100" border="1" negativeBarBorderColorSameAsPositive="0">
              <x14:cfvo type="autoMin"/>
              <x14:cfvo type="autoMax"/>
              <x14:borderColor rgb="FF63C384"/>
              <x14:negativeFillColor rgb="FFFF0000"/>
              <x14:negativeBorderColor rgb="FFFF0000"/>
              <x14:axisColor rgb="FF000000"/>
            </x14:dataBar>
          </x14:cfRule>
          <xm:sqref>AG187</xm:sqref>
        </x14:conditionalFormatting>
        <x14:conditionalFormatting xmlns:xm="http://schemas.microsoft.com/office/excel/2006/main">
          <x14:cfRule type="dataBar" id="{844E2EDC-1DE0-46FC-9906-0F6C95A21017}">
            <x14:dataBar minLength="0" maxLength="100" border="1" negativeBarBorderColorSameAsPositive="0">
              <x14:cfvo type="autoMin"/>
              <x14:cfvo type="autoMax"/>
              <x14:borderColor rgb="FF63C384"/>
              <x14:negativeFillColor rgb="FFFF0000"/>
              <x14:negativeBorderColor rgb="FFFF0000"/>
              <x14:axisColor rgb="FF000000"/>
            </x14:dataBar>
          </x14:cfRule>
          <xm:sqref>AG188</xm:sqref>
        </x14:conditionalFormatting>
        <x14:conditionalFormatting xmlns:xm="http://schemas.microsoft.com/office/excel/2006/main">
          <x14:cfRule type="dataBar" id="{31679D1F-7B35-47C5-AA11-49765EAC3408}">
            <x14:dataBar minLength="0" maxLength="100" border="1" negativeBarBorderColorSameAsPositive="0">
              <x14:cfvo type="autoMin"/>
              <x14:cfvo type="autoMax"/>
              <x14:borderColor rgb="FF63C384"/>
              <x14:negativeFillColor rgb="FFFF0000"/>
              <x14:negativeBorderColor rgb="FFFF0000"/>
              <x14:axisColor rgb="FF000000"/>
            </x14:dataBar>
          </x14:cfRule>
          <xm:sqref>AG188</xm:sqref>
        </x14:conditionalFormatting>
        <x14:conditionalFormatting xmlns:xm="http://schemas.microsoft.com/office/excel/2006/main">
          <x14:cfRule type="dataBar" id="{18F5656C-844B-4A3F-AD6E-0C7FBFC80E7D}">
            <x14:dataBar minLength="0" maxLength="100" border="1" negativeBarBorderColorSameAsPositive="0">
              <x14:cfvo type="autoMin"/>
              <x14:cfvo type="autoMax"/>
              <x14:borderColor rgb="FF63C384"/>
              <x14:negativeFillColor rgb="FFFF0000"/>
              <x14:negativeBorderColor rgb="FFFF0000"/>
              <x14:axisColor rgb="FF000000"/>
            </x14:dataBar>
          </x14:cfRule>
          <xm:sqref>AG189</xm:sqref>
        </x14:conditionalFormatting>
        <x14:conditionalFormatting xmlns:xm="http://schemas.microsoft.com/office/excel/2006/main">
          <x14:cfRule type="dataBar" id="{A2AADF8C-C752-4FDB-BA3F-1CCC4599F093}">
            <x14:dataBar minLength="0" maxLength="100" border="1" negativeBarBorderColorSameAsPositive="0">
              <x14:cfvo type="autoMin"/>
              <x14:cfvo type="autoMax"/>
              <x14:borderColor rgb="FF63C384"/>
              <x14:negativeFillColor rgb="FFFF0000"/>
              <x14:negativeBorderColor rgb="FFFF0000"/>
              <x14:axisColor rgb="FF000000"/>
            </x14:dataBar>
          </x14:cfRule>
          <xm:sqref>AG189</xm:sqref>
        </x14:conditionalFormatting>
        <x14:conditionalFormatting xmlns:xm="http://schemas.microsoft.com/office/excel/2006/main">
          <x14:cfRule type="dataBar" id="{1EEF4FD9-61B0-421E-88DE-3B86012CED72}">
            <x14:dataBar minLength="0" maxLength="100" border="1" negativeBarBorderColorSameAsPositive="0">
              <x14:cfvo type="autoMin"/>
              <x14:cfvo type="autoMax"/>
              <x14:borderColor rgb="FF63C384"/>
              <x14:negativeFillColor rgb="FFFF0000"/>
              <x14:negativeBorderColor rgb="FFFF0000"/>
              <x14:axisColor rgb="FF000000"/>
            </x14:dataBar>
          </x14:cfRule>
          <xm:sqref>AG190</xm:sqref>
        </x14:conditionalFormatting>
        <x14:conditionalFormatting xmlns:xm="http://schemas.microsoft.com/office/excel/2006/main">
          <x14:cfRule type="dataBar" id="{61C7A8A0-B49B-46E6-9534-78D25EFE5812}">
            <x14:dataBar minLength="0" maxLength="100" border="1" negativeBarBorderColorSameAsPositive="0">
              <x14:cfvo type="autoMin"/>
              <x14:cfvo type="autoMax"/>
              <x14:borderColor rgb="FF63C384"/>
              <x14:negativeFillColor rgb="FFFF0000"/>
              <x14:negativeBorderColor rgb="FFFF0000"/>
              <x14:axisColor rgb="FF000000"/>
            </x14:dataBar>
          </x14:cfRule>
          <xm:sqref>AG190</xm:sqref>
        </x14:conditionalFormatting>
        <x14:conditionalFormatting xmlns:xm="http://schemas.microsoft.com/office/excel/2006/main">
          <x14:cfRule type="dataBar" id="{2146330F-1B91-44A1-9838-351EE88D24CC}">
            <x14:dataBar minLength="0" maxLength="100" border="1" negativeBarBorderColorSameAsPositive="0">
              <x14:cfvo type="autoMin"/>
              <x14:cfvo type="autoMax"/>
              <x14:borderColor rgb="FF63C384"/>
              <x14:negativeFillColor rgb="FFFF0000"/>
              <x14:negativeBorderColor rgb="FFFF0000"/>
              <x14:axisColor rgb="FF000000"/>
            </x14:dataBar>
          </x14:cfRule>
          <xm:sqref>AG191</xm:sqref>
        </x14:conditionalFormatting>
        <x14:conditionalFormatting xmlns:xm="http://schemas.microsoft.com/office/excel/2006/main">
          <x14:cfRule type="dataBar" id="{F6CF3C31-4555-4678-B462-3161C7D75176}">
            <x14:dataBar minLength="0" maxLength="100" border="1" negativeBarBorderColorSameAsPositive="0">
              <x14:cfvo type="autoMin"/>
              <x14:cfvo type="autoMax"/>
              <x14:borderColor rgb="FF63C384"/>
              <x14:negativeFillColor rgb="FFFF0000"/>
              <x14:negativeBorderColor rgb="FFFF0000"/>
              <x14:axisColor rgb="FF000000"/>
            </x14:dataBar>
          </x14:cfRule>
          <xm:sqref>AG191</xm:sqref>
        </x14:conditionalFormatting>
        <x14:conditionalFormatting xmlns:xm="http://schemas.microsoft.com/office/excel/2006/main">
          <x14:cfRule type="dataBar" id="{56772C29-97CE-4546-9905-E8FDB8429CFD}">
            <x14:dataBar minLength="0" maxLength="100" border="1" negativeBarBorderColorSameAsPositive="0">
              <x14:cfvo type="autoMin"/>
              <x14:cfvo type="autoMax"/>
              <x14:borderColor rgb="FF63C384"/>
              <x14:negativeFillColor rgb="FFFF0000"/>
              <x14:negativeBorderColor rgb="FFFF0000"/>
              <x14:axisColor rgb="FF000000"/>
            </x14:dataBar>
          </x14:cfRule>
          <xm:sqref>AG192</xm:sqref>
        </x14:conditionalFormatting>
        <x14:conditionalFormatting xmlns:xm="http://schemas.microsoft.com/office/excel/2006/main">
          <x14:cfRule type="dataBar" id="{A14FDAE3-7E4D-441C-ABBC-F24B0C1A455D}">
            <x14:dataBar minLength="0" maxLength="100" border="1" negativeBarBorderColorSameAsPositive="0">
              <x14:cfvo type="autoMin"/>
              <x14:cfvo type="autoMax"/>
              <x14:borderColor rgb="FF63C384"/>
              <x14:negativeFillColor rgb="FFFF0000"/>
              <x14:negativeBorderColor rgb="FFFF0000"/>
              <x14:axisColor rgb="FF000000"/>
            </x14:dataBar>
          </x14:cfRule>
          <xm:sqref>AG192</xm:sqref>
        </x14:conditionalFormatting>
        <x14:conditionalFormatting xmlns:xm="http://schemas.microsoft.com/office/excel/2006/main">
          <x14:cfRule type="dataBar" id="{BD21B5AD-4EF3-4408-8300-51CD89426714}">
            <x14:dataBar minLength="0" maxLength="100" border="1" negativeBarBorderColorSameAsPositive="0">
              <x14:cfvo type="autoMin"/>
              <x14:cfvo type="autoMax"/>
              <x14:borderColor rgb="FF63C384"/>
              <x14:negativeFillColor rgb="FFFF0000"/>
              <x14:negativeBorderColor rgb="FFFF0000"/>
              <x14:axisColor rgb="FF000000"/>
            </x14:dataBar>
          </x14:cfRule>
          <xm:sqref>AG193</xm:sqref>
        </x14:conditionalFormatting>
        <x14:conditionalFormatting xmlns:xm="http://schemas.microsoft.com/office/excel/2006/main">
          <x14:cfRule type="dataBar" id="{898CA3B0-9584-423C-91E6-B49EED3BFB63}">
            <x14:dataBar minLength="0" maxLength="100" border="1" negativeBarBorderColorSameAsPositive="0">
              <x14:cfvo type="autoMin"/>
              <x14:cfvo type="autoMax"/>
              <x14:borderColor rgb="FF63C384"/>
              <x14:negativeFillColor rgb="FFFF0000"/>
              <x14:negativeBorderColor rgb="FFFF0000"/>
              <x14:axisColor rgb="FF000000"/>
            </x14:dataBar>
          </x14:cfRule>
          <xm:sqref>AG193</xm:sqref>
        </x14:conditionalFormatting>
        <x14:conditionalFormatting xmlns:xm="http://schemas.microsoft.com/office/excel/2006/main">
          <x14:cfRule type="dataBar" id="{8F40CFB7-4908-40D4-8C18-3709F4788EEF}">
            <x14:dataBar minLength="0" maxLength="100" border="1" negativeBarBorderColorSameAsPositive="0">
              <x14:cfvo type="autoMin"/>
              <x14:cfvo type="autoMax"/>
              <x14:borderColor rgb="FF63C384"/>
              <x14:negativeFillColor rgb="FFFF0000"/>
              <x14:negativeBorderColor rgb="FFFF0000"/>
              <x14:axisColor rgb="FF000000"/>
            </x14:dataBar>
          </x14:cfRule>
          <xm:sqref>AG193</xm:sqref>
        </x14:conditionalFormatting>
        <x14:conditionalFormatting xmlns:xm="http://schemas.microsoft.com/office/excel/2006/main">
          <x14:cfRule type="dataBar" id="{205A538F-D79F-4C81-B907-13A32564FAAE}">
            <x14:dataBar minLength="0" maxLength="100" border="1" negativeBarBorderColorSameAsPositive="0">
              <x14:cfvo type="autoMin"/>
              <x14:cfvo type="autoMax"/>
              <x14:borderColor rgb="FF63C384"/>
              <x14:negativeFillColor rgb="FFFF0000"/>
              <x14:negativeBorderColor rgb="FFFF0000"/>
              <x14:axisColor rgb="FF000000"/>
            </x14:dataBar>
          </x14:cfRule>
          <xm:sqref>AG193</xm:sqref>
        </x14:conditionalFormatting>
        <x14:conditionalFormatting xmlns:xm="http://schemas.microsoft.com/office/excel/2006/main">
          <x14:cfRule type="dataBar" id="{DF6B661A-F7E4-4235-BCEC-45EF65C34AAF}">
            <x14:dataBar minLength="0" maxLength="100" border="1" negativeBarBorderColorSameAsPositive="0">
              <x14:cfvo type="autoMin"/>
              <x14:cfvo type="autoMax"/>
              <x14:borderColor rgb="FF63C384"/>
              <x14:negativeFillColor rgb="FFFF0000"/>
              <x14:negativeBorderColor rgb="FFFF0000"/>
              <x14:axisColor rgb="FF000000"/>
            </x14:dataBar>
          </x14:cfRule>
          <xm:sqref>AG194</xm:sqref>
        </x14:conditionalFormatting>
        <x14:conditionalFormatting xmlns:xm="http://schemas.microsoft.com/office/excel/2006/main">
          <x14:cfRule type="dataBar" id="{D8CB52CE-27AD-4B0B-AA58-10D9BCC79549}">
            <x14:dataBar minLength="0" maxLength="100" border="1" negativeBarBorderColorSameAsPositive="0">
              <x14:cfvo type="autoMin"/>
              <x14:cfvo type="autoMax"/>
              <x14:borderColor rgb="FF63C384"/>
              <x14:negativeFillColor rgb="FFFF0000"/>
              <x14:negativeBorderColor rgb="FFFF0000"/>
              <x14:axisColor rgb="FF000000"/>
            </x14:dataBar>
          </x14:cfRule>
          <xm:sqref>AG194</xm:sqref>
        </x14:conditionalFormatting>
        <x14:conditionalFormatting xmlns:xm="http://schemas.microsoft.com/office/excel/2006/main">
          <x14:cfRule type="dataBar" id="{76727250-F8D6-42DE-B3F2-616C395DD52C}">
            <x14:dataBar minLength="0" maxLength="100" border="1" negativeBarBorderColorSameAsPositive="0">
              <x14:cfvo type="autoMin"/>
              <x14:cfvo type="autoMax"/>
              <x14:borderColor rgb="FF63C384"/>
              <x14:negativeFillColor rgb="FFFF0000"/>
              <x14:negativeBorderColor rgb="FFFF0000"/>
              <x14:axisColor rgb="FF000000"/>
            </x14:dataBar>
          </x14:cfRule>
          <xm:sqref>AG194</xm:sqref>
        </x14:conditionalFormatting>
        <x14:conditionalFormatting xmlns:xm="http://schemas.microsoft.com/office/excel/2006/main">
          <x14:cfRule type="dataBar" id="{1D8CB764-B917-41F8-8499-3DD7853FDA26}">
            <x14:dataBar minLength="0" maxLength="100" border="1" negativeBarBorderColorSameAsPositive="0">
              <x14:cfvo type="autoMin"/>
              <x14:cfvo type="autoMax"/>
              <x14:borderColor rgb="FF63C384"/>
              <x14:negativeFillColor rgb="FFFF0000"/>
              <x14:negativeBorderColor rgb="FFFF0000"/>
              <x14:axisColor rgb="FF000000"/>
            </x14:dataBar>
          </x14:cfRule>
          <xm:sqref>AG194</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4ACC1-0FC3-47EA-8FD9-47A1AC907A7B}">
  <sheetPr codeName="Tabelle23"/>
  <dimension ref="A1:XEK263"/>
  <sheetViews>
    <sheetView workbookViewId="0"/>
  </sheetViews>
  <sheetFormatPr baseColWidth="10" defaultRowHeight="15" x14ac:dyDescent="0.25"/>
  <cols>
    <col min="2" max="2" width="11.42578125" style="1"/>
    <col min="6" max="6" width="11.42578125" style="48"/>
  </cols>
  <sheetData>
    <row r="1" spans="1:16365" x14ac:dyDescent="0.25">
      <c r="A1" s="63" t="s">
        <v>845</v>
      </c>
      <c r="B1" s="96" t="s">
        <v>846</v>
      </c>
      <c r="C1" s="63" t="s">
        <v>847</v>
      </c>
      <c r="D1" s="63" t="s">
        <v>706</v>
      </c>
      <c r="E1" s="63" t="s">
        <v>682</v>
      </c>
      <c r="F1" s="95" t="s">
        <v>848</v>
      </c>
      <c r="G1" s="63" t="s">
        <v>844</v>
      </c>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87"/>
      <c r="BLW1" s="87"/>
      <c r="BLX1" s="87"/>
      <c r="BLY1" s="87"/>
      <c r="BLZ1" s="87"/>
      <c r="BMA1" s="87"/>
      <c r="BMB1" s="87"/>
      <c r="BMC1" s="87"/>
      <c r="BMD1" s="87"/>
      <c r="BME1" s="87"/>
      <c r="BMF1" s="87"/>
      <c r="BMG1" s="87"/>
      <c r="BMH1" s="87"/>
      <c r="BMI1" s="87"/>
      <c r="BMJ1" s="87"/>
      <c r="BMK1" s="87"/>
      <c r="BML1" s="87"/>
      <c r="BMM1" s="87"/>
      <c r="BMN1" s="87"/>
      <c r="BMO1" s="87"/>
      <c r="BMP1" s="87"/>
      <c r="BMQ1" s="87"/>
      <c r="BMR1" s="87"/>
      <c r="BMS1" s="87"/>
      <c r="BMT1" s="87"/>
      <c r="BMU1" s="87"/>
      <c r="BMV1" s="87"/>
      <c r="BMW1" s="87"/>
      <c r="BMX1" s="87"/>
      <c r="BMY1" s="87"/>
      <c r="BMZ1" s="87"/>
      <c r="BNA1" s="87"/>
      <c r="BNB1" s="87"/>
      <c r="BNC1" s="87"/>
      <c r="BND1" s="87"/>
      <c r="BNE1" s="87"/>
      <c r="BNF1" s="87"/>
      <c r="BNG1" s="87"/>
      <c r="BNH1" s="87"/>
      <c r="BNI1" s="87"/>
      <c r="BNJ1" s="87"/>
      <c r="BNK1" s="87"/>
      <c r="BNL1" s="87"/>
      <c r="BNM1" s="87"/>
      <c r="BNN1" s="87"/>
      <c r="BNO1" s="87"/>
      <c r="BNP1" s="87"/>
      <c r="BNQ1" s="87"/>
      <c r="BNR1" s="87"/>
      <c r="BNS1" s="87"/>
      <c r="BNT1" s="87"/>
      <c r="BNU1" s="87"/>
      <c r="BNV1" s="87"/>
      <c r="BNW1" s="87"/>
      <c r="BNX1" s="87"/>
      <c r="BNY1" s="87"/>
      <c r="BNZ1" s="87"/>
      <c r="BOA1" s="87"/>
      <c r="BOB1" s="87"/>
      <c r="BOC1" s="87"/>
      <c r="BOD1" s="87"/>
      <c r="BOE1" s="87"/>
      <c r="BOF1" s="87"/>
      <c r="BOG1" s="87"/>
      <c r="BOH1" s="87"/>
      <c r="BOI1" s="87"/>
      <c r="BOJ1" s="87"/>
      <c r="BOK1" s="87"/>
      <c r="BOL1" s="87"/>
      <c r="BOM1" s="87"/>
      <c r="BON1" s="87"/>
      <c r="BOO1" s="87"/>
      <c r="BOP1" s="87"/>
      <c r="BOQ1" s="87"/>
      <c r="BOR1" s="87"/>
      <c r="BOS1" s="87"/>
      <c r="BOT1" s="87"/>
      <c r="BOU1" s="87"/>
      <c r="BOV1" s="87"/>
      <c r="BOW1" s="87"/>
      <c r="BOX1" s="87"/>
      <c r="BOY1" s="87"/>
      <c r="BOZ1" s="87"/>
      <c r="BPA1" s="87"/>
      <c r="BPB1" s="87"/>
      <c r="BPC1" s="87"/>
      <c r="BPD1" s="87"/>
      <c r="BPE1" s="87"/>
      <c r="BPF1" s="87"/>
      <c r="BPG1" s="87"/>
      <c r="BPH1" s="87"/>
      <c r="BPI1" s="87"/>
      <c r="BPJ1" s="87"/>
      <c r="BPK1" s="87"/>
      <c r="BPL1" s="87"/>
      <c r="BPM1" s="87"/>
      <c r="BPN1" s="87"/>
      <c r="BPO1" s="87"/>
      <c r="BPP1" s="87"/>
      <c r="BPQ1" s="87"/>
      <c r="BPR1" s="87"/>
      <c r="BPS1" s="87"/>
      <c r="BPT1" s="87"/>
      <c r="BPU1" s="87"/>
      <c r="BPV1" s="87"/>
      <c r="BPW1" s="87"/>
      <c r="BPX1" s="87"/>
      <c r="BPY1" s="87"/>
      <c r="BPZ1" s="87"/>
      <c r="BQA1" s="87"/>
      <c r="BQB1" s="87"/>
      <c r="BQC1" s="87"/>
      <c r="BQD1" s="87"/>
      <c r="BQE1" s="87"/>
      <c r="BQF1" s="87"/>
      <c r="BQG1" s="87"/>
      <c r="BQH1" s="87"/>
      <c r="BQI1" s="87"/>
      <c r="BQJ1" s="87"/>
      <c r="BQK1" s="87"/>
      <c r="BQL1" s="87"/>
      <c r="BQM1" s="87"/>
      <c r="BQN1" s="87"/>
      <c r="BQO1" s="87"/>
      <c r="BQP1" s="87"/>
      <c r="BQQ1" s="87"/>
      <c r="BQR1" s="87"/>
      <c r="BQS1" s="87"/>
      <c r="BQT1" s="87"/>
      <c r="BQU1" s="87"/>
      <c r="BQV1" s="87"/>
      <c r="BQW1" s="87"/>
      <c r="BQX1" s="87"/>
      <c r="BQY1" s="87"/>
      <c r="BQZ1" s="87"/>
      <c r="BRA1" s="87"/>
      <c r="BRB1" s="87"/>
      <c r="BRC1" s="87"/>
      <c r="BRD1" s="87"/>
      <c r="BRE1" s="87"/>
      <c r="BRF1" s="87"/>
      <c r="BRG1" s="87"/>
      <c r="BRH1" s="87"/>
      <c r="BRI1" s="87"/>
      <c r="BRJ1" s="87"/>
      <c r="BRK1" s="87"/>
      <c r="BRL1" s="87"/>
      <c r="BRM1" s="87"/>
      <c r="BRN1" s="87"/>
      <c r="BRO1" s="87"/>
      <c r="BRP1" s="87"/>
      <c r="BRQ1" s="87"/>
      <c r="BRR1" s="87"/>
      <c r="BRS1" s="87"/>
      <c r="BRT1" s="87"/>
      <c r="BRU1" s="87"/>
      <c r="BRV1" s="87"/>
      <c r="BRW1" s="87"/>
      <c r="BRX1" s="87"/>
      <c r="BRY1" s="87"/>
      <c r="BRZ1" s="87"/>
      <c r="BSA1" s="87"/>
      <c r="BSB1" s="87"/>
      <c r="BSC1" s="87"/>
      <c r="BSD1" s="87"/>
      <c r="BSE1" s="87"/>
      <c r="BSF1" s="87"/>
      <c r="BSG1" s="87"/>
      <c r="BSH1" s="87"/>
      <c r="BSI1" s="87"/>
      <c r="BSJ1" s="87"/>
      <c r="BSK1" s="87"/>
      <c r="BSL1" s="87"/>
      <c r="BSM1" s="87"/>
      <c r="BSN1" s="87"/>
      <c r="BSO1" s="87"/>
      <c r="BSP1" s="87"/>
      <c r="BSQ1" s="87"/>
      <c r="BSR1" s="87"/>
      <c r="BSS1" s="87"/>
      <c r="BST1" s="87"/>
      <c r="BSU1" s="87"/>
      <c r="BSV1" s="87"/>
      <c r="BSW1" s="87"/>
      <c r="BSX1" s="87"/>
      <c r="BSY1" s="87"/>
      <c r="BSZ1" s="87"/>
      <c r="BTA1" s="87"/>
      <c r="BTB1" s="87"/>
      <c r="BTC1" s="87"/>
      <c r="BTD1" s="87"/>
      <c r="BTE1" s="87"/>
      <c r="BTF1" s="87"/>
      <c r="BTG1" s="87"/>
      <c r="BTH1" s="87"/>
      <c r="BTI1" s="87"/>
      <c r="BTJ1" s="87"/>
      <c r="BTK1" s="87"/>
      <c r="BTL1" s="87"/>
      <c r="BTM1" s="87"/>
      <c r="BTN1" s="87"/>
      <c r="BTO1" s="87"/>
      <c r="BTP1" s="87"/>
      <c r="BTQ1" s="87"/>
      <c r="BTR1" s="87"/>
      <c r="BTS1" s="87"/>
      <c r="BTT1" s="87"/>
      <c r="BTU1" s="87"/>
      <c r="BTV1" s="87"/>
      <c r="BTW1" s="87"/>
      <c r="BTX1" s="87"/>
      <c r="BTY1" s="87"/>
      <c r="BTZ1" s="87"/>
      <c r="BUA1" s="87"/>
      <c r="BUB1" s="87"/>
      <c r="BUC1" s="87"/>
      <c r="BUD1" s="87"/>
      <c r="BUE1" s="87"/>
      <c r="BUF1" s="87"/>
      <c r="BUG1" s="87"/>
      <c r="BUH1" s="87"/>
      <c r="BUI1" s="87"/>
      <c r="BUJ1" s="87"/>
      <c r="BUK1" s="87"/>
      <c r="BUL1" s="87"/>
      <c r="BUM1" s="87"/>
      <c r="BUN1" s="87"/>
      <c r="BUO1" s="87"/>
      <c r="BUP1" s="87"/>
      <c r="BUQ1" s="87"/>
      <c r="BUR1" s="87"/>
      <c r="BUS1" s="87"/>
      <c r="BUT1" s="87"/>
      <c r="BUU1" s="87"/>
      <c r="BUV1" s="87"/>
      <c r="BUW1" s="87"/>
      <c r="BUX1" s="87"/>
      <c r="BUY1" s="87"/>
      <c r="BUZ1" s="87"/>
      <c r="BVA1" s="87"/>
      <c r="BVB1" s="87"/>
      <c r="BVC1" s="87"/>
      <c r="BVD1" s="87"/>
      <c r="BVE1" s="87"/>
      <c r="BVF1" s="87"/>
      <c r="BVG1" s="87"/>
      <c r="BVH1" s="87"/>
      <c r="BVI1" s="87"/>
      <c r="BVJ1" s="87"/>
      <c r="BVK1" s="87"/>
      <c r="BVL1" s="87"/>
      <c r="BVM1" s="87"/>
      <c r="BVN1" s="87"/>
      <c r="BVO1" s="87"/>
      <c r="BVP1" s="87"/>
      <c r="BVQ1" s="87"/>
      <c r="BVR1" s="87"/>
      <c r="BVS1" s="87"/>
      <c r="BVT1" s="87"/>
      <c r="BVU1" s="87"/>
      <c r="BVV1" s="87"/>
      <c r="BVW1" s="87"/>
      <c r="BVX1" s="87"/>
      <c r="BVY1" s="87"/>
      <c r="BVZ1" s="87"/>
      <c r="BWA1" s="87"/>
      <c r="BWB1" s="87"/>
      <c r="BWC1" s="87"/>
      <c r="BWD1" s="87"/>
      <c r="BWE1" s="87"/>
      <c r="BWF1" s="87"/>
      <c r="BWG1" s="87"/>
      <c r="BWH1" s="87"/>
      <c r="BWI1" s="87"/>
      <c r="BWJ1" s="87"/>
      <c r="BWK1" s="87"/>
      <c r="BWL1" s="87"/>
      <c r="BWM1" s="87"/>
      <c r="BWN1" s="87"/>
      <c r="BWO1" s="87"/>
      <c r="BWP1" s="87"/>
      <c r="BWQ1" s="87"/>
      <c r="BWR1" s="87"/>
      <c r="BWS1" s="87"/>
      <c r="BWT1" s="87"/>
      <c r="BWU1" s="87"/>
      <c r="BWV1" s="87"/>
      <c r="BWW1" s="87"/>
      <c r="BWX1" s="87"/>
      <c r="BWY1" s="87"/>
      <c r="BWZ1" s="87"/>
      <c r="BXA1" s="87"/>
      <c r="BXB1" s="87"/>
      <c r="BXC1" s="87"/>
      <c r="BXD1" s="87"/>
      <c r="BXE1" s="87"/>
      <c r="BXF1" s="87"/>
      <c r="BXG1" s="87"/>
      <c r="BXH1" s="87"/>
      <c r="BXI1" s="87"/>
      <c r="BXJ1" s="87"/>
      <c r="BXK1" s="87"/>
      <c r="BXL1" s="87"/>
      <c r="BXM1" s="87"/>
      <c r="BXN1" s="87"/>
      <c r="BXO1" s="87"/>
      <c r="BXP1" s="87"/>
      <c r="BXQ1" s="87"/>
      <c r="BXR1" s="87"/>
      <c r="BXS1" s="87"/>
      <c r="BXT1" s="87"/>
      <c r="BXU1" s="87"/>
      <c r="BXV1" s="87"/>
      <c r="BXW1" s="87"/>
      <c r="BXX1" s="87"/>
      <c r="BXY1" s="87"/>
      <c r="BXZ1" s="87"/>
      <c r="BYA1" s="87"/>
      <c r="BYB1" s="87"/>
      <c r="BYC1" s="87"/>
      <c r="BYD1" s="87"/>
      <c r="BYE1" s="87"/>
      <c r="BYF1" s="87"/>
      <c r="BYG1" s="87"/>
      <c r="BYH1" s="87"/>
      <c r="BYI1" s="87"/>
      <c r="BYJ1" s="87"/>
      <c r="BYK1" s="87"/>
      <c r="BYL1" s="87"/>
      <c r="BYM1" s="87"/>
      <c r="BYN1" s="87"/>
      <c r="BYO1" s="87"/>
      <c r="BYP1" s="87"/>
      <c r="BYQ1" s="87"/>
      <c r="BYR1" s="87"/>
      <c r="BYS1" s="87"/>
      <c r="BYT1" s="87"/>
      <c r="BYU1" s="87"/>
      <c r="BYV1" s="87"/>
      <c r="BYW1" s="87"/>
      <c r="BYX1" s="87"/>
      <c r="BYY1" s="87"/>
      <c r="BYZ1" s="87"/>
      <c r="BZA1" s="87"/>
      <c r="BZB1" s="87"/>
      <c r="BZC1" s="87"/>
      <c r="BZD1" s="87"/>
      <c r="BZE1" s="87"/>
      <c r="BZF1" s="87"/>
      <c r="BZG1" s="87"/>
      <c r="BZH1" s="87"/>
      <c r="BZI1" s="87"/>
      <c r="BZJ1" s="87"/>
      <c r="BZK1" s="87"/>
      <c r="BZL1" s="87"/>
      <c r="BZM1" s="87"/>
      <c r="BZN1" s="87"/>
      <c r="BZO1" s="87"/>
      <c r="BZP1" s="87"/>
      <c r="BZQ1" s="87"/>
      <c r="BZR1" s="87"/>
      <c r="BZS1" s="87"/>
      <c r="BZT1" s="87"/>
      <c r="BZU1" s="87"/>
      <c r="BZV1" s="87"/>
      <c r="BZW1" s="87"/>
      <c r="BZX1" s="87"/>
      <c r="BZY1" s="87"/>
      <c r="BZZ1" s="87"/>
      <c r="CAA1" s="87"/>
      <c r="CAB1" s="87"/>
      <c r="CAC1" s="87"/>
      <c r="CAD1" s="87"/>
      <c r="CAE1" s="87"/>
      <c r="CAF1" s="87"/>
      <c r="CAG1" s="87"/>
      <c r="CAH1" s="87"/>
      <c r="CAI1" s="87"/>
      <c r="CAJ1" s="87"/>
      <c r="CAK1" s="87"/>
      <c r="CAL1" s="87"/>
      <c r="CAM1" s="87"/>
      <c r="CAN1" s="87"/>
      <c r="CAO1" s="87"/>
      <c r="CAP1" s="87"/>
      <c r="CAQ1" s="87"/>
      <c r="CAR1" s="87"/>
      <c r="CAS1" s="87"/>
      <c r="CAT1" s="87"/>
      <c r="CAU1" s="87"/>
      <c r="CAV1" s="87"/>
      <c r="CAW1" s="87"/>
      <c r="CAX1" s="87"/>
      <c r="CAY1" s="87"/>
      <c r="CAZ1" s="87"/>
      <c r="CBA1" s="87"/>
      <c r="CBB1" s="87"/>
      <c r="CBC1" s="87"/>
      <c r="CBD1" s="87"/>
      <c r="CBE1" s="87"/>
      <c r="CBF1" s="87"/>
      <c r="CBG1" s="87"/>
      <c r="CBH1" s="87"/>
      <c r="CBI1" s="87"/>
      <c r="CBJ1" s="87"/>
      <c r="CBK1" s="87"/>
      <c r="CBL1" s="87"/>
      <c r="CBM1" s="87"/>
      <c r="CBN1" s="87"/>
      <c r="CBO1" s="87"/>
      <c r="CBP1" s="87"/>
      <c r="CBQ1" s="87"/>
      <c r="CBR1" s="87"/>
      <c r="CBS1" s="87"/>
      <c r="CBT1" s="87"/>
      <c r="CBU1" s="87"/>
      <c r="CBV1" s="87"/>
      <c r="CBW1" s="87"/>
      <c r="CBX1" s="87"/>
      <c r="CBY1" s="87"/>
      <c r="CBZ1" s="87"/>
      <c r="CCA1" s="87"/>
      <c r="CCB1" s="87"/>
      <c r="CCC1" s="87"/>
      <c r="CCD1" s="87"/>
      <c r="CCE1" s="87"/>
      <c r="CCF1" s="87"/>
      <c r="CCG1" s="87"/>
      <c r="CCH1" s="87"/>
      <c r="CCI1" s="87"/>
      <c r="CCJ1" s="87"/>
      <c r="CCK1" s="87"/>
      <c r="CCL1" s="87"/>
      <c r="CCM1" s="87"/>
      <c r="CCN1" s="87"/>
      <c r="CCO1" s="87"/>
      <c r="CCP1" s="87"/>
      <c r="CCQ1" s="87"/>
      <c r="CCR1" s="87"/>
      <c r="CCS1" s="87"/>
      <c r="CCT1" s="87"/>
      <c r="CCU1" s="87"/>
      <c r="CCV1" s="87"/>
      <c r="CCW1" s="87"/>
      <c r="CCX1" s="87"/>
      <c r="CCY1" s="87"/>
      <c r="CCZ1" s="87"/>
      <c r="CDA1" s="87"/>
      <c r="CDB1" s="87"/>
      <c r="CDC1" s="87"/>
      <c r="CDD1" s="87"/>
      <c r="CDE1" s="87"/>
      <c r="CDF1" s="87"/>
      <c r="CDG1" s="87"/>
      <c r="CDH1" s="87"/>
      <c r="CDI1" s="87"/>
      <c r="CDJ1" s="87"/>
      <c r="CDK1" s="87"/>
      <c r="CDL1" s="87"/>
      <c r="CDM1" s="87"/>
      <c r="CDN1" s="87"/>
      <c r="CDO1" s="87"/>
      <c r="CDP1" s="87"/>
      <c r="CDQ1" s="87"/>
      <c r="CDR1" s="87"/>
      <c r="CDS1" s="87"/>
      <c r="CDT1" s="87"/>
      <c r="CDU1" s="87"/>
      <c r="CDV1" s="87"/>
      <c r="CDW1" s="87"/>
      <c r="CDX1" s="87"/>
      <c r="CDY1" s="87"/>
      <c r="CDZ1" s="87"/>
      <c r="CEA1" s="87"/>
      <c r="CEB1" s="87"/>
      <c r="CEC1" s="87"/>
      <c r="CED1" s="87"/>
      <c r="CEE1" s="87"/>
      <c r="CEF1" s="87"/>
      <c r="CEG1" s="87"/>
      <c r="CEH1" s="87"/>
      <c r="CEI1" s="87"/>
      <c r="CEJ1" s="87"/>
      <c r="CEK1" s="87"/>
      <c r="CEL1" s="87"/>
      <c r="CEM1" s="87"/>
      <c r="CEN1" s="87"/>
      <c r="CEO1" s="87"/>
      <c r="CEP1" s="87"/>
      <c r="CEQ1" s="87"/>
      <c r="CER1" s="87"/>
      <c r="CES1" s="87"/>
      <c r="CET1" s="87"/>
      <c r="CEU1" s="87"/>
      <c r="CEV1" s="87"/>
      <c r="CEW1" s="87"/>
      <c r="CEX1" s="87"/>
      <c r="CEY1" s="87"/>
      <c r="CEZ1" s="87"/>
      <c r="CFA1" s="87"/>
      <c r="CFB1" s="87"/>
      <c r="CFC1" s="87"/>
      <c r="CFD1" s="87"/>
      <c r="CFE1" s="87"/>
      <c r="CFF1" s="87"/>
      <c r="CFG1" s="87"/>
      <c r="CFH1" s="87"/>
      <c r="CFI1" s="87"/>
      <c r="CFJ1" s="87"/>
      <c r="CFK1" s="87"/>
      <c r="CFL1" s="87"/>
      <c r="CFM1" s="87"/>
      <c r="CFN1" s="87"/>
      <c r="CFO1" s="87"/>
      <c r="CFP1" s="87"/>
      <c r="CFQ1" s="87"/>
      <c r="CFR1" s="87"/>
      <c r="CFS1" s="87"/>
      <c r="CFT1" s="87"/>
      <c r="CFU1" s="87"/>
      <c r="CFV1" s="87"/>
      <c r="CFW1" s="87"/>
      <c r="CFX1" s="87"/>
      <c r="CFY1" s="87"/>
      <c r="CFZ1" s="87"/>
      <c r="CGA1" s="87"/>
      <c r="CGB1" s="87"/>
      <c r="CGC1" s="87"/>
      <c r="CGD1" s="87"/>
      <c r="CGE1" s="87"/>
      <c r="CGF1" s="87"/>
      <c r="CGG1" s="87"/>
      <c r="CGH1" s="87"/>
      <c r="CGI1" s="87"/>
      <c r="CGJ1" s="87"/>
      <c r="CGK1" s="87"/>
      <c r="CGL1" s="87"/>
      <c r="CGM1" s="87"/>
      <c r="CGN1" s="87"/>
      <c r="CGO1" s="87"/>
      <c r="CGP1" s="87"/>
      <c r="CGQ1" s="87"/>
      <c r="CGR1" s="87"/>
      <c r="CGS1" s="87"/>
      <c r="CGT1" s="87"/>
      <c r="CGU1" s="87"/>
      <c r="CGV1" s="87"/>
      <c r="CGW1" s="87"/>
      <c r="CGX1" s="87"/>
      <c r="CGY1" s="87"/>
      <c r="CGZ1" s="87"/>
      <c r="CHA1" s="87"/>
      <c r="CHB1" s="87"/>
      <c r="CHC1" s="87"/>
      <c r="CHD1" s="87"/>
      <c r="CHE1" s="87"/>
      <c r="CHF1" s="87"/>
      <c r="CHG1" s="87"/>
      <c r="CHH1" s="87"/>
      <c r="CHI1" s="87"/>
      <c r="CHJ1" s="87"/>
      <c r="CHK1" s="87"/>
      <c r="CHL1" s="87"/>
      <c r="CHM1" s="87"/>
      <c r="CHN1" s="87"/>
      <c r="CHO1" s="87"/>
      <c r="CHP1" s="87"/>
      <c r="CHQ1" s="87"/>
      <c r="CHR1" s="87"/>
      <c r="CHS1" s="87"/>
      <c r="CHT1" s="87"/>
      <c r="CHU1" s="87"/>
      <c r="CHV1" s="87"/>
      <c r="CHW1" s="87"/>
      <c r="CHX1" s="87"/>
      <c r="CHY1" s="87"/>
      <c r="CHZ1" s="87"/>
      <c r="CIA1" s="87"/>
      <c r="CIB1" s="87"/>
      <c r="CIC1" s="87"/>
      <c r="CID1" s="87"/>
      <c r="CIE1" s="87"/>
      <c r="CIF1" s="87"/>
      <c r="CIG1" s="87"/>
      <c r="CIH1" s="87"/>
      <c r="CII1" s="87"/>
      <c r="CIJ1" s="87"/>
      <c r="CIK1" s="87"/>
      <c r="CIL1" s="87"/>
      <c r="CIM1" s="87"/>
      <c r="CIN1" s="87"/>
      <c r="CIO1" s="87"/>
      <c r="CIP1" s="87"/>
      <c r="CIQ1" s="87"/>
      <c r="CIR1" s="87"/>
      <c r="CIS1" s="87"/>
      <c r="CIT1" s="87"/>
      <c r="CIU1" s="87"/>
      <c r="CIV1" s="87"/>
      <c r="CIW1" s="87"/>
      <c r="CIX1" s="87"/>
      <c r="CIY1" s="87"/>
      <c r="CIZ1" s="87"/>
      <c r="CJA1" s="87"/>
      <c r="CJB1" s="87"/>
      <c r="CJC1" s="87"/>
      <c r="CJD1" s="87"/>
      <c r="CJE1" s="87"/>
      <c r="CJF1" s="87"/>
      <c r="CJG1" s="87"/>
      <c r="CJH1" s="87"/>
      <c r="CJI1" s="87"/>
      <c r="CJJ1" s="87"/>
      <c r="CJK1" s="87"/>
      <c r="CJL1" s="87"/>
      <c r="CJM1" s="87"/>
      <c r="CJN1" s="87"/>
      <c r="CJO1" s="87"/>
      <c r="CJP1" s="87"/>
      <c r="CJQ1" s="87"/>
      <c r="CJR1" s="87"/>
      <c r="CJS1" s="87"/>
      <c r="CJT1" s="87"/>
      <c r="CJU1" s="87"/>
      <c r="CJV1" s="87"/>
      <c r="CJW1" s="87"/>
      <c r="CJX1" s="87"/>
      <c r="CJY1" s="87"/>
      <c r="CJZ1" s="87"/>
      <c r="CKA1" s="87"/>
      <c r="CKB1" s="87"/>
      <c r="CKC1" s="87"/>
      <c r="CKD1" s="87"/>
      <c r="CKE1" s="87"/>
      <c r="CKF1" s="87"/>
      <c r="CKG1" s="87"/>
      <c r="CKH1" s="87"/>
      <c r="CKI1" s="87"/>
      <c r="CKJ1" s="87"/>
      <c r="CKK1" s="87"/>
      <c r="CKL1" s="87"/>
      <c r="CKM1" s="87"/>
      <c r="CKN1" s="87"/>
      <c r="CKO1" s="87"/>
      <c r="CKP1" s="87"/>
      <c r="CKQ1" s="87"/>
      <c r="CKR1" s="87"/>
      <c r="CKS1" s="87"/>
      <c r="CKT1" s="87"/>
      <c r="CKU1" s="87"/>
      <c r="CKV1" s="87"/>
      <c r="CKW1" s="87"/>
      <c r="CKX1" s="87"/>
      <c r="CKY1" s="87"/>
      <c r="CKZ1" s="87"/>
      <c r="CLA1" s="87"/>
      <c r="CLB1" s="87"/>
      <c r="CLC1" s="87"/>
      <c r="CLD1" s="87"/>
      <c r="CLE1" s="87"/>
      <c r="CLF1" s="87"/>
      <c r="CLG1" s="87"/>
      <c r="CLH1" s="87"/>
      <c r="CLI1" s="87"/>
      <c r="CLJ1" s="87"/>
      <c r="CLK1" s="87"/>
      <c r="CLL1" s="87"/>
      <c r="CLM1" s="87"/>
      <c r="CLN1" s="87"/>
      <c r="CLO1" s="87"/>
      <c r="CLP1" s="87"/>
      <c r="CLQ1" s="87"/>
      <c r="CLR1" s="87"/>
      <c r="CLS1" s="87"/>
      <c r="CLT1" s="87"/>
      <c r="CLU1" s="87"/>
      <c r="CLV1" s="87"/>
      <c r="CLW1" s="87"/>
      <c r="CLX1" s="87"/>
      <c r="CLY1" s="87"/>
      <c r="CLZ1" s="87"/>
      <c r="CMA1" s="87"/>
      <c r="CMB1" s="87"/>
      <c r="CMC1" s="87"/>
      <c r="CMD1" s="87"/>
      <c r="CME1" s="87"/>
      <c r="CMF1" s="87"/>
      <c r="CMG1" s="87"/>
      <c r="CMH1" s="87"/>
      <c r="CMI1" s="87"/>
      <c r="CMJ1" s="87"/>
      <c r="CMK1" s="87"/>
      <c r="CML1" s="87"/>
      <c r="CMM1" s="87"/>
      <c r="CMN1" s="87"/>
      <c r="CMO1" s="87"/>
      <c r="CMP1" s="87"/>
      <c r="CMQ1" s="87"/>
      <c r="CMR1" s="87"/>
      <c r="CMS1" s="87"/>
      <c r="CMT1" s="87"/>
      <c r="CMU1" s="87"/>
      <c r="CMV1" s="87"/>
      <c r="CMW1" s="87"/>
      <c r="CMX1" s="87"/>
      <c r="CMY1" s="87"/>
      <c r="CMZ1" s="87"/>
      <c r="CNA1" s="87"/>
      <c r="CNB1" s="87"/>
      <c r="CNC1" s="87"/>
      <c r="CND1" s="87"/>
      <c r="CNE1" s="87"/>
      <c r="CNF1" s="87"/>
      <c r="CNG1" s="87"/>
      <c r="CNH1" s="87"/>
      <c r="CNI1" s="87"/>
      <c r="CNJ1" s="87"/>
      <c r="CNK1" s="87"/>
      <c r="CNL1" s="87"/>
      <c r="CNM1" s="87"/>
      <c r="CNN1" s="87"/>
      <c r="CNO1" s="87"/>
      <c r="CNP1" s="87"/>
      <c r="CNQ1" s="87"/>
      <c r="CNR1" s="87"/>
      <c r="CNS1" s="87"/>
      <c r="CNT1" s="87"/>
      <c r="CNU1" s="87"/>
      <c r="CNV1" s="87"/>
      <c r="CNW1" s="87"/>
      <c r="CNX1" s="87"/>
      <c r="CNY1" s="87"/>
      <c r="CNZ1" s="87"/>
      <c r="COA1" s="87"/>
      <c r="COB1" s="87"/>
      <c r="COC1" s="87"/>
      <c r="COD1" s="87"/>
      <c r="COE1" s="87"/>
      <c r="COF1" s="87"/>
      <c r="COG1" s="87"/>
      <c r="COH1" s="87"/>
      <c r="COI1" s="87"/>
      <c r="COJ1" s="87"/>
      <c r="COK1" s="87"/>
      <c r="COL1" s="87"/>
      <c r="COM1" s="87"/>
      <c r="CON1" s="87"/>
      <c r="COO1" s="87"/>
      <c r="COP1" s="87"/>
      <c r="COQ1" s="87"/>
      <c r="COR1" s="87"/>
      <c r="COS1" s="87"/>
      <c r="COT1" s="87"/>
      <c r="COU1" s="87"/>
      <c r="COV1" s="87"/>
      <c r="COW1" s="87"/>
      <c r="COX1" s="87"/>
      <c r="COY1" s="87"/>
      <c r="COZ1" s="87"/>
      <c r="CPA1" s="87"/>
      <c r="CPB1" s="87"/>
      <c r="CPC1" s="87"/>
      <c r="CPD1" s="87"/>
      <c r="CPE1" s="87"/>
      <c r="CPF1" s="87"/>
      <c r="CPG1" s="87"/>
      <c r="CPH1" s="87"/>
      <c r="CPI1" s="87"/>
      <c r="CPJ1" s="87"/>
      <c r="CPK1" s="87"/>
      <c r="CPL1" s="87"/>
      <c r="CPM1" s="87"/>
      <c r="CPN1" s="87"/>
      <c r="CPO1" s="87"/>
      <c r="CPP1" s="87"/>
      <c r="CPQ1" s="87"/>
      <c r="CPR1" s="87"/>
      <c r="CPS1" s="87"/>
      <c r="CPT1" s="87"/>
      <c r="CPU1" s="87"/>
      <c r="CPV1" s="87"/>
      <c r="CPW1" s="87"/>
      <c r="CPX1" s="87"/>
      <c r="CPY1" s="87"/>
      <c r="CPZ1" s="87"/>
      <c r="CQA1" s="87"/>
      <c r="CQB1" s="87"/>
      <c r="CQC1" s="87"/>
      <c r="CQD1" s="87"/>
      <c r="CQE1" s="87"/>
      <c r="CQF1" s="87"/>
      <c r="CQG1" s="87"/>
      <c r="CQH1" s="87"/>
      <c r="CQI1" s="87"/>
      <c r="CQJ1" s="87"/>
      <c r="CQK1" s="87"/>
      <c r="CQL1" s="87"/>
      <c r="CQM1" s="87"/>
      <c r="CQN1" s="87"/>
      <c r="CQO1" s="87"/>
      <c r="CQP1" s="87"/>
      <c r="CQQ1" s="87"/>
      <c r="CQR1" s="87"/>
      <c r="CQS1" s="87"/>
      <c r="CQT1" s="87"/>
      <c r="CQU1" s="87"/>
      <c r="CQV1" s="87"/>
      <c r="CQW1" s="87"/>
      <c r="CQX1" s="87"/>
      <c r="CQY1" s="87"/>
      <c r="CQZ1" s="87"/>
      <c r="CRA1" s="87"/>
      <c r="CRB1" s="87"/>
      <c r="CRC1" s="87"/>
      <c r="CRD1" s="87"/>
      <c r="CRE1" s="87"/>
      <c r="CRF1" s="87"/>
      <c r="CRG1" s="87"/>
      <c r="CRH1" s="87"/>
      <c r="CRI1" s="87"/>
      <c r="CRJ1" s="87"/>
      <c r="CRK1" s="87"/>
      <c r="CRL1" s="87"/>
      <c r="CRM1" s="87"/>
      <c r="CRN1" s="87"/>
      <c r="CRO1" s="87"/>
      <c r="CRP1" s="87"/>
      <c r="CRQ1" s="87"/>
      <c r="CRR1" s="87"/>
      <c r="CRS1" s="87"/>
      <c r="CRT1" s="87"/>
      <c r="CRU1" s="87"/>
      <c r="CRV1" s="87"/>
      <c r="CRW1" s="87"/>
      <c r="CRX1" s="87"/>
      <c r="CRY1" s="87"/>
      <c r="CRZ1" s="87"/>
      <c r="CSA1" s="87"/>
      <c r="CSB1" s="87"/>
      <c r="CSC1" s="87"/>
      <c r="CSD1" s="87"/>
      <c r="CSE1" s="87"/>
      <c r="CSF1" s="87"/>
      <c r="CSG1" s="87"/>
      <c r="CSH1" s="87"/>
      <c r="CSI1" s="87"/>
      <c r="CSJ1" s="87"/>
      <c r="CSK1" s="87"/>
      <c r="CSL1" s="87"/>
      <c r="CSM1" s="87"/>
      <c r="CSN1" s="87"/>
      <c r="CSO1" s="87"/>
      <c r="CSP1" s="87"/>
      <c r="CSQ1" s="87"/>
      <c r="CSR1" s="87"/>
      <c r="CSS1" s="87"/>
      <c r="CST1" s="87"/>
      <c r="CSU1" s="87"/>
      <c r="CSV1" s="87"/>
      <c r="CSW1" s="87"/>
      <c r="CSX1" s="87"/>
      <c r="CSY1" s="87"/>
      <c r="CSZ1" s="87"/>
      <c r="CTA1" s="87"/>
      <c r="CTB1" s="87"/>
      <c r="CTC1" s="87"/>
      <c r="CTD1" s="87"/>
      <c r="CTE1" s="87"/>
      <c r="CTF1" s="87"/>
      <c r="CTG1" s="87"/>
      <c r="CTH1" s="87"/>
      <c r="CTI1" s="87"/>
      <c r="CTJ1" s="87"/>
      <c r="CTK1" s="87"/>
      <c r="CTL1" s="87"/>
      <c r="CTM1" s="87"/>
      <c r="CTN1" s="87"/>
      <c r="CTO1" s="87"/>
      <c r="CTP1" s="87"/>
      <c r="CTQ1" s="87"/>
      <c r="CTR1" s="87"/>
      <c r="CTS1" s="87"/>
      <c r="CTT1" s="87"/>
      <c r="CTU1" s="87"/>
      <c r="CTV1" s="87"/>
      <c r="CTW1" s="87"/>
      <c r="CTX1" s="87"/>
      <c r="CTY1" s="87"/>
      <c r="CTZ1" s="87"/>
      <c r="CUA1" s="87"/>
      <c r="CUB1" s="87"/>
      <c r="CUC1" s="87"/>
      <c r="CUD1" s="87"/>
      <c r="CUE1" s="87"/>
      <c r="CUF1" s="87"/>
      <c r="CUG1" s="87"/>
      <c r="CUH1" s="87"/>
      <c r="CUI1" s="87"/>
      <c r="CUJ1" s="87"/>
      <c r="CUK1" s="87"/>
      <c r="CUL1" s="87"/>
      <c r="CUM1" s="87"/>
      <c r="CUN1" s="87"/>
      <c r="CUO1" s="87"/>
      <c r="CUP1" s="87"/>
      <c r="CUQ1" s="87"/>
      <c r="CUR1" s="87"/>
      <c r="CUS1" s="87"/>
      <c r="CUT1" s="87"/>
      <c r="CUU1" s="87"/>
      <c r="CUV1" s="87"/>
      <c r="CUW1" s="87"/>
      <c r="CUX1" s="87"/>
      <c r="CUY1" s="87"/>
      <c r="CUZ1" s="87"/>
      <c r="CVA1" s="87"/>
      <c r="CVB1" s="87"/>
      <c r="CVC1" s="87"/>
      <c r="CVD1" s="87"/>
      <c r="CVE1" s="87"/>
      <c r="CVF1" s="87"/>
      <c r="CVG1" s="87"/>
      <c r="CVH1" s="87"/>
      <c r="CVI1" s="87"/>
      <c r="CVJ1" s="87"/>
      <c r="CVK1" s="87"/>
      <c r="CVL1" s="87"/>
      <c r="CVM1" s="87"/>
      <c r="CVN1" s="87"/>
      <c r="CVO1" s="87"/>
      <c r="CVP1" s="87"/>
      <c r="CVQ1" s="87"/>
      <c r="CVR1" s="87"/>
      <c r="CVS1" s="87"/>
      <c r="CVT1" s="87"/>
      <c r="CVU1" s="87"/>
      <c r="CVV1" s="87"/>
      <c r="CVW1" s="87"/>
      <c r="CVX1" s="87"/>
      <c r="CVY1" s="87"/>
      <c r="CVZ1" s="87"/>
      <c r="CWA1" s="87"/>
      <c r="CWB1" s="87"/>
      <c r="CWC1" s="87"/>
      <c r="CWD1" s="87"/>
      <c r="CWE1" s="87"/>
      <c r="CWF1" s="87"/>
      <c r="CWG1" s="87"/>
      <c r="CWH1" s="87"/>
      <c r="CWI1" s="87"/>
      <c r="CWJ1" s="87"/>
      <c r="CWK1" s="87"/>
      <c r="CWL1" s="87"/>
      <c r="CWM1" s="87"/>
      <c r="CWN1" s="87"/>
      <c r="CWO1" s="87"/>
      <c r="CWP1" s="87"/>
      <c r="CWQ1" s="87"/>
      <c r="CWR1" s="87"/>
      <c r="CWS1" s="87"/>
      <c r="CWT1" s="87"/>
      <c r="CWU1" s="87"/>
      <c r="CWV1" s="87"/>
      <c r="CWW1" s="87"/>
      <c r="CWX1" s="87"/>
      <c r="CWY1" s="87"/>
      <c r="CWZ1" s="87"/>
      <c r="CXA1" s="87"/>
      <c r="CXB1" s="87"/>
      <c r="CXC1" s="87"/>
      <c r="CXD1" s="87"/>
      <c r="CXE1" s="87"/>
      <c r="CXF1" s="87"/>
      <c r="CXG1" s="87"/>
      <c r="CXH1" s="87"/>
      <c r="CXI1" s="87"/>
      <c r="CXJ1" s="87"/>
      <c r="CXK1" s="87"/>
      <c r="CXL1" s="87"/>
      <c r="CXM1" s="87"/>
      <c r="CXN1" s="87"/>
      <c r="CXO1" s="87"/>
      <c r="CXP1" s="87"/>
      <c r="CXQ1" s="87"/>
      <c r="CXR1" s="87"/>
      <c r="CXS1" s="87"/>
      <c r="CXT1" s="87"/>
      <c r="CXU1" s="87"/>
      <c r="CXV1" s="87"/>
      <c r="CXW1" s="87"/>
      <c r="CXX1" s="87"/>
      <c r="CXY1" s="87"/>
      <c r="CXZ1" s="87"/>
      <c r="CYA1" s="87"/>
      <c r="CYB1" s="87"/>
      <c r="CYC1" s="87"/>
      <c r="CYD1" s="87"/>
      <c r="CYE1" s="87"/>
      <c r="CYF1" s="87"/>
      <c r="CYG1" s="87"/>
      <c r="CYH1" s="87"/>
      <c r="CYI1" s="87"/>
      <c r="CYJ1" s="87"/>
      <c r="CYK1" s="87"/>
      <c r="CYL1" s="87"/>
      <c r="CYM1" s="87"/>
      <c r="CYN1" s="87"/>
      <c r="CYO1" s="87"/>
      <c r="CYP1" s="87"/>
      <c r="CYQ1" s="87"/>
      <c r="CYR1" s="87"/>
      <c r="CYS1" s="87"/>
      <c r="CYT1" s="87"/>
      <c r="CYU1" s="87"/>
      <c r="CYV1" s="87"/>
      <c r="CYW1" s="87"/>
      <c r="CYX1" s="87"/>
      <c r="CYY1" s="87"/>
      <c r="CYZ1" s="87"/>
      <c r="CZA1" s="87"/>
      <c r="CZB1" s="87"/>
      <c r="CZC1" s="87"/>
      <c r="CZD1" s="87"/>
      <c r="CZE1" s="87"/>
      <c r="CZF1" s="87"/>
      <c r="CZG1" s="87"/>
      <c r="CZH1" s="87"/>
      <c r="CZI1" s="87"/>
      <c r="CZJ1" s="87"/>
      <c r="CZK1" s="87"/>
      <c r="CZL1" s="87"/>
      <c r="CZM1" s="87"/>
      <c r="CZN1" s="87"/>
      <c r="CZO1" s="87"/>
      <c r="CZP1" s="87"/>
      <c r="CZQ1" s="87"/>
      <c r="CZR1" s="87"/>
      <c r="CZS1" s="87"/>
      <c r="CZT1" s="87"/>
      <c r="CZU1" s="87"/>
      <c r="CZV1" s="87"/>
      <c r="CZW1" s="87"/>
      <c r="CZX1" s="87"/>
      <c r="CZY1" s="87"/>
      <c r="CZZ1" s="87"/>
      <c r="DAA1" s="87"/>
      <c r="DAB1" s="87"/>
      <c r="DAC1" s="87"/>
      <c r="DAD1" s="87"/>
      <c r="DAE1" s="87"/>
      <c r="DAF1" s="87"/>
      <c r="DAG1" s="87"/>
      <c r="DAH1" s="87"/>
      <c r="DAI1" s="87"/>
      <c r="DAJ1" s="87"/>
      <c r="DAK1" s="87"/>
      <c r="DAL1" s="87"/>
      <c r="DAM1" s="87"/>
      <c r="DAN1" s="87"/>
      <c r="DAO1" s="87"/>
      <c r="DAP1" s="87"/>
      <c r="DAQ1" s="87"/>
      <c r="DAR1" s="87"/>
      <c r="DAS1" s="87"/>
      <c r="DAT1" s="87"/>
      <c r="DAU1" s="87"/>
      <c r="DAV1" s="87"/>
      <c r="DAW1" s="87"/>
      <c r="DAX1" s="87"/>
      <c r="DAY1" s="87"/>
      <c r="DAZ1" s="87"/>
      <c r="DBA1" s="87"/>
      <c r="DBB1" s="87"/>
      <c r="DBC1" s="87"/>
      <c r="DBD1" s="87"/>
      <c r="DBE1" s="87"/>
      <c r="DBF1" s="87"/>
      <c r="DBG1" s="87"/>
      <c r="DBH1" s="87"/>
      <c r="DBI1" s="87"/>
      <c r="DBJ1" s="87"/>
      <c r="DBK1" s="87"/>
      <c r="DBL1" s="87"/>
      <c r="DBM1" s="87"/>
      <c r="DBN1" s="87"/>
      <c r="DBO1" s="87"/>
      <c r="DBP1" s="87"/>
      <c r="DBQ1" s="87"/>
      <c r="DBR1" s="87"/>
      <c r="DBS1" s="87"/>
      <c r="DBT1" s="87"/>
      <c r="DBU1" s="87"/>
      <c r="DBV1" s="87"/>
      <c r="DBW1" s="87"/>
      <c r="DBX1" s="87"/>
      <c r="DBY1" s="87"/>
      <c r="DBZ1" s="87"/>
      <c r="DCA1" s="87"/>
      <c r="DCB1" s="87"/>
      <c r="DCC1" s="87"/>
      <c r="DCD1" s="87"/>
      <c r="DCE1" s="87"/>
      <c r="DCF1" s="87"/>
      <c r="DCG1" s="87"/>
      <c r="DCH1" s="87"/>
      <c r="DCI1" s="87"/>
      <c r="DCJ1" s="87"/>
      <c r="DCK1" s="87"/>
      <c r="DCL1" s="87"/>
      <c r="DCM1" s="87"/>
      <c r="DCN1" s="87"/>
      <c r="DCO1" s="87"/>
      <c r="DCP1" s="87"/>
      <c r="DCQ1" s="87"/>
      <c r="DCR1" s="87"/>
      <c r="DCS1" s="87"/>
      <c r="DCT1" s="87"/>
      <c r="DCU1" s="87"/>
      <c r="DCV1" s="87"/>
      <c r="DCW1" s="87"/>
      <c r="DCX1" s="87"/>
      <c r="DCY1" s="87"/>
      <c r="DCZ1" s="87"/>
      <c r="DDA1" s="87"/>
      <c r="DDB1" s="87"/>
      <c r="DDC1" s="87"/>
      <c r="DDD1" s="87"/>
      <c r="DDE1" s="87"/>
      <c r="DDF1" s="87"/>
      <c r="DDG1" s="87"/>
      <c r="DDH1" s="87"/>
      <c r="DDI1" s="87"/>
      <c r="DDJ1" s="87"/>
      <c r="DDK1" s="87"/>
      <c r="DDL1" s="87"/>
      <c r="DDM1" s="87"/>
      <c r="DDN1" s="87"/>
      <c r="DDO1" s="87"/>
      <c r="DDP1" s="87"/>
      <c r="DDQ1" s="87"/>
      <c r="DDR1" s="87"/>
      <c r="DDS1" s="87"/>
      <c r="DDT1" s="87"/>
      <c r="DDU1" s="87"/>
      <c r="DDV1" s="87"/>
      <c r="DDW1" s="87"/>
      <c r="DDX1" s="87"/>
      <c r="DDY1" s="87"/>
      <c r="DDZ1" s="87"/>
      <c r="DEA1" s="87"/>
      <c r="DEB1" s="87"/>
      <c r="DEC1" s="87"/>
      <c r="DED1" s="87"/>
      <c r="DEE1" s="87"/>
      <c r="DEF1" s="87"/>
      <c r="DEG1" s="87"/>
      <c r="DEH1" s="87"/>
      <c r="DEI1" s="87"/>
      <c r="DEJ1" s="87"/>
      <c r="DEK1" s="87"/>
      <c r="DEL1" s="87"/>
      <c r="DEM1" s="87"/>
      <c r="DEN1" s="87"/>
      <c r="DEO1" s="87"/>
      <c r="DEP1" s="87"/>
      <c r="DEQ1" s="87"/>
      <c r="DER1" s="87"/>
      <c r="DES1" s="87"/>
      <c r="DET1" s="87"/>
      <c r="DEU1" s="87"/>
      <c r="DEV1" s="87"/>
      <c r="DEW1" s="87"/>
      <c r="DEX1" s="87"/>
      <c r="DEY1" s="87"/>
      <c r="DEZ1" s="87"/>
      <c r="DFA1" s="87"/>
      <c r="DFB1" s="87"/>
      <c r="DFC1" s="87"/>
      <c r="DFD1" s="87"/>
      <c r="DFE1" s="87"/>
      <c r="DFF1" s="87"/>
      <c r="DFG1" s="87"/>
      <c r="DFH1" s="87"/>
      <c r="DFI1" s="87"/>
      <c r="DFJ1" s="87"/>
      <c r="DFK1" s="87"/>
      <c r="DFL1" s="87"/>
      <c r="DFM1" s="87"/>
      <c r="DFN1" s="87"/>
      <c r="DFO1" s="87"/>
      <c r="DFP1" s="87"/>
      <c r="DFQ1" s="87"/>
      <c r="DFR1" s="87"/>
      <c r="DFS1" s="87"/>
      <c r="DFT1" s="87"/>
      <c r="DFU1" s="87"/>
      <c r="DFV1" s="87"/>
      <c r="DFW1" s="87"/>
      <c r="DFX1" s="87"/>
      <c r="DFY1" s="87"/>
      <c r="DFZ1" s="87"/>
      <c r="DGA1" s="87"/>
      <c r="DGB1" s="87"/>
      <c r="DGC1" s="87"/>
      <c r="DGD1" s="87"/>
      <c r="DGE1" s="87"/>
      <c r="DGF1" s="87"/>
      <c r="DGG1" s="87"/>
      <c r="DGH1" s="87"/>
      <c r="DGI1" s="87"/>
      <c r="DGJ1" s="87"/>
      <c r="DGK1" s="87"/>
      <c r="DGL1" s="87"/>
      <c r="DGM1" s="87"/>
      <c r="DGN1" s="87"/>
      <c r="DGO1" s="87"/>
      <c r="DGP1" s="87"/>
      <c r="DGQ1" s="87"/>
      <c r="DGR1" s="87"/>
      <c r="DGS1" s="87"/>
      <c r="DGT1" s="87"/>
      <c r="DGU1" s="87"/>
      <c r="DGV1" s="87"/>
      <c r="DGW1" s="87"/>
      <c r="DGX1" s="87"/>
      <c r="DGY1" s="87"/>
      <c r="DGZ1" s="87"/>
      <c r="DHA1" s="87"/>
      <c r="DHB1" s="87"/>
      <c r="DHC1" s="87"/>
      <c r="DHD1" s="87"/>
      <c r="DHE1" s="87"/>
      <c r="DHF1" s="87"/>
      <c r="DHG1" s="87"/>
      <c r="DHH1" s="87"/>
      <c r="DHI1" s="87"/>
      <c r="DHJ1" s="87"/>
      <c r="DHK1" s="87"/>
      <c r="DHL1" s="87"/>
      <c r="DHM1" s="87"/>
      <c r="DHN1" s="87"/>
      <c r="DHO1" s="87"/>
      <c r="DHP1" s="87"/>
      <c r="DHQ1" s="87"/>
      <c r="DHR1" s="87"/>
      <c r="DHS1" s="87"/>
      <c r="DHT1" s="87"/>
      <c r="DHU1" s="87"/>
      <c r="DHV1" s="87"/>
      <c r="DHW1" s="87"/>
      <c r="DHX1" s="87"/>
      <c r="DHY1" s="87"/>
      <c r="DHZ1" s="87"/>
      <c r="DIA1" s="87"/>
      <c r="DIB1" s="87"/>
      <c r="DIC1" s="87"/>
      <c r="DID1" s="87"/>
      <c r="DIE1" s="87"/>
      <c r="DIF1" s="87"/>
      <c r="DIG1" s="87"/>
      <c r="DIH1" s="87"/>
      <c r="DII1" s="87"/>
      <c r="DIJ1" s="87"/>
      <c r="DIK1" s="87"/>
      <c r="DIL1" s="87"/>
      <c r="DIM1" s="87"/>
      <c r="DIN1" s="87"/>
      <c r="DIO1" s="87"/>
      <c r="DIP1" s="87"/>
      <c r="DIQ1" s="87"/>
      <c r="DIR1" s="87"/>
      <c r="DIS1" s="87"/>
      <c r="DIT1" s="87"/>
      <c r="DIU1" s="87"/>
      <c r="DIV1" s="87"/>
      <c r="DIW1" s="87"/>
      <c r="DIX1" s="87"/>
      <c r="DIY1" s="87"/>
      <c r="DIZ1" s="87"/>
      <c r="DJA1" s="87"/>
      <c r="DJB1" s="87"/>
      <c r="DJC1" s="87"/>
      <c r="DJD1" s="87"/>
      <c r="DJE1" s="87"/>
      <c r="DJF1" s="87"/>
      <c r="DJG1" s="87"/>
      <c r="DJH1" s="87"/>
      <c r="DJI1" s="87"/>
      <c r="DJJ1" s="87"/>
      <c r="DJK1" s="87"/>
      <c r="DJL1" s="87"/>
      <c r="DJM1" s="87"/>
      <c r="DJN1" s="87"/>
      <c r="DJO1" s="87"/>
      <c r="DJP1" s="87"/>
      <c r="DJQ1" s="87"/>
      <c r="DJR1" s="87"/>
      <c r="DJS1" s="87"/>
      <c r="DJT1" s="87"/>
      <c r="DJU1" s="87"/>
      <c r="DJV1" s="87"/>
      <c r="DJW1" s="87"/>
      <c r="DJX1" s="87"/>
      <c r="DJY1" s="87"/>
      <c r="DJZ1" s="87"/>
      <c r="DKA1" s="87"/>
      <c r="DKB1" s="87"/>
      <c r="DKC1" s="87"/>
      <c r="DKD1" s="87"/>
      <c r="DKE1" s="87"/>
      <c r="DKF1" s="87"/>
      <c r="DKG1" s="87"/>
      <c r="DKH1" s="87"/>
      <c r="DKI1" s="87"/>
      <c r="DKJ1" s="87"/>
      <c r="DKK1" s="87"/>
      <c r="DKL1" s="87"/>
      <c r="DKM1" s="87"/>
      <c r="DKN1" s="87"/>
      <c r="DKO1" s="87"/>
      <c r="DKP1" s="87"/>
      <c r="DKQ1" s="87"/>
      <c r="DKR1" s="87"/>
      <c r="DKS1" s="87"/>
      <c r="DKT1" s="87"/>
      <c r="DKU1" s="87"/>
      <c r="DKV1" s="87"/>
      <c r="DKW1" s="87"/>
      <c r="DKX1" s="87"/>
      <c r="DKY1" s="87"/>
      <c r="DKZ1" s="87"/>
      <c r="DLA1" s="87"/>
      <c r="DLB1" s="87"/>
      <c r="DLC1" s="87"/>
      <c r="DLD1" s="87"/>
      <c r="DLE1" s="87"/>
      <c r="DLF1" s="87"/>
      <c r="DLG1" s="87"/>
      <c r="DLH1" s="87"/>
      <c r="DLI1" s="87"/>
      <c r="DLJ1" s="87"/>
      <c r="DLK1" s="87"/>
      <c r="DLL1" s="87"/>
      <c r="DLM1" s="87"/>
      <c r="DLN1" s="87"/>
      <c r="DLO1" s="87"/>
      <c r="DLP1" s="87"/>
      <c r="DLQ1" s="87"/>
      <c r="DLR1" s="87"/>
      <c r="DLS1" s="87"/>
      <c r="DLT1" s="87"/>
      <c r="DLU1" s="87"/>
      <c r="DLV1" s="87"/>
      <c r="DLW1" s="87"/>
      <c r="DLX1" s="87"/>
      <c r="DLY1" s="87"/>
      <c r="DLZ1" s="87"/>
      <c r="DMA1" s="87"/>
      <c r="DMB1" s="87"/>
      <c r="DMC1" s="87"/>
      <c r="DMD1" s="87"/>
      <c r="DME1" s="87"/>
      <c r="DMF1" s="87"/>
      <c r="DMG1" s="87"/>
      <c r="DMH1" s="87"/>
      <c r="DMI1" s="87"/>
      <c r="DMJ1" s="87"/>
      <c r="DMK1" s="87"/>
      <c r="DML1" s="87"/>
      <c r="DMM1" s="87"/>
      <c r="DMN1" s="87"/>
      <c r="DMO1" s="87"/>
      <c r="DMP1" s="87"/>
      <c r="DMQ1" s="87"/>
      <c r="DMR1" s="87"/>
      <c r="DMS1" s="87"/>
      <c r="DMT1" s="87"/>
      <c r="DMU1" s="87"/>
      <c r="DMV1" s="87"/>
      <c r="DMW1" s="87"/>
      <c r="DMX1" s="87"/>
      <c r="DMY1" s="87"/>
      <c r="DMZ1" s="87"/>
      <c r="DNA1" s="87"/>
      <c r="DNB1" s="87"/>
      <c r="DNC1" s="87"/>
      <c r="DND1" s="87"/>
      <c r="DNE1" s="87"/>
      <c r="DNF1" s="87"/>
      <c r="DNG1" s="87"/>
      <c r="DNH1" s="87"/>
      <c r="DNI1" s="87"/>
      <c r="DNJ1" s="87"/>
      <c r="DNK1" s="87"/>
      <c r="DNL1" s="87"/>
      <c r="DNM1" s="87"/>
      <c r="DNN1" s="87"/>
      <c r="DNO1" s="87"/>
      <c r="DNP1" s="87"/>
      <c r="DNQ1" s="87"/>
      <c r="DNR1" s="87"/>
      <c r="DNS1" s="87"/>
      <c r="DNT1" s="87"/>
      <c r="DNU1" s="87"/>
      <c r="DNV1" s="87"/>
      <c r="DNW1" s="87"/>
      <c r="DNX1" s="87"/>
      <c r="DNY1" s="87"/>
      <c r="DNZ1" s="87"/>
      <c r="DOA1" s="87"/>
      <c r="DOB1" s="87"/>
      <c r="DOC1" s="87"/>
      <c r="DOD1" s="87"/>
      <c r="DOE1" s="87"/>
      <c r="DOF1" s="87"/>
      <c r="DOG1" s="87"/>
      <c r="DOH1" s="87"/>
      <c r="DOI1" s="87"/>
      <c r="DOJ1" s="87"/>
      <c r="DOK1" s="87"/>
      <c r="DOL1" s="87"/>
      <c r="DOM1" s="87"/>
      <c r="DON1" s="87"/>
      <c r="DOO1" s="87"/>
      <c r="DOP1" s="87"/>
      <c r="DOQ1" s="87"/>
      <c r="DOR1" s="87"/>
      <c r="DOS1" s="87"/>
      <c r="DOT1" s="87"/>
      <c r="DOU1" s="87"/>
      <c r="DOV1" s="87"/>
      <c r="DOW1" s="87"/>
      <c r="DOX1" s="87"/>
      <c r="DOY1" s="87"/>
      <c r="DOZ1" s="87"/>
      <c r="DPA1" s="87"/>
      <c r="DPB1" s="87"/>
      <c r="DPC1" s="87"/>
      <c r="DPD1" s="87"/>
      <c r="DPE1" s="87"/>
      <c r="DPF1" s="87"/>
      <c r="DPG1" s="87"/>
      <c r="DPH1" s="87"/>
      <c r="DPI1" s="87"/>
      <c r="DPJ1" s="87"/>
      <c r="DPK1" s="87"/>
      <c r="DPL1" s="87"/>
      <c r="DPM1" s="87"/>
      <c r="DPN1" s="87"/>
      <c r="DPO1" s="87"/>
      <c r="DPP1" s="87"/>
      <c r="DPQ1" s="87"/>
      <c r="DPR1" s="87"/>
      <c r="DPS1" s="87"/>
      <c r="DPT1" s="87"/>
      <c r="DPU1" s="87"/>
      <c r="DPV1" s="87"/>
      <c r="DPW1" s="87"/>
      <c r="DPX1" s="87"/>
      <c r="DPY1" s="87"/>
      <c r="DPZ1" s="87"/>
      <c r="DQA1" s="87"/>
      <c r="DQB1" s="87"/>
      <c r="DQC1" s="87"/>
      <c r="DQD1" s="87"/>
      <c r="DQE1" s="87"/>
      <c r="DQF1" s="87"/>
      <c r="DQG1" s="87"/>
      <c r="DQH1" s="87"/>
      <c r="DQI1" s="87"/>
      <c r="DQJ1" s="87"/>
      <c r="DQK1" s="87"/>
      <c r="DQL1" s="87"/>
      <c r="DQM1" s="87"/>
      <c r="DQN1" s="87"/>
      <c r="DQO1" s="87"/>
      <c r="DQP1" s="87"/>
      <c r="DQQ1" s="87"/>
      <c r="DQR1" s="87"/>
      <c r="DQS1" s="87"/>
      <c r="DQT1" s="87"/>
      <c r="DQU1" s="87"/>
      <c r="DQV1" s="87"/>
      <c r="DQW1" s="87"/>
      <c r="DQX1" s="87"/>
      <c r="DQY1" s="87"/>
      <c r="DQZ1" s="87"/>
      <c r="DRA1" s="87"/>
      <c r="DRB1" s="87"/>
      <c r="DRC1" s="87"/>
      <c r="DRD1" s="87"/>
      <c r="DRE1" s="87"/>
      <c r="DRF1" s="87"/>
      <c r="DRG1" s="87"/>
      <c r="DRH1" s="87"/>
      <c r="DRI1" s="87"/>
      <c r="DRJ1" s="87"/>
      <c r="DRK1" s="87"/>
      <c r="DRL1" s="87"/>
      <c r="DRM1" s="87"/>
      <c r="DRN1" s="87"/>
      <c r="DRO1" s="87"/>
      <c r="DRP1" s="87"/>
      <c r="DRQ1" s="87"/>
      <c r="DRR1" s="87"/>
      <c r="DRS1" s="87"/>
      <c r="DRT1" s="87"/>
      <c r="DRU1" s="87"/>
      <c r="DRV1" s="87"/>
      <c r="DRW1" s="87"/>
      <c r="DRX1" s="87"/>
      <c r="DRY1" s="87"/>
      <c r="DRZ1" s="87"/>
      <c r="DSA1" s="87"/>
      <c r="DSB1" s="87"/>
      <c r="DSC1" s="87"/>
      <c r="DSD1" s="87"/>
      <c r="DSE1" s="87"/>
      <c r="DSF1" s="87"/>
      <c r="DSG1" s="87"/>
      <c r="DSH1" s="87"/>
      <c r="DSI1" s="87"/>
      <c r="DSJ1" s="87"/>
      <c r="DSK1" s="87"/>
      <c r="DSL1" s="87"/>
      <c r="DSM1" s="87"/>
      <c r="DSN1" s="87"/>
      <c r="DSO1" s="87"/>
      <c r="DSP1" s="87"/>
      <c r="DSQ1" s="87"/>
      <c r="DSR1" s="87"/>
      <c r="DSS1" s="87"/>
      <c r="DST1" s="87"/>
      <c r="DSU1" s="87"/>
      <c r="DSV1" s="87"/>
      <c r="DSW1" s="87"/>
      <c r="DSX1" s="87"/>
      <c r="DSY1" s="87"/>
      <c r="DSZ1" s="87"/>
      <c r="DTA1" s="87"/>
      <c r="DTB1" s="87"/>
      <c r="DTC1" s="87"/>
      <c r="DTD1" s="87"/>
      <c r="DTE1" s="87"/>
      <c r="DTF1" s="87"/>
      <c r="DTG1" s="87"/>
      <c r="DTH1" s="87"/>
      <c r="DTI1" s="87"/>
      <c r="DTJ1" s="87"/>
      <c r="DTK1" s="87"/>
      <c r="DTL1" s="87"/>
      <c r="DTM1" s="87"/>
      <c r="DTN1" s="87"/>
      <c r="DTO1" s="87"/>
      <c r="DTP1" s="87"/>
      <c r="DTQ1" s="87"/>
      <c r="DTR1" s="87"/>
      <c r="DTS1" s="87"/>
      <c r="DTT1" s="87"/>
      <c r="DTU1" s="87"/>
      <c r="DTV1" s="87"/>
      <c r="DTW1" s="87"/>
      <c r="DTX1" s="87"/>
      <c r="DTY1" s="87"/>
      <c r="DTZ1" s="87"/>
      <c r="DUA1" s="87"/>
      <c r="DUB1" s="87"/>
      <c r="DUC1" s="87"/>
      <c r="DUD1" s="87"/>
      <c r="DUE1" s="87"/>
      <c r="DUF1" s="87"/>
      <c r="DUG1" s="87"/>
      <c r="DUH1" s="87"/>
      <c r="DUI1" s="87"/>
      <c r="DUJ1" s="87"/>
      <c r="DUK1" s="87"/>
      <c r="DUL1" s="87"/>
      <c r="DUM1" s="87"/>
      <c r="DUN1" s="87"/>
      <c r="DUO1" s="87"/>
      <c r="DUP1" s="87"/>
      <c r="DUQ1" s="87"/>
      <c r="DUR1" s="87"/>
      <c r="DUS1" s="87"/>
      <c r="DUT1" s="87"/>
      <c r="DUU1" s="87"/>
      <c r="DUV1" s="87"/>
      <c r="DUW1" s="87"/>
      <c r="DUX1" s="87"/>
      <c r="DUY1" s="87"/>
      <c r="DUZ1" s="87"/>
      <c r="DVA1" s="87"/>
      <c r="DVB1" s="87"/>
      <c r="DVC1" s="87"/>
      <c r="DVD1" s="87"/>
      <c r="DVE1" s="87"/>
      <c r="DVF1" s="87"/>
      <c r="DVG1" s="87"/>
      <c r="DVH1" s="87"/>
      <c r="DVI1" s="87"/>
      <c r="DVJ1" s="87"/>
      <c r="DVK1" s="87"/>
      <c r="DVL1" s="87"/>
      <c r="DVM1" s="87"/>
      <c r="DVN1" s="87"/>
      <c r="DVO1" s="87"/>
      <c r="DVP1" s="87"/>
      <c r="DVQ1" s="87"/>
      <c r="DVR1" s="87"/>
      <c r="DVS1" s="87"/>
      <c r="DVT1" s="87"/>
      <c r="DVU1" s="87"/>
      <c r="DVV1" s="87"/>
      <c r="DVW1" s="87"/>
      <c r="DVX1" s="87"/>
      <c r="DVY1" s="87"/>
      <c r="DVZ1" s="87"/>
      <c r="DWA1" s="87"/>
      <c r="DWB1" s="87"/>
      <c r="DWC1" s="87"/>
      <c r="DWD1" s="87"/>
      <c r="DWE1" s="87"/>
      <c r="DWF1" s="87"/>
      <c r="DWG1" s="87"/>
      <c r="DWH1" s="87"/>
      <c r="DWI1" s="87"/>
      <c r="DWJ1" s="87"/>
      <c r="DWK1" s="87"/>
      <c r="DWL1" s="87"/>
      <c r="DWM1" s="87"/>
      <c r="DWN1" s="87"/>
      <c r="DWO1" s="87"/>
      <c r="DWP1" s="87"/>
      <c r="DWQ1" s="87"/>
      <c r="DWR1" s="87"/>
      <c r="DWS1" s="87"/>
      <c r="DWT1" s="87"/>
      <c r="DWU1" s="87"/>
      <c r="DWV1" s="87"/>
      <c r="DWW1" s="87"/>
      <c r="DWX1" s="87"/>
      <c r="DWY1" s="87"/>
      <c r="DWZ1" s="87"/>
      <c r="DXA1" s="87"/>
      <c r="DXB1" s="87"/>
      <c r="DXC1" s="87"/>
      <c r="DXD1" s="87"/>
      <c r="DXE1" s="87"/>
      <c r="DXF1" s="87"/>
      <c r="DXG1" s="87"/>
      <c r="DXH1" s="87"/>
      <c r="DXI1" s="87"/>
      <c r="DXJ1" s="87"/>
      <c r="DXK1" s="87"/>
      <c r="DXL1" s="87"/>
      <c r="DXM1" s="87"/>
      <c r="DXN1" s="87"/>
      <c r="DXO1" s="87"/>
      <c r="DXP1" s="87"/>
      <c r="DXQ1" s="87"/>
      <c r="DXR1" s="87"/>
      <c r="DXS1" s="87"/>
      <c r="DXT1" s="87"/>
      <c r="DXU1" s="87"/>
      <c r="DXV1" s="87"/>
      <c r="DXW1" s="87"/>
      <c r="DXX1" s="87"/>
      <c r="DXY1" s="87"/>
      <c r="DXZ1" s="87"/>
      <c r="DYA1" s="87"/>
      <c r="DYB1" s="87"/>
      <c r="DYC1" s="87"/>
      <c r="DYD1" s="87"/>
      <c r="DYE1" s="87"/>
      <c r="DYF1" s="87"/>
      <c r="DYG1" s="87"/>
      <c r="DYH1" s="87"/>
      <c r="DYI1" s="87"/>
      <c r="DYJ1" s="87"/>
      <c r="DYK1" s="87"/>
      <c r="DYL1" s="87"/>
      <c r="DYM1" s="87"/>
      <c r="DYN1" s="87"/>
      <c r="DYO1" s="87"/>
      <c r="DYP1" s="87"/>
      <c r="DYQ1" s="87"/>
      <c r="DYR1" s="87"/>
      <c r="DYS1" s="87"/>
      <c r="DYT1" s="87"/>
      <c r="DYU1" s="87"/>
      <c r="DYV1" s="87"/>
      <c r="DYW1" s="87"/>
      <c r="DYX1" s="87"/>
      <c r="DYY1" s="87"/>
      <c r="DYZ1" s="87"/>
      <c r="DZA1" s="87"/>
      <c r="DZB1" s="87"/>
      <c r="DZC1" s="87"/>
      <c r="DZD1" s="87"/>
      <c r="DZE1" s="87"/>
      <c r="DZF1" s="87"/>
      <c r="DZG1" s="87"/>
      <c r="DZH1" s="87"/>
      <c r="DZI1" s="87"/>
      <c r="DZJ1" s="87"/>
      <c r="DZK1" s="87"/>
      <c r="DZL1" s="87"/>
      <c r="DZM1" s="87"/>
      <c r="DZN1" s="87"/>
      <c r="DZO1" s="87"/>
      <c r="DZP1" s="87"/>
      <c r="DZQ1" s="87"/>
      <c r="DZR1" s="87"/>
      <c r="DZS1" s="87"/>
      <c r="DZT1" s="87"/>
      <c r="DZU1" s="87"/>
      <c r="DZV1" s="87"/>
      <c r="DZW1" s="87"/>
      <c r="DZX1" s="87"/>
      <c r="DZY1" s="87"/>
      <c r="DZZ1" s="87"/>
      <c r="EAA1" s="87"/>
      <c r="EAB1" s="87"/>
      <c r="EAC1" s="87"/>
      <c r="EAD1" s="87"/>
      <c r="EAE1" s="87"/>
      <c r="EAF1" s="87"/>
      <c r="EAG1" s="87"/>
      <c r="EAH1" s="87"/>
      <c r="EAI1" s="87"/>
      <c r="EAJ1" s="87"/>
      <c r="EAK1" s="87"/>
      <c r="EAL1" s="87"/>
      <c r="EAM1" s="87"/>
      <c r="EAN1" s="87"/>
      <c r="EAO1" s="87"/>
      <c r="EAP1" s="87"/>
      <c r="EAQ1" s="87"/>
      <c r="EAR1" s="87"/>
      <c r="EAS1" s="87"/>
      <c r="EAT1" s="87"/>
      <c r="EAU1" s="87"/>
      <c r="EAV1" s="87"/>
      <c r="EAW1" s="87"/>
      <c r="EAX1" s="87"/>
      <c r="EAY1" s="87"/>
      <c r="EAZ1" s="87"/>
      <c r="EBA1" s="87"/>
      <c r="EBB1" s="87"/>
      <c r="EBC1" s="87"/>
      <c r="EBD1" s="87"/>
      <c r="EBE1" s="87"/>
      <c r="EBF1" s="87"/>
      <c r="EBG1" s="87"/>
      <c r="EBH1" s="87"/>
      <c r="EBI1" s="87"/>
      <c r="EBJ1" s="87"/>
      <c r="EBK1" s="87"/>
      <c r="EBL1" s="87"/>
      <c r="EBM1" s="87"/>
      <c r="EBN1" s="87"/>
      <c r="EBO1" s="87"/>
      <c r="EBP1" s="87"/>
      <c r="EBQ1" s="87"/>
      <c r="EBR1" s="87"/>
      <c r="EBS1" s="87"/>
      <c r="EBT1" s="87"/>
      <c r="EBU1" s="87"/>
      <c r="EBV1" s="87"/>
      <c r="EBW1" s="87"/>
      <c r="EBX1" s="87"/>
      <c r="EBY1" s="87"/>
      <c r="EBZ1" s="87"/>
      <c r="ECA1" s="87"/>
      <c r="ECB1" s="87"/>
      <c r="ECC1" s="87"/>
      <c r="ECD1" s="87"/>
      <c r="ECE1" s="87"/>
      <c r="ECF1" s="87"/>
      <c r="ECG1" s="87"/>
      <c r="ECH1" s="87"/>
      <c r="ECI1" s="87"/>
      <c r="ECJ1" s="87"/>
      <c r="ECK1" s="87"/>
      <c r="ECL1" s="87"/>
      <c r="ECM1" s="87"/>
      <c r="ECN1" s="87"/>
      <c r="ECO1" s="87"/>
      <c r="ECP1" s="87"/>
      <c r="ECQ1" s="87"/>
      <c r="ECR1" s="87"/>
      <c r="ECS1" s="87"/>
      <c r="ECT1" s="87"/>
      <c r="ECU1" s="87"/>
      <c r="ECV1" s="87"/>
      <c r="ECW1" s="87"/>
      <c r="ECX1" s="87"/>
      <c r="ECY1" s="87"/>
      <c r="ECZ1" s="87"/>
      <c r="EDA1" s="87"/>
      <c r="EDB1" s="87"/>
      <c r="EDC1" s="87"/>
      <c r="EDD1" s="87"/>
      <c r="EDE1" s="87"/>
      <c r="EDF1" s="87"/>
      <c r="EDG1" s="87"/>
      <c r="EDH1" s="87"/>
      <c r="EDI1" s="87"/>
      <c r="EDJ1" s="87"/>
      <c r="EDK1" s="87"/>
      <c r="EDL1" s="87"/>
      <c r="EDM1" s="87"/>
      <c r="EDN1" s="87"/>
      <c r="EDO1" s="87"/>
      <c r="EDP1" s="87"/>
      <c r="EDQ1" s="87"/>
      <c r="EDR1" s="87"/>
      <c r="EDS1" s="87"/>
      <c r="EDT1" s="87"/>
      <c r="EDU1" s="87"/>
      <c r="EDV1" s="87"/>
      <c r="EDW1" s="87"/>
      <c r="EDX1" s="87"/>
      <c r="EDY1" s="87"/>
      <c r="EDZ1" s="87"/>
      <c r="EEA1" s="87"/>
      <c r="EEB1" s="87"/>
      <c r="EEC1" s="87"/>
      <c r="EED1" s="87"/>
      <c r="EEE1" s="87"/>
      <c r="EEF1" s="87"/>
      <c r="EEG1" s="87"/>
      <c r="EEH1" s="87"/>
      <c r="EEI1" s="87"/>
      <c r="EEJ1" s="87"/>
      <c r="EEK1" s="87"/>
      <c r="EEL1" s="87"/>
      <c r="EEM1" s="87"/>
      <c r="EEN1" s="87"/>
      <c r="EEO1" s="87"/>
      <c r="EEP1" s="87"/>
      <c r="EEQ1" s="87"/>
      <c r="EER1" s="87"/>
      <c r="EES1" s="87"/>
      <c r="EET1" s="87"/>
      <c r="EEU1" s="87"/>
      <c r="EEV1" s="87"/>
      <c r="EEW1" s="87"/>
      <c r="EEX1" s="87"/>
      <c r="EEY1" s="87"/>
      <c r="EEZ1" s="87"/>
      <c r="EFA1" s="87"/>
      <c r="EFB1" s="87"/>
      <c r="EFC1" s="87"/>
      <c r="EFD1" s="87"/>
      <c r="EFE1" s="87"/>
      <c r="EFF1" s="87"/>
      <c r="EFG1" s="87"/>
      <c r="EFH1" s="87"/>
      <c r="EFI1" s="87"/>
      <c r="EFJ1" s="87"/>
      <c r="EFK1" s="87"/>
      <c r="EFL1" s="87"/>
      <c r="EFM1" s="87"/>
      <c r="EFN1" s="87"/>
      <c r="EFO1" s="87"/>
      <c r="EFP1" s="87"/>
      <c r="EFQ1" s="87"/>
      <c r="EFR1" s="87"/>
      <c r="EFS1" s="87"/>
      <c r="EFT1" s="87"/>
      <c r="EFU1" s="87"/>
      <c r="EFV1" s="87"/>
      <c r="EFW1" s="87"/>
      <c r="EFX1" s="87"/>
      <c r="EFY1" s="87"/>
      <c r="EFZ1" s="87"/>
      <c r="EGA1" s="87"/>
      <c r="EGB1" s="87"/>
      <c r="EGC1" s="87"/>
      <c r="EGD1" s="87"/>
      <c r="EGE1" s="87"/>
      <c r="EGF1" s="87"/>
      <c r="EGG1" s="87"/>
      <c r="EGH1" s="87"/>
      <c r="EGI1" s="87"/>
      <c r="EGJ1" s="87"/>
      <c r="EGK1" s="87"/>
      <c r="EGL1" s="87"/>
      <c r="EGM1" s="87"/>
      <c r="EGN1" s="87"/>
      <c r="EGO1" s="87"/>
      <c r="EGP1" s="87"/>
      <c r="EGQ1" s="87"/>
      <c r="EGR1" s="87"/>
      <c r="EGS1" s="87"/>
      <c r="EGT1" s="87"/>
      <c r="EGU1" s="87"/>
      <c r="EGV1" s="87"/>
      <c r="EGW1" s="87"/>
      <c r="EGX1" s="87"/>
      <c r="EGY1" s="87"/>
      <c r="EGZ1" s="87"/>
      <c r="EHA1" s="87"/>
      <c r="EHB1" s="87"/>
      <c r="EHC1" s="87"/>
      <c r="EHD1" s="87"/>
      <c r="EHE1" s="87"/>
      <c r="EHF1" s="87"/>
      <c r="EHG1" s="87"/>
      <c r="EHH1" s="87"/>
      <c r="EHI1" s="87"/>
      <c r="EHJ1" s="87"/>
      <c r="EHK1" s="87"/>
      <c r="EHL1" s="87"/>
      <c r="EHM1" s="87"/>
      <c r="EHN1" s="87"/>
      <c r="EHO1" s="87"/>
      <c r="EHP1" s="87"/>
      <c r="EHQ1" s="87"/>
      <c r="EHR1" s="87"/>
      <c r="EHS1" s="87"/>
      <c r="EHT1" s="87"/>
      <c r="EHU1" s="87"/>
      <c r="EHV1" s="87"/>
      <c r="EHW1" s="87"/>
      <c r="EHX1" s="87"/>
      <c r="EHY1" s="87"/>
      <c r="EHZ1" s="87"/>
      <c r="EIA1" s="87"/>
      <c r="EIB1" s="87"/>
      <c r="EIC1" s="87"/>
      <c r="EID1" s="87"/>
      <c r="EIE1" s="87"/>
      <c r="EIF1" s="87"/>
      <c r="EIG1" s="87"/>
      <c r="EIH1" s="87"/>
      <c r="EII1" s="87"/>
      <c r="EIJ1" s="87"/>
      <c r="EIK1" s="87"/>
      <c r="EIL1" s="87"/>
      <c r="EIM1" s="87"/>
      <c r="EIN1" s="87"/>
      <c r="EIO1" s="87"/>
      <c r="EIP1" s="87"/>
      <c r="EIQ1" s="87"/>
      <c r="EIR1" s="87"/>
      <c r="EIS1" s="87"/>
      <c r="EIT1" s="87"/>
      <c r="EIU1" s="87"/>
      <c r="EIV1" s="87"/>
      <c r="EIW1" s="87"/>
      <c r="EIX1" s="87"/>
      <c r="EIY1" s="87"/>
      <c r="EIZ1" s="87"/>
      <c r="EJA1" s="87"/>
      <c r="EJB1" s="87"/>
      <c r="EJC1" s="87"/>
      <c r="EJD1" s="87"/>
      <c r="EJE1" s="87"/>
      <c r="EJF1" s="87"/>
      <c r="EJG1" s="87"/>
      <c r="EJH1" s="87"/>
      <c r="EJI1" s="87"/>
      <c r="EJJ1" s="87"/>
      <c r="EJK1" s="87"/>
      <c r="EJL1" s="87"/>
      <c r="EJM1" s="87"/>
      <c r="EJN1" s="87"/>
      <c r="EJO1" s="87"/>
      <c r="EJP1" s="87"/>
      <c r="EJQ1" s="87"/>
      <c r="EJR1" s="87"/>
      <c r="EJS1" s="87"/>
      <c r="EJT1" s="87"/>
      <c r="EJU1" s="87"/>
      <c r="EJV1" s="87"/>
      <c r="EJW1" s="87"/>
      <c r="EJX1" s="87"/>
      <c r="EJY1" s="87"/>
      <c r="EJZ1" s="87"/>
      <c r="EKA1" s="87"/>
      <c r="EKB1" s="87"/>
      <c r="EKC1" s="87"/>
      <c r="EKD1" s="87"/>
      <c r="EKE1" s="87"/>
      <c r="EKF1" s="87"/>
      <c r="EKG1" s="87"/>
      <c r="EKH1" s="87"/>
      <c r="EKI1" s="87"/>
      <c r="EKJ1" s="87"/>
      <c r="EKK1" s="87"/>
      <c r="EKL1" s="87"/>
      <c r="EKM1" s="87"/>
      <c r="EKN1" s="87"/>
      <c r="EKO1" s="87"/>
      <c r="EKP1" s="87"/>
      <c r="EKQ1" s="87"/>
      <c r="EKR1" s="87"/>
      <c r="EKS1" s="87"/>
      <c r="EKT1" s="87"/>
      <c r="EKU1" s="87"/>
      <c r="EKV1" s="87"/>
      <c r="EKW1" s="87"/>
      <c r="EKX1" s="87"/>
      <c r="EKY1" s="87"/>
      <c r="EKZ1" s="87"/>
      <c r="ELA1" s="87"/>
      <c r="ELB1" s="87"/>
      <c r="ELC1" s="87"/>
      <c r="ELD1" s="87"/>
      <c r="ELE1" s="87"/>
      <c r="ELF1" s="87"/>
      <c r="ELG1" s="87"/>
      <c r="ELH1" s="87"/>
      <c r="ELI1" s="87"/>
      <c r="ELJ1" s="87"/>
      <c r="ELK1" s="87"/>
      <c r="ELL1" s="87"/>
      <c r="ELM1" s="87"/>
      <c r="ELN1" s="87"/>
      <c r="ELO1" s="87"/>
      <c r="ELP1" s="87"/>
      <c r="ELQ1" s="87"/>
      <c r="ELR1" s="87"/>
      <c r="ELS1" s="87"/>
      <c r="ELT1" s="87"/>
      <c r="ELU1" s="87"/>
      <c r="ELV1" s="87"/>
      <c r="ELW1" s="87"/>
      <c r="ELX1" s="87"/>
      <c r="ELY1" s="87"/>
      <c r="ELZ1" s="87"/>
      <c r="EMA1" s="87"/>
      <c r="EMB1" s="87"/>
      <c r="EMC1" s="87"/>
      <c r="EMD1" s="87"/>
      <c r="EME1" s="87"/>
      <c r="EMF1" s="87"/>
      <c r="EMG1" s="87"/>
      <c r="EMH1" s="87"/>
      <c r="EMI1" s="87"/>
      <c r="EMJ1" s="87"/>
      <c r="EMK1" s="87"/>
      <c r="EML1" s="87"/>
      <c r="EMM1" s="87"/>
      <c r="EMN1" s="87"/>
      <c r="EMO1" s="87"/>
      <c r="EMP1" s="87"/>
      <c r="EMQ1" s="87"/>
      <c r="EMR1" s="87"/>
      <c r="EMS1" s="87"/>
      <c r="EMT1" s="87"/>
      <c r="EMU1" s="87"/>
      <c r="EMV1" s="87"/>
      <c r="EMW1" s="87"/>
      <c r="EMX1" s="87"/>
      <c r="EMY1" s="87"/>
      <c r="EMZ1" s="87"/>
      <c r="ENA1" s="87"/>
      <c r="ENB1" s="87"/>
      <c r="ENC1" s="87"/>
      <c r="END1" s="87"/>
      <c r="ENE1" s="87"/>
      <c r="ENF1" s="87"/>
      <c r="ENG1" s="87"/>
      <c r="ENH1" s="87"/>
      <c r="ENI1" s="87"/>
      <c r="ENJ1" s="87"/>
      <c r="ENK1" s="87"/>
      <c r="ENL1" s="87"/>
      <c r="ENM1" s="87"/>
      <c r="ENN1" s="87"/>
      <c r="ENO1" s="87"/>
      <c r="ENP1" s="87"/>
      <c r="ENQ1" s="87"/>
      <c r="ENR1" s="87"/>
      <c r="ENS1" s="87"/>
      <c r="ENT1" s="87"/>
      <c r="ENU1" s="87"/>
      <c r="ENV1" s="87"/>
      <c r="ENW1" s="87"/>
      <c r="ENX1" s="87"/>
      <c r="ENY1" s="87"/>
      <c r="ENZ1" s="87"/>
      <c r="EOA1" s="87"/>
      <c r="EOB1" s="87"/>
      <c r="EOC1" s="87"/>
      <c r="EOD1" s="87"/>
      <c r="EOE1" s="87"/>
      <c r="EOF1" s="87"/>
      <c r="EOG1" s="87"/>
      <c r="EOH1" s="87"/>
      <c r="EOI1" s="87"/>
      <c r="EOJ1" s="87"/>
      <c r="EOK1" s="87"/>
      <c r="EOL1" s="87"/>
      <c r="EOM1" s="87"/>
      <c r="EON1" s="87"/>
      <c r="EOO1" s="87"/>
      <c r="EOP1" s="87"/>
      <c r="EOQ1" s="87"/>
      <c r="EOR1" s="87"/>
      <c r="EOS1" s="87"/>
      <c r="EOT1" s="87"/>
      <c r="EOU1" s="87"/>
      <c r="EOV1" s="87"/>
      <c r="EOW1" s="87"/>
      <c r="EOX1" s="87"/>
      <c r="EOY1" s="87"/>
      <c r="EOZ1" s="87"/>
      <c r="EPA1" s="87"/>
      <c r="EPB1" s="87"/>
      <c r="EPC1" s="87"/>
      <c r="EPD1" s="87"/>
      <c r="EPE1" s="87"/>
      <c r="EPF1" s="87"/>
      <c r="EPG1" s="87"/>
      <c r="EPH1" s="87"/>
      <c r="EPI1" s="87"/>
      <c r="EPJ1" s="87"/>
      <c r="EPK1" s="87"/>
      <c r="EPL1" s="87"/>
      <c r="EPM1" s="87"/>
      <c r="EPN1" s="87"/>
      <c r="EPO1" s="87"/>
      <c r="EPP1" s="87"/>
      <c r="EPQ1" s="87"/>
      <c r="EPR1" s="87"/>
      <c r="EPS1" s="87"/>
      <c r="EPT1" s="87"/>
      <c r="EPU1" s="87"/>
      <c r="EPV1" s="87"/>
      <c r="EPW1" s="87"/>
      <c r="EPX1" s="87"/>
      <c r="EPY1" s="87"/>
      <c r="EPZ1" s="87"/>
      <c r="EQA1" s="87"/>
      <c r="EQB1" s="87"/>
      <c r="EQC1" s="87"/>
      <c r="EQD1" s="87"/>
      <c r="EQE1" s="87"/>
      <c r="EQF1" s="87"/>
      <c r="EQG1" s="87"/>
      <c r="EQH1" s="87"/>
      <c r="EQI1" s="87"/>
      <c r="EQJ1" s="87"/>
      <c r="EQK1" s="87"/>
      <c r="EQL1" s="87"/>
      <c r="EQM1" s="87"/>
      <c r="EQN1" s="87"/>
      <c r="EQO1" s="87"/>
      <c r="EQP1" s="87"/>
      <c r="EQQ1" s="87"/>
      <c r="EQR1" s="87"/>
      <c r="EQS1" s="87"/>
      <c r="EQT1" s="87"/>
      <c r="EQU1" s="87"/>
      <c r="EQV1" s="87"/>
      <c r="EQW1" s="87"/>
      <c r="EQX1" s="87"/>
      <c r="EQY1" s="87"/>
      <c r="EQZ1" s="87"/>
      <c r="ERA1" s="87"/>
      <c r="ERB1" s="87"/>
      <c r="ERC1" s="87"/>
      <c r="ERD1" s="87"/>
      <c r="ERE1" s="87"/>
      <c r="ERF1" s="87"/>
      <c r="ERG1" s="87"/>
      <c r="ERH1" s="87"/>
      <c r="ERI1" s="87"/>
      <c r="ERJ1" s="87"/>
      <c r="ERK1" s="87"/>
      <c r="ERL1" s="87"/>
      <c r="ERM1" s="87"/>
      <c r="ERN1" s="87"/>
      <c r="ERO1" s="87"/>
      <c r="ERP1" s="87"/>
      <c r="ERQ1" s="87"/>
      <c r="ERR1" s="87"/>
      <c r="ERS1" s="87"/>
      <c r="ERT1" s="87"/>
      <c r="ERU1" s="87"/>
      <c r="ERV1" s="87"/>
      <c r="ERW1" s="87"/>
      <c r="ERX1" s="87"/>
      <c r="ERY1" s="87"/>
      <c r="ERZ1" s="87"/>
      <c r="ESA1" s="87"/>
      <c r="ESB1" s="87"/>
      <c r="ESC1" s="87"/>
      <c r="ESD1" s="87"/>
      <c r="ESE1" s="87"/>
      <c r="ESF1" s="87"/>
      <c r="ESG1" s="87"/>
      <c r="ESH1" s="87"/>
      <c r="ESI1" s="87"/>
      <c r="ESJ1" s="87"/>
      <c r="ESK1" s="87"/>
      <c r="ESL1" s="87"/>
      <c r="ESM1" s="87"/>
      <c r="ESN1" s="87"/>
      <c r="ESO1" s="87"/>
      <c r="ESP1" s="87"/>
      <c r="ESQ1" s="87"/>
      <c r="ESR1" s="87"/>
      <c r="ESS1" s="87"/>
      <c r="EST1" s="87"/>
      <c r="ESU1" s="87"/>
      <c r="ESV1" s="87"/>
      <c r="ESW1" s="87"/>
      <c r="ESX1" s="87"/>
      <c r="ESY1" s="87"/>
      <c r="ESZ1" s="87"/>
      <c r="ETA1" s="87"/>
      <c r="ETB1" s="87"/>
      <c r="ETC1" s="87"/>
      <c r="ETD1" s="87"/>
      <c r="ETE1" s="87"/>
      <c r="ETF1" s="87"/>
      <c r="ETG1" s="87"/>
      <c r="ETH1" s="87"/>
      <c r="ETI1" s="87"/>
      <c r="ETJ1" s="87"/>
      <c r="ETK1" s="87"/>
      <c r="ETL1" s="87"/>
      <c r="ETM1" s="87"/>
      <c r="ETN1" s="87"/>
      <c r="ETO1" s="87"/>
      <c r="ETP1" s="87"/>
      <c r="ETQ1" s="87"/>
      <c r="ETR1" s="87"/>
      <c r="ETS1" s="87"/>
      <c r="ETT1" s="87"/>
      <c r="ETU1" s="87"/>
      <c r="ETV1" s="87"/>
      <c r="ETW1" s="87"/>
      <c r="ETX1" s="87"/>
      <c r="ETY1" s="87"/>
      <c r="ETZ1" s="87"/>
      <c r="EUA1" s="87"/>
      <c r="EUB1" s="87"/>
      <c r="EUC1" s="87"/>
      <c r="EUD1" s="87"/>
      <c r="EUE1" s="87"/>
      <c r="EUF1" s="87"/>
      <c r="EUG1" s="87"/>
      <c r="EUH1" s="87"/>
      <c r="EUI1" s="87"/>
      <c r="EUJ1" s="87"/>
      <c r="EUK1" s="87"/>
      <c r="EUL1" s="87"/>
      <c r="EUM1" s="87"/>
      <c r="EUN1" s="87"/>
      <c r="EUO1" s="87"/>
      <c r="EUP1" s="87"/>
      <c r="EUQ1" s="87"/>
      <c r="EUR1" s="87"/>
      <c r="EUS1" s="87"/>
      <c r="EUT1" s="87"/>
      <c r="EUU1" s="87"/>
      <c r="EUV1" s="87"/>
      <c r="EUW1" s="87"/>
      <c r="EUX1" s="87"/>
      <c r="EUY1" s="87"/>
      <c r="EUZ1" s="87"/>
      <c r="EVA1" s="87"/>
      <c r="EVB1" s="87"/>
      <c r="EVC1" s="87"/>
      <c r="EVD1" s="87"/>
      <c r="EVE1" s="87"/>
      <c r="EVF1" s="87"/>
      <c r="EVG1" s="87"/>
      <c r="EVH1" s="87"/>
      <c r="EVI1" s="87"/>
      <c r="EVJ1" s="87"/>
      <c r="EVK1" s="87"/>
      <c r="EVL1" s="87"/>
      <c r="EVM1" s="87"/>
      <c r="EVN1" s="87"/>
      <c r="EVO1" s="87"/>
      <c r="EVP1" s="87"/>
      <c r="EVQ1" s="87"/>
      <c r="EVR1" s="87"/>
      <c r="EVS1" s="87"/>
      <c r="EVT1" s="87"/>
      <c r="EVU1" s="87"/>
      <c r="EVV1" s="87"/>
      <c r="EVW1" s="87"/>
      <c r="EVX1" s="87"/>
      <c r="EVY1" s="87"/>
      <c r="EVZ1" s="87"/>
      <c r="EWA1" s="87"/>
      <c r="EWB1" s="87"/>
      <c r="EWC1" s="87"/>
      <c r="EWD1" s="87"/>
      <c r="EWE1" s="87"/>
      <c r="EWF1" s="87"/>
      <c r="EWG1" s="87"/>
      <c r="EWH1" s="87"/>
      <c r="EWI1" s="87"/>
      <c r="EWJ1" s="87"/>
      <c r="EWK1" s="87"/>
      <c r="EWL1" s="87"/>
      <c r="EWM1" s="87"/>
      <c r="EWN1" s="87"/>
      <c r="EWO1" s="87"/>
      <c r="EWP1" s="87"/>
      <c r="EWQ1" s="87"/>
      <c r="EWR1" s="87"/>
      <c r="EWS1" s="87"/>
      <c r="EWT1" s="87"/>
      <c r="EWU1" s="87"/>
      <c r="EWV1" s="87"/>
      <c r="EWW1" s="87"/>
      <c r="EWX1" s="87"/>
      <c r="EWY1" s="87"/>
      <c r="EWZ1" s="87"/>
      <c r="EXA1" s="87"/>
      <c r="EXB1" s="87"/>
      <c r="EXC1" s="87"/>
      <c r="EXD1" s="87"/>
      <c r="EXE1" s="87"/>
      <c r="EXF1" s="87"/>
      <c r="EXG1" s="87"/>
      <c r="EXH1" s="87"/>
      <c r="EXI1" s="87"/>
      <c r="EXJ1" s="87"/>
      <c r="EXK1" s="87"/>
      <c r="EXL1" s="87"/>
      <c r="EXM1" s="87"/>
      <c r="EXN1" s="87"/>
      <c r="EXO1" s="87"/>
      <c r="EXP1" s="87"/>
      <c r="EXQ1" s="87"/>
      <c r="EXR1" s="87"/>
      <c r="EXS1" s="87"/>
      <c r="EXT1" s="87"/>
      <c r="EXU1" s="87"/>
      <c r="EXV1" s="87"/>
      <c r="EXW1" s="87"/>
      <c r="EXX1" s="87"/>
      <c r="EXY1" s="87"/>
      <c r="EXZ1" s="87"/>
      <c r="EYA1" s="87"/>
      <c r="EYB1" s="87"/>
      <c r="EYC1" s="87"/>
      <c r="EYD1" s="87"/>
      <c r="EYE1" s="87"/>
      <c r="EYF1" s="87"/>
      <c r="EYG1" s="87"/>
      <c r="EYH1" s="87"/>
      <c r="EYI1" s="87"/>
      <c r="EYJ1" s="87"/>
      <c r="EYK1" s="87"/>
      <c r="EYL1" s="87"/>
      <c r="EYM1" s="87"/>
      <c r="EYN1" s="87"/>
      <c r="EYO1" s="87"/>
      <c r="EYP1" s="87"/>
      <c r="EYQ1" s="87"/>
      <c r="EYR1" s="87"/>
      <c r="EYS1" s="87"/>
      <c r="EYT1" s="87"/>
      <c r="EYU1" s="87"/>
      <c r="EYV1" s="87"/>
      <c r="EYW1" s="87"/>
      <c r="EYX1" s="87"/>
      <c r="EYY1" s="87"/>
      <c r="EYZ1" s="87"/>
      <c r="EZA1" s="87"/>
      <c r="EZB1" s="87"/>
      <c r="EZC1" s="87"/>
      <c r="EZD1" s="87"/>
      <c r="EZE1" s="87"/>
      <c r="EZF1" s="87"/>
      <c r="EZG1" s="87"/>
      <c r="EZH1" s="87"/>
      <c r="EZI1" s="87"/>
      <c r="EZJ1" s="87"/>
      <c r="EZK1" s="87"/>
      <c r="EZL1" s="87"/>
      <c r="EZM1" s="87"/>
      <c r="EZN1" s="87"/>
      <c r="EZO1" s="87"/>
      <c r="EZP1" s="87"/>
      <c r="EZQ1" s="87"/>
      <c r="EZR1" s="87"/>
      <c r="EZS1" s="87"/>
      <c r="EZT1" s="87"/>
      <c r="EZU1" s="87"/>
      <c r="EZV1" s="87"/>
      <c r="EZW1" s="87"/>
      <c r="EZX1" s="87"/>
      <c r="EZY1" s="87"/>
      <c r="EZZ1" s="87"/>
      <c r="FAA1" s="87"/>
      <c r="FAB1" s="87"/>
      <c r="FAC1" s="87"/>
      <c r="FAD1" s="87"/>
      <c r="FAE1" s="87"/>
      <c r="FAF1" s="87"/>
      <c r="FAG1" s="87"/>
      <c r="FAH1" s="87"/>
      <c r="FAI1" s="87"/>
      <c r="FAJ1" s="87"/>
      <c r="FAK1" s="87"/>
      <c r="FAL1" s="87"/>
      <c r="FAM1" s="87"/>
      <c r="FAN1" s="87"/>
      <c r="FAO1" s="87"/>
      <c r="FAP1" s="87"/>
      <c r="FAQ1" s="87"/>
      <c r="FAR1" s="87"/>
      <c r="FAS1" s="87"/>
      <c r="FAT1" s="87"/>
      <c r="FAU1" s="87"/>
      <c r="FAV1" s="87"/>
      <c r="FAW1" s="87"/>
      <c r="FAX1" s="87"/>
      <c r="FAY1" s="87"/>
      <c r="FAZ1" s="87"/>
      <c r="FBA1" s="87"/>
      <c r="FBB1" s="87"/>
      <c r="FBC1" s="87"/>
      <c r="FBD1" s="87"/>
      <c r="FBE1" s="87"/>
      <c r="FBF1" s="87"/>
      <c r="FBG1" s="87"/>
      <c r="FBH1" s="87"/>
      <c r="FBI1" s="87"/>
      <c r="FBJ1" s="87"/>
      <c r="FBK1" s="87"/>
      <c r="FBL1" s="87"/>
      <c r="FBM1" s="87"/>
      <c r="FBN1" s="87"/>
      <c r="FBO1" s="87"/>
      <c r="FBP1" s="87"/>
      <c r="FBQ1" s="87"/>
      <c r="FBR1" s="87"/>
      <c r="FBS1" s="87"/>
      <c r="FBT1" s="87"/>
      <c r="FBU1" s="87"/>
      <c r="FBV1" s="87"/>
      <c r="FBW1" s="87"/>
      <c r="FBX1" s="87"/>
      <c r="FBY1" s="87"/>
      <c r="FBZ1" s="87"/>
      <c r="FCA1" s="87"/>
      <c r="FCB1" s="87"/>
      <c r="FCC1" s="87"/>
      <c r="FCD1" s="87"/>
      <c r="FCE1" s="87"/>
      <c r="FCF1" s="87"/>
      <c r="FCG1" s="87"/>
      <c r="FCH1" s="87"/>
      <c r="FCI1" s="87"/>
      <c r="FCJ1" s="87"/>
      <c r="FCK1" s="87"/>
      <c r="FCL1" s="87"/>
      <c r="FCM1" s="87"/>
      <c r="FCN1" s="87"/>
      <c r="FCO1" s="87"/>
      <c r="FCP1" s="87"/>
      <c r="FCQ1" s="87"/>
      <c r="FCR1" s="87"/>
      <c r="FCS1" s="87"/>
      <c r="FCT1" s="87"/>
      <c r="FCU1" s="87"/>
      <c r="FCV1" s="87"/>
      <c r="FCW1" s="87"/>
      <c r="FCX1" s="87"/>
      <c r="FCY1" s="87"/>
      <c r="FCZ1" s="87"/>
      <c r="FDA1" s="87"/>
      <c r="FDB1" s="87"/>
      <c r="FDC1" s="87"/>
      <c r="FDD1" s="87"/>
      <c r="FDE1" s="87"/>
      <c r="FDF1" s="87"/>
      <c r="FDG1" s="87"/>
      <c r="FDH1" s="87"/>
      <c r="FDI1" s="87"/>
      <c r="FDJ1" s="87"/>
      <c r="FDK1" s="87"/>
      <c r="FDL1" s="87"/>
      <c r="FDM1" s="87"/>
      <c r="FDN1" s="87"/>
      <c r="FDO1" s="87"/>
      <c r="FDP1" s="87"/>
      <c r="FDQ1" s="87"/>
      <c r="FDR1" s="87"/>
      <c r="FDS1" s="87"/>
      <c r="FDT1" s="87"/>
      <c r="FDU1" s="87"/>
      <c r="FDV1" s="87"/>
      <c r="FDW1" s="87"/>
      <c r="FDX1" s="87"/>
      <c r="FDY1" s="87"/>
      <c r="FDZ1" s="87"/>
      <c r="FEA1" s="87"/>
      <c r="FEB1" s="87"/>
      <c r="FEC1" s="87"/>
      <c r="FED1" s="87"/>
      <c r="FEE1" s="87"/>
      <c r="FEF1" s="87"/>
      <c r="FEG1" s="87"/>
      <c r="FEH1" s="87"/>
      <c r="FEI1" s="87"/>
      <c r="FEJ1" s="87"/>
      <c r="FEK1" s="87"/>
      <c r="FEL1" s="87"/>
      <c r="FEM1" s="87"/>
      <c r="FEN1" s="87"/>
      <c r="FEO1" s="87"/>
      <c r="FEP1" s="87"/>
      <c r="FEQ1" s="87"/>
      <c r="FER1" s="87"/>
      <c r="FES1" s="87"/>
      <c r="FET1" s="87"/>
      <c r="FEU1" s="87"/>
      <c r="FEV1" s="87"/>
      <c r="FEW1" s="87"/>
      <c r="FEX1" s="87"/>
      <c r="FEY1" s="87"/>
      <c r="FEZ1" s="87"/>
      <c r="FFA1" s="87"/>
      <c r="FFB1" s="87"/>
      <c r="FFC1" s="87"/>
      <c r="FFD1" s="87"/>
      <c r="FFE1" s="87"/>
      <c r="FFF1" s="87"/>
      <c r="FFG1" s="87"/>
      <c r="FFH1" s="87"/>
      <c r="FFI1" s="87"/>
      <c r="FFJ1" s="87"/>
      <c r="FFK1" s="87"/>
      <c r="FFL1" s="87"/>
      <c r="FFM1" s="87"/>
      <c r="FFN1" s="87"/>
      <c r="FFO1" s="87"/>
      <c r="FFP1" s="87"/>
      <c r="FFQ1" s="87"/>
      <c r="FFR1" s="87"/>
      <c r="FFS1" s="87"/>
      <c r="FFT1" s="87"/>
      <c r="FFU1" s="87"/>
      <c r="FFV1" s="87"/>
      <c r="FFW1" s="87"/>
      <c r="FFX1" s="87"/>
      <c r="FFY1" s="87"/>
      <c r="FFZ1" s="87"/>
      <c r="FGA1" s="87"/>
      <c r="FGB1" s="87"/>
      <c r="FGC1" s="87"/>
      <c r="FGD1" s="87"/>
      <c r="FGE1" s="87"/>
      <c r="FGF1" s="87"/>
      <c r="FGG1" s="87"/>
      <c r="FGH1" s="87"/>
      <c r="FGI1" s="87"/>
      <c r="FGJ1" s="87"/>
      <c r="FGK1" s="87"/>
      <c r="FGL1" s="87"/>
      <c r="FGM1" s="87"/>
      <c r="FGN1" s="87"/>
      <c r="FGO1" s="87"/>
      <c r="FGP1" s="87"/>
      <c r="FGQ1" s="87"/>
      <c r="FGR1" s="87"/>
      <c r="FGS1" s="87"/>
      <c r="FGT1" s="87"/>
      <c r="FGU1" s="87"/>
      <c r="FGV1" s="87"/>
      <c r="FGW1" s="87"/>
      <c r="FGX1" s="87"/>
      <c r="FGY1" s="87"/>
      <c r="FGZ1" s="87"/>
      <c r="FHA1" s="87"/>
      <c r="FHB1" s="87"/>
      <c r="FHC1" s="87"/>
      <c r="FHD1" s="87"/>
      <c r="FHE1" s="87"/>
      <c r="FHF1" s="87"/>
      <c r="FHG1" s="87"/>
      <c r="FHH1" s="87"/>
      <c r="FHI1" s="87"/>
      <c r="FHJ1" s="87"/>
      <c r="FHK1" s="87"/>
      <c r="FHL1" s="87"/>
      <c r="FHM1" s="87"/>
      <c r="FHN1" s="87"/>
      <c r="FHO1" s="87"/>
      <c r="FHP1" s="87"/>
      <c r="FHQ1" s="87"/>
      <c r="FHR1" s="87"/>
      <c r="FHS1" s="87"/>
      <c r="FHT1" s="87"/>
      <c r="FHU1" s="87"/>
      <c r="FHV1" s="87"/>
      <c r="FHW1" s="87"/>
      <c r="FHX1" s="87"/>
      <c r="FHY1" s="87"/>
      <c r="FHZ1" s="87"/>
      <c r="FIA1" s="87"/>
      <c r="FIB1" s="87"/>
      <c r="FIC1" s="87"/>
      <c r="FID1" s="87"/>
      <c r="FIE1" s="87"/>
      <c r="FIF1" s="87"/>
      <c r="FIG1" s="87"/>
      <c r="FIH1" s="87"/>
      <c r="FII1" s="87"/>
      <c r="FIJ1" s="87"/>
      <c r="FIK1" s="87"/>
      <c r="FIL1" s="87"/>
      <c r="FIM1" s="87"/>
      <c r="FIN1" s="87"/>
      <c r="FIO1" s="87"/>
      <c r="FIP1" s="87"/>
      <c r="FIQ1" s="87"/>
      <c r="FIR1" s="87"/>
      <c r="FIS1" s="87"/>
      <c r="FIT1" s="87"/>
      <c r="FIU1" s="87"/>
      <c r="FIV1" s="87"/>
      <c r="FIW1" s="87"/>
      <c r="FIX1" s="87"/>
      <c r="FIY1" s="87"/>
      <c r="FIZ1" s="87"/>
      <c r="FJA1" s="87"/>
      <c r="FJB1" s="87"/>
      <c r="FJC1" s="87"/>
      <c r="FJD1" s="87"/>
      <c r="FJE1" s="87"/>
      <c r="FJF1" s="87"/>
      <c r="FJG1" s="87"/>
      <c r="FJH1" s="87"/>
      <c r="FJI1" s="87"/>
      <c r="FJJ1" s="87"/>
      <c r="FJK1" s="87"/>
      <c r="FJL1" s="87"/>
      <c r="FJM1" s="87"/>
      <c r="FJN1" s="87"/>
      <c r="FJO1" s="87"/>
      <c r="FJP1" s="87"/>
      <c r="FJQ1" s="87"/>
      <c r="FJR1" s="87"/>
      <c r="FJS1" s="87"/>
      <c r="FJT1" s="87"/>
      <c r="FJU1" s="87"/>
      <c r="FJV1" s="87"/>
      <c r="FJW1" s="87"/>
      <c r="FJX1" s="87"/>
      <c r="FJY1" s="87"/>
      <c r="FJZ1" s="87"/>
      <c r="FKA1" s="87"/>
      <c r="FKB1" s="87"/>
      <c r="FKC1" s="87"/>
      <c r="FKD1" s="87"/>
      <c r="FKE1" s="87"/>
      <c r="FKF1" s="87"/>
      <c r="FKG1" s="87"/>
      <c r="FKH1" s="87"/>
      <c r="FKI1" s="87"/>
      <c r="FKJ1" s="87"/>
      <c r="FKK1" s="87"/>
      <c r="FKL1" s="87"/>
      <c r="FKM1" s="87"/>
      <c r="FKN1" s="87"/>
      <c r="FKO1" s="87"/>
      <c r="FKP1" s="87"/>
      <c r="FKQ1" s="87"/>
      <c r="FKR1" s="87"/>
      <c r="FKS1" s="87"/>
      <c r="FKT1" s="87"/>
      <c r="FKU1" s="87"/>
      <c r="FKV1" s="87"/>
      <c r="FKW1" s="87"/>
      <c r="FKX1" s="87"/>
      <c r="FKY1" s="87"/>
      <c r="FKZ1" s="87"/>
      <c r="FLA1" s="87"/>
      <c r="FLB1" s="87"/>
      <c r="FLC1" s="87"/>
      <c r="FLD1" s="87"/>
      <c r="FLE1" s="87"/>
      <c r="FLF1" s="87"/>
      <c r="FLG1" s="87"/>
      <c r="FLH1" s="87"/>
      <c r="FLI1" s="87"/>
      <c r="FLJ1" s="87"/>
      <c r="FLK1" s="87"/>
      <c r="FLL1" s="87"/>
      <c r="FLM1" s="87"/>
      <c r="FLN1" s="87"/>
      <c r="FLO1" s="87"/>
      <c r="FLP1" s="87"/>
      <c r="FLQ1" s="87"/>
      <c r="FLR1" s="87"/>
      <c r="FLS1" s="87"/>
      <c r="FLT1" s="87"/>
      <c r="FLU1" s="87"/>
      <c r="FLV1" s="87"/>
      <c r="FLW1" s="87"/>
      <c r="FLX1" s="87"/>
      <c r="FLY1" s="87"/>
      <c r="FLZ1" s="87"/>
      <c r="FMA1" s="87"/>
      <c r="FMB1" s="87"/>
      <c r="FMC1" s="87"/>
      <c r="FMD1" s="87"/>
      <c r="FME1" s="87"/>
      <c r="FMF1" s="87"/>
      <c r="FMG1" s="87"/>
      <c r="FMH1" s="87"/>
      <c r="FMI1" s="87"/>
      <c r="FMJ1" s="87"/>
      <c r="FMK1" s="87"/>
      <c r="FML1" s="87"/>
      <c r="FMM1" s="87"/>
      <c r="FMN1" s="87"/>
      <c r="FMO1" s="87"/>
      <c r="FMP1" s="87"/>
      <c r="FMQ1" s="87"/>
      <c r="FMR1" s="87"/>
      <c r="FMS1" s="87"/>
      <c r="FMT1" s="87"/>
      <c r="FMU1" s="87"/>
      <c r="FMV1" s="87"/>
      <c r="FMW1" s="87"/>
      <c r="FMX1" s="87"/>
      <c r="FMY1" s="87"/>
      <c r="FMZ1" s="87"/>
      <c r="FNA1" s="87"/>
      <c r="FNB1" s="87"/>
      <c r="FNC1" s="87"/>
      <c r="FND1" s="87"/>
      <c r="FNE1" s="87"/>
      <c r="FNF1" s="87"/>
      <c r="FNG1" s="87"/>
      <c r="FNH1" s="87"/>
      <c r="FNI1" s="87"/>
      <c r="FNJ1" s="87"/>
      <c r="FNK1" s="87"/>
      <c r="FNL1" s="87"/>
      <c r="FNM1" s="87"/>
      <c r="FNN1" s="87"/>
      <c r="FNO1" s="87"/>
      <c r="FNP1" s="87"/>
      <c r="FNQ1" s="87"/>
      <c r="FNR1" s="87"/>
      <c r="FNS1" s="87"/>
      <c r="FNT1" s="87"/>
      <c r="FNU1" s="87"/>
      <c r="FNV1" s="87"/>
      <c r="FNW1" s="87"/>
      <c r="FNX1" s="87"/>
      <c r="FNY1" s="87"/>
      <c r="FNZ1" s="87"/>
      <c r="FOA1" s="87"/>
      <c r="FOB1" s="87"/>
      <c r="FOC1" s="87"/>
      <c r="FOD1" s="87"/>
      <c r="FOE1" s="87"/>
      <c r="FOF1" s="87"/>
      <c r="FOG1" s="87"/>
      <c r="FOH1" s="87"/>
      <c r="FOI1" s="87"/>
      <c r="FOJ1" s="87"/>
      <c r="FOK1" s="87"/>
      <c r="FOL1" s="87"/>
      <c r="FOM1" s="87"/>
      <c r="FON1" s="87"/>
      <c r="FOO1" s="87"/>
      <c r="FOP1" s="87"/>
      <c r="FOQ1" s="87"/>
      <c r="FOR1" s="87"/>
      <c r="FOS1" s="87"/>
      <c r="FOT1" s="87"/>
      <c r="FOU1" s="87"/>
      <c r="FOV1" s="87"/>
      <c r="FOW1" s="87"/>
      <c r="FOX1" s="87"/>
      <c r="FOY1" s="87"/>
      <c r="FOZ1" s="87"/>
      <c r="FPA1" s="87"/>
      <c r="FPB1" s="87"/>
      <c r="FPC1" s="87"/>
      <c r="FPD1" s="87"/>
      <c r="FPE1" s="87"/>
      <c r="FPF1" s="87"/>
      <c r="FPG1" s="87"/>
      <c r="FPH1" s="87"/>
      <c r="FPI1" s="87"/>
      <c r="FPJ1" s="87"/>
      <c r="FPK1" s="87"/>
      <c r="FPL1" s="87"/>
      <c r="FPM1" s="87"/>
      <c r="FPN1" s="87"/>
      <c r="FPO1" s="87"/>
      <c r="FPP1" s="87"/>
      <c r="FPQ1" s="87"/>
      <c r="FPR1" s="87"/>
      <c r="FPS1" s="87"/>
      <c r="FPT1" s="87"/>
      <c r="FPU1" s="87"/>
      <c r="FPV1" s="87"/>
      <c r="FPW1" s="87"/>
      <c r="FPX1" s="87"/>
      <c r="FPY1" s="87"/>
      <c r="FPZ1" s="87"/>
      <c r="FQA1" s="87"/>
      <c r="FQB1" s="87"/>
      <c r="FQC1" s="87"/>
      <c r="FQD1" s="87"/>
      <c r="FQE1" s="87"/>
      <c r="FQF1" s="87"/>
      <c r="FQG1" s="87"/>
      <c r="FQH1" s="87"/>
      <c r="FQI1" s="87"/>
      <c r="FQJ1" s="87"/>
      <c r="FQK1" s="87"/>
      <c r="FQL1" s="87"/>
      <c r="FQM1" s="87"/>
      <c r="FQN1" s="87"/>
      <c r="FQO1" s="87"/>
      <c r="FQP1" s="87"/>
      <c r="FQQ1" s="87"/>
      <c r="FQR1" s="87"/>
      <c r="FQS1" s="87"/>
      <c r="FQT1" s="87"/>
      <c r="FQU1" s="87"/>
      <c r="FQV1" s="87"/>
      <c r="FQW1" s="87"/>
      <c r="FQX1" s="87"/>
      <c r="FQY1" s="87"/>
      <c r="FQZ1" s="87"/>
      <c r="FRA1" s="87"/>
      <c r="FRB1" s="87"/>
      <c r="FRC1" s="87"/>
      <c r="FRD1" s="87"/>
      <c r="FRE1" s="87"/>
      <c r="FRF1" s="87"/>
      <c r="FRG1" s="87"/>
      <c r="FRH1" s="87"/>
      <c r="FRI1" s="87"/>
      <c r="FRJ1" s="87"/>
      <c r="FRK1" s="87"/>
      <c r="FRL1" s="87"/>
      <c r="FRM1" s="87"/>
      <c r="FRN1" s="87"/>
      <c r="FRO1" s="87"/>
      <c r="FRP1" s="87"/>
      <c r="FRQ1" s="87"/>
      <c r="FRR1" s="87"/>
      <c r="FRS1" s="87"/>
      <c r="FRT1" s="87"/>
      <c r="FRU1" s="87"/>
      <c r="FRV1" s="87"/>
      <c r="FRW1" s="87"/>
      <c r="FRX1" s="87"/>
      <c r="FRY1" s="87"/>
      <c r="FRZ1" s="87"/>
      <c r="FSA1" s="87"/>
      <c r="FSB1" s="87"/>
      <c r="FSC1" s="87"/>
      <c r="FSD1" s="87"/>
      <c r="FSE1" s="87"/>
      <c r="FSF1" s="87"/>
      <c r="FSG1" s="87"/>
      <c r="FSH1" s="87"/>
      <c r="FSI1" s="87"/>
      <c r="FSJ1" s="87"/>
      <c r="FSK1" s="87"/>
      <c r="FSL1" s="87"/>
      <c r="FSM1" s="87"/>
      <c r="FSN1" s="87"/>
      <c r="FSO1" s="87"/>
      <c r="FSP1" s="87"/>
      <c r="FSQ1" s="87"/>
      <c r="FSR1" s="87"/>
      <c r="FSS1" s="87"/>
      <c r="FST1" s="87"/>
      <c r="FSU1" s="87"/>
      <c r="FSV1" s="87"/>
      <c r="FSW1" s="87"/>
      <c r="FSX1" s="87"/>
      <c r="FSY1" s="87"/>
      <c r="FSZ1" s="87"/>
      <c r="FTA1" s="87"/>
      <c r="FTB1" s="87"/>
      <c r="FTC1" s="87"/>
      <c r="FTD1" s="87"/>
      <c r="FTE1" s="87"/>
      <c r="FTF1" s="87"/>
      <c r="FTG1" s="87"/>
      <c r="FTH1" s="87"/>
      <c r="FTI1" s="87"/>
      <c r="FTJ1" s="87"/>
      <c r="FTK1" s="87"/>
      <c r="FTL1" s="87"/>
      <c r="FTM1" s="87"/>
      <c r="FTN1" s="87"/>
      <c r="FTO1" s="87"/>
      <c r="FTP1" s="87"/>
      <c r="FTQ1" s="87"/>
      <c r="FTR1" s="87"/>
      <c r="FTS1" s="87"/>
      <c r="FTT1" s="87"/>
      <c r="FTU1" s="87"/>
      <c r="FTV1" s="87"/>
      <c r="FTW1" s="87"/>
      <c r="FTX1" s="87"/>
      <c r="FTY1" s="87"/>
      <c r="FTZ1" s="87"/>
      <c r="FUA1" s="87"/>
      <c r="FUB1" s="87"/>
      <c r="FUC1" s="87"/>
      <c r="FUD1" s="87"/>
      <c r="FUE1" s="87"/>
      <c r="FUF1" s="87"/>
      <c r="FUG1" s="87"/>
      <c r="FUH1" s="87"/>
      <c r="FUI1" s="87"/>
      <c r="FUJ1" s="87"/>
      <c r="FUK1" s="87"/>
      <c r="FUL1" s="87"/>
      <c r="FUM1" s="87"/>
      <c r="FUN1" s="87"/>
      <c r="FUO1" s="87"/>
      <c r="FUP1" s="87"/>
      <c r="FUQ1" s="87"/>
      <c r="FUR1" s="87"/>
      <c r="FUS1" s="87"/>
      <c r="FUT1" s="87"/>
      <c r="FUU1" s="87"/>
      <c r="FUV1" s="87"/>
      <c r="FUW1" s="87"/>
      <c r="FUX1" s="87"/>
      <c r="FUY1" s="87"/>
      <c r="FUZ1" s="87"/>
      <c r="FVA1" s="87"/>
      <c r="FVB1" s="87"/>
      <c r="FVC1" s="87"/>
      <c r="FVD1" s="87"/>
      <c r="FVE1" s="87"/>
      <c r="FVF1" s="87"/>
      <c r="FVG1" s="87"/>
      <c r="FVH1" s="87"/>
      <c r="FVI1" s="87"/>
      <c r="FVJ1" s="87"/>
      <c r="FVK1" s="87"/>
      <c r="FVL1" s="87"/>
      <c r="FVM1" s="87"/>
      <c r="FVN1" s="87"/>
      <c r="FVO1" s="87"/>
      <c r="FVP1" s="87"/>
      <c r="FVQ1" s="87"/>
      <c r="FVR1" s="87"/>
      <c r="FVS1" s="87"/>
      <c r="FVT1" s="87"/>
      <c r="FVU1" s="87"/>
      <c r="FVV1" s="87"/>
      <c r="FVW1" s="87"/>
      <c r="FVX1" s="87"/>
      <c r="FVY1" s="87"/>
      <c r="FVZ1" s="87"/>
      <c r="FWA1" s="87"/>
      <c r="FWB1" s="87"/>
      <c r="FWC1" s="87"/>
      <c r="FWD1" s="87"/>
      <c r="FWE1" s="87"/>
      <c r="FWF1" s="87"/>
      <c r="FWG1" s="87"/>
      <c r="FWH1" s="87"/>
      <c r="FWI1" s="87"/>
      <c r="FWJ1" s="87"/>
      <c r="FWK1" s="87"/>
      <c r="FWL1" s="87"/>
      <c r="FWM1" s="87"/>
      <c r="FWN1" s="87"/>
      <c r="FWO1" s="87"/>
      <c r="FWP1" s="87"/>
      <c r="FWQ1" s="87"/>
      <c r="FWR1" s="87"/>
      <c r="FWS1" s="87"/>
      <c r="FWT1" s="87"/>
      <c r="FWU1" s="87"/>
      <c r="FWV1" s="87"/>
      <c r="FWW1" s="87"/>
      <c r="FWX1" s="87"/>
      <c r="FWY1" s="87"/>
      <c r="FWZ1" s="87"/>
      <c r="FXA1" s="87"/>
      <c r="FXB1" s="87"/>
      <c r="FXC1" s="87"/>
      <c r="FXD1" s="87"/>
      <c r="FXE1" s="87"/>
      <c r="FXF1" s="87"/>
      <c r="FXG1" s="87"/>
      <c r="FXH1" s="87"/>
      <c r="FXI1" s="87"/>
      <c r="FXJ1" s="87"/>
      <c r="FXK1" s="87"/>
      <c r="FXL1" s="87"/>
      <c r="FXM1" s="87"/>
      <c r="FXN1" s="87"/>
      <c r="FXO1" s="87"/>
      <c r="FXP1" s="87"/>
      <c r="FXQ1" s="87"/>
      <c r="FXR1" s="87"/>
      <c r="FXS1" s="87"/>
      <c r="FXT1" s="87"/>
      <c r="FXU1" s="87"/>
      <c r="FXV1" s="87"/>
      <c r="FXW1" s="87"/>
      <c r="FXX1" s="87"/>
      <c r="FXY1" s="87"/>
      <c r="FXZ1" s="87"/>
      <c r="FYA1" s="87"/>
      <c r="FYB1" s="87"/>
      <c r="FYC1" s="87"/>
      <c r="FYD1" s="87"/>
      <c r="FYE1" s="87"/>
      <c r="FYF1" s="87"/>
      <c r="FYG1" s="87"/>
      <c r="FYH1" s="87"/>
      <c r="FYI1" s="87"/>
      <c r="FYJ1" s="87"/>
      <c r="FYK1" s="87"/>
      <c r="FYL1" s="87"/>
      <c r="FYM1" s="87"/>
      <c r="FYN1" s="87"/>
      <c r="FYO1" s="87"/>
      <c r="FYP1" s="87"/>
      <c r="FYQ1" s="87"/>
      <c r="FYR1" s="87"/>
      <c r="FYS1" s="87"/>
      <c r="FYT1" s="87"/>
      <c r="FYU1" s="87"/>
      <c r="FYV1" s="87"/>
      <c r="FYW1" s="87"/>
      <c r="FYX1" s="87"/>
      <c r="FYY1" s="87"/>
      <c r="FYZ1" s="87"/>
      <c r="FZA1" s="87"/>
      <c r="FZB1" s="87"/>
      <c r="FZC1" s="87"/>
      <c r="FZD1" s="87"/>
      <c r="FZE1" s="87"/>
      <c r="FZF1" s="87"/>
      <c r="FZG1" s="87"/>
      <c r="FZH1" s="87"/>
      <c r="FZI1" s="87"/>
      <c r="FZJ1" s="87"/>
      <c r="FZK1" s="87"/>
      <c r="FZL1" s="87"/>
      <c r="FZM1" s="87"/>
      <c r="FZN1" s="87"/>
      <c r="FZO1" s="87"/>
      <c r="FZP1" s="87"/>
      <c r="FZQ1" s="87"/>
      <c r="FZR1" s="87"/>
      <c r="FZS1" s="87"/>
      <c r="FZT1" s="87"/>
      <c r="FZU1" s="87"/>
      <c r="FZV1" s="87"/>
      <c r="FZW1" s="87"/>
      <c r="FZX1" s="87"/>
      <c r="FZY1" s="87"/>
      <c r="FZZ1" s="87"/>
      <c r="GAA1" s="87"/>
      <c r="GAB1" s="87"/>
      <c r="GAC1" s="87"/>
      <c r="GAD1" s="87"/>
      <c r="GAE1" s="87"/>
      <c r="GAF1" s="87"/>
      <c r="GAG1" s="87"/>
      <c r="GAH1" s="87"/>
      <c r="GAI1" s="87"/>
      <c r="GAJ1" s="87"/>
      <c r="GAK1" s="87"/>
      <c r="GAL1" s="87"/>
      <c r="GAM1" s="87"/>
      <c r="GAN1" s="87"/>
      <c r="GAO1" s="87"/>
      <c r="GAP1" s="87"/>
      <c r="GAQ1" s="87"/>
      <c r="GAR1" s="87"/>
      <c r="GAS1" s="87"/>
      <c r="GAT1" s="87"/>
      <c r="GAU1" s="87"/>
      <c r="GAV1" s="87"/>
      <c r="GAW1" s="87"/>
      <c r="GAX1" s="87"/>
      <c r="GAY1" s="87"/>
      <c r="GAZ1" s="87"/>
      <c r="GBA1" s="87"/>
      <c r="GBB1" s="87"/>
      <c r="GBC1" s="87"/>
      <c r="GBD1" s="87"/>
      <c r="GBE1" s="87"/>
      <c r="GBF1" s="87"/>
      <c r="GBG1" s="87"/>
      <c r="GBH1" s="87"/>
      <c r="GBI1" s="87"/>
      <c r="GBJ1" s="87"/>
      <c r="GBK1" s="87"/>
      <c r="GBL1" s="87"/>
      <c r="GBM1" s="87"/>
      <c r="GBN1" s="87"/>
      <c r="GBO1" s="87"/>
      <c r="GBP1" s="87"/>
      <c r="GBQ1" s="87"/>
      <c r="GBR1" s="87"/>
      <c r="GBS1" s="87"/>
      <c r="GBT1" s="87"/>
      <c r="GBU1" s="87"/>
      <c r="GBV1" s="87"/>
      <c r="GBW1" s="87"/>
      <c r="GBX1" s="87"/>
      <c r="GBY1" s="87"/>
      <c r="GBZ1" s="87"/>
      <c r="GCA1" s="87"/>
      <c r="GCB1" s="87"/>
      <c r="GCC1" s="87"/>
      <c r="GCD1" s="87"/>
      <c r="GCE1" s="87"/>
      <c r="GCF1" s="87"/>
      <c r="GCG1" s="87"/>
      <c r="GCH1" s="87"/>
      <c r="GCI1" s="87"/>
      <c r="GCJ1" s="87"/>
      <c r="GCK1" s="87"/>
      <c r="GCL1" s="87"/>
      <c r="GCM1" s="87"/>
      <c r="GCN1" s="87"/>
      <c r="GCO1" s="87"/>
      <c r="GCP1" s="87"/>
      <c r="GCQ1" s="87"/>
      <c r="GCR1" s="87"/>
      <c r="GCS1" s="87"/>
      <c r="GCT1" s="87"/>
      <c r="GCU1" s="87"/>
      <c r="GCV1" s="87"/>
      <c r="GCW1" s="87"/>
      <c r="GCX1" s="87"/>
      <c r="GCY1" s="87"/>
      <c r="GCZ1" s="87"/>
      <c r="GDA1" s="87"/>
      <c r="GDB1" s="87"/>
      <c r="GDC1" s="87"/>
      <c r="GDD1" s="87"/>
      <c r="GDE1" s="87"/>
      <c r="GDF1" s="87"/>
      <c r="GDG1" s="87"/>
      <c r="GDH1" s="87"/>
      <c r="GDI1" s="87"/>
      <c r="GDJ1" s="87"/>
      <c r="GDK1" s="87"/>
      <c r="GDL1" s="87"/>
      <c r="GDM1" s="87"/>
      <c r="GDN1" s="87"/>
      <c r="GDO1" s="87"/>
      <c r="GDP1" s="87"/>
      <c r="GDQ1" s="87"/>
      <c r="GDR1" s="87"/>
      <c r="GDS1" s="87"/>
      <c r="GDT1" s="87"/>
      <c r="GDU1" s="87"/>
      <c r="GDV1" s="87"/>
      <c r="GDW1" s="87"/>
      <c r="GDX1" s="87"/>
      <c r="GDY1" s="87"/>
      <c r="GDZ1" s="87"/>
      <c r="GEA1" s="87"/>
      <c r="GEB1" s="87"/>
      <c r="GEC1" s="87"/>
      <c r="GED1" s="87"/>
      <c r="GEE1" s="87"/>
      <c r="GEF1" s="87"/>
      <c r="GEG1" s="87"/>
      <c r="GEH1" s="87"/>
      <c r="GEI1" s="87"/>
      <c r="GEJ1" s="87"/>
      <c r="GEK1" s="87"/>
      <c r="GEL1" s="87"/>
      <c r="GEM1" s="87"/>
      <c r="GEN1" s="87"/>
      <c r="GEO1" s="87"/>
      <c r="GEP1" s="87"/>
      <c r="GEQ1" s="87"/>
      <c r="GER1" s="87"/>
      <c r="GES1" s="87"/>
      <c r="GET1" s="87"/>
      <c r="GEU1" s="87"/>
      <c r="GEV1" s="87"/>
      <c r="GEW1" s="87"/>
      <c r="GEX1" s="87"/>
      <c r="GEY1" s="87"/>
      <c r="GEZ1" s="87"/>
      <c r="GFA1" s="87"/>
      <c r="GFB1" s="87"/>
      <c r="GFC1" s="87"/>
      <c r="GFD1" s="87"/>
      <c r="GFE1" s="87"/>
      <c r="GFF1" s="87"/>
      <c r="GFG1" s="87"/>
      <c r="GFH1" s="87"/>
      <c r="GFI1" s="87"/>
      <c r="GFJ1" s="87"/>
      <c r="GFK1" s="87"/>
      <c r="GFL1" s="87"/>
      <c r="GFM1" s="87"/>
      <c r="GFN1" s="87"/>
      <c r="GFO1" s="87"/>
      <c r="GFP1" s="87"/>
      <c r="GFQ1" s="87"/>
      <c r="GFR1" s="87"/>
      <c r="GFS1" s="87"/>
      <c r="GFT1" s="87"/>
      <c r="GFU1" s="87"/>
      <c r="GFV1" s="87"/>
      <c r="GFW1" s="87"/>
      <c r="GFX1" s="87"/>
      <c r="GFY1" s="87"/>
      <c r="GFZ1" s="87"/>
      <c r="GGA1" s="87"/>
      <c r="GGB1" s="87"/>
      <c r="GGC1" s="87"/>
      <c r="GGD1" s="87"/>
      <c r="GGE1" s="87"/>
      <c r="GGF1" s="87"/>
      <c r="GGG1" s="87"/>
      <c r="GGH1" s="87"/>
      <c r="GGI1" s="87"/>
      <c r="GGJ1" s="87"/>
      <c r="GGK1" s="87"/>
      <c r="GGL1" s="87"/>
      <c r="GGM1" s="87"/>
      <c r="GGN1" s="87"/>
      <c r="GGO1" s="87"/>
      <c r="GGP1" s="87"/>
      <c r="GGQ1" s="87"/>
      <c r="GGR1" s="87"/>
      <c r="GGS1" s="87"/>
      <c r="GGT1" s="87"/>
      <c r="GGU1" s="87"/>
      <c r="GGV1" s="87"/>
      <c r="GGW1" s="87"/>
      <c r="GGX1" s="87"/>
      <c r="GGY1" s="87"/>
      <c r="GGZ1" s="87"/>
      <c r="GHA1" s="87"/>
      <c r="GHB1" s="87"/>
      <c r="GHC1" s="87"/>
      <c r="GHD1" s="87"/>
      <c r="GHE1" s="87"/>
      <c r="GHF1" s="87"/>
      <c r="GHG1" s="87"/>
      <c r="GHH1" s="87"/>
      <c r="GHI1" s="87"/>
      <c r="GHJ1" s="87"/>
      <c r="GHK1" s="87"/>
      <c r="GHL1" s="87"/>
      <c r="GHM1" s="87"/>
      <c r="GHN1" s="87"/>
      <c r="GHO1" s="87"/>
      <c r="GHP1" s="87"/>
      <c r="GHQ1" s="87"/>
      <c r="GHR1" s="87"/>
      <c r="GHS1" s="87"/>
      <c r="GHT1" s="87"/>
      <c r="GHU1" s="87"/>
      <c r="GHV1" s="87"/>
      <c r="GHW1" s="87"/>
      <c r="GHX1" s="87"/>
      <c r="GHY1" s="87"/>
      <c r="GHZ1" s="87"/>
      <c r="GIA1" s="87"/>
      <c r="GIB1" s="87"/>
      <c r="GIC1" s="87"/>
      <c r="GID1" s="87"/>
      <c r="GIE1" s="87"/>
      <c r="GIF1" s="87"/>
      <c r="GIG1" s="87"/>
      <c r="GIH1" s="87"/>
      <c r="GII1" s="87"/>
      <c r="GIJ1" s="87"/>
      <c r="GIK1" s="87"/>
      <c r="GIL1" s="87"/>
      <c r="GIM1" s="87"/>
      <c r="GIN1" s="87"/>
      <c r="GIO1" s="87"/>
      <c r="GIP1" s="87"/>
      <c r="GIQ1" s="87"/>
      <c r="GIR1" s="87"/>
      <c r="GIS1" s="87"/>
      <c r="GIT1" s="87"/>
      <c r="GIU1" s="87"/>
      <c r="GIV1" s="87"/>
      <c r="GIW1" s="87"/>
      <c r="GIX1" s="87"/>
      <c r="GIY1" s="87"/>
      <c r="GIZ1" s="87"/>
      <c r="GJA1" s="87"/>
      <c r="GJB1" s="87"/>
      <c r="GJC1" s="87"/>
      <c r="GJD1" s="87"/>
      <c r="GJE1" s="87"/>
      <c r="GJF1" s="87"/>
      <c r="GJG1" s="87"/>
      <c r="GJH1" s="87"/>
      <c r="GJI1" s="87"/>
      <c r="GJJ1" s="87"/>
      <c r="GJK1" s="87"/>
      <c r="GJL1" s="87"/>
      <c r="GJM1" s="87"/>
      <c r="GJN1" s="87"/>
      <c r="GJO1" s="87"/>
      <c r="GJP1" s="87"/>
      <c r="GJQ1" s="87"/>
      <c r="GJR1" s="87"/>
      <c r="GJS1" s="87"/>
      <c r="GJT1" s="87"/>
      <c r="GJU1" s="87"/>
      <c r="GJV1" s="87"/>
      <c r="GJW1" s="87"/>
      <c r="GJX1" s="87"/>
      <c r="GJY1" s="87"/>
      <c r="GJZ1" s="87"/>
      <c r="GKA1" s="87"/>
      <c r="GKB1" s="87"/>
      <c r="GKC1" s="87"/>
      <c r="GKD1" s="87"/>
      <c r="GKE1" s="87"/>
      <c r="GKF1" s="87"/>
      <c r="GKG1" s="87"/>
      <c r="GKH1" s="87"/>
      <c r="GKI1" s="87"/>
      <c r="GKJ1" s="87"/>
      <c r="GKK1" s="87"/>
      <c r="GKL1" s="87"/>
      <c r="GKM1" s="87"/>
      <c r="GKN1" s="87"/>
      <c r="GKO1" s="87"/>
      <c r="GKP1" s="87"/>
      <c r="GKQ1" s="87"/>
      <c r="GKR1" s="87"/>
      <c r="GKS1" s="87"/>
      <c r="GKT1" s="87"/>
      <c r="GKU1" s="87"/>
      <c r="GKV1" s="87"/>
      <c r="GKW1" s="87"/>
      <c r="GKX1" s="87"/>
      <c r="GKY1" s="87"/>
      <c r="GKZ1" s="87"/>
      <c r="GLA1" s="87"/>
      <c r="GLB1" s="87"/>
      <c r="GLC1" s="87"/>
      <c r="GLD1" s="87"/>
      <c r="GLE1" s="87"/>
      <c r="GLF1" s="87"/>
      <c r="GLG1" s="87"/>
      <c r="GLH1" s="87"/>
      <c r="GLI1" s="87"/>
      <c r="GLJ1" s="87"/>
      <c r="GLK1" s="87"/>
      <c r="GLL1" s="87"/>
      <c r="GLM1" s="87"/>
      <c r="GLN1" s="87"/>
      <c r="GLO1" s="87"/>
      <c r="GLP1" s="87"/>
      <c r="GLQ1" s="87"/>
      <c r="GLR1" s="87"/>
      <c r="GLS1" s="87"/>
      <c r="GLT1" s="87"/>
      <c r="GLU1" s="87"/>
      <c r="GLV1" s="87"/>
      <c r="GLW1" s="87"/>
      <c r="GLX1" s="87"/>
      <c r="GLY1" s="87"/>
      <c r="GLZ1" s="87"/>
      <c r="GMA1" s="87"/>
      <c r="GMB1" s="87"/>
      <c r="GMC1" s="87"/>
      <c r="GMD1" s="87"/>
      <c r="GME1" s="87"/>
      <c r="GMF1" s="87"/>
      <c r="GMG1" s="87"/>
      <c r="GMH1" s="87"/>
      <c r="GMI1" s="87"/>
      <c r="GMJ1" s="87"/>
      <c r="GMK1" s="87"/>
      <c r="GML1" s="87"/>
      <c r="GMM1" s="87"/>
      <c r="GMN1" s="87"/>
      <c r="GMO1" s="87"/>
      <c r="GMP1" s="87"/>
      <c r="GMQ1" s="87"/>
      <c r="GMR1" s="87"/>
      <c r="GMS1" s="87"/>
      <c r="GMT1" s="87"/>
      <c r="GMU1" s="87"/>
      <c r="GMV1" s="87"/>
      <c r="GMW1" s="87"/>
      <c r="GMX1" s="87"/>
      <c r="GMY1" s="87"/>
      <c r="GMZ1" s="87"/>
      <c r="GNA1" s="87"/>
      <c r="GNB1" s="87"/>
      <c r="GNC1" s="87"/>
      <c r="GND1" s="87"/>
      <c r="GNE1" s="87"/>
      <c r="GNF1" s="87"/>
      <c r="GNG1" s="87"/>
      <c r="GNH1" s="87"/>
      <c r="GNI1" s="87"/>
      <c r="GNJ1" s="87"/>
      <c r="GNK1" s="87"/>
      <c r="GNL1" s="87"/>
      <c r="GNM1" s="87"/>
      <c r="GNN1" s="87"/>
      <c r="GNO1" s="87"/>
      <c r="GNP1" s="87"/>
      <c r="GNQ1" s="87"/>
      <c r="GNR1" s="87"/>
      <c r="GNS1" s="87"/>
      <c r="GNT1" s="87"/>
      <c r="GNU1" s="87"/>
      <c r="GNV1" s="87"/>
      <c r="GNW1" s="87"/>
      <c r="GNX1" s="87"/>
      <c r="GNY1" s="87"/>
      <c r="GNZ1" s="87"/>
      <c r="GOA1" s="87"/>
      <c r="GOB1" s="87"/>
      <c r="GOC1" s="87"/>
      <c r="GOD1" s="87"/>
      <c r="GOE1" s="87"/>
      <c r="GOF1" s="87"/>
      <c r="GOG1" s="87"/>
      <c r="GOH1" s="87"/>
      <c r="GOI1" s="87"/>
      <c r="GOJ1" s="87"/>
      <c r="GOK1" s="87"/>
      <c r="GOL1" s="87"/>
      <c r="GOM1" s="87"/>
      <c r="GON1" s="87"/>
      <c r="GOO1" s="87"/>
      <c r="GOP1" s="87"/>
      <c r="GOQ1" s="87"/>
      <c r="GOR1" s="87"/>
      <c r="GOS1" s="87"/>
      <c r="GOT1" s="87"/>
      <c r="GOU1" s="87"/>
      <c r="GOV1" s="87"/>
      <c r="GOW1" s="87"/>
      <c r="GOX1" s="87"/>
      <c r="GOY1" s="87"/>
      <c r="GOZ1" s="87"/>
      <c r="GPA1" s="87"/>
      <c r="GPB1" s="87"/>
      <c r="GPC1" s="87"/>
      <c r="GPD1" s="87"/>
      <c r="GPE1" s="87"/>
      <c r="GPF1" s="87"/>
      <c r="GPG1" s="87"/>
      <c r="GPH1" s="87"/>
      <c r="GPI1" s="87"/>
      <c r="GPJ1" s="87"/>
      <c r="GPK1" s="87"/>
      <c r="GPL1" s="87"/>
      <c r="GPM1" s="87"/>
      <c r="GPN1" s="87"/>
      <c r="GPO1" s="87"/>
      <c r="GPP1" s="87"/>
      <c r="GPQ1" s="87"/>
      <c r="GPR1" s="87"/>
      <c r="GPS1" s="87"/>
      <c r="GPT1" s="87"/>
      <c r="GPU1" s="87"/>
      <c r="GPV1" s="87"/>
      <c r="GPW1" s="87"/>
      <c r="GPX1" s="87"/>
      <c r="GPY1" s="87"/>
      <c r="GPZ1" s="87"/>
      <c r="GQA1" s="87"/>
      <c r="GQB1" s="87"/>
      <c r="GQC1" s="87"/>
      <c r="GQD1" s="87"/>
      <c r="GQE1" s="87"/>
      <c r="GQF1" s="87"/>
      <c r="GQG1" s="87"/>
      <c r="GQH1" s="87"/>
      <c r="GQI1" s="87"/>
      <c r="GQJ1" s="87"/>
      <c r="GQK1" s="87"/>
      <c r="GQL1" s="87"/>
      <c r="GQM1" s="87"/>
      <c r="GQN1" s="87"/>
      <c r="GQO1" s="87"/>
      <c r="GQP1" s="87"/>
      <c r="GQQ1" s="87"/>
      <c r="GQR1" s="87"/>
      <c r="GQS1" s="87"/>
      <c r="GQT1" s="87"/>
      <c r="GQU1" s="87"/>
      <c r="GQV1" s="87"/>
      <c r="GQW1" s="87"/>
      <c r="GQX1" s="87"/>
      <c r="GQY1" s="87"/>
      <c r="GQZ1" s="87"/>
      <c r="GRA1" s="87"/>
      <c r="GRB1" s="87"/>
      <c r="GRC1" s="87"/>
      <c r="GRD1" s="87"/>
      <c r="GRE1" s="87"/>
      <c r="GRF1" s="87"/>
      <c r="GRG1" s="87"/>
      <c r="GRH1" s="87"/>
      <c r="GRI1" s="87"/>
      <c r="GRJ1" s="87"/>
      <c r="GRK1" s="87"/>
      <c r="GRL1" s="87"/>
      <c r="GRM1" s="87"/>
      <c r="GRN1" s="87"/>
      <c r="GRO1" s="87"/>
      <c r="GRP1" s="87"/>
      <c r="GRQ1" s="87"/>
      <c r="GRR1" s="87"/>
      <c r="GRS1" s="87"/>
      <c r="GRT1" s="87"/>
      <c r="GRU1" s="87"/>
      <c r="GRV1" s="87"/>
      <c r="GRW1" s="87"/>
      <c r="GRX1" s="87"/>
      <c r="GRY1" s="87"/>
      <c r="GRZ1" s="87"/>
      <c r="GSA1" s="87"/>
      <c r="GSB1" s="87"/>
      <c r="GSC1" s="87"/>
      <c r="GSD1" s="87"/>
      <c r="GSE1" s="87"/>
      <c r="GSF1" s="87"/>
      <c r="GSG1" s="87"/>
      <c r="GSH1" s="87"/>
      <c r="GSI1" s="87"/>
      <c r="GSJ1" s="87"/>
      <c r="GSK1" s="87"/>
      <c r="GSL1" s="87"/>
      <c r="GSM1" s="87"/>
      <c r="GSN1" s="87"/>
      <c r="GSO1" s="87"/>
      <c r="GSP1" s="87"/>
      <c r="GSQ1" s="87"/>
      <c r="GSR1" s="87"/>
      <c r="GSS1" s="87"/>
      <c r="GST1" s="87"/>
      <c r="GSU1" s="87"/>
      <c r="GSV1" s="87"/>
      <c r="GSW1" s="87"/>
      <c r="GSX1" s="87"/>
      <c r="GSY1" s="87"/>
      <c r="GSZ1" s="87"/>
      <c r="GTA1" s="87"/>
      <c r="GTB1" s="87"/>
      <c r="GTC1" s="87"/>
      <c r="GTD1" s="87"/>
      <c r="GTE1" s="87"/>
      <c r="GTF1" s="87"/>
      <c r="GTG1" s="87"/>
      <c r="GTH1" s="87"/>
      <c r="GTI1" s="87"/>
      <c r="GTJ1" s="87"/>
      <c r="GTK1" s="87"/>
      <c r="GTL1" s="87"/>
      <c r="GTM1" s="87"/>
      <c r="GTN1" s="87"/>
      <c r="GTO1" s="87"/>
      <c r="GTP1" s="87"/>
      <c r="GTQ1" s="87"/>
      <c r="GTR1" s="87"/>
      <c r="GTS1" s="87"/>
      <c r="GTT1" s="87"/>
      <c r="GTU1" s="87"/>
      <c r="GTV1" s="87"/>
      <c r="GTW1" s="87"/>
      <c r="GTX1" s="87"/>
      <c r="GTY1" s="87"/>
      <c r="GTZ1" s="87"/>
      <c r="GUA1" s="87"/>
      <c r="GUB1" s="87"/>
      <c r="GUC1" s="87"/>
      <c r="GUD1" s="87"/>
      <c r="GUE1" s="87"/>
      <c r="GUF1" s="87"/>
      <c r="GUG1" s="87"/>
      <c r="GUH1" s="87"/>
      <c r="GUI1" s="87"/>
      <c r="GUJ1" s="87"/>
      <c r="GUK1" s="87"/>
      <c r="GUL1" s="87"/>
      <c r="GUM1" s="87"/>
      <c r="GUN1" s="87"/>
      <c r="GUO1" s="87"/>
      <c r="GUP1" s="87"/>
      <c r="GUQ1" s="87"/>
      <c r="GUR1" s="87"/>
      <c r="GUS1" s="87"/>
      <c r="GUT1" s="87"/>
      <c r="GUU1" s="87"/>
      <c r="GUV1" s="87"/>
      <c r="GUW1" s="87"/>
      <c r="GUX1" s="87"/>
      <c r="GUY1" s="87"/>
      <c r="GUZ1" s="87"/>
      <c r="GVA1" s="87"/>
      <c r="GVB1" s="87"/>
      <c r="GVC1" s="87"/>
      <c r="GVD1" s="87"/>
      <c r="GVE1" s="87"/>
      <c r="GVF1" s="87"/>
      <c r="GVG1" s="87"/>
      <c r="GVH1" s="87"/>
      <c r="GVI1" s="87"/>
      <c r="GVJ1" s="87"/>
      <c r="GVK1" s="87"/>
      <c r="GVL1" s="87"/>
      <c r="GVM1" s="87"/>
      <c r="GVN1" s="87"/>
      <c r="GVO1" s="87"/>
      <c r="GVP1" s="87"/>
      <c r="GVQ1" s="87"/>
      <c r="GVR1" s="87"/>
      <c r="GVS1" s="87"/>
      <c r="GVT1" s="87"/>
      <c r="GVU1" s="87"/>
      <c r="GVV1" s="87"/>
      <c r="GVW1" s="87"/>
      <c r="GVX1" s="87"/>
      <c r="GVY1" s="87"/>
      <c r="GVZ1" s="87"/>
      <c r="GWA1" s="87"/>
      <c r="GWB1" s="87"/>
      <c r="GWC1" s="87"/>
      <c r="GWD1" s="87"/>
      <c r="GWE1" s="87"/>
      <c r="GWF1" s="87"/>
      <c r="GWG1" s="87"/>
      <c r="GWH1" s="87"/>
      <c r="GWI1" s="87"/>
      <c r="GWJ1" s="87"/>
      <c r="GWK1" s="87"/>
      <c r="GWL1" s="87"/>
      <c r="GWM1" s="87"/>
      <c r="GWN1" s="87"/>
      <c r="GWO1" s="87"/>
      <c r="GWP1" s="87"/>
      <c r="GWQ1" s="87"/>
      <c r="GWR1" s="87"/>
      <c r="GWS1" s="87"/>
      <c r="GWT1" s="87"/>
      <c r="GWU1" s="87"/>
      <c r="GWV1" s="87"/>
      <c r="GWW1" s="87"/>
      <c r="GWX1" s="87"/>
      <c r="GWY1" s="87"/>
      <c r="GWZ1" s="87"/>
      <c r="GXA1" s="87"/>
      <c r="GXB1" s="87"/>
      <c r="GXC1" s="87"/>
      <c r="GXD1" s="87"/>
      <c r="GXE1" s="87"/>
      <c r="GXF1" s="87"/>
      <c r="GXG1" s="87"/>
      <c r="GXH1" s="87"/>
      <c r="GXI1" s="87"/>
      <c r="GXJ1" s="87"/>
      <c r="GXK1" s="87"/>
      <c r="GXL1" s="87"/>
      <c r="GXM1" s="87"/>
      <c r="GXN1" s="87"/>
      <c r="GXO1" s="87"/>
      <c r="GXP1" s="87"/>
      <c r="GXQ1" s="87"/>
      <c r="GXR1" s="87"/>
      <c r="GXS1" s="87"/>
      <c r="GXT1" s="87"/>
      <c r="GXU1" s="87"/>
      <c r="GXV1" s="87"/>
      <c r="GXW1" s="87"/>
      <c r="GXX1" s="87"/>
      <c r="GXY1" s="87"/>
      <c r="GXZ1" s="87"/>
      <c r="GYA1" s="87"/>
      <c r="GYB1" s="87"/>
      <c r="GYC1" s="87"/>
      <c r="GYD1" s="87"/>
      <c r="GYE1" s="87"/>
      <c r="GYF1" s="87"/>
      <c r="GYG1" s="87"/>
      <c r="GYH1" s="87"/>
      <c r="GYI1" s="87"/>
      <c r="GYJ1" s="87"/>
      <c r="GYK1" s="87"/>
      <c r="GYL1" s="87"/>
      <c r="GYM1" s="87"/>
      <c r="GYN1" s="87"/>
      <c r="GYO1" s="87"/>
      <c r="GYP1" s="87"/>
      <c r="GYQ1" s="87"/>
      <c r="GYR1" s="87"/>
      <c r="GYS1" s="87"/>
      <c r="GYT1" s="87"/>
      <c r="GYU1" s="87"/>
      <c r="GYV1" s="87"/>
      <c r="GYW1" s="87"/>
      <c r="GYX1" s="87"/>
      <c r="GYY1" s="87"/>
      <c r="GYZ1" s="87"/>
      <c r="GZA1" s="87"/>
      <c r="GZB1" s="87"/>
      <c r="GZC1" s="87"/>
      <c r="GZD1" s="87"/>
      <c r="GZE1" s="87"/>
      <c r="GZF1" s="87"/>
      <c r="GZG1" s="87"/>
      <c r="GZH1" s="87"/>
      <c r="GZI1" s="87"/>
      <c r="GZJ1" s="87"/>
      <c r="GZK1" s="87"/>
      <c r="GZL1" s="87"/>
      <c r="GZM1" s="87"/>
      <c r="GZN1" s="87"/>
      <c r="GZO1" s="87"/>
      <c r="GZP1" s="87"/>
      <c r="GZQ1" s="87"/>
      <c r="GZR1" s="87"/>
      <c r="GZS1" s="87"/>
      <c r="GZT1" s="87"/>
      <c r="GZU1" s="87"/>
      <c r="GZV1" s="87"/>
      <c r="GZW1" s="87"/>
      <c r="GZX1" s="87"/>
      <c r="GZY1" s="87"/>
      <c r="GZZ1" s="87"/>
      <c r="HAA1" s="87"/>
      <c r="HAB1" s="87"/>
      <c r="HAC1" s="87"/>
      <c r="HAD1" s="87"/>
      <c r="HAE1" s="87"/>
      <c r="HAF1" s="87"/>
      <c r="HAG1" s="87"/>
      <c r="HAH1" s="87"/>
      <c r="HAI1" s="87"/>
      <c r="HAJ1" s="87"/>
      <c r="HAK1" s="87"/>
      <c r="HAL1" s="87"/>
      <c r="HAM1" s="87"/>
      <c r="HAN1" s="87"/>
      <c r="HAO1" s="87"/>
      <c r="HAP1" s="87"/>
      <c r="HAQ1" s="87"/>
      <c r="HAR1" s="87"/>
      <c r="HAS1" s="87"/>
      <c r="HAT1" s="87"/>
      <c r="HAU1" s="87"/>
      <c r="HAV1" s="87"/>
      <c r="HAW1" s="87"/>
      <c r="HAX1" s="87"/>
      <c r="HAY1" s="87"/>
      <c r="HAZ1" s="87"/>
      <c r="HBA1" s="87"/>
      <c r="HBB1" s="87"/>
      <c r="HBC1" s="87"/>
      <c r="HBD1" s="87"/>
      <c r="HBE1" s="87"/>
      <c r="HBF1" s="87"/>
      <c r="HBG1" s="87"/>
      <c r="HBH1" s="87"/>
      <c r="HBI1" s="87"/>
      <c r="HBJ1" s="87"/>
      <c r="HBK1" s="87"/>
      <c r="HBL1" s="87"/>
      <c r="HBM1" s="87"/>
      <c r="HBN1" s="87"/>
      <c r="HBO1" s="87"/>
      <c r="HBP1" s="87"/>
      <c r="HBQ1" s="87"/>
      <c r="HBR1" s="87"/>
      <c r="HBS1" s="87"/>
      <c r="HBT1" s="87"/>
      <c r="HBU1" s="87"/>
      <c r="HBV1" s="87"/>
      <c r="HBW1" s="87"/>
      <c r="HBX1" s="87"/>
      <c r="HBY1" s="87"/>
      <c r="HBZ1" s="87"/>
      <c r="HCA1" s="87"/>
      <c r="HCB1" s="87"/>
      <c r="HCC1" s="87"/>
      <c r="HCD1" s="87"/>
      <c r="HCE1" s="87"/>
      <c r="HCF1" s="87"/>
      <c r="HCG1" s="87"/>
      <c r="HCH1" s="87"/>
      <c r="HCI1" s="87"/>
      <c r="HCJ1" s="87"/>
      <c r="HCK1" s="87"/>
      <c r="HCL1" s="87"/>
      <c r="HCM1" s="87"/>
      <c r="HCN1" s="87"/>
      <c r="HCO1" s="87"/>
      <c r="HCP1" s="87"/>
      <c r="HCQ1" s="87"/>
      <c r="HCR1" s="87"/>
      <c r="HCS1" s="87"/>
      <c r="HCT1" s="87"/>
      <c r="HCU1" s="87"/>
      <c r="HCV1" s="87"/>
      <c r="HCW1" s="87"/>
      <c r="HCX1" s="87"/>
      <c r="HCY1" s="87"/>
      <c r="HCZ1" s="87"/>
      <c r="HDA1" s="87"/>
      <c r="HDB1" s="87"/>
      <c r="HDC1" s="87"/>
      <c r="HDD1" s="87"/>
      <c r="HDE1" s="87"/>
      <c r="HDF1" s="87"/>
      <c r="HDG1" s="87"/>
      <c r="HDH1" s="87"/>
      <c r="HDI1" s="87"/>
      <c r="HDJ1" s="87"/>
      <c r="HDK1" s="87"/>
      <c r="HDL1" s="87"/>
      <c r="HDM1" s="87"/>
      <c r="HDN1" s="87"/>
      <c r="HDO1" s="87"/>
      <c r="HDP1" s="87"/>
      <c r="HDQ1" s="87"/>
      <c r="HDR1" s="87"/>
      <c r="HDS1" s="87"/>
      <c r="HDT1" s="87"/>
      <c r="HDU1" s="87"/>
      <c r="HDV1" s="87"/>
      <c r="HDW1" s="87"/>
      <c r="HDX1" s="87"/>
      <c r="HDY1" s="87"/>
      <c r="HDZ1" s="87"/>
      <c r="HEA1" s="87"/>
      <c r="HEB1" s="87"/>
      <c r="HEC1" s="87"/>
      <c r="HED1" s="87"/>
      <c r="HEE1" s="87"/>
      <c r="HEF1" s="87"/>
      <c r="HEG1" s="87"/>
      <c r="HEH1" s="87"/>
      <c r="HEI1" s="87"/>
      <c r="HEJ1" s="87"/>
      <c r="HEK1" s="87"/>
      <c r="HEL1" s="87"/>
      <c r="HEM1" s="87"/>
      <c r="HEN1" s="87"/>
      <c r="HEO1" s="87"/>
      <c r="HEP1" s="87"/>
      <c r="HEQ1" s="87"/>
      <c r="HER1" s="87"/>
      <c r="HES1" s="87"/>
      <c r="HET1" s="87"/>
      <c r="HEU1" s="87"/>
      <c r="HEV1" s="87"/>
      <c r="HEW1" s="87"/>
      <c r="HEX1" s="87"/>
      <c r="HEY1" s="87"/>
      <c r="HEZ1" s="87"/>
      <c r="HFA1" s="87"/>
      <c r="HFB1" s="87"/>
      <c r="HFC1" s="87"/>
      <c r="HFD1" s="87"/>
      <c r="HFE1" s="87"/>
      <c r="HFF1" s="87"/>
      <c r="HFG1" s="87"/>
      <c r="HFH1" s="87"/>
      <c r="HFI1" s="87"/>
      <c r="HFJ1" s="87"/>
      <c r="HFK1" s="87"/>
      <c r="HFL1" s="87"/>
      <c r="HFM1" s="87"/>
      <c r="HFN1" s="87"/>
      <c r="HFO1" s="87"/>
      <c r="HFP1" s="87"/>
      <c r="HFQ1" s="87"/>
      <c r="HFR1" s="87"/>
      <c r="HFS1" s="87"/>
      <c r="HFT1" s="87"/>
      <c r="HFU1" s="87"/>
      <c r="HFV1" s="87"/>
      <c r="HFW1" s="87"/>
      <c r="HFX1" s="87"/>
      <c r="HFY1" s="87"/>
      <c r="HFZ1" s="87"/>
      <c r="HGA1" s="87"/>
      <c r="HGB1" s="87"/>
      <c r="HGC1" s="87"/>
      <c r="HGD1" s="87"/>
      <c r="HGE1" s="87"/>
      <c r="HGF1" s="87"/>
      <c r="HGG1" s="87"/>
      <c r="HGH1" s="87"/>
      <c r="HGI1" s="87"/>
      <c r="HGJ1" s="87"/>
      <c r="HGK1" s="87"/>
      <c r="HGL1" s="87"/>
      <c r="HGM1" s="87"/>
      <c r="HGN1" s="87"/>
      <c r="HGO1" s="87"/>
      <c r="HGP1" s="87"/>
      <c r="HGQ1" s="87"/>
      <c r="HGR1" s="87"/>
      <c r="HGS1" s="87"/>
      <c r="HGT1" s="87"/>
      <c r="HGU1" s="87"/>
      <c r="HGV1" s="87"/>
      <c r="HGW1" s="87"/>
      <c r="HGX1" s="87"/>
      <c r="HGY1" s="87"/>
      <c r="HGZ1" s="87"/>
      <c r="HHA1" s="87"/>
      <c r="HHB1" s="87"/>
      <c r="HHC1" s="87"/>
      <c r="HHD1" s="87"/>
      <c r="HHE1" s="87"/>
      <c r="HHF1" s="87"/>
      <c r="HHG1" s="87"/>
      <c r="HHH1" s="87"/>
      <c r="HHI1" s="87"/>
      <c r="HHJ1" s="87"/>
      <c r="HHK1" s="87"/>
      <c r="HHL1" s="87"/>
      <c r="HHM1" s="87"/>
      <c r="HHN1" s="87"/>
      <c r="HHO1" s="87"/>
      <c r="HHP1" s="87"/>
      <c r="HHQ1" s="87"/>
      <c r="HHR1" s="87"/>
      <c r="HHS1" s="87"/>
      <c r="HHT1" s="87"/>
      <c r="HHU1" s="87"/>
      <c r="HHV1" s="87"/>
      <c r="HHW1" s="87"/>
      <c r="HHX1" s="87"/>
      <c r="HHY1" s="87"/>
      <c r="HHZ1" s="87"/>
      <c r="HIA1" s="87"/>
      <c r="HIB1" s="87"/>
      <c r="HIC1" s="87"/>
      <c r="HID1" s="87"/>
      <c r="HIE1" s="87"/>
      <c r="HIF1" s="87"/>
      <c r="HIG1" s="87"/>
      <c r="HIH1" s="87"/>
      <c r="HII1" s="87"/>
      <c r="HIJ1" s="87"/>
      <c r="HIK1" s="87"/>
      <c r="HIL1" s="87"/>
      <c r="HIM1" s="87"/>
      <c r="HIN1" s="87"/>
      <c r="HIO1" s="87"/>
      <c r="HIP1" s="87"/>
      <c r="HIQ1" s="87"/>
      <c r="HIR1" s="87"/>
      <c r="HIS1" s="87"/>
      <c r="HIT1" s="87"/>
      <c r="HIU1" s="87"/>
      <c r="HIV1" s="87"/>
      <c r="HIW1" s="87"/>
      <c r="HIX1" s="87"/>
      <c r="HIY1" s="87"/>
      <c r="HIZ1" s="87"/>
      <c r="HJA1" s="87"/>
      <c r="HJB1" s="87"/>
      <c r="HJC1" s="87"/>
      <c r="HJD1" s="87"/>
      <c r="HJE1" s="87"/>
      <c r="HJF1" s="87"/>
      <c r="HJG1" s="87"/>
      <c r="HJH1" s="87"/>
      <c r="HJI1" s="87"/>
      <c r="HJJ1" s="87"/>
      <c r="HJK1" s="87"/>
      <c r="HJL1" s="87"/>
      <c r="HJM1" s="87"/>
      <c r="HJN1" s="87"/>
      <c r="HJO1" s="87"/>
      <c r="HJP1" s="87"/>
      <c r="HJQ1" s="87"/>
      <c r="HJR1" s="87"/>
      <c r="HJS1" s="87"/>
      <c r="HJT1" s="87"/>
      <c r="HJU1" s="87"/>
      <c r="HJV1" s="87"/>
      <c r="HJW1" s="87"/>
      <c r="HJX1" s="87"/>
      <c r="HJY1" s="87"/>
      <c r="HJZ1" s="87"/>
      <c r="HKA1" s="87"/>
      <c r="HKB1" s="87"/>
      <c r="HKC1" s="87"/>
      <c r="HKD1" s="87"/>
      <c r="HKE1" s="87"/>
      <c r="HKF1" s="87"/>
      <c r="HKG1" s="87"/>
      <c r="HKH1" s="87"/>
      <c r="HKI1" s="87"/>
      <c r="HKJ1" s="87"/>
      <c r="HKK1" s="87"/>
      <c r="HKL1" s="87"/>
      <c r="HKM1" s="87"/>
      <c r="HKN1" s="87"/>
      <c r="HKO1" s="87"/>
      <c r="HKP1" s="87"/>
      <c r="HKQ1" s="87"/>
      <c r="HKR1" s="87"/>
      <c r="HKS1" s="87"/>
      <c r="HKT1" s="87"/>
      <c r="HKU1" s="87"/>
      <c r="HKV1" s="87"/>
      <c r="HKW1" s="87"/>
      <c r="HKX1" s="87"/>
      <c r="HKY1" s="87"/>
      <c r="HKZ1" s="87"/>
      <c r="HLA1" s="87"/>
      <c r="HLB1" s="87"/>
      <c r="HLC1" s="87"/>
      <c r="HLD1" s="87"/>
      <c r="HLE1" s="87"/>
      <c r="HLF1" s="87"/>
      <c r="HLG1" s="87"/>
      <c r="HLH1" s="87"/>
      <c r="HLI1" s="87"/>
      <c r="HLJ1" s="87"/>
      <c r="HLK1" s="87"/>
      <c r="HLL1" s="87"/>
      <c r="HLM1" s="87"/>
      <c r="HLN1" s="87"/>
      <c r="HLO1" s="87"/>
      <c r="HLP1" s="87"/>
      <c r="HLQ1" s="87"/>
      <c r="HLR1" s="87"/>
      <c r="HLS1" s="87"/>
      <c r="HLT1" s="87"/>
      <c r="HLU1" s="87"/>
      <c r="HLV1" s="87"/>
      <c r="HLW1" s="87"/>
      <c r="HLX1" s="87"/>
      <c r="HLY1" s="87"/>
      <c r="HLZ1" s="87"/>
      <c r="HMA1" s="87"/>
      <c r="HMB1" s="87"/>
      <c r="HMC1" s="87"/>
      <c r="HMD1" s="87"/>
      <c r="HME1" s="87"/>
      <c r="HMF1" s="87"/>
      <c r="HMG1" s="87"/>
      <c r="HMH1" s="87"/>
      <c r="HMI1" s="87"/>
      <c r="HMJ1" s="87"/>
      <c r="HMK1" s="87"/>
      <c r="HML1" s="87"/>
      <c r="HMM1" s="87"/>
      <c r="HMN1" s="87"/>
      <c r="HMO1" s="87"/>
      <c r="HMP1" s="87"/>
      <c r="HMQ1" s="87"/>
      <c r="HMR1" s="87"/>
      <c r="HMS1" s="87"/>
      <c r="HMT1" s="87"/>
      <c r="HMU1" s="87"/>
      <c r="HMV1" s="87"/>
      <c r="HMW1" s="87"/>
      <c r="HMX1" s="87"/>
      <c r="HMY1" s="87"/>
      <c r="HMZ1" s="87"/>
      <c r="HNA1" s="87"/>
      <c r="HNB1" s="87"/>
      <c r="HNC1" s="87"/>
      <c r="HND1" s="87"/>
      <c r="HNE1" s="87"/>
      <c r="HNF1" s="87"/>
      <c r="HNG1" s="87"/>
      <c r="HNH1" s="87"/>
      <c r="HNI1" s="87"/>
      <c r="HNJ1" s="87"/>
      <c r="HNK1" s="87"/>
      <c r="HNL1" s="87"/>
      <c r="HNM1" s="87"/>
      <c r="HNN1" s="87"/>
      <c r="HNO1" s="87"/>
      <c r="HNP1" s="87"/>
      <c r="HNQ1" s="87"/>
      <c r="HNR1" s="87"/>
      <c r="HNS1" s="87"/>
      <c r="HNT1" s="87"/>
      <c r="HNU1" s="87"/>
      <c r="HNV1" s="87"/>
      <c r="HNW1" s="87"/>
      <c r="HNX1" s="87"/>
      <c r="HNY1" s="87"/>
      <c r="HNZ1" s="87"/>
      <c r="HOA1" s="87"/>
      <c r="HOB1" s="87"/>
      <c r="HOC1" s="87"/>
      <c r="HOD1" s="87"/>
      <c r="HOE1" s="87"/>
      <c r="HOF1" s="87"/>
      <c r="HOG1" s="87"/>
      <c r="HOH1" s="87"/>
      <c r="HOI1" s="87"/>
      <c r="HOJ1" s="87"/>
      <c r="HOK1" s="87"/>
      <c r="HOL1" s="87"/>
      <c r="HOM1" s="87"/>
      <c r="HON1" s="87"/>
      <c r="HOO1" s="87"/>
      <c r="HOP1" s="87"/>
      <c r="HOQ1" s="87"/>
      <c r="HOR1" s="87"/>
      <c r="HOS1" s="87"/>
      <c r="HOT1" s="87"/>
      <c r="HOU1" s="87"/>
      <c r="HOV1" s="87"/>
      <c r="HOW1" s="87"/>
      <c r="HOX1" s="87"/>
      <c r="HOY1" s="87"/>
      <c r="HOZ1" s="87"/>
      <c r="HPA1" s="87"/>
      <c r="HPB1" s="87"/>
      <c r="HPC1" s="87"/>
      <c r="HPD1" s="87"/>
      <c r="HPE1" s="87"/>
      <c r="HPF1" s="87"/>
      <c r="HPG1" s="87"/>
      <c r="HPH1" s="87"/>
      <c r="HPI1" s="87"/>
      <c r="HPJ1" s="87"/>
      <c r="HPK1" s="87"/>
      <c r="HPL1" s="87"/>
      <c r="HPM1" s="87"/>
      <c r="HPN1" s="87"/>
      <c r="HPO1" s="87"/>
      <c r="HPP1" s="87"/>
      <c r="HPQ1" s="87"/>
      <c r="HPR1" s="87"/>
      <c r="HPS1" s="87"/>
      <c r="HPT1" s="87"/>
      <c r="HPU1" s="87"/>
      <c r="HPV1" s="87"/>
      <c r="HPW1" s="87"/>
      <c r="HPX1" s="87"/>
      <c r="HPY1" s="87"/>
      <c r="HPZ1" s="87"/>
      <c r="HQA1" s="87"/>
      <c r="HQB1" s="87"/>
      <c r="HQC1" s="87"/>
      <c r="HQD1" s="87"/>
      <c r="HQE1" s="87"/>
      <c r="HQF1" s="87"/>
      <c r="HQG1" s="87"/>
      <c r="HQH1" s="87"/>
      <c r="HQI1" s="87"/>
      <c r="HQJ1" s="87"/>
      <c r="HQK1" s="87"/>
      <c r="HQL1" s="87"/>
      <c r="HQM1" s="87"/>
      <c r="HQN1" s="87"/>
      <c r="HQO1" s="87"/>
      <c r="HQP1" s="87"/>
      <c r="HQQ1" s="87"/>
      <c r="HQR1" s="87"/>
      <c r="HQS1" s="87"/>
      <c r="HQT1" s="87"/>
      <c r="HQU1" s="87"/>
      <c r="HQV1" s="87"/>
      <c r="HQW1" s="87"/>
      <c r="HQX1" s="87"/>
      <c r="HQY1" s="87"/>
      <c r="HQZ1" s="87"/>
      <c r="HRA1" s="87"/>
      <c r="HRB1" s="87"/>
      <c r="HRC1" s="87"/>
      <c r="HRD1" s="87"/>
      <c r="HRE1" s="87"/>
      <c r="HRF1" s="87"/>
      <c r="HRG1" s="87"/>
      <c r="HRH1" s="87"/>
      <c r="HRI1" s="87"/>
      <c r="HRJ1" s="87"/>
      <c r="HRK1" s="87"/>
      <c r="HRL1" s="87"/>
      <c r="HRM1" s="87"/>
      <c r="HRN1" s="87"/>
      <c r="HRO1" s="87"/>
      <c r="HRP1" s="87"/>
      <c r="HRQ1" s="87"/>
      <c r="HRR1" s="87"/>
      <c r="HRS1" s="87"/>
      <c r="HRT1" s="87"/>
      <c r="HRU1" s="87"/>
      <c r="HRV1" s="87"/>
      <c r="HRW1" s="87"/>
      <c r="HRX1" s="87"/>
      <c r="HRY1" s="87"/>
      <c r="HRZ1" s="87"/>
      <c r="HSA1" s="87"/>
      <c r="HSB1" s="87"/>
      <c r="HSC1" s="87"/>
      <c r="HSD1" s="87"/>
      <c r="HSE1" s="87"/>
      <c r="HSF1" s="87"/>
      <c r="HSG1" s="87"/>
      <c r="HSH1" s="87"/>
      <c r="HSI1" s="87"/>
      <c r="HSJ1" s="87"/>
      <c r="HSK1" s="87"/>
      <c r="HSL1" s="87"/>
      <c r="HSM1" s="87"/>
      <c r="HSN1" s="87"/>
      <c r="HSO1" s="87"/>
      <c r="HSP1" s="87"/>
      <c r="HSQ1" s="87"/>
      <c r="HSR1" s="87"/>
      <c r="HSS1" s="87"/>
      <c r="HST1" s="87"/>
      <c r="HSU1" s="87"/>
      <c r="HSV1" s="87"/>
      <c r="HSW1" s="87"/>
      <c r="HSX1" s="87"/>
      <c r="HSY1" s="87"/>
      <c r="HSZ1" s="87"/>
      <c r="HTA1" s="87"/>
      <c r="HTB1" s="87"/>
      <c r="HTC1" s="87"/>
      <c r="HTD1" s="87"/>
      <c r="HTE1" s="87"/>
      <c r="HTF1" s="87"/>
      <c r="HTG1" s="87"/>
      <c r="HTH1" s="87"/>
      <c r="HTI1" s="87"/>
      <c r="HTJ1" s="87"/>
      <c r="HTK1" s="87"/>
      <c r="HTL1" s="87"/>
      <c r="HTM1" s="87"/>
      <c r="HTN1" s="87"/>
      <c r="HTO1" s="87"/>
      <c r="HTP1" s="87"/>
      <c r="HTQ1" s="87"/>
      <c r="HTR1" s="87"/>
      <c r="HTS1" s="87"/>
      <c r="HTT1" s="87"/>
      <c r="HTU1" s="87"/>
      <c r="HTV1" s="87"/>
      <c r="HTW1" s="87"/>
      <c r="HTX1" s="87"/>
      <c r="HTY1" s="87"/>
      <c r="HTZ1" s="87"/>
      <c r="HUA1" s="87"/>
      <c r="HUB1" s="87"/>
      <c r="HUC1" s="87"/>
      <c r="HUD1" s="87"/>
      <c r="HUE1" s="87"/>
      <c r="HUF1" s="87"/>
      <c r="HUG1" s="87"/>
      <c r="HUH1" s="87"/>
      <c r="HUI1" s="87"/>
      <c r="HUJ1" s="87"/>
      <c r="HUK1" s="87"/>
      <c r="HUL1" s="87"/>
      <c r="HUM1" s="87"/>
      <c r="HUN1" s="87"/>
      <c r="HUO1" s="87"/>
      <c r="HUP1" s="87"/>
      <c r="HUQ1" s="87"/>
      <c r="HUR1" s="87"/>
      <c r="HUS1" s="87"/>
      <c r="HUT1" s="87"/>
      <c r="HUU1" s="87"/>
      <c r="HUV1" s="87"/>
      <c r="HUW1" s="87"/>
      <c r="HUX1" s="87"/>
      <c r="HUY1" s="87"/>
      <c r="HUZ1" s="87"/>
      <c r="HVA1" s="87"/>
      <c r="HVB1" s="87"/>
      <c r="HVC1" s="87"/>
      <c r="HVD1" s="87"/>
      <c r="HVE1" s="87"/>
      <c r="HVF1" s="87"/>
      <c r="HVG1" s="87"/>
      <c r="HVH1" s="87"/>
      <c r="HVI1" s="87"/>
      <c r="HVJ1" s="87"/>
      <c r="HVK1" s="87"/>
      <c r="HVL1" s="87"/>
      <c r="HVM1" s="87"/>
      <c r="HVN1" s="87"/>
      <c r="HVO1" s="87"/>
      <c r="HVP1" s="87"/>
      <c r="HVQ1" s="87"/>
      <c r="HVR1" s="87"/>
      <c r="HVS1" s="87"/>
      <c r="HVT1" s="87"/>
      <c r="HVU1" s="87"/>
      <c r="HVV1" s="87"/>
      <c r="HVW1" s="87"/>
      <c r="HVX1" s="87"/>
      <c r="HVY1" s="87"/>
      <c r="HVZ1" s="87"/>
      <c r="HWA1" s="87"/>
      <c r="HWB1" s="87"/>
      <c r="HWC1" s="87"/>
      <c r="HWD1" s="87"/>
      <c r="HWE1" s="87"/>
      <c r="HWF1" s="87"/>
      <c r="HWG1" s="87"/>
      <c r="HWH1" s="87"/>
      <c r="HWI1" s="87"/>
      <c r="HWJ1" s="87"/>
      <c r="HWK1" s="87"/>
      <c r="HWL1" s="87"/>
      <c r="HWM1" s="87"/>
      <c r="HWN1" s="87"/>
      <c r="HWO1" s="87"/>
      <c r="HWP1" s="87"/>
      <c r="HWQ1" s="87"/>
      <c r="HWR1" s="87"/>
      <c r="HWS1" s="87"/>
      <c r="HWT1" s="87"/>
      <c r="HWU1" s="87"/>
      <c r="HWV1" s="87"/>
      <c r="HWW1" s="87"/>
      <c r="HWX1" s="87"/>
      <c r="HWY1" s="87"/>
      <c r="HWZ1" s="87"/>
      <c r="HXA1" s="87"/>
      <c r="HXB1" s="87"/>
      <c r="HXC1" s="87"/>
      <c r="HXD1" s="87"/>
      <c r="HXE1" s="87"/>
      <c r="HXF1" s="87"/>
      <c r="HXG1" s="87"/>
      <c r="HXH1" s="87"/>
      <c r="HXI1" s="87"/>
      <c r="HXJ1" s="87"/>
      <c r="HXK1" s="87"/>
      <c r="HXL1" s="87"/>
      <c r="HXM1" s="87"/>
      <c r="HXN1" s="87"/>
      <c r="HXO1" s="87"/>
      <c r="HXP1" s="87"/>
      <c r="HXQ1" s="87"/>
      <c r="HXR1" s="87"/>
      <c r="HXS1" s="87"/>
      <c r="HXT1" s="87"/>
      <c r="HXU1" s="87"/>
      <c r="HXV1" s="87"/>
      <c r="HXW1" s="87"/>
      <c r="HXX1" s="87"/>
      <c r="HXY1" s="87"/>
      <c r="HXZ1" s="87"/>
      <c r="HYA1" s="87"/>
      <c r="HYB1" s="87"/>
      <c r="HYC1" s="87"/>
      <c r="HYD1" s="87"/>
      <c r="HYE1" s="87"/>
      <c r="HYF1" s="87"/>
      <c r="HYG1" s="87"/>
      <c r="HYH1" s="87"/>
      <c r="HYI1" s="87"/>
      <c r="HYJ1" s="87"/>
      <c r="HYK1" s="87"/>
      <c r="HYL1" s="87"/>
      <c r="HYM1" s="87"/>
      <c r="HYN1" s="87"/>
      <c r="HYO1" s="87"/>
      <c r="HYP1" s="87"/>
      <c r="HYQ1" s="87"/>
      <c r="HYR1" s="87"/>
      <c r="HYS1" s="87"/>
      <c r="HYT1" s="87"/>
      <c r="HYU1" s="87"/>
      <c r="HYV1" s="87"/>
      <c r="HYW1" s="87"/>
      <c r="HYX1" s="87"/>
      <c r="HYY1" s="87"/>
      <c r="HYZ1" s="87"/>
      <c r="HZA1" s="87"/>
      <c r="HZB1" s="87"/>
      <c r="HZC1" s="87"/>
      <c r="HZD1" s="87"/>
      <c r="HZE1" s="87"/>
      <c r="HZF1" s="87"/>
      <c r="HZG1" s="87"/>
      <c r="HZH1" s="87"/>
      <c r="HZI1" s="87"/>
      <c r="HZJ1" s="87"/>
      <c r="HZK1" s="87"/>
      <c r="HZL1" s="87"/>
      <c r="HZM1" s="87"/>
      <c r="HZN1" s="87"/>
      <c r="HZO1" s="87"/>
      <c r="HZP1" s="87"/>
      <c r="HZQ1" s="87"/>
      <c r="HZR1" s="87"/>
      <c r="HZS1" s="87"/>
      <c r="HZT1" s="87"/>
      <c r="HZU1" s="87"/>
      <c r="HZV1" s="87"/>
      <c r="HZW1" s="87"/>
      <c r="HZX1" s="87"/>
      <c r="HZY1" s="87"/>
      <c r="HZZ1" s="87"/>
      <c r="IAA1" s="87"/>
      <c r="IAB1" s="87"/>
      <c r="IAC1" s="87"/>
      <c r="IAD1" s="87"/>
      <c r="IAE1" s="87"/>
      <c r="IAF1" s="87"/>
      <c r="IAG1" s="87"/>
      <c r="IAH1" s="87"/>
      <c r="IAI1" s="87"/>
      <c r="IAJ1" s="87"/>
      <c r="IAK1" s="87"/>
      <c r="IAL1" s="87"/>
      <c r="IAM1" s="87"/>
      <c r="IAN1" s="87"/>
      <c r="IAO1" s="87"/>
      <c r="IAP1" s="87"/>
      <c r="IAQ1" s="87"/>
      <c r="IAR1" s="87"/>
      <c r="IAS1" s="87"/>
      <c r="IAT1" s="87"/>
      <c r="IAU1" s="87"/>
      <c r="IAV1" s="87"/>
      <c r="IAW1" s="87"/>
      <c r="IAX1" s="87"/>
      <c r="IAY1" s="87"/>
      <c r="IAZ1" s="87"/>
      <c r="IBA1" s="87"/>
      <c r="IBB1" s="87"/>
      <c r="IBC1" s="87"/>
      <c r="IBD1" s="87"/>
      <c r="IBE1" s="87"/>
      <c r="IBF1" s="87"/>
      <c r="IBG1" s="87"/>
      <c r="IBH1" s="87"/>
      <c r="IBI1" s="87"/>
      <c r="IBJ1" s="87"/>
      <c r="IBK1" s="87"/>
      <c r="IBL1" s="87"/>
      <c r="IBM1" s="87"/>
      <c r="IBN1" s="87"/>
      <c r="IBO1" s="87"/>
      <c r="IBP1" s="87"/>
      <c r="IBQ1" s="87"/>
      <c r="IBR1" s="87"/>
      <c r="IBS1" s="87"/>
      <c r="IBT1" s="87"/>
      <c r="IBU1" s="87"/>
      <c r="IBV1" s="87"/>
      <c r="IBW1" s="87"/>
      <c r="IBX1" s="87"/>
      <c r="IBY1" s="87"/>
      <c r="IBZ1" s="87"/>
      <c r="ICA1" s="87"/>
      <c r="ICB1" s="87"/>
      <c r="ICC1" s="87"/>
      <c r="ICD1" s="87"/>
      <c r="ICE1" s="87"/>
      <c r="ICF1" s="87"/>
      <c r="ICG1" s="87"/>
      <c r="ICH1" s="87"/>
      <c r="ICI1" s="87"/>
      <c r="ICJ1" s="87"/>
      <c r="ICK1" s="87"/>
      <c r="ICL1" s="87"/>
      <c r="ICM1" s="87"/>
      <c r="ICN1" s="87"/>
      <c r="ICO1" s="87"/>
      <c r="ICP1" s="87"/>
      <c r="ICQ1" s="87"/>
      <c r="ICR1" s="87"/>
      <c r="ICS1" s="87"/>
      <c r="ICT1" s="87"/>
      <c r="ICU1" s="87"/>
      <c r="ICV1" s="87"/>
      <c r="ICW1" s="87"/>
      <c r="ICX1" s="87"/>
      <c r="ICY1" s="87"/>
      <c r="ICZ1" s="87"/>
      <c r="IDA1" s="87"/>
      <c r="IDB1" s="87"/>
      <c r="IDC1" s="87"/>
      <c r="IDD1" s="87"/>
      <c r="IDE1" s="87"/>
      <c r="IDF1" s="87"/>
      <c r="IDG1" s="87"/>
      <c r="IDH1" s="87"/>
      <c r="IDI1" s="87"/>
      <c r="IDJ1" s="87"/>
      <c r="IDK1" s="87"/>
      <c r="IDL1" s="87"/>
      <c r="IDM1" s="87"/>
      <c r="IDN1" s="87"/>
      <c r="IDO1" s="87"/>
      <c r="IDP1" s="87"/>
      <c r="IDQ1" s="87"/>
      <c r="IDR1" s="87"/>
      <c r="IDS1" s="87"/>
      <c r="IDT1" s="87"/>
      <c r="IDU1" s="87"/>
      <c r="IDV1" s="87"/>
      <c r="IDW1" s="87"/>
      <c r="IDX1" s="87"/>
      <c r="IDY1" s="87"/>
      <c r="IDZ1" s="87"/>
      <c r="IEA1" s="87"/>
      <c r="IEB1" s="87"/>
      <c r="IEC1" s="87"/>
      <c r="IED1" s="87"/>
      <c r="IEE1" s="87"/>
      <c r="IEF1" s="87"/>
      <c r="IEG1" s="87"/>
      <c r="IEH1" s="87"/>
      <c r="IEI1" s="87"/>
      <c r="IEJ1" s="87"/>
      <c r="IEK1" s="87"/>
      <c r="IEL1" s="87"/>
      <c r="IEM1" s="87"/>
      <c r="IEN1" s="87"/>
      <c r="IEO1" s="87"/>
      <c r="IEP1" s="87"/>
      <c r="IEQ1" s="87"/>
      <c r="IER1" s="87"/>
      <c r="IES1" s="87"/>
      <c r="IET1" s="87"/>
      <c r="IEU1" s="87"/>
      <c r="IEV1" s="87"/>
      <c r="IEW1" s="87"/>
      <c r="IEX1" s="87"/>
      <c r="IEY1" s="87"/>
      <c r="IEZ1" s="87"/>
      <c r="IFA1" s="87"/>
      <c r="IFB1" s="87"/>
      <c r="IFC1" s="87"/>
      <c r="IFD1" s="87"/>
      <c r="IFE1" s="87"/>
      <c r="IFF1" s="87"/>
      <c r="IFG1" s="87"/>
      <c r="IFH1" s="87"/>
      <c r="IFI1" s="87"/>
      <c r="IFJ1" s="87"/>
      <c r="IFK1" s="87"/>
      <c r="IFL1" s="87"/>
      <c r="IFM1" s="87"/>
      <c r="IFN1" s="87"/>
      <c r="IFO1" s="87"/>
      <c r="IFP1" s="87"/>
      <c r="IFQ1" s="87"/>
      <c r="IFR1" s="87"/>
      <c r="IFS1" s="87"/>
      <c r="IFT1" s="87"/>
      <c r="IFU1" s="87"/>
      <c r="IFV1" s="87"/>
      <c r="IFW1" s="87"/>
      <c r="IFX1" s="87"/>
      <c r="IFY1" s="87"/>
      <c r="IFZ1" s="87"/>
      <c r="IGA1" s="87"/>
      <c r="IGB1" s="87"/>
      <c r="IGC1" s="87"/>
      <c r="IGD1" s="87"/>
      <c r="IGE1" s="87"/>
      <c r="IGF1" s="87"/>
      <c r="IGG1" s="87"/>
      <c r="IGH1" s="87"/>
      <c r="IGI1" s="87"/>
      <c r="IGJ1" s="87"/>
      <c r="IGK1" s="87"/>
      <c r="IGL1" s="87"/>
      <c r="IGM1" s="87"/>
      <c r="IGN1" s="87"/>
      <c r="IGO1" s="87"/>
      <c r="IGP1" s="87"/>
      <c r="IGQ1" s="87"/>
      <c r="IGR1" s="87"/>
      <c r="IGS1" s="87"/>
      <c r="IGT1" s="87"/>
      <c r="IGU1" s="87"/>
      <c r="IGV1" s="87"/>
      <c r="IGW1" s="87"/>
      <c r="IGX1" s="87"/>
      <c r="IGY1" s="87"/>
      <c r="IGZ1" s="87"/>
      <c r="IHA1" s="87"/>
      <c r="IHB1" s="87"/>
      <c r="IHC1" s="87"/>
      <c r="IHD1" s="87"/>
      <c r="IHE1" s="87"/>
      <c r="IHF1" s="87"/>
      <c r="IHG1" s="87"/>
      <c r="IHH1" s="87"/>
      <c r="IHI1" s="87"/>
      <c r="IHJ1" s="87"/>
      <c r="IHK1" s="87"/>
      <c r="IHL1" s="87"/>
      <c r="IHM1" s="87"/>
      <c r="IHN1" s="87"/>
      <c r="IHO1" s="87"/>
      <c r="IHP1" s="87"/>
      <c r="IHQ1" s="87"/>
      <c r="IHR1" s="87"/>
      <c r="IHS1" s="87"/>
      <c r="IHT1" s="87"/>
      <c r="IHU1" s="87"/>
      <c r="IHV1" s="87"/>
      <c r="IHW1" s="87"/>
      <c r="IHX1" s="87"/>
      <c r="IHY1" s="87"/>
      <c r="IHZ1" s="87"/>
      <c r="IIA1" s="87"/>
      <c r="IIB1" s="87"/>
      <c r="IIC1" s="87"/>
      <c r="IID1" s="87"/>
      <c r="IIE1" s="87"/>
      <c r="IIF1" s="87"/>
      <c r="IIG1" s="87"/>
      <c r="IIH1" s="87"/>
      <c r="III1" s="87"/>
      <c r="IIJ1" s="87"/>
      <c r="IIK1" s="87"/>
      <c r="IIL1" s="87"/>
      <c r="IIM1" s="87"/>
      <c r="IIN1" s="87"/>
      <c r="IIO1" s="87"/>
      <c r="IIP1" s="87"/>
      <c r="IIQ1" s="87"/>
      <c r="IIR1" s="87"/>
      <c r="IIS1" s="87"/>
      <c r="IIT1" s="87"/>
      <c r="IIU1" s="87"/>
      <c r="IIV1" s="87"/>
      <c r="IIW1" s="87"/>
      <c r="IIX1" s="87"/>
      <c r="IIY1" s="87"/>
      <c r="IIZ1" s="87"/>
      <c r="IJA1" s="87"/>
      <c r="IJB1" s="87"/>
      <c r="IJC1" s="87"/>
      <c r="IJD1" s="87"/>
      <c r="IJE1" s="87"/>
      <c r="IJF1" s="87"/>
      <c r="IJG1" s="87"/>
      <c r="IJH1" s="87"/>
      <c r="IJI1" s="87"/>
      <c r="IJJ1" s="87"/>
      <c r="IJK1" s="87"/>
      <c r="IJL1" s="87"/>
      <c r="IJM1" s="87"/>
      <c r="IJN1" s="87"/>
      <c r="IJO1" s="87"/>
      <c r="IJP1" s="87"/>
      <c r="IJQ1" s="87"/>
      <c r="IJR1" s="87"/>
      <c r="IJS1" s="87"/>
      <c r="IJT1" s="87"/>
      <c r="IJU1" s="87"/>
      <c r="IJV1" s="87"/>
      <c r="IJW1" s="87"/>
      <c r="IJX1" s="87"/>
      <c r="IJY1" s="87"/>
      <c r="IJZ1" s="87"/>
      <c r="IKA1" s="87"/>
      <c r="IKB1" s="87"/>
      <c r="IKC1" s="87"/>
      <c r="IKD1" s="87"/>
      <c r="IKE1" s="87"/>
      <c r="IKF1" s="87"/>
      <c r="IKG1" s="87"/>
      <c r="IKH1" s="87"/>
      <c r="IKI1" s="87"/>
      <c r="IKJ1" s="87"/>
      <c r="IKK1" s="87"/>
      <c r="IKL1" s="87"/>
      <c r="IKM1" s="87"/>
      <c r="IKN1" s="87"/>
      <c r="IKO1" s="87"/>
      <c r="IKP1" s="87"/>
      <c r="IKQ1" s="87"/>
      <c r="IKR1" s="87"/>
      <c r="IKS1" s="87"/>
      <c r="IKT1" s="87"/>
      <c r="IKU1" s="87"/>
      <c r="IKV1" s="87"/>
      <c r="IKW1" s="87"/>
      <c r="IKX1" s="87"/>
      <c r="IKY1" s="87"/>
      <c r="IKZ1" s="87"/>
      <c r="ILA1" s="87"/>
      <c r="ILB1" s="87"/>
      <c r="ILC1" s="87"/>
      <c r="ILD1" s="87"/>
      <c r="ILE1" s="87"/>
      <c r="ILF1" s="87"/>
      <c r="ILG1" s="87"/>
      <c r="ILH1" s="87"/>
      <c r="ILI1" s="87"/>
      <c r="ILJ1" s="87"/>
      <c r="ILK1" s="87"/>
      <c r="ILL1" s="87"/>
      <c r="ILM1" s="87"/>
      <c r="ILN1" s="87"/>
      <c r="ILO1" s="87"/>
      <c r="ILP1" s="87"/>
      <c r="ILQ1" s="87"/>
      <c r="ILR1" s="87"/>
      <c r="ILS1" s="87"/>
      <c r="ILT1" s="87"/>
      <c r="ILU1" s="87"/>
      <c r="ILV1" s="87"/>
      <c r="ILW1" s="87"/>
      <c r="ILX1" s="87"/>
      <c r="ILY1" s="87"/>
      <c r="ILZ1" s="87"/>
      <c r="IMA1" s="87"/>
      <c r="IMB1" s="87"/>
      <c r="IMC1" s="87"/>
      <c r="IMD1" s="87"/>
      <c r="IME1" s="87"/>
      <c r="IMF1" s="87"/>
      <c r="IMG1" s="87"/>
      <c r="IMH1" s="87"/>
      <c r="IMI1" s="87"/>
      <c r="IMJ1" s="87"/>
      <c r="IMK1" s="87"/>
      <c r="IML1" s="87"/>
      <c r="IMM1" s="87"/>
      <c r="IMN1" s="87"/>
      <c r="IMO1" s="87"/>
      <c r="IMP1" s="87"/>
      <c r="IMQ1" s="87"/>
      <c r="IMR1" s="87"/>
      <c r="IMS1" s="87"/>
      <c r="IMT1" s="87"/>
      <c r="IMU1" s="87"/>
      <c r="IMV1" s="87"/>
      <c r="IMW1" s="87"/>
      <c r="IMX1" s="87"/>
      <c r="IMY1" s="87"/>
      <c r="IMZ1" s="87"/>
      <c r="INA1" s="87"/>
      <c r="INB1" s="87"/>
      <c r="INC1" s="87"/>
      <c r="IND1" s="87"/>
      <c r="INE1" s="87"/>
      <c r="INF1" s="87"/>
      <c r="ING1" s="87"/>
      <c r="INH1" s="87"/>
      <c r="INI1" s="87"/>
      <c r="INJ1" s="87"/>
      <c r="INK1" s="87"/>
      <c r="INL1" s="87"/>
      <c r="INM1" s="87"/>
      <c r="INN1" s="87"/>
      <c r="INO1" s="87"/>
      <c r="INP1" s="87"/>
      <c r="INQ1" s="87"/>
      <c r="INR1" s="87"/>
      <c r="INS1" s="87"/>
      <c r="INT1" s="87"/>
      <c r="INU1" s="87"/>
      <c r="INV1" s="87"/>
      <c r="INW1" s="87"/>
      <c r="INX1" s="87"/>
      <c r="INY1" s="87"/>
      <c r="INZ1" s="87"/>
      <c r="IOA1" s="87"/>
      <c r="IOB1" s="87"/>
      <c r="IOC1" s="87"/>
      <c r="IOD1" s="87"/>
      <c r="IOE1" s="87"/>
      <c r="IOF1" s="87"/>
      <c r="IOG1" s="87"/>
      <c r="IOH1" s="87"/>
      <c r="IOI1" s="87"/>
      <c r="IOJ1" s="87"/>
      <c r="IOK1" s="87"/>
      <c r="IOL1" s="87"/>
      <c r="IOM1" s="87"/>
      <c r="ION1" s="87"/>
      <c r="IOO1" s="87"/>
      <c r="IOP1" s="87"/>
      <c r="IOQ1" s="87"/>
      <c r="IOR1" s="87"/>
      <c r="IOS1" s="87"/>
      <c r="IOT1" s="87"/>
      <c r="IOU1" s="87"/>
      <c r="IOV1" s="87"/>
      <c r="IOW1" s="87"/>
      <c r="IOX1" s="87"/>
      <c r="IOY1" s="87"/>
      <c r="IOZ1" s="87"/>
      <c r="IPA1" s="87"/>
      <c r="IPB1" s="87"/>
      <c r="IPC1" s="87"/>
      <c r="IPD1" s="87"/>
      <c r="IPE1" s="87"/>
      <c r="IPF1" s="87"/>
      <c r="IPG1" s="87"/>
      <c r="IPH1" s="87"/>
      <c r="IPI1" s="87"/>
      <c r="IPJ1" s="87"/>
      <c r="IPK1" s="87"/>
      <c r="IPL1" s="87"/>
      <c r="IPM1" s="87"/>
      <c r="IPN1" s="87"/>
      <c r="IPO1" s="87"/>
      <c r="IPP1" s="87"/>
      <c r="IPQ1" s="87"/>
      <c r="IPR1" s="87"/>
      <c r="IPS1" s="87"/>
      <c r="IPT1" s="87"/>
      <c r="IPU1" s="87"/>
      <c r="IPV1" s="87"/>
      <c r="IPW1" s="87"/>
      <c r="IPX1" s="87"/>
      <c r="IPY1" s="87"/>
      <c r="IPZ1" s="87"/>
      <c r="IQA1" s="87"/>
      <c r="IQB1" s="87"/>
      <c r="IQC1" s="87"/>
      <c r="IQD1" s="87"/>
      <c r="IQE1" s="87"/>
      <c r="IQF1" s="87"/>
      <c r="IQG1" s="87"/>
      <c r="IQH1" s="87"/>
      <c r="IQI1" s="87"/>
      <c r="IQJ1" s="87"/>
      <c r="IQK1" s="87"/>
      <c r="IQL1" s="87"/>
      <c r="IQM1" s="87"/>
      <c r="IQN1" s="87"/>
      <c r="IQO1" s="87"/>
      <c r="IQP1" s="87"/>
      <c r="IQQ1" s="87"/>
      <c r="IQR1" s="87"/>
      <c r="IQS1" s="87"/>
      <c r="IQT1" s="87"/>
      <c r="IQU1" s="87"/>
      <c r="IQV1" s="87"/>
      <c r="IQW1" s="87"/>
      <c r="IQX1" s="87"/>
      <c r="IQY1" s="87"/>
      <c r="IQZ1" s="87"/>
      <c r="IRA1" s="87"/>
      <c r="IRB1" s="87"/>
      <c r="IRC1" s="87"/>
      <c r="IRD1" s="87"/>
      <c r="IRE1" s="87"/>
      <c r="IRF1" s="87"/>
      <c r="IRG1" s="87"/>
      <c r="IRH1" s="87"/>
      <c r="IRI1" s="87"/>
      <c r="IRJ1" s="87"/>
      <c r="IRK1" s="87"/>
      <c r="IRL1" s="87"/>
      <c r="IRM1" s="87"/>
      <c r="IRN1" s="87"/>
      <c r="IRO1" s="87"/>
      <c r="IRP1" s="87"/>
      <c r="IRQ1" s="87"/>
      <c r="IRR1" s="87"/>
      <c r="IRS1" s="87"/>
      <c r="IRT1" s="87"/>
      <c r="IRU1" s="87"/>
      <c r="IRV1" s="87"/>
      <c r="IRW1" s="87"/>
      <c r="IRX1" s="87"/>
      <c r="IRY1" s="87"/>
      <c r="IRZ1" s="87"/>
      <c r="ISA1" s="87"/>
      <c r="ISB1" s="87"/>
      <c r="ISC1" s="87"/>
      <c r="ISD1" s="87"/>
      <c r="ISE1" s="87"/>
      <c r="ISF1" s="87"/>
      <c r="ISG1" s="87"/>
      <c r="ISH1" s="87"/>
      <c r="ISI1" s="87"/>
      <c r="ISJ1" s="87"/>
      <c r="ISK1" s="87"/>
      <c r="ISL1" s="87"/>
      <c r="ISM1" s="87"/>
      <c r="ISN1" s="87"/>
      <c r="ISO1" s="87"/>
      <c r="ISP1" s="87"/>
      <c r="ISQ1" s="87"/>
      <c r="ISR1" s="87"/>
      <c r="ISS1" s="87"/>
      <c r="IST1" s="87"/>
      <c r="ISU1" s="87"/>
      <c r="ISV1" s="87"/>
      <c r="ISW1" s="87"/>
      <c r="ISX1" s="87"/>
      <c r="ISY1" s="87"/>
      <c r="ISZ1" s="87"/>
      <c r="ITA1" s="87"/>
      <c r="ITB1" s="87"/>
      <c r="ITC1" s="87"/>
      <c r="ITD1" s="87"/>
      <c r="ITE1" s="87"/>
      <c r="ITF1" s="87"/>
      <c r="ITG1" s="87"/>
      <c r="ITH1" s="87"/>
      <c r="ITI1" s="87"/>
      <c r="ITJ1" s="87"/>
      <c r="ITK1" s="87"/>
      <c r="ITL1" s="87"/>
      <c r="ITM1" s="87"/>
      <c r="ITN1" s="87"/>
      <c r="ITO1" s="87"/>
      <c r="ITP1" s="87"/>
      <c r="ITQ1" s="87"/>
      <c r="ITR1" s="87"/>
      <c r="ITS1" s="87"/>
      <c r="ITT1" s="87"/>
      <c r="ITU1" s="87"/>
      <c r="ITV1" s="87"/>
      <c r="ITW1" s="87"/>
      <c r="ITX1" s="87"/>
      <c r="ITY1" s="87"/>
      <c r="ITZ1" s="87"/>
      <c r="IUA1" s="87"/>
      <c r="IUB1" s="87"/>
      <c r="IUC1" s="87"/>
      <c r="IUD1" s="87"/>
      <c r="IUE1" s="87"/>
      <c r="IUF1" s="87"/>
      <c r="IUG1" s="87"/>
      <c r="IUH1" s="87"/>
      <c r="IUI1" s="87"/>
      <c r="IUJ1" s="87"/>
      <c r="IUK1" s="87"/>
      <c r="IUL1" s="87"/>
      <c r="IUM1" s="87"/>
      <c r="IUN1" s="87"/>
      <c r="IUO1" s="87"/>
      <c r="IUP1" s="87"/>
      <c r="IUQ1" s="87"/>
      <c r="IUR1" s="87"/>
      <c r="IUS1" s="87"/>
      <c r="IUT1" s="87"/>
      <c r="IUU1" s="87"/>
      <c r="IUV1" s="87"/>
      <c r="IUW1" s="87"/>
      <c r="IUX1" s="87"/>
      <c r="IUY1" s="87"/>
      <c r="IUZ1" s="87"/>
      <c r="IVA1" s="87"/>
      <c r="IVB1" s="87"/>
      <c r="IVC1" s="87"/>
      <c r="IVD1" s="87"/>
      <c r="IVE1" s="87"/>
      <c r="IVF1" s="87"/>
      <c r="IVG1" s="87"/>
      <c r="IVH1" s="87"/>
      <c r="IVI1" s="87"/>
      <c r="IVJ1" s="87"/>
      <c r="IVK1" s="87"/>
      <c r="IVL1" s="87"/>
      <c r="IVM1" s="87"/>
      <c r="IVN1" s="87"/>
      <c r="IVO1" s="87"/>
      <c r="IVP1" s="87"/>
      <c r="IVQ1" s="87"/>
      <c r="IVR1" s="87"/>
      <c r="IVS1" s="87"/>
      <c r="IVT1" s="87"/>
      <c r="IVU1" s="87"/>
      <c r="IVV1" s="87"/>
      <c r="IVW1" s="87"/>
      <c r="IVX1" s="87"/>
      <c r="IVY1" s="87"/>
      <c r="IVZ1" s="87"/>
      <c r="IWA1" s="87"/>
      <c r="IWB1" s="87"/>
      <c r="IWC1" s="87"/>
      <c r="IWD1" s="87"/>
      <c r="IWE1" s="87"/>
      <c r="IWF1" s="87"/>
      <c r="IWG1" s="87"/>
      <c r="IWH1" s="87"/>
      <c r="IWI1" s="87"/>
      <c r="IWJ1" s="87"/>
      <c r="IWK1" s="87"/>
      <c r="IWL1" s="87"/>
      <c r="IWM1" s="87"/>
      <c r="IWN1" s="87"/>
      <c r="IWO1" s="87"/>
      <c r="IWP1" s="87"/>
      <c r="IWQ1" s="87"/>
      <c r="IWR1" s="87"/>
      <c r="IWS1" s="87"/>
      <c r="IWT1" s="87"/>
      <c r="IWU1" s="87"/>
      <c r="IWV1" s="87"/>
      <c r="IWW1" s="87"/>
      <c r="IWX1" s="87"/>
      <c r="IWY1" s="87"/>
      <c r="IWZ1" s="87"/>
      <c r="IXA1" s="87"/>
      <c r="IXB1" s="87"/>
      <c r="IXC1" s="87"/>
      <c r="IXD1" s="87"/>
      <c r="IXE1" s="87"/>
      <c r="IXF1" s="87"/>
      <c r="IXG1" s="87"/>
      <c r="IXH1" s="87"/>
      <c r="IXI1" s="87"/>
      <c r="IXJ1" s="87"/>
      <c r="IXK1" s="87"/>
      <c r="IXL1" s="87"/>
      <c r="IXM1" s="87"/>
      <c r="IXN1" s="87"/>
      <c r="IXO1" s="87"/>
      <c r="IXP1" s="87"/>
      <c r="IXQ1" s="87"/>
      <c r="IXR1" s="87"/>
      <c r="IXS1" s="87"/>
      <c r="IXT1" s="87"/>
      <c r="IXU1" s="87"/>
      <c r="IXV1" s="87"/>
      <c r="IXW1" s="87"/>
      <c r="IXX1" s="87"/>
      <c r="IXY1" s="87"/>
      <c r="IXZ1" s="87"/>
      <c r="IYA1" s="87"/>
      <c r="IYB1" s="87"/>
      <c r="IYC1" s="87"/>
      <c r="IYD1" s="87"/>
      <c r="IYE1" s="87"/>
      <c r="IYF1" s="87"/>
      <c r="IYG1" s="87"/>
      <c r="IYH1" s="87"/>
      <c r="IYI1" s="87"/>
      <c r="IYJ1" s="87"/>
      <c r="IYK1" s="87"/>
      <c r="IYL1" s="87"/>
      <c r="IYM1" s="87"/>
      <c r="IYN1" s="87"/>
      <c r="IYO1" s="87"/>
      <c r="IYP1" s="87"/>
      <c r="IYQ1" s="87"/>
      <c r="IYR1" s="87"/>
      <c r="IYS1" s="87"/>
      <c r="IYT1" s="87"/>
      <c r="IYU1" s="87"/>
      <c r="IYV1" s="87"/>
      <c r="IYW1" s="87"/>
      <c r="IYX1" s="87"/>
      <c r="IYY1" s="87"/>
      <c r="IYZ1" s="87"/>
      <c r="IZA1" s="87"/>
      <c r="IZB1" s="87"/>
      <c r="IZC1" s="87"/>
      <c r="IZD1" s="87"/>
      <c r="IZE1" s="87"/>
      <c r="IZF1" s="87"/>
      <c r="IZG1" s="87"/>
      <c r="IZH1" s="87"/>
      <c r="IZI1" s="87"/>
      <c r="IZJ1" s="87"/>
      <c r="IZK1" s="87"/>
      <c r="IZL1" s="87"/>
      <c r="IZM1" s="87"/>
      <c r="IZN1" s="87"/>
      <c r="IZO1" s="87"/>
      <c r="IZP1" s="87"/>
      <c r="IZQ1" s="87"/>
      <c r="IZR1" s="87"/>
      <c r="IZS1" s="87"/>
      <c r="IZT1" s="87"/>
      <c r="IZU1" s="87"/>
      <c r="IZV1" s="87"/>
      <c r="IZW1" s="87"/>
      <c r="IZX1" s="87"/>
      <c r="IZY1" s="87"/>
      <c r="IZZ1" s="87"/>
      <c r="JAA1" s="87"/>
      <c r="JAB1" s="87"/>
      <c r="JAC1" s="87"/>
      <c r="JAD1" s="87"/>
      <c r="JAE1" s="87"/>
      <c r="JAF1" s="87"/>
      <c r="JAG1" s="87"/>
      <c r="JAH1" s="87"/>
      <c r="JAI1" s="87"/>
      <c r="JAJ1" s="87"/>
      <c r="JAK1" s="87"/>
      <c r="JAL1" s="87"/>
      <c r="JAM1" s="87"/>
      <c r="JAN1" s="87"/>
      <c r="JAO1" s="87"/>
      <c r="JAP1" s="87"/>
      <c r="JAQ1" s="87"/>
      <c r="JAR1" s="87"/>
      <c r="JAS1" s="87"/>
      <c r="JAT1" s="87"/>
      <c r="JAU1" s="87"/>
      <c r="JAV1" s="87"/>
      <c r="JAW1" s="87"/>
      <c r="JAX1" s="87"/>
      <c r="JAY1" s="87"/>
      <c r="JAZ1" s="87"/>
      <c r="JBA1" s="87"/>
      <c r="JBB1" s="87"/>
      <c r="JBC1" s="87"/>
      <c r="JBD1" s="87"/>
      <c r="JBE1" s="87"/>
      <c r="JBF1" s="87"/>
      <c r="JBG1" s="87"/>
      <c r="JBH1" s="87"/>
      <c r="JBI1" s="87"/>
      <c r="JBJ1" s="87"/>
      <c r="JBK1" s="87"/>
      <c r="JBL1" s="87"/>
      <c r="JBM1" s="87"/>
      <c r="JBN1" s="87"/>
      <c r="JBO1" s="87"/>
      <c r="JBP1" s="87"/>
      <c r="JBQ1" s="87"/>
      <c r="JBR1" s="87"/>
      <c r="JBS1" s="87"/>
      <c r="JBT1" s="87"/>
      <c r="JBU1" s="87"/>
      <c r="JBV1" s="87"/>
      <c r="JBW1" s="87"/>
      <c r="JBX1" s="87"/>
      <c r="JBY1" s="87"/>
      <c r="JBZ1" s="87"/>
      <c r="JCA1" s="87"/>
      <c r="JCB1" s="87"/>
      <c r="JCC1" s="87"/>
      <c r="JCD1" s="87"/>
      <c r="JCE1" s="87"/>
      <c r="JCF1" s="87"/>
      <c r="JCG1" s="87"/>
      <c r="JCH1" s="87"/>
      <c r="JCI1" s="87"/>
      <c r="JCJ1" s="87"/>
      <c r="JCK1" s="87"/>
      <c r="JCL1" s="87"/>
      <c r="JCM1" s="87"/>
      <c r="JCN1" s="87"/>
      <c r="JCO1" s="87"/>
      <c r="JCP1" s="87"/>
      <c r="JCQ1" s="87"/>
      <c r="JCR1" s="87"/>
      <c r="JCS1" s="87"/>
      <c r="JCT1" s="87"/>
      <c r="JCU1" s="87"/>
      <c r="JCV1" s="87"/>
      <c r="JCW1" s="87"/>
      <c r="JCX1" s="87"/>
      <c r="JCY1" s="87"/>
      <c r="JCZ1" s="87"/>
      <c r="JDA1" s="87"/>
      <c r="JDB1" s="87"/>
      <c r="JDC1" s="87"/>
      <c r="JDD1" s="87"/>
      <c r="JDE1" s="87"/>
      <c r="JDF1" s="87"/>
      <c r="JDG1" s="87"/>
      <c r="JDH1" s="87"/>
      <c r="JDI1" s="87"/>
      <c r="JDJ1" s="87"/>
      <c r="JDK1" s="87"/>
      <c r="JDL1" s="87"/>
      <c r="JDM1" s="87"/>
      <c r="JDN1" s="87"/>
      <c r="JDO1" s="87"/>
      <c r="JDP1" s="87"/>
      <c r="JDQ1" s="87"/>
      <c r="JDR1" s="87"/>
      <c r="JDS1" s="87"/>
      <c r="JDT1" s="87"/>
      <c r="JDU1" s="87"/>
      <c r="JDV1" s="87"/>
      <c r="JDW1" s="87"/>
      <c r="JDX1" s="87"/>
      <c r="JDY1" s="87"/>
      <c r="JDZ1" s="87"/>
      <c r="JEA1" s="87"/>
      <c r="JEB1" s="87"/>
      <c r="JEC1" s="87"/>
      <c r="JED1" s="87"/>
      <c r="JEE1" s="87"/>
      <c r="JEF1" s="87"/>
      <c r="JEG1" s="87"/>
      <c r="JEH1" s="87"/>
      <c r="JEI1" s="87"/>
      <c r="JEJ1" s="87"/>
      <c r="JEK1" s="87"/>
      <c r="JEL1" s="87"/>
      <c r="JEM1" s="87"/>
      <c r="JEN1" s="87"/>
      <c r="JEO1" s="87"/>
      <c r="JEP1" s="87"/>
      <c r="JEQ1" s="87"/>
      <c r="JER1" s="87"/>
      <c r="JES1" s="87"/>
      <c r="JET1" s="87"/>
      <c r="JEU1" s="87"/>
      <c r="JEV1" s="87"/>
      <c r="JEW1" s="87"/>
      <c r="JEX1" s="87"/>
      <c r="JEY1" s="87"/>
      <c r="JEZ1" s="87"/>
      <c r="JFA1" s="87"/>
      <c r="JFB1" s="87"/>
      <c r="JFC1" s="87"/>
      <c r="JFD1" s="87"/>
      <c r="JFE1" s="87"/>
      <c r="JFF1" s="87"/>
      <c r="JFG1" s="87"/>
      <c r="JFH1" s="87"/>
      <c r="JFI1" s="87"/>
      <c r="JFJ1" s="87"/>
      <c r="JFK1" s="87"/>
      <c r="JFL1" s="87"/>
      <c r="JFM1" s="87"/>
      <c r="JFN1" s="87"/>
      <c r="JFO1" s="87"/>
      <c r="JFP1" s="87"/>
      <c r="JFQ1" s="87"/>
      <c r="JFR1" s="87"/>
      <c r="JFS1" s="87"/>
      <c r="JFT1" s="87"/>
      <c r="JFU1" s="87"/>
      <c r="JFV1" s="87"/>
      <c r="JFW1" s="87"/>
      <c r="JFX1" s="87"/>
      <c r="JFY1" s="87"/>
      <c r="JFZ1" s="87"/>
      <c r="JGA1" s="87"/>
      <c r="JGB1" s="87"/>
      <c r="JGC1" s="87"/>
      <c r="JGD1" s="87"/>
      <c r="JGE1" s="87"/>
      <c r="JGF1" s="87"/>
      <c r="JGG1" s="87"/>
      <c r="JGH1" s="87"/>
      <c r="JGI1" s="87"/>
      <c r="JGJ1" s="87"/>
      <c r="JGK1" s="87"/>
      <c r="JGL1" s="87"/>
      <c r="JGM1" s="87"/>
      <c r="JGN1" s="87"/>
      <c r="JGO1" s="87"/>
      <c r="JGP1" s="87"/>
      <c r="JGQ1" s="87"/>
      <c r="JGR1" s="87"/>
      <c r="JGS1" s="87"/>
      <c r="JGT1" s="87"/>
      <c r="JGU1" s="87"/>
      <c r="JGV1" s="87"/>
      <c r="JGW1" s="87"/>
      <c r="JGX1" s="87"/>
      <c r="JGY1" s="87"/>
      <c r="JGZ1" s="87"/>
      <c r="JHA1" s="87"/>
      <c r="JHB1" s="87"/>
      <c r="JHC1" s="87"/>
      <c r="JHD1" s="87"/>
      <c r="JHE1" s="87"/>
      <c r="JHF1" s="87"/>
      <c r="JHG1" s="87"/>
      <c r="JHH1" s="87"/>
      <c r="JHI1" s="87"/>
      <c r="JHJ1" s="87"/>
      <c r="JHK1" s="87"/>
      <c r="JHL1" s="87"/>
      <c r="JHM1" s="87"/>
      <c r="JHN1" s="87"/>
      <c r="JHO1" s="87"/>
      <c r="JHP1" s="87"/>
      <c r="JHQ1" s="87"/>
      <c r="JHR1" s="87"/>
      <c r="JHS1" s="87"/>
      <c r="JHT1" s="87"/>
      <c r="JHU1" s="87"/>
      <c r="JHV1" s="87"/>
      <c r="JHW1" s="87"/>
      <c r="JHX1" s="87"/>
      <c r="JHY1" s="87"/>
      <c r="JHZ1" s="87"/>
      <c r="JIA1" s="87"/>
      <c r="JIB1" s="87"/>
      <c r="JIC1" s="87"/>
      <c r="JID1" s="87"/>
      <c r="JIE1" s="87"/>
      <c r="JIF1" s="87"/>
      <c r="JIG1" s="87"/>
      <c r="JIH1" s="87"/>
      <c r="JII1" s="87"/>
      <c r="JIJ1" s="87"/>
      <c r="JIK1" s="87"/>
      <c r="JIL1" s="87"/>
      <c r="JIM1" s="87"/>
      <c r="JIN1" s="87"/>
      <c r="JIO1" s="87"/>
      <c r="JIP1" s="87"/>
      <c r="JIQ1" s="87"/>
      <c r="JIR1" s="87"/>
      <c r="JIS1" s="87"/>
      <c r="JIT1" s="87"/>
      <c r="JIU1" s="87"/>
      <c r="JIV1" s="87"/>
      <c r="JIW1" s="87"/>
      <c r="JIX1" s="87"/>
      <c r="JIY1" s="87"/>
      <c r="JIZ1" s="87"/>
      <c r="JJA1" s="87"/>
      <c r="JJB1" s="87"/>
      <c r="JJC1" s="87"/>
      <c r="JJD1" s="87"/>
      <c r="JJE1" s="87"/>
      <c r="JJF1" s="87"/>
      <c r="JJG1" s="87"/>
      <c r="JJH1" s="87"/>
      <c r="JJI1" s="87"/>
      <c r="JJJ1" s="87"/>
      <c r="JJK1" s="87"/>
      <c r="JJL1" s="87"/>
      <c r="JJM1" s="87"/>
      <c r="JJN1" s="87"/>
      <c r="JJO1" s="87"/>
      <c r="JJP1" s="87"/>
      <c r="JJQ1" s="87"/>
      <c r="JJR1" s="87"/>
      <c r="JJS1" s="87"/>
      <c r="JJT1" s="87"/>
      <c r="JJU1" s="87"/>
      <c r="JJV1" s="87"/>
      <c r="JJW1" s="87"/>
      <c r="JJX1" s="87"/>
      <c r="JJY1" s="87"/>
      <c r="JJZ1" s="87"/>
      <c r="JKA1" s="87"/>
      <c r="JKB1" s="87"/>
      <c r="JKC1" s="87"/>
      <c r="JKD1" s="87"/>
      <c r="JKE1" s="87"/>
      <c r="JKF1" s="87"/>
      <c r="JKG1" s="87"/>
      <c r="JKH1" s="87"/>
      <c r="JKI1" s="87"/>
      <c r="JKJ1" s="87"/>
      <c r="JKK1" s="87"/>
      <c r="JKL1" s="87"/>
      <c r="JKM1" s="87"/>
      <c r="JKN1" s="87"/>
      <c r="JKO1" s="87"/>
      <c r="JKP1" s="87"/>
      <c r="JKQ1" s="87"/>
      <c r="JKR1" s="87"/>
      <c r="JKS1" s="87"/>
      <c r="JKT1" s="87"/>
      <c r="JKU1" s="87"/>
      <c r="JKV1" s="87"/>
      <c r="JKW1" s="87"/>
      <c r="JKX1" s="87"/>
      <c r="JKY1" s="87"/>
      <c r="JKZ1" s="87"/>
      <c r="JLA1" s="87"/>
      <c r="JLB1" s="87"/>
      <c r="JLC1" s="87"/>
      <c r="JLD1" s="87"/>
      <c r="JLE1" s="87"/>
      <c r="JLF1" s="87"/>
      <c r="JLG1" s="87"/>
      <c r="JLH1" s="87"/>
      <c r="JLI1" s="87"/>
      <c r="JLJ1" s="87"/>
      <c r="JLK1" s="87"/>
      <c r="JLL1" s="87"/>
      <c r="JLM1" s="87"/>
      <c r="JLN1" s="87"/>
      <c r="JLO1" s="87"/>
      <c r="JLP1" s="87"/>
      <c r="JLQ1" s="87"/>
      <c r="JLR1" s="87"/>
      <c r="JLS1" s="87"/>
      <c r="JLT1" s="87"/>
      <c r="JLU1" s="87"/>
      <c r="JLV1" s="87"/>
      <c r="JLW1" s="87"/>
      <c r="JLX1" s="87"/>
      <c r="JLY1" s="87"/>
      <c r="JLZ1" s="87"/>
      <c r="JMA1" s="87"/>
      <c r="JMB1" s="87"/>
      <c r="JMC1" s="87"/>
      <c r="JMD1" s="87"/>
      <c r="JME1" s="87"/>
      <c r="JMF1" s="87"/>
      <c r="JMG1" s="87"/>
      <c r="JMH1" s="87"/>
      <c r="JMI1" s="87"/>
      <c r="JMJ1" s="87"/>
      <c r="JMK1" s="87"/>
      <c r="JML1" s="87"/>
      <c r="JMM1" s="87"/>
      <c r="JMN1" s="87"/>
      <c r="JMO1" s="87"/>
      <c r="JMP1" s="87"/>
      <c r="JMQ1" s="87"/>
      <c r="JMR1" s="87"/>
      <c r="JMS1" s="87"/>
      <c r="JMT1" s="87"/>
      <c r="JMU1" s="87"/>
      <c r="JMV1" s="87"/>
      <c r="JMW1" s="87"/>
      <c r="JMX1" s="87"/>
      <c r="JMY1" s="87"/>
      <c r="JMZ1" s="87"/>
      <c r="JNA1" s="87"/>
      <c r="JNB1" s="87"/>
      <c r="JNC1" s="87"/>
      <c r="JND1" s="87"/>
      <c r="JNE1" s="87"/>
      <c r="JNF1" s="87"/>
      <c r="JNG1" s="87"/>
      <c r="JNH1" s="87"/>
      <c r="JNI1" s="87"/>
      <c r="JNJ1" s="87"/>
      <c r="JNK1" s="87"/>
      <c r="JNL1" s="87"/>
      <c r="JNM1" s="87"/>
      <c r="JNN1" s="87"/>
      <c r="JNO1" s="87"/>
      <c r="JNP1" s="87"/>
      <c r="JNQ1" s="87"/>
      <c r="JNR1" s="87"/>
      <c r="JNS1" s="87"/>
      <c r="JNT1" s="87"/>
      <c r="JNU1" s="87"/>
      <c r="JNV1" s="87"/>
      <c r="JNW1" s="87"/>
      <c r="JNX1" s="87"/>
      <c r="JNY1" s="87"/>
      <c r="JNZ1" s="87"/>
      <c r="JOA1" s="87"/>
      <c r="JOB1" s="87"/>
      <c r="JOC1" s="87"/>
      <c r="JOD1" s="87"/>
      <c r="JOE1" s="87"/>
      <c r="JOF1" s="87"/>
      <c r="JOG1" s="87"/>
      <c r="JOH1" s="87"/>
      <c r="JOI1" s="87"/>
      <c r="JOJ1" s="87"/>
      <c r="JOK1" s="87"/>
      <c r="JOL1" s="87"/>
      <c r="JOM1" s="87"/>
      <c r="JON1" s="87"/>
      <c r="JOO1" s="87"/>
      <c r="JOP1" s="87"/>
      <c r="JOQ1" s="87"/>
      <c r="JOR1" s="87"/>
      <c r="JOS1" s="87"/>
      <c r="JOT1" s="87"/>
      <c r="JOU1" s="87"/>
      <c r="JOV1" s="87"/>
      <c r="JOW1" s="87"/>
      <c r="JOX1" s="87"/>
      <c r="JOY1" s="87"/>
      <c r="JOZ1" s="87"/>
      <c r="JPA1" s="87"/>
      <c r="JPB1" s="87"/>
      <c r="JPC1" s="87"/>
      <c r="JPD1" s="87"/>
      <c r="JPE1" s="87"/>
      <c r="JPF1" s="87"/>
      <c r="JPG1" s="87"/>
      <c r="JPH1" s="87"/>
      <c r="JPI1" s="87"/>
      <c r="JPJ1" s="87"/>
      <c r="JPK1" s="87"/>
      <c r="JPL1" s="87"/>
      <c r="JPM1" s="87"/>
      <c r="JPN1" s="87"/>
      <c r="JPO1" s="87"/>
      <c r="JPP1" s="87"/>
      <c r="JPQ1" s="87"/>
      <c r="JPR1" s="87"/>
      <c r="JPS1" s="87"/>
      <c r="JPT1" s="87"/>
      <c r="JPU1" s="87"/>
      <c r="JPV1" s="87"/>
      <c r="JPW1" s="87"/>
      <c r="JPX1" s="87"/>
      <c r="JPY1" s="87"/>
      <c r="JPZ1" s="87"/>
      <c r="JQA1" s="87"/>
      <c r="JQB1" s="87"/>
      <c r="JQC1" s="87"/>
      <c r="JQD1" s="87"/>
      <c r="JQE1" s="87"/>
      <c r="JQF1" s="87"/>
      <c r="JQG1" s="87"/>
      <c r="JQH1" s="87"/>
      <c r="JQI1" s="87"/>
      <c r="JQJ1" s="87"/>
      <c r="JQK1" s="87"/>
      <c r="JQL1" s="87"/>
      <c r="JQM1" s="87"/>
      <c r="JQN1" s="87"/>
      <c r="JQO1" s="87"/>
      <c r="JQP1" s="87"/>
      <c r="JQQ1" s="87"/>
      <c r="JQR1" s="87"/>
      <c r="JQS1" s="87"/>
      <c r="JQT1" s="87"/>
      <c r="JQU1" s="87"/>
      <c r="JQV1" s="87"/>
      <c r="JQW1" s="87"/>
      <c r="JQX1" s="87"/>
      <c r="JQY1" s="87"/>
      <c r="JQZ1" s="87"/>
      <c r="JRA1" s="87"/>
      <c r="JRB1" s="87"/>
      <c r="JRC1" s="87"/>
      <c r="JRD1" s="87"/>
      <c r="JRE1" s="87"/>
      <c r="JRF1" s="87"/>
      <c r="JRG1" s="87"/>
      <c r="JRH1" s="87"/>
      <c r="JRI1" s="87"/>
      <c r="JRJ1" s="87"/>
      <c r="JRK1" s="87"/>
      <c r="JRL1" s="87"/>
      <c r="JRM1" s="87"/>
      <c r="JRN1" s="87"/>
      <c r="JRO1" s="87"/>
      <c r="JRP1" s="87"/>
      <c r="JRQ1" s="87"/>
      <c r="JRR1" s="87"/>
      <c r="JRS1" s="87"/>
      <c r="JRT1" s="87"/>
      <c r="JRU1" s="87"/>
      <c r="JRV1" s="87"/>
      <c r="JRW1" s="87"/>
      <c r="JRX1" s="87"/>
      <c r="JRY1" s="87"/>
      <c r="JRZ1" s="87"/>
      <c r="JSA1" s="87"/>
      <c r="JSB1" s="87"/>
      <c r="JSC1" s="87"/>
      <c r="JSD1" s="87"/>
      <c r="JSE1" s="87"/>
      <c r="JSF1" s="87"/>
      <c r="JSG1" s="87"/>
      <c r="JSH1" s="87"/>
      <c r="JSI1" s="87"/>
      <c r="JSJ1" s="87"/>
      <c r="JSK1" s="87"/>
      <c r="JSL1" s="87"/>
      <c r="JSM1" s="87"/>
      <c r="JSN1" s="87"/>
      <c r="JSO1" s="87"/>
      <c r="JSP1" s="87"/>
      <c r="JSQ1" s="87"/>
      <c r="JSR1" s="87"/>
      <c r="JSS1" s="87"/>
      <c r="JST1" s="87"/>
      <c r="JSU1" s="87"/>
      <c r="JSV1" s="87"/>
      <c r="JSW1" s="87"/>
      <c r="JSX1" s="87"/>
      <c r="JSY1" s="87"/>
      <c r="JSZ1" s="87"/>
      <c r="JTA1" s="87"/>
      <c r="JTB1" s="87"/>
      <c r="JTC1" s="87"/>
      <c r="JTD1" s="87"/>
      <c r="JTE1" s="87"/>
      <c r="JTF1" s="87"/>
      <c r="JTG1" s="87"/>
      <c r="JTH1" s="87"/>
      <c r="JTI1" s="87"/>
      <c r="JTJ1" s="87"/>
      <c r="JTK1" s="87"/>
      <c r="JTL1" s="87"/>
      <c r="JTM1" s="87"/>
      <c r="JTN1" s="87"/>
      <c r="JTO1" s="87"/>
      <c r="JTP1" s="87"/>
      <c r="JTQ1" s="87"/>
      <c r="JTR1" s="87"/>
      <c r="JTS1" s="87"/>
      <c r="JTT1" s="87"/>
      <c r="JTU1" s="87"/>
      <c r="JTV1" s="87"/>
      <c r="JTW1" s="87"/>
      <c r="JTX1" s="87"/>
      <c r="JTY1" s="87"/>
      <c r="JTZ1" s="87"/>
      <c r="JUA1" s="87"/>
      <c r="JUB1" s="87"/>
      <c r="JUC1" s="87"/>
      <c r="JUD1" s="87"/>
      <c r="JUE1" s="87"/>
      <c r="JUF1" s="87"/>
      <c r="JUG1" s="87"/>
      <c r="JUH1" s="87"/>
      <c r="JUI1" s="87"/>
      <c r="JUJ1" s="87"/>
      <c r="JUK1" s="87"/>
      <c r="JUL1" s="87"/>
      <c r="JUM1" s="87"/>
      <c r="JUN1" s="87"/>
      <c r="JUO1" s="87"/>
      <c r="JUP1" s="87"/>
      <c r="JUQ1" s="87"/>
      <c r="JUR1" s="87"/>
      <c r="JUS1" s="87"/>
      <c r="JUT1" s="87"/>
      <c r="JUU1" s="87"/>
      <c r="JUV1" s="87"/>
      <c r="JUW1" s="87"/>
      <c r="JUX1" s="87"/>
      <c r="JUY1" s="87"/>
      <c r="JUZ1" s="87"/>
      <c r="JVA1" s="87"/>
      <c r="JVB1" s="87"/>
      <c r="JVC1" s="87"/>
      <c r="JVD1" s="87"/>
      <c r="JVE1" s="87"/>
      <c r="JVF1" s="87"/>
      <c r="JVG1" s="87"/>
      <c r="JVH1" s="87"/>
      <c r="JVI1" s="87"/>
      <c r="JVJ1" s="87"/>
      <c r="JVK1" s="87"/>
      <c r="JVL1" s="87"/>
      <c r="JVM1" s="87"/>
      <c r="JVN1" s="87"/>
      <c r="JVO1" s="87"/>
      <c r="JVP1" s="87"/>
      <c r="JVQ1" s="87"/>
      <c r="JVR1" s="87"/>
      <c r="JVS1" s="87"/>
      <c r="JVT1" s="87"/>
      <c r="JVU1" s="87"/>
      <c r="JVV1" s="87"/>
      <c r="JVW1" s="87"/>
      <c r="JVX1" s="87"/>
      <c r="JVY1" s="87"/>
      <c r="JVZ1" s="87"/>
      <c r="JWA1" s="87"/>
      <c r="JWB1" s="87"/>
      <c r="JWC1" s="87"/>
      <c r="JWD1" s="87"/>
      <c r="JWE1" s="87"/>
      <c r="JWF1" s="87"/>
      <c r="JWG1" s="87"/>
      <c r="JWH1" s="87"/>
      <c r="JWI1" s="87"/>
      <c r="JWJ1" s="87"/>
      <c r="JWK1" s="87"/>
      <c r="JWL1" s="87"/>
      <c r="JWM1" s="87"/>
      <c r="JWN1" s="87"/>
      <c r="JWO1" s="87"/>
      <c r="JWP1" s="87"/>
      <c r="JWQ1" s="87"/>
      <c r="JWR1" s="87"/>
      <c r="JWS1" s="87"/>
      <c r="JWT1" s="87"/>
      <c r="JWU1" s="87"/>
      <c r="JWV1" s="87"/>
      <c r="JWW1" s="87"/>
      <c r="JWX1" s="87"/>
      <c r="JWY1" s="87"/>
      <c r="JWZ1" s="87"/>
      <c r="JXA1" s="87"/>
      <c r="JXB1" s="87"/>
      <c r="JXC1" s="87"/>
      <c r="JXD1" s="87"/>
      <c r="JXE1" s="87"/>
      <c r="JXF1" s="87"/>
      <c r="JXG1" s="87"/>
      <c r="JXH1" s="87"/>
      <c r="JXI1" s="87"/>
      <c r="JXJ1" s="87"/>
      <c r="JXK1" s="87"/>
      <c r="JXL1" s="87"/>
      <c r="JXM1" s="87"/>
      <c r="JXN1" s="87"/>
      <c r="JXO1" s="87"/>
      <c r="JXP1" s="87"/>
      <c r="JXQ1" s="87"/>
      <c r="JXR1" s="87"/>
      <c r="JXS1" s="87"/>
      <c r="JXT1" s="87"/>
      <c r="JXU1" s="87"/>
      <c r="JXV1" s="87"/>
      <c r="JXW1" s="87"/>
      <c r="JXX1" s="87"/>
      <c r="JXY1" s="87"/>
      <c r="JXZ1" s="87"/>
      <c r="JYA1" s="87"/>
      <c r="JYB1" s="87"/>
      <c r="JYC1" s="87"/>
      <c r="JYD1" s="87"/>
      <c r="JYE1" s="87"/>
      <c r="JYF1" s="87"/>
      <c r="JYG1" s="87"/>
      <c r="JYH1" s="87"/>
      <c r="JYI1" s="87"/>
      <c r="JYJ1" s="87"/>
      <c r="JYK1" s="87"/>
      <c r="JYL1" s="87"/>
      <c r="JYM1" s="87"/>
      <c r="JYN1" s="87"/>
      <c r="JYO1" s="87"/>
      <c r="JYP1" s="87"/>
      <c r="JYQ1" s="87"/>
      <c r="JYR1" s="87"/>
      <c r="JYS1" s="87"/>
      <c r="JYT1" s="87"/>
      <c r="JYU1" s="87"/>
      <c r="JYV1" s="87"/>
      <c r="JYW1" s="87"/>
      <c r="JYX1" s="87"/>
      <c r="JYY1" s="87"/>
      <c r="JYZ1" s="87"/>
      <c r="JZA1" s="87"/>
      <c r="JZB1" s="87"/>
      <c r="JZC1" s="87"/>
      <c r="JZD1" s="87"/>
      <c r="JZE1" s="87"/>
      <c r="JZF1" s="87"/>
      <c r="JZG1" s="87"/>
      <c r="JZH1" s="87"/>
      <c r="JZI1" s="87"/>
      <c r="JZJ1" s="87"/>
      <c r="JZK1" s="87"/>
      <c r="JZL1" s="87"/>
      <c r="JZM1" s="87"/>
      <c r="JZN1" s="87"/>
      <c r="JZO1" s="87"/>
      <c r="JZP1" s="87"/>
      <c r="JZQ1" s="87"/>
      <c r="JZR1" s="87"/>
      <c r="JZS1" s="87"/>
      <c r="JZT1" s="87"/>
      <c r="JZU1" s="87"/>
      <c r="JZV1" s="87"/>
      <c r="JZW1" s="87"/>
      <c r="JZX1" s="87"/>
      <c r="JZY1" s="87"/>
      <c r="JZZ1" s="87"/>
      <c r="KAA1" s="87"/>
      <c r="KAB1" s="87"/>
      <c r="KAC1" s="87"/>
      <c r="KAD1" s="87"/>
      <c r="KAE1" s="87"/>
      <c r="KAF1" s="87"/>
      <c r="KAG1" s="87"/>
      <c r="KAH1" s="87"/>
      <c r="KAI1" s="87"/>
      <c r="KAJ1" s="87"/>
      <c r="KAK1" s="87"/>
      <c r="KAL1" s="87"/>
      <c r="KAM1" s="87"/>
      <c r="KAN1" s="87"/>
      <c r="KAO1" s="87"/>
      <c r="KAP1" s="87"/>
      <c r="KAQ1" s="87"/>
      <c r="KAR1" s="87"/>
      <c r="KAS1" s="87"/>
      <c r="KAT1" s="87"/>
      <c r="KAU1" s="87"/>
      <c r="KAV1" s="87"/>
      <c r="KAW1" s="87"/>
      <c r="KAX1" s="87"/>
      <c r="KAY1" s="87"/>
      <c r="KAZ1" s="87"/>
      <c r="KBA1" s="87"/>
      <c r="KBB1" s="87"/>
      <c r="KBC1" s="87"/>
      <c r="KBD1" s="87"/>
      <c r="KBE1" s="87"/>
      <c r="KBF1" s="87"/>
      <c r="KBG1" s="87"/>
      <c r="KBH1" s="87"/>
      <c r="KBI1" s="87"/>
      <c r="KBJ1" s="87"/>
      <c r="KBK1" s="87"/>
      <c r="KBL1" s="87"/>
      <c r="KBM1" s="87"/>
      <c r="KBN1" s="87"/>
      <c r="KBO1" s="87"/>
      <c r="KBP1" s="87"/>
      <c r="KBQ1" s="87"/>
      <c r="KBR1" s="87"/>
      <c r="KBS1" s="87"/>
      <c r="KBT1" s="87"/>
      <c r="KBU1" s="87"/>
      <c r="KBV1" s="87"/>
      <c r="KBW1" s="87"/>
      <c r="KBX1" s="87"/>
      <c r="KBY1" s="87"/>
      <c r="KBZ1" s="87"/>
      <c r="KCA1" s="87"/>
      <c r="KCB1" s="87"/>
      <c r="KCC1" s="87"/>
      <c r="KCD1" s="87"/>
      <c r="KCE1" s="87"/>
      <c r="KCF1" s="87"/>
      <c r="KCG1" s="87"/>
      <c r="KCH1" s="87"/>
      <c r="KCI1" s="87"/>
      <c r="KCJ1" s="87"/>
      <c r="KCK1" s="87"/>
      <c r="KCL1" s="87"/>
      <c r="KCM1" s="87"/>
      <c r="KCN1" s="87"/>
      <c r="KCO1" s="87"/>
      <c r="KCP1" s="87"/>
      <c r="KCQ1" s="87"/>
      <c r="KCR1" s="87"/>
      <c r="KCS1" s="87"/>
      <c r="KCT1" s="87"/>
      <c r="KCU1" s="87"/>
      <c r="KCV1" s="87"/>
      <c r="KCW1" s="87"/>
      <c r="KCX1" s="87"/>
      <c r="KCY1" s="87"/>
      <c r="KCZ1" s="87"/>
      <c r="KDA1" s="87"/>
      <c r="KDB1" s="87"/>
      <c r="KDC1" s="87"/>
      <c r="KDD1" s="87"/>
      <c r="KDE1" s="87"/>
      <c r="KDF1" s="87"/>
      <c r="KDG1" s="87"/>
      <c r="KDH1" s="87"/>
      <c r="KDI1" s="87"/>
      <c r="KDJ1" s="87"/>
      <c r="KDK1" s="87"/>
      <c r="KDL1" s="87"/>
      <c r="KDM1" s="87"/>
      <c r="KDN1" s="87"/>
      <c r="KDO1" s="87"/>
      <c r="KDP1" s="87"/>
      <c r="KDQ1" s="87"/>
      <c r="KDR1" s="87"/>
      <c r="KDS1" s="87"/>
      <c r="KDT1" s="87"/>
      <c r="KDU1" s="87"/>
      <c r="KDV1" s="87"/>
      <c r="KDW1" s="87"/>
      <c r="KDX1" s="87"/>
      <c r="KDY1" s="87"/>
      <c r="KDZ1" s="87"/>
      <c r="KEA1" s="87"/>
      <c r="KEB1" s="87"/>
      <c r="KEC1" s="87"/>
      <c r="KED1" s="87"/>
      <c r="KEE1" s="87"/>
      <c r="KEF1" s="87"/>
      <c r="KEG1" s="87"/>
      <c r="KEH1" s="87"/>
      <c r="KEI1" s="87"/>
      <c r="KEJ1" s="87"/>
      <c r="KEK1" s="87"/>
      <c r="KEL1" s="87"/>
      <c r="KEM1" s="87"/>
      <c r="KEN1" s="87"/>
      <c r="KEO1" s="87"/>
      <c r="KEP1" s="87"/>
      <c r="KEQ1" s="87"/>
      <c r="KER1" s="87"/>
      <c r="KES1" s="87"/>
      <c r="KET1" s="87"/>
      <c r="KEU1" s="87"/>
      <c r="KEV1" s="87"/>
      <c r="KEW1" s="87"/>
      <c r="KEX1" s="87"/>
      <c r="KEY1" s="87"/>
      <c r="KEZ1" s="87"/>
      <c r="KFA1" s="87"/>
      <c r="KFB1" s="87"/>
      <c r="KFC1" s="87"/>
      <c r="KFD1" s="87"/>
      <c r="KFE1" s="87"/>
      <c r="KFF1" s="87"/>
      <c r="KFG1" s="87"/>
      <c r="KFH1" s="87"/>
      <c r="KFI1" s="87"/>
      <c r="KFJ1" s="87"/>
      <c r="KFK1" s="87"/>
      <c r="KFL1" s="87"/>
      <c r="KFM1" s="87"/>
      <c r="KFN1" s="87"/>
      <c r="KFO1" s="87"/>
      <c r="KFP1" s="87"/>
      <c r="KFQ1" s="87"/>
      <c r="KFR1" s="87"/>
      <c r="KFS1" s="87"/>
      <c r="KFT1" s="87"/>
      <c r="KFU1" s="87"/>
      <c r="KFV1" s="87"/>
      <c r="KFW1" s="87"/>
      <c r="KFX1" s="87"/>
      <c r="KFY1" s="87"/>
      <c r="KFZ1" s="87"/>
      <c r="KGA1" s="87"/>
      <c r="KGB1" s="87"/>
      <c r="KGC1" s="87"/>
      <c r="KGD1" s="87"/>
      <c r="KGE1" s="87"/>
      <c r="KGF1" s="87"/>
      <c r="KGG1" s="87"/>
      <c r="KGH1" s="87"/>
      <c r="KGI1" s="87"/>
      <c r="KGJ1" s="87"/>
      <c r="KGK1" s="87"/>
      <c r="KGL1" s="87"/>
      <c r="KGM1" s="87"/>
      <c r="KGN1" s="87"/>
      <c r="KGO1" s="87"/>
      <c r="KGP1" s="87"/>
      <c r="KGQ1" s="87"/>
      <c r="KGR1" s="87"/>
      <c r="KGS1" s="87"/>
      <c r="KGT1" s="87"/>
      <c r="KGU1" s="87"/>
      <c r="KGV1" s="87"/>
      <c r="KGW1" s="87"/>
      <c r="KGX1" s="87"/>
      <c r="KGY1" s="87"/>
      <c r="KGZ1" s="87"/>
      <c r="KHA1" s="87"/>
      <c r="KHB1" s="87"/>
      <c r="KHC1" s="87"/>
      <c r="KHD1" s="87"/>
      <c r="KHE1" s="87"/>
      <c r="KHF1" s="87"/>
      <c r="KHG1" s="87"/>
      <c r="KHH1" s="87"/>
      <c r="KHI1" s="87"/>
      <c r="KHJ1" s="87"/>
      <c r="KHK1" s="87"/>
      <c r="KHL1" s="87"/>
      <c r="KHM1" s="87"/>
      <c r="KHN1" s="87"/>
      <c r="KHO1" s="87"/>
      <c r="KHP1" s="87"/>
      <c r="KHQ1" s="87"/>
      <c r="KHR1" s="87"/>
      <c r="KHS1" s="87"/>
      <c r="KHT1" s="87"/>
      <c r="KHU1" s="87"/>
      <c r="KHV1" s="87"/>
      <c r="KHW1" s="87"/>
      <c r="KHX1" s="87"/>
      <c r="KHY1" s="87"/>
      <c r="KHZ1" s="87"/>
      <c r="KIA1" s="87"/>
      <c r="KIB1" s="87"/>
      <c r="KIC1" s="87"/>
      <c r="KID1" s="87"/>
      <c r="KIE1" s="87"/>
      <c r="KIF1" s="87"/>
      <c r="KIG1" s="87"/>
      <c r="KIH1" s="87"/>
      <c r="KII1" s="87"/>
      <c r="KIJ1" s="87"/>
      <c r="KIK1" s="87"/>
      <c r="KIL1" s="87"/>
      <c r="KIM1" s="87"/>
      <c r="KIN1" s="87"/>
      <c r="KIO1" s="87"/>
      <c r="KIP1" s="87"/>
      <c r="KIQ1" s="87"/>
      <c r="KIR1" s="87"/>
      <c r="KIS1" s="87"/>
      <c r="KIT1" s="87"/>
      <c r="KIU1" s="87"/>
      <c r="KIV1" s="87"/>
      <c r="KIW1" s="87"/>
      <c r="KIX1" s="87"/>
      <c r="KIY1" s="87"/>
      <c r="KIZ1" s="87"/>
      <c r="KJA1" s="87"/>
      <c r="KJB1" s="87"/>
      <c r="KJC1" s="87"/>
      <c r="KJD1" s="87"/>
      <c r="KJE1" s="87"/>
      <c r="KJF1" s="87"/>
      <c r="KJG1" s="87"/>
      <c r="KJH1" s="87"/>
      <c r="KJI1" s="87"/>
      <c r="KJJ1" s="87"/>
      <c r="KJK1" s="87"/>
      <c r="KJL1" s="87"/>
      <c r="KJM1" s="87"/>
      <c r="KJN1" s="87"/>
      <c r="KJO1" s="87"/>
      <c r="KJP1" s="87"/>
      <c r="KJQ1" s="87"/>
      <c r="KJR1" s="87"/>
      <c r="KJS1" s="87"/>
      <c r="KJT1" s="87"/>
      <c r="KJU1" s="87"/>
      <c r="KJV1" s="87"/>
      <c r="KJW1" s="87"/>
      <c r="KJX1" s="87"/>
      <c r="KJY1" s="87"/>
      <c r="KJZ1" s="87"/>
      <c r="KKA1" s="87"/>
      <c r="KKB1" s="87"/>
      <c r="KKC1" s="87"/>
      <c r="KKD1" s="87"/>
      <c r="KKE1" s="87"/>
      <c r="KKF1" s="87"/>
      <c r="KKG1" s="87"/>
      <c r="KKH1" s="87"/>
      <c r="KKI1" s="87"/>
      <c r="KKJ1" s="87"/>
      <c r="KKK1" s="87"/>
      <c r="KKL1" s="87"/>
      <c r="KKM1" s="87"/>
      <c r="KKN1" s="87"/>
      <c r="KKO1" s="87"/>
      <c r="KKP1" s="87"/>
      <c r="KKQ1" s="87"/>
      <c r="KKR1" s="87"/>
      <c r="KKS1" s="87"/>
      <c r="KKT1" s="87"/>
      <c r="KKU1" s="87"/>
      <c r="KKV1" s="87"/>
      <c r="KKW1" s="87"/>
      <c r="KKX1" s="87"/>
      <c r="KKY1" s="87"/>
      <c r="KKZ1" s="87"/>
      <c r="KLA1" s="87"/>
      <c r="KLB1" s="87"/>
      <c r="KLC1" s="87"/>
      <c r="KLD1" s="87"/>
      <c r="KLE1" s="87"/>
      <c r="KLF1" s="87"/>
      <c r="KLG1" s="87"/>
      <c r="KLH1" s="87"/>
      <c r="KLI1" s="87"/>
      <c r="KLJ1" s="87"/>
      <c r="KLK1" s="87"/>
      <c r="KLL1" s="87"/>
      <c r="KLM1" s="87"/>
      <c r="KLN1" s="87"/>
      <c r="KLO1" s="87"/>
      <c r="KLP1" s="87"/>
      <c r="KLQ1" s="87"/>
      <c r="KLR1" s="87"/>
      <c r="KLS1" s="87"/>
      <c r="KLT1" s="87"/>
      <c r="KLU1" s="87"/>
      <c r="KLV1" s="87"/>
      <c r="KLW1" s="87"/>
      <c r="KLX1" s="87"/>
      <c r="KLY1" s="87"/>
      <c r="KLZ1" s="87"/>
      <c r="KMA1" s="87"/>
      <c r="KMB1" s="87"/>
      <c r="KMC1" s="87"/>
      <c r="KMD1" s="87"/>
      <c r="KME1" s="87"/>
      <c r="KMF1" s="87"/>
      <c r="KMG1" s="87"/>
      <c r="KMH1" s="87"/>
      <c r="KMI1" s="87"/>
      <c r="KMJ1" s="87"/>
      <c r="KMK1" s="87"/>
      <c r="KML1" s="87"/>
      <c r="KMM1" s="87"/>
      <c r="KMN1" s="87"/>
      <c r="KMO1" s="87"/>
      <c r="KMP1" s="87"/>
      <c r="KMQ1" s="87"/>
      <c r="KMR1" s="87"/>
      <c r="KMS1" s="87"/>
      <c r="KMT1" s="87"/>
      <c r="KMU1" s="87"/>
      <c r="KMV1" s="87"/>
      <c r="KMW1" s="87"/>
      <c r="KMX1" s="87"/>
      <c r="KMY1" s="87"/>
      <c r="KMZ1" s="87"/>
      <c r="KNA1" s="87"/>
      <c r="KNB1" s="87"/>
      <c r="KNC1" s="87"/>
      <c r="KND1" s="87"/>
      <c r="KNE1" s="87"/>
      <c r="KNF1" s="87"/>
      <c r="KNG1" s="87"/>
      <c r="KNH1" s="87"/>
      <c r="KNI1" s="87"/>
      <c r="KNJ1" s="87"/>
      <c r="KNK1" s="87"/>
      <c r="KNL1" s="87"/>
      <c r="KNM1" s="87"/>
      <c r="KNN1" s="87"/>
      <c r="KNO1" s="87"/>
      <c r="KNP1" s="87"/>
      <c r="KNQ1" s="87"/>
      <c r="KNR1" s="87"/>
      <c r="KNS1" s="87"/>
      <c r="KNT1" s="87"/>
      <c r="KNU1" s="87"/>
      <c r="KNV1" s="87"/>
      <c r="KNW1" s="87"/>
      <c r="KNX1" s="87"/>
      <c r="KNY1" s="87"/>
      <c r="KNZ1" s="87"/>
      <c r="KOA1" s="87"/>
      <c r="KOB1" s="87"/>
      <c r="KOC1" s="87"/>
      <c r="KOD1" s="87"/>
      <c r="KOE1" s="87"/>
      <c r="KOF1" s="87"/>
      <c r="KOG1" s="87"/>
      <c r="KOH1" s="87"/>
      <c r="KOI1" s="87"/>
      <c r="KOJ1" s="87"/>
      <c r="KOK1" s="87"/>
      <c r="KOL1" s="87"/>
      <c r="KOM1" s="87"/>
      <c r="KON1" s="87"/>
      <c r="KOO1" s="87"/>
      <c r="KOP1" s="87"/>
      <c r="KOQ1" s="87"/>
      <c r="KOR1" s="87"/>
      <c r="KOS1" s="87"/>
      <c r="KOT1" s="87"/>
      <c r="KOU1" s="87"/>
      <c r="KOV1" s="87"/>
      <c r="KOW1" s="87"/>
      <c r="KOX1" s="87"/>
      <c r="KOY1" s="87"/>
      <c r="KOZ1" s="87"/>
      <c r="KPA1" s="87"/>
      <c r="KPB1" s="87"/>
      <c r="KPC1" s="87"/>
      <c r="KPD1" s="87"/>
      <c r="KPE1" s="87"/>
      <c r="KPF1" s="87"/>
      <c r="KPG1" s="87"/>
      <c r="KPH1" s="87"/>
      <c r="KPI1" s="87"/>
      <c r="KPJ1" s="87"/>
      <c r="KPK1" s="87"/>
      <c r="KPL1" s="87"/>
      <c r="KPM1" s="87"/>
      <c r="KPN1" s="87"/>
      <c r="KPO1" s="87"/>
      <c r="KPP1" s="87"/>
      <c r="KPQ1" s="87"/>
      <c r="KPR1" s="87"/>
      <c r="KPS1" s="87"/>
      <c r="KPT1" s="87"/>
      <c r="KPU1" s="87"/>
      <c r="KPV1" s="87"/>
      <c r="KPW1" s="87"/>
      <c r="KPX1" s="87"/>
      <c r="KPY1" s="87"/>
      <c r="KPZ1" s="87"/>
      <c r="KQA1" s="87"/>
      <c r="KQB1" s="87"/>
      <c r="KQC1" s="87"/>
      <c r="KQD1" s="87"/>
      <c r="KQE1" s="87"/>
      <c r="KQF1" s="87"/>
      <c r="KQG1" s="87"/>
      <c r="KQH1" s="87"/>
      <c r="KQI1" s="87"/>
      <c r="KQJ1" s="87"/>
      <c r="KQK1" s="87"/>
      <c r="KQL1" s="87"/>
      <c r="KQM1" s="87"/>
      <c r="KQN1" s="87"/>
      <c r="KQO1" s="87"/>
      <c r="KQP1" s="87"/>
      <c r="KQQ1" s="87"/>
      <c r="KQR1" s="87"/>
      <c r="KQS1" s="87"/>
      <c r="KQT1" s="87"/>
      <c r="KQU1" s="87"/>
      <c r="KQV1" s="87"/>
      <c r="KQW1" s="87"/>
      <c r="KQX1" s="87"/>
      <c r="KQY1" s="87"/>
      <c r="KQZ1" s="87"/>
      <c r="KRA1" s="87"/>
      <c r="KRB1" s="87"/>
      <c r="KRC1" s="87"/>
      <c r="KRD1" s="87"/>
      <c r="KRE1" s="87"/>
      <c r="KRF1" s="87"/>
      <c r="KRG1" s="87"/>
      <c r="KRH1" s="87"/>
      <c r="KRI1" s="87"/>
      <c r="KRJ1" s="87"/>
      <c r="KRK1" s="87"/>
      <c r="KRL1" s="87"/>
      <c r="KRM1" s="87"/>
      <c r="KRN1" s="87"/>
      <c r="KRO1" s="87"/>
      <c r="KRP1" s="87"/>
      <c r="KRQ1" s="87"/>
      <c r="KRR1" s="87"/>
      <c r="KRS1" s="87"/>
      <c r="KRT1" s="87"/>
      <c r="KRU1" s="87"/>
      <c r="KRV1" s="87"/>
      <c r="KRW1" s="87"/>
      <c r="KRX1" s="87"/>
      <c r="KRY1" s="87"/>
      <c r="KRZ1" s="87"/>
      <c r="KSA1" s="87"/>
      <c r="KSB1" s="87"/>
      <c r="KSC1" s="87"/>
      <c r="KSD1" s="87"/>
      <c r="KSE1" s="87"/>
      <c r="KSF1" s="87"/>
      <c r="KSG1" s="87"/>
      <c r="KSH1" s="87"/>
      <c r="KSI1" s="87"/>
      <c r="KSJ1" s="87"/>
      <c r="KSK1" s="87"/>
      <c r="KSL1" s="87"/>
      <c r="KSM1" s="87"/>
      <c r="KSN1" s="87"/>
      <c r="KSO1" s="87"/>
      <c r="KSP1" s="87"/>
      <c r="KSQ1" s="87"/>
      <c r="KSR1" s="87"/>
      <c r="KSS1" s="87"/>
      <c r="KST1" s="87"/>
      <c r="KSU1" s="87"/>
      <c r="KSV1" s="87"/>
      <c r="KSW1" s="87"/>
      <c r="KSX1" s="87"/>
      <c r="KSY1" s="87"/>
      <c r="KSZ1" s="87"/>
      <c r="KTA1" s="87"/>
      <c r="KTB1" s="87"/>
      <c r="KTC1" s="87"/>
      <c r="KTD1" s="87"/>
      <c r="KTE1" s="87"/>
      <c r="KTF1" s="87"/>
      <c r="KTG1" s="87"/>
      <c r="KTH1" s="87"/>
      <c r="KTI1" s="87"/>
      <c r="KTJ1" s="87"/>
      <c r="KTK1" s="87"/>
      <c r="KTL1" s="87"/>
      <c r="KTM1" s="87"/>
      <c r="KTN1" s="87"/>
      <c r="KTO1" s="87"/>
      <c r="KTP1" s="87"/>
      <c r="KTQ1" s="87"/>
      <c r="KTR1" s="87"/>
      <c r="KTS1" s="87"/>
      <c r="KTT1" s="87"/>
      <c r="KTU1" s="87"/>
      <c r="KTV1" s="87"/>
      <c r="KTW1" s="87"/>
      <c r="KTX1" s="87"/>
      <c r="KTY1" s="87"/>
      <c r="KTZ1" s="87"/>
      <c r="KUA1" s="87"/>
      <c r="KUB1" s="87"/>
      <c r="KUC1" s="87"/>
      <c r="KUD1" s="87"/>
      <c r="KUE1" s="87"/>
      <c r="KUF1" s="87"/>
      <c r="KUG1" s="87"/>
      <c r="KUH1" s="87"/>
      <c r="KUI1" s="87"/>
      <c r="KUJ1" s="87"/>
      <c r="KUK1" s="87"/>
      <c r="KUL1" s="87"/>
      <c r="KUM1" s="87"/>
      <c r="KUN1" s="87"/>
      <c r="KUO1" s="87"/>
      <c r="KUP1" s="87"/>
      <c r="KUQ1" s="87"/>
      <c r="KUR1" s="87"/>
      <c r="KUS1" s="87"/>
      <c r="KUT1" s="87"/>
      <c r="KUU1" s="87"/>
      <c r="KUV1" s="87"/>
      <c r="KUW1" s="87"/>
      <c r="KUX1" s="87"/>
      <c r="KUY1" s="87"/>
      <c r="KUZ1" s="87"/>
      <c r="KVA1" s="87"/>
      <c r="KVB1" s="87"/>
      <c r="KVC1" s="87"/>
      <c r="KVD1" s="87"/>
      <c r="KVE1" s="87"/>
      <c r="KVF1" s="87"/>
      <c r="KVG1" s="87"/>
      <c r="KVH1" s="87"/>
      <c r="KVI1" s="87"/>
      <c r="KVJ1" s="87"/>
      <c r="KVK1" s="87"/>
      <c r="KVL1" s="87"/>
      <c r="KVM1" s="87"/>
      <c r="KVN1" s="87"/>
      <c r="KVO1" s="87"/>
      <c r="KVP1" s="87"/>
      <c r="KVQ1" s="87"/>
      <c r="KVR1" s="87"/>
      <c r="KVS1" s="87"/>
      <c r="KVT1" s="87"/>
      <c r="KVU1" s="87"/>
      <c r="KVV1" s="87"/>
      <c r="KVW1" s="87"/>
      <c r="KVX1" s="87"/>
      <c r="KVY1" s="87"/>
      <c r="KVZ1" s="87"/>
      <c r="KWA1" s="87"/>
      <c r="KWB1" s="87"/>
      <c r="KWC1" s="87"/>
      <c r="KWD1" s="87"/>
      <c r="KWE1" s="87"/>
      <c r="KWF1" s="87"/>
      <c r="KWG1" s="87"/>
      <c r="KWH1" s="87"/>
      <c r="KWI1" s="87"/>
      <c r="KWJ1" s="87"/>
      <c r="KWK1" s="87"/>
      <c r="KWL1" s="87"/>
      <c r="KWM1" s="87"/>
      <c r="KWN1" s="87"/>
      <c r="KWO1" s="87"/>
      <c r="KWP1" s="87"/>
      <c r="KWQ1" s="87"/>
      <c r="KWR1" s="87"/>
      <c r="KWS1" s="87"/>
      <c r="KWT1" s="87"/>
      <c r="KWU1" s="87"/>
      <c r="KWV1" s="87"/>
      <c r="KWW1" s="87"/>
      <c r="KWX1" s="87"/>
      <c r="KWY1" s="87"/>
      <c r="KWZ1" s="87"/>
      <c r="KXA1" s="87"/>
      <c r="KXB1" s="87"/>
      <c r="KXC1" s="87"/>
      <c r="KXD1" s="87"/>
      <c r="KXE1" s="87"/>
      <c r="KXF1" s="87"/>
      <c r="KXG1" s="87"/>
      <c r="KXH1" s="87"/>
      <c r="KXI1" s="87"/>
      <c r="KXJ1" s="87"/>
      <c r="KXK1" s="87"/>
      <c r="KXL1" s="87"/>
      <c r="KXM1" s="87"/>
      <c r="KXN1" s="87"/>
      <c r="KXO1" s="87"/>
      <c r="KXP1" s="87"/>
      <c r="KXQ1" s="87"/>
      <c r="KXR1" s="87"/>
      <c r="KXS1" s="87"/>
      <c r="KXT1" s="87"/>
      <c r="KXU1" s="87"/>
      <c r="KXV1" s="87"/>
      <c r="KXW1" s="87"/>
      <c r="KXX1" s="87"/>
      <c r="KXY1" s="87"/>
      <c r="KXZ1" s="87"/>
      <c r="KYA1" s="87"/>
      <c r="KYB1" s="87"/>
      <c r="KYC1" s="87"/>
      <c r="KYD1" s="87"/>
      <c r="KYE1" s="87"/>
      <c r="KYF1" s="87"/>
      <c r="KYG1" s="87"/>
      <c r="KYH1" s="87"/>
      <c r="KYI1" s="87"/>
      <c r="KYJ1" s="87"/>
      <c r="KYK1" s="87"/>
      <c r="KYL1" s="87"/>
      <c r="KYM1" s="87"/>
      <c r="KYN1" s="87"/>
      <c r="KYO1" s="87"/>
      <c r="KYP1" s="87"/>
      <c r="KYQ1" s="87"/>
      <c r="KYR1" s="87"/>
      <c r="KYS1" s="87"/>
      <c r="KYT1" s="87"/>
      <c r="KYU1" s="87"/>
      <c r="KYV1" s="87"/>
      <c r="KYW1" s="87"/>
      <c r="KYX1" s="87"/>
      <c r="KYY1" s="87"/>
      <c r="KYZ1" s="87"/>
      <c r="KZA1" s="87"/>
      <c r="KZB1" s="87"/>
      <c r="KZC1" s="87"/>
      <c r="KZD1" s="87"/>
      <c r="KZE1" s="87"/>
      <c r="KZF1" s="87"/>
      <c r="KZG1" s="87"/>
      <c r="KZH1" s="87"/>
      <c r="KZI1" s="87"/>
      <c r="KZJ1" s="87"/>
      <c r="KZK1" s="87"/>
      <c r="KZL1" s="87"/>
      <c r="KZM1" s="87"/>
      <c r="KZN1" s="87"/>
      <c r="KZO1" s="87"/>
      <c r="KZP1" s="87"/>
      <c r="KZQ1" s="87"/>
      <c r="KZR1" s="87"/>
      <c r="KZS1" s="87"/>
      <c r="KZT1" s="87"/>
      <c r="KZU1" s="87"/>
      <c r="KZV1" s="87"/>
      <c r="KZW1" s="87"/>
      <c r="KZX1" s="87"/>
      <c r="KZY1" s="87"/>
      <c r="KZZ1" s="87"/>
      <c r="LAA1" s="87"/>
      <c r="LAB1" s="87"/>
      <c r="LAC1" s="87"/>
      <c r="LAD1" s="87"/>
      <c r="LAE1" s="87"/>
      <c r="LAF1" s="87"/>
      <c r="LAG1" s="87"/>
      <c r="LAH1" s="87"/>
      <c r="LAI1" s="87"/>
      <c r="LAJ1" s="87"/>
      <c r="LAK1" s="87"/>
      <c r="LAL1" s="87"/>
      <c r="LAM1" s="87"/>
      <c r="LAN1" s="87"/>
      <c r="LAO1" s="87"/>
      <c r="LAP1" s="87"/>
      <c r="LAQ1" s="87"/>
      <c r="LAR1" s="87"/>
      <c r="LAS1" s="87"/>
      <c r="LAT1" s="87"/>
      <c r="LAU1" s="87"/>
      <c r="LAV1" s="87"/>
      <c r="LAW1" s="87"/>
      <c r="LAX1" s="87"/>
      <c r="LAY1" s="87"/>
      <c r="LAZ1" s="87"/>
      <c r="LBA1" s="87"/>
      <c r="LBB1" s="87"/>
      <c r="LBC1" s="87"/>
      <c r="LBD1" s="87"/>
      <c r="LBE1" s="87"/>
      <c r="LBF1" s="87"/>
      <c r="LBG1" s="87"/>
      <c r="LBH1" s="87"/>
      <c r="LBI1" s="87"/>
      <c r="LBJ1" s="87"/>
      <c r="LBK1" s="87"/>
      <c r="LBL1" s="87"/>
      <c r="LBM1" s="87"/>
      <c r="LBN1" s="87"/>
      <c r="LBO1" s="87"/>
      <c r="LBP1" s="87"/>
      <c r="LBQ1" s="87"/>
      <c r="LBR1" s="87"/>
      <c r="LBS1" s="87"/>
      <c r="LBT1" s="87"/>
      <c r="LBU1" s="87"/>
      <c r="LBV1" s="87"/>
      <c r="LBW1" s="87"/>
      <c r="LBX1" s="87"/>
      <c r="LBY1" s="87"/>
      <c r="LBZ1" s="87"/>
      <c r="LCA1" s="87"/>
      <c r="LCB1" s="87"/>
      <c r="LCC1" s="87"/>
      <c r="LCD1" s="87"/>
      <c r="LCE1" s="87"/>
      <c r="LCF1" s="87"/>
      <c r="LCG1" s="87"/>
      <c r="LCH1" s="87"/>
      <c r="LCI1" s="87"/>
      <c r="LCJ1" s="87"/>
      <c r="LCK1" s="87"/>
      <c r="LCL1" s="87"/>
      <c r="LCM1" s="87"/>
      <c r="LCN1" s="87"/>
      <c r="LCO1" s="87"/>
      <c r="LCP1" s="87"/>
      <c r="LCQ1" s="87"/>
      <c r="LCR1" s="87"/>
      <c r="LCS1" s="87"/>
      <c r="LCT1" s="87"/>
      <c r="LCU1" s="87"/>
      <c r="LCV1" s="87"/>
      <c r="LCW1" s="87"/>
      <c r="LCX1" s="87"/>
      <c r="LCY1" s="87"/>
      <c r="LCZ1" s="87"/>
      <c r="LDA1" s="87"/>
      <c r="LDB1" s="87"/>
      <c r="LDC1" s="87"/>
      <c r="LDD1" s="87"/>
      <c r="LDE1" s="87"/>
      <c r="LDF1" s="87"/>
      <c r="LDG1" s="87"/>
      <c r="LDH1" s="87"/>
      <c r="LDI1" s="87"/>
      <c r="LDJ1" s="87"/>
      <c r="LDK1" s="87"/>
      <c r="LDL1" s="87"/>
      <c r="LDM1" s="87"/>
      <c r="LDN1" s="87"/>
      <c r="LDO1" s="87"/>
      <c r="LDP1" s="87"/>
      <c r="LDQ1" s="87"/>
      <c r="LDR1" s="87"/>
      <c r="LDS1" s="87"/>
      <c r="LDT1" s="87"/>
      <c r="LDU1" s="87"/>
      <c r="LDV1" s="87"/>
      <c r="LDW1" s="87"/>
      <c r="LDX1" s="87"/>
      <c r="LDY1" s="87"/>
      <c r="LDZ1" s="87"/>
      <c r="LEA1" s="87"/>
      <c r="LEB1" s="87"/>
      <c r="LEC1" s="87"/>
      <c r="LED1" s="87"/>
      <c r="LEE1" s="87"/>
      <c r="LEF1" s="87"/>
      <c r="LEG1" s="87"/>
      <c r="LEH1" s="87"/>
      <c r="LEI1" s="87"/>
      <c r="LEJ1" s="87"/>
      <c r="LEK1" s="87"/>
      <c r="LEL1" s="87"/>
      <c r="LEM1" s="87"/>
      <c r="LEN1" s="87"/>
      <c r="LEO1" s="87"/>
      <c r="LEP1" s="87"/>
      <c r="LEQ1" s="87"/>
      <c r="LER1" s="87"/>
      <c r="LES1" s="87"/>
      <c r="LET1" s="87"/>
      <c r="LEU1" s="87"/>
      <c r="LEV1" s="87"/>
      <c r="LEW1" s="87"/>
      <c r="LEX1" s="87"/>
      <c r="LEY1" s="87"/>
      <c r="LEZ1" s="87"/>
      <c r="LFA1" s="87"/>
      <c r="LFB1" s="87"/>
      <c r="LFC1" s="87"/>
      <c r="LFD1" s="87"/>
      <c r="LFE1" s="87"/>
      <c r="LFF1" s="87"/>
      <c r="LFG1" s="87"/>
      <c r="LFH1" s="87"/>
      <c r="LFI1" s="87"/>
      <c r="LFJ1" s="87"/>
      <c r="LFK1" s="87"/>
      <c r="LFL1" s="87"/>
      <c r="LFM1" s="87"/>
      <c r="LFN1" s="87"/>
      <c r="LFO1" s="87"/>
      <c r="LFP1" s="87"/>
      <c r="LFQ1" s="87"/>
      <c r="LFR1" s="87"/>
      <c r="LFS1" s="87"/>
      <c r="LFT1" s="87"/>
      <c r="LFU1" s="87"/>
      <c r="LFV1" s="87"/>
      <c r="LFW1" s="87"/>
      <c r="LFX1" s="87"/>
      <c r="LFY1" s="87"/>
      <c r="LFZ1" s="87"/>
      <c r="LGA1" s="87"/>
      <c r="LGB1" s="87"/>
      <c r="LGC1" s="87"/>
      <c r="LGD1" s="87"/>
      <c r="LGE1" s="87"/>
      <c r="LGF1" s="87"/>
      <c r="LGG1" s="87"/>
      <c r="LGH1" s="87"/>
      <c r="LGI1" s="87"/>
      <c r="LGJ1" s="87"/>
      <c r="LGK1" s="87"/>
      <c r="LGL1" s="87"/>
      <c r="LGM1" s="87"/>
      <c r="LGN1" s="87"/>
      <c r="LGO1" s="87"/>
      <c r="LGP1" s="87"/>
      <c r="LGQ1" s="87"/>
      <c r="LGR1" s="87"/>
      <c r="LGS1" s="87"/>
      <c r="LGT1" s="87"/>
      <c r="LGU1" s="87"/>
      <c r="LGV1" s="87"/>
      <c r="LGW1" s="87"/>
      <c r="LGX1" s="87"/>
      <c r="LGY1" s="87"/>
      <c r="LGZ1" s="87"/>
      <c r="LHA1" s="87"/>
      <c r="LHB1" s="87"/>
      <c r="LHC1" s="87"/>
      <c r="LHD1" s="87"/>
      <c r="LHE1" s="87"/>
      <c r="LHF1" s="87"/>
      <c r="LHG1" s="87"/>
      <c r="LHH1" s="87"/>
      <c r="LHI1" s="87"/>
      <c r="LHJ1" s="87"/>
      <c r="LHK1" s="87"/>
      <c r="LHL1" s="87"/>
      <c r="LHM1" s="87"/>
      <c r="LHN1" s="87"/>
      <c r="LHO1" s="87"/>
      <c r="LHP1" s="87"/>
      <c r="LHQ1" s="87"/>
      <c r="LHR1" s="87"/>
      <c r="LHS1" s="87"/>
      <c r="LHT1" s="87"/>
      <c r="LHU1" s="87"/>
      <c r="LHV1" s="87"/>
      <c r="LHW1" s="87"/>
      <c r="LHX1" s="87"/>
      <c r="LHY1" s="87"/>
      <c r="LHZ1" s="87"/>
      <c r="LIA1" s="87"/>
      <c r="LIB1" s="87"/>
      <c r="LIC1" s="87"/>
      <c r="LID1" s="87"/>
      <c r="LIE1" s="87"/>
      <c r="LIF1" s="87"/>
      <c r="LIG1" s="87"/>
      <c r="LIH1" s="87"/>
      <c r="LII1" s="87"/>
      <c r="LIJ1" s="87"/>
      <c r="LIK1" s="87"/>
      <c r="LIL1" s="87"/>
      <c r="LIM1" s="87"/>
      <c r="LIN1" s="87"/>
      <c r="LIO1" s="87"/>
      <c r="LIP1" s="87"/>
      <c r="LIQ1" s="87"/>
      <c r="LIR1" s="87"/>
      <c r="LIS1" s="87"/>
      <c r="LIT1" s="87"/>
      <c r="LIU1" s="87"/>
      <c r="LIV1" s="87"/>
      <c r="LIW1" s="87"/>
      <c r="LIX1" s="87"/>
      <c r="LIY1" s="87"/>
      <c r="LIZ1" s="87"/>
      <c r="LJA1" s="87"/>
      <c r="LJB1" s="87"/>
      <c r="LJC1" s="87"/>
      <c r="LJD1" s="87"/>
      <c r="LJE1" s="87"/>
      <c r="LJF1" s="87"/>
      <c r="LJG1" s="87"/>
      <c r="LJH1" s="87"/>
      <c r="LJI1" s="87"/>
      <c r="LJJ1" s="87"/>
      <c r="LJK1" s="87"/>
      <c r="LJL1" s="87"/>
      <c r="LJM1" s="87"/>
      <c r="LJN1" s="87"/>
      <c r="LJO1" s="87"/>
      <c r="LJP1" s="87"/>
      <c r="LJQ1" s="87"/>
      <c r="LJR1" s="87"/>
      <c r="LJS1" s="87"/>
      <c r="LJT1" s="87"/>
      <c r="LJU1" s="87"/>
      <c r="LJV1" s="87"/>
      <c r="LJW1" s="87"/>
      <c r="LJX1" s="87"/>
      <c r="LJY1" s="87"/>
      <c r="LJZ1" s="87"/>
      <c r="LKA1" s="87"/>
      <c r="LKB1" s="87"/>
      <c r="LKC1" s="87"/>
      <c r="LKD1" s="87"/>
      <c r="LKE1" s="87"/>
      <c r="LKF1" s="87"/>
      <c r="LKG1" s="87"/>
      <c r="LKH1" s="87"/>
      <c r="LKI1" s="87"/>
      <c r="LKJ1" s="87"/>
      <c r="LKK1" s="87"/>
      <c r="LKL1" s="87"/>
      <c r="LKM1" s="87"/>
      <c r="LKN1" s="87"/>
      <c r="LKO1" s="87"/>
      <c r="LKP1" s="87"/>
      <c r="LKQ1" s="87"/>
      <c r="LKR1" s="87"/>
      <c r="LKS1" s="87"/>
      <c r="LKT1" s="87"/>
      <c r="LKU1" s="87"/>
      <c r="LKV1" s="87"/>
      <c r="LKW1" s="87"/>
      <c r="LKX1" s="87"/>
      <c r="LKY1" s="87"/>
      <c r="LKZ1" s="87"/>
      <c r="LLA1" s="87"/>
      <c r="LLB1" s="87"/>
      <c r="LLC1" s="87"/>
      <c r="LLD1" s="87"/>
      <c r="LLE1" s="87"/>
      <c r="LLF1" s="87"/>
      <c r="LLG1" s="87"/>
      <c r="LLH1" s="87"/>
      <c r="LLI1" s="87"/>
      <c r="LLJ1" s="87"/>
      <c r="LLK1" s="87"/>
      <c r="LLL1" s="87"/>
      <c r="LLM1" s="87"/>
      <c r="LLN1" s="87"/>
      <c r="LLO1" s="87"/>
      <c r="LLP1" s="87"/>
      <c r="LLQ1" s="87"/>
      <c r="LLR1" s="87"/>
      <c r="LLS1" s="87"/>
      <c r="LLT1" s="87"/>
      <c r="LLU1" s="87"/>
      <c r="LLV1" s="87"/>
      <c r="LLW1" s="87"/>
      <c r="LLX1" s="87"/>
      <c r="LLY1" s="87"/>
      <c r="LLZ1" s="87"/>
      <c r="LMA1" s="87"/>
      <c r="LMB1" s="87"/>
      <c r="LMC1" s="87"/>
      <c r="LMD1" s="87"/>
      <c r="LME1" s="87"/>
      <c r="LMF1" s="87"/>
      <c r="LMG1" s="87"/>
      <c r="LMH1" s="87"/>
      <c r="LMI1" s="87"/>
      <c r="LMJ1" s="87"/>
      <c r="LMK1" s="87"/>
      <c r="LML1" s="87"/>
      <c r="LMM1" s="87"/>
      <c r="LMN1" s="87"/>
      <c r="LMO1" s="87"/>
      <c r="LMP1" s="87"/>
      <c r="LMQ1" s="87"/>
      <c r="LMR1" s="87"/>
      <c r="LMS1" s="87"/>
      <c r="LMT1" s="87"/>
      <c r="LMU1" s="87"/>
      <c r="LMV1" s="87"/>
      <c r="LMW1" s="87"/>
      <c r="LMX1" s="87"/>
      <c r="LMY1" s="87"/>
      <c r="LMZ1" s="87"/>
      <c r="LNA1" s="87"/>
      <c r="LNB1" s="87"/>
      <c r="LNC1" s="87"/>
      <c r="LND1" s="87"/>
      <c r="LNE1" s="87"/>
      <c r="LNF1" s="87"/>
      <c r="LNG1" s="87"/>
      <c r="LNH1" s="87"/>
      <c r="LNI1" s="87"/>
      <c r="LNJ1" s="87"/>
      <c r="LNK1" s="87"/>
      <c r="LNL1" s="87"/>
      <c r="LNM1" s="87"/>
      <c r="LNN1" s="87"/>
      <c r="LNO1" s="87"/>
      <c r="LNP1" s="87"/>
      <c r="LNQ1" s="87"/>
      <c r="LNR1" s="87"/>
      <c r="LNS1" s="87"/>
      <c r="LNT1" s="87"/>
      <c r="LNU1" s="87"/>
      <c r="LNV1" s="87"/>
      <c r="LNW1" s="87"/>
      <c r="LNX1" s="87"/>
      <c r="LNY1" s="87"/>
      <c r="LNZ1" s="87"/>
      <c r="LOA1" s="87"/>
      <c r="LOB1" s="87"/>
      <c r="LOC1" s="87"/>
      <c r="LOD1" s="87"/>
      <c r="LOE1" s="87"/>
      <c r="LOF1" s="87"/>
      <c r="LOG1" s="87"/>
      <c r="LOH1" s="87"/>
      <c r="LOI1" s="87"/>
      <c r="LOJ1" s="87"/>
      <c r="LOK1" s="87"/>
      <c r="LOL1" s="87"/>
      <c r="LOM1" s="87"/>
      <c r="LON1" s="87"/>
      <c r="LOO1" s="87"/>
      <c r="LOP1" s="87"/>
      <c r="LOQ1" s="87"/>
      <c r="LOR1" s="87"/>
      <c r="LOS1" s="87"/>
      <c r="LOT1" s="87"/>
      <c r="LOU1" s="87"/>
      <c r="LOV1" s="87"/>
      <c r="LOW1" s="87"/>
      <c r="LOX1" s="87"/>
      <c r="LOY1" s="87"/>
      <c r="LOZ1" s="87"/>
      <c r="LPA1" s="87"/>
      <c r="LPB1" s="87"/>
      <c r="LPC1" s="87"/>
      <c r="LPD1" s="87"/>
      <c r="LPE1" s="87"/>
      <c r="LPF1" s="87"/>
      <c r="LPG1" s="87"/>
      <c r="LPH1" s="87"/>
      <c r="LPI1" s="87"/>
      <c r="LPJ1" s="87"/>
      <c r="LPK1" s="87"/>
      <c r="LPL1" s="87"/>
      <c r="LPM1" s="87"/>
      <c r="LPN1" s="87"/>
      <c r="LPO1" s="87"/>
      <c r="LPP1" s="87"/>
      <c r="LPQ1" s="87"/>
      <c r="LPR1" s="87"/>
      <c r="LPS1" s="87"/>
      <c r="LPT1" s="87"/>
      <c r="LPU1" s="87"/>
      <c r="LPV1" s="87"/>
      <c r="LPW1" s="87"/>
      <c r="LPX1" s="87"/>
      <c r="LPY1" s="87"/>
      <c r="LPZ1" s="87"/>
      <c r="LQA1" s="87"/>
      <c r="LQB1" s="87"/>
      <c r="LQC1" s="87"/>
      <c r="LQD1" s="87"/>
      <c r="LQE1" s="87"/>
      <c r="LQF1" s="87"/>
      <c r="LQG1" s="87"/>
      <c r="LQH1" s="87"/>
      <c r="LQI1" s="87"/>
      <c r="LQJ1" s="87"/>
      <c r="LQK1" s="87"/>
      <c r="LQL1" s="87"/>
      <c r="LQM1" s="87"/>
      <c r="LQN1" s="87"/>
      <c r="LQO1" s="87"/>
      <c r="LQP1" s="87"/>
      <c r="LQQ1" s="87"/>
      <c r="LQR1" s="87"/>
      <c r="LQS1" s="87"/>
      <c r="LQT1" s="87"/>
      <c r="LQU1" s="87"/>
      <c r="LQV1" s="87"/>
      <c r="LQW1" s="87"/>
      <c r="LQX1" s="87"/>
      <c r="LQY1" s="87"/>
      <c r="LQZ1" s="87"/>
      <c r="LRA1" s="87"/>
      <c r="LRB1" s="87"/>
      <c r="LRC1" s="87"/>
      <c r="LRD1" s="87"/>
      <c r="LRE1" s="87"/>
      <c r="LRF1" s="87"/>
      <c r="LRG1" s="87"/>
      <c r="LRH1" s="87"/>
      <c r="LRI1" s="87"/>
      <c r="LRJ1" s="87"/>
      <c r="LRK1" s="87"/>
      <c r="LRL1" s="87"/>
      <c r="LRM1" s="87"/>
      <c r="LRN1" s="87"/>
      <c r="LRO1" s="87"/>
      <c r="LRP1" s="87"/>
      <c r="LRQ1" s="87"/>
      <c r="LRR1" s="87"/>
      <c r="LRS1" s="87"/>
      <c r="LRT1" s="87"/>
      <c r="LRU1" s="87"/>
      <c r="LRV1" s="87"/>
      <c r="LRW1" s="87"/>
      <c r="LRX1" s="87"/>
      <c r="LRY1" s="87"/>
      <c r="LRZ1" s="87"/>
      <c r="LSA1" s="87"/>
      <c r="LSB1" s="87"/>
      <c r="LSC1" s="87"/>
      <c r="LSD1" s="87"/>
      <c r="LSE1" s="87"/>
      <c r="LSF1" s="87"/>
      <c r="LSG1" s="87"/>
      <c r="LSH1" s="87"/>
      <c r="LSI1" s="87"/>
      <c r="LSJ1" s="87"/>
      <c r="LSK1" s="87"/>
      <c r="LSL1" s="87"/>
      <c r="LSM1" s="87"/>
      <c r="LSN1" s="87"/>
      <c r="LSO1" s="87"/>
      <c r="LSP1" s="87"/>
      <c r="LSQ1" s="87"/>
      <c r="LSR1" s="87"/>
      <c r="LSS1" s="87"/>
      <c r="LST1" s="87"/>
      <c r="LSU1" s="87"/>
      <c r="LSV1" s="87"/>
      <c r="LSW1" s="87"/>
      <c r="LSX1" s="87"/>
      <c r="LSY1" s="87"/>
      <c r="LSZ1" s="87"/>
      <c r="LTA1" s="87"/>
      <c r="LTB1" s="87"/>
      <c r="LTC1" s="87"/>
      <c r="LTD1" s="87"/>
      <c r="LTE1" s="87"/>
      <c r="LTF1" s="87"/>
      <c r="LTG1" s="87"/>
      <c r="LTH1" s="87"/>
      <c r="LTI1" s="87"/>
      <c r="LTJ1" s="87"/>
      <c r="LTK1" s="87"/>
      <c r="LTL1" s="87"/>
      <c r="LTM1" s="87"/>
      <c r="LTN1" s="87"/>
      <c r="LTO1" s="87"/>
      <c r="LTP1" s="87"/>
      <c r="LTQ1" s="87"/>
      <c r="LTR1" s="87"/>
      <c r="LTS1" s="87"/>
      <c r="LTT1" s="87"/>
      <c r="LTU1" s="87"/>
      <c r="LTV1" s="87"/>
      <c r="LTW1" s="87"/>
      <c r="LTX1" s="87"/>
      <c r="LTY1" s="87"/>
      <c r="LTZ1" s="87"/>
      <c r="LUA1" s="87"/>
      <c r="LUB1" s="87"/>
      <c r="LUC1" s="87"/>
      <c r="LUD1" s="87"/>
      <c r="LUE1" s="87"/>
      <c r="LUF1" s="87"/>
      <c r="LUG1" s="87"/>
      <c r="LUH1" s="87"/>
      <c r="LUI1" s="87"/>
      <c r="LUJ1" s="87"/>
      <c r="LUK1" s="87"/>
      <c r="LUL1" s="87"/>
      <c r="LUM1" s="87"/>
      <c r="LUN1" s="87"/>
      <c r="LUO1" s="87"/>
      <c r="LUP1" s="87"/>
      <c r="LUQ1" s="87"/>
      <c r="LUR1" s="87"/>
      <c r="LUS1" s="87"/>
      <c r="LUT1" s="87"/>
      <c r="LUU1" s="87"/>
      <c r="LUV1" s="87"/>
      <c r="LUW1" s="87"/>
      <c r="LUX1" s="87"/>
      <c r="LUY1" s="87"/>
      <c r="LUZ1" s="87"/>
      <c r="LVA1" s="87"/>
      <c r="LVB1" s="87"/>
      <c r="LVC1" s="87"/>
      <c r="LVD1" s="87"/>
      <c r="LVE1" s="87"/>
      <c r="LVF1" s="87"/>
      <c r="LVG1" s="87"/>
      <c r="LVH1" s="87"/>
      <c r="LVI1" s="87"/>
      <c r="LVJ1" s="87"/>
      <c r="LVK1" s="87"/>
      <c r="LVL1" s="87"/>
      <c r="LVM1" s="87"/>
      <c r="LVN1" s="87"/>
      <c r="LVO1" s="87"/>
      <c r="LVP1" s="87"/>
      <c r="LVQ1" s="87"/>
      <c r="LVR1" s="87"/>
      <c r="LVS1" s="87"/>
      <c r="LVT1" s="87"/>
      <c r="LVU1" s="87"/>
      <c r="LVV1" s="87"/>
      <c r="LVW1" s="87"/>
      <c r="LVX1" s="87"/>
      <c r="LVY1" s="87"/>
      <c r="LVZ1" s="87"/>
      <c r="LWA1" s="87"/>
      <c r="LWB1" s="87"/>
      <c r="LWC1" s="87"/>
      <c r="LWD1" s="87"/>
      <c r="LWE1" s="87"/>
      <c r="LWF1" s="87"/>
      <c r="LWG1" s="87"/>
      <c r="LWH1" s="87"/>
      <c r="LWI1" s="87"/>
      <c r="LWJ1" s="87"/>
      <c r="LWK1" s="87"/>
      <c r="LWL1" s="87"/>
      <c r="LWM1" s="87"/>
      <c r="LWN1" s="87"/>
      <c r="LWO1" s="87"/>
      <c r="LWP1" s="87"/>
      <c r="LWQ1" s="87"/>
      <c r="LWR1" s="87"/>
      <c r="LWS1" s="87"/>
      <c r="LWT1" s="87"/>
      <c r="LWU1" s="87"/>
      <c r="LWV1" s="87"/>
      <c r="LWW1" s="87"/>
      <c r="LWX1" s="87"/>
      <c r="LWY1" s="87"/>
      <c r="LWZ1" s="87"/>
      <c r="LXA1" s="87"/>
      <c r="LXB1" s="87"/>
      <c r="LXC1" s="87"/>
      <c r="LXD1" s="87"/>
      <c r="LXE1" s="87"/>
      <c r="LXF1" s="87"/>
      <c r="LXG1" s="87"/>
      <c r="LXH1" s="87"/>
      <c r="LXI1" s="87"/>
      <c r="LXJ1" s="87"/>
      <c r="LXK1" s="87"/>
      <c r="LXL1" s="87"/>
      <c r="LXM1" s="87"/>
      <c r="LXN1" s="87"/>
      <c r="LXO1" s="87"/>
      <c r="LXP1" s="87"/>
      <c r="LXQ1" s="87"/>
      <c r="LXR1" s="87"/>
      <c r="LXS1" s="87"/>
      <c r="LXT1" s="87"/>
      <c r="LXU1" s="87"/>
      <c r="LXV1" s="87"/>
      <c r="LXW1" s="87"/>
      <c r="LXX1" s="87"/>
      <c r="LXY1" s="87"/>
      <c r="LXZ1" s="87"/>
      <c r="LYA1" s="87"/>
      <c r="LYB1" s="87"/>
      <c r="LYC1" s="87"/>
      <c r="LYD1" s="87"/>
      <c r="LYE1" s="87"/>
      <c r="LYF1" s="87"/>
      <c r="LYG1" s="87"/>
      <c r="LYH1" s="87"/>
      <c r="LYI1" s="87"/>
      <c r="LYJ1" s="87"/>
      <c r="LYK1" s="87"/>
      <c r="LYL1" s="87"/>
      <c r="LYM1" s="87"/>
      <c r="LYN1" s="87"/>
      <c r="LYO1" s="87"/>
      <c r="LYP1" s="87"/>
      <c r="LYQ1" s="87"/>
      <c r="LYR1" s="87"/>
      <c r="LYS1" s="87"/>
      <c r="LYT1" s="87"/>
      <c r="LYU1" s="87"/>
      <c r="LYV1" s="87"/>
      <c r="LYW1" s="87"/>
      <c r="LYX1" s="87"/>
      <c r="LYY1" s="87"/>
      <c r="LYZ1" s="87"/>
      <c r="LZA1" s="87"/>
      <c r="LZB1" s="87"/>
      <c r="LZC1" s="87"/>
      <c r="LZD1" s="87"/>
      <c r="LZE1" s="87"/>
      <c r="LZF1" s="87"/>
      <c r="LZG1" s="87"/>
      <c r="LZH1" s="87"/>
      <c r="LZI1" s="87"/>
      <c r="LZJ1" s="87"/>
      <c r="LZK1" s="87"/>
      <c r="LZL1" s="87"/>
      <c r="LZM1" s="87"/>
      <c r="LZN1" s="87"/>
      <c r="LZO1" s="87"/>
      <c r="LZP1" s="87"/>
      <c r="LZQ1" s="87"/>
      <c r="LZR1" s="87"/>
      <c r="LZS1" s="87"/>
      <c r="LZT1" s="87"/>
      <c r="LZU1" s="87"/>
      <c r="LZV1" s="87"/>
      <c r="LZW1" s="87"/>
      <c r="LZX1" s="87"/>
      <c r="LZY1" s="87"/>
      <c r="LZZ1" s="87"/>
      <c r="MAA1" s="87"/>
      <c r="MAB1" s="87"/>
      <c r="MAC1" s="87"/>
      <c r="MAD1" s="87"/>
      <c r="MAE1" s="87"/>
      <c r="MAF1" s="87"/>
      <c r="MAG1" s="87"/>
      <c r="MAH1" s="87"/>
      <c r="MAI1" s="87"/>
      <c r="MAJ1" s="87"/>
      <c r="MAK1" s="87"/>
      <c r="MAL1" s="87"/>
      <c r="MAM1" s="87"/>
      <c r="MAN1" s="87"/>
      <c r="MAO1" s="87"/>
      <c r="MAP1" s="87"/>
      <c r="MAQ1" s="87"/>
      <c r="MAR1" s="87"/>
      <c r="MAS1" s="87"/>
      <c r="MAT1" s="87"/>
      <c r="MAU1" s="87"/>
      <c r="MAV1" s="87"/>
      <c r="MAW1" s="87"/>
      <c r="MAX1" s="87"/>
      <c r="MAY1" s="87"/>
      <c r="MAZ1" s="87"/>
      <c r="MBA1" s="87"/>
      <c r="MBB1" s="87"/>
      <c r="MBC1" s="87"/>
      <c r="MBD1" s="87"/>
      <c r="MBE1" s="87"/>
      <c r="MBF1" s="87"/>
      <c r="MBG1" s="87"/>
      <c r="MBH1" s="87"/>
      <c r="MBI1" s="87"/>
      <c r="MBJ1" s="87"/>
      <c r="MBK1" s="87"/>
      <c r="MBL1" s="87"/>
      <c r="MBM1" s="87"/>
      <c r="MBN1" s="87"/>
      <c r="MBO1" s="87"/>
      <c r="MBP1" s="87"/>
      <c r="MBQ1" s="87"/>
      <c r="MBR1" s="87"/>
      <c r="MBS1" s="87"/>
      <c r="MBT1" s="87"/>
      <c r="MBU1" s="87"/>
      <c r="MBV1" s="87"/>
      <c r="MBW1" s="87"/>
      <c r="MBX1" s="87"/>
      <c r="MBY1" s="87"/>
      <c r="MBZ1" s="87"/>
      <c r="MCA1" s="87"/>
      <c r="MCB1" s="87"/>
      <c r="MCC1" s="87"/>
      <c r="MCD1" s="87"/>
      <c r="MCE1" s="87"/>
      <c r="MCF1" s="87"/>
      <c r="MCG1" s="87"/>
      <c r="MCH1" s="87"/>
      <c r="MCI1" s="87"/>
      <c r="MCJ1" s="87"/>
      <c r="MCK1" s="87"/>
      <c r="MCL1" s="87"/>
      <c r="MCM1" s="87"/>
      <c r="MCN1" s="87"/>
      <c r="MCO1" s="87"/>
      <c r="MCP1" s="87"/>
      <c r="MCQ1" s="87"/>
      <c r="MCR1" s="87"/>
      <c r="MCS1" s="87"/>
      <c r="MCT1" s="87"/>
      <c r="MCU1" s="87"/>
      <c r="MCV1" s="87"/>
      <c r="MCW1" s="87"/>
      <c r="MCX1" s="87"/>
      <c r="MCY1" s="87"/>
      <c r="MCZ1" s="87"/>
      <c r="MDA1" s="87"/>
      <c r="MDB1" s="87"/>
      <c r="MDC1" s="87"/>
      <c r="MDD1" s="87"/>
      <c r="MDE1" s="87"/>
      <c r="MDF1" s="87"/>
      <c r="MDG1" s="87"/>
      <c r="MDH1" s="87"/>
      <c r="MDI1" s="87"/>
      <c r="MDJ1" s="87"/>
      <c r="MDK1" s="87"/>
      <c r="MDL1" s="87"/>
      <c r="MDM1" s="87"/>
      <c r="MDN1" s="87"/>
      <c r="MDO1" s="87"/>
      <c r="MDP1" s="87"/>
      <c r="MDQ1" s="87"/>
      <c r="MDR1" s="87"/>
      <c r="MDS1" s="87"/>
      <c r="MDT1" s="87"/>
      <c r="MDU1" s="87"/>
      <c r="MDV1" s="87"/>
      <c r="MDW1" s="87"/>
      <c r="MDX1" s="87"/>
      <c r="MDY1" s="87"/>
      <c r="MDZ1" s="87"/>
      <c r="MEA1" s="87"/>
      <c r="MEB1" s="87"/>
      <c r="MEC1" s="87"/>
      <c r="MED1" s="87"/>
      <c r="MEE1" s="87"/>
      <c r="MEF1" s="87"/>
      <c r="MEG1" s="87"/>
      <c r="MEH1" s="87"/>
      <c r="MEI1" s="87"/>
      <c r="MEJ1" s="87"/>
      <c r="MEK1" s="87"/>
      <c r="MEL1" s="87"/>
      <c r="MEM1" s="87"/>
      <c r="MEN1" s="87"/>
      <c r="MEO1" s="87"/>
      <c r="MEP1" s="87"/>
      <c r="MEQ1" s="87"/>
      <c r="MER1" s="87"/>
      <c r="MES1" s="87"/>
      <c r="MET1" s="87"/>
      <c r="MEU1" s="87"/>
      <c r="MEV1" s="87"/>
      <c r="MEW1" s="87"/>
      <c r="MEX1" s="87"/>
      <c r="MEY1" s="87"/>
      <c r="MEZ1" s="87"/>
      <c r="MFA1" s="87"/>
      <c r="MFB1" s="87"/>
      <c r="MFC1" s="87"/>
      <c r="MFD1" s="87"/>
      <c r="MFE1" s="87"/>
      <c r="MFF1" s="87"/>
      <c r="MFG1" s="87"/>
      <c r="MFH1" s="87"/>
      <c r="MFI1" s="87"/>
      <c r="MFJ1" s="87"/>
      <c r="MFK1" s="87"/>
      <c r="MFL1" s="87"/>
      <c r="MFM1" s="87"/>
      <c r="MFN1" s="87"/>
      <c r="MFO1" s="87"/>
      <c r="MFP1" s="87"/>
      <c r="MFQ1" s="87"/>
      <c r="MFR1" s="87"/>
      <c r="MFS1" s="87"/>
      <c r="MFT1" s="87"/>
      <c r="MFU1" s="87"/>
      <c r="MFV1" s="87"/>
      <c r="MFW1" s="87"/>
      <c r="MFX1" s="87"/>
      <c r="MFY1" s="87"/>
      <c r="MFZ1" s="87"/>
      <c r="MGA1" s="87"/>
      <c r="MGB1" s="87"/>
      <c r="MGC1" s="87"/>
      <c r="MGD1" s="87"/>
      <c r="MGE1" s="87"/>
      <c r="MGF1" s="87"/>
      <c r="MGG1" s="87"/>
      <c r="MGH1" s="87"/>
      <c r="MGI1" s="87"/>
      <c r="MGJ1" s="87"/>
      <c r="MGK1" s="87"/>
      <c r="MGL1" s="87"/>
      <c r="MGM1" s="87"/>
      <c r="MGN1" s="87"/>
      <c r="MGO1" s="87"/>
      <c r="MGP1" s="87"/>
      <c r="MGQ1" s="87"/>
      <c r="MGR1" s="87"/>
      <c r="MGS1" s="87"/>
      <c r="MGT1" s="87"/>
      <c r="MGU1" s="87"/>
      <c r="MGV1" s="87"/>
      <c r="MGW1" s="87"/>
      <c r="MGX1" s="87"/>
      <c r="MGY1" s="87"/>
      <c r="MGZ1" s="87"/>
      <c r="MHA1" s="87"/>
      <c r="MHB1" s="87"/>
      <c r="MHC1" s="87"/>
      <c r="MHD1" s="87"/>
      <c r="MHE1" s="87"/>
      <c r="MHF1" s="87"/>
      <c r="MHG1" s="87"/>
      <c r="MHH1" s="87"/>
      <c r="MHI1" s="87"/>
      <c r="MHJ1" s="87"/>
      <c r="MHK1" s="87"/>
      <c r="MHL1" s="87"/>
      <c r="MHM1" s="87"/>
      <c r="MHN1" s="87"/>
      <c r="MHO1" s="87"/>
      <c r="MHP1" s="87"/>
      <c r="MHQ1" s="87"/>
      <c r="MHR1" s="87"/>
      <c r="MHS1" s="87"/>
      <c r="MHT1" s="87"/>
      <c r="MHU1" s="87"/>
      <c r="MHV1" s="87"/>
      <c r="MHW1" s="87"/>
      <c r="MHX1" s="87"/>
      <c r="MHY1" s="87"/>
      <c r="MHZ1" s="87"/>
      <c r="MIA1" s="87"/>
      <c r="MIB1" s="87"/>
      <c r="MIC1" s="87"/>
      <c r="MID1" s="87"/>
      <c r="MIE1" s="87"/>
      <c r="MIF1" s="87"/>
      <c r="MIG1" s="87"/>
      <c r="MIH1" s="87"/>
      <c r="MII1" s="87"/>
      <c r="MIJ1" s="87"/>
      <c r="MIK1" s="87"/>
      <c r="MIL1" s="87"/>
      <c r="MIM1" s="87"/>
      <c r="MIN1" s="87"/>
      <c r="MIO1" s="87"/>
      <c r="MIP1" s="87"/>
      <c r="MIQ1" s="87"/>
      <c r="MIR1" s="87"/>
      <c r="MIS1" s="87"/>
      <c r="MIT1" s="87"/>
      <c r="MIU1" s="87"/>
      <c r="MIV1" s="87"/>
      <c r="MIW1" s="87"/>
      <c r="MIX1" s="87"/>
      <c r="MIY1" s="87"/>
      <c r="MIZ1" s="87"/>
      <c r="MJA1" s="87"/>
      <c r="MJB1" s="87"/>
      <c r="MJC1" s="87"/>
      <c r="MJD1" s="87"/>
      <c r="MJE1" s="87"/>
      <c r="MJF1" s="87"/>
      <c r="MJG1" s="87"/>
      <c r="MJH1" s="87"/>
      <c r="MJI1" s="87"/>
      <c r="MJJ1" s="87"/>
      <c r="MJK1" s="87"/>
      <c r="MJL1" s="87"/>
      <c r="MJM1" s="87"/>
      <c r="MJN1" s="87"/>
      <c r="MJO1" s="87"/>
      <c r="MJP1" s="87"/>
      <c r="MJQ1" s="87"/>
      <c r="MJR1" s="87"/>
      <c r="MJS1" s="87"/>
      <c r="MJT1" s="87"/>
      <c r="MJU1" s="87"/>
      <c r="MJV1" s="87"/>
      <c r="MJW1" s="87"/>
      <c r="MJX1" s="87"/>
      <c r="MJY1" s="87"/>
      <c r="MJZ1" s="87"/>
      <c r="MKA1" s="87"/>
      <c r="MKB1" s="87"/>
      <c r="MKC1" s="87"/>
      <c r="MKD1" s="87"/>
      <c r="MKE1" s="87"/>
      <c r="MKF1" s="87"/>
      <c r="MKG1" s="87"/>
      <c r="MKH1" s="87"/>
      <c r="MKI1" s="87"/>
      <c r="MKJ1" s="87"/>
      <c r="MKK1" s="87"/>
      <c r="MKL1" s="87"/>
      <c r="MKM1" s="87"/>
      <c r="MKN1" s="87"/>
      <c r="MKO1" s="87"/>
      <c r="MKP1" s="87"/>
      <c r="MKQ1" s="87"/>
      <c r="MKR1" s="87"/>
      <c r="MKS1" s="87"/>
      <c r="MKT1" s="87"/>
      <c r="MKU1" s="87"/>
      <c r="MKV1" s="87"/>
      <c r="MKW1" s="87"/>
      <c r="MKX1" s="87"/>
      <c r="MKY1" s="87"/>
      <c r="MKZ1" s="87"/>
      <c r="MLA1" s="87"/>
      <c r="MLB1" s="87"/>
      <c r="MLC1" s="87"/>
      <c r="MLD1" s="87"/>
      <c r="MLE1" s="87"/>
      <c r="MLF1" s="87"/>
      <c r="MLG1" s="87"/>
      <c r="MLH1" s="87"/>
      <c r="MLI1" s="87"/>
      <c r="MLJ1" s="87"/>
      <c r="MLK1" s="87"/>
      <c r="MLL1" s="87"/>
      <c r="MLM1" s="87"/>
      <c r="MLN1" s="87"/>
      <c r="MLO1" s="87"/>
      <c r="MLP1" s="87"/>
      <c r="MLQ1" s="87"/>
      <c r="MLR1" s="87"/>
      <c r="MLS1" s="87"/>
      <c r="MLT1" s="87"/>
      <c r="MLU1" s="87"/>
      <c r="MLV1" s="87"/>
      <c r="MLW1" s="87"/>
      <c r="MLX1" s="87"/>
      <c r="MLY1" s="87"/>
      <c r="MLZ1" s="87"/>
      <c r="MMA1" s="87"/>
      <c r="MMB1" s="87"/>
      <c r="MMC1" s="87"/>
      <c r="MMD1" s="87"/>
      <c r="MME1" s="87"/>
      <c r="MMF1" s="87"/>
      <c r="MMG1" s="87"/>
      <c r="MMH1" s="87"/>
      <c r="MMI1" s="87"/>
      <c r="MMJ1" s="87"/>
      <c r="MMK1" s="87"/>
      <c r="MML1" s="87"/>
      <c r="MMM1" s="87"/>
      <c r="MMN1" s="87"/>
      <c r="MMO1" s="87"/>
      <c r="MMP1" s="87"/>
      <c r="MMQ1" s="87"/>
      <c r="MMR1" s="87"/>
      <c r="MMS1" s="87"/>
      <c r="MMT1" s="87"/>
      <c r="MMU1" s="87"/>
      <c r="MMV1" s="87"/>
      <c r="MMW1" s="87"/>
      <c r="MMX1" s="87"/>
      <c r="MMY1" s="87"/>
      <c r="MMZ1" s="87"/>
      <c r="MNA1" s="87"/>
      <c r="MNB1" s="87"/>
      <c r="MNC1" s="87"/>
      <c r="MND1" s="87"/>
      <c r="MNE1" s="87"/>
      <c r="MNF1" s="87"/>
      <c r="MNG1" s="87"/>
      <c r="MNH1" s="87"/>
      <c r="MNI1" s="87"/>
      <c r="MNJ1" s="87"/>
      <c r="MNK1" s="87"/>
      <c r="MNL1" s="87"/>
      <c r="MNM1" s="87"/>
      <c r="MNN1" s="87"/>
      <c r="MNO1" s="87"/>
      <c r="MNP1" s="87"/>
      <c r="MNQ1" s="87"/>
      <c r="MNR1" s="87"/>
      <c r="MNS1" s="87"/>
      <c r="MNT1" s="87"/>
      <c r="MNU1" s="87"/>
      <c r="MNV1" s="87"/>
      <c r="MNW1" s="87"/>
      <c r="MNX1" s="87"/>
      <c r="MNY1" s="87"/>
      <c r="MNZ1" s="87"/>
      <c r="MOA1" s="87"/>
      <c r="MOB1" s="87"/>
      <c r="MOC1" s="87"/>
      <c r="MOD1" s="87"/>
      <c r="MOE1" s="87"/>
      <c r="MOF1" s="87"/>
      <c r="MOG1" s="87"/>
      <c r="MOH1" s="87"/>
      <c r="MOI1" s="87"/>
      <c r="MOJ1" s="87"/>
      <c r="MOK1" s="87"/>
      <c r="MOL1" s="87"/>
      <c r="MOM1" s="87"/>
      <c r="MON1" s="87"/>
      <c r="MOO1" s="87"/>
      <c r="MOP1" s="87"/>
      <c r="MOQ1" s="87"/>
      <c r="MOR1" s="87"/>
      <c r="MOS1" s="87"/>
      <c r="MOT1" s="87"/>
      <c r="MOU1" s="87"/>
      <c r="MOV1" s="87"/>
      <c r="MOW1" s="87"/>
      <c r="MOX1" s="87"/>
      <c r="MOY1" s="87"/>
      <c r="MOZ1" s="87"/>
      <c r="MPA1" s="87"/>
      <c r="MPB1" s="87"/>
      <c r="MPC1" s="87"/>
      <c r="MPD1" s="87"/>
      <c r="MPE1" s="87"/>
      <c r="MPF1" s="87"/>
      <c r="MPG1" s="87"/>
      <c r="MPH1" s="87"/>
      <c r="MPI1" s="87"/>
      <c r="MPJ1" s="87"/>
      <c r="MPK1" s="87"/>
      <c r="MPL1" s="87"/>
      <c r="MPM1" s="87"/>
      <c r="MPN1" s="87"/>
      <c r="MPO1" s="87"/>
      <c r="MPP1" s="87"/>
      <c r="MPQ1" s="87"/>
      <c r="MPR1" s="87"/>
      <c r="MPS1" s="87"/>
      <c r="MPT1" s="87"/>
      <c r="MPU1" s="87"/>
      <c r="MPV1" s="87"/>
      <c r="MPW1" s="87"/>
      <c r="MPX1" s="87"/>
      <c r="MPY1" s="87"/>
      <c r="MPZ1" s="87"/>
      <c r="MQA1" s="87"/>
      <c r="MQB1" s="87"/>
      <c r="MQC1" s="87"/>
      <c r="MQD1" s="87"/>
      <c r="MQE1" s="87"/>
      <c r="MQF1" s="87"/>
      <c r="MQG1" s="87"/>
      <c r="MQH1" s="87"/>
      <c r="MQI1" s="87"/>
      <c r="MQJ1" s="87"/>
      <c r="MQK1" s="87"/>
      <c r="MQL1" s="87"/>
      <c r="MQM1" s="87"/>
      <c r="MQN1" s="87"/>
      <c r="MQO1" s="87"/>
      <c r="MQP1" s="87"/>
      <c r="MQQ1" s="87"/>
      <c r="MQR1" s="87"/>
      <c r="MQS1" s="87"/>
      <c r="MQT1" s="87"/>
      <c r="MQU1" s="87"/>
      <c r="MQV1" s="87"/>
      <c r="MQW1" s="87"/>
      <c r="MQX1" s="87"/>
      <c r="MQY1" s="87"/>
      <c r="MQZ1" s="87"/>
      <c r="MRA1" s="87"/>
      <c r="MRB1" s="87"/>
      <c r="MRC1" s="87"/>
      <c r="MRD1" s="87"/>
      <c r="MRE1" s="87"/>
      <c r="MRF1" s="87"/>
      <c r="MRG1" s="87"/>
      <c r="MRH1" s="87"/>
      <c r="MRI1" s="87"/>
      <c r="MRJ1" s="87"/>
      <c r="MRK1" s="87"/>
      <c r="MRL1" s="87"/>
      <c r="MRM1" s="87"/>
      <c r="MRN1" s="87"/>
      <c r="MRO1" s="87"/>
      <c r="MRP1" s="87"/>
      <c r="MRQ1" s="87"/>
      <c r="MRR1" s="87"/>
      <c r="MRS1" s="87"/>
      <c r="MRT1" s="87"/>
      <c r="MRU1" s="87"/>
      <c r="MRV1" s="87"/>
      <c r="MRW1" s="87"/>
      <c r="MRX1" s="87"/>
      <c r="MRY1" s="87"/>
      <c r="MRZ1" s="87"/>
      <c r="MSA1" s="87"/>
      <c r="MSB1" s="87"/>
      <c r="MSC1" s="87"/>
      <c r="MSD1" s="87"/>
      <c r="MSE1" s="87"/>
      <c r="MSF1" s="87"/>
      <c r="MSG1" s="87"/>
      <c r="MSH1" s="87"/>
      <c r="MSI1" s="87"/>
      <c r="MSJ1" s="87"/>
      <c r="MSK1" s="87"/>
      <c r="MSL1" s="87"/>
      <c r="MSM1" s="87"/>
      <c r="MSN1" s="87"/>
      <c r="MSO1" s="87"/>
      <c r="MSP1" s="87"/>
      <c r="MSQ1" s="87"/>
      <c r="MSR1" s="87"/>
      <c r="MSS1" s="87"/>
      <c r="MST1" s="87"/>
      <c r="MSU1" s="87"/>
      <c r="MSV1" s="87"/>
      <c r="MSW1" s="87"/>
      <c r="MSX1" s="87"/>
      <c r="MSY1" s="87"/>
      <c r="MSZ1" s="87"/>
      <c r="MTA1" s="87"/>
      <c r="MTB1" s="87"/>
      <c r="MTC1" s="87"/>
      <c r="MTD1" s="87"/>
      <c r="MTE1" s="87"/>
      <c r="MTF1" s="87"/>
      <c r="MTG1" s="87"/>
      <c r="MTH1" s="87"/>
      <c r="MTI1" s="87"/>
      <c r="MTJ1" s="87"/>
      <c r="MTK1" s="87"/>
      <c r="MTL1" s="87"/>
      <c r="MTM1" s="87"/>
      <c r="MTN1" s="87"/>
      <c r="MTO1" s="87"/>
      <c r="MTP1" s="87"/>
      <c r="MTQ1" s="87"/>
      <c r="MTR1" s="87"/>
      <c r="MTS1" s="87"/>
      <c r="MTT1" s="87"/>
      <c r="MTU1" s="87"/>
      <c r="MTV1" s="87"/>
      <c r="MTW1" s="87"/>
      <c r="MTX1" s="87"/>
      <c r="MTY1" s="87"/>
      <c r="MTZ1" s="87"/>
      <c r="MUA1" s="87"/>
      <c r="MUB1" s="87"/>
      <c r="MUC1" s="87"/>
      <c r="MUD1" s="87"/>
      <c r="MUE1" s="87"/>
      <c r="MUF1" s="87"/>
      <c r="MUG1" s="87"/>
      <c r="MUH1" s="87"/>
      <c r="MUI1" s="87"/>
      <c r="MUJ1" s="87"/>
      <c r="MUK1" s="87"/>
      <c r="MUL1" s="87"/>
      <c r="MUM1" s="87"/>
      <c r="MUN1" s="87"/>
      <c r="MUO1" s="87"/>
      <c r="MUP1" s="87"/>
      <c r="MUQ1" s="87"/>
      <c r="MUR1" s="87"/>
      <c r="MUS1" s="87"/>
      <c r="MUT1" s="87"/>
      <c r="MUU1" s="87"/>
      <c r="MUV1" s="87"/>
      <c r="MUW1" s="87"/>
      <c r="MUX1" s="87"/>
      <c r="MUY1" s="87"/>
      <c r="MUZ1" s="87"/>
      <c r="MVA1" s="87"/>
      <c r="MVB1" s="87"/>
      <c r="MVC1" s="87"/>
      <c r="MVD1" s="87"/>
      <c r="MVE1" s="87"/>
      <c r="MVF1" s="87"/>
      <c r="MVG1" s="87"/>
      <c r="MVH1" s="87"/>
      <c r="MVI1" s="87"/>
      <c r="MVJ1" s="87"/>
      <c r="MVK1" s="87"/>
      <c r="MVL1" s="87"/>
      <c r="MVM1" s="87"/>
      <c r="MVN1" s="87"/>
      <c r="MVO1" s="87"/>
      <c r="MVP1" s="87"/>
      <c r="MVQ1" s="87"/>
      <c r="MVR1" s="87"/>
      <c r="MVS1" s="87"/>
      <c r="MVT1" s="87"/>
      <c r="MVU1" s="87"/>
      <c r="MVV1" s="87"/>
      <c r="MVW1" s="87"/>
      <c r="MVX1" s="87"/>
      <c r="MVY1" s="87"/>
      <c r="MVZ1" s="87"/>
      <c r="MWA1" s="87"/>
      <c r="MWB1" s="87"/>
      <c r="MWC1" s="87"/>
      <c r="MWD1" s="87"/>
      <c r="MWE1" s="87"/>
      <c r="MWF1" s="87"/>
      <c r="MWG1" s="87"/>
      <c r="MWH1" s="87"/>
      <c r="MWI1" s="87"/>
      <c r="MWJ1" s="87"/>
      <c r="MWK1" s="87"/>
      <c r="MWL1" s="87"/>
      <c r="MWM1" s="87"/>
      <c r="MWN1" s="87"/>
      <c r="MWO1" s="87"/>
      <c r="MWP1" s="87"/>
      <c r="MWQ1" s="87"/>
      <c r="MWR1" s="87"/>
      <c r="MWS1" s="87"/>
      <c r="MWT1" s="87"/>
      <c r="MWU1" s="87"/>
      <c r="MWV1" s="87"/>
      <c r="MWW1" s="87"/>
      <c r="MWX1" s="87"/>
      <c r="MWY1" s="87"/>
      <c r="MWZ1" s="87"/>
      <c r="MXA1" s="87"/>
      <c r="MXB1" s="87"/>
      <c r="MXC1" s="87"/>
      <c r="MXD1" s="87"/>
      <c r="MXE1" s="87"/>
      <c r="MXF1" s="87"/>
      <c r="MXG1" s="87"/>
      <c r="MXH1" s="87"/>
      <c r="MXI1" s="87"/>
      <c r="MXJ1" s="87"/>
      <c r="MXK1" s="87"/>
      <c r="MXL1" s="87"/>
      <c r="MXM1" s="87"/>
      <c r="MXN1" s="87"/>
      <c r="MXO1" s="87"/>
      <c r="MXP1" s="87"/>
      <c r="MXQ1" s="87"/>
      <c r="MXR1" s="87"/>
      <c r="MXS1" s="87"/>
      <c r="MXT1" s="87"/>
      <c r="MXU1" s="87"/>
      <c r="MXV1" s="87"/>
      <c r="MXW1" s="87"/>
      <c r="MXX1" s="87"/>
      <c r="MXY1" s="87"/>
      <c r="MXZ1" s="87"/>
      <c r="MYA1" s="87"/>
      <c r="MYB1" s="87"/>
      <c r="MYC1" s="87"/>
      <c r="MYD1" s="87"/>
      <c r="MYE1" s="87"/>
      <c r="MYF1" s="87"/>
      <c r="MYG1" s="87"/>
      <c r="MYH1" s="87"/>
      <c r="MYI1" s="87"/>
      <c r="MYJ1" s="87"/>
      <c r="MYK1" s="87"/>
      <c r="MYL1" s="87"/>
      <c r="MYM1" s="87"/>
      <c r="MYN1" s="87"/>
      <c r="MYO1" s="87"/>
      <c r="MYP1" s="87"/>
      <c r="MYQ1" s="87"/>
      <c r="MYR1" s="87"/>
      <c r="MYS1" s="87"/>
      <c r="MYT1" s="87"/>
      <c r="MYU1" s="87"/>
      <c r="MYV1" s="87"/>
      <c r="MYW1" s="87"/>
      <c r="MYX1" s="87"/>
      <c r="MYY1" s="87"/>
      <c r="MYZ1" s="87"/>
      <c r="MZA1" s="87"/>
      <c r="MZB1" s="87"/>
      <c r="MZC1" s="87"/>
      <c r="MZD1" s="87"/>
      <c r="MZE1" s="87"/>
      <c r="MZF1" s="87"/>
      <c r="MZG1" s="87"/>
      <c r="MZH1" s="87"/>
      <c r="MZI1" s="87"/>
      <c r="MZJ1" s="87"/>
      <c r="MZK1" s="87"/>
      <c r="MZL1" s="87"/>
      <c r="MZM1" s="87"/>
      <c r="MZN1" s="87"/>
      <c r="MZO1" s="87"/>
      <c r="MZP1" s="87"/>
      <c r="MZQ1" s="87"/>
      <c r="MZR1" s="87"/>
      <c r="MZS1" s="87"/>
      <c r="MZT1" s="87"/>
      <c r="MZU1" s="87"/>
      <c r="MZV1" s="87"/>
      <c r="MZW1" s="87"/>
      <c r="MZX1" s="87"/>
      <c r="MZY1" s="87"/>
      <c r="MZZ1" s="87"/>
      <c r="NAA1" s="87"/>
      <c r="NAB1" s="87"/>
      <c r="NAC1" s="87"/>
      <c r="NAD1" s="87"/>
      <c r="NAE1" s="87"/>
      <c r="NAF1" s="87"/>
      <c r="NAG1" s="87"/>
      <c r="NAH1" s="87"/>
      <c r="NAI1" s="87"/>
      <c r="NAJ1" s="87"/>
      <c r="NAK1" s="87"/>
      <c r="NAL1" s="87"/>
      <c r="NAM1" s="87"/>
      <c r="NAN1" s="87"/>
      <c r="NAO1" s="87"/>
      <c r="NAP1" s="87"/>
      <c r="NAQ1" s="87"/>
      <c r="NAR1" s="87"/>
      <c r="NAS1" s="87"/>
      <c r="NAT1" s="87"/>
      <c r="NAU1" s="87"/>
      <c r="NAV1" s="87"/>
      <c r="NAW1" s="87"/>
      <c r="NAX1" s="87"/>
      <c r="NAY1" s="87"/>
      <c r="NAZ1" s="87"/>
      <c r="NBA1" s="87"/>
      <c r="NBB1" s="87"/>
      <c r="NBC1" s="87"/>
      <c r="NBD1" s="87"/>
      <c r="NBE1" s="87"/>
      <c r="NBF1" s="87"/>
      <c r="NBG1" s="87"/>
      <c r="NBH1" s="87"/>
      <c r="NBI1" s="87"/>
      <c r="NBJ1" s="87"/>
      <c r="NBK1" s="87"/>
      <c r="NBL1" s="87"/>
      <c r="NBM1" s="87"/>
      <c r="NBN1" s="87"/>
      <c r="NBO1" s="87"/>
      <c r="NBP1" s="87"/>
      <c r="NBQ1" s="87"/>
      <c r="NBR1" s="87"/>
      <c r="NBS1" s="87"/>
      <c r="NBT1" s="87"/>
      <c r="NBU1" s="87"/>
      <c r="NBV1" s="87"/>
      <c r="NBW1" s="87"/>
      <c r="NBX1" s="87"/>
      <c r="NBY1" s="87"/>
      <c r="NBZ1" s="87"/>
      <c r="NCA1" s="87"/>
      <c r="NCB1" s="87"/>
      <c r="NCC1" s="87"/>
      <c r="NCD1" s="87"/>
      <c r="NCE1" s="87"/>
      <c r="NCF1" s="87"/>
      <c r="NCG1" s="87"/>
      <c r="NCH1" s="87"/>
      <c r="NCI1" s="87"/>
      <c r="NCJ1" s="87"/>
      <c r="NCK1" s="87"/>
      <c r="NCL1" s="87"/>
      <c r="NCM1" s="87"/>
      <c r="NCN1" s="87"/>
      <c r="NCO1" s="87"/>
      <c r="NCP1" s="87"/>
      <c r="NCQ1" s="87"/>
      <c r="NCR1" s="87"/>
      <c r="NCS1" s="87"/>
      <c r="NCT1" s="87"/>
      <c r="NCU1" s="87"/>
      <c r="NCV1" s="87"/>
      <c r="NCW1" s="87"/>
      <c r="NCX1" s="87"/>
      <c r="NCY1" s="87"/>
      <c r="NCZ1" s="87"/>
      <c r="NDA1" s="87"/>
      <c r="NDB1" s="87"/>
      <c r="NDC1" s="87"/>
      <c r="NDD1" s="87"/>
      <c r="NDE1" s="87"/>
      <c r="NDF1" s="87"/>
      <c r="NDG1" s="87"/>
      <c r="NDH1" s="87"/>
      <c r="NDI1" s="87"/>
      <c r="NDJ1" s="87"/>
      <c r="NDK1" s="87"/>
      <c r="NDL1" s="87"/>
      <c r="NDM1" s="87"/>
      <c r="NDN1" s="87"/>
      <c r="NDO1" s="87"/>
      <c r="NDP1" s="87"/>
      <c r="NDQ1" s="87"/>
      <c r="NDR1" s="87"/>
      <c r="NDS1" s="87"/>
      <c r="NDT1" s="87"/>
      <c r="NDU1" s="87"/>
      <c r="NDV1" s="87"/>
      <c r="NDW1" s="87"/>
      <c r="NDX1" s="87"/>
      <c r="NDY1" s="87"/>
      <c r="NDZ1" s="87"/>
      <c r="NEA1" s="87"/>
      <c r="NEB1" s="87"/>
      <c r="NEC1" s="87"/>
      <c r="NED1" s="87"/>
      <c r="NEE1" s="87"/>
      <c r="NEF1" s="87"/>
      <c r="NEG1" s="87"/>
      <c r="NEH1" s="87"/>
      <c r="NEI1" s="87"/>
      <c r="NEJ1" s="87"/>
      <c r="NEK1" s="87"/>
      <c r="NEL1" s="87"/>
      <c r="NEM1" s="87"/>
      <c r="NEN1" s="87"/>
      <c r="NEO1" s="87"/>
      <c r="NEP1" s="87"/>
      <c r="NEQ1" s="87"/>
      <c r="NER1" s="87"/>
      <c r="NES1" s="87"/>
      <c r="NET1" s="87"/>
      <c r="NEU1" s="87"/>
      <c r="NEV1" s="87"/>
      <c r="NEW1" s="87"/>
      <c r="NEX1" s="87"/>
      <c r="NEY1" s="87"/>
      <c r="NEZ1" s="87"/>
      <c r="NFA1" s="87"/>
      <c r="NFB1" s="87"/>
      <c r="NFC1" s="87"/>
      <c r="NFD1" s="87"/>
      <c r="NFE1" s="87"/>
      <c r="NFF1" s="87"/>
      <c r="NFG1" s="87"/>
      <c r="NFH1" s="87"/>
      <c r="NFI1" s="87"/>
      <c r="NFJ1" s="87"/>
      <c r="NFK1" s="87"/>
      <c r="NFL1" s="87"/>
      <c r="NFM1" s="87"/>
      <c r="NFN1" s="87"/>
      <c r="NFO1" s="87"/>
      <c r="NFP1" s="87"/>
      <c r="NFQ1" s="87"/>
      <c r="NFR1" s="87"/>
      <c r="NFS1" s="87"/>
      <c r="NFT1" s="87"/>
      <c r="NFU1" s="87"/>
      <c r="NFV1" s="87"/>
      <c r="NFW1" s="87"/>
      <c r="NFX1" s="87"/>
      <c r="NFY1" s="87"/>
      <c r="NFZ1" s="87"/>
      <c r="NGA1" s="87"/>
      <c r="NGB1" s="87"/>
      <c r="NGC1" s="87"/>
      <c r="NGD1" s="87"/>
      <c r="NGE1" s="87"/>
      <c r="NGF1" s="87"/>
      <c r="NGG1" s="87"/>
      <c r="NGH1" s="87"/>
      <c r="NGI1" s="87"/>
      <c r="NGJ1" s="87"/>
      <c r="NGK1" s="87"/>
      <c r="NGL1" s="87"/>
      <c r="NGM1" s="87"/>
      <c r="NGN1" s="87"/>
      <c r="NGO1" s="87"/>
      <c r="NGP1" s="87"/>
      <c r="NGQ1" s="87"/>
      <c r="NGR1" s="87"/>
      <c r="NGS1" s="87"/>
      <c r="NGT1" s="87"/>
      <c r="NGU1" s="87"/>
      <c r="NGV1" s="87"/>
      <c r="NGW1" s="87"/>
      <c r="NGX1" s="87"/>
      <c r="NGY1" s="87"/>
      <c r="NGZ1" s="87"/>
      <c r="NHA1" s="87"/>
      <c r="NHB1" s="87"/>
      <c r="NHC1" s="87"/>
      <c r="NHD1" s="87"/>
      <c r="NHE1" s="87"/>
      <c r="NHF1" s="87"/>
      <c r="NHG1" s="87"/>
      <c r="NHH1" s="87"/>
      <c r="NHI1" s="87"/>
      <c r="NHJ1" s="87"/>
      <c r="NHK1" s="87"/>
      <c r="NHL1" s="87"/>
      <c r="NHM1" s="87"/>
      <c r="NHN1" s="87"/>
      <c r="NHO1" s="87"/>
      <c r="NHP1" s="87"/>
      <c r="NHQ1" s="87"/>
      <c r="NHR1" s="87"/>
      <c r="NHS1" s="87"/>
      <c r="NHT1" s="87"/>
      <c r="NHU1" s="87"/>
      <c r="NHV1" s="87"/>
      <c r="NHW1" s="87"/>
      <c r="NHX1" s="87"/>
      <c r="NHY1" s="87"/>
      <c r="NHZ1" s="87"/>
      <c r="NIA1" s="87"/>
      <c r="NIB1" s="87"/>
      <c r="NIC1" s="87"/>
      <c r="NID1" s="87"/>
      <c r="NIE1" s="87"/>
      <c r="NIF1" s="87"/>
      <c r="NIG1" s="87"/>
      <c r="NIH1" s="87"/>
      <c r="NII1" s="87"/>
      <c r="NIJ1" s="87"/>
      <c r="NIK1" s="87"/>
      <c r="NIL1" s="87"/>
      <c r="NIM1" s="87"/>
      <c r="NIN1" s="87"/>
      <c r="NIO1" s="87"/>
      <c r="NIP1" s="87"/>
      <c r="NIQ1" s="87"/>
      <c r="NIR1" s="87"/>
      <c r="NIS1" s="87"/>
      <c r="NIT1" s="87"/>
      <c r="NIU1" s="87"/>
      <c r="NIV1" s="87"/>
      <c r="NIW1" s="87"/>
      <c r="NIX1" s="87"/>
      <c r="NIY1" s="87"/>
      <c r="NIZ1" s="87"/>
      <c r="NJA1" s="87"/>
      <c r="NJB1" s="87"/>
      <c r="NJC1" s="87"/>
      <c r="NJD1" s="87"/>
      <c r="NJE1" s="87"/>
      <c r="NJF1" s="87"/>
      <c r="NJG1" s="87"/>
      <c r="NJH1" s="87"/>
      <c r="NJI1" s="87"/>
      <c r="NJJ1" s="87"/>
      <c r="NJK1" s="87"/>
      <c r="NJL1" s="87"/>
      <c r="NJM1" s="87"/>
      <c r="NJN1" s="87"/>
      <c r="NJO1" s="87"/>
      <c r="NJP1" s="87"/>
      <c r="NJQ1" s="87"/>
      <c r="NJR1" s="87"/>
      <c r="NJS1" s="87"/>
      <c r="NJT1" s="87"/>
      <c r="NJU1" s="87"/>
      <c r="NJV1" s="87"/>
      <c r="NJW1" s="87"/>
      <c r="NJX1" s="87"/>
      <c r="NJY1" s="87"/>
      <c r="NJZ1" s="87"/>
      <c r="NKA1" s="87"/>
      <c r="NKB1" s="87"/>
      <c r="NKC1" s="87"/>
      <c r="NKD1" s="87"/>
      <c r="NKE1" s="87"/>
      <c r="NKF1" s="87"/>
      <c r="NKG1" s="87"/>
      <c r="NKH1" s="87"/>
      <c r="NKI1" s="87"/>
      <c r="NKJ1" s="87"/>
      <c r="NKK1" s="87"/>
      <c r="NKL1" s="87"/>
      <c r="NKM1" s="87"/>
      <c r="NKN1" s="87"/>
      <c r="NKO1" s="87"/>
      <c r="NKP1" s="87"/>
      <c r="NKQ1" s="87"/>
      <c r="NKR1" s="87"/>
      <c r="NKS1" s="87"/>
      <c r="NKT1" s="87"/>
      <c r="NKU1" s="87"/>
      <c r="NKV1" s="87"/>
      <c r="NKW1" s="87"/>
      <c r="NKX1" s="87"/>
      <c r="NKY1" s="87"/>
      <c r="NKZ1" s="87"/>
      <c r="NLA1" s="87"/>
      <c r="NLB1" s="87"/>
      <c r="NLC1" s="87"/>
      <c r="NLD1" s="87"/>
      <c r="NLE1" s="87"/>
      <c r="NLF1" s="87"/>
      <c r="NLG1" s="87"/>
      <c r="NLH1" s="87"/>
      <c r="NLI1" s="87"/>
      <c r="NLJ1" s="87"/>
      <c r="NLK1" s="87"/>
      <c r="NLL1" s="87"/>
      <c r="NLM1" s="87"/>
      <c r="NLN1" s="87"/>
      <c r="NLO1" s="87"/>
      <c r="NLP1" s="87"/>
      <c r="NLQ1" s="87"/>
      <c r="NLR1" s="87"/>
      <c r="NLS1" s="87"/>
      <c r="NLT1" s="87"/>
      <c r="NLU1" s="87"/>
      <c r="NLV1" s="87"/>
      <c r="NLW1" s="87"/>
      <c r="NLX1" s="87"/>
      <c r="NLY1" s="87"/>
      <c r="NLZ1" s="87"/>
      <c r="NMA1" s="87"/>
      <c r="NMB1" s="87"/>
      <c r="NMC1" s="87"/>
      <c r="NMD1" s="87"/>
      <c r="NME1" s="87"/>
      <c r="NMF1" s="87"/>
      <c r="NMG1" s="87"/>
      <c r="NMH1" s="87"/>
      <c r="NMI1" s="87"/>
      <c r="NMJ1" s="87"/>
      <c r="NMK1" s="87"/>
      <c r="NML1" s="87"/>
      <c r="NMM1" s="87"/>
      <c r="NMN1" s="87"/>
      <c r="NMO1" s="87"/>
      <c r="NMP1" s="87"/>
      <c r="NMQ1" s="87"/>
      <c r="NMR1" s="87"/>
      <c r="NMS1" s="87"/>
      <c r="NMT1" s="87"/>
      <c r="NMU1" s="87"/>
      <c r="NMV1" s="87"/>
      <c r="NMW1" s="87"/>
      <c r="NMX1" s="87"/>
      <c r="NMY1" s="87"/>
      <c r="NMZ1" s="87"/>
      <c r="NNA1" s="87"/>
      <c r="NNB1" s="87"/>
      <c r="NNC1" s="87"/>
      <c r="NND1" s="87"/>
      <c r="NNE1" s="87"/>
      <c r="NNF1" s="87"/>
      <c r="NNG1" s="87"/>
      <c r="NNH1" s="87"/>
      <c r="NNI1" s="87"/>
      <c r="NNJ1" s="87"/>
      <c r="NNK1" s="87"/>
      <c r="NNL1" s="87"/>
      <c r="NNM1" s="87"/>
      <c r="NNN1" s="87"/>
      <c r="NNO1" s="87"/>
      <c r="NNP1" s="87"/>
      <c r="NNQ1" s="87"/>
      <c r="NNR1" s="87"/>
      <c r="NNS1" s="87"/>
      <c r="NNT1" s="87"/>
      <c r="NNU1" s="87"/>
      <c r="NNV1" s="87"/>
      <c r="NNW1" s="87"/>
      <c r="NNX1" s="87"/>
      <c r="NNY1" s="87"/>
      <c r="NNZ1" s="87"/>
      <c r="NOA1" s="87"/>
      <c r="NOB1" s="87"/>
      <c r="NOC1" s="87"/>
      <c r="NOD1" s="87"/>
      <c r="NOE1" s="87"/>
      <c r="NOF1" s="87"/>
      <c r="NOG1" s="87"/>
      <c r="NOH1" s="87"/>
      <c r="NOI1" s="87"/>
      <c r="NOJ1" s="87"/>
      <c r="NOK1" s="87"/>
      <c r="NOL1" s="87"/>
      <c r="NOM1" s="87"/>
      <c r="NON1" s="87"/>
      <c r="NOO1" s="87"/>
      <c r="NOP1" s="87"/>
      <c r="NOQ1" s="87"/>
      <c r="NOR1" s="87"/>
      <c r="NOS1" s="87"/>
      <c r="NOT1" s="87"/>
      <c r="NOU1" s="87"/>
      <c r="NOV1" s="87"/>
      <c r="NOW1" s="87"/>
      <c r="NOX1" s="87"/>
      <c r="NOY1" s="87"/>
      <c r="NOZ1" s="87"/>
      <c r="NPA1" s="87"/>
      <c r="NPB1" s="87"/>
      <c r="NPC1" s="87"/>
      <c r="NPD1" s="87"/>
      <c r="NPE1" s="87"/>
      <c r="NPF1" s="87"/>
      <c r="NPG1" s="87"/>
      <c r="NPH1" s="87"/>
      <c r="NPI1" s="87"/>
      <c r="NPJ1" s="87"/>
      <c r="NPK1" s="87"/>
      <c r="NPL1" s="87"/>
      <c r="NPM1" s="87"/>
      <c r="NPN1" s="87"/>
      <c r="NPO1" s="87"/>
      <c r="NPP1" s="87"/>
      <c r="NPQ1" s="87"/>
      <c r="NPR1" s="87"/>
      <c r="NPS1" s="87"/>
      <c r="NPT1" s="87"/>
      <c r="NPU1" s="87"/>
      <c r="NPV1" s="87"/>
      <c r="NPW1" s="87"/>
      <c r="NPX1" s="87"/>
      <c r="NPY1" s="87"/>
      <c r="NPZ1" s="87"/>
      <c r="NQA1" s="87"/>
      <c r="NQB1" s="87"/>
      <c r="NQC1" s="87"/>
      <c r="NQD1" s="87"/>
      <c r="NQE1" s="87"/>
      <c r="NQF1" s="87"/>
      <c r="NQG1" s="87"/>
      <c r="NQH1" s="87"/>
      <c r="NQI1" s="87"/>
      <c r="NQJ1" s="87"/>
      <c r="NQK1" s="87"/>
      <c r="NQL1" s="87"/>
      <c r="NQM1" s="87"/>
      <c r="NQN1" s="87"/>
      <c r="NQO1" s="87"/>
      <c r="NQP1" s="87"/>
      <c r="NQQ1" s="87"/>
      <c r="NQR1" s="87"/>
      <c r="NQS1" s="87"/>
      <c r="NQT1" s="87"/>
      <c r="NQU1" s="87"/>
      <c r="NQV1" s="87"/>
      <c r="NQW1" s="87"/>
      <c r="NQX1" s="87"/>
      <c r="NQY1" s="87"/>
      <c r="NQZ1" s="87"/>
      <c r="NRA1" s="87"/>
      <c r="NRB1" s="87"/>
      <c r="NRC1" s="87"/>
      <c r="NRD1" s="87"/>
      <c r="NRE1" s="87"/>
      <c r="NRF1" s="87"/>
      <c r="NRG1" s="87"/>
      <c r="NRH1" s="87"/>
      <c r="NRI1" s="87"/>
      <c r="NRJ1" s="87"/>
      <c r="NRK1" s="87"/>
      <c r="NRL1" s="87"/>
      <c r="NRM1" s="87"/>
      <c r="NRN1" s="87"/>
      <c r="NRO1" s="87"/>
      <c r="NRP1" s="87"/>
      <c r="NRQ1" s="87"/>
      <c r="NRR1" s="87"/>
      <c r="NRS1" s="87"/>
      <c r="NRT1" s="87"/>
      <c r="NRU1" s="87"/>
      <c r="NRV1" s="87"/>
      <c r="NRW1" s="87"/>
      <c r="NRX1" s="87"/>
      <c r="NRY1" s="87"/>
      <c r="NRZ1" s="87"/>
      <c r="NSA1" s="87"/>
      <c r="NSB1" s="87"/>
      <c r="NSC1" s="87"/>
      <c r="NSD1" s="87"/>
      <c r="NSE1" s="87"/>
      <c r="NSF1" s="87"/>
      <c r="NSG1" s="87"/>
      <c r="NSH1" s="87"/>
      <c r="NSI1" s="87"/>
      <c r="NSJ1" s="87"/>
      <c r="NSK1" s="87"/>
      <c r="NSL1" s="87"/>
      <c r="NSM1" s="87"/>
      <c r="NSN1" s="87"/>
      <c r="NSO1" s="87"/>
      <c r="NSP1" s="87"/>
      <c r="NSQ1" s="87"/>
      <c r="NSR1" s="87"/>
      <c r="NSS1" s="87"/>
      <c r="NST1" s="87"/>
      <c r="NSU1" s="87"/>
      <c r="NSV1" s="87"/>
      <c r="NSW1" s="87"/>
      <c r="NSX1" s="87"/>
      <c r="NSY1" s="87"/>
      <c r="NSZ1" s="87"/>
      <c r="NTA1" s="87"/>
      <c r="NTB1" s="87"/>
      <c r="NTC1" s="87"/>
      <c r="NTD1" s="87"/>
      <c r="NTE1" s="87"/>
      <c r="NTF1" s="87"/>
      <c r="NTG1" s="87"/>
      <c r="NTH1" s="87"/>
      <c r="NTI1" s="87"/>
      <c r="NTJ1" s="87"/>
      <c r="NTK1" s="87"/>
      <c r="NTL1" s="87"/>
      <c r="NTM1" s="87"/>
      <c r="NTN1" s="87"/>
      <c r="NTO1" s="87"/>
      <c r="NTP1" s="87"/>
      <c r="NTQ1" s="87"/>
      <c r="NTR1" s="87"/>
      <c r="NTS1" s="87"/>
      <c r="NTT1" s="87"/>
      <c r="NTU1" s="87"/>
      <c r="NTV1" s="87"/>
      <c r="NTW1" s="87"/>
      <c r="NTX1" s="87"/>
      <c r="NTY1" s="87"/>
      <c r="NTZ1" s="87"/>
      <c r="NUA1" s="87"/>
      <c r="NUB1" s="87"/>
      <c r="NUC1" s="87"/>
      <c r="NUD1" s="87"/>
      <c r="NUE1" s="87"/>
      <c r="NUF1" s="87"/>
      <c r="NUG1" s="87"/>
      <c r="NUH1" s="87"/>
      <c r="NUI1" s="87"/>
      <c r="NUJ1" s="87"/>
      <c r="NUK1" s="87"/>
      <c r="NUL1" s="87"/>
      <c r="NUM1" s="87"/>
      <c r="NUN1" s="87"/>
      <c r="NUO1" s="87"/>
      <c r="NUP1" s="87"/>
      <c r="NUQ1" s="87"/>
      <c r="NUR1" s="87"/>
      <c r="NUS1" s="87"/>
      <c r="NUT1" s="87"/>
      <c r="NUU1" s="87"/>
      <c r="NUV1" s="87"/>
      <c r="NUW1" s="87"/>
      <c r="NUX1" s="87"/>
      <c r="NUY1" s="87"/>
      <c r="NUZ1" s="87"/>
      <c r="NVA1" s="87"/>
      <c r="NVB1" s="87"/>
      <c r="NVC1" s="87"/>
      <c r="NVD1" s="87"/>
      <c r="NVE1" s="87"/>
      <c r="NVF1" s="87"/>
      <c r="NVG1" s="87"/>
      <c r="NVH1" s="87"/>
      <c r="NVI1" s="87"/>
      <c r="NVJ1" s="87"/>
      <c r="NVK1" s="87"/>
      <c r="NVL1" s="87"/>
      <c r="NVM1" s="87"/>
      <c r="NVN1" s="87"/>
      <c r="NVO1" s="87"/>
      <c r="NVP1" s="87"/>
      <c r="NVQ1" s="87"/>
      <c r="NVR1" s="87"/>
      <c r="NVS1" s="87"/>
      <c r="NVT1" s="87"/>
      <c r="NVU1" s="87"/>
      <c r="NVV1" s="87"/>
      <c r="NVW1" s="87"/>
      <c r="NVX1" s="87"/>
      <c r="NVY1" s="87"/>
      <c r="NVZ1" s="87"/>
      <c r="NWA1" s="87"/>
      <c r="NWB1" s="87"/>
      <c r="NWC1" s="87"/>
      <c r="NWD1" s="87"/>
      <c r="NWE1" s="87"/>
      <c r="NWF1" s="87"/>
      <c r="NWG1" s="87"/>
      <c r="NWH1" s="87"/>
      <c r="NWI1" s="87"/>
      <c r="NWJ1" s="87"/>
      <c r="NWK1" s="87"/>
      <c r="NWL1" s="87"/>
      <c r="NWM1" s="87"/>
      <c r="NWN1" s="87"/>
      <c r="NWO1" s="87"/>
      <c r="NWP1" s="87"/>
      <c r="NWQ1" s="87"/>
      <c r="NWR1" s="87"/>
      <c r="NWS1" s="87"/>
      <c r="NWT1" s="87"/>
      <c r="NWU1" s="87"/>
      <c r="NWV1" s="87"/>
      <c r="NWW1" s="87"/>
      <c r="NWX1" s="87"/>
      <c r="NWY1" s="87"/>
      <c r="NWZ1" s="87"/>
      <c r="NXA1" s="87"/>
      <c r="NXB1" s="87"/>
      <c r="NXC1" s="87"/>
      <c r="NXD1" s="87"/>
      <c r="NXE1" s="87"/>
      <c r="NXF1" s="87"/>
      <c r="NXG1" s="87"/>
      <c r="NXH1" s="87"/>
      <c r="NXI1" s="87"/>
      <c r="NXJ1" s="87"/>
      <c r="NXK1" s="87"/>
      <c r="NXL1" s="87"/>
      <c r="NXM1" s="87"/>
      <c r="NXN1" s="87"/>
      <c r="NXO1" s="87"/>
      <c r="NXP1" s="87"/>
      <c r="NXQ1" s="87"/>
      <c r="NXR1" s="87"/>
      <c r="NXS1" s="87"/>
      <c r="NXT1" s="87"/>
      <c r="NXU1" s="87"/>
      <c r="NXV1" s="87"/>
      <c r="NXW1" s="87"/>
      <c r="NXX1" s="87"/>
      <c r="NXY1" s="87"/>
      <c r="NXZ1" s="87"/>
      <c r="NYA1" s="87"/>
      <c r="NYB1" s="87"/>
      <c r="NYC1" s="87"/>
      <c r="NYD1" s="87"/>
      <c r="NYE1" s="87"/>
      <c r="NYF1" s="87"/>
      <c r="NYG1" s="87"/>
      <c r="NYH1" s="87"/>
      <c r="NYI1" s="87"/>
      <c r="NYJ1" s="87"/>
      <c r="NYK1" s="87"/>
      <c r="NYL1" s="87"/>
      <c r="NYM1" s="87"/>
      <c r="NYN1" s="87"/>
      <c r="NYO1" s="87"/>
      <c r="NYP1" s="87"/>
      <c r="NYQ1" s="87"/>
      <c r="NYR1" s="87"/>
      <c r="NYS1" s="87"/>
      <c r="NYT1" s="87"/>
      <c r="NYU1" s="87"/>
      <c r="NYV1" s="87"/>
      <c r="NYW1" s="87"/>
      <c r="NYX1" s="87"/>
      <c r="NYY1" s="87"/>
      <c r="NYZ1" s="87"/>
      <c r="NZA1" s="87"/>
      <c r="NZB1" s="87"/>
      <c r="NZC1" s="87"/>
      <c r="NZD1" s="87"/>
      <c r="NZE1" s="87"/>
      <c r="NZF1" s="87"/>
      <c r="NZG1" s="87"/>
      <c r="NZH1" s="87"/>
      <c r="NZI1" s="87"/>
      <c r="NZJ1" s="87"/>
      <c r="NZK1" s="87"/>
      <c r="NZL1" s="87"/>
      <c r="NZM1" s="87"/>
      <c r="NZN1" s="87"/>
      <c r="NZO1" s="87"/>
      <c r="NZP1" s="87"/>
      <c r="NZQ1" s="87"/>
      <c r="NZR1" s="87"/>
      <c r="NZS1" s="87"/>
      <c r="NZT1" s="87"/>
      <c r="NZU1" s="87"/>
      <c r="NZV1" s="87"/>
      <c r="NZW1" s="87"/>
      <c r="NZX1" s="87"/>
      <c r="NZY1" s="87"/>
      <c r="NZZ1" s="87"/>
      <c r="OAA1" s="87"/>
      <c r="OAB1" s="87"/>
      <c r="OAC1" s="87"/>
      <c r="OAD1" s="87"/>
      <c r="OAE1" s="87"/>
      <c r="OAF1" s="87"/>
      <c r="OAG1" s="87"/>
      <c r="OAH1" s="87"/>
      <c r="OAI1" s="87"/>
      <c r="OAJ1" s="87"/>
      <c r="OAK1" s="87"/>
      <c r="OAL1" s="87"/>
      <c r="OAM1" s="87"/>
      <c r="OAN1" s="87"/>
      <c r="OAO1" s="87"/>
      <c r="OAP1" s="87"/>
      <c r="OAQ1" s="87"/>
      <c r="OAR1" s="87"/>
      <c r="OAS1" s="87"/>
      <c r="OAT1" s="87"/>
      <c r="OAU1" s="87"/>
      <c r="OAV1" s="87"/>
      <c r="OAW1" s="87"/>
      <c r="OAX1" s="87"/>
      <c r="OAY1" s="87"/>
      <c r="OAZ1" s="87"/>
      <c r="OBA1" s="87"/>
      <c r="OBB1" s="87"/>
      <c r="OBC1" s="87"/>
      <c r="OBD1" s="87"/>
      <c r="OBE1" s="87"/>
      <c r="OBF1" s="87"/>
      <c r="OBG1" s="87"/>
      <c r="OBH1" s="87"/>
      <c r="OBI1" s="87"/>
      <c r="OBJ1" s="87"/>
      <c r="OBK1" s="87"/>
      <c r="OBL1" s="87"/>
      <c r="OBM1" s="87"/>
      <c r="OBN1" s="87"/>
      <c r="OBO1" s="87"/>
      <c r="OBP1" s="87"/>
      <c r="OBQ1" s="87"/>
      <c r="OBR1" s="87"/>
      <c r="OBS1" s="87"/>
      <c r="OBT1" s="87"/>
      <c r="OBU1" s="87"/>
      <c r="OBV1" s="87"/>
      <c r="OBW1" s="87"/>
      <c r="OBX1" s="87"/>
      <c r="OBY1" s="87"/>
      <c r="OBZ1" s="87"/>
      <c r="OCA1" s="87"/>
      <c r="OCB1" s="87"/>
      <c r="OCC1" s="87"/>
      <c r="OCD1" s="87"/>
      <c r="OCE1" s="87"/>
      <c r="OCF1" s="87"/>
      <c r="OCG1" s="87"/>
      <c r="OCH1" s="87"/>
      <c r="OCI1" s="87"/>
      <c r="OCJ1" s="87"/>
      <c r="OCK1" s="87"/>
      <c r="OCL1" s="87"/>
      <c r="OCM1" s="87"/>
      <c r="OCN1" s="87"/>
      <c r="OCO1" s="87"/>
      <c r="OCP1" s="87"/>
      <c r="OCQ1" s="87"/>
      <c r="OCR1" s="87"/>
      <c r="OCS1" s="87"/>
      <c r="OCT1" s="87"/>
      <c r="OCU1" s="87"/>
      <c r="OCV1" s="87"/>
      <c r="OCW1" s="87"/>
      <c r="OCX1" s="87"/>
      <c r="OCY1" s="87"/>
      <c r="OCZ1" s="87"/>
      <c r="ODA1" s="87"/>
      <c r="ODB1" s="87"/>
      <c r="ODC1" s="87"/>
      <c r="ODD1" s="87"/>
      <c r="ODE1" s="87"/>
      <c r="ODF1" s="87"/>
      <c r="ODG1" s="87"/>
      <c r="ODH1" s="87"/>
      <c r="ODI1" s="87"/>
      <c r="ODJ1" s="87"/>
      <c r="ODK1" s="87"/>
      <c r="ODL1" s="87"/>
      <c r="ODM1" s="87"/>
      <c r="ODN1" s="87"/>
      <c r="ODO1" s="87"/>
      <c r="ODP1" s="87"/>
      <c r="ODQ1" s="87"/>
      <c r="ODR1" s="87"/>
      <c r="ODS1" s="87"/>
      <c r="ODT1" s="87"/>
      <c r="ODU1" s="87"/>
      <c r="ODV1" s="87"/>
      <c r="ODW1" s="87"/>
      <c r="ODX1" s="87"/>
      <c r="ODY1" s="87"/>
      <c r="ODZ1" s="87"/>
      <c r="OEA1" s="87"/>
      <c r="OEB1" s="87"/>
      <c r="OEC1" s="87"/>
      <c r="OED1" s="87"/>
      <c r="OEE1" s="87"/>
      <c r="OEF1" s="87"/>
      <c r="OEG1" s="87"/>
      <c r="OEH1" s="87"/>
      <c r="OEI1" s="87"/>
      <c r="OEJ1" s="87"/>
      <c r="OEK1" s="87"/>
      <c r="OEL1" s="87"/>
      <c r="OEM1" s="87"/>
      <c r="OEN1" s="87"/>
      <c r="OEO1" s="87"/>
      <c r="OEP1" s="87"/>
      <c r="OEQ1" s="87"/>
      <c r="OER1" s="87"/>
      <c r="OES1" s="87"/>
      <c r="OET1" s="87"/>
      <c r="OEU1" s="87"/>
      <c r="OEV1" s="87"/>
      <c r="OEW1" s="87"/>
      <c r="OEX1" s="87"/>
      <c r="OEY1" s="87"/>
      <c r="OEZ1" s="87"/>
      <c r="OFA1" s="87"/>
      <c r="OFB1" s="87"/>
      <c r="OFC1" s="87"/>
      <c r="OFD1" s="87"/>
      <c r="OFE1" s="87"/>
      <c r="OFF1" s="87"/>
      <c r="OFG1" s="87"/>
      <c r="OFH1" s="87"/>
      <c r="OFI1" s="87"/>
      <c r="OFJ1" s="87"/>
      <c r="OFK1" s="87"/>
      <c r="OFL1" s="87"/>
      <c r="OFM1" s="87"/>
      <c r="OFN1" s="87"/>
      <c r="OFO1" s="87"/>
      <c r="OFP1" s="87"/>
      <c r="OFQ1" s="87"/>
      <c r="OFR1" s="87"/>
      <c r="OFS1" s="87"/>
      <c r="OFT1" s="87"/>
      <c r="OFU1" s="87"/>
      <c r="OFV1" s="87"/>
      <c r="OFW1" s="87"/>
      <c r="OFX1" s="87"/>
      <c r="OFY1" s="87"/>
      <c r="OFZ1" s="87"/>
      <c r="OGA1" s="87"/>
      <c r="OGB1" s="87"/>
      <c r="OGC1" s="87"/>
      <c r="OGD1" s="87"/>
      <c r="OGE1" s="87"/>
      <c r="OGF1" s="87"/>
      <c r="OGG1" s="87"/>
      <c r="OGH1" s="87"/>
      <c r="OGI1" s="87"/>
      <c r="OGJ1" s="87"/>
      <c r="OGK1" s="87"/>
      <c r="OGL1" s="87"/>
      <c r="OGM1" s="87"/>
      <c r="OGN1" s="87"/>
      <c r="OGO1" s="87"/>
      <c r="OGP1" s="87"/>
      <c r="OGQ1" s="87"/>
      <c r="OGR1" s="87"/>
      <c r="OGS1" s="87"/>
      <c r="OGT1" s="87"/>
      <c r="OGU1" s="87"/>
      <c r="OGV1" s="87"/>
      <c r="OGW1" s="87"/>
      <c r="OGX1" s="87"/>
      <c r="OGY1" s="87"/>
      <c r="OGZ1" s="87"/>
      <c r="OHA1" s="87"/>
      <c r="OHB1" s="87"/>
      <c r="OHC1" s="87"/>
      <c r="OHD1" s="87"/>
      <c r="OHE1" s="87"/>
      <c r="OHF1" s="87"/>
      <c r="OHG1" s="87"/>
      <c r="OHH1" s="87"/>
      <c r="OHI1" s="87"/>
      <c r="OHJ1" s="87"/>
      <c r="OHK1" s="87"/>
      <c r="OHL1" s="87"/>
      <c r="OHM1" s="87"/>
      <c r="OHN1" s="87"/>
      <c r="OHO1" s="87"/>
      <c r="OHP1" s="87"/>
      <c r="OHQ1" s="87"/>
      <c r="OHR1" s="87"/>
      <c r="OHS1" s="87"/>
      <c r="OHT1" s="87"/>
      <c r="OHU1" s="87"/>
      <c r="OHV1" s="87"/>
      <c r="OHW1" s="87"/>
      <c r="OHX1" s="87"/>
      <c r="OHY1" s="87"/>
      <c r="OHZ1" s="87"/>
      <c r="OIA1" s="87"/>
      <c r="OIB1" s="87"/>
      <c r="OIC1" s="87"/>
      <c r="OID1" s="87"/>
      <c r="OIE1" s="87"/>
      <c r="OIF1" s="87"/>
      <c r="OIG1" s="87"/>
      <c r="OIH1" s="87"/>
      <c r="OII1" s="87"/>
      <c r="OIJ1" s="87"/>
      <c r="OIK1" s="87"/>
      <c r="OIL1" s="87"/>
      <c r="OIM1" s="87"/>
      <c r="OIN1" s="87"/>
      <c r="OIO1" s="87"/>
      <c r="OIP1" s="87"/>
      <c r="OIQ1" s="87"/>
      <c r="OIR1" s="87"/>
      <c r="OIS1" s="87"/>
      <c r="OIT1" s="87"/>
      <c r="OIU1" s="87"/>
      <c r="OIV1" s="87"/>
      <c r="OIW1" s="87"/>
      <c r="OIX1" s="87"/>
      <c r="OIY1" s="87"/>
      <c r="OIZ1" s="87"/>
      <c r="OJA1" s="87"/>
      <c r="OJB1" s="87"/>
      <c r="OJC1" s="87"/>
      <c r="OJD1" s="87"/>
      <c r="OJE1" s="87"/>
      <c r="OJF1" s="87"/>
      <c r="OJG1" s="87"/>
      <c r="OJH1" s="87"/>
      <c r="OJI1" s="87"/>
      <c r="OJJ1" s="87"/>
      <c r="OJK1" s="87"/>
      <c r="OJL1" s="87"/>
      <c r="OJM1" s="87"/>
      <c r="OJN1" s="87"/>
      <c r="OJO1" s="87"/>
      <c r="OJP1" s="87"/>
      <c r="OJQ1" s="87"/>
      <c r="OJR1" s="87"/>
      <c r="OJS1" s="87"/>
      <c r="OJT1" s="87"/>
      <c r="OJU1" s="87"/>
      <c r="OJV1" s="87"/>
      <c r="OJW1" s="87"/>
      <c r="OJX1" s="87"/>
      <c r="OJY1" s="87"/>
      <c r="OJZ1" s="87"/>
      <c r="OKA1" s="87"/>
      <c r="OKB1" s="87"/>
      <c r="OKC1" s="87"/>
      <c r="OKD1" s="87"/>
      <c r="OKE1" s="87"/>
      <c r="OKF1" s="87"/>
      <c r="OKG1" s="87"/>
      <c r="OKH1" s="87"/>
      <c r="OKI1" s="87"/>
      <c r="OKJ1" s="87"/>
      <c r="OKK1" s="87"/>
      <c r="OKL1" s="87"/>
      <c r="OKM1" s="87"/>
      <c r="OKN1" s="87"/>
      <c r="OKO1" s="87"/>
      <c r="OKP1" s="87"/>
      <c r="OKQ1" s="87"/>
      <c r="OKR1" s="87"/>
      <c r="OKS1" s="87"/>
      <c r="OKT1" s="87"/>
      <c r="OKU1" s="87"/>
      <c r="OKV1" s="87"/>
      <c r="OKW1" s="87"/>
      <c r="OKX1" s="87"/>
      <c r="OKY1" s="87"/>
      <c r="OKZ1" s="87"/>
      <c r="OLA1" s="87"/>
      <c r="OLB1" s="87"/>
      <c r="OLC1" s="87"/>
      <c r="OLD1" s="87"/>
      <c r="OLE1" s="87"/>
      <c r="OLF1" s="87"/>
      <c r="OLG1" s="87"/>
      <c r="OLH1" s="87"/>
      <c r="OLI1" s="87"/>
      <c r="OLJ1" s="87"/>
      <c r="OLK1" s="87"/>
      <c r="OLL1" s="87"/>
      <c r="OLM1" s="87"/>
      <c r="OLN1" s="87"/>
      <c r="OLO1" s="87"/>
      <c r="OLP1" s="87"/>
      <c r="OLQ1" s="87"/>
      <c r="OLR1" s="87"/>
      <c r="OLS1" s="87"/>
      <c r="OLT1" s="87"/>
      <c r="OLU1" s="87"/>
      <c r="OLV1" s="87"/>
      <c r="OLW1" s="87"/>
      <c r="OLX1" s="87"/>
      <c r="OLY1" s="87"/>
      <c r="OLZ1" s="87"/>
      <c r="OMA1" s="87"/>
      <c r="OMB1" s="87"/>
      <c r="OMC1" s="87"/>
      <c r="OMD1" s="87"/>
      <c r="OME1" s="87"/>
      <c r="OMF1" s="87"/>
      <c r="OMG1" s="87"/>
      <c r="OMH1" s="87"/>
      <c r="OMI1" s="87"/>
      <c r="OMJ1" s="87"/>
      <c r="OMK1" s="87"/>
      <c r="OML1" s="87"/>
      <c r="OMM1" s="87"/>
      <c r="OMN1" s="87"/>
      <c r="OMO1" s="87"/>
      <c r="OMP1" s="87"/>
      <c r="OMQ1" s="87"/>
      <c r="OMR1" s="87"/>
      <c r="OMS1" s="87"/>
      <c r="OMT1" s="87"/>
      <c r="OMU1" s="87"/>
      <c r="OMV1" s="87"/>
      <c r="OMW1" s="87"/>
      <c r="OMX1" s="87"/>
      <c r="OMY1" s="87"/>
      <c r="OMZ1" s="87"/>
      <c r="ONA1" s="87"/>
      <c r="ONB1" s="87"/>
      <c r="ONC1" s="87"/>
      <c r="OND1" s="87"/>
      <c r="ONE1" s="87"/>
      <c r="ONF1" s="87"/>
      <c r="ONG1" s="87"/>
      <c r="ONH1" s="87"/>
      <c r="ONI1" s="87"/>
      <c r="ONJ1" s="87"/>
      <c r="ONK1" s="87"/>
      <c r="ONL1" s="87"/>
      <c r="ONM1" s="87"/>
      <c r="ONN1" s="87"/>
      <c r="ONO1" s="87"/>
      <c r="ONP1" s="87"/>
      <c r="ONQ1" s="87"/>
      <c r="ONR1" s="87"/>
      <c r="ONS1" s="87"/>
      <c r="ONT1" s="87"/>
      <c r="ONU1" s="87"/>
      <c r="ONV1" s="87"/>
      <c r="ONW1" s="87"/>
      <c r="ONX1" s="87"/>
      <c r="ONY1" s="87"/>
      <c r="ONZ1" s="87"/>
      <c r="OOA1" s="87"/>
      <c r="OOB1" s="87"/>
      <c r="OOC1" s="87"/>
      <c r="OOD1" s="87"/>
      <c r="OOE1" s="87"/>
      <c r="OOF1" s="87"/>
      <c r="OOG1" s="87"/>
      <c r="OOH1" s="87"/>
      <c r="OOI1" s="87"/>
      <c r="OOJ1" s="87"/>
      <c r="OOK1" s="87"/>
      <c r="OOL1" s="87"/>
      <c r="OOM1" s="87"/>
      <c r="OON1" s="87"/>
      <c r="OOO1" s="87"/>
      <c r="OOP1" s="87"/>
      <c r="OOQ1" s="87"/>
      <c r="OOR1" s="87"/>
      <c r="OOS1" s="87"/>
      <c r="OOT1" s="87"/>
      <c r="OOU1" s="87"/>
      <c r="OOV1" s="87"/>
      <c r="OOW1" s="87"/>
      <c r="OOX1" s="87"/>
      <c r="OOY1" s="87"/>
      <c r="OOZ1" s="87"/>
      <c r="OPA1" s="87"/>
      <c r="OPB1" s="87"/>
      <c r="OPC1" s="87"/>
      <c r="OPD1" s="87"/>
      <c r="OPE1" s="87"/>
      <c r="OPF1" s="87"/>
      <c r="OPG1" s="87"/>
      <c r="OPH1" s="87"/>
      <c r="OPI1" s="87"/>
      <c r="OPJ1" s="87"/>
      <c r="OPK1" s="87"/>
      <c r="OPL1" s="87"/>
      <c r="OPM1" s="87"/>
      <c r="OPN1" s="87"/>
      <c r="OPO1" s="87"/>
      <c r="OPP1" s="87"/>
      <c r="OPQ1" s="87"/>
      <c r="OPR1" s="87"/>
      <c r="OPS1" s="87"/>
      <c r="OPT1" s="87"/>
      <c r="OPU1" s="87"/>
      <c r="OPV1" s="87"/>
      <c r="OPW1" s="87"/>
      <c r="OPX1" s="87"/>
      <c r="OPY1" s="87"/>
      <c r="OPZ1" s="87"/>
      <c r="OQA1" s="87"/>
      <c r="OQB1" s="87"/>
      <c r="OQC1" s="87"/>
      <c r="OQD1" s="87"/>
      <c r="OQE1" s="87"/>
      <c r="OQF1" s="87"/>
      <c r="OQG1" s="87"/>
      <c r="OQH1" s="87"/>
      <c r="OQI1" s="87"/>
      <c r="OQJ1" s="87"/>
      <c r="OQK1" s="87"/>
      <c r="OQL1" s="87"/>
      <c r="OQM1" s="87"/>
      <c r="OQN1" s="87"/>
      <c r="OQO1" s="87"/>
      <c r="OQP1" s="87"/>
      <c r="OQQ1" s="87"/>
      <c r="OQR1" s="87"/>
      <c r="OQS1" s="87"/>
      <c r="OQT1" s="87"/>
      <c r="OQU1" s="87"/>
      <c r="OQV1" s="87"/>
      <c r="OQW1" s="87"/>
      <c r="OQX1" s="87"/>
      <c r="OQY1" s="87"/>
      <c r="OQZ1" s="87"/>
      <c r="ORA1" s="87"/>
      <c r="ORB1" s="87"/>
      <c r="ORC1" s="87"/>
      <c r="ORD1" s="87"/>
      <c r="ORE1" s="87"/>
      <c r="ORF1" s="87"/>
      <c r="ORG1" s="87"/>
      <c r="ORH1" s="87"/>
      <c r="ORI1" s="87"/>
      <c r="ORJ1" s="87"/>
      <c r="ORK1" s="87"/>
      <c r="ORL1" s="87"/>
      <c r="ORM1" s="87"/>
      <c r="ORN1" s="87"/>
      <c r="ORO1" s="87"/>
      <c r="ORP1" s="87"/>
      <c r="ORQ1" s="87"/>
      <c r="ORR1" s="87"/>
      <c r="ORS1" s="87"/>
      <c r="ORT1" s="87"/>
      <c r="ORU1" s="87"/>
      <c r="ORV1" s="87"/>
      <c r="ORW1" s="87"/>
      <c r="ORX1" s="87"/>
      <c r="ORY1" s="87"/>
      <c r="ORZ1" s="87"/>
      <c r="OSA1" s="87"/>
      <c r="OSB1" s="87"/>
      <c r="OSC1" s="87"/>
      <c r="OSD1" s="87"/>
      <c r="OSE1" s="87"/>
      <c r="OSF1" s="87"/>
      <c r="OSG1" s="87"/>
      <c r="OSH1" s="87"/>
      <c r="OSI1" s="87"/>
      <c r="OSJ1" s="87"/>
      <c r="OSK1" s="87"/>
      <c r="OSL1" s="87"/>
      <c r="OSM1" s="87"/>
      <c r="OSN1" s="87"/>
      <c r="OSO1" s="87"/>
      <c r="OSP1" s="87"/>
      <c r="OSQ1" s="87"/>
      <c r="OSR1" s="87"/>
      <c r="OSS1" s="87"/>
      <c r="OST1" s="87"/>
      <c r="OSU1" s="87"/>
      <c r="OSV1" s="87"/>
      <c r="OSW1" s="87"/>
      <c r="OSX1" s="87"/>
      <c r="OSY1" s="87"/>
      <c r="OSZ1" s="87"/>
      <c r="OTA1" s="87"/>
      <c r="OTB1" s="87"/>
      <c r="OTC1" s="87"/>
      <c r="OTD1" s="87"/>
      <c r="OTE1" s="87"/>
      <c r="OTF1" s="87"/>
      <c r="OTG1" s="87"/>
      <c r="OTH1" s="87"/>
      <c r="OTI1" s="87"/>
      <c r="OTJ1" s="87"/>
      <c r="OTK1" s="87"/>
      <c r="OTL1" s="87"/>
      <c r="OTM1" s="87"/>
      <c r="OTN1" s="87"/>
      <c r="OTO1" s="87"/>
      <c r="OTP1" s="87"/>
      <c r="OTQ1" s="87"/>
      <c r="OTR1" s="87"/>
      <c r="OTS1" s="87"/>
      <c r="OTT1" s="87"/>
      <c r="OTU1" s="87"/>
      <c r="OTV1" s="87"/>
      <c r="OTW1" s="87"/>
      <c r="OTX1" s="87"/>
      <c r="OTY1" s="87"/>
      <c r="OTZ1" s="87"/>
      <c r="OUA1" s="87"/>
      <c r="OUB1" s="87"/>
      <c r="OUC1" s="87"/>
      <c r="OUD1" s="87"/>
      <c r="OUE1" s="87"/>
      <c r="OUF1" s="87"/>
      <c r="OUG1" s="87"/>
      <c r="OUH1" s="87"/>
      <c r="OUI1" s="87"/>
      <c r="OUJ1" s="87"/>
      <c r="OUK1" s="87"/>
      <c r="OUL1" s="87"/>
      <c r="OUM1" s="87"/>
      <c r="OUN1" s="87"/>
      <c r="OUO1" s="87"/>
      <c r="OUP1" s="87"/>
      <c r="OUQ1" s="87"/>
      <c r="OUR1" s="87"/>
      <c r="OUS1" s="87"/>
      <c r="OUT1" s="87"/>
      <c r="OUU1" s="87"/>
      <c r="OUV1" s="87"/>
      <c r="OUW1" s="87"/>
      <c r="OUX1" s="87"/>
      <c r="OUY1" s="87"/>
      <c r="OUZ1" s="87"/>
      <c r="OVA1" s="87"/>
      <c r="OVB1" s="87"/>
      <c r="OVC1" s="87"/>
      <c r="OVD1" s="87"/>
      <c r="OVE1" s="87"/>
      <c r="OVF1" s="87"/>
      <c r="OVG1" s="87"/>
      <c r="OVH1" s="87"/>
      <c r="OVI1" s="87"/>
      <c r="OVJ1" s="87"/>
      <c r="OVK1" s="87"/>
      <c r="OVL1" s="87"/>
      <c r="OVM1" s="87"/>
      <c r="OVN1" s="87"/>
      <c r="OVO1" s="87"/>
      <c r="OVP1" s="87"/>
      <c r="OVQ1" s="87"/>
      <c r="OVR1" s="87"/>
      <c r="OVS1" s="87"/>
      <c r="OVT1" s="87"/>
      <c r="OVU1" s="87"/>
      <c r="OVV1" s="87"/>
      <c r="OVW1" s="87"/>
      <c r="OVX1" s="87"/>
      <c r="OVY1" s="87"/>
      <c r="OVZ1" s="87"/>
      <c r="OWA1" s="87"/>
      <c r="OWB1" s="87"/>
      <c r="OWC1" s="87"/>
      <c r="OWD1" s="87"/>
      <c r="OWE1" s="87"/>
      <c r="OWF1" s="87"/>
      <c r="OWG1" s="87"/>
      <c r="OWH1" s="87"/>
      <c r="OWI1" s="87"/>
      <c r="OWJ1" s="87"/>
      <c r="OWK1" s="87"/>
      <c r="OWL1" s="87"/>
      <c r="OWM1" s="87"/>
      <c r="OWN1" s="87"/>
      <c r="OWO1" s="87"/>
      <c r="OWP1" s="87"/>
      <c r="OWQ1" s="87"/>
      <c r="OWR1" s="87"/>
      <c r="OWS1" s="87"/>
      <c r="OWT1" s="87"/>
      <c r="OWU1" s="87"/>
      <c r="OWV1" s="87"/>
      <c r="OWW1" s="87"/>
      <c r="OWX1" s="87"/>
      <c r="OWY1" s="87"/>
      <c r="OWZ1" s="87"/>
      <c r="OXA1" s="87"/>
      <c r="OXB1" s="87"/>
      <c r="OXC1" s="87"/>
      <c r="OXD1" s="87"/>
      <c r="OXE1" s="87"/>
      <c r="OXF1" s="87"/>
      <c r="OXG1" s="87"/>
      <c r="OXH1" s="87"/>
      <c r="OXI1" s="87"/>
      <c r="OXJ1" s="87"/>
      <c r="OXK1" s="87"/>
      <c r="OXL1" s="87"/>
      <c r="OXM1" s="87"/>
      <c r="OXN1" s="87"/>
      <c r="OXO1" s="87"/>
      <c r="OXP1" s="87"/>
      <c r="OXQ1" s="87"/>
      <c r="OXR1" s="87"/>
      <c r="OXS1" s="87"/>
      <c r="OXT1" s="87"/>
      <c r="OXU1" s="87"/>
      <c r="OXV1" s="87"/>
      <c r="OXW1" s="87"/>
      <c r="OXX1" s="87"/>
      <c r="OXY1" s="87"/>
      <c r="OXZ1" s="87"/>
      <c r="OYA1" s="87"/>
      <c r="OYB1" s="87"/>
      <c r="OYC1" s="87"/>
      <c r="OYD1" s="87"/>
      <c r="OYE1" s="87"/>
      <c r="OYF1" s="87"/>
      <c r="OYG1" s="87"/>
      <c r="OYH1" s="87"/>
      <c r="OYI1" s="87"/>
      <c r="OYJ1" s="87"/>
      <c r="OYK1" s="87"/>
      <c r="OYL1" s="87"/>
      <c r="OYM1" s="87"/>
      <c r="OYN1" s="87"/>
      <c r="OYO1" s="87"/>
      <c r="OYP1" s="87"/>
      <c r="OYQ1" s="87"/>
      <c r="OYR1" s="87"/>
      <c r="OYS1" s="87"/>
      <c r="OYT1" s="87"/>
      <c r="OYU1" s="87"/>
      <c r="OYV1" s="87"/>
      <c r="OYW1" s="87"/>
      <c r="OYX1" s="87"/>
      <c r="OYY1" s="87"/>
      <c r="OYZ1" s="87"/>
      <c r="OZA1" s="87"/>
      <c r="OZB1" s="87"/>
      <c r="OZC1" s="87"/>
      <c r="OZD1" s="87"/>
      <c r="OZE1" s="87"/>
      <c r="OZF1" s="87"/>
      <c r="OZG1" s="87"/>
      <c r="OZH1" s="87"/>
      <c r="OZI1" s="87"/>
      <c r="OZJ1" s="87"/>
      <c r="OZK1" s="87"/>
      <c r="OZL1" s="87"/>
      <c r="OZM1" s="87"/>
      <c r="OZN1" s="87"/>
      <c r="OZO1" s="87"/>
      <c r="OZP1" s="87"/>
      <c r="OZQ1" s="87"/>
      <c r="OZR1" s="87"/>
      <c r="OZS1" s="87"/>
      <c r="OZT1" s="87"/>
      <c r="OZU1" s="87"/>
      <c r="OZV1" s="87"/>
      <c r="OZW1" s="87"/>
      <c r="OZX1" s="87"/>
      <c r="OZY1" s="87"/>
      <c r="OZZ1" s="87"/>
      <c r="PAA1" s="87"/>
      <c r="PAB1" s="87"/>
      <c r="PAC1" s="87"/>
      <c r="PAD1" s="87"/>
      <c r="PAE1" s="87"/>
      <c r="PAF1" s="87"/>
      <c r="PAG1" s="87"/>
      <c r="PAH1" s="87"/>
      <c r="PAI1" s="87"/>
      <c r="PAJ1" s="87"/>
      <c r="PAK1" s="87"/>
      <c r="PAL1" s="87"/>
      <c r="PAM1" s="87"/>
      <c r="PAN1" s="87"/>
      <c r="PAO1" s="87"/>
      <c r="PAP1" s="87"/>
      <c r="PAQ1" s="87"/>
      <c r="PAR1" s="87"/>
      <c r="PAS1" s="87"/>
      <c r="PAT1" s="87"/>
      <c r="PAU1" s="87"/>
      <c r="PAV1" s="87"/>
      <c r="PAW1" s="87"/>
      <c r="PAX1" s="87"/>
      <c r="PAY1" s="87"/>
      <c r="PAZ1" s="87"/>
      <c r="PBA1" s="87"/>
      <c r="PBB1" s="87"/>
      <c r="PBC1" s="87"/>
      <c r="PBD1" s="87"/>
      <c r="PBE1" s="87"/>
      <c r="PBF1" s="87"/>
      <c r="PBG1" s="87"/>
      <c r="PBH1" s="87"/>
      <c r="PBI1" s="87"/>
      <c r="PBJ1" s="87"/>
      <c r="PBK1" s="87"/>
      <c r="PBL1" s="87"/>
      <c r="PBM1" s="87"/>
      <c r="PBN1" s="87"/>
      <c r="PBO1" s="87"/>
      <c r="PBP1" s="87"/>
      <c r="PBQ1" s="87"/>
      <c r="PBR1" s="87"/>
      <c r="PBS1" s="87"/>
      <c r="PBT1" s="87"/>
      <c r="PBU1" s="87"/>
      <c r="PBV1" s="87"/>
      <c r="PBW1" s="87"/>
      <c r="PBX1" s="87"/>
      <c r="PBY1" s="87"/>
      <c r="PBZ1" s="87"/>
      <c r="PCA1" s="87"/>
      <c r="PCB1" s="87"/>
      <c r="PCC1" s="87"/>
      <c r="PCD1" s="87"/>
      <c r="PCE1" s="87"/>
      <c r="PCF1" s="87"/>
      <c r="PCG1" s="87"/>
      <c r="PCH1" s="87"/>
      <c r="PCI1" s="87"/>
      <c r="PCJ1" s="87"/>
      <c r="PCK1" s="87"/>
      <c r="PCL1" s="87"/>
      <c r="PCM1" s="87"/>
      <c r="PCN1" s="87"/>
      <c r="PCO1" s="87"/>
      <c r="PCP1" s="87"/>
      <c r="PCQ1" s="87"/>
      <c r="PCR1" s="87"/>
      <c r="PCS1" s="87"/>
      <c r="PCT1" s="87"/>
      <c r="PCU1" s="87"/>
      <c r="PCV1" s="87"/>
      <c r="PCW1" s="87"/>
      <c r="PCX1" s="87"/>
      <c r="PCY1" s="87"/>
      <c r="PCZ1" s="87"/>
      <c r="PDA1" s="87"/>
      <c r="PDB1" s="87"/>
      <c r="PDC1" s="87"/>
      <c r="PDD1" s="87"/>
      <c r="PDE1" s="87"/>
      <c r="PDF1" s="87"/>
      <c r="PDG1" s="87"/>
      <c r="PDH1" s="87"/>
      <c r="PDI1" s="87"/>
      <c r="PDJ1" s="87"/>
      <c r="PDK1" s="87"/>
      <c r="PDL1" s="87"/>
      <c r="PDM1" s="87"/>
      <c r="PDN1" s="87"/>
      <c r="PDO1" s="87"/>
      <c r="PDP1" s="87"/>
      <c r="PDQ1" s="87"/>
      <c r="PDR1" s="87"/>
      <c r="PDS1" s="87"/>
      <c r="PDT1" s="87"/>
      <c r="PDU1" s="87"/>
      <c r="PDV1" s="87"/>
      <c r="PDW1" s="87"/>
      <c r="PDX1" s="87"/>
      <c r="PDY1" s="87"/>
      <c r="PDZ1" s="87"/>
      <c r="PEA1" s="87"/>
      <c r="PEB1" s="87"/>
      <c r="PEC1" s="87"/>
      <c r="PED1" s="87"/>
      <c r="PEE1" s="87"/>
      <c r="PEF1" s="87"/>
      <c r="PEG1" s="87"/>
      <c r="PEH1" s="87"/>
      <c r="PEI1" s="87"/>
      <c r="PEJ1" s="87"/>
      <c r="PEK1" s="87"/>
      <c r="PEL1" s="87"/>
      <c r="PEM1" s="87"/>
      <c r="PEN1" s="87"/>
      <c r="PEO1" s="87"/>
      <c r="PEP1" s="87"/>
      <c r="PEQ1" s="87"/>
      <c r="PER1" s="87"/>
      <c r="PES1" s="87"/>
      <c r="PET1" s="87"/>
      <c r="PEU1" s="87"/>
      <c r="PEV1" s="87"/>
      <c r="PEW1" s="87"/>
      <c r="PEX1" s="87"/>
      <c r="PEY1" s="87"/>
      <c r="PEZ1" s="87"/>
      <c r="PFA1" s="87"/>
      <c r="PFB1" s="87"/>
      <c r="PFC1" s="87"/>
      <c r="PFD1" s="87"/>
      <c r="PFE1" s="87"/>
      <c r="PFF1" s="87"/>
      <c r="PFG1" s="87"/>
      <c r="PFH1" s="87"/>
      <c r="PFI1" s="87"/>
      <c r="PFJ1" s="87"/>
      <c r="PFK1" s="87"/>
      <c r="PFL1" s="87"/>
      <c r="PFM1" s="87"/>
      <c r="PFN1" s="87"/>
      <c r="PFO1" s="87"/>
      <c r="PFP1" s="87"/>
      <c r="PFQ1" s="87"/>
      <c r="PFR1" s="87"/>
      <c r="PFS1" s="87"/>
      <c r="PFT1" s="87"/>
      <c r="PFU1" s="87"/>
      <c r="PFV1" s="87"/>
      <c r="PFW1" s="87"/>
      <c r="PFX1" s="87"/>
      <c r="PFY1" s="87"/>
      <c r="PFZ1" s="87"/>
      <c r="PGA1" s="87"/>
      <c r="PGB1" s="87"/>
      <c r="PGC1" s="87"/>
      <c r="PGD1" s="87"/>
      <c r="PGE1" s="87"/>
      <c r="PGF1" s="87"/>
      <c r="PGG1" s="87"/>
      <c r="PGH1" s="87"/>
      <c r="PGI1" s="87"/>
      <c r="PGJ1" s="87"/>
      <c r="PGK1" s="87"/>
      <c r="PGL1" s="87"/>
      <c r="PGM1" s="87"/>
      <c r="PGN1" s="87"/>
      <c r="PGO1" s="87"/>
      <c r="PGP1" s="87"/>
      <c r="PGQ1" s="87"/>
      <c r="PGR1" s="87"/>
      <c r="PGS1" s="87"/>
      <c r="PGT1" s="87"/>
      <c r="PGU1" s="87"/>
      <c r="PGV1" s="87"/>
      <c r="PGW1" s="87"/>
      <c r="PGX1" s="87"/>
      <c r="PGY1" s="87"/>
      <c r="PGZ1" s="87"/>
      <c r="PHA1" s="87"/>
      <c r="PHB1" s="87"/>
      <c r="PHC1" s="87"/>
      <c r="PHD1" s="87"/>
      <c r="PHE1" s="87"/>
      <c r="PHF1" s="87"/>
      <c r="PHG1" s="87"/>
      <c r="PHH1" s="87"/>
      <c r="PHI1" s="87"/>
      <c r="PHJ1" s="87"/>
      <c r="PHK1" s="87"/>
      <c r="PHL1" s="87"/>
      <c r="PHM1" s="87"/>
      <c r="PHN1" s="87"/>
      <c r="PHO1" s="87"/>
      <c r="PHP1" s="87"/>
      <c r="PHQ1" s="87"/>
      <c r="PHR1" s="87"/>
      <c r="PHS1" s="87"/>
      <c r="PHT1" s="87"/>
      <c r="PHU1" s="87"/>
      <c r="PHV1" s="87"/>
      <c r="PHW1" s="87"/>
      <c r="PHX1" s="87"/>
      <c r="PHY1" s="87"/>
      <c r="PHZ1" s="87"/>
      <c r="PIA1" s="87"/>
      <c r="PIB1" s="87"/>
      <c r="PIC1" s="87"/>
      <c r="PID1" s="87"/>
      <c r="PIE1" s="87"/>
      <c r="PIF1" s="87"/>
      <c r="PIG1" s="87"/>
      <c r="PIH1" s="87"/>
      <c r="PII1" s="87"/>
      <c r="PIJ1" s="87"/>
      <c r="PIK1" s="87"/>
      <c r="PIL1" s="87"/>
      <c r="PIM1" s="87"/>
      <c r="PIN1" s="87"/>
      <c r="PIO1" s="87"/>
      <c r="PIP1" s="87"/>
      <c r="PIQ1" s="87"/>
      <c r="PIR1" s="87"/>
      <c r="PIS1" s="87"/>
      <c r="PIT1" s="87"/>
      <c r="PIU1" s="87"/>
      <c r="PIV1" s="87"/>
      <c r="PIW1" s="87"/>
      <c r="PIX1" s="87"/>
      <c r="PIY1" s="87"/>
      <c r="PIZ1" s="87"/>
      <c r="PJA1" s="87"/>
      <c r="PJB1" s="87"/>
      <c r="PJC1" s="87"/>
      <c r="PJD1" s="87"/>
      <c r="PJE1" s="87"/>
      <c r="PJF1" s="87"/>
      <c r="PJG1" s="87"/>
      <c r="PJH1" s="87"/>
      <c r="PJI1" s="87"/>
      <c r="PJJ1" s="87"/>
      <c r="PJK1" s="87"/>
      <c r="PJL1" s="87"/>
      <c r="PJM1" s="87"/>
      <c r="PJN1" s="87"/>
      <c r="PJO1" s="87"/>
      <c r="PJP1" s="87"/>
      <c r="PJQ1" s="87"/>
      <c r="PJR1" s="87"/>
      <c r="PJS1" s="87"/>
      <c r="PJT1" s="87"/>
      <c r="PJU1" s="87"/>
      <c r="PJV1" s="87"/>
      <c r="PJW1" s="87"/>
      <c r="PJX1" s="87"/>
      <c r="PJY1" s="87"/>
      <c r="PJZ1" s="87"/>
      <c r="PKA1" s="87"/>
      <c r="PKB1" s="87"/>
      <c r="PKC1" s="87"/>
      <c r="PKD1" s="87"/>
      <c r="PKE1" s="87"/>
      <c r="PKF1" s="87"/>
      <c r="PKG1" s="87"/>
      <c r="PKH1" s="87"/>
      <c r="PKI1" s="87"/>
      <c r="PKJ1" s="87"/>
      <c r="PKK1" s="87"/>
      <c r="PKL1" s="87"/>
      <c r="PKM1" s="87"/>
      <c r="PKN1" s="87"/>
      <c r="PKO1" s="87"/>
      <c r="PKP1" s="87"/>
      <c r="PKQ1" s="87"/>
      <c r="PKR1" s="87"/>
      <c r="PKS1" s="87"/>
      <c r="PKT1" s="87"/>
      <c r="PKU1" s="87"/>
      <c r="PKV1" s="87"/>
      <c r="PKW1" s="87"/>
      <c r="PKX1" s="87"/>
      <c r="PKY1" s="87"/>
      <c r="PKZ1" s="87"/>
      <c r="PLA1" s="87"/>
      <c r="PLB1" s="87"/>
      <c r="PLC1" s="87"/>
      <c r="PLD1" s="87"/>
      <c r="PLE1" s="87"/>
      <c r="PLF1" s="87"/>
      <c r="PLG1" s="87"/>
      <c r="PLH1" s="87"/>
      <c r="PLI1" s="87"/>
      <c r="PLJ1" s="87"/>
      <c r="PLK1" s="87"/>
      <c r="PLL1" s="87"/>
      <c r="PLM1" s="87"/>
      <c r="PLN1" s="87"/>
      <c r="PLO1" s="87"/>
      <c r="PLP1" s="87"/>
      <c r="PLQ1" s="87"/>
      <c r="PLR1" s="87"/>
      <c r="PLS1" s="87"/>
      <c r="PLT1" s="87"/>
      <c r="PLU1" s="87"/>
      <c r="PLV1" s="87"/>
      <c r="PLW1" s="87"/>
      <c r="PLX1" s="87"/>
      <c r="PLY1" s="87"/>
      <c r="PLZ1" s="87"/>
      <c r="PMA1" s="87"/>
      <c r="PMB1" s="87"/>
      <c r="PMC1" s="87"/>
      <c r="PMD1" s="87"/>
      <c r="PME1" s="87"/>
      <c r="PMF1" s="87"/>
      <c r="PMG1" s="87"/>
      <c r="PMH1" s="87"/>
      <c r="PMI1" s="87"/>
      <c r="PMJ1" s="87"/>
      <c r="PMK1" s="87"/>
      <c r="PML1" s="87"/>
      <c r="PMM1" s="87"/>
      <c r="PMN1" s="87"/>
      <c r="PMO1" s="87"/>
      <c r="PMP1" s="87"/>
      <c r="PMQ1" s="87"/>
      <c r="PMR1" s="87"/>
      <c r="PMS1" s="87"/>
      <c r="PMT1" s="87"/>
      <c r="PMU1" s="87"/>
      <c r="PMV1" s="87"/>
      <c r="PMW1" s="87"/>
      <c r="PMX1" s="87"/>
      <c r="PMY1" s="87"/>
      <c r="PMZ1" s="87"/>
      <c r="PNA1" s="87"/>
      <c r="PNB1" s="87"/>
      <c r="PNC1" s="87"/>
      <c r="PND1" s="87"/>
      <c r="PNE1" s="87"/>
      <c r="PNF1" s="87"/>
      <c r="PNG1" s="87"/>
      <c r="PNH1" s="87"/>
      <c r="PNI1" s="87"/>
      <c r="PNJ1" s="87"/>
      <c r="PNK1" s="87"/>
      <c r="PNL1" s="87"/>
      <c r="PNM1" s="87"/>
      <c r="PNN1" s="87"/>
      <c r="PNO1" s="87"/>
      <c r="PNP1" s="87"/>
      <c r="PNQ1" s="87"/>
      <c r="PNR1" s="87"/>
      <c r="PNS1" s="87"/>
      <c r="PNT1" s="87"/>
      <c r="PNU1" s="87"/>
      <c r="PNV1" s="87"/>
      <c r="PNW1" s="87"/>
      <c r="PNX1" s="87"/>
      <c r="PNY1" s="87"/>
      <c r="PNZ1" s="87"/>
      <c r="POA1" s="87"/>
      <c r="POB1" s="87"/>
      <c r="POC1" s="87"/>
      <c r="POD1" s="87"/>
      <c r="POE1" s="87"/>
      <c r="POF1" s="87"/>
      <c r="POG1" s="87"/>
      <c r="POH1" s="87"/>
      <c r="POI1" s="87"/>
      <c r="POJ1" s="87"/>
      <c r="POK1" s="87"/>
      <c r="POL1" s="87"/>
      <c r="POM1" s="87"/>
      <c r="PON1" s="87"/>
      <c r="POO1" s="87"/>
      <c r="POP1" s="87"/>
      <c r="POQ1" s="87"/>
      <c r="POR1" s="87"/>
      <c r="POS1" s="87"/>
      <c r="POT1" s="87"/>
      <c r="POU1" s="87"/>
      <c r="POV1" s="87"/>
      <c r="POW1" s="87"/>
      <c r="POX1" s="87"/>
      <c r="POY1" s="87"/>
      <c r="POZ1" s="87"/>
      <c r="PPA1" s="87"/>
      <c r="PPB1" s="87"/>
      <c r="PPC1" s="87"/>
      <c r="PPD1" s="87"/>
      <c r="PPE1" s="87"/>
      <c r="PPF1" s="87"/>
      <c r="PPG1" s="87"/>
      <c r="PPH1" s="87"/>
      <c r="PPI1" s="87"/>
      <c r="PPJ1" s="87"/>
      <c r="PPK1" s="87"/>
      <c r="PPL1" s="87"/>
      <c r="PPM1" s="87"/>
      <c r="PPN1" s="87"/>
      <c r="PPO1" s="87"/>
      <c r="PPP1" s="87"/>
      <c r="PPQ1" s="87"/>
      <c r="PPR1" s="87"/>
      <c r="PPS1" s="87"/>
      <c r="PPT1" s="87"/>
      <c r="PPU1" s="87"/>
      <c r="PPV1" s="87"/>
      <c r="PPW1" s="87"/>
      <c r="PPX1" s="87"/>
      <c r="PPY1" s="87"/>
      <c r="PPZ1" s="87"/>
      <c r="PQA1" s="87"/>
      <c r="PQB1" s="87"/>
      <c r="PQC1" s="87"/>
      <c r="PQD1" s="87"/>
      <c r="PQE1" s="87"/>
      <c r="PQF1" s="87"/>
      <c r="PQG1" s="87"/>
      <c r="PQH1" s="87"/>
      <c r="PQI1" s="87"/>
      <c r="PQJ1" s="87"/>
      <c r="PQK1" s="87"/>
      <c r="PQL1" s="87"/>
      <c r="PQM1" s="87"/>
      <c r="PQN1" s="87"/>
      <c r="PQO1" s="87"/>
      <c r="PQP1" s="87"/>
      <c r="PQQ1" s="87"/>
      <c r="PQR1" s="87"/>
      <c r="PQS1" s="87"/>
      <c r="PQT1" s="87"/>
      <c r="PQU1" s="87"/>
      <c r="PQV1" s="87"/>
      <c r="PQW1" s="87"/>
      <c r="PQX1" s="87"/>
      <c r="PQY1" s="87"/>
      <c r="PQZ1" s="87"/>
      <c r="PRA1" s="87"/>
      <c r="PRB1" s="87"/>
      <c r="PRC1" s="87"/>
      <c r="PRD1" s="87"/>
      <c r="PRE1" s="87"/>
      <c r="PRF1" s="87"/>
      <c r="PRG1" s="87"/>
      <c r="PRH1" s="87"/>
      <c r="PRI1" s="87"/>
      <c r="PRJ1" s="87"/>
      <c r="PRK1" s="87"/>
      <c r="PRL1" s="87"/>
      <c r="PRM1" s="87"/>
      <c r="PRN1" s="87"/>
      <c r="PRO1" s="87"/>
      <c r="PRP1" s="87"/>
      <c r="PRQ1" s="87"/>
      <c r="PRR1" s="87"/>
      <c r="PRS1" s="87"/>
      <c r="PRT1" s="87"/>
      <c r="PRU1" s="87"/>
      <c r="PRV1" s="87"/>
      <c r="PRW1" s="87"/>
      <c r="PRX1" s="87"/>
      <c r="PRY1" s="87"/>
      <c r="PRZ1" s="87"/>
      <c r="PSA1" s="87"/>
      <c r="PSB1" s="87"/>
      <c r="PSC1" s="87"/>
      <c r="PSD1" s="87"/>
      <c r="PSE1" s="87"/>
      <c r="PSF1" s="87"/>
      <c r="PSG1" s="87"/>
      <c r="PSH1" s="87"/>
      <c r="PSI1" s="87"/>
      <c r="PSJ1" s="87"/>
      <c r="PSK1" s="87"/>
      <c r="PSL1" s="87"/>
      <c r="PSM1" s="87"/>
      <c r="PSN1" s="87"/>
      <c r="PSO1" s="87"/>
      <c r="PSP1" s="87"/>
      <c r="PSQ1" s="87"/>
      <c r="PSR1" s="87"/>
      <c r="PSS1" s="87"/>
      <c r="PST1" s="87"/>
      <c r="PSU1" s="87"/>
      <c r="PSV1" s="87"/>
      <c r="PSW1" s="87"/>
      <c r="PSX1" s="87"/>
      <c r="PSY1" s="87"/>
      <c r="PSZ1" s="87"/>
      <c r="PTA1" s="87"/>
      <c r="PTB1" s="87"/>
      <c r="PTC1" s="87"/>
      <c r="PTD1" s="87"/>
      <c r="PTE1" s="87"/>
      <c r="PTF1" s="87"/>
      <c r="PTG1" s="87"/>
      <c r="PTH1" s="87"/>
      <c r="PTI1" s="87"/>
      <c r="PTJ1" s="87"/>
      <c r="PTK1" s="87"/>
      <c r="PTL1" s="87"/>
      <c r="PTM1" s="87"/>
      <c r="PTN1" s="87"/>
      <c r="PTO1" s="87"/>
      <c r="PTP1" s="87"/>
      <c r="PTQ1" s="87"/>
      <c r="PTR1" s="87"/>
      <c r="PTS1" s="87"/>
      <c r="PTT1" s="87"/>
      <c r="PTU1" s="87"/>
      <c r="PTV1" s="87"/>
      <c r="PTW1" s="87"/>
      <c r="PTX1" s="87"/>
      <c r="PTY1" s="87"/>
      <c r="PTZ1" s="87"/>
      <c r="PUA1" s="87"/>
      <c r="PUB1" s="87"/>
      <c r="PUC1" s="87"/>
      <c r="PUD1" s="87"/>
      <c r="PUE1" s="87"/>
      <c r="PUF1" s="87"/>
      <c r="PUG1" s="87"/>
      <c r="PUH1" s="87"/>
      <c r="PUI1" s="87"/>
      <c r="PUJ1" s="87"/>
      <c r="PUK1" s="87"/>
      <c r="PUL1" s="87"/>
      <c r="PUM1" s="87"/>
      <c r="PUN1" s="87"/>
      <c r="PUO1" s="87"/>
      <c r="PUP1" s="87"/>
      <c r="PUQ1" s="87"/>
      <c r="PUR1" s="87"/>
      <c r="PUS1" s="87"/>
      <c r="PUT1" s="87"/>
      <c r="PUU1" s="87"/>
      <c r="PUV1" s="87"/>
      <c r="PUW1" s="87"/>
      <c r="PUX1" s="87"/>
      <c r="PUY1" s="87"/>
      <c r="PUZ1" s="87"/>
      <c r="PVA1" s="87"/>
      <c r="PVB1" s="87"/>
      <c r="PVC1" s="87"/>
      <c r="PVD1" s="87"/>
      <c r="PVE1" s="87"/>
      <c r="PVF1" s="87"/>
      <c r="PVG1" s="87"/>
      <c r="PVH1" s="87"/>
      <c r="PVI1" s="87"/>
      <c r="PVJ1" s="87"/>
      <c r="PVK1" s="87"/>
      <c r="PVL1" s="87"/>
      <c r="PVM1" s="87"/>
      <c r="PVN1" s="87"/>
      <c r="PVO1" s="87"/>
      <c r="PVP1" s="87"/>
      <c r="PVQ1" s="87"/>
      <c r="PVR1" s="87"/>
      <c r="PVS1" s="87"/>
      <c r="PVT1" s="87"/>
      <c r="PVU1" s="87"/>
      <c r="PVV1" s="87"/>
      <c r="PVW1" s="87"/>
      <c r="PVX1" s="87"/>
      <c r="PVY1" s="87"/>
      <c r="PVZ1" s="87"/>
      <c r="PWA1" s="87"/>
      <c r="PWB1" s="87"/>
      <c r="PWC1" s="87"/>
      <c r="PWD1" s="87"/>
      <c r="PWE1" s="87"/>
      <c r="PWF1" s="87"/>
      <c r="PWG1" s="87"/>
      <c r="PWH1" s="87"/>
      <c r="PWI1" s="87"/>
      <c r="PWJ1" s="87"/>
      <c r="PWK1" s="87"/>
      <c r="PWL1" s="87"/>
      <c r="PWM1" s="87"/>
      <c r="PWN1" s="87"/>
      <c r="PWO1" s="87"/>
      <c r="PWP1" s="87"/>
      <c r="PWQ1" s="87"/>
      <c r="PWR1" s="87"/>
      <c r="PWS1" s="87"/>
      <c r="PWT1" s="87"/>
      <c r="PWU1" s="87"/>
      <c r="PWV1" s="87"/>
      <c r="PWW1" s="87"/>
      <c r="PWX1" s="87"/>
      <c r="PWY1" s="87"/>
      <c r="PWZ1" s="87"/>
      <c r="PXA1" s="87"/>
      <c r="PXB1" s="87"/>
      <c r="PXC1" s="87"/>
      <c r="PXD1" s="87"/>
      <c r="PXE1" s="87"/>
      <c r="PXF1" s="87"/>
      <c r="PXG1" s="87"/>
      <c r="PXH1" s="87"/>
      <c r="PXI1" s="87"/>
      <c r="PXJ1" s="87"/>
      <c r="PXK1" s="87"/>
      <c r="PXL1" s="87"/>
      <c r="PXM1" s="87"/>
      <c r="PXN1" s="87"/>
      <c r="PXO1" s="87"/>
      <c r="PXP1" s="87"/>
      <c r="PXQ1" s="87"/>
      <c r="PXR1" s="87"/>
      <c r="PXS1" s="87"/>
      <c r="PXT1" s="87"/>
      <c r="PXU1" s="87"/>
      <c r="PXV1" s="87"/>
      <c r="PXW1" s="87"/>
      <c r="PXX1" s="87"/>
      <c r="PXY1" s="87"/>
      <c r="PXZ1" s="87"/>
      <c r="PYA1" s="87"/>
      <c r="PYB1" s="87"/>
      <c r="PYC1" s="87"/>
      <c r="PYD1" s="87"/>
      <c r="PYE1" s="87"/>
      <c r="PYF1" s="87"/>
      <c r="PYG1" s="87"/>
      <c r="PYH1" s="87"/>
      <c r="PYI1" s="87"/>
      <c r="PYJ1" s="87"/>
      <c r="PYK1" s="87"/>
      <c r="PYL1" s="87"/>
      <c r="PYM1" s="87"/>
      <c r="PYN1" s="87"/>
      <c r="PYO1" s="87"/>
      <c r="PYP1" s="87"/>
      <c r="PYQ1" s="87"/>
      <c r="PYR1" s="87"/>
      <c r="PYS1" s="87"/>
      <c r="PYT1" s="87"/>
      <c r="PYU1" s="87"/>
      <c r="PYV1" s="87"/>
      <c r="PYW1" s="87"/>
      <c r="PYX1" s="87"/>
      <c r="PYY1" s="87"/>
      <c r="PYZ1" s="87"/>
      <c r="PZA1" s="87"/>
      <c r="PZB1" s="87"/>
      <c r="PZC1" s="87"/>
      <c r="PZD1" s="87"/>
      <c r="PZE1" s="87"/>
      <c r="PZF1" s="87"/>
      <c r="PZG1" s="87"/>
      <c r="PZH1" s="87"/>
      <c r="PZI1" s="87"/>
      <c r="PZJ1" s="87"/>
      <c r="PZK1" s="87"/>
      <c r="PZL1" s="87"/>
      <c r="PZM1" s="87"/>
      <c r="PZN1" s="87"/>
      <c r="PZO1" s="87"/>
      <c r="PZP1" s="87"/>
      <c r="PZQ1" s="87"/>
      <c r="PZR1" s="87"/>
      <c r="PZS1" s="87"/>
      <c r="PZT1" s="87"/>
      <c r="PZU1" s="87"/>
      <c r="PZV1" s="87"/>
      <c r="PZW1" s="87"/>
      <c r="PZX1" s="87"/>
      <c r="PZY1" s="87"/>
      <c r="PZZ1" s="87"/>
      <c r="QAA1" s="87"/>
      <c r="QAB1" s="87"/>
      <c r="QAC1" s="87"/>
      <c r="QAD1" s="87"/>
      <c r="QAE1" s="87"/>
      <c r="QAF1" s="87"/>
      <c r="QAG1" s="87"/>
      <c r="QAH1" s="87"/>
      <c r="QAI1" s="87"/>
      <c r="QAJ1" s="87"/>
      <c r="QAK1" s="87"/>
      <c r="QAL1" s="87"/>
      <c r="QAM1" s="87"/>
      <c r="QAN1" s="87"/>
      <c r="QAO1" s="87"/>
      <c r="QAP1" s="87"/>
      <c r="QAQ1" s="87"/>
      <c r="QAR1" s="87"/>
      <c r="QAS1" s="87"/>
      <c r="QAT1" s="87"/>
      <c r="QAU1" s="87"/>
      <c r="QAV1" s="87"/>
      <c r="QAW1" s="87"/>
      <c r="QAX1" s="87"/>
      <c r="QAY1" s="87"/>
      <c r="QAZ1" s="87"/>
      <c r="QBA1" s="87"/>
      <c r="QBB1" s="87"/>
      <c r="QBC1" s="87"/>
      <c r="QBD1" s="87"/>
      <c r="QBE1" s="87"/>
      <c r="QBF1" s="87"/>
      <c r="QBG1" s="87"/>
      <c r="QBH1" s="87"/>
      <c r="QBI1" s="87"/>
      <c r="QBJ1" s="87"/>
      <c r="QBK1" s="87"/>
      <c r="QBL1" s="87"/>
      <c r="QBM1" s="87"/>
      <c r="QBN1" s="87"/>
      <c r="QBO1" s="87"/>
      <c r="QBP1" s="87"/>
      <c r="QBQ1" s="87"/>
      <c r="QBR1" s="87"/>
      <c r="QBS1" s="87"/>
      <c r="QBT1" s="87"/>
      <c r="QBU1" s="87"/>
      <c r="QBV1" s="87"/>
      <c r="QBW1" s="87"/>
      <c r="QBX1" s="87"/>
      <c r="QBY1" s="87"/>
      <c r="QBZ1" s="87"/>
      <c r="QCA1" s="87"/>
      <c r="QCB1" s="87"/>
      <c r="QCC1" s="87"/>
      <c r="QCD1" s="87"/>
      <c r="QCE1" s="87"/>
      <c r="QCF1" s="87"/>
      <c r="QCG1" s="87"/>
      <c r="QCH1" s="87"/>
      <c r="QCI1" s="87"/>
      <c r="QCJ1" s="87"/>
      <c r="QCK1" s="87"/>
      <c r="QCL1" s="87"/>
      <c r="QCM1" s="87"/>
      <c r="QCN1" s="87"/>
      <c r="QCO1" s="87"/>
      <c r="QCP1" s="87"/>
      <c r="QCQ1" s="87"/>
      <c r="QCR1" s="87"/>
      <c r="QCS1" s="87"/>
      <c r="QCT1" s="87"/>
      <c r="QCU1" s="87"/>
      <c r="QCV1" s="87"/>
      <c r="QCW1" s="87"/>
      <c r="QCX1" s="87"/>
      <c r="QCY1" s="87"/>
      <c r="QCZ1" s="87"/>
      <c r="QDA1" s="87"/>
      <c r="QDB1" s="87"/>
      <c r="QDC1" s="87"/>
      <c r="QDD1" s="87"/>
      <c r="QDE1" s="87"/>
      <c r="QDF1" s="87"/>
      <c r="QDG1" s="87"/>
      <c r="QDH1" s="87"/>
      <c r="QDI1" s="87"/>
      <c r="QDJ1" s="87"/>
      <c r="QDK1" s="87"/>
      <c r="QDL1" s="87"/>
      <c r="QDM1" s="87"/>
      <c r="QDN1" s="87"/>
      <c r="QDO1" s="87"/>
      <c r="QDP1" s="87"/>
      <c r="QDQ1" s="87"/>
      <c r="QDR1" s="87"/>
      <c r="QDS1" s="87"/>
      <c r="QDT1" s="87"/>
      <c r="QDU1" s="87"/>
      <c r="QDV1" s="87"/>
      <c r="QDW1" s="87"/>
      <c r="QDX1" s="87"/>
      <c r="QDY1" s="87"/>
      <c r="QDZ1" s="87"/>
      <c r="QEA1" s="87"/>
      <c r="QEB1" s="87"/>
      <c r="QEC1" s="87"/>
      <c r="QED1" s="87"/>
      <c r="QEE1" s="87"/>
      <c r="QEF1" s="87"/>
      <c r="QEG1" s="87"/>
      <c r="QEH1" s="87"/>
      <c r="QEI1" s="87"/>
      <c r="QEJ1" s="87"/>
      <c r="QEK1" s="87"/>
      <c r="QEL1" s="87"/>
      <c r="QEM1" s="87"/>
      <c r="QEN1" s="87"/>
      <c r="QEO1" s="87"/>
      <c r="QEP1" s="87"/>
      <c r="QEQ1" s="87"/>
      <c r="QER1" s="87"/>
      <c r="QES1" s="87"/>
      <c r="QET1" s="87"/>
      <c r="QEU1" s="87"/>
      <c r="QEV1" s="87"/>
      <c r="QEW1" s="87"/>
      <c r="QEX1" s="87"/>
      <c r="QEY1" s="87"/>
      <c r="QEZ1" s="87"/>
      <c r="QFA1" s="87"/>
      <c r="QFB1" s="87"/>
      <c r="QFC1" s="87"/>
      <c r="QFD1" s="87"/>
      <c r="QFE1" s="87"/>
      <c r="QFF1" s="87"/>
      <c r="QFG1" s="87"/>
      <c r="QFH1" s="87"/>
      <c r="QFI1" s="87"/>
      <c r="QFJ1" s="87"/>
      <c r="QFK1" s="87"/>
      <c r="QFL1" s="87"/>
      <c r="QFM1" s="87"/>
      <c r="QFN1" s="87"/>
      <c r="QFO1" s="87"/>
      <c r="QFP1" s="87"/>
      <c r="QFQ1" s="87"/>
      <c r="QFR1" s="87"/>
      <c r="QFS1" s="87"/>
      <c r="QFT1" s="87"/>
      <c r="QFU1" s="87"/>
      <c r="QFV1" s="87"/>
      <c r="QFW1" s="87"/>
      <c r="QFX1" s="87"/>
      <c r="QFY1" s="87"/>
      <c r="QFZ1" s="87"/>
      <c r="QGA1" s="87"/>
      <c r="QGB1" s="87"/>
      <c r="QGC1" s="87"/>
      <c r="QGD1" s="87"/>
      <c r="QGE1" s="87"/>
      <c r="QGF1" s="87"/>
      <c r="QGG1" s="87"/>
      <c r="QGH1" s="87"/>
      <c r="QGI1" s="87"/>
      <c r="QGJ1" s="87"/>
      <c r="QGK1" s="87"/>
      <c r="QGL1" s="87"/>
      <c r="QGM1" s="87"/>
      <c r="QGN1" s="87"/>
      <c r="QGO1" s="87"/>
      <c r="QGP1" s="87"/>
      <c r="QGQ1" s="87"/>
      <c r="QGR1" s="87"/>
      <c r="QGS1" s="87"/>
      <c r="QGT1" s="87"/>
      <c r="QGU1" s="87"/>
      <c r="QGV1" s="87"/>
      <c r="QGW1" s="87"/>
      <c r="QGX1" s="87"/>
      <c r="QGY1" s="87"/>
      <c r="QGZ1" s="87"/>
      <c r="QHA1" s="87"/>
      <c r="QHB1" s="87"/>
      <c r="QHC1" s="87"/>
      <c r="QHD1" s="87"/>
      <c r="QHE1" s="87"/>
      <c r="QHF1" s="87"/>
      <c r="QHG1" s="87"/>
      <c r="QHH1" s="87"/>
      <c r="QHI1" s="87"/>
      <c r="QHJ1" s="87"/>
      <c r="QHK1" s="87"/>
      <c r="QHL1" s="87"/>
      <c r="QHM1" s="87"/>
      <c r="QHN1" s="87"/>
      <c r="QHO1" s="87"/>
      <c r="QHP1" s="87"/>
      <c r="QHQ1" s="87"/>
      <c r="QHR1" s="87"/>
      <c r="QHS1" s="87"/>
      <c r="QHT1" s="87"/>
      <c r="QHU1" s="87"/>
      <c r="QHV1" s="87"/>
      <c r="QHW1" s="87"/>
      <c r="QHX1" s="87"/>
      <c r="QHY1" s="87"/>
      <c r="QHZ1" s="87"/>
      <c r="QIA1" s="87"/>
      <c r="QIB1" s="87"/>
      <c r="QIC1" s="87"/>
      <c r="QID1" s="87"/>
      <c r="QIE1" s="87"/>
      <c r="QIF1" s="87"/>
      <c r="QIG1" s="87"/>
      <c r="QIH1" s="87"/>
      <c r="QII1" s="87"/>
      <c r="QIJ1" s="87"/>
      <c r="QIK1" s="87"/>
      <c r="QIL1" s="87"/>
      <c r="QIM1" s="87"/>
      <c r="QIN1" s="87"/>
      <c r="QIO1" s="87"/>
      <c r="QIP1" s="87"/>
      <c r="QIQ1" s="87"/>
      <c r="QIR1" s="87"/>
      <c r="QIS1" s="87"/>
      <c r="QIT1" s="87"/>
      <c r="QIU1" s="87"/>
      <c r="QIV1" s="87"/>
      <c r="QIW1" s="87"/>
      <c r="QIX1" s="87"/>
      <c r="QIY1" s="87"/>
      <c r="QIZ1" s="87"/>
      <c r="QJA1" s="87"/>
      <c r="QJB1" s="87"/>
      <c r="QJC1" s="87"/>
      <c r="QJD1" s="87"/>
      <c r="QJE1" s="87"/>
      <c r="QJF1" s="87"/>
      <c r="QJG1" s="87"/>
      <c r="QJH1" s="87"/>
      <c r="QJI1" s="87"/>
      <c r="QJJ1" s="87"/>
      <c r="QJK1" s="87"/>
      <c r="QJL1" s="87"/>
      <c r="QJM1" s="87"/>
      <c r="QJN1" s="87"/>
      <c r="QJO1" s="87"/>
      <c r="QJP1" s="87"/>
      <c r="QJQ1" s="87"/>
      <c r="QJR1" s="87"/>
      <c r="QJS1" s="87"/>
      <c r="QJT1" s="87"/>
      <c r="QJU1" s="87"/>
      <c r="QJV1" s="87"/>
      <c r="QJW1" s="87"/>
      <c r="QJX1" s="87"/>
      <c r="QJY1" s="87"/>
      <c r="QJZ1" s="87"/>
      <c r="QKA1" s="87"/>
      <c r="QKB1" s="87"/>
      <c r="QKC1" s="87"/>
      <c r="QKD1" s="87"/>
      <c r="QKE1" s="87"/>
      <c r="QKF1" s="87"/>
      <c r="QKG1" s="87"/>
      <c r="QKH1" s="87"/>
      <c r="QKI1" s="87"/>
      <c r="QKJ1" s="87"/>
      <c r="QKK1" s="87"/>
      <c r="QKL1" s="87"/>
      <c r="QKM1" s="87"/>
      <c r="QKN1" s="87"/>
      <c r="QKO1" s="87"/>
      <c r="QKP1" s="87"/>
      <c r="QKQ1" s="87"/>
      <c r="QKR1" s="87"/>
      <c r="QKS1" s="87"/>
      <c r="QKT1" s="87"/>
      <c r="QKU1" s="87"/>
      <c r="QKV1" s="87"/>
      <c r="QKW1" s="87"/>
      <c r="QKX1" s="87"/>
      <c r="QKY1" s="87"/>
      <c r="QKZ1" s="87"/>
      <c r="QLA1" s="87"/>
      <c r="QLB1" s="87"/>
      <c r="QLC1" s="87"/>
      <c r="QLD1" s="87"/>
      <c r="QLE1" s="87"/>
      <c r="QLF1" s="87"/>
      <c r="QLG1" s="87"/>
      <c r="QLH1" s="87"/>
      <c r="QLI1" s="87"/>
      <c r="QLJ1" s="87"/>
      <c r="QLK1" s="87"/>
      <c r="QLL1" s="87"/>
      <c r="QLM1" s="87"/>
      <c r="QLN1" s="87"/>
      <c r="QLO1" s="87"/>
      <c r="QLP1" s="87"/>
      <c r="QLQ1" s="87"/>
      <c r="QLR1" s="87"/>
      <c r="QLS1" s="87"/>
      <c r="QLT1" s="87"/>
      <c r="QLU1" s="87"/>
      <c r="QLV1" s="87"/>
      <c r="QLW1" s="87"/>
      <c r="QLX1" s="87"/>
      <c r="QLY1" s="87"/>
      <c r="QLZ1" s="87"/>
      <c r="QMA1" s="87"/>
      <c r="QMB1" s="87"/>
      <c r="QMC1" s="87"/>
      <c r="QMD1" s="87"/>
      <c r="QME1" s="87"/>
      <c r="QMF1" s="87"/>
      <c r="QMG1" s="87"/>
      <c r="QMH1" s="87"/>
      <c r="QMI1" s="87"/>
      <c r="QMJ1" s="87"/>
      <c r="QMK1" s="87"/>
      <c r="QML1" s="87"/>
      <c r="QMM1" s="87"/>
      <c r="QMN1" s="87"/>
      <c r="QMO1" s="87"/>
      <c r="QMP1" s="87"/>
      <c r="QMQ1" s="87"/>
      <c r="QMR1" s="87"/>
      <c r="QMS1" s="87"/>
      <c r="QMT1" s="87"/>
      <c r="QMU1" s="87"/>
      <c r="QMV1" s="87"/>
      <c r="QMW1" s="87"/>
      <c r="QMX1" s="87"/>
      <c r="QMY1" s="87"/>
      <c r="QMZ1" s="87"/>
      <c r="QNA1" s="87"/>
      <c r="QNB1" s="87"/>
      <c r="QNC1" s="87"/>
      <c r="QND1" s="87"/>
      <c r="QNE1" s="87"/>
      <c r="QNF1" s="87"/>
      <c r="QNG1" s="87"/>
      <c r="QNH1" s="87"/>
      <c r="QNI1" s="87"/>
      <c r="QNJ1" s="87"/>
      <c r="QNK1" s="87"/>
      <c r="QNL1" s="87"/>
      <c r="QNM1" s="87"/>
      <c r="QNN1" s="87"/>
      <c r="QNO1" s="87"/>
      <c r="QNP1" s="87"/>
      <c r="QNQ1" s="87"/>
      <c r="QNR1" s="87"/>
      <c r="QNS1" s="87"/>
      <c r="QNT1" s="87"/>
      <c r="QNU1" s="87"/>
      <c r="QNV1" s="87"/>
      <c r="QNW1" s="87"/>
      <c r="QNX1" s="87"/>
      <c r="QNY1" s="87"/>
      <c r="QNZ1" s="87"/>
      <c r="QOA1" s="87"/>
      <c r="QOB1" s="87"/>
      <c r="QOC1" s="87"/>
      <c r="QOD1" s="87"/>
      <c r="QOE1" s="87"/>
      <c r="QOF1" s="87"/>
      <c r="QOG1" s="87"/>
      <c r="QOH1" s="87"/>
      <c r="QOI1" s="87"/>
      <c r="QOJ1" s="87"/>
      <c r="QOK1" s="87"/>
      <c r="QOL1" s="87"/>
      <c r="QOM1" s="87"/>
      <c r="QON1" s="87"/>
      <c r="QOO1" s="87"/>
      <c r="QOP1" s="87"/>
      <c r="QOQ1" s="87"/>
      <c r="QOR1" s="87"/>
      <c r="QOS1" s="87"/>
      <c r="QOT1" s="87"/>
      <c r="QOU1" s="87"/>
      <c r="QOV1" s="87"/>
      <c r="QOW1" s="87"/>
      <c r="QOX1" s="87"/>
      <c r="QOY1" s="87"/>
      <c r="QOZ1" s="87"/>
      <c r="QPA1" s="87"/>
      <c r="QPB1" s="87"/>
      <c r="QPC1" s="87"/>
      <c r="QPD1" s="87"/>
      <c r="QPE1" s="87"/>
      <c r="QPF1" s="87"/>
      <c r="QPG1" s="87"/>
      <c r="QPH1" s="87"/>
      <c r="QPI1" s="87"/>
      <c r="QPJ1" s="87"/>
      <c r="QPK1" s="87"/>
      <c r="QPL1" s="87"/>
      <c r="QPM1" s="87"/>
      <c r="QPN1" s="87"/>
      <c r="QPO1" s="87"/>
      <c r="QPP1" s="87"/>
      <c r="QPQ1" s="87"/>
      <c r="QPR1" s="87"/>
      <c r="QPS1" s="87"/>
      <c r="QPT1" s="87"/>
      <c r="QPU1" s="87"/>
      <c r="QPV1" s="87"/>
      <c r="QPW1" s="87"/>
      <c r="QPX1" s="87"/>
      <c r="QPY1" s="87"/>
      <c r="QPZ1" s="87"/>
      <c r="QQA1" s="87"/>
      <c r="QQB1" s="87"/>
      <c r="QQC1" s="87"/>
      <c r="QQD1" s="87"/>
      <c r="QQE1" s="87"/>
      <c r="QQF1" s="87"/>
      <c r="QQG1" s="87"/>
      <c r="QQH1" s="87"/>
      <c r="QQI1" s="87"/>
      <c r="QQJ1" s="87"/>
      <c r="QQK1" s="87"/>
      <c r="QQL1" s="87"/>
      <c r="QQM1" s="87"/>
      <c r="QQN1" s="87"/>
      <c r="QQO1" s="87"/>
      <c r="QQP1" s="87"/>
      <c r="QQQ1" s="87"/>
      <c r="QQR1" s="87"/>
      <c r="QQS1" s="87"/>
      <c r="QQT1" s="87"/>
      <c r="QQU1" s="87"/>
      <c r="QQV1" s="87"/>
      <c r="QQW1" s="87"/>
      <c r="QQX1" s="87"/>
      <c r="QQY1" s="87"/>
      <c r="QQZ1" s="87"/>
      <c r="QRA1" s="87"/>
      <c r="QRB1" s="87"/>
      <c r="QRC1" s="87"/>
      <c r="QRD1" s="87"/>
      <c r="QRE1" s="87"/>
      <c r="QRF1" s="87"/>
      <c r="QRG1" s="87"/>
      <c r="QRH1" s="87"/>
      <c r="QRI1" s="87"/>
      <c r="QRJ1" s="87"/>
      <c r="QRK1" s="87"/>
      <c r="QRL1" s="87"/>
      <c r="QRM1" s="87"/>
      <c r="QRN1" s="87"/>
      <c r="QRO1" s="87"/>
      <c r="QRP1" s="87"/>
      <c r="QRQ1" s="87"/>
      <c r="QRR1" s="87"/>
      <c r="QRS1" s="87"/>
      <c r="QRT1" s="87"/>
      <c r="QRU1" s="87"/>
      <c r="QRV1" s="87"/>
      <c r="QRW1" s="87"/>
      <c r="QRX1" s="87"/>
      <c r="QRY1" s="87"/>
      <c r="QRZ1" s="87"/>
      <c r="QSA1" s="87"/>
      <c r="QSB1" s="87"/>
      <c r="QSC1" s="87"/>
      <c r="QSD1" s="87"/>
      <c r="QSE1" s="87"/>
      <c r="QSF1" s="87"/>
      <c r="QSG1" s="87"/>
      <c r="QSH1" s="87"/>
      <c r="QSI1" s="87"/>
      <c r="QSJ1" s="87"/>
      <c r="QSK1" s="87"/>
      <c r="QSL1" s="87"/>
      <c r="QSM1" s="87"/>
      <c r="QSN1" s="87"/>
      <c r="QSO1" s="87"/>
      <c r="QSP1" s="87"/>
      <c r="QSQ1" s="87"/>
      <c r="QSR1" s="87"/>
      <c r="QSS1" s="87"/>
      <c r="QST1" s="87"/>
      <c r="QSU1" s="87"/>
      <c r="QSV1" s="87"/>
      <c r="QSW1" s="87"/>
      <c r="QSX1" s="87"/>
      <c r="QSY1" s="87"/>
      <c r="QSZ1" s="87"/>
      <c r="QTA1" s="87"/>
      <c r="QTB1" s="87"/>
      <c r="QTC1" s="87"/>
      <c r="QTD1" s="87"/>
      <c r="QTE1" s="87"/>
      <c r="QTF1" s="87"/>
      <c r="QTG1" s="87"/>
      <c r="QTH1" s="87"/>
      <c r="QTI1" s="87"/>
      <c r="QTJ1" s="87"/>
      <c r="QTK1" s="87"/>
      <c r="QTL1" s="87"/>
      <c r="QTM1" s="87"/>
      <c r="QTN1" s="87"/>
      <c r="QTO1" s="87"/>
      <c r="QTP1" s="87"/>
      <c r="QTQ1" s="87"/>
      <c r="QTR1" s="87"/>
      <c r="QTS1" s="87"/>
      <c r="QTT1" s="87"/>
      <c r="QTU1" s="87"/>
      <c r="QTV1" s="87"/>
      <c r="QTW1" s="87"/>
      <c r="QTX1" s="87"/>
      <c r="QTY1" s="87"/>
      <c r="QTZ1" s="87"/>
      <c r="QUA1" s="87"/>
      <c r="QUB1" s="87"/>
      <c r="QUC1" s="87"/>
      <c r="QUD1" s="87"/>
      <c r="QUE1" s="87"/>
      <c r="QUF1" s="87"/>
      <c r="QUG1" s="87"/>
      <c r="QUH1" s="87"/>
      <c r="QUI1" s="87"/>
      <c r="QUJ1" s="87"/>
      <c r="QUK1" s="87"/>
      <c r="QUL1" s="87"/>
      <c r="QUM1" s="87"/>
      <c r="QUN1" s="87"/>
      <c r="QUO1" s="87"/>
      <c r="QUP1" s="87"/>
      <c r="QUQ1" s="87"/>
      <c r="QUR1" s="87"/>
      <c r="QUS1" s="87"/>
      <c r="QUT1" s="87"/>
      <c r="QUU1" s="87"/>
      <c r="QUV1" s="87"/>
      <c r="QUW1" s="87"/>
      <c r="QUX1" s="87"/>
      <c r="QUY1" s="87"/>
      <c r="QUZ1" s="87"/>
      <c r="QVA1" s="87"/>
      <c r="QVB1" s="87"/>
      <c r="QVC1" s="87"/>
      <c r="QVD1" s="87"/>
      <c r="QVE1" s="87"/>
      <c r="QVF1" s="87"/>
      <c r="QVG1" s="87"/>
      <c r="QVH1" s="87"/>
      <c r="QVI1" s="87"/>
      <c r="QVJ1" s="87"/>
      <c r="QVK1" s="87"/>
      <c r="QVL1" s="87"/>
      <c r="QVM1" s="87"/>
      <c r="QVN1" s="87"/>
      <c r="QVO1" s="87"/>
      <c r="QVP1" s="87"/>
      <c r="QVQ1" s="87"/>
      <c r="QVR1" s="87"/>
      <c r="QVS1" s="87"/>
      <c r="QVT1" s="87"/>
      <c r="QVU1" s="87"/>
      <c r="QVV1" s="87"/>
      <c r="QVW1" s="87"/>
      <c r="QVX1" s="87"/>
      <c r="QVY1" s="87"/>
      <c r="QVZ1" s="87"/>
      <c r="QWA1" s="87"/>
      <c r="QWB1" s="87"/>
      <c r="QWC1" s="87"/>
      <c r="QWD1" s="87"/>
      <c r="QWE1" s="87"/>
      <c r="QWF1" s="87"/>
      <c r="QWG1" s="87"/>
      <c r="QWH1" s="87"/>
      <c r="QWI1" s="87"/>
      <c r="QWJ1" s="87"/>
      <c r="QWK1" s="87"/>
      <c r="QWL1" s="87"/>
      <c r="QWM1" s="87"/>
      <c r="QWN1" s="87"/>
      <c r="QWO1" s="87"/>
      <c r="QWP1" s="87"/>
      <c r="QWQ1" s="87"/>
      <c r="QWR1" s="87"/>
      <c r="QWS1" s="87"/>
      <c r="QWT1" s="87"/>
      <c r="QWU1" s="87"/>
      <c r="QWV1" s="87"/>
      <c r="QWW1" s="87"/>
      <c r="QWX1" s="87"/>
      <c r="QWY1" s="87"/>
      <c r="QWZ1" s="87"/>
      <c r="QXA1" s="87"/>
      <c r="QXB1" s="87"/>
      <c r="QXC1" s="87"/>
      <c r="QXD1" s="87"/>
      <c r="QXE1" s="87"/>
      <c r="QXF1" s="87"/>
      <c r="QXG1" s="87"/>
      <c r="QXH1" s="87"/>
      <c r="QXI1" s="87"/>
      <c r="QXJ1" s="87"/>
      <c r="QXK1" s="87"/>
      <c r="QXL1" s="87"/>
      <c r="QXM1" s="87"/>
      <c r="QXN1" s="87"/>
      <c r="QXO1" s="87"/>
      <c r="QXP1" s="87"/>
      <c r="QXQ1" s="87"/>
      <c r="QXR1" s="87"/>
      <c r="QXS1" s="87"/>
      <c r="QXT1" s="87"/>
      <c r="QXU1" s="87"/>
      <c r="QXV1" s="87"/>
      <c r="QXW1" s="87"/>
      <c r="QXX1" s="87"/>
      <c r="QXY1" s="87"/>
      <c r="QXZ1" s="87"/>
      <c r="QYA1" s="87"/>
      <c r="QYB1" s="87"/>
      <c r="QYC1" s="87"/>
      <c r="QYD1" s="87"/>
      <c r="QYE1" s="87"/>
      <c r="QYF1" s="87"/>
      <c r="QYG1" s="87"/>
      <c r="QYH1" s="87"/>
      <c r="QYI1" s="87"/>
      <c r="QYJ1" s="87"/>
      <c r="QYK1" s="87"/>
      <c r="QYL1" s="87"/>
      <c r="QYM1" s="87"/>
      <c r="QYN1" s="87"/>
      <c r="QYO1" s="87"/>
      <c r="QYP1" s="87"/>
      <c r="QYQ1" s="87"/>
      <c r="QYR1" s="87"/>
      <c r="QYS1" s="87"/>
      <c r="QYT1" s="87"/>
      <c r="QYU1" s="87"/>
      <c r="QYV1" s="87"/>
      <c r="QYW1" s="87"/>
      <c r="QYX1" s="87"/>
      <c r="QYY1" s="87"/>
      <c r="QYZ1" s="87"/>
      <c r="QZA1" s="87"/>
      <c r="QZB1" s="87"/>
      <c r="QZC1" s="87"/>
      <c r="QZD1" s="87"/>
      <c r="QZE1" s="87"/>
      <c r="QZF1" s="87"/>
      <c r="QZG1" s="87"/>
      <c r="QZH1" s="87"/>
      <c r="QZI1" s="87"/>
      <c r="QZJ1" s="87"/>
      <c r="QZK1" s="87"/>
      <c r="QZL1" s="87"/>
      <c r="QZM1" s="87"/>
      <c r="QZN1" s="87"/>
      <c r="QZO1" s="87"/>
      <c r="QZP1" s="87"/>
      <c r="QZQ1" s="87"/>
      <c r="QZR1" s="87"/>
      <c r="QZS1" s="87"/>
      <c r="QZT1" s="87"/>
      <c r="QZU1" s="87"/>
      <c r="QZV1" s="87"/>
      <c r="QZW1" s="87"/>
      <c r="QZX1" s="87"/>
      <c r="QZY1" s="87"/>
      <c r="QZZ1" s="87"/>
      <c r="RAA1" s="87"/>
      <c r="RAB1" s="87"/>
      <c r="RAC1" s="87"/>
      <c r="RAD1" s="87"/>
      <c r="RAE1" s="87"/>
      <c r="RAF1" s="87"/>
      <c r="RAG1" s="87"/>
      <c r="RAH1" s="87"/>
      <c r="RAI1" s="87"/>
      <c r="RAJ1" s="87"/>
      <c r="RAK1" s="87"/>
      <c r="RAL1" s="87"/>
      <c r="RAM1" s="87"/>
      <c r="RAN1" s="87"/>
      <c r="RAO1" s="87"/>
      <c r="RAP1" s="87"/>
      <c r="RAQ1" s="87"/>
      <c r="RAR1" s="87"/>
      <c r="RAS1" s="87"/>
      <c r="RAT1" s="87"/>
      <c r="RAU1" s="87"/>
      <c r="RAV1" s="87"/>
      <c r="RAW1" s="87"/>
      <c r="RAX1" s="87"/>
      <c r="RAY1" s="87"/>
      <c r="RAZ1" s="87"/>
      <c r="RBA1" s="87"/>
      <c r="RBB1" s="87"/>
      <c r="RBC1" s="87"/>
      <c r="RBD1" s="87"/>
      <c r="RBE1" s="87"/>
      <c r="RBF1" s="87"/>
      <c r="RBG1" s="87"/>
      <c r="RBH1" s="87"/>
      <c r="RBI1" s="87"/>
      <c r="RBJ1" s="87"/>
      <c r="RBK1" s="87"/>
      <c r="RBL1" s="87"/>
      <c r="RBM1" s="87"/>
      <c r="RBN1" s="87"/>
      <c r="RBO1" s="87"/>
      <c r="RBP1" s="87"/>
      <c r="RBQ1" s="87"/>
      <c r="RBR1" s="87"/>
      <c r="RBS1" s="87"/>
      <c r="RBT1" s="87"/>
      <c r="RBU1" s="87"/>
      <c r="RBV1" s="87"/>
      <c r="RBW1" s="87"/>
      <c r="RBX1" s="87"/>
      <c r="RBY1" s="87"/>
      <c r="RBZ1" s="87"/>
      <c r="RCA1" s="87"/>
      <c r="RCB1" s="87"/>
      <c r="RCC1" s="87"/>
      <c r="RCD1" s="87"/>
      <c r="RCE1" s="87"/>
      <c r="RCF1" s="87"/>
      <c r="RCG1" s="87"/>
      <c r="RCH1" s="87"/>
      <c r="RCI1" s="87"/>
      <c r="RCJ1" s="87"/>
      <c r="RCK1" s="87"/>
      <c r="RCL1" s="87"/>
      <c r="RCM1" s="87"/>
      <c r="RCN1" s="87"/>
      <c r="RCO1" s="87"/>
      <c r="RCP1" s="87"/>
      <c r="RCQ1" s="87"/>
      <c r="RCR1" s="87"/>
      <c r="RCS1" s="87"/>
      <c r="RCT1" s="87"/>
      <c r="RCU1" s="87"/>
      <c r="RCV1" s="87"/>
      <c r="RCW1" s="87"/>
      <c r="RCX1" s="87"/>
      <c r="RCY1" s="87"/>
      <c r="RCZ1" s="87"/>
      <c r="RDA1" s="87"/>
      <c r="RDB1" s="87"/>
      <c r="RDC1" s="87"/>
      <c r="RDD1" s="87"/>
      <c r="RDE1" s="87"/>
      <c r="RDF1" s="87"/>
      <c r="RDG1" s="87"/>
      <c r="RDH1" s="87"/>
      <c r="RDI1" s="87"/>
      <c r="RDJ1" s="87"/>
      <c r="RDK1" s="87"/>
      <c r="RDL1" s="87"/>
      <c r="RDM1" s="87"/>
      <c r="RDN1" s="87"/>
      <c r="RDO1" s="87"/>
      <c r="RDP1" s="87"/>
      <c r="RDQ1" s="87"/>
      <c r="RDR1" s="87"/>
      <c r="RDS1" s="87"/>
      <c r="RDT1" s="87"/>
      <c r="RDU1" s="87"/>
      <c r="RDV1" s="87"/>
      <c r="RDW1" s="87"/>
      <c r="RDX1" s="87"/>
      <c r="RDY1" s="87"/>
      <c r="RDZ1" s="87"/>
      <c r="REA1" s="87"/>
      <c r="REB1" s="87"/>
      <c r="REC1" s="87"/>
      <c r="RED1" s="87"/>
      <c r="REE1" s="87"/>
      <c r="REF1" s="87"/>
      <c r="REG1" s="87"/>
      <c r="REH1" s="87"/>
      <c r="REI1" s="87"/>
      <c r="REJ1" s="87"/>
      <c r="REK1" s="87"/>
      <c r="REL1" s="87"/>
      <c r="REM1" s="87"/>
      <c r="REN1" s="87"/>
      <c r="REO1" s="87"/>
      <c r="REP1" s="87"/>
      <c r="REQ1" s="87"/>
      <c r="RER1" s="87"/>
      <c r="RES1" s="87"/>
      <c r="RET1" s="87"/>
      <c r="REU1" s="87"/>
      <c r="REV1" s="87"/>
      <c r="REW1" s="87"/>
      <c r="REX1" s="87"/>
      <c r="REY1" s="87"/>
      <c r="REZ1" s="87"/>
      <c r="RFA1" s="87"/>
      <c r="RFB1" s="87"/>
      <c r="RFC1" s="87"/>
      <c r="RFD1" s="87"/>
      <c r="RFE1" s="87"/>
      <c r="RFF1" s="87"/>
      <c r="RFG1" s="87"/>
      <c r="RFH1" s="87"/>
      <c r="RFI1" s="87"/>
      <c r="RFJ1" s="87"/>
      <c r="RFK1" s="87"/>
      <c r="RFL1" s="87"/>
      <c r="RFM1" s="87"/>
      <c r="RFN1" s="87"/>
      <c r="RFO1" s="87"/>
      <c r="RFP1" s="87"/>
      <c r="RFQ1" s="87"/>
      <c r="RFR1" s="87"/>
      <c r="RFS1" s="87"/>
      <c r="RFT1" s="87"/>
      <c r="RFU1" s="87"/>
      <c r="RFV1" s="87"/>
      <c r="RFW1" s="87"/>
      <c r="RFX1" s="87"/>
      <c r="RFY1" s="87"/>
      <c r="RFZ1" s="87"/>
      <c r="RGA1" s="87"/>
      <c r="RGB1" s="87"/>
      <c r="RGC1" s="87"/>
      <c r="RGD1" s="87"/>
      <c r="RGE1" s="87"/>
      <c r="RGF1" s="87"/>
      <c r="RGG1" s="87"/>
      <c r="RGH1" s="87"/>
      <c r="RGI1" s="87"/>
      <c r="RGJ1" s="87"/>
      <c r="RGK1" s="87"/>
      <c r="RGL1" s="87"/>
      <c r="RGM1" s="87"/>
      <c r="RGN1" s="87"/>
      <c r="RGO1" s="87"/>
      <c r="RGP1" s="87"/>
      <c r="RGQ1" s="87"/>
      <c r="RGR1" s="87"/>
      <c r="RGS1" s="87"/>
      <c r="RGT1" s="87"/>
      <c r="RGU1" s="87"/>
      <c r="RGV1" s="87"/>
      <c r="RGW1" s="87"/>
      <c r="RGX1" s="87"/>
      <c r="RGY1" s="87"/>
      <c r="RGZ1" s="87"/>
      <c r="RHA1" s="87"/>
      <c r="RHB1" s="87"/>
      <c r="RHC1" s="87"/>
      <c r="RHD1" s="87"/>
      <c r="RHE1" s="87"/>
      <c r="RHF1" s="87"/>
      <c r="RHG1" s="87"/>
      <c r="RHH1" s="87"/>
      <c r="RHI1" s="87"/>
      <c r="RHJ1" s="87"/>
      <c r="RHK1" s="87"/>
      <c r="RHL1" s="87"/>
      <c r="RHM1" s="87"/>
      <c r="RHN1" s="87"/>
      <c r="RHO1" s="87"/>
      <c r="RHP1" s="87"/>
      <c r="RHQ1" s="87"/>
      <c r="RHR1" s="87"/>
      <c r="RHS1" s="87"/>
      <c r="RHT1" s="87"/>
      <c r="RHU1" s="87"/>
      <c r="RHV1" s="87"/>
      <c r="RHW1" s="87"/>
      <c r="RHX1" s="87"/>
      <c r="RHY1" s="87"/>
      <c r="RHZ1" s="87"/>
      <c r="RIA1" s="87"/>
      <c r="RIB1" s="87"/>
      <c r="RIC1" s="87"/>
      <c r="RID1" s="87"/>
      <c r="RIE1" s="87"/>
      <c r="RIF1" s="87"/>
      <c r="RIG1" s="87"/>
      <c r="RIH1" s="87"/>
      <c r="RII1" s="87"/>
      <c r="RIJ1" s="87"/>
      <c r="RIK1" s="87"/>
      <c r="RIL1" s="87"/>
      <c r="RIM1" s="87"/>
      <c r="RIN1" s="87"/>
      <c r="RIO1" s="87"/>
      <c r="RIP1" s="87"/>
      <c r="RIQ1" s="87"/>
      <c r="RIR1" s="87"/>
      <c r="RIS1" s="87"/>
      <c r="RIT1" s="87"/>
      <c r="RIU1" s="87"/>
      <c r="RIV1" s="87"/>
      <c r="RIW1" s="87"/>
      <c r="RIX1" s="87"/>
      <c r="RIY1" s="87"/>
      <c r="RIZ1" s="87"/>
      <c r="RJA1" s="87"/>
      <c r="RJB1" s="87"/>
      <c r="RJC1" s="87"/>
      <c r="RJD1" s="87"/>
      <c r="RJE1" s="87"/>
      <c r="RJF1" s="87"/>
      <c r="RJG1" s="87"/>
      <c r="RJH1" s="87"/>
      <c r="RJI1" s="87"/>
      <c r="RJJ1" s="87"/>
      <c r="RJK1" s="87"/>
      <c r="RJL1" s="87"/>
      <c r="RJM1" s="87"/>
      <c r="RJN1" s="87"/>
      <c r="RJO1" s="87"/>
      <c r="RJP1" s="87"/>
      <c r="RJQ1" s="87"/>
      <c r="RJR1" s="87"/>
      <c r="RJS1" s="87"/>
      <c r="RJT1" s="87"/>
      <c r="RJU1" s="87"/>
      <c r="RJV1" s="87"/>
      <c r="RJW1" s="87"/>
      <c r="RJX1" s="87"/>
      <c r="RJY1" s="87"/>
      <c r="RJZ1" s="87"/>
      <c r="RKA1" s="87"/>
      <c r="RKB1" s="87"/>
      <c r="RKC1" s="87"/>
      <c r="RKD1" s="87"/>
      <c r="RKE1" s="87"/>
      <c r="RKF1" s="87"/>
      <c r="RKG1" s="87"/>
      <c r="RKH1" s="87"/>
      <c r="RKI1" s="87"/>
      <c r="RKJ1" s="87"/>
      <c r="RKK1" s="87"/>
      <c r="RKL1" s="87"/>
      <c r="RKM1" s="87"/>
      <c r="RKN1" s="87"/>
      <c r="RKO1" s="87"/>
      <c r="RKP1" s="87"/>
      <c r="RKQ1" s="87"/>
      <c r="RKR1" s="87"/>
      <c r="RKS1" s="87"/>
      <c r="RKT1" s="87"/>
      <c r="RKU1" s="87"/>
      <c r="RKV1" s="87"/>
      <c r="RKW1" s="87"/>
      <c r="RKX1" s="87"/>
      <c r="RKY1" s="87"/>
      <c r="RKZ1" s="87"/>
      <c r="RLA1" s="87"/>
      <c r="RLB1" s="87"/>
      <c r="RLC1" s="87"/>
      <c r="RLD1" s="87"/>
      <c r="RLE1" s="87"/>
      <c r="RLF1" s="87"/>
      <c r="RLG1" s="87"/>
      <c r="RLH1" s="87"/>
      <c r="RLI1" s="87"/>
      <c r="RLJ1" s="87"/>
      <c r="RLK1" s="87"/>
      <c r="RLL1" s="87"/>
      <c r="RLM1" s="87"/>
      <c r="RLN1" s="87"/>
      <c r="RLO1" s="87"/>
      <c r="RLP1" s="87"/>
      <c r="RLQ1" s="87"/>
      <c r="RLR1" s="87"/>
      <c r="RLS1" s="87"/>
      <c r="RLT1" s="87"/>
      <c r="RLU1" s="87"/>
      <c r="RLV1" s="87"/>
      <c r="RLW1" s="87"/>
      <c r="RLX1" s="87"/>
      <c r="RLY1" s="87"/>
      <c r="RLZ1" s="87"/>
      <c r="RMA1" s="87"/>
      <c r="RMB1" s="87"/>
      <c r="RMC1" s="87"/>
      <c r="RMD1" s="87"/>
      <c r="RME1" s="87"/>
      <c r="RMF1" s="87"/>
      <c r="RMG1" s="87"/>
      <c r="RMH1" s="87"/>
      <c r="RMI1" s="87"/>
      <c r="RMJ1" s="87"/>
      <c r="RMK1" s="87"/>
      <c r="RML1" s="87"/>
      <c r="RMM1" s="87"/>
      <c r="RMN1" s="87"/>
      <c r="RMO1" s="87"/>
      <c r="RMP1" s="87"/>
      <c r="RMQ1" s="87"/>
      <c r="RMR1" s="87"/>
      <c r="RMS1" s="87"/>
      <c r="RMT1" s="87"/>
      <c r="RMU1" s="87"/>
      <c r="RMV1" s="87"/>
      <c r="RMW1" s="87"/>
      <c r="RMX1" s="87"/>
      <c r="RMY1" s="87"/>
      <c r="RMZ1" s="87"/>
      <c r="RNA1" s="87"/>
      <c r="RNB1" s="87"/>
      <c r="RNC1" s="87"/>
      <c r="RND1" s="87"/>
      <c r="RNE1" s="87"/>
      <c r="RNF1" s="87"/>
      <c r="RNG1" s="87"/>
      <c r="RNH1" s="87"/>
      <c r="RNI1" s="87"/>
      <c r="RNJ1" s="87"/>
      <c r="RNK1" s="87"/>
      <c r="RNL1" s="87"/>
      <c r="RNM1" s="87"/>
      <c r="RNN1" s="87"/>
      <c r="RNO1" s="87"/>
      <c r="RNP1" s="87"/>
      <c r="RNQ1" s="87"/>
      <c r="RNR1" s="87"/>
      <c r="RNS1" s="87"/>
      <c r="RNT1" s="87"/>
      <c r="RNU1" s="87"/>
      <c r="RNV1" s="87"/>
      <c r="RNW1" s="87"/>
      <c r="RNX1" s="87"/>
      <c r="RNY1" s="87"/>
      <c r="RNZ1" s="87"/>
      <c r="ROA1" s="87"/>
      <c r="ROB1" s="87"/>
      <c r="ROC1" s="87"/>
      <c r="ROD1" s="87"/>
      <c r="ROE1" s="87"/>
      <c r="ROF1" s="87"/>
      <c r="ROG1" s="87"/>
      <c r="ROH1" s="87"/>
      <c r="ROI1" s="87"/>
      <c r="ROJ1" s="87"/>
      <c r="ROK1" s="87"/>
      <c r="ROL1" s="87"/>
      <c r="ROM1" s="87"/>
      <c r="RON1" s="87"/>
      <c r="ROO1" s="87"/>
      <c r="ROP1" s="87"/>
      <c r="ROQ1" s="87"/>
      <c r="ROR1" s="87"/>
      <c r="ROS1" s="87"/>
      <c r="ROT1" s="87"/>
      <c r="ROU1" s="87"/>
      <c r="ROV1" s="87"/>
      <c r="ROW1" s="87"/>
      <c r="ROX1" s="87"/>
      <c r="ROY1" s="87"/>
      <c r="ROZ1" s="87"/>
      <c r="RPA1" s="87"/>
      <c r="RPB1" s="87"/>
      <c r="RPC1" s="87"/>
      <c r="RPD1" s="87"/>
      <c r="RPE1" s="87"/>
      <c r="RPF1" s="87"/>
      <c r="RPG1" s="87"/>
      <c r="RPH1" s="87"/>
      <c r="RPI1" s="87"/>
      <c r="RPJ1" s="87"/>
      <c r="RPK1" s="87"/>
      <c r="RPL1" s="87"/>
      <c r="RPM1" s="87"/>
      <c r="RPN1" s="87"/>
      <c r="RPO1" s="87"/>
      <c r="RPP1" s="87"/>
      <c r="RPQ1" s="87"/>
      <c r="RPR1" s="87"/>
      <c r="RPS1" s="87"/>
      <c r="RPT1" s="87"/>
      <c r="RPU1" s="87"/>
      <c r="RPV1" s="87"/>
      <c r="RPW1" s="87"/>
      <c r="RPX1" s="87"/>
      <c r="RPY1" s="87"/>
      <c r="RPZ1" s="87"/>
      <c r="RQA1" s="87"/>
      <c r="RQB1" s="87"/>
      <c r="RQC1" s="87"/>
      <c r="RQD1" s="87"/>
      <c r="RQE1" s="87"/>
      <c r="RQF1" s="87"/>
      <c r="RQG1" s="87"/>
      <c r="RQH1" s="87"/>
      <c r="RQI1" s="87"/>
      <c r="RQJ1" s="87"/>
      <c r="RQK1" s="87"/>
      <c r="RQL1" s="87"/>
      <c r="RQM1" s="87"/>
      <c r="RQN1" s="87"/>
      <c r="RQO1" s="87"/>
      <c r="RQP1" s="87"/>
      <c r="RQQ1" s="87"/>
      <c r="RQR1" s="87"/>
      <c r="RQS1" s="87"/>
      <c r="RQT1" s="87"/>
      <c r="RQU1" s="87"/>
      <c r="RQV1" s="87"/>
      <c r="RQW1" s="87"/>
      <c r="RQX1" s="87"/>
      <c r="RQY1" s="87"/>
      <c r="RQZ1" s="87"/>
      <c r="RRA1" s="87"/>
      <c r="RRB1" s="87"/>
      <c r="RRC1" s="87"/>
      <c r="RRD1" s="87"/>
      <c r="RRE1" s="87"/>
      <c r="RRF1" s="87"/>
      <c r="RRG1" s="87"/>
      <c r="RRH1" s="87"/>
      <c r="RRI1" s="87"/>
      <c r="RRJ1" s="87"/>
      <c r="RRK1" s="87"/>
      <c r="RRL1" s="87"/>
      <c r="RRM1" s="87"/>
      <c r="RRN1" s="87"/>
      <c r="RRO1" s="87"/>
      <c r="RRP1" s="87"/>
      <c r="RRQ1" s="87"/>
      <c r="RRR1" s="87"/>
      <c r="RRS1" s="87"/>
      <c r="RRT1" s="87"/>
      <c r="RRU1" s="87"/>
      <c r="RRV1" s="87"/>
      <c r="RRW1" s="87"/>
      <c r="RRX1" s="87"/>
      <c r="RRY1" s="87"/>
      <c r="RRZ1" s="87"/>
      <c r="RSA1" s="87"/>
      <c r="RSB1" s="87"/>
      <c r="RSC1" s="87"/>
      <c r="RSD1" s="87"/>
      <c r="RSE1" s="87"/>
      <c r="RSF1" s="87"/>
      <c r="RSG1" s="87"/>
      <c r="RSH1" s="87"/>
      <c r="RSI1" s="87"/>
      <c r="RSJ1" s="87"/>
      <c r="RSK1" s="87"/>
      <c r="RSL1" s="87"/>
      <c r="RSM1" s="87"/>
      <c r="RSN1" s="87"/>
      <c r="RSO1" s="87"/>
      <c r="RSP1" s="87"/>
      <c r="RSQ1" s="87"/>
      <c r="RSR1" s="87"/>
      <c r="RSS1" s="87"/>
      <c r="RST1" s="87"/>
      <c r="RSU1" s="87"/>
      <c r="RSV1" s="87"/>
      <c r="RSW1" s="87"/>
      <c r="RSX1" s="87"/>
      <c r="RSY1" s="87"/>
      <c r="RSZ1" s="87"/>
      <c r="RTA1" s="87"/>
      <c r="RTB1" s="87"/>
      <c r="RTC1" s="87"/>
      <c r="RTD1" s="87"/>
      <c r="RTE1" s="87"/>
      <c r="RTF1" s="87"/>
      <c r="RTG1" s="87"/>
      <c r="RTH1" s="87"/>
      <c r="RTI1" s="87"/>
      <c r="RTJ1" s="87"/>
      <c r="RTK1" s="87"/>
      <c r="RTL1" s="87"/>
      <c r="RTM1" s="87"/>
      <c r="RTN1" s="87"/>
      <c r="RTO1" s="87"/>
      <c r="RTP1" s="87"/>
      <c r="RTQ1" s="87"/>
      <c r="RTR1" s="87"/>
      <c r="RTS1" s="87"/>
      <c r="RTT1" s="87"/>
      <c r="RTU1" s="87"/>
      <c r="RTV1" s="87"/>
      <c r="RTW1" s="87"/>
      <c r="RTX1" s="87"/>
      <c r="RTY1" s="87"/>
      <c r="RTZ1" s="87"/>
      <c r="RUA1" s="87"/>
      <c r="RUB1" s="87"/>
      <c r="RUC1" s="87"/>
      <c r="RUD1" s="87"/>
      <c r="RUE1" s="87"/>
      <c r="RUF1" s="87"/>
      <c r="RUG1" s="87"/>
      <c r="RUH1" s="87"/>
      <c r="RUI1" s="87"/>
      <c r="RUJ1" s="87"/>
      <c r="RUK1" s="87"/>
      <c r="RUL1" s="87"/>
      <c r="RUM1" s="87"/>
      <c r="RUN1" s="87"/>
      <c r="RUO1" s="87"/>
      <c r="RUP1" s="87"/>
      <c r="RUQ1" s="87"/>
      <c r="RUR1" s="87"/>
      <c r="RUS1" s="87"/>
      <c r="RUT1" s="87"/>
      <c r="RUU1" s="87"/>
      <c r="RUV1" s="87"/>
      <c r="RUW1" s="87"/>
      <c r="RUX1" s="87"/>
      <c r="RUY1" s="87"/>
      <c r="RUZ1" s="87"/>
      <c r="RVA1" s="87"/>
      <c r="RVB1" s="87"/>
      <c r="RVC1" s="87"/>
      <c r="RVD1" s="87"/>
      <c r="RVE1" s="87"/>
      <c r="RVF1" s="87"/>
      <c r="RVG1" s="87"/>
      <c r="RVH1" s="87"/>
      <c r="RVI1" s="87"/>
      <c r="RVJ1" s="87"/>
      <c r="RVK1" s="87"/>
      <c r="RVL1" s="87"/>
      <c r="RVM1" s="87"/>
      <c r="RVN1" s="87"/>
      <c r="RVO1" s="87"/>
      <c r="RVP1" s="87"/>
      <c r="RVQ1" s="87"/>
      <c r="RVR1" s="87"/>
      <c r="RVS1" s="87"/>
      <c r="RVT1" s="87"/>
      <c r="RVU1" s="87"/>
      <c r="RVV1" s="87"/>
      <c r="RVW1" s="87"/>
      <c r="RVX1" s="87"/>
      <c r="RVY1" s="87"/>
      <c r="RVZ1" s="87"/>
      <c r="RWA1" s="87"/>
      <c r="RWB1" s="87"/>
      <c r="RWC1" s="87"/>
      <c r="RWD1" s="87"/>
      <c r="RWE1" s="87"/>
      <c r="RWF1" s="87"/>
      <c r="RWG1" s="87"/>
      <c r="RWH1" s="87"/>
      <c r="RWI1" s="87"/>
      <c r="RWJ1" s="87"/>
      <c r="RWK1" s="87"/>
      <c r="RWL1" s="87"/>
      <c r="RWM1" s="87"/>
      <c r="RWN1" s="87"/>
      <c r="RWO1" s="87"/>
      <c r="RWP1" s="87"/>
      <c r="RWQ1" s="87"/>
      <c r="RWR1" s="87"/>
      <c r="RWS1" s="87"/>
      <c r="RWT1" s="87"/>
      <c r="RWU1" s="87"/>
      <c r="RWV1" s="87"/>
      <c r="RWW1" s="87"/>
      <c r="RWX1" s="87"/>
      <c r="RWY1" s="87"/>
      <c r="RWZ1" s="87"/>
      <c r="RXA1" s="87"/>
      <c r="RXB1" s="87"/>
      <c r="RXC1" s="87"/>
      <c r="RXD1" s="87"/>
      <c r="RXE1" s="87"/>
      <c r="RXF1" s="87"/>
      <c r="RXG1" s="87"/>
      <c r="RXH1" s="87"/>
      <c r="RXI1" s="87"/>
      <c r="RXJ1" s="87"/>
      <c r="RXK1" s="87"/>
      <c r="RXL1" s="87"/>
      <c r="RXM1" s="87"/>
      <c r="RXN1" s="87"/>
      <c r="RXO1" s="87"/>
      <c r="RXP1" s="87"/>
      <c r="RXQ1" s="87"/>
      <c r="RXR1" s="87"/>
      <c r="RXS1" s="87"/>
      <c r="RXT1" s="87"/>
      <c r="RXU1" s="87"/>
      <c r="RXV1" s="87"/>
      <c r="RXW1" s="87"/>
      <c r="RXX1" s="87"/>
      <c r="RXY1" s="87"/>
      <c r="RXZ1" s="87"/>
      <c r="RYA1" s="87"/>
      <c r="RYB1" s="87"/>
      <c r="RYC1" s="87"/>
      <c r="RYD1" s="87"/>
      <c r="RYE1" s="87"/>
      <c r="RYF1" s="87"/>
      <c r="RYG1" s="87"/>
      <c r="RYH1" s="87"/>
      <c r="RYI1" s="87"/>
      <c r="RYJ1" s="87"/>
      <c r="RYK1" s="87"/>
      <c r="RYL1" s="87"/>
      <c r="RYM1" s="87"/>
      <c r="RYN1" s="87"/>
      <c r="RYO1" s="87"/>
      <c r="RYP1" s="87"/>
      <c r="RYQ1" s="87"/>
      <c r="RYR1" s="87"/>
      <c r="RYS1" s="87"/>
      <c r="RYT1" s="87"/>
      <c r="RYU1" s="87"/>
      <c r="RYV1" s="87"/>
      <c r="RYW1" s="87"/>
      <c r="RYX1" s="87"/>
      <c r="RYY1" s="87"/>
      <c r="RYZ1" s="87"/>
      <c r="RZA1" s="87"/>
      <c r="RZB1" s="87"/>
      <c r="RZC1" s="87"/>
      <c r="RZD1" s="87"/>
      <c r="RZE1" s="87"/>
      <c r="RZF1" s="87"/>
      <c r="RZG1" s="87"/>
      <c r="RZH1" s="87"/>
      <c r="RZI1" s="87"/>
      <c r="RZJ1" s="87"/>
      <c r="RZK1" s="87"/>
      <c r="RZL1" s="87"/>
      <c r="RZM1" s="87"/>
      <c r="RZN1" s="87"/>
      <c r="RZO1" s="87"/>
      <c r="RZP1" s="87"/>
      <c r="RZQ1" s="87"/>
      <c r="RZR1" s="87"/>
      <c r="RZS1" s="87"/>
      <c r="RZT1" s="87"/>
      <c r="RZU1" s="87"/>
      <c r="RZV1" s="87"/>
      <c r="RZW1" s="87"/>
      <c r="RZX1" s="87"/>
      <c r="RZY1" s="87"/>
      <c r="RZZ1" s="87"/>
      <c r="SAA1" s="87"/>
      <c r="SAB1" s="87"/>
      <c r="SAC1" s="87"/>
      <c r="SAD1" s="87"/>
      <c r="SAE1" s="87"/>
      <c r="SAF1" s="87"/>
      <c r="SAG1" s="87"/>
      <c r="SAH1" s="87"/>
      <c r="SAI1" s="87"/>
      <c r="SAJ1" s="87"/>
      <c r="SAK1" s="87"/>
      <c r="SAL1" s="87"/>
      <c r="SAM1" s="87"/>
      <c r="SAN1" s="87"/>
      <c r="SAO1" s="87"/>
      <c r="SAP1" s="87"/>
      <c r="SAQ1" s="87"/>
      <c r="SAR1" s="87"/>
      <c r="SAS1" s="87"/>
      <c r="SAT1" s="87"/>
      <c r="SAU1" s="87"/>
      <c r="SAV1" s="87"/>
      <c r="SAW1" s="87"/>
      <c r="SAX1" s="87"/>
      <c r="SAY1" s="87"/>
      <c r="SAZ1" s="87"/>
      <c r="SBA1" s="87"/>
      <c r="SBB1" s="87"/>
      <c r="SBC1" s="87"/>
      <c r="SBD1" s="87"/>
      <c r="SBE1" s="87"/>
      <c r="SBF1" s="87"/>
      <c r="SBG1" s="87"/>
      <c r="SBH1" s="87"/>
      <c r="SBI1" s="87"/>
      <c r="SBJ1" s="87"/>
      <c r="SBK1" s="87"/>
      <c r="SBL1" s="87"/>
      <c r="SBM1" s="87"/>
      <c r="SBN1" s="87"/>
      <c r="SBO1" s="87"/>
      <c r="SBP1" s="87"/>
      <c r="SBQ1" s="87"/>
      <c r="SBR1" s="87"/>
      <c r="SBS1" s="87"/>
      <c r="SBT1" s="87"/>
      <c r="SBU1" s="87"/>
      <c r="SBV1" s="87"/>
      <c r="SBW1" s="87"/>
      <c r="SBX1" s="87"/>
      <c r="SBY1" s="87"/>
      <c r="SBZ1" s="87"/>
      <c r="SCA1" s="87"/>
      <c r="SCB1" s="87"/>
      <c r="SCC1" s="87"/>
      <c r="SCD1" s="87"/>
      <c r="SCE1" s="87"/>
      <c r="SCF1" s="87"/>
      <c r="SCG1" s="87"/>
      <c r="SCH1" s="87"/>
      <c r="SCI1" s="87"/>
      <c r="SCJ1" s="87"/>
      <c r="SCK1" s="87"/>
      <c r="SCL1" s="87"/>
      <c r="SCM1" s="87"/>
      <c r="SCN1" s="87"/>
      <c r="SCO1" s="87"/>
      <c r="SCP1" s="87"/>
      <c r="SCQ1" s="87"/>
      <c r="SCR1" s="87"/>
      <c r="SCS1" s="87"/>
      <c r="SCT1" s="87"/>
      <c r="SCU1" s="87"/>
      <c r="SCV1" s="87"/>
      <c r="SCW1" s="87"/>
      <c r="SCX1" s="87"/>
      <c r="SCY1" s="87"/>
      <c r="SCZ1" s="87"/>
      <c r="SDA1" s="87"/>
      <c r="SDB1" s="87"/>
      <c r="SDC1" s="87"/>
      <c r="SDD1" s="87"/>
      <c r="SDE1" s="87"/>
      <c r="SDF1" s="87"/>
      <c r="SDG1" s="87"/>
      <c r="SDH1" s="87"/>
      <c r="SDI1" s="87"/>
      <c r="SDJ1" s="87"/>
      <c r="SDK1" s="87"/>
      <c r="SDL1" s="87"/>
      <c r="SDM1" s="87"/>
      <c r="SDN1" s="87"/>
      <c r="SDO1" s="87"/>
      <c r="SDP1" s="87"/>
      <c r="SDQ1" s="87"/>
      <c r="SDR1" s="87"/>
      <c r="SDS1" s="87"/>
      <c r="SDT1" s="87"/>
      <c r="SDU1" s="87"/>
      <c r="SDV1" s="87"/>
      <c r="SDW1" s="87"/>
      <c r="SDX1" s="87"/>
      <c r="SDY1" s="87"/>
      <c r="SDZ1" s="87"/>
      <c r="SEA1" s="87"/>
      <c r="SEB1" s="87"/>
      <c r="SEC1" s="87"/>
      <c r="SED1" s="87"/>
      <c r="SEE1" s="87"/>
      <c r="SEF1" s="87"/>
      <c r="SEG1" s="87"/>
      <c r="SEH1" s="87"/>
      <c r="SEI1" s="87"/>
      <c r="SEJ1" s="87"/>
      <c r="SEK1" s="87"/>
      <c r="SEL1" s="87"/>
      <c r="SEM1" s="87"/>
      <c r="SEN1" s="87"/>
      <c r="SEO1" s="87"/>
      <c r="SEP1" s="87"/>
      <c r="SEQ1" s="87"/>
      <c r="SER1" s="87"/>
      <c r="SES1" s="87"/>
      <c r="SET1" s="87"/>
      <c r="SEU1" s="87"/>
      <c r="SEV1" s="87"/>
      <c r="SEW1" s="87"/>
      <c r="SEX1" s="87"/>
      <c r="SEY1" s="87"/>
      <c r="SEZ1" s="87"/>
      <c r="SFA1" s="87"/>
      <c r="SFB1" s="87"/>
      <c r="SFC1" s="87"/>
      <c r="SFD1" s="87"/>
      <c r="SFE1" s="87"/>
      <c r="SFF1" s="87"/>
      <c r="SFG1" s="87"/>
      <c r="SFH1" s="87"/>
      <c r="SFI1" s="87"/>
      <c r="SFJ1" s="87"/>
      <c r="SFK1" s="87"/>
      <c r="SFL1" s="87"/>
      <c r="SFM1" s="87"/>
      <c r="SFN1" s="87"/>
      <c r="SFO1" s="87"/>
      <c r="SFP1" s="87"/>
      <c r="SFQ1" s="87"/>
      <c r="SFR1" s="87"/>
      <c r="SFS1" s="87"/>
      <c r="SFT1" s="87"/>
      <c r="SFU1" s="87"/>
      <c r="SFV1" s="87"/>
      <c r="SFW1" s="87"/>
      <c r="SFX1" s="87"/>
      <c r="SFY1" s="87"/>
      <c r="SFZ1" s="87"/>
      <c r="SGA1" s="87"/>
      <c r="SGB1" s="87"/>
      <c r="SGC1" s="87"/>
      <c r="SGD1" s="87"/>
      <c r="SGE1" s="87"/>
      <c r="SGF1" s="87"/>
      <c r="SGG1" s="87"/>
      <c r="SGH1" s="87"/>
      <c r="SGI1" s="87"/>
      <c r="SGJ1" s="87"/>
      <c r="SGK1" s="87"/>
      <c r="SGL1" s="87"/>
      <c r="SGM1" s="87"/>
      <c r="SGN1" s="87"/>
      <c r="SGO1" s="87"/>
      <c r="SGP1" s="87"/>
      <c r="SGQ1" s="87"/>
      <c r="SGR1" s="87"/>
      <c r="SGS1" s="87"/>
      <c r="SGT1" s="87"/>
      <c r="SGU1" s="87"/>
      <c r="SGV1" s="87"/>
      <c r="SGW1" s="87"/>
      <c r="SGX1" s="87"/>
      <c r="SGY1" s="87"/>
      <c r="SGZ1" s="87"/>
      <c r="SHA1" s="87"/>
      <c r="SHB1" s="87"/>
      <c r="SHC1" s="87"/>
      <c r="SHD1" s="87"/>
      <c r="SHE1" s="87"/>
      <c r="SHF1" s="87"/>
      <c r="SHG1" s="87"/>
      <c r="SHH1" s="87"/>
      <c r="SHI1" s="87"/>
      <c r="SHJ1" s="87"/>
      <c r="SHK1" s="87"/>
      <c r="SHL1" s="87"/>
      <c r="SHM1" s="87"/>
      <c r="SHN1" s="87"/>
      <c r="SHO1" s="87"/>
      <c r="SHP1" s="87"/>
      <c r="SHQ1" s="87"/>
      <c r="SHR1" s="87"/>
      <c r="SHS1" s="87"/>
      <c r="SHT1" s="87"/>
      <c r="SHU1" s="87"/>
      <c r="SHV1" s="87"/>
      <c r="SHW1" s="87"/>
      <c r="SHX1" s="87"/>
      <c r="SHY1" s="87"/>
      <c r="SHZ1" s="87"/>
      <c r="SIA1" s="87"/>
      <c r="SIB1" s="87"/>
      <c r="SIC1" s="87"/>
      <c r="SID1" s="87"/>
      <c r="SIE1" s="87"/>
      <c r="SIF1" s="87"/>
      <c r="SIG1" s="87"/>
      <c r="SIH1" s="87"/>
      <c r="SII1" s="87"/>
      <c r="SIJ1" s="87"/>
      <c r="SIK1" s="87"/>
      <c r="SIL1" s="87"/>
      <c r="SIM1" s="87"/>
      <c r="SIN1" s="87"/>
      <c r="SIO1" s="87"/>
      <c r="SIP1" s="87"/>
      <c r="SIQ1" s="87"/>
      <c r="SIR1" s="87"/>
      <c r="SIS1" s="87"/>
      <c r="SIT1" s="87"/>
      <c r="SIU1" s="87"/>
      <c r="SIV1" s="87"/>
      <c r="SIW1" s="87"/>
      <c r="SIX1" s="87"/>
      <c r="SIY1" s="87"/>
      <c r="SIZ1" s="87"/>
      <c r="SJA1" s="87"/>
      <c r="SJB1" s="87"/>
      <c r="SJC1" s="87"/>
      <c r="SJD1" s="87"/>
      <c r="SJE1" s="87"/>
      <c r="SJF1" s="87"/>
      <c r="SJG1" s="87"/>
      <c r="SJH1" s="87"/>
      <c r="SJI1" s="87"/>
      <c r="SJJ1" s="87"/>
      <c r="SJK1" s="87"/>
      <c r="SJL1" s="87"/>
      <c r="SJM1" s="87"/>
      <c r="SJN1" s="87"/>
      <c r="SJO1" s="87"/>
      <c r="SJP1" s="87"/>
      <c r="SJQ1" s="87"/>
      <c r="SJR1" s="87"/>
      <c r="SJS1" s="87"/>
      <c r="SJT1" s="87"/>
      <c r="SJU1" s="87"/>
      <c r="SJV1" s="87"/>
      <c r="SJW1" s="87"/>
      <c r="SJX1" s="87"/>
      <c r="SJY1" s="87"/>
      <c r="SJZ1" s="87"/>
      <c r="SKA1" s="87"/>
      <c r="SKB1" s="87"/>
      <c r="SKC1" s="87"/>
      <c r="SKD1" s="87"/>
      <c r="SKE1" s="87"/>
      <c r="SKF1" s="87"/>
      <c r="SKG1" s="87"/>
      <c r="SKH1" s="87"/>
      <c r="SKI1" s="87"/>
      <c r="SKJ1" s="87"/>
      <c r="SKK1" s="87"/>
      <c r="SKL1" s="87"/>
      <c r="SKM1" s="87"/>
      <c r="SKN1" s="87"/>
      <c r="SKO1" s="87"/>
      <c r="SKP1" s="87"/>
      <c r="SKQ1" s="87"/>
      <c r="SKR1" s="87"/>
      <c r="SKS1" s="87"/>
      <c r="SKT1" s="87"/>
      <c r="SKU1" s="87"/>
      <c r="SKV1" s="87"/>
      <c r="SKW1" s="87"/>
      <c r="SKX1" s="87"/>
      <c r="SKY1" s="87"/>
      <c r="SKZ1" s="87"/>
      <c r="SLA1" s="87"/>
      <c r="SLB1" s="87"/>
      <c r="SLC1" s="87"/>
      <c r="SLD1" s="87"/>
      <c r="SLE1" s="87"/>
      <c r="SLF1" s="87"/>
      <c r="SLG1" s="87"/>
      <c r="SLH1" s="87"/>
      <c r="SLI1" s="87"/>
      <c r="SLJ1" s="87"/>
      <c r="SLK1" s="87"/>
      <c r="SLL1" s="87"/>
      <c r="SLM1" s="87"/>
      <c r="SLN1" s="87"/>
      <c r="SLO1" s="87"/>
      <c r="SLP1" s="87"/>
      <c r="SLQ1" s="87"/>
      <c r="SLR1" s="87"/>
      <c r="SLS1" s="87"/>
      <c r="SLT1" s="87"/>
      <c r="SLU1" s="87"/>
      <c r="SLV1" s="87"/>
      <c r="SLW1" s="87"/>
      <c r="SLX1" s="87"/>
      <c r="SLY1" s="87"/>
      <c r="SLZ1" s="87"/>
      <c r="SMA1" s="87"/>
      <c r="SMB1" s="87"/>
      <c r="SMC1" s="87"/>
      <c r="SMD1" s="87"/>
      <c r="SME1" s="87"/>
      <c r="SMF1" s="87"/>
      <c r="SMG1" s="87"/>
      <c r="SMH1" s="87"/>
      <c r="SMI1" s="87"/>
      <c r="SMJ1" s="87"/>
      <c r="SMK1" s="87"/>
      <c r="SML1" s="87"/>
      <c r="SMM1" s="87"/>
      <c r="SMN1" s="87"/>
      <c r="SMO1" s="87"/>
      <c r="SMP1" s="87"/>
      <c r="SMQ1" s="87"/>
      <c r="SMR1" s="87"/>
      <c r="SMS1" s="87"/>
      <c r="SMT1" s="87"/>
      <c r="SMU1" s="87"/>
      <c r="SMV1" s="87"/>
      <c r="SMW1" s="87"/>
      <c r="SMX1" s="87"/>
      <c r="SMY1" s="87"/>
      <c r="SMZ1" s="87"/>
      <c r="SNA1" s="87"/>
      <c r="SNB1" s="87"/>
      <c r="SNC1" s="87"/>
      <c r="SND1" s="87"/>
      <c r="SNE1" s="87"/>
      <c r="SNF1" s="87"/>
      <c r="SNG1" s="87"/>
      <c r="SNH1" s="87"/>
      <c r="SNI1" s="87"/>
      <c r="SNJ1" s="87"/>
      <c r="SNK1" s="87"/>
      <c r="SNL1" s="87"/>
      <c r="SNM1" s="87"/>
      <c r="SNN1" s="87"/>
      <c r="SNO1" s="87"/>
      <c r="SNP1" s="87"/>
      <c r="SNQ1" s="87"/>
      <c r="SNR1" s="87"/>
      <c r="SNS1" s="87"/>
      <c r="SNT1" s="87"/>
      <c r="SNU1" s="87"/>
      <c r="SNV1" s="87"/>
      <c r="SNW1" s="87"/>
      <c r="SNX1" s="87"/>
      <c r="SNY1" s="87"/>
      <c r="SNZ1" s="87"/>
      <c r="SOA1" s="87"/>
      <c r="SOB1" s="87"/>
      <c r="SOC1" s="87"/>
      <c r="SOD1" s="87"/>
      <c r="SOE1" s="87"/>
      <c r="SOF1" s="87"/>
      <c r="SOG1" s="87"/>
      <c r="SOH1" s="87"/>
      <c r="SOI1" s="87"/>
      <c r="SOJ1" s="87"/>
      <c r="SOK1" s="87"/>
      <c r="SOL1" s="87"/>
      <c r="SOM1" s="87"/>
      <c r="SON1" s="87"/>
      <c r="SOO1" s="87"/>
      <c r="SOP1" s="87"/>
      <c r="SOQ1" s="87"/>
      <c r="SOR1" s="87"/>
      <c r="SOS1" s="87"/>
      <c r="SOT1" s="87"/>
      <c r="SOU1" s="87"/>
      <c r="SOV1" s="87"/>
      <c r="SOW1" s="87"/>
      <c r="SOX1" s="87"/>
      <c r="SOY1" s="87"/>
      <c r="SOZ1" s="87"/>
      <c r="SPA1" s="87"/>
      <c r="SPB1" s="87"/>
      <c r="SPC1" s="87"/>
      <c r="SPD1" s="87"/>
      <c r="SPE1" s="87"/>
      <c r="SPF1" s="87"/>
      <c r="SPG1" s="87"/>
      <c r="SPH1" s="87"/>
      <c r="SPI1" s="87"/>
      <c r="SPJ1" s="87"/>
      <c r="SPK1" s="87"/>
      <c r="SPL1" s="87"/>
      <c r="SPM1" s="87"/>
      <c r="SPN1" s="87"/>
      <c r="SPO1" s="87"/>
      <c r="SPP1" s="87"/>
      <c r="SPQ1" s="87"/>
      <c r="SPR1" s="87"/>
      <c r="SPS1" s="87"/>
      <c r="SPT1" s="87"/>
      <c r="SPU1" s="87"/>
      <c r="SPV1" s="87"/>
      <c r="SPW1" s="87"/>
      <c r="SPX1" s="87"/>
      <c r="SPY1" s="87"/>
      <c r="SPZ1" s="87"/>
      <c r="SQA1" s="87"/>
      <c r="SQB1" s="87"/>
      <c r="SQC1" s="87"/>
      <c r="SQD1" s="87"/>
      <c r="SQE1" s="87"/>
      <c r="SQF1" s="87"/>
      <c r="SQG1" s="87"/>
      <c r="SQH1" s="87"/>
      <c r="SQI1" s="87"/>
      <c r="SQJ1" s="87"/>
      <c r="SQK1" s="87"/>
      <c r="SQL1" s="87"/>
      <c r="SQM1" s="87"/>
      <c r="SQN1" s="87"/>
      <c r="SQO1" s="87"/>
      <c r="SQP1" s="87"/>
      <c r="SQQ1" s="87"/>
      <c r="SQR1" s="87"/>
      <c r="SQS1" s="87"/>
      <c r="SQT1" s="87"/>
      <c r="SQU1" s="87"/>
      <c r="SQV1" s="87"/>
      <c r="SQW1" s="87"/>
      <c r="SQX1" s="87"/>
      <c r="SQY1" s="87"/>
      <c r="SQZ1" s="87"/>
      <c r="SRA1" s="87"/>
      <c r="SRB1" s="87"/>
      <c r="SRC1" s="87"/>
      <c r="SRD1" s="87"/>
      <c r="SRE1" s="87"/>
      <c r="SRF1" s="87"/>
      <c r="SRG1" s="87"/>
      <c r="SRH1" s="87"/>
      <c r="SRI1" s="87"/>
      <c r="SRJ1" s="87"/>
      <c r="SRK1" s="87"/>
      <c r="SRL1" s="87"/>
      <c r="SRM1" s="87"/>
      <c r="SRN1" s="87"/>
      <c r="SRO1" s="87"/>
      <c r="SRP1" s="87"/>
      <c r="SRQ1" s="87"/>
      <c r="SRR1" s="87"/>
      <c r="SRS1" s="87"/>
      <c r="SRT1" s="87"/>
      <c r="SRU1" s="87"/>
      <c r="SRV1" s="87"/>
      <c r="SRW1" s="87"/>
      <c r="SRX1" s="87"/>
      <c r="SRY1" s="87"/>
      <c r="SRZ1" s="87"/>
      <c r="SSA1" s="87"/>
      <c r="SSB1" s="87"/>
      <c r="SSC1" s="87"/>
      <c r="SSD1" s="87"/>
      <c r="SSE1" s="87"/>
      <c r="SSF1" s="87"/>
      <c r="SSG1" s="87"/>
      <c r="SSH1" s="87"/>
      <c r="SSI1" s="87"/>
      <c r="SSJ1" s="87"/>
      <c r="SSK1" s="87"/>
      <c r="SSL1" s="87"/>
      <c r="SSM1" s="87"/>
      <c r="SSN1" s="87"/>
      <c r="SSO1" s="87"/>
      <c r="SSP1" s="87"/>
      <c r="SSQ1" s="87"/>
      <c r="SSR1" s="87"/>
      <c r="SSS1" s="87"/>
      <c r="SST1" s="87"/>
      <c r="SSU1" s="87"/>
      <c r="SSV1" s="87"/>
      <c r="SSW1" s="87"/>
      <c r="SSX1" s="87"/>
      <c r="SSY1" s="87"/>
      <c r="SSZ1" s="87"/>
      <c r="STA1" s="87"/>
      <c r="STB1" s="87"/>
      <c r="STC1" s="87"/>
      <c r="STD1" s="87"/>
      <c r="STE1" s="87"/>
      <c r="STF1" s="87"/>
      <c r="STG1" s="87"/>
      <c r="STH1" s="87"/>
      <c r="STI1" s="87"/>
      <c r="STJ1" s="87"/>
      <c r="STK1" s="87"/>
      <c r="STL1" s="87"/>
      <c r="STM1" s="87"/>
      <c r="STN1" s="87"/>
      <c r="STO1" s="87"/>
      <c r="STP1" s="87"/>
      <c r="STQ1" s="87"/>
      <c r="STR1" s="87"/>
      <c r="STS1" s="87"/>
      <c r="STT1" s="87"/>
      <c r="STU1" s="87"/>
      <c r="STV1" s="87"/>
      <c r="STW1" s="87"/>
      <c r="STX1" s="87"/>
      <c r="STY1" s="87"/>
      <c r="STZ1" s="87"/>
      <c r="SUA1" s="87"/>
      <c r="SUB1" s="87"/>
      <c r="SUC1" s="87"/>
      <c r="SUD1" s="87"/>
      <c r="SUE1" s="87"/>
      <c r="SUF1" s="87"/>
      <c r="SUG1" s="87"/>
      <c r="SUH1" s="87"/>
      <c r="SUI1" s="87"/>
      <c r="SUJ1" s="87"/>
      <c r="SUK1" s="87"/>
      <c r="SUL1" s="87"/>
      <c r="SUM1" s="87"/>
      <c r="SUN1" s="87"/>
      <c r="SUO1" s="87"/>
      <c r="SUP1" s="87"/>
      <c r="SUQ1" s="87"/>
      <c r="SUR1" s="87"/>
      <c r="SUS1" s="87"/>
      <c r="SUT1" s="87"/>
      <c r="SUU1" s="87"/>
      <c r="SUV1" s="87"/>
      <c r="SUW1" s="87"/>
      <c r="SUX1" s="87"/>
      <c r="SUY1" s="87"/>
      <c r="SUZ1" s="87"/>
      <c r="SVA1" s="87"/>
      <c r="SVB1" s="87"/>
      <c r="SVC1" s="87"/>
      <c r="SVD1" s="87"/>
      <c r="SVE1" s="87"/>
      <c r="SVF1" s="87"/>
      <c r="SVG1" s="87"/>
      <c r="SVH1" s="87"/>
      <c r="SVI1" s="87"/>
      <c r="SVJ1" s="87"/>
      <c r="SVK1" s="87"/>
      <c r="SVL1" s="87"/>
      <c r="SVM1" s="87"/>
      <c r="SVN1" s="87"/>
      <c r="SVO1" s="87"/>
      <c r="SVP1" s="87"/>
      <c r="SVQ1" s="87"/>
      <c r="SVR1" s="87"/>
      <c r="SVS1" s="87"/>
      <c r="SVT1" s="87"/>
      <c r="SVU1" s="87"/>
      <c r="SVV1" s="87"/>
      <c r="SVW1" s="87"/>
      <c r="SVX1" s="87"/>
      <c r="SVY1" s="87"/>
      <c r="SVZ1" s="87"/>
      <c r="SWA1" s="87"/>
      <c r="SWB1" s="87"/>
      <c r="SWC1" s="87"/>
      <c r="SWD1" s="87"/>
      <c r="SWE1" s="87"/>
      <c r="SWF1" s="87"/>
      <c r="SWG1" s="87"/>
      <c r="SWH1" s="87"/>
      <c r="SWI1" s="87"/>
      <c r="SWJ1" s="87"/>
      <c r="SWK1" s="87"/>
      <c r="SWL1" s="87"/>
      <c r="SWM1" s="87"/>
      <c r="SWN1" s="87"/>
      <c r="SWO1" s="87"/>
      <c r="SWP1" s="87"/>
      <c r="SWQ1" s="87"/>
      <c r="SWR1" s="87"/>
      <c r="SWS1" s="87"/>
      <c r="SWT1" s="87"/>
      <c r="SWU1" s="87"/>
      <c r="SWV1" s="87"/>
      <c r="SWW1" s="87"/>
      <c r="SWX1" s="87"/>
      <c r="SWY1" s="87"/>
      <c r="SWZ1" s="87"/>
      <c r="SXA1" s="87"/>
      <c r="SXB1" s="87"/>
      <c r="SXC1" s="87"/>
      <c r="SXD1" s="87"/>
      <c r="SXE1" s="87"/>
      <c r="SXF1" s="87"/>
      <c r="SXG1" s="87"/>
      <c r="SXH1" s="87"/>
      <c r="SXI1" s="87"/>
      <c r="SXJ1" s="87"/>
      <c r="SXK1" s="87"/>
      <c r="SXL1" s="87"/>
      <c r="SXM1" s="87"/>
      <c r="SXN1" s="87"/>
      <c r="SXO1" s="87"/>
      <c r="SXP1" s="87"/>
      <c r="SXQ1" s="87"/>
      <c r="SXR1" s="87"/>
      <c r="SXS1" s="87"/>
      <c r="SXT1" s="87"/>
      <c r="SXU1" s="87"/>
      <c r="SXV1" s="87"/>
      <c r="SXW1" s="87"/>
      <c r="SXX1" s="87"/>
      <c r="SXY1" s="87"/>
      <c r="SXZ1" s="87"/>
      <c r="SYA1" s="87"/>
      <c r="SYB1" s="87"/>
      <c r="SYC1" s="87"/>
      <c r="SYD1" s="87"/>
      <c r="SYE1" s="87"/>
      <c r="SYF1" s="87"/>
      <c r="SYG1" s="87"/>
      <c r="SYH1" s="87"/>
      <c r="SYI1" s="87"/>
      <c r="SYJ1" s="87"/>
      <c r="SYK1" s="87"/>
      <c r="SYL1" s="87"/>
      <c r="SYM1" s="87"/>
      <c r="SYN1" s="87"/>
      <c r="SYO1" s="87"/>
      <c r="SYP1" s="87"/>
      <c r="SYQ1" s="87"/>
      <c r="SYR1" s="87"/>
      <c r="SYS1" s="87"/>
      <c r="SYT1" s="87"/>
      <c r="SYU1" s="87"/>
      <c r="SYV1" s="87"/>
      <c r="SYW1" s="87"/>
      <c r="SYX1" s="87"/>
      <c r="SYY1" s="87"/>
      <c r="SYZ1" s="87"/>
      <c r="SZA1" s="87"/>
      <c r="SZB1" s="87"/>
      <c r="SZC1" s="87"/>
      <c r="SZD1" s="87"/>
      <c r="SZE1" s="87"/>
      <c r="SZF1" s="87"/>
      <c r="SZG1" s="87"/>
      <c r="SZH1" s="87"/>
      <c r="SZI1" s="87"/>
      <c r="SZJ1" s="87"/>
      <c r="SZK1" s="87"/>
      <c r="SZL1" s="87"/>
      <c r="SZM1" s="87"/>
      <c r="SZN1" s="87"/>
      <c r="SZO1" s="87"/>
      <c r="SZP1" s="87"/>
      <c r="SZQ1" s="87"/>
      <c r="SZR1" s="87"/>
      <c r="SZS1" s="87"/>
      <c r="SZT1" s="87"/>
      <c r="SZU1" s="87"/>
      <c r="SZV1" s="87"/>
      <c r="SZW1" s="87"/>
      <c r="SZX1" s="87"/>
      <c r="SZY1" s="87"/>
      <c r="SZZ1" s="87"/>
      <c r="TAA1" s="87"/>
      <c r="TAB1" s="87"/>
      <c r="TAC1" s="87"/>
      <c r="TAD1" s="87"/>
      <c r="TAE1" s="87"/>
      <c r="TAF1" s="87"/>
      <c r="TAG1" s="87"/>
      <c r="TAH1" s="87"/>
      <c r="TAI1" s="87"/>
      <c r="TAJ1" s="87"/>
      <c r="TAK1" s="87"/>
      <c r="TAL1" s="87"/>
      <c r="TAM1" s="87"/>
      <c r="TAN1" s="87"/>
      <c r="TAO1" s="87"/>
      <c r="TAP1" s="87"/>
      <c r="TAQ1" s="87"/>
      <c r="TAR1" s="87"/>
      <c r="TAS1" s="87"/>
      <c r="TAT1" s="87"/>
      <c r="TAU1" s="87"/>
      <c r="TAV1" s="87"/>
      <c r="TAW1" s="87"/>
      <c r="TAX1" s="87"/>
      <c r="TAY1" s="87"/>
      <c r="TAZ1" s="87"/>
      <c r="TBA1" s="87"/>
      <c r="TBB1" s="87"/>
      <c r="TBC1" s="87"/>
      <c r="TBD1" s="87"/>
      <c r="TBE1" s="87"/>
      <c r="TBF1" s="87"/>
      <c r="TBG1" s="87"/>
      <c r="TBH1" s="87"/>
      <c r="TBI1" s="87"/>
      <c r="TBJ1" s="87"/>
      <c r="TBK1" s="87"/>
      <c r="TBL1" s="87"/>
      <c r="TBM1" s="87"/>
      <c r="TBN1" s="87"/>
      <c r="TBO1" s="87"/>
      <c r="TBP1" s="87"/>
      <c r="TBQ1" s="87"/>
      <c r="TBR1" s="87"/>
      <c r="TBS1" s="87"/>
      <c r="TBT1" s="87"/>
      <c r="TBU1" s="87"/>
      <c r="TBV1" s="87"/>
      <c r="TBW1" s="87"/>
      <c r="TBX1" s="87"/>
      <c r="TBY1" s="87"/>
      <c r="TBZ1" s="87"/>
      <c r="TCA1" s="87"/>
      <c r="TCB1" s="87"/>
      <c r="TCC1" s="87"/>
      <c r="TCD1" s="87"/>
      <c r="TCE1" s="87"/>
      <c r="TCF1" s="87"/>
      <c r="TCG1" s="87"/>
      <c r="TCH1" s="87"/>
      <c r="TCI1" s="87"/>
      <c r="TCJ1" s="87"/>
      <c r="TCK1" s="87"/>
      <c r="TCL1" s="87"/>
      <c r="TCM1" s="87"/>
      <c r="TCN1" s="87"/>
      <c r="TCO1" s="87"/>
      <c r="TCP1" s="87"/>
      <c r="TCQ1" s="87"/>
      <c r="TCR1" s="87"/>
      <c r="TCS1" s="87"/>
      <c r="TCT1" s="87"/>
      <c r="TCU1" s="87"/>
      <c r="TCV1" s="87"/>
      <c r="TCW1" s="87"/>
      <c r="TCX1" s="87"/>
      <c r="TCY1" s="87"/>
      <c r="TCZ1" s="87"/>
      <c r="TDA1" s="87"/>
      <c r="TDB1" s="87"/>
      <c r="TDC1" s="87"/>
      <c r="TDD1" s="87"/>
      <c r="TDE1" s="87"/>
      <c r="TDF1" s="87"/>
      <c r="TDG1" s="87"/>
      <c r="TDH1" s="87"/>
      <c r="TDI1" s="87"/>
      <c r="TDJ1" s="87"/>
      <c r="TDK1" s="87"/>
      <c r="TDL1" s="87"/>
      <c r="TDM1" s="87"/>
      <c r="TDN1" s="87"/>
      <c r="TDO1" s="87"/>
      <c r="TDP1" s="87"/>
      <c r="TDQ1" s="87"/>
      <c r="TDR1" s="87"/>
      <c r="TDS1" s="87"/>
      <c r="TDT1" s="87"/>
      <c r="TDU1" s="87"/>
      <c r="TDV1" s="87"/>
      <c r="TDW1" s="87"/>
      <c r="TDX1" s="87"/>
      <c r="TDY1" s="87"/>
      <c r="TDZ1" s="87"/>
      <c r="TEA1" s="87"/>
      <c r="TEB1" s="87"/>
      <c r="TEC1" s="87"/>
      <c r="TED1" s="87"/>
      <c r="TEE1" s="87"/>
      <c r="TEF1" s="87"/>
      <c r="TEG1" s="87"/>
      <c r="TEH1" s="87"/>
      <c r="TEI1" s="87"/>
      <c r="TEJ1" s="87"/>
      <c r="TEK1" s="87"/>
      <c r="TEL1" s="87"/>
      <c r="TEM1" s="87"/>
      <c r="TEN1" s="87"/>
      <c r="TEO1" s="87"/>
      <c r="TEP1" s="87"/>
      <c r="TEQ1" s="87"/>
      <c r="TER1" s="87"/>
      <c r="TES1" s="87"/>
      <c r="TET1" s="87"/>
      <c r="TEU1" s="87"/>
      <c r="TEV1" s="87"/>
      <c r="TEW1" s="87"/>
      <c r="TEX1" s="87"/>
      <c r="TEY1" s="87"/>
      <c r="TEZ1" s="87"/>
      <c r="TFA1" s="87"/>
      <c r="TFB1" s="87"/>
      <c r="TFC1" s="87"/>
      <c r="TFD1" s="87"/>
      <c r="TFE1" s="87"/>
      <c r="TFF1" s="87"/>
      <c r="TFG1" s="87"/>
      <c r="TFH1" s="87"/>
      <c r="TFI1" s="87"/>
      <c r="TFJ1" s="87"/>
      <c r="TFK1" s="87"/>
      <c r="TFL1" s="87"/>
      <c r="TFM1" s="87"/>
      <c r="TFN1" s="87"/>
      <c r="TFO1" s="87"/>
      <c r="TFP1" s="87"/>
      <c r="TFQ1" s="87"/>
      <c r="TFR1" s="87"/>
      <c r="TFS1" s="87"/>
      <c r="TFT1" s="87"/>
      <c r="TFU1" s="87"/>
      <c r="TFV1" s="87"/>
      <c r="TFW1" s="87"/>
      <c r="TFX1" s="87"/>
      <c r="TFY1" s="87"/>
      <c r="TFZ1" s="87"/>
      <c r="TGA1" s="87"/>
      <c r="TGB1" s="87"/>
      <c r="TGC1" s="87"/>
      <c r="TGD1" s="87"/>
      <c r="TGE1" s="87"/>
      <c r="TGF1" s="87"/>
      <c r="TGG1" s="87"/>
      <c r="TGH1" s="87"/>
      <c r="TGI1" s="87"/>
      <c r="TGJ1" s="87"/>
      <c r="TGK1" s="87"/>
      <c r="TGL1" s="87"/>
      <c r="TGM1" s="87"/>
      <c r="TGN1" s="87"/>
      <c r="TGO1" s="87"/>
      <c r="TGP1" s="87"/>
      <c r="TGQ1" s="87"/>
      <c r="TGR1" s="87"/>
      <c r="TGS1" s="87"/>
      <c r="TGT1" s="87"/>
      <c r="TGU1" s="87"/>
      <c r="TGV1" s="87"/>
      <c r="TGW1" s="87"/>
      <c r="TGX1" s="87"/>
      <c r="TGY1" s="87"/>
      <c r="TGZ1" s="87"/>
      <c r="THA1" s="87"/>
      <c r="THB1" s="87"/>
      <c r="THC1" s="87"/>
      <c r="THD1" s="87"/>
      <c r="THE1" s="87"/>
      <c r="THF1" s="87"/>
      <c r="THG1" s="87"/>
      <c r="THH1" s="87"/>
      <c r="THI1" s="87"/>
      <c r="THJ1" s="87"/>
      <c r="THK1" s="87"/>
      <c r="THL1" s="87"/>
      <c r="THM1" s="87"/>
      <c r="THN1" s="87"/>
      <c r="THO1" s="87"/>
      <c r="THP1" s="87"/>
      <c r="THQ1" s="87"/>
      <c r="THR1" s="87"/>
      <c r="THS1" s="87"/>
      <c r="THT1" s="87"/>
      <c r="THU1" s="87"/>
      <c r="THV1" s="87"/>
      <c r="THW1" s="87"/>
      <c r="THX1" s="87"/>
      <c r="THY1" s="87"/>
      <c r="THZ1" s="87"/>
      <c r="TIA1" s="87"/>
      <c r="TIB1" s="87"/>
      <c r="TIC1" s="87"/>
      <c r="TID1" s="87"/>
      <c r="TIE1" s="87"/>
      <c r="TIF1" s="87"/>
      <c r="TIG1" s="87"/>
      <c r="TIH1" s="87"/>
      <c r="TII1" s="87"/>
      <c r="TIJ1" s="87"/>
      <c r="TIK1" s="87"/>
      <c r="TIL1" s="87"/>
      <c r="TIM1" s="87"/>
      <c r="TIN1" s="87"/>
      <c r="TIO1" s="87"/>
      <c r="TIP1" s="87"/>
      <c r="TIQ1" s="87"/>
      <c r="TIR1" s="87"/>
      <c r="TIS1" s="87"/>
      <c r="TIT1" s="87"/>
      <c r="TIU1" s="87"/>
      <c r="TIV1" s="87"/>
      <c r="TIW1" s="87"/>
      <c r="TIX1" s="87"/>
      <c r="TIY1" s="87"/>
      <c r="TIZ1" s="87"/>
      <c r="TJA1" s="87"/>
      <c r="TJB1" s="87"/>
      <c r="TJC1" s="87"/>
      <c r="TJD1" s="87"/>
      <c r="TJE1" s="87"/>
      <c r="TJF1" s="87"/>
      <c r="TJG1" s="87"/>
      <c r="TJH1" s="87"/>
      <c r="TJI1" s="87"/>
      <c r="TJJ1" s="87"/>
      <c r="TJK1" s="87"/>
      <c r="TJL1" s="87"/>
      <c r="TJM1" s="87"/>
      <c r="TJN1" s="87"/>
      <c r="TJO1" s="87"/>
      <c r="TJP1" s="87"/>
      <c r="TJQ1" s="87"/>
      <c r="TJR1" s="87"/>
      <c r="TJS1" s="87"/>
      <c r="TJT1" s="87"/>
      <c r="TJU1" s="87"/>
      <c r="TJV1" s="87"/>
      <c r="TJW1" s="87"/>
      <c r="TJX1" s="87"/>
      <c r="TJY1" s="87"/>
      <c r="TJZ1" s="87"/>
      <c r="TKA1" s="87"/>
      <c r="TKB1" s="87"/>
      <c r="TKC1" s="87"/>
      <c r="TKD1" s="87"/>
      <c r="TKE1" s="87"/>
      <c r="TKF1" s="87"/>
      <c r="TKG1" s="87"/>
      <c r="TKH1" s="87"/>
      <c r="TKI1" s="87"/>
      <c r="TKJ1" s="87"/>
      <c r="TKK1" s="87"/>
      <c r="TKL1" s="87"/>
      <c r="TKM1" s="87"/>
      <c r="TKN1" s="87"/>
      <c r="TKO1" s="87"/>
      <c r="TKP1" s="87"/>
      <c r="TKQ1" s="87"/>
      <c r="TKR1" s="87"/>
      <c r="TKS1" s="87"/>
      <c r="TKT1" s="87"/>
      <c r="TKU1" s="87"/>
      <c r="TKV1" s="87"/>
      <c r="TKW1" s="87"/>
      <c r="TKX1" s="87"/>
      <c r="TKY1" s="87"/>
      <c r="TKZ1" s="87"/>
      <c r="TLA1" s="87"/>
      <c r="TLB1" s="87"/>
      <c r="TLC1" s="87"/>
      <c r="TLD1" s="87"/>
      <c r="TLE1" s="87"/>
      <c r="TLF1" s="87"/>
      <c r="TLG1" s="87"/>
      <c r="TLH1" s="87"/>
      <c r="TLI1" s="87"/>
      <c r="TLJ1" s="87"/>
      <c r="TLK1" s="87"/>
      <c r="TLL1" s="87"/>
      <c r="TLM1" s="87"/>
      <c r="TLN1" s="87"/>
      <c r="TLO1" s="87"/>
      <c r="TLP1" s="87"/>
      <c r="TLQ1" s="87"/>
      <c r="TLR1" s="87"/>
      <c r="TLS1" s="87"/>
      <c r="TLT1" s="87"/>
      <c r="TLU1" s="87"/>
      <c r="TLV1" s="87"/>
      <c r="TLW1" s="87"/>
      <c r="TLX1" s="87"/>
      <c r="TLY1" s="87"/>
      <c r="TLZ1" s="87"/>
      <c r="TMA1" s="87"/>
      <c r="TMB1" s="87"/>
      <c r="TMC1" s="87"/>
      <c r="TMD1" s="87"/>
      <c r="TME1" s="87"/>
      <c r="TMF1" s="87"/>
      <c r="TMG1" s="87"/>
      <c r="TMH1" s="87"/>
      <c r="TMI1" s="87"/>
      <c r="TMJ1" s="87"/>
      <c r="TMK1" s="87"/>
      <c r="TML1" s="87"/>
      <c r="TMM1" s="87"/>
      <c r="TMN1" s="87"/>
      <c r="TMO1" s="87"/>
      <c r="TMP1" s="87"/>
      <c r="TMQ1" s="87"/>
      <c r="TMR1" s="87"/>
      <c r="TMS1" s="87"/>
      <c r="TMT1" s="87"/>
      <c r="TMU1" s="87"/>
      <c r="TMV1" s="87"/>
      <c r="TMW1" s="87"/>
      <c r="TMX1" s="87"/>
      <c r="TMY1" s="87"/>
      <c r="TMZ1" s="87"/>
      <c r="TNA1" s="87"/>
      <c r="TNB1" s="87"/>
      <c r="TNC1" s="87"/>
      <c r="TND1" s="87"/>
      <c r="TNE1" s="87"/>
      <c r="TNF1" s="87"/>
      <c r="TNG1" s="87"/>
      <c r="TNH1" s="87"/>
      <c r="TNI1" s="87"/>
      <c r="TNJ1" s="87"/>
      <c r="TNK1" s="87"/>
      <c r="TNL1" s="87"/>
      <c r="TNM1" s="87"/>
      <c r="TNN1" s="87"/>
      <c r="TNO1" s="87"/>
      <c r="TNP1" s="87"/>
      <c r="TNQ1" s="87"/>
      <c r="TNR1" s="87"/>
      <c r="TNS1" s="87"/>
      <c r="TNT1" s="87"/>
      <c r="TNU1" s="87"/>
      <c r="TNV1" s="87"/>
      <c r="TNW1" s="87"/>
      <c r="TNX1" s="87"/>
      <c r="TNY1" s="87"/>
      <c r="TNZ1" s="87"/>
      <c r="TOA1" s="87"/>
      <c r="TOB1" s="87"/>
      <c r="TOC1" s="87"/>
      <c r="TOD1" s="87"/>
      <c r="TOE1" s="87"/>
      <c r="TOF1" s="87"/>
      <c r="TOG1" s="87"/>
      <c r="TOH1" s="87"/>
      <c r="TOI1" s="87"/>
      <c r="TOJ1" s="87"/>
      <c r="TOK1" s="87"/>
      <c r="TOL1" s="87"/>
      <c r="TOM1" s="87"/>
      <c r="TON1" s="87"/>
      <c r="TOO1" s="87"/>
      <c r="TOP1" s="87"/>
      <c r="TOQ1" s="87"/>
      <c r="TOR1" s="87"/>
      <c r="TOS1" s="87"/>
      <c r="TOT1" s="87"/>
      <c r="TOU1" s="87"/>
      <c r="TOV1" s="87"/>
      <c r="TOW1" s="87"/>
      <c r="TOX1" s="87"/>
      <c r="TOY1" s="87"/>
      <c r="TOZ1" s="87"/>
      <c r="TPA1" s="87"/>
      <c r="TPB1" s="87"/>
      <c r="TPC1" s="87"/>
      <c r="TPD1" s="87"/>
      <c r="TPE1" s="87"/>
      <c r="TPF1" s="87"/>
      <c r="TPG1" s="87"/>
      <c r="TPH1" s="87"/>
      <c r="TPI1" s="87"/>
      <c r="TPJ1" s="87"/>
      <c r="TPK1" s="87"/>
      <c r="TPL1" s="87"/>
      <c r="TPM1" s="87"/>
      <c r="TPN1" s="87"/>
      <c r="TPO1" s="87"/>
      <c r="TPP1" s="87"/>
      <c r="TPQ1" s="87"/>
      <c r="TPR1" s="87"/>
      <c r="TPS1" s="87"/>
      <c r="TPT1" s="87"/>
      <c r="TPU1" s="87"/>
      <c r="TPV1" s="87"/>
      <c r="TPW1" s="87"/>
      <c r="TPX1" s="87"/>
      <c r="TPY1" s="87"/>
      <c r="TPZ1" s="87"/>
      <c r="TQA1" s="87"/>
      <c r="TQB1" s="87"/>
      <c r="TQC1" s="87"/>
      <c r="TQD1" s="87"/>
      <c r="TQE1" s="87"/>
      <c r="TQF1" s="87"/>
      <c r="TQG1" s="87"/>
      <c r="TQH1" s="87"/>
      <c r="TQI1" s="87"/>
      <c r="TQJ1" s="87"/>
      <c r="TQK1" s="87"/>
      <c r="TQL1" s="87"/>
      <c r="TQM1" s="87"/>
      <c r="TQN1" s="87"/>
      <c r="TQO1" s="87"/>
      <c r="TQP1" s="87"/>
      <c r="TQQ1" s="87"/>
      <c r="TQR1" s="87"/>
      <c r="TQS1" s="87"/>
      <c r="TQT1" s="87"/>
      <c r="TQU1" s="87"/>
      <c r="TQV1" s="87"/>
      <c r="TQW1" s="87"/>
      <c r="TQX1" s="87"/>
      <c r="TQY1" s="87"/>
      <c r="TQZ1" s="87"/>
      <c r="TRA1" s="87"/>
      <c r="TRB1" s="87"/>
      <c r="TRC1" s="87"/>
      <c r="TRD1" s="87"/>
      <c r="TRE1" s="87"/>
      <c r="TRF1" s="87"/>
      <c r="TRG1" s="87"/>
      <c r="TRH1" s="87"/>
      <c r="TRI1" s="87"/>
      <c r="TRJ1" s="87"/>
      <c r="TRK1" s="87"/>
      <c r="TRL1" s="87"/>
      <c r="TRM1" s="87"/>
      <c r="TRN1" s="87"/>
      <c r="TRO1" s="87"/>
      <c r="TRP1" s="87"/>
      <c r="TRQ1" s="87"/>
      <c r="TRR1" s="87"/>
      <c r="TRS1" s="87"/>
      <c r="TRT1" s="87"/>
      <c r="TRU1" s="87"/>
      <c r="TRV1" s="87"/>
      <c r="TRW1" s="87"/>
      <c r="TRX1" s="87"/>
      <c r="TRY1" s="87"/>
      <c r="TRZ1" s="87"/>
      <c r="TSA1" s="87"/>
      <c r="TSB1" s="87"/>
      <c r="TSC1" s="87"/>
      <c r="TSD1" s="87"/>
      <c r="TSE1" s="87"/>
      <c r="TSF1" s="87"/>
      <c r="TSG1" s="87"/>
      <c r="TSH1" s="87"/>
      <c r="TSI1" s="87"/>
      <c r="TSJ1" s="87"/>
      <c r="TSK1" s="87"/>
      <c r="TSL1" s="87"/>
      <c r="TSM1" s="87"/>
      <c r="TSN1" s="87"/>
      <c r="TSO1" s="87"/>
      <c r="TSP1" s="87"/>
      <c r="TSQ1" s="87"/>
      <c r="TSR1" s="87"/>
      <c r="TSS1" s="87"/>
      <c r="TST1" s="87"/>
      <c r="TSU1" s="87"/>
      <c r="TSV1" s="87"/>
      <c r="TSW1" s="87"/>
      <c r="TSX1" s="87"/>
      <c r="TSY1" s="87"/>
      <c r="TSZ1" s="87"/>
      <c r="TTA1" s="87"/>
      <c r="TTB1" s="87"/>
      <c r="TTC1" s="87"/>
      <c r="TTD1" s="87"/>
      <c r="TTE1" s="87"/>
      <c r="TTF1" s="87"/>
      <c r="TTG1" s="87"/>
      <c r="TTH1" s="87"/>
      <c r="TTI1" s="87"/>
      <c r="TTJ1" s="87"/>
      <c r="TTK1" s="87"/>
      <c r="TTL1" s="87"/>
      <c r="TTM1" s="87"/>
      <c r="TTN1" s="87"/>
      <c r="TTO1" s="87"/>
      <c r="TTP1" s="87"/>
      <c r="TTQ1" s="87"/>
      <c r="TTR1" s="87"/>
      <c r="TTS1" s="87"/>
      <c r="TTT1" s="87"/>
      <c r="TTU1" s="87"/>
      <c r="TTV1" s="87"/>
      <c r="TTW1" s="87"/>
      <c r="TTX1" s="87"/>
      <c r="TTY1" s="87"/>
      <c r="TTZ1" s="87"/>
      <c r="TUA1" s="87"/>
      <c r="TUB1" s="87"/>
      <c r="TUC1" s="87"/>
      <c r="TUD1" s="87"/>
      <c r="TUE1" s="87"/>
      <c r="TUF1" s="87"/>
      <c r="TUG1" s="87"/>
      <c r="TUH1" s="87"/>
      <c r="TUI1" s="87"/>
      <c r="TUJ1" s="87"/>
      <c r="TUK1" s="87"/>
      <c r="TUL1" s="87"/>
      <c r="TUM1" s="87"/>
      <c r="TUN1" s="87"/>
      <c r="TUO1" s="87"/>
      <c r="TUP1" s="87"/>
      <c r="TUQ1" s="87"/>
      <c r="TUR1" s="87"/>
      <c r="TUS1" s="87"/>
      <c r="TUT1" s="87"/>
      <c r="TUU1" s="87"/>
      <c r="TUV1" s="87"/>
      <c r="TUW1" s="87"/>
      <c r="TUX1" s="87"/>
      <c r="TUY1" s="87"/>
      <c r="TUZ1" s="87"/>
      <c r="TVA1" s="87"/>
      <c r="TVB1" s="87"/>
      <c r="TVC1" s="87"/>
      <c r="TVD1" s="87"/>
      <c r="TVE1" s="87"/>
      <c r="TVF1" s="87"/>
      <c r="TVG1" s="87"/>
      <c r="TVH1" s="87"/>
      <c r="TVI1" s="87"/>
      <c r="TVJ1" s="87"/>
      <c r="TVK1" s="87"/>
      <c r="TVL1" s="87"/>
      <c r="TVM1" s="87"/>
      <c r="TVN1" s="87"/>
      <c r="TVO1" s="87"/>
      <c r="TVP1" s="87"/>
      <c r="TVQ1" s="87"/>
      <c r="TVR1" s="87"/>
      <c r="TVS1" s="87"/>
      <c r="TVT1" s="87"/>
      <c r="TVU1" s="87"/>
      <c r="TVV1" s="87"/>
      <c r="TVW1" s="87"/>
      <c r="TVX1" s="87"/>
      <c r="TVY1" s="87"/>
      <c r="TVZ1" s="87"/>
      <c r="TWA1" s="87"/>
      <c r="TWB1" s="87"/>
      <c r="TWC1" s="87"/>
      <c r="TWD1" s="87"/>
      <c r="TWE1" s="87"/>
      <c r="TWF1" s="87"/>
      <c r="TWG1" s="87"/>
      <c r="TWH1" s="87"/>
      <c r="TWI1" s="87"/>
      <c r="TWJ1" s="87"/>
      <c r="TWK1" s="87"/>
      <c r="TWL1" s="87"/>
      <c r="TWM1" s="87"/>
      <c r="TWN1" s="87"/>
      <c r="TWO1" s="87"/>
      <c r="TWP1" s="87"/>
      <c r="TWQ1" s="87"/>
      <c r="TWR1" s="87"/>
      <c r="TWS1" s="87"/>
      <c r="TWT1" s="87"/>
      <c r="TWU1" s="87"/>
      <c r="TWV1" s="87"/>
      <c r="TWW1" s="87"/>
      <c r="TWX1" s="87"/>
      <c r="TWY1" s="87"/>
      <c r="TWZ1" s="87"/>
      <c r="TXA1" s="87"/>
      <c r="TXB1" s="87"/>
      <c r="TXC1" s="87"/>
      <c r="TXD1" s="87"/>
      <c r="TXE1" s="87"/>
      <c r="TXF1" s="87"/>
      <c r="TXG1" s="87"/>
      <c r="TXH1" s="87"/>
      <c r="TXI1" s="87"/>
      <c r="TXJ1" s="87"/>
      <c r="TXK1" s="87"/>
      <c r="TXL1" s="87"/>
      <c r="TXM1" s="87"/>
      <c r="TXN1" s="87"/>
      <c r="TXO1" s="87"/>
      <c r="TXP1" s="87"/>
      <c r="TXQ1" s="87"/>
      <c r="TXR1" s="87"/>
      <c r="TXS1" s="87"/>
      <c r="TXT1" s="87"/>
      <c r="TXU1" s="87"/>
      <c r="TXV1" s="87"/>
      <c r="TXW1" s="87"/>
      <c r="TXX1" s="87"/>
      <c r="TXY1" s="87"/>
      <c r="TXZ1" s="87"/>
      <c r="TYA1" s="87"/>
      <c r="TYB1" s="87"/>
      <c r="TYC1" s="87"/>
      <c r="TYD1" s="87"/>
      <c r="TYE1" s="87"/>
      <c r="TYF1" s="87"/>
      <c r="TYG1" s="87"/>
      <c r="TYH1" s="87"/>
      <c r="TYI1" s="87"/>
      <c r="TYJ1" s="87"/>
      <c r="TYK1" s="87"/>
      <c r="TYL1" s="87"/>
      <c r="TYM1" s="87"/>
      <c r="TYN1" s="87"/>
      <c r="TYO1" s="87"/>
      <c r="TYP1" s="87"/>
      <c r="TYQ1" s="87"/>
      <c r="TYR1" s="87"/>
      <c r="TYS1" s="87"/>
      <c r="TYT1" s="87"/>
      <c r="TYU1" s="87"/>
      <c r="TYV1" s="87"/>
      <c r="TYW1" s="87"/>
      <c r="TYX1" s="87"/>
      <c r="TYY1" s="87"/>
      <c r="TYZ1" s="87"/>
      <c r="TZA1" s="87"/>
      <c r="TZB1" s="87"/>
      <c r="TZC1" s="87"/>
      <c r="TZD1" s="87"/>
      <c r="TZE1" s="87"/>
      <c r="TZF1" s="87"/>
      <c r="TZG1" s="87"/>
      <c r="TZH1" s="87"/>
      <c r="TZI1" s="87"/>
      <c r="TZJ1" s="87"/>
      <c r="TZK1" s="87"/>
      <c r="TZL1" s="87"/>
      <c r="TZM1" s="87"/>
      <c r="TZN1" s="87"/>
      <c r="TZO1" s="87"/>
      <c r="TZP1" s="87"/>
      <c r="TZQ1" s="87"/>
      <c r="TZR1" s="87"/>
      <c r="TZS1" s="87"/>
      <c r="TZT1" s="87"/>
      <c r="TZU1" s="87"/>
      <c r="TZV1" s="87"/>
      <c r="TZW1" s="87"/>
      <c r="TZX1" s="87"/>
      <c r="TZY1" s="87"/>
      <c r="TZZ1" s="87"/>
      <c r="UAA1" s="87"/>
      <c r="UAB1" s="87"/>
      <c r="UAC1" s="87"/>
      <c r="UAD1" s="87"/>
      <c r="UAE1" s="87"/>
      <c r="UAF1" s="87"/>
      <c r="UAG1" s="87"/>
      <c r="UAH1" s="87"/>
      <c r="UAI1" s="87"/>
      <c r="UAJ1" s="87"/>
      <c r="UAK1" s="87"/>
      <c r="UAL1" s="87"/>
      <c r="UAM1" s="87"/>
      <c r="UAN1" s="87"/>
      <c r="UAO1" s="87"/>
      <c r="UAP1" s="87"/>
      <c r="UAQ1" s="87"/>
      <c r="UAR1" s="87"/>
      <c r="UAS1" s="87"/>
      <c r="UAT1" s="87"/>
      <c r="UAU1" s="87"/>
      <c r="UAV1" s="87"/>
      <c r="UAW1" s="87"/>
      <c r="UAX1" s="87"/>
      <c r="UAY1" s="87"/>
      <c r="UAZ1" s="87"/>
      <c r="UBA1" s="87"/>
      <c r="UBB1" s="87"/>
      <c r="UBC1" s="87"/>
      <c r="UBD1" s="87"/>
      <c r="UBE1" s="87"/>
      <c r="UBF1" s="87"/>
      <c r="UBG1" s="87"/>
      <c r="UBH1" s="87"/>
      <c r="UBI1" s="87"/>
      <c r="UBJ1" s="87"/>
      <c r="UBK1" s="87"/>
      <c r="UBL1" s="87"/>
      <c r="UBM1" s="87"/>
      <c r="UBN1" s="87"/>
      <c r="UBO1" s="87"/>
      <c r="UBP1" s="87"/>
      <c r="UBQ1" s="87"/>
      <c r="UBR1" s="87"/>
      <c r="UBS1" s="87"/>
      <c r="UBT1" s="87"/>
      <c r="UBU1" s="87"/>
      <c r="UBV1" s="87"/>
      <c r="UBW1" s="87"/>
      <c r="UBX1" s="87"/>
      <c r="UBY1" s="87"/>
      <c r="UBZ1" s="87"/>
      <c r="UCA1" s="87"/>
      <c r="UCB1" s="87"/>
      <c r="UCC1" s="87"/>
      <c r="UCD1" s="87"/>
      <c r="UCE1" s="87"/>
      <c r="UCF1" s="87"/>
      <c r="UCG1" s="87"/>
      <c r="UCH1" s="87"/>
      <c r="UCI1" s="87"/>
      <c r="UCJ1" s="87"/>
      <c r="UCK1" s="87"/>
      <c r="UCL1" s="87"/>
      <c r="UCM1" s="87"/>
      <c r="UCN1" s="87"/>
      <c r="UCO1" s="87"/>
      <c r="UCP1" s="87"/>
      <c r="UCQ1" s="87"/>
      <c r="UCR1" s="87"/>
      <c r="UCS1" s="87"/>
      <c r="UCT1" s="87"/>
      <c r="UCU1" s="87"/>
      <c r="UCV1" s="87"/>
      <c r="UCW1" s="87"/>
      <c r="UCX1" s="87"/>
      <c r="UCY1" s="87"/>
      <c r="UCZ1" s="87"/>
      <c r="UDA1" s="87"/>
      <c r="UDB1" s="87"/>
      <c r="UDC1" s="87"/>
      <c r="UDD1" s="87"/>
      <c r="UDE1" s="87"/>
      <c r="UDF1" s="87"/>
      <c r="UDG1" s="87"/>
      <c r="UDH1" s="87"/>
      <c r="UDI1" s="87"/>
      <c r="UDJ1" s="87"/>
      <c r="UDK1" s="87"/>
      <c r="UDL1" s="87"/>
      <c r="UDM1" s="87"/>
      <c r="UDN1" s="87"/>
      <c r="UDO1" s="87"/>
      <c r="UDP1" s="87"/>
      <c r="UDQ1" s="87"/>
      <c r="UDR1" s="87"/>
      <c r="UDS1" s="87"/>
      <c r="UDT1" s="87"/>
      <c r="UDU1" s="87"/>
      <c r="UDV1" s="87"/>
      <c r="UDW1" s="87"/>
      <c r="UDX1" s="87"/>
      <c r="UDY1" s="87"/>
      <c r="UDZ1" s="87"/>
      <c r="UEA1" s="87"/>
      <c r="UEB1" s="87"/>
      <c r="UEC1" s="87"/>
      <c r="UED1" s="87"/>
      <c r="UEE1" s="87"/>
      <c r="UEF1" s="87"/>
      <c r="UEG1" s="87"/>
      <c r="UEH1" s="87"/>
      <c r="UEI1" s="87"/>
      <c r="UEJ1" s="87"/>
      <c r="UEK1" s="87"/>
      <c r="UEL1" s="87"/>
      <c r="UEM1" s="87"/>
      <c r="UEN1" s="87"/>
      <c r="UEO1" s="87"/>
      <c r="UEP1" s="87"/>
      <c r="UEQ1" s="87"/>
      <c r="UER1" s="87"/>
      <c r="UES1" s="87"/>
      <c r="UET1" s="87"/>
      <c r="UEU1" s="87"/>
      <c r="UEV1" s="87"/>
      <c r="UEW1" s="87"/>
      <c r="UEX1" s="87"/>
      <c r="UEY1" s="87"/>
      <c r="UEZ1" s="87"/>
      <c r="UFA1" s="87"/>
      <c r="UFB1" s="87"/>
      <c r="UFC1" s="87"/>
      <c r="UFD1" s="87"/>
      <c r="UFE1" s="87"/>
      <c r="UFF1" s="87"/>
      <c r="UFG1" s="87"/>
      <c r="UFH1" s="87"/>
      <c r="UFI1" s="87"/>
      <c r="UFJ1" s="87"/>
      <c r="UFK1" s="87"/>
      <c r="UFL1" s="87"/>
      <c r="UFM1" s="87"/>
      <c r="UFN1" s="87"/>
      <c r="UFO1" s="87"/>
      <c r="UFP1" s="87"/>
      <c r="UFQ1" s="87"/>
      <c r="UFR1" s="87"/>
      <c r="UFS1" s="87"/>
      <c r="UFT1" s="87"/>
      <c r="UFU1" s="87"/>
      <c r="UFV1" s="87"/>
      <c r="UFW1" s="87"/>
      <c r="UFX1" s="87"/>
      <c r="UFY1" s="87"/>
      <c r="UFZ1" s="87"/>
      <c r="UGA1" s="87"/>
      <c r="UGB1" s="87"/>
      <c r="UGC1" s="87"/>
      <c r="UGD1" s="87"/>
      <c r="UGE1" s="87"/>
      <c r="UGF1" s="87"/>
      <c r="UGG1" s="87"/>
      <c r="UGH1" s="87"/>
      <c r="UGI1" s="87"/>
      <c r="UGJ1" s="87"/>
      <c r="UGK1" s="87"/>
      <c r="UGL1" s="87"/>
      <c r="UGM1" s="87"/>
      <c r="UGN1" s="87"/>
      <c r="UGO1" s="87"/>
      <c r="UGP1" s="87"/>
      <c r="UGQ1" s="87"/>
      <c r="UGR1" s="87"/>
      <c r="UGS1" s="87"/>
      <c r="UGT1" s="87"/>
      <c r="UGU1" s="87"/>
      <c r="UGV1" s="87"/>
      <c r="UGW1" s="87"/>
      <c r="UGX1" s="87"/>
      <c r="UGY1" s="87"/>
      <c r="UGZ1" s="87"/>
      <c r="UHA1" s="87"/>
      <c r="UHB1" s="87"/>
      <c r="UHC1" s="87"/>
      <c r="UHD1" s="87"/>
      <c r="UHE1" s="87"/>
      <c r="UHF1" s="87"/>
      <c r="UHG1" s="87"/>
      <c r="UHH1" s="87"/>
      <c r="UHI1" s="87"/>
      <c r="UHJ1" s="87"/>
      <c r="UHK1" s="87"/>
      <c r="UHL1" s="87"/>
      <c r="UHM1" s="87"/>
      <c r="UHN1" s="87"/>
      <c r="UHO1" s="87"/>
      <c r="UHP1" s="87"/>
      <c r="UHQ1" s="87"/>
      <c r="UHR1" s="87"/>
      <c r="UHS1" s="87"/>
      <c r="UHT1" s="87"/>
      <c r="UHU1" s="87"/>
      <c r="UHV1" s="87"/>
      <c r="UHW1" s="87"/>
      <c r="UHX1" s="87"/>
      <c r="UHY1" s="87"/>
      <c r="UHZ1" s="87"/>
      <c r="UIA1" s="87"/>
      <c r="UIB1" s="87"/>
      <c r="UIC1" s="87"/>
      <c r="UID1" s="87"/>
      <c r="UIE1" s="87"/>
      <c r="UIF1" s="87"/>
      <c r="UIG1" s="87"/>
      <c r="UIH1" s="87"/>
      <c r="UII1" s="87"/>
      <c r="UIJ1" s="87"/>
      <c r="UIK1" s="87"/>
      <c r="UIL1" s="87"/>
      <c r="UIM1" s="87"/>
      <c r="UIN1" s="87"/>
      <c r="UIO1" s="87"/>
      <c r="UIP1" s="87"/>
      <c r="UIQ1" s="87"/>
      <c r="UIR1" s="87"/>
      <c r="UIS1" s="87"/>
      <c r="UIT1" s="87"/>
      <c r="UIU1" s="87"/>
      <c r="UIV1" s="87"/>
      <c r="UIW1" s="87"/>
      <c r="UIX1" s="87"/>
      <c r="UIY1" s="87"/>
      <c r="UIZ1" s="87"/>
      <c r="UJA1" s="87"/>
      <c r="UJB1" s="87"/>
      <c r="UJC1" s="87"/>
      <c r="UJD1" s="87"/>
      <c r="UJE1" s="87"/>
      <c r="UJF1" s="87"/>
      <c r="UJG1" s="87"/>
      <c r="UJH1" s="87"/>
      <c r="UJI1" s="87"/>
      <c r="UJJ1" s="87"/>
      <c r="UJK1" s="87"/>
      <c r="UJL1" s="87"/>
      <c r="UJM1" s="87"/>
      <c r="UJN1" s="87"/>
      <c r="UJO1" s="87"/>
      <c r="UJP1" s="87"/>
      <c r="UJQ1" s="87"/>
      <c r="UJR1" s="87"/>
      <c r="UJS1" s="87"/>
      <c r="UJT1" s="87"/>
      <c r="UJU1" s="87"/>
      <c r="UJV1" s="87"/>
      <c r="UJW1" s="87"/>
      <c r="UJX1" s="87"/>
      <c r="UJY1" s="87"/>
      <c r="UJZ1" s="87"/>
      <c r="UKA1" s="87"/>
      <c r="UKB1" s="87"/>
      <c r="UKC1" s="87"/>
      <c r="UKD1" s="87"/>
      <c r="UKE1" s="87"/>
      <c r="UKF1" s="87"/>
      <c r="UKG1" s="87"/>
      <c r="UKH1" s="87"/>
      <c r="UKI1" s="87"/>
      <c r="UKJ1" s="87"/>
      <c r="UKK1" s="87"/>
      <c r="UKL1" s="87"/>
      <c r="UKM1" s="87"/>
      <c r="UKN1" s="87"/>
      <c r="UKO1" s="87"/>
      <c r="UKP1" s="87"/>
      <c r="UKQ1" s="87"/>
      <c r="UKR1" s="87"/>
      <c r="UKS1" s="87"/>
      <c r="UKT1" s="87"/>
      <c r="UKU1" s="87"/>
      <c r="UKV1" s="87"/>
      <c r="UKW1" s="87"/>
      <c r="UKX1" s="87"/>
      <c r="UKY1" s="87"/>
      <c r="UKZ1" s="87"/>
      <c r="ULA1" s="87"/>
      <c r="ULB1" s="87"/>
      <c r="ULC1" s="87"/>
      <c r="ULD1" s="87"/>
      <c r="ULE1" s="87"/>
      <c r="ULF1" s="87"/>
      <c r="ULG1" s="87"/>
      <c r="ULH1" s="87"/>
      <c r="ULI1" s="87"/>
      <c r="ULJ1" s="87"/>
      <c r="ULK1" s="87"/>
      <c r="ULL1" s="87"/>
      <c r="ULM1" s="87"/>
      <c r="ULN1" s="87"/>
      <c r="ULO1" s="87"/>
      <c r="ULP1" s="87"/>
      <c r="ULQ1" s="87"/>
      <c r="ULR1" s="87"/>
      <c r="ULS1" s="87"/>
      <c r="ULT1" s="87"/>
      <c r="ULU1" s="87"/>
      <c r="ULV1" s="87"/>
      <c r="ULW1" s="87"/>
      <c r="ULX1" s="87"/>
      <c r="ULY1" s="87"/>
      <c r="ULZ1" s="87"/>
      <c r="UMA1" s="87"/>
      <c r="UMB1" s="87"/>
      <c r="UMC1" s="87"/>
      <c r="UMD1" s="87"/>
      <c r="UME1" s="87"/>
      <c r="UMF1" s="87"/>
      <c r="UMG1" s="87"/>
      <c r="UMH1" s="87"/>
      <c r="UMI1" s="87"/>
      <c r="UMJ1" s="87"/>
      <c r="UMK1" s="87"/>
      <c r="UML1" s="87"/>
      <c r="UMM1" s="87"/>
      <c r="UMN1" s="87"/>
      <c r="UMO1" s="87"/>
      <c r="UMP1" s="87"/>
      <c r="UMQ1" s="87"/>
      <c r="UMR1" s="87"/>
      <c r="UMS1" s="87"/>
      <c r="UMT1" s="87"/>
      <c r="UMU1" s="87"/>
      <c r="UMV1" s="87"/>
      <c r="UMW1" s="87"/>
      <c r="UMX1" s="87"/>
      <c r="UMY1" s="87"/>
      <c r="UMZ1" s="87"/>
      <c r="UNA1" s="87"/>
      <c r="UNB1" s="87"/>
      <c r="UNC1" s="87"/>
      <c r="UND1" s="87"/>
      <c r="UNE1" s="87"/>
      <c r="UNF1" s="87"/>
      <c r="UNG1" s="87"/>
      <c r="UNH1" s="87"/>
      <c r="UNI1" s="87"/>
      <c r="UNJ1" s="87"/>
      <c r="UNK1" s="87"/>
      <c r="UNL1" s="87"/>
      <c r="UNM1" s="87"/>
      <c r="UNN1" s="87"/>
      <c r="UNO1" s="87"/>
      <c r="UNP1" s="87"/>
      <c r="UNQ1" s="87"/>
      <c r="UNR1" s="87"/>
      <c r="UNS1" s="87"/>
      <c r="UNT1" s="87"/>
      <c r="UNU1" s="87"/>
      <c r="UNV1" s="87"/>
      <c r="UNW1" s="87"/>
      <c r="UNX1" s="87"/>
      <c r="UNY1" s="87"/>
      <c r="UNZ1" s="87"/>
      <c r="UOA1" s="87"/>
      <c r="UOB1" s="87"/>
      <c r="UOC1" s="87"/>
      <c r="UOD1" s="87"/>
      <c r="UOE1" s="87"/>
      <c r="UOF1" s="87"/>
      <c r="UOG1" s="87"/>
      <c r="UOH1" s="87"/>
      <c r="UOI1" s="87"/>
      <c r="UOJ1" s="87"/>
      <c r="UOK1" s="87"/>
      <c r="UOL1" s="87"/>
      <c r="UOM1" s="87"/>
      <c r="UON1" s="87"/>
      <c r="UOO1" s="87"/>
      <c r="UOP1" s="87"/>
      <c r="UOQ1" s="87"/>
      <c r="UOR1" s="87"/>
      <c r="UOS1" s="87"/>
      <c r="UOT1" s="87"/>
      <c r="UOU1" s="87"/>
      <c r="UOV1" s="87"/>
      <c r="UOW1" s="87"/>
      <c r="UOX1" s="87"/>
      <c r="UOY1" s="87"/>
      <c r="UOZ1" s="87"/>
      <c r="UPA1" s="87"/>
      <c r="UPB1" s="87"/>
      <c r="UPC1" s="87"/>
      <c r="UPD1" s="87"/>
      <c r="UPE1" s="87"/>
      <c r="UPF1" s="87"/>
      <c r="UPG1" s="87"/>
      <c r="UPH1" s="87"/>
      <c r="UPI1" s="87"/>
      <c r="UPJ1" s="87"/>
      <c r="UPK1" s="87"/>
      <c r="UPL1" s="87"/>
      <c r="UPM1" s="87"/>
      <c r="UPN1" s="87"/>
      <c r="UPO1" s="87"/>
      <c r="UPP1" s="87"/>
      <c r="UPQ1" s="87"/>
      <c r="UPR1" s="87"/>
      <c r="UPS1" s="87"/>
      <c r="UPT1" s="87"/>
      <c r="UPU1" s="87"/>
      <c r="UPV1" s="87"/>
      <c r="UPW1" s="87"/>
      <c r="UPX1" s="87"/>
      <c r="UPY1" s="87"/>
      <c r="UPZ1" s="87"/>
      <c r="UQA1" s="87"/>
      <c r="UQB1" s="87"/>
      <c r="UQC1" s="87"/>
      <c r="UQD1" s="87"/>
      <c r="UQE1" s="87"/>
      <c r="UQF1" s="87"/>
      <c r="UQG1" s="87"/>
      <c r="UQH1" s="87"/>
      <c r="UQI1" s="87"/>
      <c r="UQJ1" s="87"/>
      <c r="UQK1" s="87"/>
      <c r="UQL1" s="87"/>
      <c r="UQM1" s="87"/>
      <c r="UQN1" s="87"/>
      <c r="UQO1" s="87"/>
      <c r="UQP1" s="87"/>
      <c r="UQQ1" s="87"/>
      <c r="UQR1" s="87"/>
      <c r="UQS1" s="87"/>
      <c r="UQT1" s="87"/>
      <c r="UQU1" s="87"/>
      <c r="UQV1" s="87"/>
      <c r="UQW1" s="87"/>
      <c r="UQX1" s="87"/>
      <c r="UQY1" s="87"/>
      <c r="UQZ1" s="87"/>
      <c r="URA1" s="87"/>
      <c r="URB1" s="87"/>
      <c r="URC1" s="87"/>
      <c r="URD1" s="87"/>
      <c r="URE1" s="87"/>
      <c r="URF1" s="87"/>
      <c r="URG1" s="87"/>
      <c r="URH1" s="87"/>
      <c r="URI1" s="87"/>
      <c r="URJ1" s="87"/>
      <c r="URK1" s="87"/>
      <c r="URL1" s="87"/>
      <c r="URM1" s="87"/>
      <c r="URN1" s="87"/>
      <c r="URO1" s="87"/>
      <c r="URP1" s="87"/>
      <c r="URQ1" s="87"/>
      <c r="URR1" s="87"/>
      <c r="URS1" s="87"/>
      <c r="URT1" s="87"/>
      <c r="URU1" s="87"/>
      <c r="URV1" s="87"/>
      <c r="URW1" s="87"/>
      <c r="URX1" s="87"/>
      <c r="URY1" s="87"/>
      <c r="URZ1" s="87"/>
      <c r="USA1" s="87"/>
      <c r="USB1" s="87"/>
      <c r="USC1" s="87"/>
      <c r="USD1" s="87"/>
      <c r="USE1" s="87"/>
      <c r="USF1" s="87"/>
      <c r="USG1" s="87"/>
      <c r="USH1" s="87"/>
      <c r="USI1" s="87"/>
      <c r="USJ1" s="87"/>
      <c r="USK1" s="87"/>
      <c r="USL1" s="87"/>
      <c r="USM1" s="87"/>
      <c r="USN1" s="87"/>
      <c r="USO1" s="87"/>
      <c r="USP1" s="87"/>
      <c r="USQ1" s="87"/>
      <c r="USR1" s="87"/>
      <c r="USS1" s="87"/>
      <c r="UST1" s="87"/>
      <c r="USU1" s="87"/>
      <c r="USV1" s="87"/>
      <c r="USW1" s="87"/>
      <c r="USX1" s="87"/>
      <c r="USY1" s="87"/>
      <c r="USZ1" s="87"/>
      <c r="UTA1" s="87"/>
      <c r="UTB1" s="87"/>
      <c r="UTC1" s="87"/>
      <c r="UTD1" s="87"/>
      <c r="UTE1" s="87"/>
      <c r="UTF1" s="87"/>
      <c r="UTG1" s="87"/>
      <c r="UTH1" s="87"/>
      <c r="UTI1" s="87"/>
      <c r="UTJ1" s="87"/>
      <c r="UTK1" s="87"/>
      <c r="UTL1" s="87"/>
      <c r="UTM1" s="87"/>
      <c r="UTN1" s="87"/>
      <c r="UTO1" s="87"/>
      <c r="UTP1" s="87"/>
      <c r="UTQ1" s="87"/>
      <c r="UTR1" s="87"/>
      <c r="UTS1" s="87"/>
      <c r="UTT1" s="87"/>
      <c r="UTU1" s="87"/>
      <c r="UTV1" s="87"/>
      <c r="UTW1" s="87"/>
      <c r="UTX1" s="87"/>
      <c r="UTY1" s="87"/>
      <c r="UTZ1" s="87"/>
      <c r="UUA1" s="87"/>
      <c r="UUB1" s="87"/>
      <c r="UUC1" s="87"/>
      <c r="UUD1" s="87"/>
      <c r="UUE1" s="87"/>
      <c r="UUF1" s="87"/>
      <c r="UUG1" s="87"/>
      <c r="UUH1" s="87"/>
      <c r="UUI1" s="87"/>
      <c r="UUJ1" s="87"/>
      <c r="UUK1" s="87"/>
      <c r="UUL1" s="87"/>
      <c r="UUM1" s="87"/>
      <c r="UUN1" s="87"/>
      <c r="UUO1" s="87"/>
      <c r="UUP1" s="87"/>
      <c r="UUQ1" s="87"/>
      <c r="UUR1" s="87"/>
      <c r="UUS1" s="87"/>
      <c r="UUT1" s="87"/>
      <c r="UUU1" s="87"/>
      <c r="UUV1" s="87"/>
      <c r="UUW1" s="87"/>
      <c r="UUX1" s="87"/>
      <c r="UUY1" s="87"/>
      <c r="UUZ1" s="87"/>
      <c r="UVA1" s="87"/>
      <c r="UVB1" s="87"/>
      <c r="UVC1" s="87"/>
      <c r="UVD1" s="87"/>
      <c r="UVE1" s="87"/>
      <c r="UVF1" s="87"/>
      <c r="UVG1" s="87"/>
      <c r="UVH1" s="87"/>
      <c r="UVI1" s="87"/>
      <c r="UVJ1" s="87"/>
      <c r="UVK1" s="87"/>
      <c r="UVL1" s="87"/>
      <c r="UVM1" s="87"/>
      <c r="UVN1" s="87"/>
      <c r="UVO1" s="87"/>
      <c r="UVP1" s="87"/>
      <c r="UVQ1" s="87"/>
      <c r="UVR1" s="87"/>
      <c r="UVS1" s="87"/>
      <c r="UVT1" s="87"/>
      <c r="UVU1" s="87"/>
      <c r="UVV1" s="87"/>
      <c r="UVW1" s="87"/>
      <c r="UVX1" s="87"/>
      <c r="UVY1" s="87"/>
      <c r="UVZ1" s="87"/>
      <c r="UWA1" s="87"/>
      <c r="UWB1" s="87"/>
      <c r="UWC1" s="87"/>
      <c r="UWD1" s="87"/>
      <c r="UWE1" s="87"/>
      <c r="UWF1" s="87"/>
      <c r="UWG1" s="87"/>
      <c r="UWH1" s="87"/>
      <c r="UWI1" s="87"/>
      <c r="UWJ1" s="87"/>
      <c r="UWK1" s="87"/>
      <c r="UWL1" s="87"/>
      <c r="UWM1" s="87"/>
      <c r="UWN1" s="87"/>
      <c r="UWO1" s="87"/>
      <c r="UWP1" s="87"/>
      <c r="UWQ1" s="87"/>
      <c r="UWR1" s="87"/>
      <c r="UWS1" s="87"/>
      <c r="UWT1" s="87"/>
      <c r="UWU1" s="87"/>
      <c r="UWV1" s="87"/>
      <c r="UWW1" s="87"/>
      <c r="UWX1" s="87"/>
      <c r="UWY1" s="87"/>
      <c r="UWZ1" s="87"/>
      <c r="UXA1" s="87"/>
      <c r="UXB1" s="87"/>
      <c r="UXC1" s="87"/>
      <c r="UXD1" s="87"/>
      <c r="UXE1" s="87"/>
      <c r="UXF1" s="87"/>
      <c r="UXG1" s="87"/>
      <c r="UXH1" s="87"/>
      <c r="UXI1" s="87"/>
      <c r="UXJ1" s="87"/>
      <c r="UXK1" s="87"/>
      <c r="UXL1" s="87"/>
      <c r="UXM1" s="87"/>
      <c r="UXN1" s="87"/>
      <c r="UXO1" s="87"/>
      <c r="UXP1" s="87"/>
      <c r="UXQ1" s="87"/>
      <c r="UXR1" s="87"/>
      <c r="UXS1" s="87"/>
      <c r="UXT1" s="87"/>
      <c r="UXU1" s="87"/>
      <c r="UXV1" s="87"/>
      <c r="UXW1" s="87"/>
      <c r="UXX1" s="87"/>
      <c r="UXY1" s="87"/>
      <c r="UXZ1" s="87"/>
      <c r="UYA1" s="87"/>
      <c r="UYB1" s="87"/>
      <c r="UYC1" s="87"/>
      <c r="UYD1" s="87"/>
      <c r="UYE1" s="87"/>
      <c r="UYF1" s="87"/>
      <c r="UYG1" s="87"/>
      <c r="UYH1" s="87"/>
      <c r="UYI1" s="87"/>
      <c r="UYJ1" s="87"/>
      <c r="UYK1" s="87"/>
      <c r="UYL1" s="87"/>
      <c r="UYM1" s="87"/>
      <c r="UYN1" s="87"/>
      <c r="UYO1" s="87"/>
      <c r="UYP1" s="87"/>
      <c r="UYQ1" s="87"/>
      <c r="UYR1" s="87"/>
      <c r="UYS1" s="87"/>
      <c r="UYT1" s="87"/>
      <c r="UYU1" s="87"/>
      <c r="UYV1" s="87"/>
      <c r="UYW1" s="87"/>
      <c r="UYX1" s="87"/>
      <c r="UYY1" s="87"/>
      <c r="UYZ1" s="87"/>
      <c r="UZA1" s="87"/>
      <c r="UZB1" s="87"/>
      <c r="UZC1" s="87"/>
      <c r="UZD1" s="87"/>
      <c r="UZE1" s="87"/>
      <c r="UZF1" s="87"/>
      <c r="UZG1" s="87"/>
      <c r="UZH1" s="87"/>
      <c r="UZI1" s="87"/>
      <c r="UZJ1" s="87"/>
      <c r="UZK1" s="87"/>
      <c r="UZL1" s="87"/>
      <c r="UZM1" s="87"/>
      <c r="UZN1" s="87"/>
      <c r="UZO1" s="87"/>
      <c r="UZP1" s="87"/>
      <c r="UZQ1" s="87"/>
      <c r="UZR1" s="87"/>
      <c r="UZS1" s="87"/>
      <c r="UZT1" s="87"/>
      <c r="UZU1" s="87"/>
      <c r="UZV1" s="87"/>
      <c r="UZW1" s="87"/>
      <c r="UZX1" s="87"/>
      <c r="UZY1" s="87"/>
      <c r="UZZ1" s="87"/>
      <c r="VAA1" s="87"/>
      <c r="VAB1" s="87"/>
      <c r="VAC1" s="87"/>
      <c r="VAD1" s="87"/>
      <c r="VAE1" s="87"/>
      <c r="VAF1" s="87"/>
      <c r="VAG1" s="87"/>
      <c r="VAH1" s="87"/>
      <c r="VAI1" s="87"/>
      <c r="VAJ1" s="87"/>
      <c r="VAK1" s="87"/>
      <c r="VAL1" s="87"/>
      <c r="VAM1" s="87"/>
      <c r="VAN1" s="87"/>
      <c r="VAO1" s="87"/>
      <c r="VAP1" s="87"/>
      <c r="VAQ1" s="87"/>
      <c r="VAR1" s="87"/>
      <c r="VAS1" s="87"/>
      <c r="VAT1" s="87"/>
      <c r="VAU1" s="87"/>
      <c r="VAV1" s="87"/>
      <c r="VAW1" s="87"/>
      <c r="VAX1" s="87"/>
      <c r="VAY1" s="87"/>
      <c r="VAZ1" s="87"/>
      <c r="VBA1" s="87"/>
      <c r="VBB1" s="87"/>
      <c r="VBC1" s="87"/>
      <c r="VBD1" s="87"/>
      <c r="VBE1" s="87"/>
      <c r="VBF1" s="87"/>
      <c r="VBG1" s="87"/>
      <c r="VBH1" s="87"/>
      <c r="VBI1" s="87"/>
      <c r="VBJ1" s="87"/>
      <c r="VBK1" s="87"/>
      <c r="VBL1" s="87"/>
      <c r="VBM1" s="87"/>
      <c r="VBN1" s="87"/>
      <c r="VBO1" s="87"/>
      <c r="VBP1" s="87"/>
      <c r="VBQ1" s="87"/>
      <c r="VBR1" s="87"/>
      <c r="VBS1" s="87"/>
      <c r="VBT1" s="87"/>
      <c r="VBU1" s="87"/>
      <c r="VBV1" s="87"/>
      <c r="VBW1" s="87"/>
      <c r="VBX1" s="87"/>
      <c r="VBY1" s="87"/>
      <c r="VBZ1" s="87"/>
      <c r="VCA1" s="87"/>
      <c r="VCB1" s="87"/>
      <c r="VCC1" s="87"/>
      <c r="VCD1" s="87"/>
      <c r="VCE1" s="87"/>
      <c r="VCF1" s="87"/>
      <c r="VCG1" s="87"/>
      <c r="VCH1" s="87"/>
      <c r="VCI1" s="87"/>
      <c r="VCJ1" s="87"/>
      <c r="VCK1" s="87"/>
      <c r="VCL1" s="87"/>
      <c r="VCM1" s="87"/>
      <c r="VCN1" s="87"/>
      <c r="VCO1" s="87"/>
      <c r="VCP1" s="87"/>
      <c r="VCQ1" s="87"/>
      <c r="VCR1" s="87"/>
      <c r="VCS1" s="87"/>
      <c r="VCT1" s="87"/>
      <c r="VCU1" s="87"/>
      <c r="VCV1" s="87"/>
      <c r="VCW1" s="87"/>
      <c r="VCX1" s="87"/>
      <c r="VCY1" s="87"/>
      <c r="VCZ1" s="87"/>
      <c r="VDA1" s="87"/>
      <c r="VDB1" s="87"/>
      <c r="VDC1" s="87"/>
      <c r="VDD1" s="87"/>
      <c r="VDE1" s="87"/>
      <c r="VDF1" s="87"/>
      <c r="VDG1" s="87"/>
      <c r="VDH1" s="87"/>
      <c r="VDI1" s="87"/>
      <c r="VDJ1" s="87"/>
      <c r="VDK1" s="87"/>
      <c r="VDL1" s="87"/>
      <c r="VDM1" s="87"/>
      <c r="VDN1" s="87"/>
      <c r="VDO1" s="87"/>
      <c r="VDP1" s="87"/>
      <c r="VDQ1" s="87"/>
      <c r="VDR1" s="87"/>
      <c r="VDS1" s="87"/>
      <c r="VDT1" s="87"/>
      <c r="VDU1" s="87"/>
      <c r="VDV1" s="87"/>
      <c r="VDW1" s="87"/>
      <c r="VDX1" s="87"/>
      <c r="VDY1" s="87"/>
      <c r="VDZ1" s="87"/>
      <c r="VEA1" s="87"/>
      <c r="VEB1" s="87"/>
      <c r="VEC1" s="87"/>
      <c r="VED1" s="87"/>
      <c r="VEE1" s="87"/>
      <c r="VEF1" s="87"/>
      <c r="VEG1" s="87"/>
      <c r="VEH1" s="87"/>
      <c r="VEI1" s="87"/>
      <c r="VEJ1" s="87"/>
      <c r="VEK1" s="87"/>
      <c r="VEL1" s="87"/>
      <c r="VEM1" s="87"/>
      <c r="VEN1" s="87"/>
      <c r="VEO1" s="87"/>
      <c r="VEP1" s="87"/>
      <c r="VEQ1" s="87"/>
      <c r="VER1" s="87"/>
      <c r="VES1" s="87"/>
      <c r="VET1" s="87"/>
      <c r="VEU1" s="87"/>
      <c r="VEV1" s="87"/>
      <c r="VEW1" s="87"/>
      <c r="VEX1" s="87"/>
      <c r="VEY1" s="87"/>
      <c r="VEZ1" s="87"/>
      <c r="VFA1" s="87"/>
      <c r="VFB1" s="87"/>
      <c r="VFC1" s="87"/>
      <c r="VFD1" s="87"/>
      <c r="VFE1" s="87"/>
      <c r="VFF1" s="87"/>
      <c r="VFG1" s="87"/>
      <c r="VFH1" s="87"/>
      <c r="VFI1" s="87"/>
      <c r="VFJ1" s="87"/>
      <c r="VFK1" s="87"/>
      <c r="VFL1" s="87"/>
      <c r="VFM1" s="87"/>
      <c r="VFN1" s="87"/>
      <c r="VFO1" s="87"/>
      <c r="VFP1" s="87"/>
      <c r="VFQ1" s="87"/>
      <c r="VFR1" s="87"/>
      <c r="VFS1" s="87"/>
      <c r="VFT1" s="87"/>
      <c r="VFU1" s="87"/>
      <c r="VFV1" s="87"/>
      <c r="VFW1" s="87"/>
      <c r="VFX1" s="87"/>
      <c r="VFY1" s="87"/>
      <c r="VFZ1" s="87"/>
      <c r="VGA1" s="87"/>
      <c r="VGB1" s="87"/>
      <c r="VGC1" s="87"/>
      <c r="VGD1" s="87"/>
      <c r="VGE1" s="87"/>
      <c r="VGF1" s="87"/>
      <c r="VGG1" s="87"/>
      <c r="VGH1" s="87"/>
      <c r="VGI1" s="87"/>
      <c r="VGJ1" s="87"/>
      <c r="VGK1" s="87"/>
      <c r="VGL1" s="87"/>
      <c r="VGM1" s="87"/>
      <c r="VGN1" s="87"/>
      <c r="VGO1" s="87"/>
      <c r="VGP1" s="87"/>
      <c r="VGQ1" s="87"/>
      <c r="VGR1" s="87"/>
      <c r="VGS1" s="87"/>
      <c r="VGT1" s="87"/>
      <c r="VGU1" s="87"/>
      <c r="VGV1" s="87"/>
      <c r="VGW1" s="87"/>
      <c r="VGX1" s="87"/>
      <c r="VGY1" s="87"/>
      <c r="VGZ1" s="87"/>
      <c r="VHA1" s="87"/>
      <c r="VHB1" s="87"/>
      <c r="VHC1" s="87"/>
      <c r="VHD1" s="87"/>
      <c r="VHE1" s="87"/>
      <c r="VHF1" s="87"/>
      <c r="VHG1" s="87"/>
      <c r="VHH1" s="87"/>
      <c r="VHI1" s="87"/>
      <c r="VHJ1" s="87"/>
      <c r="VHK1" s="87"/>
      <c r="VHL1" s="87"/>
      <c r="VHM1" s="87"/>
      <c r="VHN1" s="87"/>
      <c r="VHO1" s="87"/>
      <c r="VHP1" s="87"/>
      <c r="VHQ1" s="87"/>
      <c r="VHR1" s="87"/>
      <c r="VHS1" s="87"/>
      <c r="VHT1" s="87"/>
      <c r="VHU1" s="87"/>
      <c r="VHV1" s="87"/>
      <c r="VHW1" s="87"/>
      <c r="VHX1" s="87"/>
      <c r="VHY1" s="87"/>
      <c r="VHZ1" s="87"/>
      <c r="VIA1" s="87"/>
      <c r="VIB1" s="87"/>
      <c r="VIC1" s="87"/>
      <c r="VID1" s="87"/>
      <c r="VIE1" s="87"/>
      <c r="VIF1" s="87"/>
      <c r="VIG1" s="87"/>
      <c r="VIH1" s="87"/>
      <c r="VII1" s="87"/>
      <c r="VIJ1" s="87"/>
      <c r="VIK1" s="87"/>
      <c r="VIL1" s="87"/>
      <c r="VIM1" s="87"/>
      <c r="VIN1" s="87"/>
      <c r="VIO1" s="87"/>
      <c r="VIP1" s="87"/>
      <c r="VIQ1" s="87"/>
      <c r="VIR1" s="87"/>
      <c r="VIS1" s="87"/>
      <c r="VIT1" s="87"/>
      <c r="VIU1" s="87"/>
      <c r="VIV1" s="87"/>
      <c r="VIW1" s="87"/>
      <c r="VIX1" s="87"/>
      <c r="VIY1" s="87"/>
      <c r="VIZ1" s="87"/>
      <c r="VJA1" s="87"/>
      <c r="VJB1" s="87"/>
      <c r="VJC1" s="87"/>
      <c r="VJD1" s="87"/>
      <c r="VJE1" s="87"/>
      <c r="VJF1" s="87"/>
      <c r="VJG1" s="87"/>
      <c r="VJH1" s="87"/>
      <c r="VJI1" s="87"/>
      <c r="VJJ1" s="87"/>
      <c r="VJK1" s="87"/>
      <c r="VJL1" s="87"/>
      <c r="VJM1" s="87"/>
      <c r="VJN1" s="87"/>
      <c r="VJO1" s="87"/>
      <c r="VJP1" s="87"/>
      <c r="VJQ1" s="87"/>
      <c r="VJR1" s="87"/>
      <c r="VJS1" s="87"/>
      <c r="VJT1" s="87"/>
      <c r="VJU1" s="87"/>
      <c r="VJV1" s="87"/>
      <c r="VJW1" s="87"/>
      <c r="VJX1" s="87"/>
      <c r="VJY1" s="87"/>
      <c r="VJZ1" s="87"/>
      <c r="VKA1" s="87"/>
      <c r="VKB1" s="87"/>
      <c r="VKC1" s="87"/>
      <c r="VKD1" s="87"/>
      <c r="VKE1" s="87"/>
      <c r="VKF1" s="87"/>
      <c r="VKG1" s="87"/>
      <c r="VKH1" s="87"/>
      <c r="VKI1" s="87"/>
      <c r="VKJ1" s="87"/>
      <c r="VKK1" s="87"/>
      <c r="VKL1" s="87"/>
      <c r="VKM1" s="87"/>
      <c r="VKN1" s="87"/>
      <c r="VKO1" s="87"/>
      <c r="VKP1" s="87"/>
      <c r="VKQ1" s="87"/>
      <c r="VKR1" s="87"/>
      <c r="VKS1" s="87"/>
      <c r="VKT1" s="87"/>
      <c r="VKU1" s="87"/>
      <c r="VKV1" s="87"/>
      <c r="VKW1" s="87"/>
      <c r="VKX1" s="87"/>
      <c r="VKY1" s="87"/>
      <c r="VKZ1" s="87"/>
      <c r="VLA1" s="87"/>
      <c r="VLB1" s="87"/>
      <c r="VLC1" s="87"/>
      <c r="VLD1" s="87"/>
      <c r="VLE1" s="87"/>
      <c r="VLF1" s="87"/>
      <c r="VLG1" s="87"/>
      <c r="VLH1" s="87"/>
      <c r="VLI1" s="87"/>
      <c r="VLJ1" s="87"/>
      <c r="VLK1" s="87"/>
      <c r="VLL1" s="87"/>
      <c r="VLM1" s="87"/>
      <c r="VLN1" s="87"/>
      <c r="VLO1" s="87"/>
      <c r="VLP1" s="87"/>
      <c r="VLQ1" s="87"/>
      <c r="VLR1" s="87"/>
      <c r="VLS1" s="87"/>
      <c r="VLT1" s="87"/>
      <c r="VLU1" s="87"/>
      <c r="VLV1" s="87"/>
      <c r="VLW1" s="87"/>
      <c r="VLX1" s="87"/>
      <c r="VLY1" s="87"/>
      <c r="VLZ1" s="87"/>
      <c r="VMA1" s="87"/>
      <c r="VMB1" s="87"/>
      <c r="VMC1" s="87"/>
      <c r="VMD1" s="87"/>
      <c r="VME1" s="87"/>
      <c r="VMF1" s="87"/>
      <c r="VMG1" s="87"/>
      <c r="VMH1" s="87"/>
      <c r="VMI1" s="87"/>
      <c r="VMJ1" s="87"/>
      <c r="VMK1" s="87"/>
      <c r="VML1" s="87"/>
      <c r="VMM1" s="87"/>
      <c r="VMN1" s="87"/>
      <c r="VMO1" s="87"/>
      <c r="VMP1" s="87"/>
      <c r="VMQ1" s="87"/>
      <c r="VMR1" s="87"/>
      <c r="VMS1" s="87"/>
      <c r="VMT1" s="87"/>
      <c r="VMU1" s="87"/>
      <c r="VMV1" s="87"/>
      <c r="VMW1" s="87"/>
      <c r="VMX1" s="87"/>
      <c r="VMY1" s="87"/>
      <c r="VMZ1" s="87"/>
      <c r="VNA1" s="87"/>
      <c r="VNB1" s="87"/>
      <c r="VNC1" s="87"/>
      <c r="VND1" s="87"/>
      <c r="VNE1" s="87"/>
      <c r="VNF1" s="87"/>
      <c r="VNG1" s="87"/>
      <c r="VNH1" s="87"/>
      <c r="VNI1" s="87"/>
      <c r="VNJ1" s="87"/>
      <c r="VNK1" s="87"/>
      <c r="VNL1" s="87"/>
      <c r="VNM1" s="87"/>
      <c r="VNN1" s="87"/>
      <c r="VNO1" s="87"/>
      <c r="VNP1" s="87"/>
      <c r="VNQ1" s="87"/>
      <c r="VNR1" s="87"/>
      <c r="VNS1" s="87"/>
      <c r="VNT1" s="87"/>
      <c r="VNU1" s="87"/>
      <c r="VNV1" s="87"/>
      <c r="VNW1" s="87"/>
      <c r="VNX1" s="87"/>
      <c r="VNY1" s="87"/>
      <c r="VNZ1" s="87"/>
      <c r="VOA1" s="87"/>
      <c r="VOB1" s="87"/>
      <c r="VOC1" s="87"/>
      <c r="VOD1" s="87"/>
      <c r="VOE1" s="87"/>
      <c r="VOF1" s="87"/>
      <c r="VOG1" s="87"/>
      <c r="VOH1" s="87"/>
      <c r="VOI1" s="87"/>
      <c r="VOJ1" s="87"/>
      <c r="VOK1" s="87"/>
      <c r="VOL1" s="87"/>
      <c r="VOM1" s="87"/>
      <c r="VON1" s="87"/>
      <c r="VOO1" s="87"/>
      <c r="VOP1" s="87"/>
      <c r="VOQ1" s="87"/>
      <c r="VOR1" s="87"/>
      <c r="VOS1" s="87"/>
      <c r="VOT1" s="87"/>
      <c r="VOU1" s="87"/>
      <c r="VOV1" s="87"/>
      <c r="VOW1" s="87"/>
      <c r="VOX1" s="87"/>
      <c r="VOY1" s="87"/>
      <c r="VOZ1" s="87"/>
      <c r="VPA1" s="87"/>
      <c r="VPB1" s="87"/>
      <c r="VPC1" s="87"/>
      <c r="VPD1" s="87"/>
      <c r="VPE1" s="87"/>
      <c r="VPF1" s="87"/>
      <c r="VPG1" s="87"/>
      <c r="VPH1" s="87"/>
      <c r="VPI1" s="87"/>
      <c r="VPJ1" s="87"/>
      <c r="VPK1" s="87"/>
      <c r="VPL1" s="87"/>
      <c r="VPM1" s="87"/>
      <c r="VPN1" s="87"/>
      <c r="VPO1" s="87"/>
      <c r="VPP1" s="87"/>
      <c r="VPQ1" s="87"/>
      <c r="VPR1" s="87"/>
      <c r="VPS1" s="87"/>
      <c r="VPT1" s="87"/>
      <c r="VPU1" s="87"/>
      <c r="VPV1" s="87"/>
      <c r="VPW1" s="87"/>
      <c r="VPX1" s="87"/>
      <c r="VPY1" s="87"/>
      <c r="VPZ1" s="87"/>
      <c r="VQA1" s="87"/>
      <c r="VQB1" s="87"/>
      <c r="VQC1" s="87"/>
      <c r="VQD1" s="87"/>
      <c r="VQE1" s="87"/>
      <c r="VQF1" s="87"/>
      <c r="VQG1" s="87"/>
      <c r="VQH1" s="87"/>
      <c r="VQI1" s="87"/>
      <c r="VQJ1" s="87"/>
      <c r="VQK1" s="87"/>
      <c r="VQL1" s="87"/>
      <c r="VQM1" s="87"/>
      <c r="VQN1" s="87"/>
      <c r="VQO1" s="87"/>
      <c r="VQP1" s="87"/>
      <c r="VQQ1" s="87"/>
      <c r="VQR1" s="87"/>
      <c r="VQS1" s="87"/>
      <c r="VQT1" s="87"/>
      <c r="VQU1" s="87"/>
      <c r="VQV1" s="87"/>
      <c r="VQW1" s="87"/>
      <c r="VQX1" s="87"/>
      <c r="VQY1" s="87"/>
      <c r="VQZ1" s="87"/>
      <c r="VRA1" s="87"/>
      <c r="VRB1" s="87"/>
      <c r="VRC1" s="87"/>
      <c r="VRD1" s="87"/>
      <c r="VRE1" s="87"/>
      <c r="VRF1" s="87"/>
      <c r="VRG1" s="87"/>
      <c r="VRH1" s="87"/>
      <c r="VRI1" s="87"/>
      <c r="VRJ1" s="87"/>
      <c r="VRK1" s="87"/>
      <c r="VRL1" s="87"/>
      <c r="VRM1" s="87"/>
      <c r="VRN1" s="87"/>
      <c r="VRO1" s="87"/>
      <c r="VRP1" s="87"/>
      <c r="VRQ1" s="87"/>
      <c r="VRR1" s="87"/>
      <c r="VRS1" s="87"/>
      <c r="VRT1" s="87"/>
      <c r="VRU1" s="87"/>
      <c r="VRV1" s="87"/>
      <c r="VRW1" s="87"/>
      <c r="VRX1" s="87"/>
      <c r="VRY1" s="87"/>
      <c r="VRZ1" s="87"/>
      <c r="VSA1" s="87"/>
      <c r="VSB1" s="87"/>
      <c r="VSC1" s="87"/>
      <c r="VSD1" s="87"/>
      <c r="VSE1" s="87"/>
      <c r="VSF1" s="87"/>
      <c r="VSG1" s="87"/>
      <c r="VSH1" s="87"/>
      <c r="VSI1" s="87"/>
      <c r="VSJ1" s="87"/>
      <c r="VSK1" s="87"/>
      <c r="VSL1" s="87"/>
      <c r="VSM1" s="87"/>
      <c r="VSN1" s="87"/>
      <c r="VSO1" s="87"/>
      <c r="VSP1" s="87"/>
      <c r="VSQ1" s="87"/>
      <c r="VSR1" s="87"/>
      <c r="VSS1" s="87"/>
      <c r="VST1" s="87"/>
      <c r="VSU1" s="87"/>
      <c r="VSV1" s="87"/>
      <c r="VSW1" s="87"/>
      <c r="VSX1" s="87"/>
      <c r="VSY1" s="87"/>
      <c r="VSZ1" s="87"/>
      <c r="VTA1" s="87"/>
      <c r="VTB1" s="87"/>
      <c r="VTC1" s="87"/>
      <c r="VTD1" s="87"/>
      <c r="VTE1" s="87"/>
      <c r="VTF1" s="87"/>
      <c r="VTG1" s="87"/>
      <c r="VTH1" s="87"/>
      <c r="VTI1" s="87"/>
      <c r="VTJ1" s="87"/>
      <c r="VTK1" s="87"/>
      <c r="VTL1" s="87"/>
      <c r="VTM1" s="87"/>
      <c r="VTN1" s="87"/>
      <c r="VTO1" s="87"/>
      <c r="VTP1" s="87"/>
      <c r="VTQ1" s="87"/>
      <c r="VTR1" s="87"/>
      <c r="VTS1" s="87"/>
      <c r="VTT1" s="87"/>
      <c r="VTU1" s="87"/>
      <c r="VTV1" s="87"/>
      <c r="VTW1" s="87"/>
      <c r="VTX1" s="87"/>
      <c r="VTY1" s="87"/>
      <c r="VTZ1" s="87"/>
      <c r="VUA1" s="87"/>
      <c r="VUB1" s="87"/>
      <c r="VUC1" s="87"/>
      <c r="VUD1" s="87"/>
      <c r="VUE1" s="87"/>
      <c r="VUF1" s="87"/>
      <c r="VUG1" s="87"/>
      <c r="VUH1" s="87"/>
      <c r="VUI1" s="87"/>
      <c r="VUJ1" s="87"/>
      <c r="VUK1" s="87"/>
      <c r="VUL1" s="87"/>
      <c r="VUM1" s="87"/>
      <c r="VUN1" s="87"/>
      <c r="VUO1" s="87"/>
      <c r="VUP1" s="87"/>
      <c r="VUQ1" s="87"/>
      <c r="VUR1" s="87"/>
      <c r="VUS1" s="87"/>
      <c r="VUT1" s="87"/>
      <c r="VUU1" s="87"/>
      <c r="VUV1" s="87"/>
      <c r="VUW1" s="87"/>
      <c r="VUX1" s="87"/>
      <c r="VUY1" s="87"/>
      <c r="VUZ1" s="87"/>
      <c r="VVA1" s="87"/>
      <c r="VVB1" s="87"/>
      <c r="VVC1" s="87"/>
      <c r="VVD1" s="87"/>
      <c r="VVE1" s="87"/>
      <c r="VVF1" s="87"/>
      <c r="VVG1" s="87"/>
      <c r="VVH1" s="87"/>
      <c r="VVI1" s="87"/>
      <c r="VVJ1" s="87"/>
      <c r="VVK1" s="87"/>
      <c r="VVL1" s="87"/>
      <c r="VVM1" s="87"/>
      <c r="VVN1" s="87"/>
      <c r="VVO1" s="87"/>
      <c r="VVP1" s="87"/>
      <c r="VVQ1" s="87"/>
      <c r="VVR1" s="87"/>
      <c r="VVS1" s="87"/>
      <c r="VVT1" s="87"/>
      <c r="VVU1" s="87"/>
      <c r="VVV1" s="87"/>
      <c r="VVW1" s="87"/>
      <c r="VVX1" s="87"/>
      <c r="VVY1" s="87"/>
      <c r="VVZ1" s="87"/>
      <c r="VWA1" s="87"/>
      <c r="VWB1" s="87"/>
      <c r="VWC1" s="87"/>
      <c r="VWD1" s="87"/>
      <c r="VWE1" s="87"/>
      <c r="VWF1" s="87"/>
      <c r="VWG1" s="87"/>
      <c r="VWH1" s="87"/>
      <c r="VWI1" s="87"/>
      <c r="VWJ1" s="87"/>
      <c r="VWK1" s="87"/>
      <c r="VWL1" s="87"/>
      <c r="VWM1" s="87"/>
      <c r="VWN1" s="87"/>
      <c r="VWO1" s="87"/>
      <c r="VWP1" s="87"/>
      <c r="VWQ1" s="87"/>
      <c r="VWR1" s="87"/>
      <c r="VWS1" s="87"/>
      <c r="VWT1" s="87"/>
      <c r="VWU1" s="87"/>
      <c r="VWV1" s="87"/>
      <c r="VWW1" s="87"/>
      <c r="VWX1" s="87"/>
      <c r="VWY1" s="87"/>
      <c r="VWZ1" s="87"/>
      <c r="VXA1" s="87"/>
      <c r="VXB1" s="87"/>
      <c r="VXC1" s="87"/>
      <c r="VXD1" s="87"/>
      <c r="VXE1" s="87"/>
      <c r="VXF1" s="87"/>
      <c r="VXG1" s="87"/>
      <c r="VXH1" s="87"/>
      <c r="VXI1" s="87"/>
      <c r="VXJ1" s="87"/>
      <c r="VXK1" s="87"/>
      <c r="VXL1" s="87"/>
      <c r="VXM1" s="87"/>
      <c r="VXN1" s="87"/>
      <c r="VXO1" s="87"/>
      <c r="VXP1" s="87"/>
      <c r="VXQ1" s="87"/>
      <c r="VXR1" s="87"/>
      <c r="VXS1" s="87"/>
      <c r="VXT1" s="87"/>
      <c r="VXU1" s="87"/>
      <c r="VXV1" s="87"/>
      <c r="VXW1" s="87"/>
      <c r="VXX1" s="87"/>
      <c r="VXY1" s="87"/>
      <c r="VXZ1" s="87"/>
      <c r="VYA1" s="87"/>
      <c r="VYB1" s="87"/>
      <c r="VYC1" s="87"/>
      <c r="VYD1" s="87"/>
      <c r="VYE1" s="87"/>
      <c r="VYF1" s="87"/>
      <c r="VYG1" s="87"/>
      <c r="VYH1" s="87"/>
      <c r="VYI1" s="87"/>
      <c r="VYJ1" s="87"/>
      <c r="VYK1" s="87"/>
      <c r="VYL1" s="87"/>
      <c r="VYM1" s="87"/>
      <c r="VYN1" s="87"/>
      <c r="VYO1" s="87"/>
      <c r="VYP1" s="87"/>
      <c r="VYQ1" s="87"/>
      <c r="VYR1" s="87"/>
      <c r="VYS1" s="87"/>
      <c r="VYT1" s="87"/>
      <c r="VYU1" s="87"/>
      <c r="VYV1" s="87"/>
      <c r="VYW1" s="87"/>
      <c r="VYX1" s="87"/>
      <c r="VYY1" s="87"/>
      <c r="VYZ1" s="87"/>
      <c r="VZA1" s="87"/>
      <c r="VZB1" s="87"/>
      <c r="VZC1" s="87"/>
      <c r="VZD1" s="87"/>
      <c r="VZE1" s="87"/>
      <c r="VZF1" s="87"/>
      <c r="VZG1" s="87"/>
      <c r="VZH1" s="87"/>
      <c r="VZI1" s="87"/>
      <c r="VZJ1" s="87"/>
      <c r="VZK1" s="87"/>
      <c r="VZL1" s="87"/>
      <c r="VZM1" s="87"/>
      <c r="VZN1" s="87"/>
      <c r="VZO1" s="87"/>
      <c r="VZP1" s="87"/>
      <c r="VZQ1" s="87"/>
      <c r="VZR1" s="87"/>
      <c r="VZS1" s="87"/>
      <c r="VZT1" s="87"/>
      <c r="VZU1" s="87"/>
      <c r="VZV1" s="87"/>
      <c r="VZW1" s="87"/>
      <c r="VZX1" s="87"/>
      <c r="VZY1" s="87"/>
      <c r="VZZ1" s="87"/>
      <c r="WAA1" s="87"/>
      <c r="WAB1" s="87"/>
      <c r="WAC1" s="87"/>
      <c r="WAD1" s="87"/>
      <c r="WAE1" s="87"/>
      <c r="WAF1" s="87"/>
      <c r="WAG1" s="87"/>
      <c r="WAH1" s="87"/>
      <c r="WAI1" s="87"/>
      <c r="WAJ1" s="87"/>
      <c r="WAK1" s="87"/>
      <c r="WAL1" s="87"/>
      <c r="WAM1" s="87"/>
      <c r="WAN1" s="87"/>
      <c r="WAO1" s="87"/>
      <c r="WAP1" s="87"/>
      <c r="WAQ1" s="87"/>
      <c r="WAR1" s="87"/>
      <c r="WAS1" s="87"/>
      <c r="WAT1" s="87"/>
      <c r="WAU1" s="87"/>
      <c r="WAV1" s="87"/>
      <c r="WAW1" s="87"/>
      <c r="WAX1" s="87"/>
      <c r="WAY1" s="87"/>
      <c r="WAZ1" s="87"/>
      <c r="WBA1" s="87"/>
      <c r="WBB1" s="87"/>
      <c r="WBC1" s="87"/>
      <c r="WBD1" s="87"/>
      <c r="WBE1" s="87"/>
      <c r="WBF1" s="87"/>
      <c r="WBG1" s="87"/>
      <c r="WBH1" s="87"/>
      <c r="WBI1" s="87"/>
      <c r="WBJ1" s="87"/>
      <c r="WBK1" s="87"/>
      <c r="WBL1" s="87"/>
      <c r="WBM1" s="87"/>
      <c r="WBN1" s="87"/>
      <c r="WBO1" s="87"/>
      <c r="WBP1" s="87"/>
      <c r="WBQ1" s="87"/>
      <c r="WBR1" s="87"/>
      <c r="WBS1" s="87"/>
      <c r="WBT1" s="87"/>
      <c r="WBU1" s="87"/>
      <c r="WBV1" s="87"/>
      <c r="WBW1" s="87"/>
      <c r="WBX1" s="87"/>
      <c r="WBY1" s="87"/>
      <c r="WBZ1" s="87"/>
      <c r="WCA1" s="87"/>
      <c r="WCB1" s="87"/>
      <c r="WCC1" s="87"/>
      <c r="WCD1" s="87"/>
      <c r="WCE1" s="87"/>
      <c r="WCF1" s="87"/>
      <c r="WCG1" s="87"/>
      <c r="WCH1" s="87"/>
      <c r="WCI1" s="87"/>
      <c r="WCJ1" s="87"/>
      <c r="WCK1" s="87"/>
      <c r="WCL1" s="87"/>
      <c r="WCM1" s="87"/>
      <c r="WCN1" s="87"/>
      <c r="WCO1" s="87"/>
      <c r="WCP1" s="87"/>
      <c r="WCQ1" s="87"/>
      <c r="WCR1" s="87"/>
      <c r="WCS1" s="87"/>
      <c r="WCT1" s="87"/>
      <c r="WCU1" s="87"/>
      <c r="WCV1" s="87"/>
      <c r="WCW1" s="87"/>
      <c r="WCX1" s="87"/>
      <c r="WCY1" s="87"/>
      <c r="WCZ1" s="87"/>
      <c r="WDA1" s="87"/>
      <c r="WDB1" s="87"/>
      <c r="WDC1" s="87"/>
      <c r="WDD1" s="87"/>
      <c r="WDE1" s="87"/>
      <c r="WDF1" s="87"/>
      <c r="WDG1" s="87"/>
      <c r="WDH1" s="87"/>
      <c r="WDI1" s="87"/>
      <c r="WDJ1" s="87"/>
      <c r="WDK1" s="87"/>
      <c r="WDL1" s="87"/>
      <c r="WDM1" s="87"/>
      <c r="WDN1" s="87"/>
      <c r="WDO1" s="87"/>
      <c r="WDP1" s="87"/>
      <c r="WDQ1" s="87"/>
      <c r="WDR1" s="87"/>
      <c r="WDS1" s="87"/>
      <c r="WDT1" s="87"/>
      <c r="WDU1" s="87"/>
      <c r="WDV1" s="87"/>
      <c r="WDW1" s="87"/>
      <c r="WDX1" s="87"/>
      <c r="WDY1" s="87"/>
      <c r="WDZ1" s="87"/>
      <c r="WEA1" s="87"/>
      <c r="WEB1" s="87"/>
      <c r="WEC1" s="87"/>
      <c r="WED1" s="87"/>
      <c r="WEE1" s="87"/>
      <c r="WEF1" s="87"/>
      <c r="WEG1" s="87"/>
      <c r="WEH1" s="87"/>
      <c r="WEI1" s="87"/>
      <c r="WEJ1" s="87"/>
      <c r="WEK1" s="87"/>
      <c r="WEL1" s="87"/>
      <c r="WEM1" s="87"/>
      <c r="WEN1" s="87"/>
      <c r="WEO1" s="87"/>
      <c r="WEP1" s="87"/>
      <c r="WEQ1" s="87"/>
      <c r="WER1" s="87"/>
      <c r="WES1" s="87"/>
      <c r="WET1" s="87"/>
      <c r="WEU1" s="87"/>
      <c r="WEV1" s="87"/>
      <c r="WEW1" s="87"/>
      <c r="WEX1" s="87"/>
      <c r="WEY1" s="87"/>
      <c r="WEZ1" s="87"/>
      <c r="WFA1" s="87"/>
      <c r="WFB1" s="87"/>
      <c r="WFC1" s="87"/>
      <c r="WFD1" s="87"/>
      <c r="WFE1" s="87"/>
      <c r="WFF1" s="87"/>
      <c r="WFG1" s="87"/>
      <c r="WFH1" s="87"/>
      <c r="WFI1" s="87"/>
      <c r="WFJ1" s="87"/>
      <c r="WFK1" s="87"/>
      <c r="WFL1" s="87"/>
      <c r="WFM1" s="87"/>
      <c r="WFN1" s="87"/>
      <c r="WFO1" s="87"/>
      <c r="WFP1" s="87"/>
      <c r="WFQ1" s="87"/>
      <c r="WFR1" s="87"/>
      <c r="WFS1" s="87"/>
      <c r="WFT1" s="87"/>
      <c r="WFU1" s="87"/>
      <c r="WFV1" s="87"/>
      <c r="WFW1" s="87"/>
      <c r="WFX1" s="87"/>
      <c r="WFY1" s="87"/>
      <c r="WFZ1" s="87"/>
      <c r="WGA1" s="87"/>
      <c r="WGB1" s="87"/>
      <c r="WGC1" s="87"/>
      <c r="WGD1" s="87"/>
      <c r="WGE1" s="87"/>
      <c r="WGF1" s="87"/>
      <c r="WGG1" s="87"/>
      <c r="WGH1" s="87"/>
      <c r="WGI1" s="87"/>
      <c r="WGJ1" s="87"/>
      <c r="WGK1" s="87"/>
      <c r="WGL1" s="87"/>
      <c r="WGM1" s="87"/>
      <c r="WGN1" s="87"/>
      <c r="WGO1" s="87"/>
      <c r="WGP1" s="87"/>
      <c r="WGQ1" s="87"/>
      <c r="WGR1" s="87"/>
      <c r="WGS1" s="87"/>
      <c r="WGT1" s="87"/>
      <c r="WGU1" s="87"/>
      <c r="WGV1" s="87"/>
      <c r="WGW1" s="87"/>
      <c r="WGX1" s="87"/>
      <c r="WGY1" s="87"/>
      <c r="WGZ1" s="87"/>
      <c r="WHA1" s="87"/>
      <c r="WHB1" s="87"/>
      <c r="WHC1" s="87"/>
      <c r="WHD1" s="87"/>
      <c r="WHE1" s="87"/>
      <c r="WHF1" s="87"/>
      <c r="WHG1" s="87"/>
      <c r="WHH1" s="87"/>
      <c r="WHI1" s="87"/>
      <c r="WHJ1" s="87"/>
      <c r="WHK1" s="87"/>
      <c r="WHL1" s="87"/>
      <c r="WHM1" s="87"/>
      <c r="WHN1" s="87"/>
      <c r="WHO1" s="87"/>
      <c r="WHP1" s="87"/>
      <c r="WHQ1" s="87"/>
      <c r="WHR1" s="87"/>
      <c r="WHS1" s="87"/>
      <c r="WHT1" s="87"/>
      <c r="WHU1" s="87"/>
      <c r="WHV1" s="87"/>
      <c r="WHW1" s="87"/>
      <c r="WHX1" s="87"/>
      <c r="WHY1" s="87"/>
      <c r="WHZ1" s="87"/>
      <c r="WIA1" s="87"/>
      <c r="WIB1" s="87"/>
      <c r="WIC1" s="87"/>
      <c r="WID1" s="87"/>
      <c r="WIE1" s="87"/>
      <c r="WIF1" s="87"/>
      <c r="WIG1" s="87"/>
      <c r="WIH1" s="87"/>
      <c r="WII1" s="87"/>
      <c r="WIJ1" s="87"/>
      <c r="WIK1" s="87"/>
      <c r="WIL1" s="87"/>
      <c r="WIM1" s="87"/>
      <c r="WIN1" s="87"/>
      <c r="WIO1" s="87"/>
      <c r="WIP1" s="87"/>
      <c r="WIQ1" s="87"/>
      <c r="WIR1" s="87"/>
      <c r="WIS1" s="87"/>
      <c r="WIT1" s="87"/>
      <c r="WIU1" s="87"/>
      <c r="WIV1" s="87"/>
      <c r="WIW1" s="87"/>
      <c r="WIX1" s="87"/>
      <c r="WIY1" s="87"/>
      <c r="WIZ1" s="87"/>
      <c r="WJA1" s="87"/>
      <c r="WJB1" s="87"/>
      <c r="WJC1" s="87"/>
      <c r="WJD1" s="87"/>
      <c r="WJE1" s="87"/>
      <c r="WJF1" s="87"/>
      <c r="WJG1" s="87"/>
      <c r="WJH1" s="87"/>
      <c r="WJI1" s="87"/>
      <c r="WJJ1" s="87"/>
      <c r="WJK1" s="87"/>
      <c r="WJL1" s="87"/>
      <c r="WJM1" s="87"/>
      <c r="WJN1" s="87"/>
      <c r="WJO1" s="87"/>
      <c r="WJP1" s="87"/>
      <c r="WJQ1" s="87"/>
      <c r="WJR1" s="87"/>
      <c r="WJS1" s="87"/>
      <c r="WJT1" s="87"/>
      <c r="WJU1" s="87"/>
      <c r="WJV1" s="87"/>
      <c r="WJW1" s="87"/>
      <c r="WJX1" s="87"/>
      <c r="WJY1" s="87"/>
      <c r="WJZ1" s="87"/>
      <c r="WKA1" s="87"/>
      <c r="WKB1" s="87"/>
      <c r="WKC1" s="87"/>
      <c r="WKD1" s="87"/>
      <c r="WKE1" s="87"/>
      <c r="WKF1" s="87"/>
      <c r="WKG1" s="87"/>
      <c r="WKH1" s="87"/>
      <c r="WKI1" s="87"/>
      <c r="WKJ1" s="87"/>
      <c r="WKK1" s="87"/>
      <c r="WKL1" s="87"/>
      <c r="WKM1" s="87"/>
      <c r="WKN1" s="87"/>
      <c r="WKO1" s="87"/>
      <c r="WKP1" s="87"/>
      <c r="WKQ1" s="87"/>
      <c r="WKR1" s="87"/>
      <c r="WKS1" s="87"/>
      <c r="WKT1" s="87"/>
      <c r="WKU1" s="87"/>
      <c r="WKV1" s="87"/>
      <c r="WKW1" s="87"/>
      <c r="WKX1" s="87"/>
      <c r="WKY1" s="87"/>
      <c r="WKZ1" s="87"/>
      <c r="WLA1" s="87"/>
      <c r="WLB1" s="87"/>
      <c r="WLC1" s="87"/>
      <c r="WLD1" s="87"/>
      <c r="WLE1" s="87"/>
      <c r="WLF1" s="87"/>
      <c r="WLG1" s="87"/>
      <c r="WLH1" s="87"/>
      <c r="WLI1" s="87"/>
      <c r="WLJ1" s="87"/>
      <c r="WLK1" s="87"/>
      <c r="WLL1" s="87"/>
      <c r="WLM1" s="87"/>
      <c r="WLN1" s="87"/>
      <c r="WLO1" s="87"/>
      <c r="WLP1" s="87"/>
      <c r="WLQ1" s="87"/>
      <c r="WLR1" s="87"/>
      <c r="WLS1" s="87"/>
      <c r="WLT1" s="87"/>
      <c r="WLU1" s="87"/>
      <c r="WLV1" s="87"/>
      <c r="WLW1" s="87"/>
      <c r="WLX1" s="87"/>
      <c r="WLY1" s="87"/>
      <c r="WLZ1" s="87"/>
      <c r="WMA1" s="87"/>
      <c r="WMB1" s="87"/>
      <c r="WMC1" s="87"/>
      <c r="WMD1" s="87"/>
      <c r="WME1" s="87"/>
      <c r="WMF1" s="87"/>
      <c r="WMG1" s="87"/>
      <c r="WMH1" s="87"/>
      <c r="WMI1" s="87"/>
      <c r="WMJ1" s="87"/>
      <c r="WMK1" s="87"/>
      <c r="WML1" s="87"/>
      <c r="WMM1" s="87"/>
      <c r="WMN1" s="87"/>
      <c r="WMO1" s="87"/>
      <c r="WMP1" s="87"/>
      <c r="WMQ1" s="87"/>
      <c r="WMR1" s="87"/>
      <c r="WMS1" s="87"/>
      <c r="WMT1" s="87"/>
      <c r="WMU1" s="87"/>
      <c r="WMV1" s="87"/>
      <c r="WMW1" s="87"/>
      <c r="WMX1" s="87"/>
      <c r="WMY1" s="87"/>
      <c r="WMZ1" s="87"/>
      <c r="WNA1" s="87"/>
      <c r="WNB1" s="87"/>
      <c r="WNC1" s="87"/>
      <c r="WND1" s="87"/>
      <c r="WNE1" s="87"/>
      <c r="WNF1" s="87"/>
      <c r="WNG1" s="87"/>
      <c r="WNH1" s="87"/>
      <c r="WNI1" s="87"/>
      <c r="WNJ1" s="87"/>
      <c r="WNK1" s="87"/>
      <c r="WNL1" s="87"/>
      <c r="WNM1" s="87"/>
      <c r="WNN1" s="87"/>
      <c r="WNO1" s="87"/>
      <c r="WNP1" s="87"/>
      <c r="WNQ1" s="87"/>
      <c r="WNR1" s="87"/>
      <c r="WNS1" s="87"/>
      <c r="WNT1" s="87"/>
      <c r="WNU1" s="87"/>
      <c r="WNV1" s="87"/>
      <c r="WNW1" s="87"/>
      <c r="WNX1" s="87"/>
      <c r="WNY1" s="87"/>
      <c r="WNZ1" s="87"/>
      <c r="WOA1" s="87"/>
      <c r="WOB1" s="87"/>
      <c r="WOC1" s="87"/>
      <c r="WOD1" s="87"/>
      <c r="WOE1" s="87"/>
      <c r="WOF1" s="87"/>
      <c r="WOG1" s="87"/>
      <c r="WOH1" s="87"/>
      <c r="WOI1" s="87"/>
      <c r="WOJ1" s="87"/>
      <c r="WOK1" s="87"/>
      <c r="WOL1" s="87"/>
      <c r="WOM1" s="87"/>
      <c r="WON1" s="87"/>
      <c r="WOO1" s="87"/>
      <c r="WOP1" s="87"/>
      <c r="WOQ1" s="87"/>
      <c r="WOR1" s="87"/>
      <c r="WOS1" s="87"/>
      <c r="WOT1" s="87"/>
      <c r="WOU1" s="87"/>
      <c r="WOV1" s="87"/>
      <c r="WOW1" s="87"/>
      <c r="WOX1" s="87"/>
      <c r="WOY1" s="87"/>
      <c r="WOZ1" s="87"/>
      <c r="WPA1" s="87"/>
      <c r="WPB1" s="87"/>
      <c r="WPC1" s="87"/>
      <c r="WPD1" s="87"/>
      <c r="WPE1" s="87"/>
      <c r="WPF1" s="87"/>
      <c r="WPG1" s="87"/>
      <c r="WPH1" s="87"/>
      <c r="WPI1" s="87"/>
      <c r="WPJ1" s="87"/>
      <c r="WPK1" s="87"/>
      <c r="WPL1" s="87"/>
      <c r="WPM1" s="87"/>
      <c r="WPN1" s="87"/>
      <c r="WPO1" s="87"/>
      <c r="WPP1" s="87"/>
      <c r="WPQ1" s="87"/>
      <c r="WPR1" s="87"/>
      <c r="WPS1" s="87"/>
      <c r="WPT1" s="87"/>
      <c r="WPU1" s="87"/>
      <c r="WPV1" s="87"/>
      <c r="WPW1" s="87"/>
      <c r="WPX1" s="87"/>
      <c r="WPY1" s="87"/>
      <c r="WPZ1" s="87"/>
      <c r="WQA1" s="87"/>
      <c r="WQB1" s="87"/>
      <c r="WQC1" s="87"/>
      <c r="WQD1" s="87"/>
      <c r="WQE1" s="87"/>
      <c r="WQF1" s="87"/>
      <c r="WQG1" s="87"/>
      <c r="WQH1" s="87"/>
      <c r="WQI1" s="87"/>
      <c r="WQJ1" s="87"/>
      <c r="WQK1" s="87"/>
      <c r="WQL1" s="87"/>
      <c r="WQM1" s="87"/>
      <c r="WQN1" s="87"/>
      <c r="WQO1" s="87"/>
      <c r="WQP1" s="87"/>
      <c r="WQQ1" s="87"/>
      <c r="WQR1" s="87"/>
      <c r="WQS1" s="87"/>
      <c r="WQT1" s="87"/>
      <c r="WQU1" s="87"/>
      <c r="WQV1" s="87"/>
      <c r="WQW1" s="87"/>
      <c r="WQX1" s="87"/>
      <c r="WQY1" s="87"/>
      <c r="WQZ1" s="87"/>
      <c r="WRA1" s="87"/>
      <c r="WRB1" s="87"/>
      <c r="WRC1" s="87"/>
      <c r="WRD1" s="87"/>
      <c r="WRE1" s="87"/>
      <c r="WRF1" s="87"/>
      <c r="WRG1" s="87"/>
      <c r="WRH1" s="87"/>
      <c r="WRI1" s="87"/>
      <c r="WRJ1" s="87"/>
      <c r="WRK1" s="87"/>
      <c r="WRL1" s="87"/>
      <c r="WRM1" s="87"/>
      <c r="WRN1" s="87"/>
      <c r="WRO1" s="87"/>
      <c r="WRP1" s="87"/>
      <c r="WRQ1" s="87"/>
      <c r="WRR1" s="87"/>
      <c r="WRS1" s="87"/>
      <c r="WRT1" s="87"/>
      <c r="WRU1" s="87"/>
      <c r="WRV1" s="87"/>
      <c r="WRW1" s="87"/>
      <c r="WRX1" s="87"/>
      <c r="WRY1" s="87"/>
      <c r="WRZ1" s="87"/>
      <c r="WSA1" s="87"/>
      <c r="WSB1" s="87"/>
      <c r="WSC1" s="87"/>
      <c r="WSD1" s="87"/>
      <c r="WSE1" s="87"/>
      <c r="WSF1" s="87"/>
      <c r="WSG1" s="87"/>
      <c r="WSH1" s="87"/>
      <c r="WSI1" s="87"/>
      <c r="WSJ1" s="87"/>
      <c r="WSK1" s="87"/>
      <c r="WSL1" s="87"/>
      <c r="WSM1" s="87"/>
      <c r="WSN1" s="87"/>
      <c r="WSO1" s="87"/>
      <c r="WSP1" s="87"/>
      <c r="WSQ1" s="87"/>
      <c r="WSR1" s="87"/>
      <c r="WSS1" s="87"/>
      <c r="WST1" s="87"/>
      <c r="WSU1" s="87"/>
      <c r="WSV1" s="87"/>
      <c r="WSW1" s="87"/>
      <c r="WSX1" s="87"/>
      <c r="WSY1" s="87"/>
      <c r="WSZ1" s="87"/>
      <c r="WTA1" s="87"/>
      <c r="WTB1" s="87"/>
      <c r="WTC1" s="87"/>
      <c r="WTD1" s="87"/>
      <c r="WTE1" s="87"/>
      <c r="WTF1" s="87"/>
      <c r="WTG1" s="87"/>
      <c r="WTH1" s="87"/>
      <c r="WTI1" s="87"/>
      <c r="WTJ1" s="87"/>
      <c r="WTK1" s="87"/>
      <c r="WTL1" s="87"/>
      <c r="WTM1" s="87"/>
      <c r="WTN1" s="87"/>
      <c r="WTO1" s="87"/>
      <c r="WTP1" s="87"/>
      <c r="WTQ1" s="87"/>
      <c r="WTR1" s="87"/>
      <c r="WTS1" s="87"/>
      <c r="WTT1" s="87"/>
      <c r="WTU1" s="87"/>
      <c r="WTV1" s="87"/>
      <c r="WTW1" s="87"/>
      <c r="WTX1" s="87"/>
      <c r="WTY1" s="87"/>
      <c r="WTZ1" s="87"/>
      <c r="WUA1" s="87"/>
      <c r="WUB1" s="87"/>
      <c r="WUC1" s="87"/>
      <c r="WUD1" s="87"/>
      <c r="WUE1" s="87"/>
      <c r="WUF1" s="87"/>
      <c r="WUG1" s="87"/>
      <c r="WUH1" s="87"/>
      <c r="WUI1" s="87"/>
      <c r="WUJ1" s="87"/>
      <c r="WUK1" s="87"/>
      <c r="WUL1" s="87"/>
      <c r="WUM1" s="87"/>
      <c r="WUN1" s="87"/>
      <c r="WUO1" s="87"/>
      <c r="WUP1" s="87"/>
      <c r="WUQ1" s="87"/>
      <c r="WUR1" s="87"/>
      <c r="WUS1" s="87"/>
      <c r="WUT1" s="87"/>
      <c r="WUU1" s="87"/>
      <c r="WUV1" s="87"/>
      <c r="WUW1" s="87"/>
      <c r="WUX1" s="87"/>
      <c r="WUY1" s="87"/>
      <c r="WUZ1" s="87"/>
      <c r="WVA1" s="87"/>
      <c r="WVB1" s="87"/>
      <c r="WVC1" s="87"/>
      <c r="WVD1" s="87"/>
      <c r="WVE1" s="87"/>
      <c r="WVF1" s="87"/>
      <c r="WVG1" s="87"/>
      <c r="WVH1" s="87"/>
      <c r="WVI1" s="87"/>
      <c r="WVJ1" s="87"/>
      <c r="WVK1" s="87"/>
      <c r="WVL1" s="87"/>
      <c r="WVM1" s="87"/>
      <c r="WVN1" s="87"/>
      <c r="WVO1" s="87"/>
      <c r="WVP1" s="87"/>
      <c r="WVQ1" s="87"/>
      <c r="WVR1" s="87"/>
      <c r="WVS1" s="87"/>
      <c r="WVT1" s="87"/>
      <c r="WVU1" s="87"/>
      <c r="WVV1" s="87"/>
      <c r="WVW1" s="87"/>
      <c r="WVX1" s="87"/>
      <c r="WVY1" s="87"/>
      <c r="WVZ1" s="87"/>
      <c r="WWA1" s="87"/>
      <c r="WWB1" s="87"/>
      <c r="WWC1" s="87"/>
      <c r="WWD1" s="87"/>
      <c r="WWE1" s="87"/>
      <c r="WWF1" s="87"/>
      <c r="WWG1" s="87"/>
      <c r="WWH1" s="87"/>
      <c r="WWI1" s="87"/>
      <c r="WWJ1" s="87"/>
      <c r="WWK1" s="87"/>
      <c r="WWL1" s="87"/>
      <c r="WWM1" s="87"/>
      <c r="WWN1" s="87"/>
      <c r="WWO1" s="87"/>
      <c r="WWP1" s="87"/>
      <c r="WWQ1" s="87"/>
      <c r="WWR1" s="87"/>
      <c r="WWS1" s="87"/>
      <c r="WWT1" s="87"/>
      <c r="WWU1" s="87"/>
      <c r="WWV1" s="87"/>
      <c r="WWW1" s="87"/>
      <c r="WWX1" s="87"/>
      <c r="WWY1" s="87"/>
      <c r="WWZ1" s="87"/>
      <c r="WXA1" s="87"/>
      <c r="WXB1" s="87"/>
      <c r="WXC1" s="87"/>
      <c r="WXD1" s="87"/>
      <c r="WXE1" s="87"/>
      <c r="WXF1" s="87"/>
      <c r="WXG1" s="87"/>
      <c r="WXH1" s="87"/>
      <c r="WXI1" s="87"/>
      <c r="WXJ1" s="87"/>
      <c r="WXK1" s="87"/>
      <c r="WXL1" s="87"/>
      <c r="WXM1" s="87"/>
      <c r="WXN1" s="87"/>
      <c r="WXO1" s="87"/>
      <c r="WXP1" s="87"/>
      <c r="WXQ1" s="87"/>
      <c r="WXR1" s="87"/>
      <c r="WXS1" s="87"/>
      <c r="WXT1" s="87"/>
      <c r="WXU1" s="87"/>
      <c r="WXV1" s="87"/>
      <c r="WXW1" s="87"/>
      <c r="WXX1" s="87"/>
      <c r="WXY1" s="87"/>
      <c r="WXZ1" s="87"/>
      <c r="WYA1" s="87"/>
      <c r="WYB1" s="87"/>
      <c r="WYC1" s="87"/>
      <c r="WYD1" s="87"/>
      <c r="WYE1" s="87"/>
      <c r="WYF1" s="87"/>
      <c r="WYG1" s="87"/>
      <c r="WYH1" s="87"/>
      <c r="WYI1" s="87"/>
      <c r="WYJ1" s="87"/>
      <c r="WYK1" s="87"/>
      <c r="WYL1" s="87"/>
      <c r="WYM1" s="87"/>
      <c r="WYN1" s="87"/>
      <c r="WYO1" s="87"/>
      <c r="WYP1" s="87"/>
      <c r="WYQ1" s="87"/>
      <c r="WYR1" s="87"/>
      <c r="WYS1" s="87"/>
      <c r="WYT1" s="87"/>
      <c r="WYU1" s="87"/>
      <c r="WYV1" s="87"/>
      <c r="WYW1" s="87"/>
      <c r="WYX1" s="87"/>
      <c r="WYY1" s="87"/>
      <c r="WYZ1" s="87"/>
      <c r="WZA1" s="87"/>
      <c r="WZB1" s="87"/>
      <c r="WZC1" s="87"/>
      <c r="WZD1" s="87"/>
      <c r="WZE1" s="87"/>
      <c r="WZF1" s="87"/>
      <c r="WZG1" s="87"/>
      <c r="WZH1" s="87"/>
      <c r="WZI1" s="87"/>
      <c r="WZJ1" s="87"/>
      <c r="WZK1" s="87"/>
      <c r="WZL1" s="87"/>
      <c r="WZM1" s="87"/>
      <c r="WZN1" s="87"/>
      <c r="WZO1" s="87"/>
      <c r="WZP1" s="87"/>
      <c r="WZQ1" s="87"/>
      <c r="WZR1" s="87"/>
      <c r="WZS1" s="87"/>
      <c r="WZT1" s="87"/>
      <c r="WZU1" s="87"/>
      <c r="WZV1" s="87"/>
      <c r="WZW1" s="87"/>
      <c r="WZX1" s="87"/>
      <c r="WZY1" s="87"/>
      <c r="WZZ1" s="87"/>
      <c r="XAA1" s="87"/>
      <c r="XAB1" s="87"/>
      <c r="XAC1" s="87"/>
      <c r="XAD1" s="87"/>
      <c r="XAE1" s="87"/>
      <c r="XAF1" s="87"/>
      <c r="XAG1" s="87"/>
      <c r="XAH1" s="87"/>
      <c r="XAI1" s="87"/>
      <c r="XAJ1" s="87"/>
      <c r="XAK1" s="87"/>
      <c r="XAL1" s="87"/>
      <c r="XAM1" s="87"/>
      <c r="XAN1" s="87"/>
      <c r="XAO1" s="87"/>
      <c r="XAP1" s="87"/>
      <c r="XAQ1" s="87"/>
      <c r="XAR1" s="87"/>
      <c r="XAS1" s="87"/>
      <c r="XAT1" s="87"/>
      <c r="XAU1" s="87"/>
      <c r="XAV1" s="87"/>
      <c r="XAW1" s="87"/>
      <c r="XAX1" s="87"/>
      <c r="XAY1" s="87"/>
      <c r="XAZ1" s="87"/>
      <c r="XBA1" s="87"/>
      <c r="XBB1" s="87"/>
      <c r="XBC1" s="87"/>
      <c r="XBD1" s="87"/>
      <c r="XBE1" s="87"/>
      <c r="XBF1" s="87"/>
      <c r="XBG1" s="87"/>
      <c r="XBH1" s="87"/>
      <c r="XBI1" s="87"/>
      <c r="XBJ1" s="87"/>
      <c r="XBK1" s="87"/>
      <c r="XBL1" s="87"/>
      <c r="XBM1" s="87"/>
      <c r="XBN1" s="87"/>
      <c r="XBO1" s="87"/>
      <c r="XBP1" s="87"/>
      <c r="XBQ1" s="87"/>
      <c r="XBR1" s="87"/>
      <c r="XBS1" s="87"/>
      <c r="XBT1" s="87"/>
      <c r="XBU1" s="87"/>
      <c r="XBV1" s="87"/>
      <c r="XBW1" s="87"/>
      <c r="XBX1" s="87"/>
      <c r="XBY1" s="87"/>
      <c r="XBZ1" s="87"/>
      <c r="XCA1" s="87"/>
      <c r="XCB1" s="87"/>
      <c r="XCC1" s="87"/>
      <c r="XCD1" s="87"/>
      <c r="XCE1" s="87"/>
      <c r="XCF1" s="87"/>
      <c r="XCG1" s="87"/>
      <c r="XCH1" s="87"/>
      <c r="XCI1" s="87"/>
      <c r="XCJ1" s="87"/>
      <c r="XCK1" s="87"/>
      <c r="XCL1" s="87"/>
      <c r="XCM1" s="87"/>
      <c r="XCN1" s="87"/>
      <c r="XCO1" s="87"/>
      <c r="XCP1" s="87"/>
      <c r="XCQ1" s="87"/>
      <c r="XCR1" s="87"/>
      <c r="XCS1" s="87"/>
      <c r="XCT1" s="87"/>
      <c r="XCU1" s="87"/>
      <c r="XCV1" s="87"/>
      <c r="XCW1" s="87"/>
      <c r="XCX1" s="87"/>
      <c r="XCY1" s="87"/>
      <c r="XCZ1" s="87"/>
      <c r="XDA1" s="87"/>
      <c r="XDB1" s="87"/>
      <c r="XDC1" s="87"/>
      <c r="XDD1" s="87"/>
      <c r="XDE1" s="87"/>
      <c r="XDF1" s="87"/>
      <c r="XDG1" s="87"/>
      <c r="XDH1" s="87"/>
      <c r="XDI1" s="87"/>
      <c r="XDJ1" s="87"/>
      <c r="XDK1" s="87"/>
      <c r="XDL1" s="87"/>
      <c r="XDM1" s="87"/>
      <c r="XDN1" s="87"/>
      <c r="XDO1" s="87"/>
      <c r="XDP1" s="87"/>
      <c r="XDQ1" s="87"/>
      <c r="XDR1" s="87"/>
      <c r="XDS1" s="87"/>
      <c r="XDT1" s="87"/>
      <c r="XDU1" s="87"/>
      <c r="XDV1" s="87"/>
      <c r="XDW1" s="87"/>
      <c r="XDX1" s="87"/>
      <c r="XDY1" s="87"/>
      <c r="XDZ1" s="87"/>
      <c r="XEA1" s="87"/>
      <c r="XEB1" s="87"/>
      <c r="XEC1" s="87"/>
      <c r="XED1" s="87"/>
      <c r="XEE1" s="87"/>
      <c r="XEF1" s="87"/>
      <c r="XEG1" s="87"/>
      <c r="XEH1" s="87"/>
      <c r="XEI1" s="87"/>
      <c r="XEJ1" s="87"/>
      <c r="XEK1" s="87"/>
    </row>
    <row r="2" spans="1:16365" x14ac:dyDescent="0.25">
      <c r="A2" t="str">
        <f>I2&amp;"-"&amp;J2</f>
        <v>2020-1</v>
      </c>
      <c r="B2" s="1">
        <f>N2</f>
        <v>43832</v>
      </c>
      <c r="C2" t="str">
        <f>M2&amp;"/"&amp;O2</f>
        <v>20/9801/VS00042/Bontus Immobilienverwaltung GmbH, 1010 Wien, Franz Josefs Kai 65</v>
      </c>
      <c r="D2" t="str">
        <f>K2</f>
        <v>Ausgaben</v>
      </c>
      <c r="E2" t="str">
        <f>L2</f>
        <v>Miet- und Pachtaufwand, Leasing</v>
      </c>
      <c r="F2" s="117">
        <f>Z2</f>
        <v>554.928</v>
      </c>
      <c r="G2" t="str">
        <f>U2&amp;"%"</f>
        <v>20%</v>
      </c>
      <c r="I2" s="53">
        <v>2020</v>
      </c>
      <c r="J2" s="53">
        <v>1</v>
      </c>
      <c r="K2" s="71" t="s">
        <v>105</v>
      </c>
      <c r="L2" t="s">
        <v>691</v>
      </c>
      <c r="M2" s="74" t="s">
        <v>1226</v>
      </c>
      <c r="N2" s="1">
        <v>43832</v>
      </c>
      <c r="O2" t="s">
        <v>1113</v>
      </c>
      <c r="Q2" s="76"/>
      <c r="R2" t="b">
        <v>0</v>
      </c>
      <c r="S2" s="48">
        <v>462.44</v>
      </c>
      <c r="T2" s="72">
        <v>1</v>
      </c>
      <c r="U2">
        <v>20</v>
      </c>
      <c r="V2" s="31">
        <v>92.488</v>
      </c>
      <c r="W2" s="31">
        <v>92.488</v>
      </c>
      <c r="X2" s="33">
        <v>462.44</v>
      </c>
      <c r="Y2" s="29">
        <v>554.928</v>
      </c>
      <c r="Z2" s="29">
        <v>554.928</v>
      </c>
      <c r="AA2" s="35">
        <v>43966</v>
      </c>
      <c r="AB2" s="27"/>
      <c r="AC2" s="27"/>
      <c r="AD2" s="58">
        <v>462.44</v>
      </c>
      <c r="AE2" s="31">
        <v>0</v>
      </c>
      <c r="AF2" t="b">
        <v>0</v>
      </c>
      <c r="AG2" s="78">
        <v>-462.44</v>
      </c>
    </row>
    <row r="3" spans="1:16365" x14ac:dyDescent="0.25">
      <c r="A3" t="str">
        <f t="shared" ref="A3:A66" si="0">I3&amp;"-"&amp;J3</f>
        <v>2020-2</v>
      </c>
      <c r="B3" s="1">
        <f t="shared" ref="B3:B66" si="1">N3</f>
        <v>43837</v>
      </c>
      <c r="C3" t="str">
        <f t="shared" ref="C3:C66" si="2">M3&amp;"/"&amp;O3</f>
        <v>6191928426/Hutchison Drei Austria GmbH, Brünner Straße 52, 1210 Wien, Österreich</v>
      </c>
      <c r="D3" t="str">
        <f t="shared" ref="D3:D66" si="3">K3</f>
        <v>Ausgaben</v>
      </c>
      <c r="E3" t="str">
        <f t="shared" ref="E3:E66" si="4">L3</f>
        <v>Telefon/Internet</v>
      </c>
      <c r="F3" s="117">
        <f t="shared" ref="F3:F66" si="5">Z3</f>
        <v>18</v>
      </c>
      <c r="G3" t="str">
        <f t="shared" ref="G3:G66" si="6">U3&amp;"%"</f>
        <v>20%</v>
      </c>
      <c r="I3" s="53">
        <v>2020</v>
      </c>
      <c r="J3" s="53">
        <v>2</v>
      </c>
      <c r="K3" s="71" t="s">
        <v>105</v>
      </c>
      <c r="L3" t="s">
        <v>703</v>
      </c>
      <c r="M3" s="74" t="s">
        <v>1215</v>
      </c>
      <c r="N3" s="1">
        <v>43837</v>
      </c>
      <c r="O3" t="s">
        <v>34</v>
      </c>
      <c r="Q3" s="76"/>
      <c r="R3" t="b">
        <v>0</v>
      </c>
      <c r="S3" s="48">
        <v>15</v>
      </c>
      <c r="T3" s="72">
        <v>1</v>
      </c>
      <c r="U3">
        <v>20</v>
      </c>
      <c r="V3" s="31">
        <v>3</v>
      </c>
      <c r="W3" s="31">
        <v>3</v>
      </c>
      <c r="X3" s="33">
        <v>15</v>
      </c>
      <c r="Y3" s="29">
        <v>18</v>
      </c>
      <c r="Z3" s="29">
        <v>18</v>
      </c>
      <c r="AA3" s="35">
        <v>43966</v>
      </c>
      <c r="AB3" s="27"/>
      <c r="AC3" s="27"/>
      <c r="AD3" s="58">
        <v>15</v>
      </c>
      <c r="AE3" s="31">
        <v>0</v>
      </c>
      <c r="AF3" t="b">
        <v>0</v>
      </c>
      <c r="AG3" s="78">
        <v>-15</v>
      </c>
    </row>
    <row r="4" spans="1:16365" x14ac:dyDescent="0.25">
      <c r="A4" t="str">
        <f t="shared" si="0"/>
        <v>2020-3</v>
      </c>
      <c r="B4" s="1">
        <f t="shared" si="1"/>
        <v>43837</v>
      </c>
      <c r="C4" t="str">
        <f t="shared" si="2"/>
        <v>01012020/Martin Dürauer e.U., Schreinergasse 7/1, A-3100 St. Pölten</v>
      </c>
      <c r="D4" t="str">
        <f t="shared" si="3"/>
        <v>Ausgaben</v>
      </c>
      <c r="E4" t="str">
        <f t="shared" si="4"/>
        <v>sonstige Betriebsausgaben</v>
      </c>
      <c r="F4" s="117">
        <f t="shared" si="5"/>
        <v>1794</v>
      </c>
      <c r="G4" t="str">
        <f t="shared" si="6"/>
        <v>0%</v>
      </c>
      <c r="I4" s="53">
        <v>2020</v>
      </c>
      <c r="J4" s="53">
        <v>3</v>
      </c>
      <c r="K4" s="71" t="s">
        <v>105</v>
      </c>
      <c r="L4" t="s">
        <v>705</v>
      </c>
      <c r="M4" s="74" t="s">
        <v>1216</v>
      </c>
      <c r="N4" s="1">
        <v>43837</v>
      </c>
      <c r="O4" t="s">
        <v>1217</v>
      </c>
      <c r="Q4" s="76"/>
      <c r="R4" t="b">
        <v>0</v>
      </c>
      <c r="S4" s="48">
        <v>1794</v>
      </c>
      <c r="T4" s="72">
        <v>1</v>
      </c>
      <c r="U4">
        <v>0</v>
      </c>
      <c r="V4" s="31">
        <v>0</v>
      </c>
      <c r="W4" s="31">
        <v>0</v>
      </c>
      <c r="X4" s="33">
        <v>1794</v>
      </c>
      <c r="Y4" s="29">
        <v>1794</v>
      </c>
      <c r="Z4" s="29">
        <v>1794</v>
      </c>
      <c r="AA4" s="35">
        <v>43966</v>
      </c>
      <c r="AB4" s="27"/>
      <c r="AC4" s="27"/>
      <c r="AD4" s="58">
        <v>1794</v>
      </c>
      <c r="AE4" s="31">
        <v>0</v>
      </c>
      <c r="AF4" t="b">
        <v>0</v>
      </c>
      <c r="AG4" s="78">
        <v>-1794</v>
      </c>
    </row>
    <row r="5" spans="1:16365" x14ac:dyDescent="0.25">
      <c r="A5" t="str">
        <f t="shared" si="0"/>
        <v>2020-4</v>
      </c>
      <c r="B5" s="1">
        <f t="shared" si="1"/>
        <v>43838</v>
      </c>
      <c r="C5" t="str">
        <f t="shared" si="2"/>
        <v>12020003/Theresa Häfele-Kolbitsch, Josef-Mohrgasse 9, 2102 Bisamberg</v>
      </c>
      <c r="D5" t="str">
        <f t="shared" si="3"/>
        <v>Einnahmen</v>
      </c>
      <c r="E5" t="str">
        <f t="shared" si="4"/>
        <v>Waren-/Leistungserlöse</v>
      </c>
      <c r="F5" s="117">
        <f t="shared" si="5"/>
        <v>907.2</v>
      </c>
      <c r="G5" t="str">
        <f t="shared" si="6"/>
        <v>20%</v>
      </c>
      <c r="I5" s="53">
        <v>2020</v>
      </c>
      <c r="J5" s="53">
        <v>4</v>
      </c>
      <c r="K5" s="71" t="s">
        <v>708</v>
      </c>
      <c r="L5" t="s">
        <v>709</v>
      </c>
      <c r="M5" s="74" t="s">
        <v>1218</v>
      </c>
      <c r="N5" s="1">
        <v>43838</v>
      </c>
      <c r="O5" t="s">
        <v>1170</v>
      </c>
      <c r="Q5" s="76"/>
      <c r="R5" t="b">
        <v>0</v>
      </c>
      <c r="S5" s="48">
        <v>756</v>
      </c>
      <c r="T5" s="72">
        <v>1</v>
      </c>
      <c r="U5">
        <v>20</v>
      </c>
      <c r="V5" s="31">
        <v>151.19999999999999</v>
      </c>
      <c r="W5" s="31">
        <v>151.19999999999999</v>
      </c>
      <c r="X5" s="33">
        <v>756</v>
      </c>
      <c r="Y5" s="29">
        <v>907.2</v>
      </c>
      <c r="Z5" s="29">
        <v>907.2</v>
      </c>
      <c r="AA5" s="35">
        <v>43966</v>
      </c>
      <c r="AB5" s="27"/>
      <c r="AC5" s="27"/>
      <c r="AD5" s="58">
        <v>756</v>
      </c>
      <c r="AE5" s="31">
        <v>0</v>
      </c>
      <c r="AF5" t="b">
        <v>0</v>
      </c>
      <c r="AG5" s="78">
        <v>756</v>
      </c>
    </row>
    <row r="6" spans="1:16365" x14ac:dyDescent="0.25">
      <c r="A6" t="str">
        <f t="shared" si="0"/>
        <v>2020-5</v>
      </c>
      <c r="B6" s="1">
        <f t="shared" si="1"/>
        <v>43838</v>
      </c>
      <c r="C6" t="str">
        <f t="shared" si="2"/>
        <v>807693/easy green energy</v>
      </c>
      <c r="D6" t="str">
        <f t="shared" si="3"/>
        <v>Ausgaben</v>
      </c>
      <c r="E6" t="str">
        <f t="shared" si="4"/>
        <v>sonstige Betriebsausgaben</v>
      </c>
      <c r="F6" s="117">
        <f t="shared" si="5"/>
        <v>3</v>
      </c>
      <c r="G6" t="str">
        <f t="shared" si="6"/>
        <v>20%</v>
      </c>
      <c r="I6" s="53">
        <v>2020</v>
      </c>
      <c r="J6" s="53">
        <v>5</v>
      </c>
      <c r="K6" s="71" t="s">
        <v>105</v>
      </c>
      <c r="L6" t="s">
        <v>705</v>
      </c>
      <c r="M6" s="74" t="s">
        <v>1225</v>
      </c>
      <c r="N6" s="1">
        <v>43838</v>
      </c>
      <c r="O6" t="s">
        <v>1154</v>
      </c>
      <c r="Q6" s="76"/>
      <c r="R6" t="b">
        <v>0</v>
      </c>
      <c r="S6" s="48">
        <v>2.5</v>
      </c>
      <c r="T6" s="72">
        <v>1</v>
      </c>
      <c r="U6">
        <v>20</v>
      </c>
      <c r="V6" s="31">
        <v>0.5</v>
      </c>
      <c r="W6" s="31">
        <v>0.5</v>
      </c>
      <c r="X6" s="33">
        <v>2.5</v>
      </c>
      <c r="Y6" s="29">
        <v>3</v>
      </c>
      <c r="Z6" s="29">
        <v>3</v>
      </c>
      <c r="AA6" s="35">
        <v>43966</v>
      </c>
      <c r="AB6" s="27"/>
      <c r="AC6" s="27"/>
      <c r="AD6" s="58">
        <v>2.5</v>
      </c>
      <c r="AE6" s="31">
        <v>0</v>
      </c>
      <c r="AF6" t="b">
        <v>0</v>
      </c>
      <c r="AG6" s="78">
        <v>-2.5</v>
      </c>
    </row>
    <row r="7" spans="1:16365" x14ac:dyDescent="0.25">
      <c r="A7" t="str">
        <f t="shared" si="0"/>
        <v>2020-6</v>
      </c>
      <c r="B7" s="1">
        <f t="shared" si="1"/>
        <v>43838</v>
      </c>
      <c r="C7" t="str">
        <f t="shared" si="2"/>
        <v>DT-VO/20-01-005-9145552/Techem Messtechnik GmbH; Abnehmernummer 501686-0003-11-(</v>
      </c>
      <c r="D7" t="str">
        <f t="shared" si="3"/>
        <v>Ausgaben</v>
      </c>
      <c r="E7" t="str">
        <f t="shared" si="4"/>
        <v>sonstige Betriebsausgaben</v>
      </c>
      <c r="F7" s="117">
        <f t="shared" si="5"/>
        <v>43.900000000000006</v>
      </c>
      <c r="G7" t="str">
        <f t="shared" si="6"/>
        <v>20%</v>
      </c>
      <c r="I7" s="53">
        <v>2020</v>
      </c>
      <c r="J7" s="53">
        <v>6</v>
      </c>
      <c r="K7" s="71" t="s">
        <v>105</v>
      </c>
      <c r="L7" t="s">
        <v>705</v>
      </c>
      <c r="M7" s="74" t="s">
        <v>1219</v>
      </c>
      <c r="N7" s="1">
        <v>43838</v>
      </c>
      <c r="O7" t="s">
        <v>1128</v>
      </c>
      <c r="Q7" s="76"/>
      <c r="R7" t="b">
        <v>0</v>
      </c>
      <c r="S7" s="48">
        <v>36.583333333333336</v>
      </c>
      <c r="T7" s="72">
        <v>1</v>
      </c>
      <c r="U7">
        <v>20</v>
      </c>
      <c r="V7" s="31">
        <v>7.3166666666666673</v>
      </c>
      <c r="W7" s="31">
        <v>7.3166666666666673</v>
      </c>
      <c r="X7" s="33">
        <v>36.583333333333336</v>
      </c>
      <c r="Y7" s="29">
        <v>43.900000000000006</v>
      </c>
      <c r="Z7" s="29">
        <v>43.900000000000006</v>
      </c>
      <c r="AA7" s="35">
        <v>43966</v>
      </c>
      <c r="AB7" s="27"/>
      <c r="AC7" s="27"/>
      <c r="AD7" s="58">
        <v>36.583333333333336</v>
      </c>
      <c r="AE7" s="31">
        <v>0</v>
      </c>
      <c r="AF7" t="b">
        <v>0</v>
      </c>
      <c r="AG7" s="78">
        <v>-36.583333333333336</v>
      </c>
    </row>
    <row r="8" spans="1:16365" x14ac:dyDescent="0.25">
      <c r="A8" t="str">
        <f t="shared" si="0"/>
        <v>2020-7</v>
      </c>
      <c r="B8" s="1">
        <f t="shared" si="1"/>
        <v>43839</v>
      </c>
      <c r="C8" t="str">
        <f t="shared" si="2"/>
        <v>12020001/Martin Dürauer e.U., Schreinergasse 7/1, A-3100 St. Pölten</v>
      </c>
      <c r="D8" t="str">
        <f t="shared" si="3"/>
        <v>Einnahmen</v>
      </c>
      <c r="E8" t="str">
        <f t="shared" si="4"/>
        <v>Waren-/Leistungserlöse</v>
      </c>
      <c r="F8" s="117">
        <f t="shared" si="5"/>
        <v>204</v>
      </c>
      <c r="G8" t="str">
        <f t="shared" si="6"/>
        <v>20%</v>
      </c>
      <c r="I8" s="53">
        <v>2020</v>
      </c>
      <c r="J8" s="53">
        <v>7</v>
      </c>
      <c r="K8" s="71" t="s">
        <v>708</v>
      </c>
      <c r="L8" t="s">
        <v>709</v>
      </c>
      <c r="M8" s="74" t="s">
        <v>1220</v>
      </c>
      <c r="N8" s="1">
        <v>43839</v>
      </c>
      <c r="O8" t="s">
        <v>1217</v>
      </c>
      <c r="Q8" s="76"/>
      <c r="R8" t="b">
        <v>0</v>
      </c>
      <c r="S8" s="48">
        <v>170</v>
      </c>
      <c r="T8" s="72">
        <v>1</v>
      </c>
      <c r="U8">
        <v>20</v>
      </c>
      <c r="V8" s="31">
        <v>34</v>
      </c>
      <c r="W8" s="31">
        <v>34</v>
      </c>
      <c r="X8" s="33">
        <v>170</v>
      </c>
      <c r="Y8" s="29">
        <v>204</v>
      </c>
      <c r="Z8" s="29">
        <v>204</v>
      </c>
      <c r="AA8" s="35">
        <v>43966</v>
      </c>
      <c r="AB8" s="27"/>
      <c r="AC8" s="27"/>
      <c r="AD8" s="58">
        <v>170</v>
      </c>
      <c r="AE8" s="31">
        <v>0</v>
      </c>
      <c r="AF8" t="b">
        <v>0</v>
      </c>
      <c r="AG8" s="78">
        <v>170</v>
      </c>
    </row>
    <row r="9" spans="1:16365" x14ac:dyDescent="0.25">
      <c r="A9" t="str">
        <f t="shared" si="0"/>
        <v>2020-8</v>
      </c>
      <c r="B9" s="1">
        <f t="shared" si="1"/>
        <v>43839</v>
      </c>
      <c r="C9" t="str">
        <f t="shared" si="2"/>
        <v>12020001/Martin Dürauer e.U., Schreinergasse 7/1, A-3100 St. Pölten</v>
      </c>
      <c r="D9" t="str">
        <f t="shared" si="3"/>
        <v>Einnahmen</v>
      </c>
      <c r="E9" t="str">
        <f t="shared" si="4"/>
        <v>Waren-/Leistungserlöse</v>
      </c>
      <c r="F9" s="117">
        <f t="shared" si="5"/>
        <v>120</v>
      </c>
      <c r="G9" t="str">
        <f t="shared" si="6"/>
        <v>20%</v>
      </c>
      <c r="I9" s="53">
        <v>2020</v>
      </c>
      <c r="J9" s="53">
        <v>8</v>
      </c>
      <c r="K9" s="71" t="s">
        <v>708</v>
      </c>
      <c r="L9" t="s">
        <v>709</v>
      </c>
      <c r="M9" s="74" t="s">
        <v>1220</v>
      </c>
      <c r="N9" s="1">
        <v>43839</v>
      </c>
      <c r="O9" t="s">
        <v>1217</v>
      </c>
      <c r="Q9" s="76"/>
      <c r="R9" t="b">
        <v>0</v>
      </c>
      <c r="S9" s="48">
        <v>100</v>
      </c>
      <c r="T9" s="72">
        <v>1</v>
      </c>
      <c r="U9">
        <v>20</v>
      </c>
      <c r="V9" s="31">
        <v>20</v>
      </c>
      <c r="W9" s="31">
        <v>20</v>
      </c>
      <c r="X9" s="33">
        <v>100</v>
      </c>
      <c r="Y9" s="29">
        <v>120</v>
      </c>
      <c r="Z9" s="29">
        <v>120</v>
      </c>
      <c r="AA9" s="35">
        <v>43966</v>
      </c>
      <c r="AB9" s="27"/>
      <c r="AC9" s="27"/>
      <c r="AD9" s="58">
        <v>100</v>
      </c>
      <c r="AE9" s="31">
        <v>0</v>
      </c>
      <c r="AF9" t="b">
        <v>0</v>
      </c>
      <c r="AG9" s="78">
        <v>100</v>
      </c>
    </row>
    <row r="10" spans="1:16365" x14ac:dyDescent="0.25">
      <c r="A10" t="str">
        <f t="shared" si="0"/>
        <v>2020-9</v>
      </c>
      <c r="B10" s="1">
        <f t="shared" si="1"/>
        <v>43840</v>
      </c>
      <c r="C10" t="str">
        <f t="shared" si="2"/>
        <v>178423174-00/Magenta: T-Mobile Austria GmbH, A-1120 Wien, PF 47</v>
      </c>
      <c r="D10" t="str">
        <f t="shared" si="3"/>
        <v>Ausgaben</v>
      </c>
      <c r="E10" t="str">
        <f t="shared" si="4"/>
        <v>Telefon/Internet</v>
      </c>
      <c r="F10" s="117">
        <f t="shared" si="5"/>
        <v>23.087999999999997</v>
      </c>
      <c r="G10" t="str">
        <f t="shared" si="6"/>
        <v>20%</v>
      </c>
      <c r="I10" s="53">
        <v>2020</v>
      </c>
      <c r="J10" s="53">
        <v>9</v>
      </c>
      <c r="K10" s="71" t="s">
        <v>105</v>
      </c>
      <c r="L10" t="s">
        <v>703</v>
      </c>
      <c r="M10" s="74" t="s">
        <v>1221</v>
      </c>
      <c r="N10" s="1">
        <v>43840</v>
      </c>
      <c r="O10" t="s">
        <v>1148</v>
      </c>
      <c r="Q10" s="76"/>
      <c r="R10" t="b">
        <v>0</v>
      </c>
      <c r="S10" s="109">
        <v>28.86</v>
      </c>
      <c r="T10" s="72">
        <v>0.66666666666666663</v>
      </c>
      <c r="U10">
        <v>20</v>
      </c>
      <c r="V10" s="31">
        <v>5.7720000000000002</v>
      </c>
      <c r="W10" s="31">
        <v>3.8479999999999999</v>
      </c>
      <c r="X10" s="33">
        <v>19.239999999999998</v>
      </c>
      <c r="Y10" s="29">
        <v>34.631999999999998</v>
      </c>
      <c r="Z10" s="29">
        <v>23.087999999999997</v>
      </c>
      <c r="AA10" s="35">
        <v>43966</v>
      </c>
      <c r="AB10" s="27"/>
      <c r="AC10" s="27"/>
      <c r="AD10" s="58">
        <v>19.239999999999998</v>
      </c>
      <c r="AE10" s="31">
        <v>0</v>
      </c>
      <c r="AF10" t="b">
        <v>0</v>
      </c>
      <c r="AG10" s="78">
        <v>-19.239999999999998</v>
      </c>
    </row>
    <row r="11" spans="1:16365" x14ac:dyDescent="0.25">
      <c r="A11" t="str">
        <f t="shared" si="0"/>
        <v>2020-10</v>
      </c>
      <c r="B11" s="1">
        <f t="shared" si="1"/>
        <v>43840</v>
      </c>
      <c r="C11" t="str">
        <f t="shared" si="2"/>
        <v>5112142283/Wiener Netze GmbH, Erdbergstraße 236, 1110 Wien, Postfach 422</v>
      </c>
      <c r="D11" t="str">
        <f t="shared" si="3"/>
        <v>Ausgaben</v>
      </c>
      <c r="E11" t="str">
        <f t="shared" si="4"/>
        <v>sonstige Betriebsausgaben</v>
      </c>
      <c r="F11" s="117">
        <f t="shared" si="5"/>
        <v>22.595999999999997</v>
      </c>
      <c r="G11" t="str">
        <f t="shared" si="6"/>
        <v>20%</v>
      </c>
      <c r="I11" s="53">
        <v>2020</v>
      </c>
      <c r="J11" s="53">
        <v>10</v>
      </c>
      <c r="K11" s="71" t="s">
        <v>105</v>
      </c>
      <c r="L11" t="s">
        <v>705</v>
      </c>
      <c r="M11" s="74" t="s">
        <v>1222</v>
      </c>
      <c r="N11" s="1">
        <v>43840</v>
      </c>
      <c r="O11" t="s">
        <v>1223</v>
      </c>
      <c r="Q11" s="76"/>
      <c r="R11" t="b">
        <v>0</v>
      </c>
      <c r="S11" s="109">
        <v>18.829999999999998</v>
      </c>
      <c r="T11" s="72">
        <v>1</v>
      </c>
      <c r="U11">
        <v>20</v>
      </c>
      <c r="V11" s="31">
        <v>3.7659999999999996</v>
      </c>
      <c r="W11" s="31">
        <v>3.7659999999999996</v>
      </c>
      <c r="X11" s="33">
        <v>18.829999999999998</v>
      </c>
      <c r="Y11" s="29">
        <v>22.595999999999997</v>
      </c>
      <c r="Z11" s="29">
        <v>22.595999999999997</v>
      </c>
      <c r="AA11" s="35">
        <v>43966</v>
      </c>
      <c r="AB11" s="27"/>
      <c r="AC11" s="27"/>
      <c r="AD11" s="58">
        <v>18.829999999999998</v>
      </c>
      <c r="AE11" s="31">
        <v>0</v>
      </c>
      <c r="AF11" t="b">
        <v>0</v>
      </c>
      <c r="AG11" s="78">
        <v>-18.829999999999998</v>
      </c>
    </row>
    <row r="12" spans="1:16365" x14ac:dyDescent="0.25">
      <c r="A12" t="str">
        <f t="shared" si="0"/>
        <v>2020-11</v>
      </c>
      <c r="B12" s="1">
        <f t="shared" si="1"/>
        <v>43843</v>
      </c>
      <c r="C12" t="str">
        <f t="shared" si="2"/>
        <v>3293000008687003/car2go Österreich GmbH, Hintere Zollamtstraße 9, 1030 Wien</v>
      </c>
      <c r="D12" t="str">
        <f t="shared" si="3"/>
        <v>Ausgaben</v>
      </c>
      <c r="E12" t="str">
        <f t="shared" si="4"/>
        <v>Reise- und Fahrtspesen inkl. Kilometergeld und Diäten</v>
      </c>
      <c r="F12" s="117">
        <f t="shared" si="5"/>
        <v>2.52</v>
      </c>
      <c r="G12" t="str">
        <f t="shared" si="6"/>
        <v>20%</v>
      </c>
      <c r="I12" s="53">
        <v>2020</v>
      </c>
      <c r="J12" s="53">
        <v>11</v>
      </c>
      <c r="K12" s="71" t="s">
        <v>105</v>
      </c>
      <c r="L12" t="s">
        <v>689</v>
      </c>
      <c r="M12" s="74" t="s">
        <v>1224</v>
      </c>
      <c r="N12" s="1">
        <v>43843</v>
      </c>
      <c r="O12" t="s">
        <v>974</v>
      </c>
      <c r="Q12" s="76"/>
      <c r="R12" t="b">
        <v>0</v>
      </c>
      <c r="S12" s="48">
        <v>2.1</v>
      </c>
      <c r="T12" s="72">
        <v>1</v>
      </c>
      <c r="U12">
        <v>20</v>
      </c>
      <c r="V12" s="31">
        <v>0.42</v>
      </c>
      <c r="W12" s="31">
        <v>0.42</v>
      </c>
      <c r="X12" s="33">
        <v>2.1</v>
      </c>
      <c r="Y12" s="29">
        <v>2.52</v>
      </c>
      <c r="Z12" s="29">
        <v>2.52</v>
      </c>
      <c r="AA12" s="35">
        <v>43966</v>
      </c>
      <c r="AB12" s="27"/>
      <c r="AC12" s="27"/>
      <c r="AD12" s="58">
        <v>2.1</v>
      </c>
      <c r="AE12" s="31">
        <v>0</v>
      </c>
      <c r="AF12" t="b">
        <v>0</v>
      </c>
      <c r="AG12" s="78">
        <v>-2.1</v>
      </c>
    </row>
    <row r="13" spans="1:16365" x14ac:dyDescent="0.25">
      <c r="A13" t="str">
        <f t="shared" si="0"/>
        <v>2020-12</v>
      </c>
      <c r="B13" s="1">
        <f t="shared" si="1"/>
        <v>43843</v>
      </c>
      <c r="C13" t="str">
        <f t="shared" si="2"/>
        <v>772063/Lemon Technologies GmbH, Unterweißenbach 181, 7330 Feldbach: Toner</v>
      </c>
      <c r="D13" t="str">
        <f t="shared" si="3"/>
        <v>Ausgaben</v>
      </c>
      <c r="E13" t="str">
        <f t="shared" si="4"/>
        <v>sonstige Betriebsausgaben</v>
      </c>
      <c r="F13" s="117">
        <f t="shared" si="5"/>
        <v>289.416</v>
      </c>
      <c r="G13" t="str">
        <f t="shared" si="6"/>
        <v>20%</v>
      </c>
      <c r="I13" s="53">
        <v>2020</v>
      </c>
      <c r="J13" s="53">
        <v>12</v>
      </c>
      <c r="K13" s="71" t="s">
        <v>105</v>
      </c>
      <c r="L13" t="s">
        <v>705</v>
      </c>
      <c r="M13" s="74" t="s">
        <v>1229</v>
      </c>
      <c r="N13" s="1">
        <v>43843</v>
      </c>
      <c r="O13" t="s">
        <v>1237</v>
      </c>
      <c r="Q13" s="76"/>
      <c r="R13" t="b">
        <v>0</v>
      </c>
      <c r="S13" s="48">
        <v>241.18</v>
      </c>
      <c r="T13" s="72">
        <v>1</v>
      </c>
      <c r="U13">
        <v>20</v>
      </c>
      <c r="V13" s="31">
        <v>48.236000000000004</v>
      </c>
      <c r="W13" s="31">
        <v>48.236000000000004</v>
      </c>
      <c r="X13" s="33">
        <v>241.18</v>
      </c>
      <c r="Y13" s="29">
        <v>289.416</v>
      </c>
      <c r="Z13" s="29">
        <v>289.416</v>
      </c>
      <c r="AA13" s="35">
        <v>43966</v>
      </c>
      <c r="AB13" s="27"/>
      <c r="AC13" s="27"/>
      <c r="AD13" s="58">
        <v>241.18</v>
      </c>
      <c r="AE13" s="31">
        <v>0</v>
      </c>
      <c r="AF13" t="b">
        <v>0</v>
      </c>
      <c r="AG13" s="78">
        <v>-241.18</v>
      </c>
    </row>
    <row r="14" spans="1:16365" x14ac:dyDescent="0.25">
      <c r="A14" t="str">
        <f t="shared" si="0"/>
        <v>2020-13</v>
      </c>
      <c r="B14" s="1">
        <f t="shared" si="1"/>
        <v>43843</v>
      </c>
      <c r="C14" t="str">
        <f t="shared" si="2"/>
        <v>R0010654184/Hetzner Online GmbH</v>
      </c>
      <c r="D14" t="str">
        <f t="shared" si="3"/>
        <v>Ausgaben</v>
      </c>
      <c r="E14" t="str">
        <f t="shared" si="4"/>
        <v>sonstige Betriebsausgaben</v>
      </c>
      <c r="F14" s="117">
        <f t="shared" si="5"/>
        <v>49.42</v>
      </c>
      <c r="G14" t="str">
        <f t="shared" si="6"/>
        <v>0%</v>
      </c>
      <c r="I14" s="53">
        <v>2020</v>
      </c>
      <c r="J14" s="53">
        <v>13</v>
      </c>
      <c r="K14" s="71" t="s">
        <v>105</v>
      </c>
      <c r="L14" t="s">
        <v>705</v>
      </c>
      <c r="M14" s="74" t="s">
        <v>1228</v>
      </c>
      <c r="N14" s="1">
        <v>43843</v>
      </c>
      <c r="O14" t="s">
        <v>927</v>
      </c>
      <c r="Q14" s="76"/>
      <c r="R14" t="b">
        <v>0</v>
      </c>
      <c r="S14" s="48">
        <v>49.42</v>
      </c>
      <c r="T14" s="72">
        <v>1</v>
      </c>
      <c r="U14">
        <v>0</v>
      </c>
      <c r="V14" s="31">
        <v>0</v>
      </c>
      <c r="W14" s="31">
        <v>0</v>
      </c>
      <c r="X14" s="33">
        <v>49.42</v>
      </c>
      <c r="Y14" s="29">
        <v>49.42</v>
      </c>
      <c r="Z14" s="29">
        <v>49.42</v>
      </c>
      <c r="AA14" s="35">
        <v>43966</v>
      </c>
      <c r="AB14" s="27"/>
      <c r="AC14" s="27">
        <v>20</v>
      </c>
      <c r="AD14" s="58">
        <v>49.42</v>
      </c>
      <c r="AE14" s="31">
        <v>9.8840000000000003</v>
      </c>
      <c r="AF14" t="b">
        <v>0</v>
      </c>
      <c r="AG14" s="78">
        <v>-49.42</v>
      </c>
    </row>
    <row r="15" spans="1:16365" x14ac:dyDescent="0.25">
      <c r="A15" t="str">
        <f t="shared" si="0"/>
        <v>2020-14</v>
      </c>
      <c r="B15" s="1">
        <f t="shared" si="1"/>
        <v>43844</v>
      </c>
      <c r="C15" t="str">
        <f t="shared" si="2"/>
        <v>12019031/Schick Küchendesign e.U. Alexander Schick, Linzerstraße 247, 1140 Wien</v>
      </c>
      <c r="D15" t="str">
        <f t="shared" si="3"/>
        <v>Einnahmen</v>
      </c>
      <c r="E15" t="str">
        <f t="shared" si="4"/>
        <v>Waren-/Leistungserlöse</v>
      </c>
      <c r="F15" s="117">
        <f t="shared" si="5"/>
        <v>225</v>
      </c>
      <c r="G15" t="str">
        <f t="shared" si="6"/>
        <v>20%</v>
      </c>
      <c r="I15" s="53">
        <v>2020</v>
      </c>
      <c r="J15" s="53">
        <v>14</v>
      </c>
      <c r="K15" s="71" t="s">
        <v>708</v>
      </c>
      <c r="L15" t="s">
        <v>709</v>
      </c>
      <c r="M15" s="74" t="s">
        <v>1230</v>
      </c>
      <c r="N15" s="1">
        <v>43844</v>
      </c>
      <c r="O15" t="s">
        <v>983</v>
      </c>
      <c r="Q15" s="76"/>
      <c r="R15" t="b">
        <v>0</v>
      </c>
      <c r="S15" s="48">
        <v>187.5</v>
      </c>
      <c r="T15" s="72">
        <v>1</v>
      </c>
      <c r="U15">
        <v>20</v>
      </c>
      <c r="V15" s="31">
        <v>37.5</v>
      </c>
      <c r="W15" s="31">
        <v>37.5</v>
      </c>
      <c r="X15" s="33">
        <v>187.5</v>
      </c>
      <c r="Y15" s="29">
        <v>225</v>
      </c>
      <c r="Z15" s="29">
        <v>225</v>
      </c>
      <c r="AA15" s="35">
        <v>43966</v>
      </c>
      <c r="AB15" s="27"/>
      <c r="AC15" s="27"/>
      <c r="AD15" s="58">
        <v>187.5</v>
      </c>
      <c r="AE15" s="31">
        <v>0</v>
      </c>
      <c r="AF15" t="b">
        <v>0</v>
      </c>
      <c r="AG15" s="78">
        <v>187.5</v>
      </c>
    </row>
    <row r="16" spans="1:16365" x14ac:dyDescent="0.25">
      <c r="A16" t="str">
        <f t="shared" si="0"/>
        <v>2020-15</v>
      </c>
      <c r="B16" s="1">
        <f t="shared" si="1"/>
        <v>43845</v>
      </c>
      <c r="C16" t="str">
        <f t="shared" si="2"/>
        <v>12019033/Franz Hauer GmbH + Co KG, Werksstraße 6, 3125 Statzendorf</v>
      </c>
      <c r="D16" t="str">
        <f t="shared" si="3"/>
        <v>Einnahmen</v>
      </c>
      <c r="E16" t="str">
        <f t="shared" si="4"/>
        <v>Waren-/Leistungserlöse</v>
      </c>
      <c r="F16" s="117">
        <f t="shared" si="5"/>
        <v>280.5</v>
      </c>
      <c r="G16" t="str">
        <f t="shared" si="6"/>
        <v>20%</v>
      </c>
      <c r="I16" s="53">
        <v>2020</v>
      </c>
      <c r="J16" s="53">
        <v>15</v>
      </c>
      <c r="K16" s="71" t="s">
        <v>708</v>
      </c>
      <c r="L16" t="s">
        <v>709</v>
      </c>
      <c r="M16" s="74" t="s">
        <v>1231</v>
      </c>
      <c r="N16" s="1">
        <v>43845</v>
      </c>
      <c r="O16" t="s">
        <v>1232</v>
      </c>
      <c r="Q16" s="76"/>
      <c r="R16" t="b">
        <v>0</v>
      </c>
      <c r="S16" s="48">
        <v>233.75</v>
      </c>
      <c r="T16" s="72">
        <v>1</v>
      </c>
      <c r="U16">
        <v>20</v>
      </c>
      <c r="V16" s="31">
        <v>46.75</v>
      </c>
      <c r="W16" s="31">
        <v>46.75</v>
      </c>
      <c r="X16" s="33">
        <v>233.75</v>
      </c>
      <c r="Y16" s="29">
        <v>280.5</v>
      </c>
      <c r="Z16" s="29">
        <v>280.5</v>
      </c>
      <c r="AA16" s="35">
        <v>43966</v>
      </c>
      <c r="AB16" s="27"/>
      <c r="AC16" s="27"/>
      <c r="AD16" s="58">
        <v>233.75</v>
      </c>
      <c r="AE16" s="31">
        <v>0</v>
      </c>
      <c r="AF16" t="b">
        <v>0</v>
      </c>
      <c r="AG16" s="78">
        <v>233.75</v>
      </c>
    </row>
    <row r="17" spans="1:33" x14ac:dyDescent="0.25">
      <c r="A17" t="str">
        <f t="shared" si="0"/>
        <v>2020-16</v>
      </c>
      <c r="B17" s="1">
        <f t="shared" si="1"/>
        <v>43847</v>
      </c>
      <c r="C17" t="str">
        <f t="shared" si="2"/>
        <v>3293000008723880/car2go Österreich GmbH, Hintere Zollamtstraße 9, 1030 Wien</v>
      </c>
      <c r="D17" t="str">
        <f t="shared" si="3"/>
        <v>Ausgaben</v>
      </c>
      <c r="E17" t="str">
        <f t="shared" si="4"/>
        <v>Reise- und Fahrtspesen inkl. Kilometergeld und Diäten</v>
      </c>
      <c r="F17" s="117">
        <f t="shared" si="5"/>
        <v>9.6239999999999988</v>
      </c>
      <c r="G17" t="str">
        <f t="shared" si="6"/>
        <v>20%</v>
      </c>
      <c r="I17" s="53">
        <v>2020</v>
      </c>
      <c r="J17" s="53">
        <v>16</v>
      </c>
      <c r="K17" s="71" t="s">
        <v>105</v>
      </c>
      <c r="L17" t="s">
        <v>689</v>
      </c>
      <c r="M17" s="74" t="s">
        <v>1235</v>
      </c>
      <c r="N17" s="1">
        <v>43847</v>
      </c>
      <c r="O17" t="s">
        <v>974</v>
      </c>
      <c r="Q17" s="76"/>
      <c r="R17" t="b">
        <v>0</v>
      </c>
      <c r="S17" s="48">
        <v>8.02</v>
      </c>
      <c r="T17" s="72">
        <v>1</v>
      </c>
      <c r="U17">
        <v>20</v>
      </c>
      <c r="V17" s="31">
        <v>1.6039999999999999</v>
      </c>
      <c r="W17" s="31">
        <v>1.6039999999999999</v>
      </c>
      <c r="X17" s="33">
        <v>8.02</v>
      </c>
      <c r="Y17" s="29">
        <v>9.6239999999999988</v>
      </c>
      <c r="Z17" s="29">
        <v>9.6239999999999988</v>
      </c>
      <c r="AA17" s="35">
        <v>43966</v>
      </c>
      <c r="AB17" s="27"/>
      <c r="AC17" s="27"/>
      <c r="AD17" s="58">
        <v>8.02</v>
      </c>
      <c r="AE17" s="31">
        <v>0</v>
      </c>
      <c r="AF17" t="b">
        <v>0</v>
      </c>
      <c r="AG17" s="78">
        <v>-8.02</v>
      </c>
    </row>
    <row r="18" spans="1:33" x14ac:dyDescent="0.25">
      <c r="A18" t="str">
        <f t="shared" si="0"/>
        <v>2020-17</v>
      </c>
      <c r="B18" s="1">
        <f t="shared" si="1"/>
        <v>43850</v>
      </c>
      <c r="C18" t="str">
        <f t="shared" si="2"/>
        <v>3293000008730029/car2go Österreich GmbH, Hintere Zollamtstraße 9, 1030 Wien</v>
      </c>
      <c r="D18" t="str">
        <f t="shared" si="3"/>
        <v>Ausgaben</v>
      </c>
      <c r="E18" t="str">
        <f t="shared" si="4"/>
        <v>Reise- und Fahrtspesen inkl. Kilometergeld und Diäten</v>
      </c>
      <c r="F18" s="117">
        <f t="shared" si="5"/>
        <v>12.48</v>
      </c>
      <c r="G18" t="str">
        <f t="shared" si="6"/>
        <v>20%</v>
      </c>
      <c r="I18" s="53">
        <v>2020</v>
      </c>
      <c r="J18" s="53">
        <v>17</v>
      </c>
      <c r="K18" s="71" t="s">
        <v>105</v>
      </c>
      <c r="L18" t="s">
        <v>689</v>
      </c>
      <c r="M18" s="74" t="s">
        <v>1234</v>
      </c>
      <c r="N18" s="1">
        <v>43850</v>
      </c>
      <c r="O18" t="s">
        <v>974</v>
      </c>
      <c r="Q18" s="76"/>
      <c r="R18" t="b">
        <v>0</v>
      </c>
      <c r="S18" s="48">
        <v>10.4</v>
      </c>
      <c r="T18" s="72">
        <v>1</v>
      </c>
      <c r="U18">
        <v>20</v>
      </c>
      <c r="V18" s="31">
        <v>2.08</v>
      </c>
      <c r="W18" s="31">
        <v>2.08</v>
      </c>
      <c r="X18" s="33">
        <v>10.4</v>
      </c>
      <c r="Y18" s="29">
        <v>12.48</v>
      </c>
      <c r="Z18" s="29">
        <v>12.48</v>
      </c>
      <c r="AA18" s="35">
        <v>43966</v>
      </c>
      <c r="AB18" s="27"/>
      <c r="AC18" s="27"/>
      <c r="AD18" s="58">
        <v>10.4</v>
      </c>
      <c r="AE18" s="31">
        <v>0</v>
      </c>
      <c r="AF18" t="b">
        <v>0</v>
      </c>
      <c r="AG18" s="78">
        <v>-10.4</v>
      </c>
    </row>
    <row r="19" spans="1:33" x14ac:dyDescent="0.25">
      <c r="A19" t="str">
        <f t="shared" si="0"/>
        <v>2020-18</v>
      </c>
      <c r="B19" s="1">
        <f t="shared" si="1"/>
        <v>43851</v>
      </c>
      <c r="C19" t="str">
        <f t="shared" si="2"/>
        <v>12019030/vemap Academy GmbH, Berggasse 31, 1080 Wien</v>
      </c>
      <c r="D19" t="str">
        <f t="shared" si="3"/>
        <v>Einnahmen</v>
      </c>
      <c r="E19" t="str">
        <f t="shared" si="4"/>
        <v>Waren-/Leistungserlöse</v>
      </c>
      <c r="F19" s="117">
        <f t="shared" si="5"/>
        <v>7776</v>
      </c>
      <c r="G19" t="str">
        <f t="shared" si="6"/>
        <v>20%</v>
      </c>
      <c r="I19" s="53">
        <v>2020</v>
      </c>
      <c r="J19" s="53">
        <v>18</v>
      </c>
      <c r="K19" s="71" t="s">
        <v>708</v>
      </c>
      <c r="L19" t="s">
        <v>709</v>
      </c>
      <c r="M19" s="74" t="s">
        <v>1233</v>
      </c>
      <c r="N19" s="1">
        <v>43851</v>
      </c>
      <c r="O19" t="s">
        <v>1127</v>
      </c>
      <c r="Q19" s="76"/>
      <c r="R19" t="b">
        <v>0</v>
      </c>
      <c r="S19" s="48">
        <v>6480</v>
      </c>
      <c r="T19" s="72">
        <v>1</v>
      </c>
      <c r="U19">
        <v>20</v>
      </c>
      <c r="V19" s="31">
        <v>1296</v>
      </c>
      <c r="W19" s="31">
        <v>1296</v>
      </c>
      <c r="X19" s="33">
        <v>6480</v>
      </c>
      <c r="Y19" s="29">
        <v>7776</v>
      </c>
      <c r="Z19" s="29">
        <v>7776</v>
      </c>
      <c r="AA19" s="35">
        <v>43966</v>
      </c>
      <c r="AB19" s="27"/>
      <c r="AC19" s="27"/>
      <c r="AD19" s="58">
        <v>6480</v>
      </c>
      <c r="AE19" s="31">
        <v>0</v>
      </c>
      <c r="AF19" t="b">
        <v>0</v>
      </c>
      <c r="AG19" s="78">
        <v>6480</v>
      </c>
    </row>
    <row r="20" spans="1:33" x14ac:dyDescent="0.25">
      <c r="A20" t="str">
        <f t="shared" si="0"/>
        <v>2020-19</v>
      </c>
      <c r="B20" s="1">
        <f t="shared" si="1"/>
        <v>43853</v>
      </c>
      <c r="C20" t="str">
        <f t="shared" si="2"/>
        <v>901192670120/Magenta: T-Mobile Austria GmbH, A-1120 Wien, PF 47</v>
      </c>
      <c r="D20" t="str">
        <f t="shared" si="3"/>
        <v>Ausgaben</v>
      </c>
      <c r="E20" t="str">
        <f t="shared" si="4"/>
        <v>Telefon/Internet</v>
      </c>
      <c r="F20" s="117">
        <f t="shared" si="5"/>
        <v>38.304000000000002</v>
      </c>
      <c r="G20" t="str">
        <f t="shared" si="6"/>
        <v>20%</v>
      </c>
      <c r="I20" s="53">
        <v>2020</v>
      </c>
      <c r="J20" s="53">
        <v>19</v>
      </c>
      <c r="K20" s="71" t="s">
        <v>105</v>
      </c>
      <c r="L20" t="s">
        <v>703</v>
      </c>
      <c r="M20" s="74" t="s">
        <v>1236</v>
      </c>
      <c r="N20" s="1">
        <v>43853</v>
      </c>
      <c r="O20" t="s">
        <v>1148</v>
      </c>
      <c r="Q20" s="76"/>
      <c r="R20" t="b">
        <v>0</v>
      </c>
      <c r="S20" s="48">
        <v>31.92</v>
      </c>
      <c r="T20" s="72">
        <v>1</v>
      </c>
      <c r="U20">
        <v>20</v>
      </c>
      <c r="V20" s="31">
        <v>6.3840000000000012</v>
      </c>
      <c r="W20" s="31">
        <v>6.3840000000000012</v>
      </c>
      <c r="X20" s="33">
        <v>31.92</v>
      </c>
      <c r="Y20" s="29">
        <v>38.304000000000002</v>
      </c>
      <c r="Z20" s="29">
        <v>38.304000000000002</v>
      </c>
      <c r="AA20" s="35">
        <v>43966</v>
      </c>
      <c r="AB20" s="27"/>
      <c r="AC20" s="27"/>
      <c r="AD20" s="58">
        <v>31.92</v>
      </c>
      <c r="AE20" s="31">
        <v>0</v>
      </c>
      <c r="AF20" t="b">
        <v>0</v>
      </c>
      <c r="AG20" s="78">
        <v>-31.92</v>
      </c>
    </row>
    <row r="21" spans="1:33" x14ac:dyDescent="0.25">
      <c r="A21" t="str">
        <f t="shared" si="0"/>
        <v>2020-20</v>
      </c>
      <c r="B21" s="1">
        <f t="shared" si="1"/>
        <v>43857</v>
      </c>
      <c r="C21" t="str">
        <f t="shared" si="2"/>
        <v>774047/Lemon Technologies GmbH, Unterweißenbach 181, 7330 Feldbach: Bildschirm</v>
      </c>
      <c r="D21" t="str">
        <f t="shared" si="3"/>
        <v>Ausgaben</v>
      </c>
      <c r="E21" t="str">
        <f t="shared" si="4"/>
        <v>sonstige Betriebsausgaben</v>
      </c>
      <c r="F21" s="117">
        <f t="shared" si="5"/>
        <v>171.012</v>
      </c>
      <c r="G21" t="str">
        <f t="shared" si="6"/>
        <v>20%</v>
      </c>
      <c r="I21" s="53">
        <v>2020</v>
      </c>
      <c r="J21" s="53">
        <v>20</v>
      </c>
      <c r="K21" s="71" t="s">
        <v>105</v>
      </c>
      <c r="L21" t="s">
        <v>705</v>
      </c>
      <c r="M21" s="74" t="s">
        <v>1239</v>
      </c>
      <c r="N21" s="1">
        <v>43857</v>
      </c>
      <c r="O21" t="s">
        <v>1238</v>
      </c>
      <c r="Q21" s="76"/>
      <c r="R21" t="b">
        <v>0</v>
      </c>
      <c r="S21" s="48">
        <v>142.51</v>
      </c>
      <c r="T21" s="72">
        <v>1</v>
      </c>
      <c r="U21">
        <v>20</v>
      </c>
      <c r="V21" s="31">
        <v>28.501999999999999</v>
      </c>
      <c r="W21" s="31">
        <v>28.501999999999999</v>
      </c>
      <c r="X21" s="33">
        <v>142.51</v>
      </c>
      <c r="Y21" s="29">
        <v>171.012</v>
      </c>
      <c r="Z21" s="29">
        <v>171.012</v>
      </c>
      <c r="AA21" s="35">
        <v>43966</v>
      </c>
      <c r="AB21" s="27"/>
      <c r="AC21" s="27"/>
      <c r="AD21" s="58">
        <v>142.51</v>
      </c>
      <c r="AE21" s="31">
        <v>0</v>
      </c>
      <c r="AF21" t="b">
        <v>0</v>
      </c>
      <c r="AG21" s="78">
        <v>-142.51</v>
      </c>
    </row>
    <row r="22" spans="1:33" x14ac:dyDescent="0.25">
      <c r="A22" t="str">
        <f t="shared" si="0"/>
        <v>2020-21</v>
      </c>
      <c r="B22" s="1">
        <f t="shared" si="1"/>
        <v>43857</v>
      </c>
      <c r="C22" t="str">
        <f t="shared" si="2"/>
        <v>3293000008770266/car2go Österreich GmbH, Hintere Zollamtstraße 9, 1030 Wien</v>
      </c>
      <c r="D22" t="str">
        <f t="shared" si="3"/>
        <v>Ausgaben</v>
      </c>
      <c r="E22" t="str">
        <f t="shared" si="4"/>
        <v>Reise- und Fahrtspesen inkl. Kilometergeld und Diäten</v>
      </c>
      <c r="F22" s="117">
        <f t="shared" si="5"/>
        <v>11.16</v>
      </c>
      <c r="G22" t="str">
        <f t="shared" si="6"/>
        <v>20%</v>
      </c>
      <c r="I22" s="53">
        <v>2020</v>
      </c>
      <c r="J22" s="53">
        <v>21</v>
      </c>
      <c r="K22" s="71" t="s">
        <v>105</v>
      </c>
      <c r="L22" t="s">
        <v>689</v>
      </c>
      <c r="M22" s="74" t="s">
        <v>1240</v>
      </c>
      <c r="N22" s="1">
        <v>43857</v>
      </c>
      <c r="O22" t="s">
        <v>974</v>
      </c>
      <c r="Q22" s="76"/>
      <c r="R22" t="b">
        <v>0</v>
      </c>
      <c r="S22" s="48">
        <v>9.3000000000000007</v>
      </c>
      <c r="T22" s="72">
        <v>1</v>
      </c>
      <c r="U22">
        <v>20</v>
      </c>
      <c r="V22" s="31">
        <v>1.86</v>
      </c>
      <c r="W22" s="31">
        <v>1.86</v>
      </c>
      <c r="X22" s="33">
        <v>9.3000000000000007</v>
      </c>
      <c r="Y22" s="29">
        <v>11.16</v>
      </c>
      <c r="Z22" s="29">
        <v>11.16</v>
      </c>
      <c r="AA22" s="35">
        <v>43966</v>
      </c>
      <c r="AB22" s="27"/>
      <c r="AC22" s="27"/>
      <c r="AD22" s="58">
        <v>9.3000000000000007</v>
      </c>
      <c r="AE22" s="31">
        <v>0</v>
      </c>
      <c r="AF22" t="b">
        <v>0</v>
      </c>
      <c r="AG22" s="78">
        <v>-9.3000000000000007</v>
      </c>
    </row>
    <row r="23" spans="1:33" x14ac:dyDescent="0.25">
      <c r="A23" t="str">
        <f t="shared" si="0"/>
        <v>2020-22</v>
      </c>
      <c r="B23" s="1">
        <f t="shared" si="1"/>
        <v>43857</v>
      </c>
      <c r="C23" t="str">
        <f t="shared" si="2"/>
        <v>3293000008773879/car2go Österreich GmbH, Hintere Zollamtstraße 9, 1030 Wien</v>
      </c>
      <c r="D23" t="str">
        <f t="shared" si="3"/>
        <v>Ausgaben</v>
      </c>
      <c r="E23" t="str">
        <f t="shared" si="4"/>
        <v>Reise- und Fahrtspesen inkl. Kilometergeld und Diäten</v>
      </c>
      <c r="F23" s="117">
        <f t="shared" si="5"/>
        <v>8.9879999999999995</v>
      </c>
      <c r="G23" t="str">
        <f t="shared" si="6"/>
        <v>20%</v>
      </c>
      <c r="I23" s="53">
        <v>2020</v>
      </c>
      <c r="J23" s="53">
        <v>22</v>
      </c>
      <c r="K23" s="71" t="s">
        <v>105</v>
      </c>
      <c r="L23" t="s">
        <v>689</v>
      </c>
      <c r="M23" s="74" t="s">
        <v>1241</v>
      </c>
      <c r="N23" s="1">
        <v>43857</v>
      </c>
      <c r="O23" t="s">
        <v>974</v>
      </c>
      <c r="Q23" s="76"/>
      <c r="R23" t="b">
        <v>0</v>
      </c>
      <c r="S23" s="48">
        <v>7.49</v>
      </c>
      <c r="T23" s="72">
        <v>1</v>
      </c>
      <c r="U23">
        <v>20</v>
      </c>
      <c r="V23" s="31">
        <v>1.4980000000000002</v>
      </c>
      <c r="W23" s="31">
        <v>1.4980000000000002</v>
      </c>
      <c r="X23" s="33">
        <v>7.49</v>
      </c>
      <c r="Y23" s="29">
        <v>8.9879999999999995</v>
      </c>
      <c r="Z23" s="29">
        <v>8.9879999999999995</v>
      </c>
      <c r="AA23" s="35">
        <v>43966</v>
      </c>
      <c r="AB23" s="27"/>
      <c r="AC23" s="27"/>
      <c r="AD23" s="58">
        <v>7.49</v>
      </c>
      <c r="AE23" s="31">
        <v>0</v>
      </c>
      <c r="AF23" t="b">
        <v>0</v>
      </c>
      <c r="AG23" s="78">
        <v>-7.49</v>
      </c>
    </row>
    <row r="24" spans="1:33" x14ac:dyDescent="0.25">
      <c r="A24" t="str">
        <f t="shared" si="0"/>
        <v>2020-23</v>
      </c>
      <c r="B24" s="1">
        <f t="shared" si="1"/>
        <v>43857</v>
      </c>
      <c r="C24" t="str">
        <f t="shared" si="2"/>
        <v>RE0806899/easyname GmbH, Fernkorngasse 10/3/501, A-1100 Wien</v>
      </c>
      <c r="D24" t="str">
        <f t="shared" si="3"/>
        <v>Ausgaben</v>
      </c>
      <c r="E24" t="str">
        <f t="shared" si="4"/>
        <v>sonstige Betriebsausgaben</v>
      </c>
      <c r="F24" s="117">
        <f t="shared" si="5"/>
        <v>19.895999999999997</v>
      </c>
      <c r="G24" t="str">
        <f t="shared" si="6"/>
        <v>20%</v>
      </c>
      <c r="I24" s="53">
        <v>2020</v>
      </c>
      <c r="J24" s="53">
        <v>23</v>
      </c>
      <c r="K24" s="71" t="s">
        <v>105</v>
      </c>
      <c r="L24" t="s">
        <v>705</v>
      </c>
      <c r="M24" s="74" t="s">
        <v>1242</v>
      </c>
      <c r="N24" s="1">
        <v>43857</v>
      </c>
      <c r="O24" t="s">
        <v>941</v>
      </c>
      <c r="Q24" s="76"/>
      <c r="R24" t="b">
        <v>0</v>
      </c>
      <c r="S24" s="48">
        <v>16.579999999999998</v>
      </c>
      <c r="T24" s="72">
        <v>1</v>
      </c>
      <c r="U24">
        <v>20</v>
      </c>
      <c r="V24" s="31">
        <v>3.3159999999999998</v>
      </c>
      <c r="W24" s="31">
        <v>3.3159999999999998</v>
      </c>
      <c r="X24" s="33">
        <v>16.579999999999998</v>
      </c>
      <c r="Y24" s="29">
        <v>19.895999999999997</v>
      </c>
      <c r="Z24" s="29">
        <v>19.895999999999997</v>
      </c>
      <c r="AA24" s="35">
        <v>43966</v>
      </c>
      <c r="AB24" s="27"/>
      <c r="AC24" s="27"/>
      <c r="AD24" s="58">
        <v>16.579999999999998</v>
      </c>
      <c r="AE24" s="31">
        <v>0</v>
      </c>
      <c r="AF24" t="b">
        <v>0</v>
      </c>
      <c r="AG24" s="78">
        <v>-16.579999999999998</v>
      </c>
    </row>
    <row r="25" spans="1:33" x14ac:dyDescent="0.25">
      <c r="A25" t="str">
        <f t="shared" si="0"/>
        <v>2020-24</v>
      </c>
      <c r="B25" s="1">
        <f t="shared" si="1"/>
        <v>43857</v>
      </c>
      <c r="C25" t="str">
        <f t="shared" si="2"/>
        <v>3293000008778470/car2go Österreich GmbH, Hintere Zollamtstraße 9, 1030 Wien</v>
      </c>
      <c r="D25" t="str">
        <f t="shared" si="3"/>
        <v>Ausgaben</v>
      </c>
      <c r="E25" t="str">
        <f t="shared" si="4"/>
        <v>Reise- und Fahrtspesen inkl. Kilometergeld und Diäten</v>
      </c>
      <c r="F25" s="117">
        <f t="shared" si="5"/>
        <v>3.0960000000000001</v>
      </c>
      <c r="G25" t="str">
        <f t="shared" si="6"/>
        <v>20%</v>
      </c>
      <c r="I25" s="53">
        <v>2020</v>
      </c>
      <c r="J25" s="53">
        <v>24</v>
      </c>
      <c r="K25" s="71" t="s">
        <v>105</v>
      </c>
      <c r="L25" t="s">
        <v>689</v>
      </c>
      <c r="M25" s="74" t="s">
        <v>1243</v>
      </c>
      <c r="N25" s="1">
        <v>43857</v>
      </c>
      <c r="O25" t="s">
        <v>974</v>
      </c>
      <c r="Q25" s="76"/>
      <c r="R25" t="b">
        <v>0</v>
      </c>
      <c r="S25" s="48">
        <v>2.58</v>
      </c>
      <c r="T25" s="72">
        <v>1</v>
      </c>
      <c r="U25">
        <v>20</v>
      </c>
      <c r="V25" s="31">
        <v>0.51600000000000001</v>
      </c>
      <c r="W25" s="31">
        <v>0.51600000000000001</v>
      </c>
      <c r="X25" s="33">
        <v>2.58</v>
      </c>
      <c r="Y25" s="29">
        <v>3.0960000000000001</v>
      </c>
      <c r="Z25" s="29">
        <v>3.0960000000000001</v>
      </c>
      <c r="AA25" s="35">
        <v>43966</v>
      </c>
      <c r="AB25" s="27"/>
      <c r="AC25" s="27"/>
      <c r="AD25" s="58">
        <v>2.58</v>
      </c>
      <c r="AE25" s="31">
        <v>0</v>
      </c>
      <c r="AF25" t="b">
        <v>0</v>
      </c>
      <c r="AG25" s="78">
        <v>-2.58</v>
      </c>
    </row>
    <row r="26" spans="1:33" x14ac:dyDescent="0.25">
      <c r="A26" t="str">
        <f t="shared" si="0"/>
        <v>2020-25</v>
      </c>
      <c r="B26" s="1">
        <f t="shared" si="1"/>
        <v>43857</v>
      </c>
      <c r="C26" t="str">
        <f t="shared" si="2"/>
        <v>ATINV20000000137701/Ikea Möbelvertrieb OHG, Südring, 2334 Vösendorf</v>
      </c>
      <c r="D26" t="str">
        <f t="shared" si="3"/>
        <v>Ausgaben</v>
      </c>
      <c r="E26" t="str">
        <f t="shared" si="4"/>
        <v>sonstige Betriebsausgaben</v>
      </c>
      <c r="F26" s="117">
        <f t="shared" si="5"/>
        <v>479.904</v>
      </c>
      <c r="G26" t="str">
        <f t="shared" si="6"/>
        <v>20%</v>
      </c>
      <c r="I26" s="53">
        <v>2020</v>
      </c>
      <c r="J26" s="53">
        <v>25</v>
      </c>
      <c r="K26" s="71" t="s">
        <v>105</v>
      </c>
      <c r="L26" t="s">
        <v>705</v>
      </c>
      <c r="M26" s="1" t="s">
        <v>1245</v>
      </c>
      <c r="N26" s="1">
        <v>43857</v>
      </c>
      <c r="O26" t="s">
        <v>1244</v>
      </c>
      <c r="Q26" s="76"/>
      <c r="R26" t="b">
        <v>0</v>
      </c>
      <c r="S26" s="48">
        <v>399.92</v>
      </c>
      <c r="T26" s="72">
        <v>1</v>
      </c>
      <c r="U26">
        <v>20</v>
      </c>
      <c r="V26" s="31">
        <v>79.984000000000009</v>
      </c>
      <c r="W26" s="31">
        <v>79.984000000000009</v>
      </c>
      <c r="X26" s="33">
        <v>399.92</v>
      </c>
      <c r="Y26" s="29">
        <v>479.904</v>
      </c>
      <c r="Z26" s="29">
        <v>479.904</v>
      </c>
      <c r="AA26" s="35">
        <v>43966</v>
      </c>
      <c r="AB26" s="27"/>
      <c r="AC26" s="27"/>
      <c r="AD26" s="58">
        <v>399.92</v>
      </c>
      <c r="AE26" s="31">
        <v>0</v>
      </c>
      <c r="AF26" t="b">
        <v>0</v>
      </c>
      <c r="AG26" s="78">
        <v>-399.92</v>
      </c>
    </row>
    <row r="27" spans="1:33" x14ac:dyDescent="0.25">
      <c r="A27" t="str">
        <f t="shared" si="0"/>
        <v>2020-26</v>
      </c>
      <c r="B27" s="1">
        <f t="shared" si="1"/>
        <v>43859</v>
      </c>
      <c r="C27" t="str">
        <f t="shared" si="2"/>
        <v>3293000008798136/car2go Österreich GmbH, Hintere Zollamtstraße 9, 1030 Wien</v>
      </c>
      <c r="D27" t="str">
        <f t="shared" si="3"/>
        <v>Ausgaben</v>
      </c>
      <c r="E27" t="str">
        <f t="shared" si="4"/>
        <v>Reise- und Fahrtspesen inkl. Kilometergeld und Diäten</v>
      </c>
      <c r="F27" s="117">
        <f t="shared" si="5"/>
        <v>3.0960000000000001</v>
      </c>
      <c r="G27" t="str">
        <f t="shared" si="6"/>
        <v>20%</v>
      </c>
      <c r="I27" s="53">
        <v>2020</v>
      </c>
      <c r="J27" s="53">
        <v>26</v>
      </c>
      <c r="K27" s="71" t="s">
        <v>105</v>
      </c>
      <c r="L27" t="s">
        <v>689</v>
      </c>
      <c r="M27" s="74" t="s">
        <v>1246</v>
      </c>
      <c r="N27" s="1">
        <v>43859</v>
      </c>
      <c r="O27" t="s">
        <v>974</v>
      </c>
      <c r="Q27" s="76"/>
      <c r="R27" t="b">
        <v>0</v>
      </c>
      <c r="S27" s="48">
        <v>2.58</v>
      </c>
      <c r="T27" s="72">
        <v>1</v>
      </c>
      <c r="U27">
        <v>20</v>
      </c>
      <c r="V27" s="31">
        <v>0.51600000000000001</v>
      </c>
      <c r="W27" s="31">
        <v>0.51600000000000001</v>
      </c>
      <c r="X27" s="33">
        <v>2.58</v>
      </c>
      <c r="Y27" s="29">
        <v>3.0960000000000001</v>
      </c>
      <c r="Z27" s="29">
        <v>3.0960000000000001</v>
      </c>
      <c r="AA27" s="35">
        <v>43966</v>
      </c>
      <c r="AB27" s="27"/>
      <c r="AC27" s="27"/>
      <c r="AD27" s="58">
        <v>2.58</v>
      </c>
      <c r="AE27" s="31">
        <v>0</v>
      </c>
      <c r="AF27" t="b">
        <v>0</v>
      </c>
      <c r="AG27" s="78">
        <v>-2.58</v>
      </c>
    </row>
    <row r="28" spans="1:33" x14ac:dyDescent="0.25">
      <c r="A28" t="str">
        <f t="shared" si="0"/>
        <v>2020-27</v>
      </c>
      <c r="B28" s="1">
        <f t="shared" si="1"/>
        <v>43860</v>
      </c>
      <c r="C28" t="str">
        <f t="shared" si="2"/>
        <v>3293000008801077/car2go Österreich GmbH, Hintere Zollamtstraße 9, 1030 Wien</v>
      </c>
      <c r="D28" t="str">
        <f t="shared" si="3"/>
        <v>Ausgaben</v>
      </c>
      <c r="E28" t="str">
        <f t="shared" si="4"/>
        <v>Reise- und Fahrtspesen inkl. Kilometergeld und Diäten</v>
      </c>
      <c r="F28" s="117">
        <f t="shared" si="5"/>
        <v>2.52</v>
      </c>
      <c r="G28" t="str">
        <f t="shared" si="6"/>
        <v>20%</v>
      </c>
      <c r="I28" s="53">
        <v>2020</v>
      </c>
      <c r="J28" s="53">
        <v>27</v>
      </c>
      <c r="K28" s="71" t="s">
        <v>105</v>
      </c>
      <c r="L28" t="s">
        <v>689</v>
      </c>
      <c r="M28" s="74" t="s">
        <v>1247</v>
      </c>
      <c r="N28" s="1">
        <v>43860</v>
      </c>
      <c r="O28" t="s">
        <v>974</v>
      </c>
      <c r="Q28" s="76"/>
      <c r="R28" t="b">
        <v>0</v>
      </c>
      <c r="S28" s="48">
        <v>2.1</v>
      </c>
      <c r="T28" s="72">
        <v>1</v>
      </c>
      <c r="U28">
        <v>20</v>
      </c>
      <c r="V28" s="31">
        <v>0.42</v>
      </c>
      <c r="W28" s="31">
        <v>0.42</v>
      </c>
      <c r="X28" s="33">
        <v>2.1</v>
      </c>
      <c r="Y28" s="29">
        <v>2.52</v>
      </c>
      <c r="Z28" s="29">
        <v>2.52</v>
      </c>
      <c r="AA28" s="35">
        <v>43966</v>
      </c>
      <c r="AB28" s="27"/>
      <c r="AC28" s="27"/>
      <c r="AD28" s="58">
        <v>2.1</v>
      </c>
      <c r="AE28" s="31">
        <v>0</v>
      </c>
      <c r="AF28" t="b">
        <v>0</v>
      </c>
      <c r="AG28" s="78">
        <v>-2.1</v>
      </c>
    </row>
    <row r="29" spans="1:33" x14ac:dyDescent="0.25">
      <c r="A29" t="str">
        <f t="shared" si="0"/>
        <v>2020-28</v>
      </c>
      <c r="B29" s="1">
        <f t="shared" si="1"/>
        <v>43864</v>
      </c>
      <c r="C29" t="str">
        <f t="shared" si="2"/>
        <v>3293000008817893/car2go Österreich GmbH, Hintere Zollamtstraße 9, 1030 Wien</v>
      </c>
      <c r="D29" t="str">
        <f t="shared" si="3"/>
        <v>Ausgaben</v>
      </c>
      <c r="E29" t="str">
        <f t="shared" si="4"/>
        <v>Reise- und Fahrtspesen inkl. Kilometergeld und Diäten</v>
      </c>
      <c r="F29" s="117">
        <f t="shared" si="5"/>
        <v>11.4</v>
      </c>
      <c r="G29" t="str">
        <f t="shared" si="6"/>
        <v>20%</v>
      </c>
      <c r="I29" s="53">
        <v>2020</v>
      </c>
      <c r="J29" s="53">
        <v>28</v>
      </c>
      <c r="K29" s="71" t="s">
        <v>105</v>
      </c>
      <c r="L29" t="s">
        <v>689</v>
      </c>
      <c r="M29" s="74" t="s">
        <v>1248</v>
      </c>
      <c r="N29" s="1">
        <v>43864</v>
      </c>
      <c r="O29" t="s">
        <v>974</v>
      </c>
      <c r="Q29" s="76"/>
      <c r="R29" t="b">
        <v>0</v>
      </c>
      <c r="S29" s="48">
        <v>9.5</v>
      </c>
      <c r="T29" s="72">
        <v>1</v>
      </c>
      <c r="U29">
        <v>20</v>
      </c>
      <c r="V29" s="31">
        <v>1.9</v>
      </c>
      <c r="W29" s="31">
        <v>1.9</v>
      </c>
      <c r="X29" s="33">
        <v>9.5</v>
      </c>
      <c r="Y29" s="29">
        <v>11.4</v>
      </c>
      <c r="Z29" s="29">
        <v>11.4</v>
      </c>
      <c r="AA29" s="35">
        <v>43966</v>
      </c>
      <c r="AB29" s="27"/>
      <c r="AC29" s="27"/>
      <c r="AD29" s="58">
        <v>9.5</v>
      </c>
      <c r="AE29" s="31">
        <v>0</v>
      </c>
      <c r="AF29" t="b">
        <v>0</v>
      </c>
      <c r="AG29" s="78">
        <v>-9.5</v>
      </c>
    </row>
    <row r="30" spans="1:33" x14ac:dyDescent="0.25">
      <c r="A30" t="str">
        <f t="shared" si="0"/>
        <v>2020-29</v>
      </c>
      <c r="B30" s="1">
        <f t="shared" si="1"/>
        <v>43864</v>
      </c>
      <c r="C30" t="str">
        <f t="shared" si="2"/>
        <v>3293000008813656/car2go Österreich GmbH, Hintere Zollamtstraße 9, 1030 Wien</v>
      </c>
      <c r="D30" t="str">
        <f t="shared" si="3"/>
        <v>Ausgaben</v>
      </c>
      <c r="E30" t="str">
        <f t="shared" si="4"/>
        <v>Reise- und Fahrtspesen inkl. Kilometergeld und Diäten</v>
      </c>
      <c r="F30" s="117">
        <f t="shared" si="5"/>
        <v>7.2</v>
      </c>
      <c r="G30" t="str">
        <f t="shared" si="6"/>
        <v>20%</v>
      </c>
      <c r="I30" s="53">
        <v>2020</v>
      </c>
      <c r="J30" s="53">
        <v>29</v>
      </c>
      <c r="K30" s="71" t="s">
        <v>105</v>
      </c>
      <c r="L30" t="s">
        <v>689</v>
      </c>
      <c r="M30" s="74" t="s">
        <v>1249</v>
      </c>
      <c r="N30" s="1">
        <v>43864</v>
      </c>
      <c r="O30" t="s">
        <v>974</v>
      </c>
      <c r="Q30" s="76"/>
      <c r="R30" t="b">
        <v>0</v>
      </c>
      <c r="S30" s="48">
        <v>6</v>
      </c>
      <c r="T30" s="72">
        <v>1</v>
      </c>
      <c r="U30">
        <v>20</v>
      </c>
      <c r="V30" s="31">
        <v>1.2</v>
      </c>
      <c r="W30" s="31">
        <v>1.2</v>
      </c>
      <c r="X30" s="33">
        <v>6</v>
      </c>
      <c r="Y30" s="29">
        <v>7.2</v>
      </c>
      <c r="Z30" s="29">
        <v>7.2</v>
      </c>
      <c r="AA30" s="35">
        <v>43966</v>
      </c>
      <c r="AB30" s="27"/>
      <c r="AC30" s="27"/>
      <c r="AD30" s="58">
        <v>6</v>
      </c>
      <c r="AE30" s="31">
        <v>0</v>
      </c>
      <c r="AF30" t="b">
        <v>0</v>
      </c>
      <c r="AG30" s="78">
        <v>-6</v>
      </c>
    </row>
    <row r="31" spans="1:33" x14ac:dyDescent="0.25">
      <c r="A31" t="str">
        <f t="shared" si="0"/>
        <v>2020-30</v>
      </c>
      <c r="B31" s="1">
        <f t="shared" si="1"/>
        <v>43864</v>
      </c>
      <c r="C31" t="str">
        <f t="shared" si="2"/>
        <v>20/9801/VS00043/Bontus Immobilienverwaltung GmbH, 1010 Wien, Franz Josefs Kai 65</v>
      </c>
      <c r="D31" t="str">
        <f t="shared" si="3"/>
        <v>Ausgaben</v>
      </c>
      <c r="E31" t="str">
        <f t="shared" si="4"/>
        <v>Miet- und Pachtaufwand, Leasing</v>
      </c>
      <c r="F31" s="117">
        <f t="shared" si="5"/>
        <v>554.928</v>
      </c>
      <c r="G31" t="str">
        <f t="shared" si="6"/>
        <v>20%</v>
      </c>
      <c r="I31" s="53">
        <v>2020</v>
      </c>
      <c r="J31" s="53">
        <v>30</v>
      </c>
      <c r="K31" s="71" t="s">
        <v>105</v>
      </c>
      <c r="L31" t="s">
        <v>691</v>
      </c>
      <c r="M31" s="74" t="s">
        <v>1250</v>
      </c>
      <c r="N31" s="1">
        <v>43864</v>
      </c>
      <c r="O31" t="s">
        <v>1113</v>
      </c>
      <c r="Q31" s="76"/>
      <c r="R31" t="b">
        <v>0</v>
      </c>
      <c r="S31" s="48">
        <v>462.44</v>
      </c>
      <c r="T31" s="72">
        <v>1</v>
      </c>
      <c r="U31">
        <v>20</v>
      </c>
      <c r="V31" s="31">
        <v>92.488</v>
      </c>
      <c r="W31" s="31">
        <v>92.488</v>
      </c>
      <c r="X31" s="33">
        <v>462.44</v>
      </c>
      <c r="Y31" s="29">
        <v>554.928</v>
      </c>
      <c r="Z31" s="29">
        <v>554.928</v>
      </c>
      <c r="AA31" s="35">
        <v>43966</v>
      </c>
      <c r="AB31" s="27"/>
      <c r="AC31" s="27"/>
      <c r="AD31" s="58">
        <v>462.44</v>
      </c>
      <c r="AE31" s="31">
        <v>0</v>
      </c>
      <c r="AF31" t="b">
        <v>0</v>
      </c>
      <c r="AG31" s="78">
        <v>-462.44</v>
      </c>
    </row>
    <row r="32" spans="1:33" x14ac:dyDescent="0.25">
      <c r="A32" t="str">
        <f t="shared" si="0"/>
        <v>2020-31</v>
      </c>
      <c r="B32" s="1">
        <f t="shared" si="1"/>
        <v>43864</v>
      </c>
      <c r="C32" t="str">
        <f t="shared" si="2"/>
        <v>3293000008839656/car2go Österreich GmbH, Hintere Zollamtstraße 9, 1030 Wien</v>
      </c>
      <c r="D32" t="str">
        <f t="shared" si="3"/>
        <v>Ausgaben</v>
      </c>
      <c r="E32" t="str">
        <f t="shared" si="4"/>
        <v>Reise- und Fahrtspesen inkl. Kilometergeld und Diäten</v>
      </c>
      <c r="F32" s="117">
        <f t="shared" si="5"/>
        <v>3.0960000000000001</v>
      </c>
      <c r="G32" t="str">
        <f t="shared" si="6"/>
        <v>20%</v>
      </c>
      <c r="I32" s="53">
        <v>2020</v>
      </c>
      <c r="J32" s="53">
        <v>31</v>
      </c>
      <c r="K32" s="71" t="s">
        <v>105</v>
      </c>
      <c r="L32" t="s">
        <v>689</v>
      </c>
      <c r="M32" s="74" t="s">
        <v>1251</v>
      </c>
      <c r="N32" s="1">
        <v>43864</v>
      </c>
      <c r="O32" t="s">
        <v>974</v>
      </c>
      <c r="Q32" s="76"/>
      <c r="R32" t="b">
        <v>0</v>
      </c>
      <c r="S32" s="48">
        <v>2.58</v>
      </c>
      <c r="T32" s="72">
        <v>1</v>
      </c>
      <c r="U32">
        <v>20</v>
      </c>
      <c r="V32" s="31">
        <v>0.51600000000000001</v>
      </c>
      <c r="W32" s="31">
        <v>0.51600000000000001</v>
      </c>
      <c r="X32" s="33">
        <v>2.58</v>
      </c>
      <c r="Y32" s="29">
        <v>3.0960000000000001</v>
      </c>
      <c r="Z32" s="29">
        <v>3.0960000000000001</v>
      </c>
      <c r="AA32" s="35">
        <v>43966</v>
      </c>
      <c r="AB32" s="27"/>
      <c r="AC32" s="27"/>
      <c r="AD32" s="58">
        <v>2.58</v>
      </c>
      <c r="AE32" s="31">
        <v>0</v>
      </c>
      <c r="AF32" t="b">
        <v>0</v>
      </c>
      <c r="AG32" s="78">
        <v>-2.58</v>
      </c>
    </row>
    <row r="33" spans="1:33" x14ac:dyDescent="0.25">
      <c r="A33" t="str">
        <f t="shared" si="0"/>
        <v>2020-32</v>
      </c>
      <c r="B33" s="1">
        <f t="shared" si="1"/>
        <v>43865</v>
      </c>
      <c r="C33" t="str">
        <f t="shared" si="2"/>
        <v>BELEG FEHLT/Aon Austria GmbH</v>
      </c>
      <c r="D33" t="str">
        <f t="shared" si="3"/>
        <v>Ausgaben</v>
      </c>
      <c r="E33" t="str">
        <f t="shared" si="4"/>
        <v>sonstige Betriebsausgaben</v>
      </c>
      <c r="F33" s="117">
        <f t="shared" si="5"/>
        <v>235.6</v>
      </c>
      <c r="G33" t="str">
        <f t="shared" si="6"/>
        <v>20%</v>
      </c>
      <c r="I33" s="53">
        <v>2020</v>
      </c>
      <c r="J33" s="53">
        <v>32</v>
      </c>
      <c r="K33" s="71" t="s">
        <v>105</v>
      </c>
      <c r="L33" t="s">
        <v>705</v>
      </c>
      <c r="M33" s="88" t="s">
        <v>1064</v>
      </c>
      <c r="N33" s="1">
        <v>43865</v>
      </c>
      <c r="O33" t="s">
        <v>934</v>
      </c>
      <c r="Q33" s="76"/>
      <c r="R33" t="b">
        <v>0</v>
      </c>
      <c r="S33" s="48">
        <v>196.33333333333334</v>
      </c>
      <c r="T33" s="72">
        <v>1</v>
      </c>
      <c r="U33">
        <v>20</v>
      </c>
      <c r="V33" s="31">
        <v>39.266666666666673</v>
      </c>
      <c r="W33" s="31">
        <v>39.266666666666673</v>
      </c>
      <c r="X33" s="33">
        <v>196.33333333333334</v>
      </c>
      <c r="Y33" s="29">
        <v>235.60000000000002</v>
      </c>
      <c r="Z33" s="29">
        <v>235.6</v>
      </c>
      <c r="AA33" s="35">
        <v>43966</v>
      </c>
      <c r="AB33" s="27"/>
      <c r="AC33" s="27"/>
      <c r="AD33" s="58">
        <v>196.33333333333334</v>
      </c>
      <c r="AE33" s="31">
        <v>0</v>
      </c>
      <c r="AF33" t="b">
        <v>0</v>
      </c>
      <c r="AG33" s="78">
        <v>-196.33333333333334</v>
      </c>
    </row>
    <row r="34" spans="1:33" x14ac:dyDescent="0.25">
      <c r="A34" t="str">
        <f t="shared" si="0"/>
        <v>2020-33</v>
      </c>
      <c r="B34" s="1">
        <f t="shared" si="1"/>
        <v>43866</v>
      </c>
      <c r="C34" t="str">
        <f t="shared" si="2"/>
        <v>807693/easy green energy</v>
      </c>
      <c r="D34" t="str">
        <f t="shared" si="3"/>
        <v>Ausgaben</v>
      </c>
      <c r="E34" t="str">
        <f t="shared" si="4"/>
        <v>sonstige Betriebsausgaben</v>
      </c>
      <c r="F34" s="117">
        <f t="shared" si="5"/>
        <v>3</v>
      </c>
      <c r="G34" t="str">
        <f t="shared" si="6"/>
        <v>20%</v>
      </c>
      <c r="I34" s="53">
        <v>2020</v>
      </c>
      <c r="J34" s="53">
        <v>33</v>
      </c>
      <c r="K34" s="71" t="s">
        <v>105</v>
      </c>
      <c r="L34" t="s">
        <v>705</v>
      </c>
      <c r="M34" s="74" t="s">
        <v>1225</v>
      </c>
      <c r="N34" s="1">
        <v>43866</v>
      </c>
      <c r="O34" t="s">
        <v>1154</v>
      </c>
      <c r="Q34" s="76"/>
      <c r="R34" t="b">
        <v>0</v>
      </c>
      <c r="S34" s="48">
        <v>2.5</v>
      </c>
      <c r="T34" s="72">
        <v>1</v>
      </c>
      <c r="U34">
        <v>20</v>
      </c>
      <c r="V34" s="31">
        <v>0.5</v>
      </c>
      <c r="W34" s="31">
        <v>0.5</v>
      </c>
      <c r="X34" s="33">
        <v>2.5</v>
      </c>
      <c r="Y34" s="29">
        <v>3</v>
      </c>
      <c r="Z34" s="29">
        <v>3</v>
      </c>
      <c r="AA34" s="35">
        <v>43966</v>
      </c>
      <c r="AB34" s="27"/>
      <c r="AC34" s="27"/>
      <c r="AD34" s="58">
        <v>2.5</v>
      </c>
      <c r="AE34" s="31">
        <v>0</v>
      </c>
      <c r="AF34" t="b">
        <v>0</v>
      </c>
      <c r="AG34" s="78">
        <v>-2.5</v>
      </c>
    </row>
    <row r="35" spans="1:33" x14ac:dyDescent="0.25">
      <c r="A35" t="str">
        <f t="shared" si="0"/>
        <v>2020-34</v>
      </c>
      <c r="B35" s="1">
        <f t="shared" si="1"/>
        <v>43866</v>
      </c>
      <c r="C35" t="str">
        <f t="shared" si="2"/>
        <v>AEU-INV-PL-2020-610134/Amazon EU S. à r.l., 38 avenue John F. Kennedy, L-1855 Luxembourg: HJEU: DVI-HDMI, Logitech Maus</v>
      </c>
      <c r="D35" t="str">
        <f t="shared" si="3"/>
        <v>Ausgaben</v>
      </c>
      <c r="E35" t="str">
        <f t="shared" si="4"/>
        <v>Waren, Rohstoffe, Hilfsstoffe</v>
      </c>
      <c r="F35" s="117">
        <f t="shared" si="5"/>
        <v>6.21</v>
      </c>
      <c r="G35" t="str">
        <f t="shared" si="6"/>
        <v>0%</v>
      </c>
      <c r="I35" s="53">
        <v>2020</v>
      </c>
      <c r="J35" s="53">
        <v>34</v>
      </c>
      <c r="K35" s="71" t="s">
        <v>105</v>
      </c>
      <c r="L35" t="s">
        <v>683</v>
      </c>
      <c r="M35" s="74" t="s">
        <v>1255</v>
      </c>
      <c r="N35" s="1">
        <v>43866</v>
      </c>
      <c r="O35" t="s">
        <v>981</v>
      </c>
      <c r="Q35" s="76"/>
      <c r="R35" t="b">
        <v>0</v>
      </c>
      <c r="S35" s="48">
        <v>6.21</v>
      </c>
      <c r="T35" s="72">
        <v>1</v>
      </c>
      <c r="U35">
        <v>0</v>
      </c>
      <c r="V35" s="31">
        <v>0</v>
      </c>
      <c r="W35" s="31">
        <v>0</v>
      </c>
      <c r="X35" s="33">
        <v>6.21</v>
      </c>
      <c r="Y35" s="29">
        <v>6.21</v>
      </c>
      <c r="Z35" s="29">
        <v>6.21</v>
      </c>
      <c r="AA35" s="35">
        <v>43966</v>
      </c>
      <c r="AB35" s="27"/>
      <c r="AC35" s="27">
        <v>20</v>
      </c>
      <c r="AD35" s="58">
        <v>6.21</v>
      </c>
      <c r="AE35" s="31">
        <v>1.242</v>
      </c>
      <c r="AF35" t="b">
        <v>0</v>
      </c>
      <c r="AG35" s="78">
        <v>-6.21</v>
      </c>
    </row>
    <row r="36" spans="1:33" x14ac:dyDescent="0.25">
      <c r="A36" t="str">
        <f t="shared" si="0"/>
        <v>2020-35</v>
      </c>
      <c r="B36" s="1">
        <f t="shared" si="1"/>
        <v>43867</v>
      </c>
      <c r="C36" t="str">
        <f t="shared" si="2"/>
        <v>3293000008849768/car2go Österreich GmbH, Hintere Zollamtstraße 9, 1030 Wien</v>
      </c>
      <c r="D36" t="str">
        <f t="shared" si="3"/>
        <v>Ausgaben</v>
      </c>
      <c r="E36" t="str">
        <f t="shared" si="4"/>
        <v>Reise- und Fahrtspesen inkl. Kilometergeld und Diäten</v>
      </c>
      <c r="F36" s="117">
        <f t="shared" si="5"/>
        <v>2.484</v>
      </c>
      <c r="G36" t="str">
        <f t="shared" si="6"/>
        <v>20%</v>
      </c>
      <c r="I36" s="53">
        <v>2020</v>
      </c>
      <c r="J36" s="53">
        <v>35</v>
      </c>
      <c r="K36" s="71" t="s">
        <v>105</v>
      </c>
      <c r="L36" t="s">
        <v>689</v>
      </c>
      <c r="M36" s="74" t="s">
        <v>1259</v>
      </c>
      <c r="N36" s="1">
        <v>43867</v>
      </c>
      <c r="O36" t="s">
        <v>974</v>
      </c>
      <c r="Q36" s="76"/>
      <c r="R36" t="b">
        <v>0</v>
      </c>
      <c r="S36" s="48">
        <v>2.0699999999999998</v>
      </c>
      <c r="T36" s="72">
        <v>1</v>
      </c>
      <c r="U36">
        <v>20</v>
      </c>
      <c r="V36" s="31">
        <v>0.41399999999999998</v>
      </c>
      <c r="W36" s="31">
        <v>0.41399999999999998</v>
      </c>
      <c r="X36" s="33">
        <v>2.0699999999999998</v>
      </c>
      <c r="Y36" s="29">
        <v>2.484</v>
      </c>
      <c r="Z36" s="29">
        <v>2.484</v>
      </c>
      <c r="AA36" s="35">
        <v>43966</v>
      </c>
      <c r="AB36" s="27"/>
      <c r="AC36" s="27"/>
      <c r="AD36" s="58">
        <v>2.0699999999999998</v>
      </c>
      <c r="AE36" s="31">
        <v>0</v>
      </c>
      <c r="AF36" t="b">
        <v>0</v>
      </c>
      <c r="AG36" s="78">
        <v>-2.0699999999999998</v>
      </c>
    </row>
    <row r="37" spans="1:33" x14ac:dyDescent="0.25">
      <c r="A37" t="str">
        <f t="shared" si="0"/>
        <v>2020-36</v>
      </c>
      <c r="B37" s="1">
        <f t="shared" si="1"/>
        <v>43867</v>
      </c>
      <c r="C37" t="str">
        <f t="shared" si="2"/>
        <v>3293000008843435/car2go Österreich GmbH, Hintere Zollamtstraße 9, 1030 Wien</v>
      </c>
      <c r="D37" t="str">
        <f t="shared" si="3"/>
        <v>Ausgaben</v>
      </c>
      <c r="E37" t="str">
        <f t="shared" si="4"/>
        <v>Reise- und Fahrtspesen inkl. Kilometergeld und Diäten</v>
      </c>
      <c r="F37" s="117">
        <f t="shared" si="5"/>
        <v>2.484</v>
      </c>
      <c r="G37" t="str">
        <f t="shared" si="6"/>
        <v>20%</v>
      </c>
      <c r="I37" s="53">
        <v>2020</v>
      </c>
      <c r="J37" s="53">
        <v>36</v>
      </c>
      <c r="K37" s="71" t="s">
        <v>105</v>
      </c>
      <c r="L37" t="s">
        <v>689</v>
      </c>
      <c r="M37" s="74" t="s">
        <v>1281</v>
      </c>
      <c r="N37" s="1">
        <v>43867</v>
      </c>
      <c r="O37" t="s">
        <v>974</v>
      </c>
      <c r="Q37" s="76"/>
      <c r="R37" t="b">
        <v>0</v>
      </c>
      <c r="S37" s="48">
        <v>2.0699999999999998</v>
      </c>
      <c r="T37" s="72">
        <v>1</v>
      </c>
      <c r="U37">
        <v>20</v>
      </c>
      <c r="V37" s="31">
        <v>0.41399999999999998</v>
      </c>
      <c r="W37" s="31">
        <v>0.41399999999999998</v>
      </c>
      <c r="X37" s="33">
        <v>2.0699999999999998</v>
      </c>
      <c r="Y37" s="29">
        <v>2.484</v>
      </c>
      <c r="Z37" s="29">
        <v>2.484</v>
      </c>
      <c r="AA37" s="35">
        <v>43966</v>
      </c>
      <c r="AB37" s="27"/>
      <c r="AC37" s="27"/>
      <c r="AD37" s="58">
        <v>2.0699999999999998</v>
      </c>
      <c r="AE37" s="31">
        <v>0</v>
      </c>
      <c r="AF37" t="b">
        <v>0</v>
      </c>
      <c r="AG37" s="78">
        <v>-2.0699999999999998</v>
      </c>
    </row>
    <row r="38" spans="1:33" x14ac:dyDescent="0.25">
      <c r="A38" t="str">
        <f t="shared" si="0"/>
        <v>2020-37</v>
      </c>
      <c r="B38" s="1">
        <f t="shared" si="1"/>
        <v>43867</v>
      </c>
      <c r="C38" t="str">
        <f t="shared" si="2"/>
        <v>DT-VO/20-01-031-9351764/Techem Messtechnik GmbH; Abnehmernummer 501686-0003-11-(</v>
      </c>
      <c r="D38" t="str">
        <f t="shared" si="3"/>
        <v>Ausgaben</v>
      </c>
      <c r="E38" t="str">
        <f t="shared" si="4"/>
        <v>sonstige Betriebsausgaben</v>
      </c>
      <c r="F38" s="117">
        <f t="shared" si="5"/>
        <v>43.900000000000006</v>
      </c>
      <c r="G38" t="str">
        <f t="shared" si="6"/>
        <v>20%</v>
      </c>
      <c r="I38" s="53">
        <v>2020</v>
      </c>
      <c r="J38" s="53">
        <v>37</v>
      </c>
      <c r="K38" s="71" t="s">
        <v>105</v>
      </c>
      <c r="L38" t="s">
        <v>705</v>
      </c>
      <c r="M38" s="74" t="s">
        <v>1256</v>
      </c>
      <c r="N38" s="1">
        <v>43867</v>
      </c>
      <c r="O38" t="s">
        <v>1128</v>
      </c>
      <c r="Q38" s="76"/>
      <c r="R38" t="b">
        <v>0</v>
      </c>
      <c r="S38" s="48">
        <v>36.583333333333336</v>
      </c>
      <c r="T38" s="72">
        <v>1</v>
      </c>
      <c r="U38">
        <v>20</v>
      </c>
      <c r="V38" s="31">
        <v>7.3166666666666673</v>
      </c>
      <c r="W38" s="31">
        <v>7.3166666666666673</v>
      </c>
      <c r="X38" s="33">
        <v>36.583333333333336</v>
      </c>
      <c r="Y38" s="29">
        <v>43.900000000000006</v>
      </c>
      <c r="Z38" s="29">
        <v>43.900000000000006</v>
      </c>
      <c r="AA38" s="35">
        <v>43966</v>
      </c>
      <c r="AB38" s="27"/>
      <c r="AC38" s="27"/>
      <c r="AD38" s="58">
        <v>36.583333333333336</v>
      </c>
      <c r="AE38" s="31">
        <v>0</v>
      </c>
      <c r="AF38" t="b">
        <v>0</v>
      </c>
      <c r="AG38" s="78">
        <v>-36.583333333333336</v>
      </c>
    </row>
    <row r="39" spans="1:33" x14ac:dyDescent="0.25">
      <c r="A39" t="str">
        <f t="shared" si="0"/>
        <v>2020-38</v>
      </c>
      <c r="B39" s="1">
        <f t="shared" si="1"/>
        <v>43867</v>
      </c>
      <c r="C39" t="str">
        <f t="shared" si="2"/>
        <v>AEU-INV-PL-2020-630433/Amazon EU S. à r.l., 38 avenue John F. Kennedy, L-1855 Luxembourg: HJEU: DVI-HDMI, Logitech Maus</v>
      </c>
      <c r="D39" t="str">
        <f t="shared" si="3"/>
        <v>Ausgaben</v>
      </c>
      <c r="E39" t="str">
        <f t="shared" si="4"/>
        <v>Waren, Rohstoffe, Hilfsstoffe</v>
      </c>
      <c r="F39" s="117">
        <f t="shared" si="5"/>
        <v>39.82</v>
      </c>
      <c r="G39" t="str">
        <f t="shared" si="6"/>
        <v>0%</v>
      </c>
      <c r="I39" s="53">
        <v>2020</v>
      </c>
      <c r="J39" s="53">
        <v>38</v>
      </c>
      <c r="K39" s="71" t="s">
        <v>105</v>
      </c>
      <c r="L39" t="s">
        <v>683</v>
      </c>
      <c r="M39" s="74" t="s">
        <v>1257</v>
      </c>
      <c r="N39" s="1">
        <v>43867</v>
      </c>
      <c r="O39" t="s">
        <v>981</v>
      </c>
      <c r="Q39" s="76"/>
      <c r="R39" t="b">
        <v>0</v>
      </c>
      <c r="S39" s="48">
        <v>39.82</v>
      </c>
      <c r="T39" s="72">
        <v>1</v>
      </c>
      <c r="U39">
        <v>0</v>
      </c>
      <c r="V39" s="31">
        <v>0</v>
      </c>
      <c r="W39" s="31">
        <v>0</v>
      </c>
      <c r="X39" s="33">
        <v>39.82</v>
      </c>
      <c r="Y39" s="29">
        <v>39.82</v>
      </c>
      <c r="Z39" s="29">
        <v>39.82</v>
      </c>
      <c r="AA39" s="35">
        <v>43966</v>
      </c>
      <c r="AB39" s="27"/>
      <c r="AC39" s="27">
        <v>20</v>
      </c>
      <c r="AD39" s="58">
        <v>39.82</v>
      </c>
      <c r="AE39" s="31">
        <v>7.9640000000000004</v>
      </c>
      <c r="AF39" t="b">
        <v>0</v>
      </c>
      <c r="AG39" s="78">
        <v>-39.82</v>
      </c>
    </row>
    <row r="40" spans="1:33" x14ac:dyDescent="0.25">
      <c r="A40" t="str">
        <f t="shared" si="0"/>
        <v>2020-39</v>
      </c>
      <c r="B40" s="1">
        <f t="shared" si="1"/>
        <v>43867</v>
      </c>
      <c r="C40" t="str">
        <f t="shared" si="2"/>
        <v>6193771061/Hutchison Drei Austria GmbH, Brünner Straße 52, 1210 Wien, Österreich</v>
      </c>
      <c r="D40" t="str">
        <f t="shared" si="3"/>
        <v>Ausgaben</v>
      </c>
      <c r="E40" t="str">
        <f t="shared" si="4"/>
        <v>Telefon/Internet</v>
      </c>
      <c r="F40" s="117">
        <f t="shared" si="5"/>
        <v>18.228000000000002</v>
      </c>
      <c r="G40" t="str">
        <f t="shared" si="6"/>
        <v>20%</v>
      </c>
      <c r="I40" s="53">
        <v>2020</v>
      </c>
      <c r="J40" s="53">
        <v>39</v>
      </c>
      <c r="K40" s="71" t="s">
        <v>105</v>
      </c>
      <c r="L40" t="s">
        <v>703</v>
      </c>
      <c r="M40" s="74" t="s">
        <v>1258</v>
      </c>
      <c r="N40" s="1">
        <v>43867</v>
      </c>
      <c r="O40" t="s">
        <v>34</v>
      </c>
      <c r="Q40" s="76"/>
      <c r="R40" t="b">
        <v>0</v>
      </c>
      <c r="S40" s="48">
        <v>15.19</v>
      </c>
      <c r="T40" s="72">
        <v>1</v>
      </c>
      <c r="U40">
        <v>20</v>
      </c>
      <c r="V40" s="31">
        <v>3.0380000000000003</v>
      </c>
      <c r="W40" s="31">
        <v>3.0380000000000003</v>
      </c>
      <c r="X40" s="33">
        <v>15.19</v>
      </c>
      <c r="Y40" s="29">
        <v>18.228000000000002</v>
      </c>
      <c r="Z40" s="29">
        <v>18.228000000000002</v>
      </c>
      <c r="AA40" s="35">
        <v>43966</v>
      </c>
      <c r="AB40" s="27"/>
      <c r="AC40" s="27"/>
      <c r="AD40" s="58">
        <v>15.19</v>
      </c>
      <c r="AE40" s="31">
        <v>0</v>
      </c>
      <c r="AF40" t="b">
        <v>0</v>
      </c>
      <c r="AG40" s="78">
        <v>-15.19</v>
      </c>
    </row>
    <row r="41" spans="1:33" x14ac:dyDescent="0.25">
      <c r="A41" t="str">
        <f t="shared" si="0"/>
        <v>2020-40</v>
      </c>
      <c r="B41" s="1">
        <f t="shared" si="1"/>
        <v>43871</v>
      </c>
      <c r="C41" t="str">
        <f t="shared" si="2"/>
        <v>5112142283/Wiener Netze GmbH, Erdbergstraße 236, 1110 Wien, Postfach 422</v>
      </c>
      <c r="D41" t="str">
        <f t="shared" si="3"/>
        <v>Ausgaben</v>
      </c>
      <c r="E41" t="str">
        <f t="shared" si="4"/>
        <v>sonstige Betriebsausgaben</v>
      </c>
      <c r="F41" s="117">
        <f t="shared" si="5"/>
        <v>34.799999999999997</v>
      </c>
      <c r="G41" t="str">
        <f t="shared" si="6"/>
        <v>20%</v>
      </c>
      <c r="I41" s="53">
        <v>2020</v>
      </c>
      <c r="J41" s="53">
        <v>40</v>
      </c>
      <c r="K41" s="71" t="s">
        <v>105</v>
      </c>
      <c r="L41" t="s">
        <v>705</v>
      </c>
      <c r="M41" s="74" t="s">
        <v>1222</v>
      </c>
      <c r="N41" s="1">
        <v>43871</v>
      </c>
      <c r="O41" t="s">
        <v>1223</v>
      </c>
      <c r="Q41" s="76"/>
      <c r="R41" t="b">
        <v>0</v>
      </c>
      <c r="S41" s="109">
        <v>29</v>
      </c>
      <c r="T41" s="72">
        <v>1</v>
      </c>
      <c r="U41">
        <v>20</v>
      </c>
      <c r="V41" s="31">
        <v>5.8</v>
      </c>
      <c r="W41" s="31">
        <v>5.8</v>
      </c>
      <c r="X41" s="33">
        <v>29</v>
      </c>
      <c r="Y41" s="29">
        <v>34.799999999999997</v>
      </c>
      <c r="Z41" s="29">
        <v>34.799999999999997</v>
      </c>
      <c r="AA41" s="35">
        <v>43966</v>
      </c>
      <c r="AB41" s="27"/>
      <c r="AC41" s="27"/>
      <c r="AD41" s="58">
        <v>29</v>
      </c>
      <c r="AE41" s="31">
        <v>0</v>
      </c>
      <c r="AF41" t="b">
        <v>0</v>
      </c>
      <c r="AG41" s="78">
        <v>-29</v>
      </c>
    </row>
    <row r="42" spans="1:33" x14ac:dyDescent="0.25">
      <c r="A42" t="str">
        <f t="shared" si="0"/>
        <v>2020-41</v>
      </c>
      <c r="B42" s="1">
        <f t="shared" si="1"/>
        <v>43871</v>
      </c>
      <c r="C42" t="str">
        <f t="shared" si="2"/>
        <v>3293000008864776/car2go Österreich GmbH, Hintere Zollamtstraße 9, 1030 Wien</v>
      </c>
      <c r="D42" t="str">
        <f t="shared" si="3"/>
        <v>Ausgaben</v>
      </c>
      <c r="E42" t="str">
        <f t="shared" si="4"/>
        <v>Reise- und Fahrtspesen inkl. Kilometergeld und Diäten</v>
      </c>
      <c r="F42" s="117">
        <f t="shared" si="5"/>
        <v>3.444</v>
      </c>
      <c r="G42" t="str">
        <f t="shared" si="6"/>
        <v>20%</v>
      </c>
      <c r="I42" s="53">
        <v>2020</v>
      </c>
      <c r="J42" s="53">
        <v>41</v>
      </c>
      <c r="K42" s="71" t="s">
        <v>105</v>
      </c>
      <c r="L42" t="s">
        <v>689</v>
      </c>
      <c r="M42" s="74" t="s">
        <v>1260</v>
      </c>
      <c r="N42" s="1">
        <v>43871</v>
      </c>
      <c r="O42" t="s">
        <v>974</v>
      </c>
      <c r="Q42" s="76"/>
      <c r="R42" t="b">
        <v>0</v>
      </c>
      <c r="S42" s="48">
        <v>2.87</v>
      </c>
      <c r="T42" s="72">
        <v>1</v>
      </c>
      <c r="U42">
        <v>20</v>
      </c>
      <c r="V42" s="31">
        <v>0.57400000000000007</v>
      </c>
      <c r="W42" s="31">
        <v>0.57400000000000007</v>
      </c>
      <c r="X42" s="33">
        <v>2.87</v>
      </c>
      <c r="Y42" s="29">
        <v>3.444</v>
      </c>
      <c r="Z42" s="29">
        <v>3.444</v>
      </c>
      <c r="AA42" s="35">
        <v>43966</v>
      </c>
      <c r="AB42" s="27"/>
      <c r="AC42" s="27"/>
      <c r="AD42" s="58">
        <v>2.87</v>
      </c>
      <c r="AE42" s="31">
        <v>0</v>
      </c>
      <c r="AF42" t="b">
        <v>0</v>
      </c>
      <c r="AG42" s="78">
        <v>-2.87</v>
      </c>
    </row>
    <row r="43" spans="1:33" x14ac:dyDescent="0.25">
      <c r="A43" t="str">
        <f t="shared" si="0"/>
        <v>2020-42</v>
      </c>
      <c r="B43" s="1">
        <f t="shared" si="1"/>
        <v>43871</v>
      </c>
      <c r="C43" t="str">
        <f t="shared" si="2"/>
        <v>3293000008862527/car2go Österreich GmbH, Hintere Zollamtstraße 9, 1030 Wien</v>
      </c>
      <c r="D43" t="str">
        <f t="shared" si="3"/>
        <v>Ausgaben</v>
      </c>
      <c r="E43" t="str">
        <f t="shared" si="4"/>
        <v>Reise- und Fahrtspesen inkl. Kilometergeld und Diäten</v>
      </c>
      <c r="F43" s="117">
        <f t="shared" si="5"/>
        <v>2.1720000000000002</v>
      </c>
      <c r="G43" t="str">
        <f t="shared" si="6"/>
        <v>20%</v>
      </c>
      <c r="I43" s="53">
        <v>2020</v>
      </c>
      <c r="J43" s="53">
        <v>42</v>
      </c>
      <c r="K43" s="71" t="s">
        <v>105</v>
      </c>
      <c r="L43" t="s">
        <v>689</v>
      </c>
      <c r="M43" s="74" t="s">
        <v>1262</v>
      </c>
      <c r="N43" s="1">
        <v>43871</v>
      </c>
      <c r="O43" t="s">
        <v>974</v>
      </c>
      <c r="Q43" s="76"/>
      <c r="R43" t="b">
        <v>0</v>
      </c>
      <c r="S43" s="48">
        <v>1.81</v>
      </c>
      <c r="T43" s="72">
        <v>1</v>
      </c>
      <c r="U43">
        <v>20</v>
      </c>
      <c r="V43" s="31">
        <v>0.36200000000000004</v>
      </c>
      <c r="W43" s="31">
        <v>0.36200000000000004</v>
      </c>
      <c r="X43" s="33">
        <v>1.81</v>
      </c>
      <c r="Y43" s="29">
        <v>2.1720000000000002</v>
      </c>
      <c r="Z43" s="29">
        <v>2.1720000000000002</v>
      </c>
      <c r="AA43" s="35">
        <v>43966</v>
      </c>
      <c r="AB43" s="27"/>
      <c r="AC43" s="27"/>
      <c r="AD43" s="58">
        <v>1.81</v>
      </c>
      <c r="AE43" s="31">
        <v>0</v>
      </c>
      <c r="AF43" t="b">
        <v>0</v>
      </c>
      <c r="AG43" s="78">
        <v>-1.81</v>
      </c>
    </row>
    <row r="44" spans="1:33" x14ac:dyDescent="0.25">
      <c r="A44" t="str">
        <f t="shared" si="0"/>
        <v>2020-43</v>
      </c>
      <c r="B44" s="1">
        <f t="shared" si="1"/>
        <v>43871</v>
      </c>
      <c r="C44" t="str">
        <f t="shared" si="2"/>
        <v>3293000008869186/car2go Österreich GmbH, Hintere Zollamtstraße 9, 1030 Wien</v>
      </c>
      <c r="D44" t="str">
        <f t="shared" si="3"/>
        <v>Ausgaben</v>
      </c>
      <c r="E44" t="str">
        <f t="shared" si="4"/>
        <v>Reise- und Fahrtspesen inkl. Kilometergeld und Diäten</v>
      </c>
      <c r="F44" s="117">
        <f t="shared" si="5"/>
        <v>2.1720000000000002</v>
      </c>
      <c r="G44" t="str">
        <f t="shared" si="6"/>
        <v>20%</v>
      </c>
      <c r="I44" s="53">
        <v>2020</v>
      </c>
      <c r="J44" s="53">
        <v>43</v>
      </c>
      <c r="K44" s="71" t="s">
        <v>105</v>
      </c>
      <c r="L44" t="s">
        <v>689</v>
      </c>
      <c r="M44" s="74" t="s">
        <v>1263</v>
      </c>
      <c r="N44" s="1">
        <v>43871</v>
      </c>
      <c r="O44" t="s">
        <v>974</v>
      </c>
      <c r="Q44" s="76"/>
      <c r="R44" t="b">
        <v>0</v>
      </c>
      <c r="S44" s="48">
        <v>1.81</v>
      </c>
      <c r="T44" s="72">
        <v>1</v>
      </c>
      <c r="U44">
        <v>20</v>
      </c>
      <c r="V44" s="31">
        <v>0.36200000000000004</v>
      </c>
      <c r="W44" s="31">
        <v>0.36200000000000004</v>
      </c>
      <c r="X44" s="33">
        <v>1.81</v>
      </c>
      <c r="Y44" s="29">
        <v>2.1720000000000002</v>
      </c>
      <c r="Z44" s="29">
        <v>2.1720000000000002</v>
      </c>
      <c r="AA44" s="35">
        <v>43966</v>
      </c>
      <c r="AB44" s="27"/>
      <c r="AC44" s="27"/>
      <c r="AD44" s="58">
        <v>1.81</v>
      </c>
      <c r="AE44" s="31">
        <v>0</v>
      </c>
      <c r="AF44" t="b">
        <v>0</v>
      </c>
      <c r="AG44" s="78">
        <v>-1.81</v>
      </c>
    </row>
    <row r="45" spans="1:33" x14ac:dyDescent="0.25">
      <c r="A45" t="str">
        <f t="shared" si="0"/>
        <v>2020-44</v>
      </c>
      <c r="B45" s="1">
        <f t="shared" si="1"/>
        <v>43873</v>
      </c>
      <c r="C45" t="str">
        <f t="shared" si="2"/>
        <v>3293000008887530/car2go Österreich GmbH, Hintere Zollamtstraße 9, 1030 Wien</v>
      </c>
      <c r="D45" t="str">
        <f t="shared" si="3"/>
        <v>Ausgaben</v>
      </c>
      <c r="E45" t="str">
        <f t="shared" si="4"/>
        <v>Reise- und Fahrtspesen inkl. Kilometergeld und Diäten</v>
      </c>
      <c r="F45" s="117">
        <f t="shared" si="5"/>
        <v>2.88</v>
      </c>
      <c r="G45" t="str">
        <f t="shared" si="6"/>
        <v>20%</v>
      </c>
      <c r="I45" s="53">
        <v>2020</v>
      </c>
      <c r="J45" s="53">
        <v>44</v>
      </c>
      <c r="K45" s="71" t="s">
        <v>105</v>
      </c>
      <c r="L45" t="s">
        <v>689</v>
      </c>
      <c r="M45" s="74" t="s">
        <v>1261</v>
      </c>
      <c r="N45" s="1">
        <v>43873</v>
      </c>
      <c r="O45" t="s">
        <v>974</v>
      </c>
      <c r="Q45" s="76"/>
      <c r="R45" t="b">
        <v>0</v>
      </c>
      <c r="S45" s="48">
        <v>2.4</v>
      </c>
      <c r="T45" s="72">
        <v>1</v>
      </c>
      <c r="U45">
        <v>20</v>
      </c>
      <c r="V45" s="31">
        <v>0.48</v>
      </c>
      <c r="W45" s="31">
        <v>0.48</v>
      </c>
      <c r="X45" s="33">
        <v>2.4</v>
      </c>
      <c r="Y45" s="29">
        <v>2.88</v>
      </c>
      <c r="Z45" s="29">
        <v>2.88</v>
      </c>
      <c r="AA45" s="35">
        <v>43966</v>
      </c>
      <c r="AB45" s="27"/>
      <c r="AC45" s="27"/>
      <c r="AD45" s="58">
        <v>2.4</v>
      </c>
      <c r="AE45" s="31">
        <v>0</v>
      </c>
      <c r="AF45" t="b">
        <v>0</v>
      </c>
      <c r="AG45" s="78">
        <v>-2.4</v>
      </c>
    </row>
    <row r="46" spans="1:33" x14ac:dyDescent="0.25">
      <c r="A46" t="str">
        <f t="shared" si="0"/>
        <v>2020-45</v>
      </c>
      <c r="B46" s="1">
        <f t="shared" si="1"/>
        <v>43874</v>
      </c>
      <c r="C46" t="str">
        <f t="shared" si="2"/>
        <v>12020004/DCF - Digital Coding Factory GmbH, Bauernfeldgasse 4/12 1090 Wien</v>
      </c>
      <c r="D46" t="str">
        <f t="shared" si="3"/>
        <v>Einnahmen</v>
      </c>
      <c r="E46" t="str">
        <f t="shared" si="4"/>
        <v>Waren-/Leistungserlöse</v>
      </c>
      <c r="F46" s="117">
        <f t="shared" si="5"/>
        <v>777</v>
      </c>
      <c r="G46" t="str">
        <f t="shared" si="6"/>
        <v>20%</v>
      </c>
      <c r="I46" s="53">
        <v>2020</v>
      </c>
      <c r="J46" s="53">
        <v>45</v>
      </c>
      <c r="K46" s="71" t="s">
        <v>708</v>
      </c>
      <c r="L46" t="s">
        <v>709</v>
      </c>
      <c r="M46" s="74" t="s">
        <v>1265</v>
      </c>
      <c r="N46" s="1">
        <v>43874</v>
      </c>
      <c r="O46" t="s">
        <v>1266</v>
      </c>
      <c r="Q46" s="76"/>
      <c r="R46" t="b">
        <v>0</v>
      </c>
      <c r="S46" s="48">
        <v>647.5</v>
      </c>
      <c r="T46" s="72">
        <v>1</v>
      </c>
      <c r="U46">
        <v>20</v>
      </c>
      <c r="V46" s="31">
        <v>129.5</v>
      </c>
      <c r="W46" s="31">
        <v>129.5</v>
      </c>
      <c r="X46" s="33">
        <v>647.5</v>
      </c>
      <c r="Y46" s="29">
        <v>777</v>
      </c>
      <c r="Z46" s="29">
        <v>777</v>
      </c>
      <c r="AA46" s="35">
        <v>43966</v>
      </c>
      <c r="AB46" s="27"/>
      <c r="AC46" s="27"/>
      <c r="AD46" s="58">
        <v>647.5</v>
      </c>
      <c r="AE46" s="31">
        <v>0</v>
      </c>
      <c r="AF46" t="b">
        <v>0</v>
      </c>
      <c r="AG46" s="78">
        <v>647.5</v>
      </c>
    </row>
    <row r="47" spans="1:33" x14ac:dyDescent="0.25">
      <c r="A47" t="str">
        <f t="shared" si="0"/>
        <v>2020-46</v>
      </c>
      <c r="B47" s="1">
        <f t="shared" si="1"/>
        <v>43874</v>
      </c>
      <c r="C47" t="str">
        <f t="shared" si="2"/>
        <v>R0010801926/Hetzner Online GmbH</v>
      </c>
      <c r="D47" t="str">
        <f t="shared" si="3"/>
        <v>Ausgaben</v>
      </c>
      <c r="E47" t="str">
        <f t="shared" si="4"/>
        <v>sonstige Betriebsausgaben</v>
      </c>
      <c r="F47" s="117">
        <f t="shared" si="5"/>
        <v>48.81</v>
      </c>
      <c r="G47" t="str">
        <f t="shared" si="6"/>
        <v>0%</v>
      </c>
      <c r="I47" s="53">
        <v>2020</v>
      </c>
      <c r="J47" s="53">
        <v>46</v>
      </c>
      <c r="K47" s="71" t="s">
        <v>105</v>
      </c>
      <c r="L47" t="s">
        <v>705</v>
      </c>
      <c r="M47" s="74" t="s">
        <v>1264</v>
      </c>
      <c r="N47" s="1">
        <v>43874</v>
      </c>
      <c r="O47" t="s">
        <v>927</v>
      </c>
      <c r="Q47" s="76"/>
      <c r="R47" t="b">
        <v>0</v>
      </c>
      <c r="S47" s="48">
        <v>48.81</v>
      </c>
      <c r="T47" s="72">
        <v>1</v>
      </c>
      <c r="U47">
        <v>0</v>
      </c>
      <c r="V47" s="31">
        <v>0</v>
      </c>
      <c r="W47" s="31">
        <v>0</v>
      </c>
      <c r="X47" s="33">
        <v>48.81</v>
      </c>
      <c r="Y47" s="29">
        <v>48.81</v>
      </c>
      <c r="Z47" s="29">
        <v>48.81</v>
      </c>
      <c r="AA47" s="35">
        <v>43966</v>
      </c>
      <c r="AB47" s="27"/>
      <c r="AC47" s="27">
        <v>20</v>
      </c>
      <c r="AD47" s="58">
        <v>48.81</v>
      </c>
      <c r="AE47" s="31">
        <v>9.7620000000000005</v>
      </c>
      <c r="AF47" t="b">
        <v>0</v>
      </c>
      <c r="AG47" s="78">
        <v>-48.81</v>
      </c>
    </row>
    <row r="48" spans="1:33" x14ac:dyDescent="0.25">
      <c r="A48" t="str">
        <f t="shared" si="0"/>
        <v>2020-47</v>
      </c>
      <c r="B48" s="1">
        <f t="shared" si="1"/>
        <v>43875</v>
      </c>
      <c r="C48" t="str">
        <f t="shared" si="2"/>
        <v>12019032/Wedding Avenue e.U., Mayerweckstrasse 2-8/99/1, 1210 Wien</v>
      </c>
      <c r="D48" t="str">
        <f t="shared" si="3"/>
        <v>Einnahmen</v>
      </c>
      <c r="E48" t="str">
        <f t="shared" si="4"/>
        <v>Waren-/Leistungserlöse</v>
      </c>
      <c r="F48" s="117">
        <f t="shared" si="5"/>
        <v>357</v>
      </c>
      <c r="G48" t="str">
        <f t="shared" si="6"/>
        <v>20%</v>
      </c>
      <c r="I48" s="53">
        <v>2020</v>
      </c>
      <c r="J48" s="53">
        <v>47</v>
      </c>
      <c r="K48" s="71" t="s">
        <v>708</v>
      </c>
      <c r="L48" t="s">
        <v>709</v>
      </c>
      <c r="M48" s="74" t="s">
        <v>1267</v>
      </c>
      <c r="N48" s="1">
        <v>43875</v>
      </c>
      <c r="O48" s="43" t="s">
        <v>1012</v>
      </c>
      <c r="Q48" s="76"/>
      <c r="R48" t="b">
        <v>0</v>
      </c>
      <c r="S48" s="48">
        <v>297.5</v>
      </c>
      <c r="T48" s="72">
        <v>1</v>
      </c>
      <c r="U48">
        <v>20</v>
      </c>
      <c r="V48" s="31">
        <v>59.5</v>
      </c>
      <c r="W48" s="31">
        <v>59.5</v>
      </c>
      <c r="X48" s="33">
        <v>297.5</v>
      </c>
      <c r="Y48" s="29">
        <v>357</v>
      </c>
      <c r="Z48" s="29">
        <v>357</v>
      </c>
      <c r="AA48" s="35">
        <v>43966</v>
      </c>
      <c r="AB48" s="27"/>
      <c r="AC48" s="27"/>
      <c r="AD48" s="58">
        <v>297.5</v>
      </c>
      <c r="AE48" s="31">
        <v>0</v>
      </c>
      <c r="AF48" t="b">
        <v>0</v>
      </c>
      <c r="AG48" s="78">
        <v>297.5</v>
      </c>
    </row>
    <row r="49" spans="1:33" x14ac:dyDescent="0.25">
      <c r="A49" t="str">
        <f t="shared" si="0"/>
        <v>2020-48</v>
      </c>
      <c r="B49" s="1">
        <f t="shared" si="1"/>
        <v>43878</v>
      </c>
      <c r="C49" t="str">
        <f t="shared" si="2"/>
        <v>3293000008913647/car2go Österreich GmbH, Hintere Zollamtstraße 9, 1030 Wien</v>
      </c>
      <c r="D49" t="str">
        <f t="shared" si="3"/>
        <v>Ausgaben</v>
      </c>
      <c r="E49" t="str">
        <f t="shared" si="4"/>
        <v>Reise- und Fahrtspesen inkl. Kilometergeld und Diäten</v>
      </c>
      <c r="F49" s="117">
        <f t="shared" si="5"/>
        <v>2.7839999999999998</v>
      </c>
      <c r="G49" t="str">
        <f t="shared" si="6"/>
        <v>20%</v>
      </c>
      <c r="I49" s="53">
        <v>2020</v>
      </c>
      <c r="J49" s="53">
        <v>48</v>
      </c>
      <c r="K49" s="71" t="s">
        <v>105</v>
      </c>
      <c r="L49" t="s">
        <v>689</v>
      </c>
      <c r="M49" s="74" t="s">
        <v>1268</v>
      </c>
      <c r="N49" s="1">
        <v>43878</v>
      </c>
      <c r="O49" t="s">
        <v>974</v>
      </c>
      <c r="Q49" s="76"/>
      <c r="R49" t="b">
        <v>0</v>
      </c>
      <c r="S49" s="48">
        <v>2.3199999999999998</v>
      </c>
      <c r="T49" s="72">
        <v>1</v>
      </c>
      <c r="U49">
        <v>20</v>
      </c>
      <c r="V49" s="31">
        <v>0.46399999999999997</v>
      </c>
      <c r="W49" s="31">
        <v>0.46399999999999997</v>
      </c>
      <c r="X49" s="33">
        <v>2.3199999999999998</v>
      </c>
      <c r="Y49" s="29">
        <v>2.7839999999999998</v>
      </c>
      <c r="Z49" s="29">
        <v>2.7839999999999998</v>
      </c>
      <c r="AA49" s="35">
        <v>43966</v>
      </c>
      <c r="AB49" s="27"/>
      <c r="AC49" s="27"/>
      <c r="AD49" s="58">
        <v>2.3199999999999998</v>
      </c>
      <c r="AE49" s="31">
        <v>0</v>
      </c>
      <c r="AF49" t="b">
        <v>0</v>
      </c>
      <c r="AG49" s="78">
        <v>-2.3199999999999998</v>
      </c>
    </row>
    <row r="50" spans="1:33" x14ac:dyDescent="0.25">
      <c r="A50" t="str">
        <f t="shared" si="0"/>
        <v>2020-49</v>
      </c>
      <c r="B50" s="1">
        <f t="shared" si="1"/>
        <v>43880</v>
      </c>
      <c r="C50" t="str">
        <f t="shared" si="2"/>
        <v>0755-83646571/Amazon EU S. à r.l., 38 avenue John F. Kennedy, L-1855 Luxembourg: HJEU: DVI-HDMI, Logitech Maus</v>
      </c>
      <c r="D50" t="str">
        <f t="shared" si="3"/>
        <v>Ausgaben</v>
      </c>
      <c r="E50" t="str">
        <f t="shared" si="4"/>
        <v>Waren, Rohstoffe, Hilfsstoffe</v>
      </c>
      <c r="F50" s="117">
        <f t="shared" si="5"/>
        <v>19.170000000000002</v>
      </c>
      <c r="G50" t="str">
        <f t="shared" si="6"/>
        <v>0%</v>
      </c>
      <c r="I50" s="53">
        <v>2020</v>
      </c>
      <c r="J50" s="53">
        <v>49</v>
      </c>
      <c r="K50" s="71" t="s">
        <v>105</v>
      </c>
      <c r="L50" t="s">
        <v>683</v>
      </c>
      <c r="M50" s="74" t="s">
        <v>1280</v>
      </c>
      <c r="N50" s="1">
        <v>43880</v>
      </c>
      <c r="O50" t="s">
        <v>981</v>
      </c>
      <c r="Q50" s="76"/>
      <c r="R50" t="b">
        <v>0</v>
      </c>
      <c r="S50" s="48">
        <v>19.170000000000002</v>
      </c>
      <c r="T50" s="72">
        <v>1</v>
      </c>
      <c r="U50">
        <v>0</v>
      </c>
      <c r="V50" s="31">
        <v>0</v>
      </c>
      <c r="W50" s="31">
        <v>0</v>
      </c>
      <c r="X50" s="33">
        <v>19.170000000000002</v>
      </c>
      <c r="Y50" s="29">
        <v>19.170000000000002</v>
      </c>
      <c r="Z50" s="29">
        <v>19.170000000000002</v>
      </c>
      <c r="AA50" s="35">
        <v>43966</v>
      </c>
      <c r="AB50" s="27"/>
      <c r="AC50" s="27"/>
      <c r="AD50" s="58">
        <v>19.170000000000002</v>
      </c>
      <c r="AE50" s="31">
        <v>0</v>
      </c>
      <c r="AF50" t="b">
        <v>0</v>
      </c>
      <c r="AG50" s="78">
        <v>-19.170000000000002</v>
      </c>
    </row>
    <row r="51" spans="1:33" x14ac:dyDescent="0.25">
      <c r="A51" t="str">
        <f t="shared" si="0"/>
        <v>2020-50</v>
      </c>
      <c r="B51" s="1">
        <f t="shared" si="1"/>
        <v>43880</v>
      </c>
      <c r="C51" t="str">
        <f t="shared" si="2"/>
        <v>3293000008930885/car2go Österreich GmbH, Hintere Zollamtstraße 9, 1030 Wien</v>
      </c>
      <c r="D51" t="str">
        <f t="shared" si="3"/>
        <v>Ausgaben</v>
      </c>
      <c r="E51" t="str">
        <f t="shared" si="4"/>
        <v>Reise- und Fahrtspesen inkl. Kilometergeld und Diäten</v>
      </c>
      <c r="F51" s="117">
        <f t="shared" si="5"/>
        <v>3.0960000000000001</v>
      </c>
      <c r="G51" t="str">
        <f t="shared" si="6"/>
        <v>20%</v>
      </c>
      <c r="I51" s="53">
        <v>2020</v>
      </c>
      <c r="J51" s="53">
        <v>50</v>
      </c>
      <c r="K51" s="71" t="s">
        <v>105</v>
      </c>
      <c r="L51" t="s">
        <v>689</v>
      </c>
      <c r="M51" s="74" t="s">
        <v>1269</v>
      </c>
      <c r="N51" s="1">
        <v>43880</v>
      </c>
      <c r="O51" t="s">
        <v>974</v>
      </c>
      <c r="Q51" s="76"/>
      <c r="R51" t="b">
        <v>0</v>
      </c>
      <c r="S51" s="48">
        <v>2.58</v>
      </c>
      <c r="T51" s="72">
        <v>1</v>
      </c>
      <c r="U51">
        <v>20</v>
      </c>
      <c r="V51" s="31">
        <v>0.51600000000000001</v>
      </c>
      <c r="W51" s="31">
        <v>0.51600000000000001</v>
      </c>
      <c r="X51" s="33">
        <v>2.58</v>
      </c>
      <c r="Y51" s="29">
        <v>3.0960000000000001</v>
      </c>
      <c r="Z51" s="29">
        <v>3.0960000000000001</v>
      </c>
      <c r="AA51" s="35">
        <v>43966</v>
      </c>
      <c r="AB51" s="27"/>
      <c r="AC51" s="27"/>
      <c r="AD51" s="58">
        <v>2.58</v>
      </c>
      <c r="AE51" s="31">
        <v>0</v>
      </c>
      <c r="AF51" t="b">
        <v>0</v>
      </c>
      <c r="AG51" s="78">
        <v>-2.58</v>
      </c>
    </row>
    <row r="52" spans="1:33" x14ac:dyDescent="0.25">
      <c r="A52" t="str">
        <f t="shared" si="0"/>
        <v>2020-51</v>
      </c>
      <c r="B52" s="1">
        <f t="shared" si="1"/>
        <v>43880</v>
      </c>
      <c r="C52" t="str">
        <f t="shared" si="2"/>
        <v>3293000008928478/car2go Österreich GmbH, Hintere Zollamtstraße 9, 1030 Wien</v>
      </c>
      <c r="D52" t="str">
        <f t="shared" si="3"/>
        <v>Ausgaben</v>
      </c>
      <c r="E52" t="str">
        <f t="shared" si="4"/>
        <v>Reise- und Fahrtspesen inkl. Kilometergeld und Diäten</v>
      </c>
      <c r="F52" s="117">
        <f t="shared" si="5"/>
        <v>2.88</v>
      </c>
      <c r="G52" t="str">
        <f t="shared" si="6"/>
        <v>20%</v>
      </c>
      <c r="I52" s="53">
        <v>2020</v>
      </c>
      <c r="J52" s="53">
        <v>51</v>
      </c>
      <c r="K52" s="71" t="s">
        <v>105</v>
      </c>
      <c r="L52" t="s">
        <v>689</v>
      </c>
      <c r="M52" s="74" t="s">
        <v>1270</v>
      </c>
      <c r="N52" s="1">
        <v>43880</v>
      </c>
      <c r="O52" t="s">
        <v>974</v>
      </c>
      <c r="Q52" s="76"/>
      <c r="R52" t="b">
        <v>0</v>
      </c>
      <c r="S52" s="48">
        <v>2.4</v>
      </c>
      <c r="T52" s="72">
        <v>1</v>
      </c>
      <c r="U52">
        <v>20</v>
      </c>
      <c r="V52" s="31">
        <v>0.48</v>
      </c>
      <c r="W52" s="31">
        <v>0.48</v>
      </c>
      <c r="X52" s="33">
        <v>2.4</v>
      </c>
      <c r="Y52" s="29">
        <v>2.88</v>
      </c>
      <c r="Z52" s="29">
        <v>2.88</v>
      </c>
      <c r="AA52" s="35">
        <v>43966</v>
      </c>
      <c r="AB52" s="27"/>
      <c r="AC52" s="27"/>
      <c r="AD52" s="58">
        <v>2.4</v>
      </c>
      <c r="AE52" s="31">
        <v>0</v>
      </c>
      <c r="AF52" t="b">
        <v>0</v>
      </c>
      <c r="AG52" s="78">
        <v>-2.4</v>
      </c>
    </row>
    <row r="53" spans="1:33" x14ac:dyDescent="0.25">
      <c r="A53" t="str">
        <f t="shared" si="0"/>
        <v>2020-52</v>
      </c>
      <c r="B53" s="1">
        <f t="shared" si="1"/>
        <v>43881</v>
      </c>
      <c r="C53" t="str">
        <f t="shared" si="2"/>
        <v>3293000008938059/car2go Österreich GmbH, Hintere Zollamtstraße 9, 1030 Wien</v>
      </c>
      <c r="D53" t="str">
        <f t="shared" si="3"/>
        <v>Ausgaben</v>
      </c>
      <c r="E53" t="str">
        <f t="shared" si="4"/>
        <v>Reise- und Fahrtspesen inkl. Kilometergeld und Diäten</v>
      </c>
      <c r="F53" s="117">
        <f t="shared" si="5"/>
        <v>4.032</v>
      </c>
      <c r="G53" t="str">
        <f t="shared" si="6"/>
        <v>20%</v>
      </c>
      <c r="I53" s="53">
        <v>2020</v>
      </c>
      <c r="J53" s="53">
        <v>52</v>
      </c>
      <c r="K53" s="71" t="s">
        <v>105</v>
      </c>
      <c r="L53" t="s">
        <v>689</v>
      </c>
      <c r="M53" s="74" t="s">
        <v>1273</v>
      </c>
      <c r="N53" s="1">
        <v>43881</v>
      </c>
      <c r="O53" t="s">
        <v>974</v>
      </c>
      <c r="Q53" s="76"/>
      <c r="R53" t="b">
        <v>0</v>
      </c>
      <c r="S53" s="48">
        <v>3.36</v>
      </c>
      <c r="T53" s="72">
        <v>1</v>
      </c>
      <c r="U53">
        <v>20</v>
      </c>
      <c r="V53" s="31">
        <v>0.67200000000000004</v>
      </c>
      <c r="W53" s="31">
        <v>0.67200000000000004</v>
      </c>
      <c r="X53" s="33">
        <v>3.36</v>
      </c>
      <c r="Y53" s="29">
        <v>4.032</v>
      </c>
      <c r="Z53" s="29">
        <v>4.032</v>
      </c>
      <c r="AA53" s="35">
        <v>43966</v>
      </c>
      <c r="AB53" s="27"/>
      <c r="AC53" s="27"/>
      <c r="AD53" s="58">
        <v>3.36</v>
      </c>
      <c r="AE53" s="31">
        <v>0</v>
      </c>
      <c r="AF53" t="b">
        <v>0</v>
      </c>
      <c r="AG53" s="78">
        <v>-3.36</v>
      </c>
    </row>
    <row r="54" spans="1:33" x14ac:dyDescent="0.25">
      <c r="A54" t="str">
        <f t="shared" si="0"/>
        <v>2020-53</v>
      </c>
      <c r="B54" s="1">
        <f t="shared" si="1"/>
        <v>43881</v>
      </c>
      <c r="C54" t="str">
        <f t="shared" si="2"/>
        <v>3293000008934542/car2go Österreich GmbH, Hintere Zollamtstraße 9, 1030 Wien</v>
      </c>
      <c r="D54" t="str">
        <f t="shared" si="3"/>
        <v>Ausgaben</v>
      </c>
      <c r="E54" t="str">
        <f t="shared" si="4"/>
        <v>Reise- und Fahrtspesen inkl. Kilometergeld und Diäten</v>
      </c>
      <c r="F54" s="117">
        <f t="shared" si="5"/>
        <v>2.88</v>
      </c>
      <c r="G54" t="str">
        <f t="shared" si="6"/>
        <v>20%</v>
      </c>
      <c r="I54" s="53">
        <v>2020</v>
      </c>
      <c r="J54" s="53">
        <v>53</v>
      </c>
      <c r="K54" s="71" t="s">
        <v>105</v>
      </c>
      <c r="L54" t="s">
        <v>689</v>
      </c>
      <c r="M54" s="74" t="s">
        <v>1271</v>
      </c>
      <c r="N54" s="1">
        <v>43881</v>
      </c>
      <c r="O54" t="s">
        <v>974</v>
      </c>
      <c r="Q54" s="76"/>
      <c r="R54" t="b">
        <v>0</v>
      </c>
      <c r="S54" s="48">
        <v>2.4</v>
      </c>
      <c r="T54" s="72">
        <v>1</v>
      </c>
      <c r="U54">
        <v>20</v>
      </c>
      <c r="V54" s="31">
        <v>0.48</v>
      </c>
      <c r="W54" s="31">
        <v>0.48</v>
      </c>
      <c r="X54" s="33">
        <v>2.4</v>
      </c>
      <c r="Y54" s="29">
        <v>2.88</v>
      </c>
      <c r="Z54" s="29">
        <v>2.88</v>
      </c>
      <c r="AA54" s="35">
        <v>43966</v>
      </c>
      <c r="AB54" s="27"/>
      <c r="AC54" s="27"/>
      <c r="AD54" s="58">
        <v>2.4</v>
      </c>
      <c r="AE54" s="31">
        <v>0</v>
      </c>
      <c r="AF54" t="b">
        <v>0</v>
      </c>
      <c r="AG54" s="78">
        <v>-2.4</v>
      </c>
    </row>
    <row r="55" spans="1:33" x14ac:dyDescent="0.25">
      <c r="A55" t="str">
        <f t="shared" si="0"/>
        <v>2020-54</v>
      </c>
      <c r="B55" s="1">
        <f t="shared" si="1"/>
        <v>43881</v>
      </c>
      <c r="C55" t="str">
        <f t="shared" si="2"/>
        <v>3293000008936157/car2go Österreich GmbH, Hintere Zollamtstraße 9, 1030 Wien</v>
      </c>
      <c r="D55" t="str">
        <f t="shared" si="3"/>
        <v>Ausgaben</v>
      </c>
      <c r="E55" t="str">
        <f t="shared" si="4"/>
        <v>Reise- und Fahrtspesen inkl. Kilometergeld und Diäten</v>
      </c>
      <c r="F55" s="117">
        <f t="shared" si="5"/>
        <v>2.1720000000000002</v>
      </c>
      <c r="G55" t="str">
        <f t="shared" si="6"/>
        <v>20%</v>
      </c>
      <c r="I55" s="53">
        <v>2020</v>
      </c>
      <c r="J55" s="53">
        <v>54</v>
      </c>
      <c r="K55" s="71" t="s">
        <v>105</v>
      </c>
      <c r="L55" t="s">
        <v>689</v>
      </c>
      <c r="M55" s="74" t="s">
        <v>1272</v>
      </c>
      <c r="N55" s="1">
        <v>43881</v>
      </c>
      <c r="O55" t="s">
        <v>974</v>
      </c>
      <c r="Q55" s="76"/>
      <c r="R55" t="b">
        <v>0</v>
      </c>
      <c r="S55" s="48">
        <v>1.81</v>
      </c>
      <c r="T55" s="72">
        <v>1</v>
      </c>
      <c r="U55">
        <v>20</v>
      </c>
      <c r="V55" s="31">
        <v>0.36200000000000004</v>
      </c>
      <c r="W55" s="31">
        <v>0.36200000000000004</v>
      </c>
      <c r="X55" s="33">
        <v>1.81</v>
      </c>
      <c r="Y55" s="29">
        <v>2.1720000000000002</v>
      </c>
      <c r="Z55" s="29">
        <v>2.1720000000000002</v>
      </c>
      <c r="AA55" s="35">
        <v>43966</v>
      </c>
      <c r="AB55" s="27"/>
      <c r="AC55" s="27"/>
      <c r="AD55" s="58">
        <v>1.81</v>
      </c>
      <c r="AE55" s="31">
        <v>0</v>
      </c>
      <c r="AF55" t="b">
        <v>0</v>
      </c>
      <c r="AG55" s="78">
        <v>-1.81</v>
      </c>
    </row>
    <row r="56" spans="1:33" x14ac:dyDescent="0.25">
      <c r="A56" t="str">
        <f t="shared" si="0"/>
        <v>2020-55</v>
      </c>
      <c r="B56" s="1">
        <f t="shared" si="1"/>
        <v>43882</v>
      </c>
      <c r="C56" t="str">
        <f t="shared" si="2"/>
        <v>3293000008953197/car2go Österreich GmbH, Hintere Zollamtstraße 9, 1030 Wien</v>
      </c>
      <c r="D56" t="str">
        <f t="shared" si="3"/>
        <v>Ausgaben</v>
      </c>
      <c r="E56" t="str">
        <f t="shared" si="4"/>
        <v>Reise- und Fahrtspesen inkl. Kilometergeld und Diäten</v>
      </c>
      <c r="F56" s="117">
        <f t="shared" si="5"/>
        <v>3.24</v>
      </c>
      <c r="G56" t="str">
        <f t="shared" si="6"/>
        <v>20%</v>
      </c>
      <c r="I56" s="53">
        <v>2020</v>
      </c>
      <c r="J56" s="53">
        <v>55</v>
      </c>
      <c r="K56" s="71" t="s">
        <v>105</v>
      </c>
      <c r="L56" t="s">
        <v>689</v>
      </c>
      <c r="M56" s="74" t="s">
        <v>1279</v>
      </c>
      <c r="N56" s="1">
        <v>43882</v>
      </c>
      <c r="O56" t="s">
        <v>974</v>
      </c>
      <c r="Q56" s="76"/>
      <c r="R56" t="b">
        <v>0</v>
      </c>
      <c r="S56" s="48">
        <v>2.7</v>
      </c>
      <c r="T56" s="72">
        <v>1</v>
      </c>
      <c r="U56">
        <v>20</v>
      </c>
      <c r="V56" s="31">
        <v>0.54</v>
      </c>
      <c r="W56" s="31">
        <v>0.54</v>
      </c>
      <c r="X56" s="33">
        <v>2.7</v>
      </c>
      <c r="Y56" s="29">
        <v>3.24</v>
      </c>
      <c r="Z56" s="29">
        <v>3.24</v>
      </c>
      <c r="AA56" s="35">
        <v>43966</v>
      </c>
      <c r="AB56" s="27"/>
      <c r="AC56" s="27"/>
      <c r="AD56" s="58">
        <v>2.7</v>
      </c>
      <c r="AE56" s="31">
        <v>0</v>
      </c>
      <c r="AF56" t="b">
        <v>0</v>
      </c>
      <c r="AG56" s="78">
        <v>-2.7</v>
      </c>
    </row>
    <row r="57" spans="1:33" x14ac:dyDescent="0.25">
      <c r="A57" t="str">
        <f t="shared" si="0"/>
        <v>2020-56</v>
      </c>
      <c r="B57" s="1">
        <f t="shared" si="1"/>
        <v>43882</v>
      </c>
      <c r="C57" t="str">
        <f t="shared" si="2"/>
        <v>3293000008942791/car2go Österreich GmbH, Hintere Zollamtstraße 9, 1030 Wien</v>
      </c>
      <c r="D57" t="str">
        <f t="shared" si="3"/>
        <v>Ausgaben</v>
      </c>
      <c r="E57" t="str">
        <f t="shared" si="4"/>
        <v>Reise- und Fahrtspesen inkl. Kilometergeld und Diäten</v>
      </c>
      <c r="F57" s="117">
        <f t="shared" si="5"/>
        <v>5.7239999999999993</v>
      </c>
      <c r="G57" t="str">
        <f t="shared" si="6"/>
        <v>20%</v>
      </c>
      <c r="I57" s="53">
        <v>2020</v>
      </c>
      <c r="J57" s="53">
        <v>56</v>
      </c>
      <c r="K57" s="71" t="s">
        <v>105</v>
      </c>
      <c r="L57" t="s">
        <v>689</v>
      </c>
      <c r="M57" s="74" t="s">
        <v>1274</v>
      </c>
      <c r="N57" s="1">
        <v>43882</v>
      </c>
      <c r="O57" t="s">
        <v>974</v>
      </c>
      <c r="Q57" s="76"/>
      <c r="R57" t="b">
        <v>0</v>
      </c>
      <c r="S57" s="48">
        <v>4.7699999999999996</v>
      </c>
      <c r="T57" s="72">
        <v>1</v>
      </c>
      <c r="U57">
        <v>20</v>
      </c>
      <c r="V57" s="31">
        <v>0.95399999999999996</v>
      </c>
      <c r="W57" s="31">
        <v>0.95399999999999996</v>
      </c>
      <c r="X57" s="33">
        <v>4.7699999999999996</v>
      </c>
      <c r="Y57" s="29">
        <v>5.7239999999999993</v>
      </c>
      <c r="Z57" s="29">
        <v>5.7239999999999993</v>
      </c>
      <c r="AA57" s="35">
        <v>43966</v>
      </c>
      <c r="AB57" s="27"/>
      <c r="AC57" s="27"/>
      <c r="AD57" s="58">
        <v>4.7699999999999996</v>
      </c>
      <c r="AE57" s="31">
        <v>0</v>
      </c>
      <c r="AF57" t="b">
        <v>0</v>
      </c>
      <c r="AG57" s="78">
        <v>-4.7699999999999996</v>
      </c>
    </row>
    <row r="58" spans="1:33" x14ac:dyDescent="0.25">
      <c r="A58" t="str">
        <f t="shared" si="0"/>
        <v>2020-57</v>
      </c>
      <c r="B58" s="1">
        <f t="shared" si="1"/>
        <v>43882</v>
      </c>
      <c r="C58" t="str">
        <f t="shared" si="2"/>
        <v>3293000008940642/car2go Österreich GmbH, Hintere Zollamtstraße 9, 1030 Wien</v>
      </c>
      <c r="D58" t="str">
        <f t="shared" si="3"/>
        <v>Ausgaben</v>
      </c>
      <c r="E58" t="str">
        <f t="shared" si="4"/>
        <v>Reise- und Fahrtspesen inkl. Kilometergeld und Diäten</v>
      </c>
      <c r="F58" s="117">
        <f t="shared" si="5"/>
        <v>6.48</v>
      </c>
      <c r="G58" t="str">
        <f t="shared" si="6"/>
        <v>20%</v>
      </c>
      <c r="I58" s="53">
        <v>2020</v>
      </c>
      <c r="J58" s="53">
        <v>57</v>
      </c>
      <c r="K58" s="71" t="s">
        <v>105</v>
      </c>
      <c r="L58" t="s">
        <v>689</v>
      </c>
      <c r="M58" s="74" t="s">
        <v>1275</v>
      </c>
      <c r="N58" s="1">
        <v>43882</v>
      </c>
      <c r="O58" t="s">
        <v>974</v>
      </c>
      <c r="Q58" s="76"/>
      <c r="R58" t="b">
        <v>0</v>
      </c>
      <c r="S58" s="48">
        <v>5.4</v>
      </c>
      <c r="T58" s="72">
        <v>1</v>
      </c>
      <c r="U58">
        <v>20</v>
      </c>
      <c r="V58" s="31">
        <v>1.08</v>
      </c>
      <c r="W58" s="31">
        <v>1.08</v>
      </c>
      <c r="X58" s="33">
        <v>5.4</v>
      </c>
      <c r="Y58" s="29">
        <v>6.48</v>
      </c>
      <c r="Z58" s="29">
        <v>6.48</v>
      </c>
      <c r="AA58" s="35">
        <v>43966</v>
      </c>
      <c r="AB58" s="27"/>
      <c r="AC58" s="27"/>
      <c r="AD58" s="58">
        <v>5.4</v>
      </c>
      <c r="AE58" s="31">
        <v>0</v>
      </c>
      <c r="AF58" t="b">
        <v>0</v>
      </c>
      <c r="AG58" s="78">
        <v>-5.4</v>
      </c>
    </row>
    <row r="59" spans="1:33" x14ac:dyDescent="0.25">
      <c r="A59" t="str">
        <f t="shared" si="0"/>
        <v>2020-58</v>
      </c>
      <c r="B59" s="1">
        <f t="shared" si="1"/>
        <v>43882</v>
      </c>
      <c r="C59" t="str">
        <f t="shared" si="2"/>
        <v>3293000008940557/car2go Österreich GmbH, Hintere Zollamtstraße 9, 1030 Wien</v>
      </c>
      <c r="D59" t="str">
        <f t="shared" si="3"/>
        <v>Ausgaben</v>
      </c>
      <c r="E59" t="str">
        <f t="shared" si="4"/>
        <v>Reise- und Fahrtspesen inkl. Kilometergeld und Diäten</v>
      </c>
      <c r="F59" s="117">
        <f t="shared" si="5"/>
        <v>1.8960000000000001</v>
      </c>
      <c r="G59" t="str">
        <f t="shared" si="6"/>
        <v>20%</v>
      </c>
      <c r="I59" s="53">
        <v>2020</v>
      </c>
      <c r="J59" s="53">
        <v>58</v>
      </c>
      <c r="K59" s="71" t="s">
        <v>105</v>
      </c>
      <c r="L59" t="s">
        <v>689</v>
      </c>
      <c r="M59" s="74" t="s">
        <v>1276</v>
      </c>
      <c r="N59" s="1">
        <v>43882</v>
      </c>
      <c r="O59" t="s">
        <v>974</v>
      </c>
      <c r="Q59" s="76"/>
      <c r="R59" t="b">
        <v>0</v>
      </c>
      <c r="S59" s="48">
        <v>1.58</v>
      </c>
      <c r="T59" s="72">
        <v>1</v>
      </c>
      <c r="U59">
        <v>20</v>
      </c>
      <c r="V59" s="31">
        <v>0.316</v>
      </c>
      <c r="W59" s="31">
        <v>0.316</v>
      </c>
      <c r="X59" s="33">
        <v>1.58</v>
      </c>
      <c r="Y59" s="29">
        <v>1.8960000000000001</v>
      </c>
      <c r="Z59" s="29">
        <v>1.8960000000000001</v>
      </c>
      <c r="AA59" s="35">
        <v>43966</v>
      </c>
      <c r="AB59" s="27"/>
      <c r="AC59" s="27"/>
      <c r="AD59" s="58">
        <v>1.58</v>
      </c>
      <c r="AE59" s="31">
        <v>0</v>
      </c>
      <c r="AF59" t="b">
        <v>0</v>
      </c>
      <c r="AG59" s="78">
        <v>-1.58</v>
      </c>
    </row>
    <row r="60" spans="1:33" x14ac:dyDescent="0.25">
      <c r="A60" t="str">
        <f t="shared" si="0"/>
        <v>2020-59</v>
      </c>
      <c r="B60" s="1">
        <f t="shared" si="1"/>
        <v>43882</v>
      </c>
      <c r="C60" t="str">
        <f t="shared" si="2"/>
        <v>901196010220/Magenta: T-Mobile Austria GmbH, A-1120 Wien, PF 47</v>
      </c>
      <c r="D60" t="str">
        <f t="shared" si="3"/>
        <v>Ausgaben</v>
      </c>
      <c r="E60" t="str">
        <f t="shared" si="4"/>
        <v>Telefon/Internet</v>
      </c>
      <c r="F60" s="117">
        <f t="shared" si="5"/>
        <v>28.192</v>
      </c>
      <c r="G60" t="str">
        <f t="shared" si="6"/>
        <v>20%</v>
      </c>
      <c r="I60" s="53">
        <v>2020</v>
      </c>
      <c r="J60" s="53">
        <v>59</v>
      </c>
      <c r="K60" s="71" t="s">
        <v>105</v>
      </c>
      <c r="L60" t="s">
        <v>703</v>
      </c>
      <c r="M60" s="74" t="s">
        <v>1277</v>
      </c>
      <c r="N60" s="1">
        <v>43882</v>
      </c>
      <c r="O60" t="s">
        <v>1148</v>
      </c>
      <c r="Q60" s="76"/>
      <c r="R60" t="b">
        <v>0</v>
      </c>
      <c r="S60" s="109">
        <v>35.24</v>
      </c>
      <c r="T60" s="72">
        <v>0.66666666666666663</v>
      </c>
      <c r="U60">
        <v>20</v>
      </c>
      <c r="V60" s="31">
        <v>7.0480000000000009</v>
      </c>
      <c r="W60" s="31">
        <v>4.698666666666667</v>
      </c>
      <c r="X60" s="33">
        <v>23.493333333333332</v>
      </c>
      <c r="Y60" s="29">
        <v>42.288000000000004</v>
      </c>
      <c r="Z60" s="29">
        <v>28.192</v>
      </c>
      <c r="AA60" s="35">
        <v>43966</v>
      </c>
      <c r="AB60" s="27"/>
      <c r="AC60" s="27"/>
      <c r="AD60" s="58">
        <v>23.493333333333332</v>
      </c>
      <c r="AE60" s="31">
        <v>0</v>
      </c>
      <c r="AF60" t="b">
        <v>0</v>
      </c>
      <c r="AG60" s="78">
        <v>-23.493333333333332</v>
      </c>
    </row>
    <row r="61" spans="1:33" x14ac:dyDescent="0.25">
      <c r="A61" t="str">
        <f t="shared" si="0"/>
        <v>2020-60</v>
      </c>
      <c r="B61" s="1">
        <f t="shared" si="1"/>
        <v>43885</v>
      </c>
      <c r="C61" t="str">
        <f t="shared" si="2"/>
        <v>0968-20200224-02-8795/Libro 1090</v>
      </c>
      <c r="D61" t="str">
        <f t="shared" si="3"/>
        <v>Ausgaben</v>
      </c>
      <c r="E61" t="str">
        <f t="shared" si="4"/>
        <v>Büromaterial</v>
      </c>
      <c r="F61" s="117">
        <f t="shared" si="5"/>
        <v>5.8920000000000003</v>
      </c>
      <c r="G61" t="str">
        <f t="shared" si="6"/>
        <v>20%</v>
      </c>
      <c r="I61" s="53">
        <v>2020</v>
      </c>
      <c r="J61" s="53">
        <v>60</v>
      </c>
      <c r="K61" s="71" t="s">
        <v>105</v>
      </c>
      <c r="L61" t="s">
        <v>339</v>
      </c>
      <c r="M61" s="74" t="s">
        <v>1278</v>
      </c>
      <c r="N61" s="1">
        <v>43885</v>
      </c>
      <c r="O61" t="s">
        <v>924</v>
      </c>
      <c r="Q61" s="76"/>
      <c r="R61" t="b">
        <v>0</v>
      </c>
      <c r="S61" s="48">
        <v>4.91</v>
      </c>
      <c r="T61" s="72">
        <v>1</v>
      </c>
      <c r="U61">
        <v>20</v>
      </c>
      <c r="V61" s="31">
        <v>0.98199999999999998</v>
      </c>
      <c r="W61" s="31">
        <v>0.98199999999999998</v>
      </c>
      <c r="X61" s="33">
        <v>4.91</v>
      </c>
      <c r="Y61" s="29">
        <v>5.8920000000000003</v>
      </c>
      <c r="Z61" s="29">
        <v>5.8920000000000003</v>
      </c>
      <c r="AA61" s="35">
        <v>43966</v>
      </c>
      <c r="AB61" s="27"/>
      <c r="AC61" s="27"/>
      <c r="AD61" s="58">
        <v>4.91</v>
      </c>
      <c r="AE61" s="31">
        <v>0</v>
      </c>
      <c r="AF61" t="b">
        <v>0</v>
      </c>
      <c r="AG61" s="78">
        <v>-4.91</v>
      </c>
    </row>
    <row r="62" spans="1:33" x14ac:dyDescent="0.25">
      <c r="A62" t="str">
        <f t="shared" si="0"/>
        <v>2020-61</v>
      </c>
      <c r="B62" s="1">
        <f t="shared" si="1"/>
        <v>43888</v>
      </c>
      <c r="C62" t="str">
        <f t="shared" si="2"/>
        <v>11561270283/Sozialversicherung der gewerblichen Wirtshaft</v>
      </c>
      <c r="D62" t="str">
        <f t="shared" si="3"/>
        <v>Ausgaben</v>
      </c>
      <c r="E62" t="str">
        <f t="shared" si="4"/>
        <v>Pflichversicherungsbeiträge</v>
      </c>
      <c r="F62" s="117">
        <f t="shared" si="5"/>
        <v>1676.19</v>
      </c>
      <c r="G62" t="str">
        <f t="shared" si="6"/>
        <v>0%</v>
      </c>
      <c r="I62" s="53">
        <v>2020</v>
      </c>
      <c r="J62" s="53">
        <v>61</v>
      </c>
      <c r="K62" s="71" t="s">
        <v>105</v>
      </c>
      <c r="L62" t="s">
        <v>695</v>
      </c>
      <c r="M62" s="74">
        <v>11561270283</v>
      </c>
      <c r="N62" s="1">
        <v>43888</v>
      </c>
      <c r="O62" t="s">
        <v>952</v>
      </c>
      <c r="Q62" s="76"/>
      <c r="R62" t="b">
        <v>0</v>
      </c>
      <c r="S62" s="48">
        <v>1676.19</v>
      </c>
      <c r="T62" s="72">
        <v>1</v>
      </c>
      <c r="U62">
        <v>0</v>
      </c>
      <c r="V62" s="31">
        <v>0</v>
      </c>
      <c r="W62" s="31">
        <v>0</v>
      </c>
      <c r="X62" s="33">
        <v>1676.19</v>
      </c>
      <c r="Y62" s="29">
        <v>1676.19</v>
      </c>
      <c r="Z62" s="29">
        <v>1676.19</v>
      </c>
      <c r="AA62" s="35">
        <v>43966</v>
      </c>
      <c r="AB62" s="27"/>
      <c r="AC62" s="27"/>
      <c r="AD62" s="58">
        <v>1676.19</v>
      </c>
      <c r="AE62" s="31">
        <v>0</v>
      </c>
      <c r="AF62" t="b">
        <v>0</v>
      </c>
      <c r="AG62" s="78">
        <v>-1676.19</v>
      </c>
    </row>
    <row r="63" spans="1:33" x14ac:dyDescent="0.25">
      <c r="A63" t="str">
        <f t="shared" si="0"/>
        <v>2020-62</v>
      </c>
      <c r="B63" s="1">
        <f t="shared" si="1"/>
        <v>43888</v>
      </c>
      <c r="C63" t="str">
        <f t="shared" si="2"/>
        <v>3293000008977407/car2go Österreich GmbH, Hintere Zollamtstraße 9, 1030 Wien</v>
      </c>
      <c r="D63" t="str">
        <f t="shared" si="3"/>
        <v>Ausgaben</v>
      </c>
      <c r="E63" t="str">
        <f t="shared" si="4"/>
        <v>Reise- und Fahrtspesen inkl. Kilometergeld und Diäten</v>
      </c>
      <c r="F63" s="117">
        <f t="shared" si="5"/>
        <v>2.52</v>
      </c>
      <c r="G63" t="str">
        <f t="shared" si="6"/>
        <v>20%</v>
      </c>
      <c r="I63" s="53">
        <v>2020</v>
      </c>
      <c r="J63" s="53">
        <v>62</v>
      </c>
      <c r="K63" s="71" t="s">
        <v>105</v>
      </c>
      <c r="L63" t="s">
        <v>689</v>
      </c>
      <c r="M63" s="74" t="s">
        <v>1284</v>
      </c>
      <c r="N63" s="1">
        <v>43888</v>
      </c>
      <c r="O63" t="s">
        <v>974</v>
      </c>
      <c r="Q63" s="76"/>
      <c r="R63" t="b">
        <v>0</v>
      </c>
      <c r="S63" s="48">
        <v>2.1</v>
      </c>
      <c r="T63" s="72">
        <v>1</v>
      </c>
      <c r="U63">
        <v>20</v>
      </c>
      <c r="V63" s="31">
        <v>0.42</v>
      </c>
      <c r="W63" s="31">
        <v>0.42</v>
      </c>
      <c r="X63" s="33">
        <v>2.1</v>
      </c>
      <c r="Y63" s="29">
        <v>2.52</v>
      </c>
      <c r="Z63" s="29">
        <v>2.52</v>
      </c>
      <c r="AA63" s="35">
        <v>43966</v>
      </c>
      <c r="AB63" s="27"/>
      <c r="AC63" s="27"/>
      <c r="AD63" s="58">
        <v>2.1</v>
      </c>
      <c r="AE63" s="31">
        <v>0</v>
      </c>
      <c r="AF63" t="b">
        <v>0</v>
      </c>
      <c r="AG63" s="78">
        <v>-2.1</v>
      </c>
    </row>
    <row r="64" spans="1:33" x14ac:dyDescent="0.25">
      <c r="A64" t="str">
        <f t="shared" si="0"/>
        <v>2020-63</v>
      </c>
      <c r="B64" s="1">
        <f t="shared" si="1"/>
        <v>43889</v>
      </c>
      <c r="C64" t="str">
        <f t="shared" si="2"/>
        <v>3293000008984322/car2go Österreich GmbH, Hintere Zollamtstraße 9, 1030 Wien</v>
      </c>
      <c r="D64" t="str">
        <f t="shared" si="3"/>
        <v>Ausgaben</v>
      </c>
      <c r="E64" t="str">
        <f t="shared" si="4"/>
        <v>Reise- und Fahrtspesen inkl. Kilometergeld und Diäten</v>
      </c>
      <c r="F64" s="117">
        <f t="shared" si="5"/>
        <v>9.36</v>
      </c>
      <c r="G64" t="str">
        <f t="shared" si="6"/>
        <v>20%</v>
      </c>
      <c r="I64" s="53">
        <v>2020</v>
      </c>
      <c r="J64" s="53">
        <v>63</v>
      </c>
      <c r="K64" s="71" t="s">
        <v>105</v>
      </c>
      <c r="L64" t="s">
        <v>689</v>
      </c>
      <c r="M64" s="74" t="s">
        <v>1285</v>
      </c>
      <c r="N64" s="1">
        <v>43889</v>
      </c>
      <c r="O64" t="s">
        <v>974</v>
      </c>
      <c r="Q64" s="76"/>
      <c r="R64" t="b">
        <v>0</v>
      </c>
      <c r="S64" s="48">
        <v>7.8</v>
      </c>
      <c r="T64" s="72">
        <v>1</v>
      </c>
      <c r="U64">
        <v>20</v>
      </c>
      <c r="V64" s="31">
        <v>1.56</v>
      </c>
      <c r="W64" s="31">
        <v>1.56</v>
      </c>
      <c r="X64" s="33">
        <v>7.8</v>
      </c>
      <c r="Y64" s="29">
        <v>9.36</v>
      </c>
      <c r="Z64" s="29">
        <v>9.36</v>
      </c>
      <c r="AA64" s="35">
        <v>43966</v>
      </c>
      <c r="AB64" s="27"/>
      <c r="AC64" s="27"/>
      <c r="AD64" s="58">
        <v>7.8</v>
      </c>
      <c r="AE64" s="31">
        <v>0</v>
      </c>
      <c r="AF64" t="b">
        <v>0</v>
      </c>
      <c r="AG64" s="78">
        <v>-7.8</v>
      </c>
    </row>
    <row r="65" spans="1:33" x14ac:dyDescent="0.25">
      <c r="A65" t="str">
        <f t="shared" si="0"/>
        <v>2020-64</v>
      </c>
      <c r="B65" s="1">
        <f t="shared" si="1"/>
        <v>43892</v>
      </c>
      <c r="C65" t="str">
        <f t="shared" si="2"/>
        <v>3293000009002136/car2go Österreich GmbH, Hintere Zollamtstraße 9, 1030 Wien</v>
      </c>
      <c r="D65" t="str">
        <f t="shared" si="3"/>
        <v>Ausgaben</v>
      </c>
      <c r="E65" t="str">
        <f t="shared" si="4"/>
        <v>Reise- und Fahrtspesen inkl. Kilometergeld und Diäten</v>
      </c>
      <c r="F65" s="117">
        <f t="shared" si="5"/>
        <v>2.484</v>
      </c>
      <c r="G65" t="str">
        <f t="shared" si="6"/>
        <v>20%</v>
      </c>
      <c r="I65" s="53">
        <v>2020</v>
      </c>
      <c r="J65" s="53">
        <v>64</v>
      </c>
      <c r="K65" s="71" t="s">
        <v>105</v>
      </c>
      <c r="L65" t="s">
        <v>689</v>
      </c>
      <c r="M65" s="74" t="s">
        <v>1282</v>
      </c>
      <c r="N65" s="1">
        <v>43892</v>
      </c>
      <c r="O65" t="s">
        <v>974</v>
      </c>
      <c r="Q65" s="76"/>
      <c r="R65" t="b">
        <v>0</v>
      </c>
      <c r="S65" s="48">
        <v>2.0699999999999998</v>
      </c>
      <c r="T65" s="72">
        <v>1</v>
      </c>
      <c r="U65">
        <v>20</v>
      </c>
      <c r="V65" s="31">
        <v>0.41399999999999998</v>
      </c>
      <c r="W65" s="31">
        <v>0.41399999999999998</v>
      </c>
      <c r="X65" s="33">
        <v>2.0699999999999998</v>
      </c>
      <c r="Y65" s="29">
        <v>2.484</v>
      </c>
      <c r="Z65" s="29">
        <v>2.484</v>
      </c>
      <c r="AA65" s="35">
        <v>43966</v>
      </c>
      <c r="AB65" s="27"/>
      <c r="AC65" s="27"/>
      <c r="AD65" s="58">
        <v>2.0699999999999998</v>
      </c>
      <c r="AE65" s="31">
        <v>0</v>
      </c>
      <c r="AF65" t="b">
        <v>0</v>
      </c>
      <c r="AG65" s="78">
        <v>-2.0699999999999998</v>
      </c>
    </row>
    <row r="66" spans="1:33" x14ac:dyDescent="0.25">
      <c r="A66" t="str">
        <f t="shared" si="0"/>
        <v>2020-65</v>
      </c>
      <c r="B66" s="1">
        <f t="shared" si="1"/>
        <v>43892</v>
      </c>
      <c r="C66" t="str">
        <f t="shared" si="2"/>
        <v>3293000008997609/car2go Österreich GmbH, Hintere Zollamtstraße 9, 1030 Wien</v>
      </c>
      <c r="D66" t="str">
        <f t="shared" si="3"/>
        <v>Ausgaben</v>
      </c>
      <c r="E66" t="str">
        <f t="shared" si="4"/>
        <v>Reise- und Fahrtspesen inkl. Kilometergeld und Diäten</v>
      </c>
      <c r="F66" s="117">
        <f t="shared" si="5"/>
        <v>3.96</v>
      </c>
      <c r="G66" t="str">
        <f t="shared" si="6"/>
        <v>20%</v>
      </c>
      <c r="I66" s="53">
        <v>2020</v>
      </c>
      <c r="J66" s="53">
        <v>65</v>
      </c>
      <c r="K66" s="71" t="s">
        <v>105</v>
      </c>
      <c r="L66" t="s">
        <v>689</v>
      </c>
      <c r="M66" s="74" t="s">
        <v>1283</v>
      </c>
      <c r="N66" s="1">
        <v>43892</v>
      </c>
      <c r="O66" t="s">
        <v>974</v>
      </c>
      <c r="Q66" s="76"/>
      <c r="R66" t="b">
        <v>0</v>
      </c>
      <c r="S66" s="48">
        <v>3.3</v>
      </c>
      <c r="T66" s="72">
        <v>1</v>
      </c>
      <c r="U66">
        <v>20</v>
      </c>
      <c r="V66" s="31">
        <v>0.66</v>
      </c>
      <c r="W66" s="31">
        <v>0.66</v>
      </c>
      <c r="X66" s="33">
        <v>3.3</v>
      </c>
      <c r="Y66" s="29">
        <v>3.96</v>
      </c>
      <c r="Z66" s="29">
        <v>3.96</v>
      </c>
      <c r="AA66" s="35">
        <v>43966</v>
      </c>
      <c r="AB66" s="27"/>
      <c r="AC66" s="27"/>
      <c r="AD66" s="58">
        <v>3.3</v>
      </c>
      <c r="AE66" s="31">
        <v>0</v>
      </c>
      <c r="AF66" t="b">
        <v>0</v>
      </c>
      <c r="AG66" s="78">
        <v>-3.3</v>
      </c>
    </row>
    <row r="67" spans="1:33" x14ac:dyDescent="0.25">
      <c r="A67" t="str">
        <f t="shared" ref="A67:A130" si="7">I67&amp;"-"&amp;J67</f>
        <v>2020-66</v>
      </c>
      <c r="B67" s="1">
        <f t="shared" ref="B67:B130" si="8">N67</f>
        <v>43892</v>
      </c>
      <c r="C67" t="str">
        <f t="shared" ref="C67:C130" si="9">M67&amp;"/"&amp;O67</f>
        <v>3293000008990778/car2go Österreich GmbH, Hintere Zollamtstraße 9, 1030 Wien</v>
      </c>
      <c r="D67" t="str">
        <f t="shared" ref="D67:D130" si="10">K67</f>
        <v>Ausgaben</v>
      </c>
      <c r="E67" t="str">
        <f t="shared" ref="E67:E130" si="11">L67</f>
        <v>Reise- und Fahrtspesen inkl. Kilometergeld und Diäten</v>
      </c>
      <c r="F67" s="117">
        <f t="shared" ref="F67:F130" si="12">Z67</f>
        <v>1.8960000000000001</v>
      </c>
      <c r="G67" t="str">
        <f t="shared" ref="G67:G130" si="13">U67&amp;"%"</f>
        <v>20%</v>
      </c>
      <c r="I67" s="53">
        <v>2020</v>
      </c>
      <c r="J67" s="53">
        <v>66</v>
      </c>
      <c r="K67" s="71" t="s">
        <v>105</v>
      </c>
      <c r="L67" t="s">
        <v>689</v>
      </c>
      <c r="M67" s="74" t="s">
        <v>1286</v>
      </c>
      <c r="N67" s="1">
        <v>43892</v>
      </c>
      <c r="O67" t="s">
        <v>974</v>
      </c>
      <c r="Q67" s="76"/>
      <c r="R67" t="b">
        <v>0</v>
      </c>
      <c r="S67" s="48">
        <v>1.58</v>
      </c>
      <c r="T67" s="72">
        <v>1</v>
      </c>
      <c r="U67">
        <v>20</v>
      </c>
      <c r="V67" s="31">
        <v>0.316</v>
      </c>
      <c r="W67" s="31">
        <v>0.316</v>
      </c>
      <c r="X67" s="33">
        <v>1.58</v>
      </c>
      <c r="Y67" s="29">
        <v>1.8960000000000001</v>
      </c>
      <c r="Z67" s="29">
        <v>1.8960000000000001</v>
      </c>
      <c r="AA67" s="35">
        <v>43966</v>
      </c>
      <c r="AB67" s="27"/>
      <c r="AC67" s="27"/>
      <c r="AD67" s="58">
        <v>1.58</v>
      </c>
      <c r="AE67" s="31">
        <v>0</v>
      </c>
      <c r="AF67" t="b">
        <v>0</v>
      </c>
      <c r="AG67" s="78">
        <v>-1.58</v>
      </c>
    </row>
    <row r="68" spans="1:33" x14ac:dyDescent="0.25">
      <c r="A68" t="str">
        <f t="shared" si="7"/>
        <v>2020-67</v>
      </c>
      <c r="B68" s="1">
        <f t="shared" si="8"/>
        <v>43892</v>
      </c>
      <c r="C68" t="str">
        <f t="shared" si="9"/>
        <v>3293000008992918/car2go Österreich GmbH, Hintere Zollamtstraße 9, 1030 Wien</v>
      </c>
      <c r="D68" t="str">
        <f t="shared" si="10"/>
        <v>Ausgaben</v>
      </c>
      <c r="E68" t="str">
        <f t="shared" si="11"/>
        <v>Reise- und Fahrtspesen inkl. Kilometergeld und Diäten</v>
      </c>
      <c r="F68" s="117">
        <f t="shared" si="12"/>
        <v>6.7560000000000002</v>
      </c>
      <c r="G68" t="str">
        <f t="shared" si="13"/>
        <v>20%</v>
      </c>
      <c r="I68" s="53">
        <v>2020</v>
      </c>
      <c r="J68" s="53">
        <v>67</v>
      </c>
      <c r="K68" s="71" t="s">
        <v>105</v>
      </c>
      <c r="L68" t="s">
        <v>689</v>
      </c>
      <c r="M68" s="74" t="s">
        <v>1287</v>
      </c>
      <c r="N68" s="1">
        <v>43892</v>
      </c>
      <c r="O68" t="s">
        <v>974</v>
      </c>
      <c r="Q68" s="76"/>
      <c r="R68" t="b">
        <v>0</v>
      </c>
      <c r="S68" s="48">
        <v>5.63</v>
      </c>
      <c r="T68" s="72">
        <v>1</v>
      </c>
      <c r="U68">
        <v>20</v>
      </c>
      <c r="V68" s="31">
        <v>1.1259999999999999</v>
      </c>
      <c r="W68" s="31">
        <v>1.1259999999999999</v>
      </c>
      <c r="X68" s="33">
        <v>5.63</v>
      </c>
      <c r="Y68" s="29">
        <v>6.7560000000000002</v>
      </c>
      <c r="Z68" s="29">
        <v>6.7560000000000002</v>
      </c>
      <c r="AA68" s="35">
        <v>43966</v>
      </c>
      <c r="AB68" s="27"/>
      <c r="AC68" s="27"/>
      <c r="AD68" s="58">
        <v>5.63</v>
      </c>
      <c r="AE68" s="31">
        <v>0</v>
      </c>
      <c r="AF68" t="b">
        <v>0</v>
      </c>
      <c r="AG68" s="78">
        <v>-5.63</v>
      </c>
    </row>
    <row r="69" spans="1:33" x14ac:dyDescent="0.25">
      <c r="A69" t="str">
        <f t="shared" si="7"/>
        <v>2020-68</v>
      </c>
      <c r="B69" s="1">
        <f t="shared" si="8"/>
        <v>43892</v>
      </c>
      <c r="C69" t="str">
        <f t="shared" si="9"/>
        <v>3293000008990862/car2go Österreich GmbH, Hintere Zollamtstraße 9, 1030 Wien</v>
      </c>
      <c r="D69" t="str">
        <f t="shared" si="10"/>
        <v>Ausgaben</v>
      </c>
      <c r="E69" t="str">
        <f t="shared" si="11"/>
        <v>Reise- und Fahrtspesen inkl. Kilometergeld und Diäten</v>
      </c>
      <c r="F69" s="117">
        <f t="shared" si="12"/>
        <v>6.84</v>
      </c>
      <c r="G69" t="str">
        <f t="shared" si="13"/>
        <v>20%</v>
      </c>
      <c r="I69" s="53">
        <v>2020</v>
      </c>
      <c r="J69" s="53">
        <v>68</v>
      </c>
      <c r="K69" s="71" t="s">
        <v>105</v>
      </c>
      <c r="L69" t="s">
        <v>689</v>
      </c>
      <c r="M69" s="74" t="s">
        <v>1288</v>
      </c>
      <c r="N69" s="1">
        <v>43892</v>
      </c>
      <c r="O69" t="s">
        <v>974</v>
      </c>
      <c r="Q69" s="76"/>
      <c r="R69" t="b">
        <v>0</v>
      </c>
      <c r="S69" s="48">
        <v>5.7</v>
      </c>
      <c r="T69" s="72">
        <v>1</v>
      </c>
      <c r="U69">
        <v>20</v>
      </c>
      <c r="V69" s="31">
        <v>1.1399999999999999</v>
      </c>
      <c r="W69" s="31">
        <v>1.1399999999999999</v>
      </c>
      <c r="X69" s="33">
        <v>5.7</v>
      </c>
      <c r="Y69" s="29">
        <v>6.84</v>
      </c>
      <c r="Z69" s="29">
        <v>6.84</v>
      </c>
      <c r="AA69" s="35">
        <v>43966</v>
      </c>
      <c r="AB69" s="27"/>
      <c r="AC69" s="27"/>
      <c r="AD69" s="58">
        <v>5.7</v>
      </c>
      <c r="AE69" s="31">
        <v>0</v>
      </c>
      <c r="AF69" t="b">
        <v>0</v>
      </c>
      <c r="AG69" s="78">
        <v>-5.7</v>
      </c>
    </row>
    <row r="70" spans="1:33" x14ac:dyDescent="0.25">
      <c r="A70" t="str">
        <f t="shared" si="7"/>
        <v>2020-69</v>
      </c>
      <c r="B70" s="1">
        <f t="shared" si="8"/>
        <v>43892</v>
      </c>
      <c r="C70" t="str">
        <f t="shared" si="9"/>
        <v>20/9801/VS00043/Bontus Immobilienverwaltung GmbH, 1010 Wien, Franz Josefs Kai 65</v>
      </c>
      <c r="D70" t="str">
        <f t="shared" si="10"/>
        <v>Ausgaben</v>
      </c>
      <c r="E70" t="str">
        <f t="shared" si="11"/>
        <v>Miet- und Pachtaufwand, Leasing</v>
      </c>
      <c r="F70" s="117">
        <f t="shared" si="12"/>
        <v>554.928</v>
      </c>
      <c r="G70" t="str">
        <f t="shared" si="13"/>
        <v>20%</v>
      </c>
      <c r="I70" s="53">
        <v>2020</v>
      </c>
      <c r="J70" s="53">
        <v>69</v>
      </c>
      <c r="K70" s="71" t="s">
        <v>105</v>
      </c>
      <c r="L70" t="s">
        <v>691</v>
      </c>
      <c r="M70" s="74" t="s">
        <v>1250</v>
      </c>
      <c r="N70" s="1">
        <v>43892</v>
      </c>
      <c r="O70" t="s">
        <v>1113</v>
      </c>
      <c r="Q70" s="76"/>
      <c r="R70" t="b">
        <v>0</v>
      </c>
      <c r="S70" s="48">
        <v>462.44</v>
      </c>
      <c r="T70" s="72">
        <v>1</v>
      </c>
      <c r="U70">
        <v>20</v>
      </c>
      <c r="V70" s="31">
        <v>92.488</v>
      </c>
      <c r="W70" s="31">
        <v>92.488</v>
      </c>
      <c r="X70" s="33">
        <v>462.44</v>
      </c>
      <c r="Y70" s="29">
        <v>554.928</v>
      </c>
      <c r="Z70" s="29">
        <v>554.928</v>
      </c>
      <c r="AA70" s="35">
        <v>43966</v>
      </c>
      <c r="AB70" s="27"/>
      <c r="AC70" s="27"/>
      <c r="AD70" s="58">
        <v>462.44</v>
      </c>
      <c r="AE70" s="31">
        <v>0</v>
      </c>
      <c r="AF70" t="b">
        <v>0</v>
      </c>
      <c r="AG70" s="78">
        <v>-462.44</v>
      </c>
    </row>
    <row r="71" spans="1:33" x14ac:dyDescent="0.25">
      <c r="A71" t="str">
        <f t="shared" si="7"/>
        <v>2020-70</v>
      </c>
      <c r="B71" s="1">
        <f t="shared" si="8"/>
        <v>43892</v>
      </c>
      <c r="C71" t="str">
        <f t="shared" si="9"/>
        <v>PRM320020005234/Xing SE, Dammtorstraße 30, 20354 Hamburg</v>
      </c>
      <c r="D71" t="str">
        <f t="shared" si="10"/>
        <v>Ausgaben</v>
      </c>
      <c r="E71" t="str">
        <f t="shared" si="11"/>
        <v>Werbe- und Repräsentationsaufwand</v>
      </c>
      <c r="F71" s="117">
        <f t="shared" si="12"/>
        <v>24.88</v>
      </c>
      <c r="G71" t="str">
        <f t="shared" si="13"/>
        <v>0%</v>
      </c>
      <c r="I71" s="53">
        <v>2020</v>
      </c>
      <c r="J71" s="53">
        <v>70</v>
      </c>
      <c r="K71" s="71" t="s">
        <v>105</v>
      </c>
      <c r="L71" t="s">
        <v>693</v>
      </c>
      <c r="M71" s="74" t="s">
        <v>1289</v>
      </c>
      <c r="N71" s="1">
        <v>43892</v>
      </c>
      <c r="O71" t="s">
        <v>961</v>
      </c>
      <c r="Q71" s="76"/>
      <c r="R71" t="b">
        <v>0</v>
      </c>
      <c r="S71" s="48">
        <v>24.88</v>
      </c>
      <c r="T71" s="72">
        <v>1</v>
      </c>
      <c r="U71">
        <v>0</v>
      </c>
      <c r="V71" s="31">
        <v>0</v>
      </c>
      <c r="W71" s="31">
        <v>0</v>
      </c>
      <c r="X71" s="33">
        <v>24.88</v>
      </c>
      <c r="Y71" s="29">
        <v>24.88</v>
      </c>
      <c r="Z71" s="29">
        <v>24.88</v>
      </c>
      <c r="AA71" s="35">
        <v>43966</v>
      </c>
      <c r="AB71" s="27"/>
      <c r="AC71" s="27">
        <v>20</v>
      </c>
      <c r="AD71" s="58">
        <v>24.88</v>
      </c>
      <c r="AE71" s="31">
        <v>4.976</v>
      </c>
      <c r="AF71" t="b">
        <v>0</v>
      </c>
      <c r="AG71" s="78">
        <v>-24.88</v>
      </c>
    </row>
    <row r="72" spans="1:33" x14ac:dyDescent="0.25">
      <c r="A72" t="str">
        <f t="shared" si="7"/>
        <v>2020-71</v>
      </c>
      <c r="B72" s="1">
        <f t="shared" si="8"/>
        <v>43894</v>
      </c>
      <c r="C72" t="str">
        <f t="shared" si="9"/>
        <v>3293000009021473/car2go Österreich GmbH, Hintere Zollamtstraße 9, 1030 Wien</v>
      </c>
      <c r="D72" t="str">
        <f t="shared" si="10"/>
        <v>Ausgaben</v>
      </c>
      <c r="E72" t="str">
        <f t="shared" si="11"/>
        <v>Reise- und Fahrtspesen inkl. Kilometergeld und Diäten</v>
      </c>
      <c r="F72" s="117">
        <f t="shared" si="12"/>
        <v>8.9879999999999995</v>
      </c>
      <c r="G72" t="str">
        <f t="shared" si="13"/>
        <v>20%</v>
      </c>
      <c r="I72" s="53">
        <v>2020</v>
      </c>
      <c r="J72" s="53">
        <v>71</v>
      </c>
      <c r="K72" s="71" t="s">
        <v>105</v>
      </c>
      <c r="L72" t="s">
        <v>689</v>
      </c>
      <c r="M72" s="74" t="s">
        <v>1290</v>
      </c>
      <c r="N72" s="1">
        <v>43894</v>
      </c>
      <c r="O72" t="s">
        <v>974</v>
      </c>
      <c r="Q72" s="76"/>
      <c r="R72" t="b">
        <v>0</v>
      </c>
      <c r="S72" s="48">
        <v>7.49</v>
      </c>
      <c r="T72" s="72">
        <v>1</v>
      </c>
      <c r="U72">
        <v>20</v>
      </c>
      <c r="V72" s="31">
        <v>1.4980000000000002</v>
      </c>
      <c r="W72" s="31">
        <v>1.4980000000000002</v>
      </c>
      <c r="X72" s="33">
        <v>7.49</v>
      </c>
      <c r="Y72" s="29">
        <v>8.9879999999999995</v>
      </c>
      <c r="Z72" s="29">
        <v>8.9879999999999995</v>
      </c>
      <c r="AA72" s="35">
        <v>43966</v>
      </c>
      <c r="AB72" s="27"/>
      <c r="AC72" s="27"/>
      <c r="AD72" s="58">
        <v>7.49</v>
      </c>
      <c r="AE72" s="31">
        <v>0</v>
      </c>
      <c r="AF72" t="b">
        <v>0</v>
      </c>
      <c r="AG72" s="78">
        <v>-7.49</v>
      </c>
    </row>
    <row r="73" spans="1:33" x14ac:dyDescent="0.25">
      <c r="A73" t="str">
        <f t="shared" si="7"/>
        <v>2020-72</v>
      </c>
      <c r="B73" s="1">
        <f t="shared" si="8"/>
        <v>43894</v>
      </c>
      <c r="C73" t="str">
        <f t="shared" si="9"/>
        <v>3293000009017540/car2go Österreich GmbH, Hintere Zollamtstraße 9, 1030 Wien</v>
      </c>
      <c r="D73" t="str">
        <f t="shared" si="10"/>
        <v>Ausgaben</v>
      </c>
      <c r="E73" t="str">
        <f t="shared" si="11"/>
        <v>Reise- und Fahrtspesen inkl. Kilometergeld und Diäten</v>
      </c>
      <c r="F73" s="117">
        <f t="shared" si="12"/>
        <v>6.8159999999999998</v>
      </c>
      <c r="G73" t="str">
        <f t="shared" si="13"/>
        <v>20%</v>
      </c>
      <c r="I73" s="53">
        <v>2020</v>
      </c>
      <c r="J73" s="53">
        <v>72</v>
      </c>
      <c r="K73" s="71" t="s">
        <v>105</v>
      </c>
      <c r="L73" t="s">
        <v>689</v>
      </c>
      <c r="M73" s="74" t="s">
        <v>1291</v>
      </c>
      <c r="N73" s="1">
        <v>43894</v>
      </c>
      <c r="O73" t="s">
        <v>974</v>
      </c>
      <c r="Q73" s="76"/>
      <c r="R73" t="b">
        <v>0</v>
      </c>
      <c r="S73" s="48">
        <v>5.68</v>
      </c>
      <c r="T73" s="72">
        <v>1</v>
      </c>
      <c r="U73">
        <v>20</v>
      </c>
      <c r="V73" s="31">
        <v>1.1359999999999999</v>
      </c>
      <c r="W73" s="31">
        <v>1.1359999999999999</v>
      </c>
      <c r="X73" s="33">
        <v>5.68</v>
      </c>
      <c r="Y73" s="29">
        <v>6.8159999999999998</v>
      </c>
      <c r="Z73" s="29">
        <v>6.8159999999999998</v>
      </c>
      <c r="AA73" s="35">
        <v>43966</v>
      </c>
      <c r="AB73" s="27"/>
      <c r="AC73" s="27"/>
      <c r="AD73" s="58">
        <v>5.68</v>
      </c>
      <c r="AE73" s="31">
        <v>0</v>
      </c>
      <c r="AF73" t="b">
        <v>0</v>
      </c>
      <c r="AG73" s="78">
        <v>-5.68</v>
      </c>
    </row>
    <row r="74" spans="1:33" x14ac:dyDescent="0.25">
      <c r="A74" t="str">
        <f t="shared" si="7"/>
        <v>2020-73</v>
      </c>
      <c r="B74" s="1">
        <f t="shared" si="8"/>
        <v>43894</v>
      </c>
      <c r="C74" t="str">
        <f t="shared" si="9"/>
        <v>807693/easy green energy</v>
      </c>
      <c r="D74" t="str">
        <f t="shared" si="10"/>
        <v>Ausgaben</v>
      </c>
      <c r="E74" t="str">
        <f t="shared" si="11"/>
        <v>sonstige Betriebsausgaben</v>
      </c>
      <c r="F74" s="117">
        <f t="shared" si="12"/>
        <v>3</v>
      </c>
      <c r="G74" t="str">
        <f t="shared" si="13"/>
        <v>20%</v>
      </c>
      <c r="I74" s="53">
        <v>2020</v>
      </c>
      <c r="J74" s="53">
        <v>73</v>
      </c>
      <c r="K74" s="71" t="s">
        <v>105</v>
      </c>
      <c r="L74" t="s">
        <v>705</v>
      </c>
      <c r="M74" s="74" t="s">
        <v>1225</v>
      </c>
      <c r="N74" s="1">
        <v>43894</v>
      </c>
      <c r="O74" t="s">
        <v>1154</v>
      </c>
      <c r="Q74" s="76"/>
      <c r="R74" t="b">
        <v>0</v>
      </c>
      <c r="S74" s="48">
        <v>2.5</v>
      </c>
      <c r="T74" s="72">
        <v>1</v>
      </c>
      <c r="U74">
        <v>20</v>
      </c>
      <c r="V74" s="31">
        <v>0.5</v>
      </c>
      <c r="W74" s="31">
        <v>0.5</v>
      </c>
      <c r="X74" s="33">
        <v>2.5</v>
      </c>
      <c r="Y74" s="29">
        <v>3</v>
      </c>
      <c r="Z74" s="29">
        <v>3</v>
      </c>
      <c r="AA74" s="35">
        <v>43966</v>
      </c>
      <c r="AB74" s="27"/>
      <c r="AC74" s="27"/>
      <c r="AD74" s="58">
        <v>2.5</v>
      </c>
      <c r="AE74" s="31">
        <v>0</v>
      </c>
      <c r="AF74" t="b">
        <v>0</v>
      </c>
      <c r="AG74" s="78">
        <v>-2.5</v>
      </c>
    </row>
    <row r="75" spans="1:33" x14ac:dyDescent="0.25">
      <c r="A75" t="str">
        <f t="shared" si="7"/>
        <v>2020-74</v>
      </c>
      <c r="B75" s="1">
        <f t="shared" si="8"/>
        <v>43895</v>
      </c>
      <c r="C75" t="str">
        <f t="shared" si="9"/>
        <v>3293000009023446/car2go Österreich GmbH, Hintere Zollamtstraße 9, 1030 Wien</v>
      </c>
      <c r="D75" t="str">
        <f t="shared" si="10"/>
        <v>Ausgaben</v>
      </c>
      <c r="E75" t="str">
        <f t="shared" si="11"/>
        <v>Reise- und Fahrtspesen inkl. Kilometergeld und Diäten</v>
      </c>
      <c r="F75" s="117">
        <f t="shared" si="12"/>
        <v>3.6</v>
      </c>
      <c r="G75" t="str">
        <f t="shared" si="13"/>
        <v>20%</v>
      </c>
      <c r="I75" s="53">
        <v>2020</v>
      </c>
      <c r="J75" s="53">
        <v>74</v>
      </c>
      <c r="K75" s="71" t="s">
        <v>105</v>
      </c>
      <c r="L75" t="s">
        <v>689</v>
      </c>
      <c r="M75" s="74" t="s">
        <v>1292</v>
      </c>
      <c r="N75" s="1">
        <v>43895</v>
      </c>
      <c r="O75" t="s">
        <v>974</v>
      </c>
      <c r="Q75" s="76"/>
      <c r="R75" t="b">
        <v>0</v>
      </c>
      <c r="S75" s="48">
        <v>3</v>
      </c>
      <c r="T75" s="72">
        <v>1</v>
      </c>
      <c r="U75">
        <v>20</v>
      </c>
      <c r="V75" s="31">
        <v>0.6</v>
      </c>
      <c r="W75" s="31">
        <v>0.6</v>
      </c>
      <c r="X75" s="33">
        <v>3</v>
      </c>
      <c r="Y75" s="29">
        <v>3.6</v>
      </c>
      <c r="Z75" s="29">
        <v>3.6</v>
      </c>
      <c r="AA75" s="35">
        <v>43966</v>
      </c>
      <c r="AB75" s="27"/>
      <c r="AC75" s="27"/>
      <c r="AD75" s="58">
        <v>3</v>
      </c>
      <c r="AE75" s="31">
        <v>0</v>
      </c>
      <c r="AF75" t="b">
        <v>0</v>
      </c>
      <c r="AG75" s="78">
        <v>-3</v>
      </c>
    </row>
    <row r="76" spans="1:33" x14ac:dyDescent="0.25">
      <c r="A76" t="str">
        <f t="shared" si="7"/>
        <v>2020-75</v>
      </c>
      <c r="B76" s="1">
        <f t="shared" si="8"/>
        <v>43895</v>
      </c>
      <c r="C76" t="str">
        <f t="shared" si="9"/>
        <v>3293000009027007/car2go Österreich GmbH, Hintere Zollamtstraße 9, 1030 Wien</v>
      </c>
      <c r="D76" t="str">
        <f t="shared" si="10"/>
        <v>Ausgaben</v>
      </c>
      <c r="E76" t="str">
        <f t="shared" si="11"/>
        <v>Reise- und Fahrtspesen inkl. Kilometergeld und Diäten</v>
      </c>
      <c r="F76" s="117">
        <f t="shared" si="12"/>
        <v>3.0960000000000001</v>
      </c>
      <c r="G76" t="str">
        <f t="shared" si="13"/>
        <v>20%</v>
      </c>
      <c r="I76" s="53">
        <v>2020</v>
      </c>
      <c r="J76" s="53">
        <v>75</v>
      </c>
      <c r="K76" s="71" t="s">
        <v>105</v>
      </c>
      <c r="L76" t="s">
        <v>689</v>
      </c>
      <c r="M76" s="74" t="s">
        <v>1293</v>
      </c>
      <c r="N76" s="1">
        <v>43895</v>
      </c>
      <c r="O76" t="s">
        <v>974</v>
      </c>
      <c r="Q76" s="76"/>
      <c r="R76" t="b">
        <v>0</v>
      </c>
      <c r="S76" s="48">
        <v>2.58</v>
      </c>
      <c r="T76" s="72">
        <v>1</v>
      </c>
      <c r="U76">
        <v>20</v>
      </c>
      <c r="V76" s="31">
        <v>0.51600000000000001</v>
      </c>
      <c r="W76" s="31">
        <v>0.51600000000000001</v>
      </c>
      <c r="X76" s="33">
        <v>2.58</v>
      </c>
      <c r="Y76" s="29">
        <v>3.0960000000000001</v>
      </c>
      <c r="Z76" s="29">
        <v>3.0960000000000001</v>
      </c>
      <c r="AA76" s="35">
        <v>43966</v>
      </c>
      <c r="AB76" s="27"/>
      <c r="AC76" s="27"/>
      <c r="AD76" s="58">
        <v>2.58</v>
      </c>
      <c r="AE76" s="31">
        <v>0</v>
      </c>
      <c r="AF76" t="b">
        <v>0</v>
      </c>
      <c r="AG76" s="78">
        <v>-2.58</v>
      </c>
    </row>
    <row r="77" spans="1:33" x14ac:dyDescent="0.25">
      <c r="A77" t="str">
        <f t="shared" si="7"/>
        <v>2020-76</v>
      </c>
      <c r="B77" s="1">
        <f t="shared" si="8"/>
        <v>43895</v>
      </c>
      <c r="C77" t="str">
        <f t="shared" si="9"/>
        <v>(keine RNr)/Wiener Linien GmbH &amp; Co KG</v>
      </c>
      <c r="D77" t="str">
        <f t="shared" si="10"/>
        <v>Ausgaben</v>
      </c>
      <c r="E77" t="str">
        <f t="shared" si="11"/>
        <v>Reise- und Fahrtspesen inkl. Kilometergeld und Diäten</v>
      </c>
      <c r="F77" s="117">
        <f t="shared" si="12"/>
        <v>365.00200000000001</v>
      </c>
      <c r="G77" t="str">
        <f t="shared" si="13"/>
        <v>10%</v>
      </c>
      <c r="I77" s="53">
        <v>2020</v>
      </c>
      <c r="J77" s="53">
        <v>76</v>
      </c>
      <c r="K77" s="71" t="s">
        <v>105</v>
      </c>
      <c r="L77" t="s">
        <v>689</v>
      </c>
      <c r="M77" s="74" t="s">
        <v>968</v>
      </c>
      <c r="N77" s="1">
        <v>43895</v>
      </c>
      <c r="O77" t="s">
        <v>962</v>
      </c>
      <c r="Q77" s="76"/>
      <c r="R77" t="b">
        <v>0</v>
      </c>
      <c r="S77" s="48">
        <v>331.82</v>
      </c>
      <c r="T77" s="72">
        <v>1</v>
      </c>
      <c r="U77">
        <v>10</v>
      </c>
      <c r="V77" s="31">
        <v>33.181999999999995</v>
      </c>
      <c r="W77" s="31">
        <v>33.181999999999995</v>
      </c>
      <c r="X77" s="33">
        <v>331.82</v>
      </c>
      <c r="Y77" s="29">
        <v>365.00200000000001</v>
      </c>
      <c r="Z77" s="29">
        <v>365.00200000000001</v>
      </c>
      <c r="AA77" s="35">
        <v>43966</v>
      </c>
      <c r="AB77" s="27"/>
      <c r="AC77" s="27"/>
      <c r="AD77" s="58">
        <v>331.82</v>
      </c>
      <c r="AE77" s="31">
        <v>0</v>
      </c>
      <c r="AF77" t="b">
        <v>0</v>
      </c>
      <c r="AG77" s="78">
        <v>-331.82</v>
      </c>
    </row>
    <row r="78" spans="1:33" x14ac:dyDescent="0.25">
      <c r="A78" t="str">
        <f t="shared" si="7"/>
        <v>2020-77</v>
      </c>
      <c r="B78" s="1">
        <f t="shared" si="8"/>
        <v>43896</v>
      </c>
      <c r="C78" t="str">
        <f t="shared" si="9"/>
        <v>6197452672/Hutchison Drei Austria GmbH, Brünner Straße 52, 1210 Wien, Österreich</v>
      </c>
      <c r="D78" t="str">
        <f t="shared" si="10"/>
        <v>Ausgaben</v>
      </c>
      <c r="E78" t="str">
        <f t="shared" si="11"/>
        <v>Telefon/Internet</v>
      </c>
      <c r="F78" s="117">
        <f t="shared" si="12"/>
        <v>18</v>
      </c>
      <c r="G78" t="str">
        <f t="shared" si="13"/>
        <v>20%</v>
      </c>
      <c r="I78" s="53">
        <v>2020</v>
      </c>
      <c r="J78" s="53">
        <v>77</v>
      </c>
      <c r="K78" s="71" t="s">
        <v>105</v>
      </c>
      <c r="L78" t="s">
        <v>703</v>
      </c>
      <c r="M78" s="74" t="s">
        <v>1294</v>
      </c>
      <c r="N78" s="1">
        <v>43896</v>
      </c>
      <c r="O78" t="s">
        <v>34</v>
      </c>
      <c r="Q78" s="76"/>
      <c r="R78" t="b">
        <v>0</v>
      </c>
      <c r="S78" s="48">
        <v>15</v>
      </c>
      <c r="T78" s="72">
        <v>1</v>
      </c>
      <c r="U78">
        <v>20</v>
      </c>
      <c r="V78" s="31">
        <v>3</v>
      </c>
      <c r="W78" s="31">
        <v>3</v>
      </c>
      <c r="X78" s="33">
        <v>15</v>
      </c>
      <c r="Y78" s="29">
        <v>18</v>
      </c>
      <c r="Z78" s="29">
        <v>18</v>
      </c>
      <c r="AA78" s="35">
        <v>43966</v>
      </c>
      <c r="AB78" s="27"/>
      <c r="AC78" s="27"/>
      <c r="AD78" s="58">
        <v>15</v>
      </c>
      <c r="AE78" s="31">
        <v>0</v>
      </c>
      <c r="AF78" t="b">
        <v>0</v>
      </c>
      <c r="AG78" s="78">
        <v>-15</v>
      </c>
    </row>
    <row r="79" spans="1:33" x14ac:dyDescent="0.25">
      <c r="A79" t="str">
        <f t="shared" si="7"/>
        <v>2020-78</v>
      </c>
      <c r="B79" s="1">
        <f t="shared" si="8"/>
        <v>43896</v>
      </c>
      <c r="C79" t="str">
        <f t="shared" si="9"/>
        <v>VS/19-01-05428/Techem Messtechnik GmbH; Abnehmernummer 501686-0003-11-(</v>
      </c>
      <c r="D79" t="str">
        <f t="shared" si="10"/>
        <v>Ausgaben</v>
      </c>
      <c r="E79" t="str">
        <f t="shared" si="11"/>
        <v>sonstige Betriebsausgaben</v>
      </c>
      <c r="F79" s="117">
        <f t="shared" si="12"/>
        <v>43.900000000000006</v>
      </c>
      <c r="G79" t="str">
        <f t="shared" si="13"/>
        <v>20%</v>
      </c>
      <c r="I79" s="53">
        <v>2020</v>
      </c>
      <c r="J79" s="53">
        <v>78</v>
      </c>
      <c r="K79" s="71" t="s">
        <v>105</v>
      </c>
      <c r="L79" t="s">
        <v>705</v>
      </c>
      <c r="M79" s="74" t="s">
        <v>1143</v>
      </c>
      <c r="N79" s="1">
        <v>43896</v>
      </c>
      <c r="O79" t="s">
        <v>1128</v>
      </c>
      <c r="Q79" s="76"/>
      <c r="R79" t="b">
        <v>0</v>
      </c>
      <c r="S79" s="48">
        <v>36.583333333333336</v>
      </c>
      <c r="T79" s="72">
        <v>1</v>
      </c>
      <c r="U79">
        <v>20</v>
      </c>
      <c r="V79" s="31">
        <v>7.3166666666666673</v>
      </c>
      <c r="W79" s="31">
        <v>7.3166666666666673</v>
      </c>
      <c r="X79" s="33">
        <v>36.583333333333336</v>
      </c>
      <c r="Y79" s="29">
        <v>43.900000000000006</v>
      </c>
      <c r="Z79" s="29">
        <v>43.900000000000006</v>
      </c>
      <c r="AA79" s="35">
        <v>43966</v>
      </c>
      <c r="AB79" s="27"/>
      <c r="AC79" s="27"/>
      <c r="AD79" s="58">
        <v>36.583333333333336</v>
      </c>
      <c r="AE79" s="31">
        <v>0</v>
      </c>
      <c r="AF79" t="b">
        <v>0</v>
      </c>
      <c r="AG79" s="78">
        <v>-36.583333333333336</v>
      </c>
    </row>
    <row r="80" spans="1:33" x14ac:dyDescent="0.25">
      <c r="A80" t="str">
        <f t="shared" si="7"/>
        <v>2020-79</v>
      </c>
      <c r="B80" s="1">
        <f t="shared" si="8"/>
        <v>43896</v>
      </c>
      <c r="C80" t="str">
        <f t="shared" si="9"/>
        <v>3293000009034738/car2go Österreich GmbH, Hintere Zollamtstraße 9, 1030 Wien</v>
      </c>
      <c r="D80" t="str">
        <f t="shared" si="10"/>
        <v>Ausgaben</v>
      </c>
      <c r="E80" t="str">
        <f t="shared" si="11"/>
        <v>Reise- und Fahrtspesen inkl. Kilometergeld und Diäten</v>
      </c>
      <c r="F80" s="117">
        <f t="shared" si="12"/>
        <v>7.44</v>
      </c>
      <c r="G80" t="str">
        <f t="shared" si="13"/>
        <v>20%</v>
      </c>
      <c r="I80" s="53">
        <v>2020</v>
      </c>
      <c r="J80" s="53">
        <v>79</v>
      </c>
      <c r="K80" s="71" t="s">
        <v>105</v>
      </c>
      <c r="L80" t="s">
        <v>689</v>
      </c>
      <c r="M80" s="74" t="s">
        <v>1295</v>
      </c>
      <c r="N80" s="1">
        <v>43896</v>
      </c>
      <c r="O80" t="s">
        <v>974</v>
      </c>
      <c r="Q80" s="76"/>
      <c r="R80" t="b">
        <v>0</v>
      </c>
      <c r="S80" s="48">
        <v>6.2</v>
      </c>
      <c r="T80" s="72">
        <v>1</v>
      </c>
      <c r="U80">
        <v>20</v>
      </c>
      <c r="V80" s="31">
        <v>1.24</v>
      </c>
      <c r="W80" s="31">
        <v>1.24</v>
      </c>
      <c r="X80" s="33">
        <v>6.2</v>
      </c>
      <c r="Y80" s="29">
        <v>7.44</v>
      </c>
      <c r="Z80" s="29">
        <v>7.44</v>
      </c>
      <c r="AA80" s="35">
        <v>43966</v>
      </c>
      <c r="AB80" s="27"/>
      <c r="AC80" s="27"/>
      <c r="AD80" s="58">
        <v>6.2</v>
      </c>
      <c r="AE80" s="31">
        <v>0</v>
      </c>
      <c r="AF80" t="b">
        <v>0</v>
      </c>
      <c r="AG80" s="78">
        <v>-6.2</v>
      </c>
    </row>
    <row r="81" spans="1:33" x14ac:dyDescent="0.25">
      <c r="A81" t="str">
        <f t="shared" si="7"/>
        <v>2020-80</v>
      </c>
      <c r="B81" s="1">
        <f t="shared" si="8"/>
        <v>43896</v>
      </c>
      <c r="C81" t="str">
        <f t="shared" si="9"/>
        <v>3293000009030357/car2go Österreich GmbH, Hintere Zollamtstraße 9, 1030 Wien</v>
      </c>
      <c r="D81" t="str">
        <f t="shared" si="10"/>
        <v>Ausgaben</v>
      </c>
      <c r="E81" t="str">
        <f t="shared" si="11"/>
        <v>Reise- und Fahrtspesen inkl. Kilometergeld und Diäten</v>
      </c>
      <c r="F81" s="117">
        <f t="shared" si="12"/>
        <v>15.96</v>
      </c>
      <c r="G81" t="str">
        <f t="shared" si="13"/>
        <v>20%</v>
      </c>
      <c r="I81" s="53">
        <v>2020</v>
      </c>
      <c r="J81" s="53">
        <v>80</v>
      </c>
      <c r="K81" s="71" t="s">
        <v>105</v>
      </c>
      <c r="L81" t="s">
        <v>689</v>
      </c>
      <c r="M81" s="74" t="s">
        <v>1296</v>
      </c>
      <c r="N81" s="1">
        <v>43896</v>
      </c>
      <c r="O81" t="s">
        <v>974</v>
      </c>
      <c r="Q81" s="76"/>
      <c r="R81" t="b">
        <v>0</v>
      </c>
      <c r="S81" s="48">
        <v>13.3</v>
      </c>
      <c r="T81" s="72">
        <v>1</v>
      </c>
      <c r="U81">
        <v>20</v>
      </c>
      <c r="V81" s="31">
        <v>2.66</v>
      </c>
      <c r="W81" s="31">
        <v>2.66</v>
      </c>
      <c r="X81" s="33">
        <v>13.3</v>
      </c>
      <c r="Y81" s="29">
        <v>15.96</v>
      </c>
      <c r="Z81" s="29">
        <v>15.96</v>
      </c>
      <c r="AA81" s="35">
        <v>43966</v>
      </c>
      <c r="AB81" s="27"/>
      <c r="AC81" s="27"/>
      <c r="AD81" s="58">
        <v>13.3</v>
      </c>
      <c r="AE81" s="31">
        <v>0</v>
      </c>
      <c r="AF81" t="b">
        <v>0</v>
      </c>
      <c r="AG81" s="78">
        <v>-13.3</v>
      </c>
    </row>
    <row r="82" spans="1:33" x14ac:dyDescent="0.25">
      <c r="A82" t="str">
        <f t="shared" si="7"/>
        <v>2020-81</v>
      </c>
      <c r="B82" s="1">
        <f t="shared" si="8"/>
        <v>43896</v>
      </c>
      <c r="C82" t="str">
        <f t="shared" si="9"/>
        <v>3293000009030587/car2go Österreich GmbH, Hintere Zollamtstraße 9, 1030 Wien</v>
      </c>
      <c r="D82" t="str">
        <f t="shared" si="10"/>
        <v>Ausgaben</v>
      </c>
      <c r="E82" t="str">
        <f t="shared" si="11"/>
        <v>Reise- und Fahrtspesen inkl. Kilometergeld und Diäten</v>
      </c>
      <c r="F82" s="117">
        <f t="shared" si="12"/>
        <v>3.4079999999999999</v>
      </c>
      <c r="G82" t="str">
        <f t="shared" si="13"/>
        <v>20%</v>
      </c>
      <c r="I82" s="53">
        <v>2020</v>
      </c>
      <c r="J82" s="53">
        <v>81</v>
      </c>
      <c r="K82" s="71" t="s">
        <v>105</v>
      </c>
      <c r="L82" t="s">
        <v>689</v>
      </c>
      <c r="M82" s="74" t="s">
        <v>1297</v>
      </c>
      <c r="N82" s="1">
        <v>43896</v>
      </c>
      <c r="O82" t="s">
        <v>974</v>
      </c>
      <c r="Q82" s="76"/>
      <c r="R82" t="b">
        <v>0</v>
      </c>
      <c r="S82" s="48">
        <v>2.84</v>
      </c>
      <c r="T82" s="72">
        <v>1</v>
      </c>
      <c r="U82">
        <v>20</v>
      </c>
      <c r="V82" s="31">
        <v>0.56799999999999995</v>
      </c>
      <c r="W82" s="31">
        <v>0.56799999999999995</v>
      </c>
      <c r="X82" s="33">
        <v>2.84</v>
      </c>
      <c r="Y82" s="29">
        <v>3.4079999999999999</v>
      </c>
      <c r="Z82" s="29">
        <v>3.4079999999999999</v>
      </c>
      <c r="AA82" s="35">
        <v>43966</v>
      </c>
      <c r="AB82" s="27"/>
      <c r="AC82" s="27"/>
      <c r="AD82" s="58">
        <v>2.84</v>
      </c>
      <c r="AE82" s="31">
        <v>0</v>
      </c>
      <c r="AF82" t="b">
        <v>0</v>
      </c>
      <c r="AG82" s="78">
        <v>-2.84</v>
      </c>
    </row>
    <row r="83" spans="1:33" x14ac:dyDescent="0.25">
      <c r="A83" t="str">
        <f t="shared" si="7"/>
        <v>2020-82</v>
      </c>
      <c r="B83" s="1">
        <f t="shared" si="8"/>
        <v>43900</v>
      </c>
      <c r="C83" t="str">
        <f t="shared" si="9"/>
        <v>5112142283/Wiener Netze GmbH, Erdbergstraße 236, 1110 Wien, Postfach 422</v>
      </c>
      <c r="D83" t="str">
        <f t="shared" si="10"/>
        <v>Ausgaben</v>
      </c>
      <c r="E83" t="str">
        <f t="shared" si="11"/>
        <v>sonstige Betriebsausgaben</v>
      </c>
      <c r="F83" s="117">
        <f t="shared" si="12"/>
        <v>34.799999999999997</v>
      </c>
      <c r="G83" t="str">
        <f t="shared" si="13"/>
        <v>20%</v>
      </c>
      <c r="I83" s="53">
        <v>2020</v>
      </c>
      <c r="J83" s="53">
        <v>82</v>
      </c>
      <c r="K83" s="71" t="s">
        <v>105</v>
      </c>
      <c r="L83" t="s">
        <v>705</v>
      </c>
      <c r="M83" s="74" t="s">
        <v>1222</v>
      </c>
      <c r="N83" s="1">
        <v>43900</v>
      </c>
      <c r="O83" t="s">
        <v>1223</v>
      </c>
      <c r="Q83" s="76"/>
      <c r="R83" t="b">
        <v>0</v>
      </c>
      <c r="S83" s="109">
        <v>29</v>
      </c>
      <c r="T83" s="72">
        <v>1</v>
      </c>
      <c r="U83">
        <v>20</v>
      </c>
      <c r="V83" s="31">
        <v>5.8</v>
      </c>
      <c r="W83" s="31">
        <v>5.8</v>
      </c>
      <c r="X83" s="33">
        <v>29</v>
      </c>
      <c r="Y83" s="29">
        <v>34.799999999999997</v>
      </c>
      <c r="Z83" s="29">
        <v>34.799999999999997</v>
      </c>
      <c r="AA83" s="35">
        <v>43966</v>
      </c>
      <c r="AB83" s="27"/>
      <c r="AC83" s="27"/>
      <c r="AD83" s="58">
        <v>29</v>
      </c>
      <c r="AE83" s="31">
        <v>0</v>
      </c>
      <c r="AF83" t="b">
        <v>0</v>
      </c>
      <c r="AG83" s="78">
        <v>-29</v>
      </c>
    </row>
    <row r="84" spans="1:33" x14ac:dyDescent="0.25">
      <c r="A84" t="str">
        <f t="shared" si="7"/>
        <v>2020-83</v>
      </c>
      <c r="B84" s="1">
        <f t="shared" si="8"/>
        <v>43900</v>
      </c>
      <c r="C84" t="str">
        <f t="shared" si="9"/>
        <v>12020007/DCF - Digital Coding Factory GmbH, Bauernfeldgasse 4/12 1090 Wien</v>
      </c>
      <c r="D84" t="str">
        <f t="shared" si="10"/>
        <v>Einnahmen</v>
      </c>
      <c r="E84" t="str">
        <f t="shared" si="11"/>
        <v>Waren-/Leistungserlöse</v>
      </c>
      <c r="F84" s="117">
        <f t="shared" si="12"/>
        <v>1071</v>
      </c>
      <c r="G84" t="str">
        <f t="shared" si="13"/>
        <v>20%</v>
      </c>
      <c r="I84" s="53">
        <v>2020</v>
      </c>
      <c r="J84" s="53">
        <v>83</v>
      </c>
      <c r="K84" s="71" t="s">
        <v>708</v>
      </c>
      <c r="L84" t="s">
        <v>709</v>
      </c>
      <c r="M84" s="74" t="s">
        <v>1298</v>
      </c>
      <c r="N84" s="1">
        <v>43900</v>
      </c>
      <c r="O84" t="s">
        <v>1266</v>
      </c>
      <c r="Q84" s="76"/>
      <c r="R84" t="b">
        <v>0</v>
      </c>
      <c r="S84" s="48">
        <v>892.5</v>
      </c>
      <c r="T84" s="72">
        <v>1</v>
      </c>
      <c r="U84">
        <v>20</v>
      </c>
      <c r="V84" s="31">
        <v>178.5</v>
      </c>
      <c r="W84" s="31">
        <v>178.5</v>
      </c>
      <c r="X84" s="33">
        <v>892.5</v>
      </c>
      <c r="Y84" s="29">
        <v>1071</v>
      </c>
      <c r="Z84" s="29">
        <v>1071</v>
      </c>
      <c r="AA84" s="35">
        <v>43966</v>
      </c>
      <c r="AB84" s="27"/>
      <c r="AC84" s="27"/>
      <c r="AD84" s="58">
        <v>892.5</v>
      </c>
      <c r="AE84" s="31">
        <v>0</v>
      </c>
      <c r="AF84" t="b">
        <v>0</v>
      </c>
      <c r="AG84" s="78">
        <v>892.5</v>
      </c>
    </row>
    <row r="85" spans="1:33" x14ac:dyDescent="0.25">
      <c r="A85" t="str">
        <f t="shared" si="7"/>
        <v>2020-84</v>
      </c>
      <c r="B85" s="1">
        <f t="shared" si="8"/>
        <v>43900</v>
      </c>
      <c r="C85" t="str">
        <f t="shared" si="9"/>
        <v>12020006/Wedding Avenue e.U., Mayerweckstrasse 2-8/99/1, 1210 Wien</v>
      </c>
      <c r="D85" t="str">
        <f t="shared" si="10"/>
        <v>Einnahmen</v>
      </c>
      <c r="E85" t="str">
        <f t="shared" si="11"/>
        <v>Waren-/Leistungserlöse</v>
      </c>
      <c r="F85" s="117">
        <f t="shared" si="12"/>
        <v>315</v>
      </c>
      <c r="G85" t="str">
        <f t="shared" si="13"/>
        <v>20%</v>
      </c>
      <c r="I85" s="53">
        <v>2020</v>
      </c>
      <c r="J85" s="53">
        <v>84</v>
      </c>
      <c r="K85" s="71" t="s">
        <v>708</v>
      </c>
      <c r="L85" t="s">
        <v>709</v>
      </c>
      <c r="M85" s="74" t="s">
        <v>1299</v>
      </c>
      <c r="N85" s="1">
        <v>43900</v>
      </c>
      <c r="O85" s="43" t="s">
        <v>1012</v>
      </c>
      <c r="Q85" s="76"/>
      <c r="R85" t="b">
        <v>0</v>
      </c>
      <c r="S85" s="48">
        <v>262.5</v>
      </c>
      <c r="T85" s="72">
        <v>1</v>
      </c>
      <c r="U85">
        <v>20</v>
      </c>
      <c r="V85" s="31">
        <v>52.5</v>
      </c>
      <c r="W85" s="31">
        <v>52.5</v>
      </c>
      <c r="X85" s="33">
        <v>262.5</v>
      </c>
      <c r="Y85" s="29">
        <v>315</v>
      </c>
      <c r="Z85" s="29">
        <v>315</v>
      </c>
      <c r="AA85" s="35">
        <v>43966</v>
      </c>
      <c r="AB85" s="27"/>
      <c r="AC85" s="27"/>
      <c r="AD85" s="58">
        <v>262.5</v>
      </c>
      <c r="AE85" s="31">
        <v>0</v>
      </c>
      <c r="AF85" t="b">
        <v>0</v>
      </c>
      <c r="AG85" s="78">
        <v>262.5</v>
      </c>
    </row>
    <row r="86" spans="1:33" x14ac:dyDescent="0.25">
      <c r="A86" t="str">
        <f t="shared" si="7"/>
        <v>2020-85</v>
      </c>
      <c r="B86" s="1">
        <f t="shared" si="8"/>
        <v>43901</v>
      </c>
      <c r="C86" t="str">
        <f t="shared" si="9"/>
        <v>AEU-INV-PL-2020-610134/Amazon EU S. à r.l., 38 avenue John F. Kennedy, L-1855 Luxembourg: HJEU: DVI-HDMI, Logitech Maus</v>
      </c>
      <c r="D86" t="str">
        <f t="shared" si="10"/>
        <v>Ausgaben</v>
      </c>
      <c r="E86" t="str">
        <f t="shared" si="11"/>
        <v>Waren, Rohstoffe, Hilfsstoffe</v>
      </c>
      <c r="F86" s="117">
        <f t="shared" si="12"/>
        <v>6.21</v>
      </c>
      <c r="G86" t="str">
        <f t="shared" si="13"/>
        <v>0%</v>
      </c>
      <c r="I86" s="53">
        <v>2020</v>
      </c>
      <c r="J86" s="53">
        <v>85</v>
      </c>
      <c r="K86" s="71" t="s">
        <v>105</v>
      </c>
      <c r="L86" t="s">
        <v>683</v>
      </c>
      <c r="M86" s="74" t="s">
        <v>1255</v>
      </c>
      <c r="N86" s="1">
        <v>43901</v>
      </c>
      <c r="O86" t="s">
        <v>981</v>
      </c>
      <c r="Q86" s="76"/>
      <c r="R86" t="b">
        <v>0</v>
      </c>
      <c r="S86" s="48">
        <v>6.21</v>
      </c>
      <c r="T86" s="72">
        <v>1</v>
      </c>
      <c r="U86">
        <v>0</v>
      </c>
      <c r="V86" s="31">
        <v>0</v>
      </c>
      <c r="W86" s="31">
        <v>0</v>
      </c>
      <c r="X86" s="33">
        <v>6.21</v>
      </c>
      <c r="Y86" s="29">
        <v>6.21</v>
      </c>
      <c r="Z86" s="29">
        <v>6.21</v>
      </c>
      <c r="AA86" s="35">
        <v>43966</v>
      </c>
      <c r="AB86" s="27"/>
      <c r="AC86" s="27">
        <v>20</v>
      </c>
      <c r="AD86" s="58">
        <v>6.21</v>
      </c>
      <c r="AE86" s="31">
        <v>1.242</v>
      </c>
      <c r="AF86" t="b">
        <v>0</v>
      </c>
      <c r="AG86" s="78">
        <v>-6.21</v>
      </c>
    </row>
    <row r="87" spans="1:33" x14ac:dyDescent="0.25">
      <c r="A87" t="str">
        <f t="shared" si="7"/>
        <v>2020-86</v>
      </c>
      <c r="B87" s="1">
        <f t="shared" si="8"/>
        <v>43901</v>
      </c>
      <c r="C87" t="str">
        <f t="shared" si="9"/>
        <v>AEU-INV-PL-2020-630433/Amazon EU S. à r.l., 38 avenue John F. Kennedy, L-1855 Luxembourg: HJEU: DVI-HDMI, Logitech Maus</v>
      </c>
      <c r="D87" t="str">
        <f t="shared" si="10"/>
        <v>Ausgaben</v>
      </c>
      <c r="E87" t="str">
        <f t="shared" si="11"/>
        <v>Waren, Rohstoffe, Hilfsstoffe</v>
      </c>
      <c r="F87" s="117">
        <f t="shared" si="12"/>
        <v>39.82</v>
      </c>
      <c r="G87" t="str">
        <f t="shared" si="13"/>
        <v>0%</v>
      </c>
      <c r="I87" s="53">
        <v>2020</v>
      </c>
      <c r="J87" s="53">
        <v>86</v>
      </c>
      <c r="K87" s="71" t="s">
        <v>105</v>
      </c>
      <c r="L87" t="s">
        <v>683</v>
      </c>
      <c r="M87" s="74" t="s">
        <v>1257</v>
      </c>
      <c r="N87" s="1">
        <v>43901</v>
      </c>
      <c r="O87" t="s">
        <v>981</v>
      </c>
      <c r="Q87" s="76"/>
      <c r="R87" t="b">
        <v>0</v>
      </c>
      <c r="S87" s="48">
        <v>39.82</v>
      </c>
      <c r="T87" s="72">
        <v>1</v>
      </c>
      <c r="U87">
        <v>0</v>
      </c>
      <c r="V87" s="31">
        <v>0</v>
      </c>
      <c r="W87" s="31">
        <v>0</v>
      </c>
      <c r="X87" s="33">
        <v>39.82</v>
      </c>
      <c r="Y87" s="29">
        <v>39.82</v>
      </c>
      <c r="Z87" s="29">
        <v>39.82</v>
      </c>
      <c r="AA87" s="35">
        <v>43966</v>
      </c>
      <c r="AB87" s="27"/>
      <c r="AC87" s="27">
        <v>20</v>
      </c>
      <c r="AD87" s="58">
        <v>39.82</v>
      </c>
      <c r="AE87" s="31">
        <v>7.9640000000000004</v>
      </c>
      <c r="AF87" t="b">
        <v>0</v>
      </c>
      <c r="AG87" s="78">
        <v>-39.82</v>
      </c>
    </row>
    <row r="88" spans="1:33" x14ac:dyDescent="0.25">
      <c r="A88" t="str">
        <f t="shared" si="7"/>
        <v>2020-87</v>
      </c>
      <c r="B88" s="1">
        <f t="shared" si="8"/>
        <v>43902</v>
      </c>
      <c r="C88" t="str">
        <f t="shared" si="9"/>
        <v>12020005/DCF - Digital Coding Factory GmbH, Bauernfeldgasse 4/12 1090 Wien</v>
      </c>
      <c r="D88" t="str">
        <f t="shared" si="10"/>
        <v>Einnahmen</v>
      </c>
      <c r="E88" t="str">
        <f t="shared" si="11"/>
        <v>Waren-/Leistungserlöse</v>
      </c>
      <c r="F88" s="117">
        <f t="shared" si="12"/>
        <v>7740</v>
      </c>
      <c r="G88" t="str">
        <f t="shared" si="13"/>
        <v>20%</v>
      </c>
      <c r="I88" s="53">
        <v>2020</v>
      </c>
      <c r="J88" s="53">
        <v>87</v>
      </c>
      <c r="K88" s="71" t="s">
        <v>708</v>
      </c>
      <c r="L88" t="s">
        <v>709</v>
      </c>
      <c r="M88" s="74" t="s">
        <v>1300</v>
      </c>
      <c r="N88" s="1">
        <v>43902</v>
      </c>
      <c r="O88" t="s">
        <v>1266</v>
      </c>
      <c r="Q88" s="76"/>
      <c r="R88" t="b">
        <v>0</v>
      </c>
      <c r="S88" s="48">
        <v>6450</v>
      </c>
      <c r="T88" s="72">
        <v>1</v>
      </c>
      <c r="U88">
        <v>20</v>
      </c>
      <c r="V88" s="31">
        <v>1290</v>
      </c>
      <c r="W88" s="31">
        <v>1290</v>
      </c>
      <c r="X88" s="33">
        <v>6450</v>
      </c>
      <c r="Y88" s="29">
        <v>7740</v>
      </c>
      <c r="Z88" s="29">
        <v>7740</v>
      </c>
      <c r="AA88" s="35">
        <v>43966</v>
      </c>
      <c r="AB88" s="27"/>
      <c r="AC88" s="27"/>
      <c r="AD88" s="58">
        <v>6450</v>
      </c>
      <c r="AE88" s="31">
        <v>0</v>
      </c>
      <c r="AF88" t="b">
        <v>0</v>
      </c>
      <c r="AG88" s="78">
        <v>6450</v>
      </c>
    </row>
    <row r="89" spans="1:33" x14ac:dyDescent="0.25">
      <c r="A89" t="str">
        <f t="shared" si="7"/>
        <v>2020-88</v>
      </c>
      <c r="B89" s="1">
        <f t="shared" si="8"/>
        <v>43902</v>
      </c>
      <c r="C89" t="str">
        <f t="shared" si="9"/>
        <v>R0010952121/Hetzner Online GmbH</v>
      </c>
      <c r="D89" t="str">
        <f t="shared" si="10"/>
        <v>Ausgaben</v>
      </c>
      <c r="E89" t="str">
        <f t="shared" si="11"/>
        <v>sonstige Betriebsausgaben</v>
      </c>
      <c r="F89" s="117">
        <f t="shared" si="12"/>
        <v>46.92</v>
      </c>
      <c r="G89" t="str">
        <f t="shared" si="13"/>
        <v>0%</v>
      </c>
      <c r="I89" s="53">
        <v>2020</v>
      </c>
      <c r="J89" s="53">
        <v>88</v>
      </c>
      <c r="K89" s="71" t="s">
        <v>105</v>
      </c>
      <c r="L89" t="s">
        <v>705</v>
      </c>
      <c r="M89" s="74" t="s">
        <v>1301</v>
      </c>
      <c r="N89" s="1">
        <v>43902</v>
      </c>
      <c r="O89" t="s">
        <v>927</v>
      </c>
      <c r="Q89" s="76"/>
      <c r="R89" t="b">
        <v>0</v>
      </c>
      <c r="S89" s="48">
        <v>46.92</v>
      </c>
      <c r="T89" s="72">
        <v>1</v>
      </c>
      <c r="U89">
        <v>0</v>
      </c>
      <c r="V89" s="31">
        <v>0</v>
      </c>
      <c r="W89" s="31">
        <v>0</v>
      </c>
      <c r="X89" s="33">
        <v>46.92</v>
      </c>
      <c r="Y89" s="29">
        <v>46.92</v>
      </c>
      <c r="Z89" s="29">
        <v>46.92</v>
      </c>
      <c r="AA89" s="35">
        <v>43966</v>
      </c>
      <c r="AB89" s="27"/>
      <c r="AC89" s="27">
        <v>20</v>
      </c>
      <c r="AD89" s="58">
        <v>46.92</v>
      </c>
      <c r="AE89" s="31">
        <v>9.3840000000000003</v>
      </c>
      <c r="AF89" t="b">
        <v>0</v>
      </c>
      <c r="AG89" s="78">
        <v>-46.92</v>
      </c>
    </row>
    <row r="90" spans="1:33" x14ac:dyDescent="0.25">
      <c r="A90" t="str">
        <f t="shared" si="7"/>
        <v>2020-89</v>
      </c>
      <c r="B90" s="1">
        <f t="shared" si="8"/>
        <v>43903</v>
      </c>
      <c r="C90" t="str">
        <f t="shared" si="9"/>
        <v>EIN20/0001381/A-Trust Gesellschaft für Sicherheitssysteme im elektronischen Datenverkehr GmbH, Landstraßer Hauptstraße 1b, E02, A-1030 Wien: a.sign light Zertifikat Nutzung 1J, Signaturvertrag 158279472050</v>
      </c>
      <c r="D90" t="str">
        <f t="shared" si="10"/>
        <v>Ausgaben</v>
      </c>
      <c r="E90" t="str">
        <f t="shared" si="11"/>
        <v>sonstige Betriebsausgaben</v>
      </c>
      <c r="F90" s="117">
        <f t="shared" si="12"/>
        <v>14.496</v>
      </c>
      <c r="G90" t="str">
        <f t="shared" si="13"/>
        <v>20%</v>
      </c>
      <c r="I90" s="53">
        <v>2020</v>
      </c>
      <c r="J90" s="53">
        <v>89</v>
      </c>
      <c r="K90" s="71" t="s">
        <v>105</v>
      </c>
      <c r="L90" t="s">
        <v>705</v>
      </c>
      <c r="M90" s="74" t="s">
        <v>1302</v>
      </c>
      <c r="N90" s="1">
        <v>43903</v>
      </c>
      <c r="O90" t="s">
        <v>1020</v>
      </c>
      <c r="Q90" s="76"/>
      <c r="R90" t="b">
        <v>0</v>
      </c>
      <c r="S90" s="48">
        <v>12.08</v>
      </c>
      <c r="T90" s="72">
        <v>1</v>
      </c>
      <c r="U90">
        <v>20</v>
      </c>
      <c r="V90" s="31">
        <v>2.4159999999999999</v>
      </c>
      <c r="W90" s="31">
        <v>2.4159999999999999</v>
      </c>
      <c r="X90" s="33">
        <v>12.08</v>
      </c>
      <c r="Y90" s="29">
        <v>14.496</v>
      </c>
      <c r="Z90" s="29">
        <v>14.496</v>
      </c>
      <c r="AA90" s="35">
        <v>43966</v>
      </c>
      <c r="AB90" s="27"/>
      <c r="AC90" s="27"/>
      <c r="AD90" s="58">
        <v>12.08</v>
      </c>
      <c r="AE90" s="31">
        <v>0</v>
      </c>
      <c r="AF90" t="b">
        <v>0</v>
      </c>
      <c r="AG90" s="78">
        <v>-12.08</v>
      </c>
    </row>
    <row r="91" spans="1:33" x14ac:dyDescent="0.25">
      <c r="A91" t="str">
        <f t="shared" si="7"/>
        <v>2020-90</v>
      </c>
      <c r="B91" s="1">
        <f t="shared" si="8"/>
        <v>43906</v>
      </c>
      <c r="C91" t="str">
        <f t="shared" si="9"/>
        <v>3293000009094304/car2go Österreich GmbH, Hintere Zollamtstraße 9, 1030 Wien</v>
      </c>
      <c r="D91" t="str">
        <f t="shared" si="10"/>
        <v>Ausgaben</v>
      </c>
      <c r="E91" t="str">
        <f t="shared" si="11"/>
        <v>Reise- und Fahrtspesen inkl. Kilometergeld und Diäten</v>
      </c>
      <c r="F91" s="117">
        <f t="shared" si="12"/>
        <v>4.2</v>
      </c>
      <c r="G91" t="str">
        <f t="shared" si="13"/>
        <v>20%</v>
      </c>
      <c r="I91" s="53">
        <v>2020</v>
      </c>
      <c r="J91" s="53">
        <v>90</v>
      </c>
      <c r="K91" s="71" t="s">
        <v>105</v>
      </c>
      <c r="L91" t="s">
        <v>689</v>
      </c>
      <c r="M91" s="74" t="s">
        <v>1303</v>
      </c>
      <c r="N91" s="1">
        <v>43906</v>
      </c>
      <c r="O91" t="s">
        <v>974</v>
      </c>
      <c r="Q91" s="76"/>
      <c r="R91" t="b">
        <v>0</v>
      </c>
      <c r="S91" s="48">
        <v>3.5</v>
      </c>
      <c r="T91" s="72">
        <v>1</v>
      </c>
      <c r="U91">
        <v>20</v>
      </c>
      <c r="V91" s="31">
        <v>0.7</v>
      </c>
      <c r="W91" s="31">
        <v>0.7</v>
      </c>
      <c r="X91" s="33">
        <v>3.5</v>
      </c>
      <c r="Y91" s="29">
        <v>4.2</v>
      </c>
      <c r="Z91" s="29">
        <v>4.2</v>
      </c>
      <c r="AA91" s="35">
        <v>43966</v>
      </c>
      <c r="AB91" s="27"/>
      <c r="AC91" s="27"/>
      <c r="AD91" s="58">
        <v>3.5</v>
      </c>
      <c r="AE91" s="31">
        <v>0</v>
      </c>
      <c r="AF91" t="b">
        <v>0</v>
      </c>
      <c r="AG91" s="78">
        <v>-3.5</v>
      </c>
    </row>
    <row r="92" spans="1:33" x14ac:dyDescent="0.25">
      <c r="A92" t="str">
        <f t="shared" si="7"/>
        <v>2020-91</v>
      </c>
      <c r="B92" s="1">
        <f t="shared" si="8"/>
        <v>43906</v>
      </c>
      <c r="C92" t="str">
        <f t="shared" si="9"/>
        <v>3293000009089205/car2go Österreich GmbH, Hintere Zollamtstraße 9, 1030 Wien</v>
      </c>
      <c r="D92" t="str">
        <f t="shared" si="10"/>
        <v>Ausgaben</v>
      </c>
      <c r="E92" t="str">
        <f t="shared" si="11"/>
        <v>Reise- und Fahrtspesen inkl. Kilometergeld und Diäten</v>
      </c>
      <c r="F92" s="117">
        <f t="shared" si="12"/>
        <v>4.3440000000000003</v>
      </c>
      <c r="G92" t="str">
        <f t="shared" si="13"/>
        <v>20%</v>
      </c>
      <c r="I92" s="53">
        <v>2020</v>
      </c>
      <c r="J92" s="53">
        <v>91</v>
      </c>
      <c r="K92" s="71" t="s">
        <v>105</v>
      </c>
      <c r="L92" t="s">
        <v>689</v>
      </c>
      <c r="M92" s="74" t="s">
        <v>1304</v>
      </c>
      <c r="N92" s="1">
        <v>43906</v>
      </c>
      <c r="O92" t="s">
        <v>974</v>
      </c>
      <c r="Q92" s="76"/>
      <c r="R92" t="b">
        <v>0</v>
      </c>
      <c r="S92" s="48">
        <v>3.62</v>
      </c>
      <c r="T92" s="72">
        <v>1</v>
      </c>
      <c r="U92">
        <v>20</v>
      </c>
      <c r="V92" s="31">
        <v>0.72400000000000009</v>
      </c>
      <c r="W92" s="31">
        <v>0.72400000000000009</v>
      </c>
      <c r="X92" s="33">
        <v>3.62</v>
      </c>
      <c r="Y92" s="29">
        <v>4.3440000000000003</v>
      </c>
      <c r="Z92" s="29">
        <v>4.3440000000000003</v>
      </c>
      <c r="AA92" s="35">
        <v>43966</v>
      </c>
      <c r="AB92" s="27"/>
      <c r="AC92" s="27"/>
      <c r="AD92" s="58">
        <v>3.62</v>
      </c>
      <c r="AE92" s="31">
        <v>0</v>
      </c>
      <c r="AF92" t="b">
        <v>0</v>
      </c>
      <c r="AG92" s="78">
        <v>-3.62</v>
      </c>
    </row>
    <row r="93" spans="1:33" x14ac:dyDescent="0.25">
      <c r="A93" t="str">
        <f t="shared" si="7"/>
        <v>2020-92</v>
      </c>
      <c r="B93" s="1">
        <f t="shared" si="8"/>
        <v>43910</v>
      </c>
      <c r="C93" t="str">
        <f t="shared" si="9"/>
        <v>901188610320/Magenta: T-Mobile Austria GmbH, A-1120 Wien, PF 47</v>
      </c>
      <c r="D93" t="str">
        <f t="shared" si="10"/>
        <v>Ausgaben</v>
      </c>
      <c r="E93" t="str">
        <f t="shared" si="11"/>
        <v>Telefon/Internet</v>
      </c>
      <c r="F93" s="117">
        <f t="shared" si="12"/>
        <v>42.288000000000004</v>
      </c>
      <c r="G93" t="str">
        <f t="shared" si="13"/>
        <v>20%</v>
      </c>
      <c r="I93" s="53">
        <v>2020</v>
      </c>
      <c r="J93" s="53">
        <v>92</v>
      </c>
      <c r="K93" s="71" t="s">
        <v>105</v>
      </c>
      <c r="L93" t="s">
        <v>703</v>
      </c>
      <c r="M93" s="74" t="s">
        <v>1305</v>
      </c>
      <c r="N93" s="1">
        <v>43910</v>
      </c>
      <c r="O93" t="s">
        <v>1148</v>
      </c>
      <c r="Q93" s="76"/>
      <c r="R93" t="b">
        <v>0</v>
      </c>
      <c r="S93" s="48">
        <v>35.24</v>
      </c>
      <c r="T93" s="72">
        <v>1</v>
      </c>
      <c r="U93">
        <v>20</v>
      </c>
      <c r="V93" s="31">
        <v>7.0480000000000009</v>
      </c>
      <c r="W93" s="31">
        <v>7.0480000000000009</v>
      </c>
      <c r="X93" s="33">
        <v>35.24</v>
      </c>
      <c r="Y93" s="29">
        <v>42.288000000000004</v>
      </c>
      <c r="Z93" s="29">
        <v>42.288000000000004</v>
      </c>
      <c r="AA93" s="35">
        <v>43966</v>
      </c>
      <c r="AB93" s="27"/>
      <c r="AC93" s="27"/>
      <c r="AD93" s="58">
        <v>35.24</v>
      </c>
      <c r="AE93" s="31">
        <v>0</v>
      </c>
      <c r="AF93" t="b">
        <v>0</v>
      </c>
      <c r="AG93" s="78">
        <v>-35.24</v>
      </c>
    </row>
    <row r="94" spans="1:33" x14ac:dyDescent="0.25">
      <c r="A94" t="str">
        <f t="shared" si="7"/>
        <v>2020-93</v>
      </c>
      <c r="B94" s="1">
        <f t="shared" si="8"/>
        <v>43914</v>
      </c>
      <c r="C94" t="str">
        <f t="shared" si="9"/>
        <v>RE0828863/easyname GmbH, Fernkorngasse 10/3/501, A-1100 Wien</v>
      </c>
      <c r="D94" t="str">
        <f t="shared" si="10"/>
        <v>Ausgaben</v>
      </c>
      <c r="E94" t="str">
        <f t="shared" si="11"/>
        <v>sonstige Betriebsausgaben</v>
      </c>
      <c r="F94" s="117">
        <f t="shared" si="12"/>
        <v>14.904</v>
      </c>
      <c r="G94" t="str">
        <f t="shared" si="13"/>
        <v>20%</v>
      </c>
      <c r="I94" s="53">
        <v>2020</v>
      </c>
      <c r="J94" s="53">
        <v>93</v>
      </c>
      <c r="K94" s="71" t="s">
        <v>105</v>
      </c>
      <c r="L94" t="s">
        <v>705</v>
      </c>
      <c r="M94" s="74" t="s">
        <v>1306</v>
      </c>
      <c r="N94" s="1">
        <v>43914</v>
      </c>
      <c r="O94" t="s">
        <v>941</v>
      </c>
      <c r="Q94" s="76"/>
      <c r="R94" t="b">
        <v>0</v>
      </c>
      <c r="S94" s="48">
        <v>12.42</v>
      </c>
      <c r="T94" s="72">
        <v>1</v>
      </c>
      <c r="U94">
        <v>20</v>
      </c>
      <c r="V94" s="31">
        <v>2.484</v>
      </c>
      <c r="W94" s="31">
        <v>2.484</v>
      </c>
      <c r="X94" s="33">
        <v>12.42</v>
      </c>
      <c r="Y94" s="29">
        <v>14.904</v>
      </c>
      <c r="Z94" s="29">
        <v>14.904</v>
      </c>
      <c r="AA94" s="35">
        <v>43966</v>
      </c>
      <c r="AB94" s="27"/>
      <c r="AC94" s="27"/>
      <c r="AD94" s="58">
        <v>12.42</v>
      </c>
      <c r="AE94" s="31">
        <v>0</v>
      </c>
      <c r="AF94" t="b">
        <v>0</v>
      </c>
      <c r="AG94" s="78">
        <v>-12.42</v>
      </c>
    </row>
    <row r="95" spans="1:33" x14ac:dyDescent="0.25">
      <c r="A95" t="str">
        <f t="shared" si="7"/>
        <v>2020-94</v>
      </c>
      <c r="B95" s="1">
        <f t="shared" si="8"/>
        <v>43915</v>
      </c>
      <c r="C95" t="str">
        <f t="shared" si="9"/>
        <v>2020/93924.A62916/Syswork IT, Ein Unternehmen der Hackl KG, Neuseiersbergerstraße 115, A-8055 Graz</v>
      </c>
      <c r="D95" t="str">
        <f t="shared" si="10"/>
        <v>Ausgaben</v>
      </c>
      <c r="E95" t="str">
        <f t="shared" si="11"/>
        <v>sonstige Betriebsausgaben</v>
      </c>
      <c r="F95" s="117">
        <f t="shared" si="12"/>
        <v>32.975999999999999</v>
      </c>
      <c r="G95" t="str">
        <f t="shared" si="13"/>
        <v>20%</v>
      </c>
      <c r="I95" s="53">
        <v>2020</v>
      </c>
      <c r="J95" s="53">
        <v>94</v>
      </c>
      <c r="K95" s="71" t="s">
        <v>105</v>
      </c>
      <c r="L95" t="s">
        <v>705</v>
      </c>
      <c r="M95" s="74" t="s">
        <v>1307</v>
      </c>
      <c r="N95" s="1">
        <v>43915</v>
      </c>
      <c r="O95" t="s">
        <v>1308</v>
      </c>
      <c r="Q95" s="76"/>
      <c r="R95" t="b">
        <v>0</v>
      </c>
      <c r="S95" s="48">
        <v>27.48</v>
      </c>
      <c r="T95" s="72">
        <v>1</v>
      </c>
      <c r="U95">
        <v>20</v>
      </c>
      <c r="V95" s="31">
        <v>5.4960000000000004</v>
      </c>
      <c r="W95" s="31">
        <v>5.4960000000000004</v>
      </c>
      <c r="X95" s="33">
        <v>27.48</v>
      </c>
      <c r="Y95" s="29">
        <v>32.975999999999999</v>
      </c>
      <c r="Z95" s="29">
        <v>32.975999999999999</v>
      </c>
      <c r="AA95" s="35">
        <v>43966</v>
      </c>
      <c r="AB95" s="27"/>
      <c r="AC95" s="27"/>
      <c r="AD95" s="58">
        <v>27.48</v>
      </c>
      <c r="AE95" s="31">
        <v>0</v>
      </c>
      <c r="AF95" t="b">
        <v>0</v>
      </c>
      <c r="AG95" s="78">
        <v>-27.48</v>
      </c>
    </row>
    <row r="96" spans="1:33" x14ac:dyDescent="0.25">
      <c r="A96" t="str">
        <f t="shared" si="7"/>
        <v>2020-95</v>
      </c>
      <c r="B96" s="1">
        <f t="shared" si="8"/>
        <v>43915</v>
      </c>
      <c r="C96" t="str">
        <f t="shared" si="9"/>
        <v>2020/93923.A62915/Syswork IT, Ein Unternehmen der Hackl KG, Neuseiersbergerstraße 115, A-8055 Graz</v>
      </c>
      <c r="D96" t="str">
        <f t="shared" si="10"/>
        <v>Ausgaben</v>
      </c>
      <c r="E96" t="str">
        <f t="shared" si="11"/>
        <v>sonstige Betriebsausgaben</v>
      </c>
      <c r="F96" s="117">
        <f t="shared" si="12"/>
        <v>32.975999999999999</v>
      </c>
      <c r="G96" t="str">
        <f t="shared" si="13"/>
        <v>20%</v>
      </c>
      <c r="I96" s="53">
        <v>2020</v>
      </c>
      <c r="J96" s="53">
        <v>95</v>
      </c>
      <c r="K96" s="71" t="s">
        <v>105</v>
      </c>
      <c r="L96" t="s">
        <v>705</v>
      </c>
      <c r="M96" s="74" t="s">
        <v>1309</v>
      </c>
      <c r="N96" s="1">
        <v>43915</v>
      </c>
      <c r="O96" t="s">
        <v>1308</v>
      </c>
      <c r="Q96" s="76"/>
      <c r="R96" t="b">
        <v>0</v>
      </c>
      <c r="S96" s="48">
        <v>27.48</v>
      </c>
      <c r="T96" s="72">
        <v>1</v>
      </c>
      <c r="U96">
        <v>20</v>
      </c>
      <c r="V96" s="31">
        <v>5.4960000000000004</v>
      </c>
      <c r="W96" s="31">
        <v>5.4960000000000004</v>
      </c>
      <c r="X96" s="33">
        <v>27.48</v>
      </c>
      <c r="Y96" s="29">
        <v>32.975999999999999</v>
      </c>
      <c r="Z96" s="29">
        <v>32.975999999999999</v>
      </c>
      <c r="AA96" s="35">
        <v>43966</v>
      </c>
      <c r="AB96" s="27"/>
      <c r="AC96" s="27"/>
      <c r="AD96" s="58">
        <v>27.48</v>
      </c>
      <c r="AE96" s="31">
        <v>0</v>
      </c>
      <c r="AF96" t="b">
        <v>0</v>
      </c>
      <c r="AG96" s="78">
        <v>-27.48</v>
      </c>
    </row>
    <row r="97" spans="1:33" x14ac:dyDescent="0.25">
      <c r="A97" t="str">
        <f t="shared" si="7"/>
        <v>2020-96</v>
      </c>
      <c r="B97" s="1">
        <f t="shared" si="8"/>
        <v>43915</v>
      </c>
      <c r="C97" t="str">
        <f t="shared" si="9"/>
        <v>2020/93929.A62920/Syswork IT, Ein Unternehmen der Hackl KG, Neuseiersbergerstraße 115, A-8055 Graz</v>
      </c>
      <c r="D97" t="str">
        <f t="shared" si="10"/>
        <v>Ausgaben</v>
      </c>
      <c r="E97" t="str">
        <f t="shared" si="11"/>
        <v>sonstige Betriebsausgaben</v>
      </c>
      <c r="F97" s="117">
        <f t="shared" si="12"/>
        <v>32.975999999999999</v>
      </c>
      <c r="G97" t="str">
        <f t="shared" si="13"/>
        <v>20%</v>
      </c>
      <c r="I97" s="53">
        <v>2020</v>
      </c>
      <c r="J97" s="53">
        <v>96</v>
      </c>
      <c r="K97" s="71" t="s">
        <v>105</v>
      </c>
      <c r="L97" t="s">
        <v>705</v>
      </c>
      <c r="M97" s="74" t="s">
        <v>1310</v>
      </c>
      <c r="N97" s="1">
        <v>43915</v>
      </c>
      <c r="O97" t="s">
        <v>1308</v>
      </c>
      <c r="Q97" s="76"/>
      <c r="R97" t="b">
        <v>0</v>
      </c>
      <c r="S97" s="48">
        <v>27.48</v>
      </c>
      <c r="T97" s="72">
        <v>1</v>
      </c>
      <c r="U97">
        <v>20</v>
      </c>
      <c r="V97" s="31">
        <v>5.4960000000000004</v>
      </c>
      <c r="W97" s="31">
        <v>5.4960000000000004</v>
      </c>
      <c r="X97" s="33">
        <v>27.48</v>
      </c>
      <c r="Y97" s="29">
        <v>32.975999999999999</v>
      </c>
      <c r="Z97" s="29">
        <v>32.975999999999999</v>
      </c>
      <c r="AA97" s="35">
        <v>43966</v>
      </c>
      <c r="AB97" s="27"/>
      <c r="AC97" s="27"/>
      <c r="AD97" s="58">
        <v>27.48</v>
      </c>
      <c r="AE97" s="31">
        <v>0</v>
      </c>
      <c r="AF97" t="b">
        <v>0</v>
      </c>
      <c r="AG97" s="78">
        <v>-27.48</v>
      </c>
    </row>
    <row r="98" spans="1:33" x14ac:dyDescent="0.25">
      <c r="A98" t="str">
        <f t="shared" si="7"/>
        <v>2020-97</v>
      </c>
      <c r="B98" s="1">
        <f t="shared" si="8"/>
        <v>43915</v>
      </c>
      <c r="C98" t="str">
        <f t="shared" si="9"/>
        <v>781311/Lemon Technologies GmbH, Unterweißenbach 181, 7330 Feldbach: Bildschirm</v>
      </c>
      <c r="D98" t="str">
        <f t="shared" si="10"/>
        <v>Ausgaben</v>
      </c>
      <c r="E98" t="str">
        <f t="shared" si="11"/>
        <v>sonstige Betriebsausgaben</v>
      </c>
      <c r="F98" s="117">
        <f t="shared" si="12"/>
        <v>210.88800000000001</v>
      </c>
      <c r="G98" t="str">
        <f t="shared" si="13"/>
        <v>20%</v>
      </c>
      <c r="I98" s="53">
        <v>2020</v>
      </c>
      <c r="J98" s="53">
        <v>97</v>
      </c>
      <c r="K98" s="71" t="s">
        <v>105</v>
      </c>
      <c r="L98" t="s">
        <v>705</v>
      </c>
      <c r="M98" s="74" t="s">
        <v>1311</v>
      </c>
      <c r="N98" s="1">
        <v>43915</v>
      </c>
      <c r="O98" t="s">
        <v>1238</v>
      </c>
      <c r="Q98" s="76"/>
      <c r="R98" t="b">
        <v>0</v>
      </c>
      <c r="S98" s="48">
        <v>175.74</v>
      </c>
      <c r="T98" s="72">
        <v>1</v>
      </c>
      <c r="U98">
        <v>20</v>
      </c>
      <c r="V98" s="31">
        <v>35.148000000000003</v>
      </c>
      <c r="W98" s="31">
        <v>35.148000000000003</v>
      </c>
      <c r="X98" s="33">
        <v>175.74</v>
      </c>
      <c r="Y98" s="29">
        <v>210.88800000000001</v>
      </c>
      <c r="Z98" s="29">
        <v>210.88800000000001</v>
      </c>
      <c r="AA98" s="35">
        <v>43966</v>
      </c>
      <c r="AB98" s="27"/>
      <c r="AC98" s="27"/>
      <c r="AD98" s="58">
        <v>175.74</v>
      </c>
      <c r="AE98" s="31">
        <v>0</v>
      </c>
      <c r="AF98" t="b">
        <v>0</v>
      </c>
      <c r="AG98" s="78">
        <v>-175.74</v>
      </c>
    </row>
    <row r="99" spans="1:33" x14ac:dyDescent="0.25">
      <c r="A99" t="str">
        <f t="shared" si="7"/>
        <v>2020-98</v>
      </c>
      <c r="B99" s="1">
        <f t="shared" si="8"/>
        <v>43922</v>
      </c>
      <c r="C99" t="str">
        <f t="shared" si="9"/>
        <v>12020011/DCF - Digital Coding Factory GmbH, Bauernfeldgasse 4/12 1090 Wien</v>
      </c>
      <c r="D99" t="str">
        <f t="shared" si="10"/>
        <v>Einnahmen</v>
      </c>
      <c r="E99" t="str">
        <f t="shared" si="11"/>
        <v>Waren-/Leistungserlöse</v>
      </c>
      <c r="F99" s="117">
        <f t="shared" si="12"/>
        <v>2751</v>
      </c>
      <c r="G99" t="str">
        <f t="shared" si="13"/>
        <v>20%</v>
      </c>
      <c r="I99" s="53">
        <v>2020</v>
      </c>
      <c r="J99" s="53">
        <v>98</v>
      </c>
      <c r="K99" s="71" t="s">
        <v>708</v>
      </c>
      <c r="L99" t="s">
        <v>709</v>
      </c>
      <c r="M99" s="74" t="s">
        <v>1312</v>
      </c>
      <c r="N99" s="1">
        <v>43922</v>
      </c>
      <c r="O99" t="s">
        <v>1266</v>
      </c>
      <c r="Q99" s="76"/>
      <c r="R99" t="b">
        <v>0</v>
      </c>
      <c r="S99" s="48">
        <v>2292.5</v>
      </c>
      <c r="T99" s="72">
        <v>1</v>
      </c>
      <c r="U99">
        <v>20</v>
      </c>
      <c r="V99" s="31">
        <v>458.5</v>
      </c>
      <c r="W99" s="31">
        <v>458.5</v>
      </c>
      <c r="X99" s="33">
        <v>2292.5</v>
      </c>
      <c r="Y99" s="29">
        <v>2751</v>
      </c>
      <c r="Z99" s="29">
        <v>2751</v>
      </c>
      <c r="AA99" s="35">
        <v>44058</v>
      </c>
      <c r="AB99" s="27"/>
      <c r="AC99" s="27"/>
      <c r="AD99" s="58">
        <v>2292.5</v>
      </c>
      <c r="AE99" s="31">
        <v>0</v>
      </c>
      <c r="AF99" t="b">
        <v>0</v>
      </c>
      <c r="AG99" s="78">
        <v>2292.5</v>
      </c>
    </row>
    <row r="100" spans="1:33" x14ac:dyDescent="0.25">
      <c r="A100" t="str">
        <f t="shared" si="7"/>
        <v>2020-99</v>
      </c>
      <c r="B100" s="1">
        <f t="shared" si="8"/>
        <v>43922</v>
      </c>
      <c r="C100" t="str">
        <f t="shared" si="9"/>
        <v>12020008/DCF - Digital Coding Factory GmbH, Bauernfeldgasse 4/12 1090 Wien</v>
      </c>
      <c r="D100" t="str">
        <f t="shared" si="10"/>
        <v>Einnahmen</v>
      </c>
      <c r="E100" t="str">
        <f t="shared" si="11"/>
        <v>Waren-/Leistungserlöse</v>
      </c>
      <c r="F100" s="117">
        <f t="shared" si="12"/>
        <v>10836</v>
      </c>
      <c r="G100" t="str">
        <f t="shared" si="13"/>
        <v>20%</v>
      </c>
      <c r="I100" s="53">
        <v>2020</v>
      </c>
      <c r="J100" s="53">
        <v>99</v>
      </c>
      <c r="K100" s="71" t="s">
        <v>708</v>
      </c>
      <c r="L100" t="s">
        <v>709</v>
      </c>
      <c r="M100" s="74" t="s">
        <v>1313</v>
      </c>
      <c r="N100" s="1">
        <v>43922</v>
      </c>
      <c r="O100" t="s">
        <v>1266</v>
      </c>
      <c r="Q100" s="76"/>
      <c r="R100" t="b">
        <v>0</v>
      </c>
      <c r="S100" s="48">
        <v>9030</v>
      </c>
      <c r="T100" s="72">
        <v>1</v>
      </c>
      <c r="U100">
        <v>20</v>
      </c>
      <c r="V100" s="31">
        <v>1806</v>
      </c>
      <c r="W100" s="31">
        <v>1806</v>
      </c>
      <c r="X100" s="33">
        <v>9030</v>
      </c>
      <c r="Y100" s="29">
        <v>10836</v>
      </c>
      <c r="Z100" s="29">
        <v>10836</v>
      </c>
      <c r="AA100" s="35">
        <v>44058</v>
      </c>
      <c r="AB100" s="27"/>
      <c r="AC100" s="27"/>
      <c r="AD100" s="58">
        <v>9030</v>
      </c>
      <c r="AE100" s="31">
        <v>0</v>
      </c>
      <c r="AF100" t="b">
        <v>0</v>
      </c>
      <c r="AG100" s="78">
        <v>9030</v>
      </c>
    </row>
    <row r="101" spans="1:33" x14ac:dyDescent="0.25">
      <c r="A101" t="str">
        <f t="shared" si="7"/>
        <v>2020-100</v>
      </c>
      <c r="B101" s="1">
        <f t="shared" si="8"/>
        <v>43922</v>
      </c>
      <c r="C101" t="str">
        <f t="shared" si="9"/>
        <v>20/9801/VS00043/Bontus Immobilienverwaltung GmbH, 1010 Wien, Franz Josefs Kai 65</v>
      </c>
      <c r="D101" t="str">
        <f t="shared" si="10"/>
        <v>Ausgaben</v>
      </c>
      <c r="E101" t="str">
        <f t="shared" si="11"/>
        <v>Miet- und Pachtaufwand, Leasing</v>
      </c>
      <c r="F101" s="117">
        <f t="shared" si="12"/>
        <v>554.928</v>
      </c>
      <c r="G101" t="str">
        <f t="shared" si="13"/>
        <v>20%</v>
      </c>
      <c r="I101" s="53">
        <v>2020</v>
      </c>
      <c r="J101" s="53">
        <v>100</v>
      </c>
      <c r="K101" s="71" t="s">
        <v>105</v>
      </c>
      <c r="L101" t="s">
        <v>691</v>
      </c>
      <c r="M101" s="74" t="s">
        <v>1250</v>
      </c>
      <c r="N101" s="1">
        <v>43922</v>
      </c>
      <c r="O101" t="s">
        <v>1113</v>
      </c>
      <c r="Q101" s="76"/>
      <c r="R101" t="b">
        <v>0</v>
      </c>
      <c r="S101" s="48">
        <v>462.44</v>
      </c>
      <c r="T101" s="72">
        <v>1</v>
      </c>
      <c r="U101">
        <v>20</v>
      </c>
      <c r="V101" s="31">
        <v>92.488</v>
      </c>
      <c r="W101" s="31">
        <v>92.488</v>
      </c>
      <c r="X101" s="33">
        <v>462.44</v>
      </c>
      <c r="Y101" s="29">
        <v>554.928</v>
      </c>
      <c r="Z101" s="29">
        <v>554.928</v>
      </c>
      <c r="AA101" s="35">
        <v>44058</v>
      </c>
      <c r="AB101" s="27"/>
      <c r="AC101" s="27"/>
      <c r="AD101" s="58">
        <v>462.44</v>
      </c>
      <c r="AE101" s="31">
        <v>0</v>
      </c>
      <c r="AF101" t="b">
        <v>0</v>
      </c>
      <c r="AG101" s="78">
        <v>-462.44</v>
      </c>
    </row>
    <row r="102" spans="1:33" x14ac:dyDescent="0.25">
      <c r="A102" t="str">
        <f t="shared" si="7"/>
        <v>2020-101</v>
      </c>
      <c r="B102" s="1">
        <f t="shared" si="8"/>
        <v>43924</v>
      </c>
      <c r="C102" t="str">
        <f t="shared" si="9"/>
        <v>807693/easy green energy</v>
      </c>
      <c r="D102" t="str">
        <f t="shared" si="10"/>
        <v>Ausgaben</v>
      </c>
      <c r="E102" t="str">
        <f t="shared" si="11"/>
        <v>sonstige Betriebsausgaben</v>
      </c>
      <c r="F102" s="117">
        <f t="shared" si="12"/>
        <v>3</v>
      </c>
      <c r="G102" t="str">
        <f t="shared" si="13"/>
        <v>20%</v>
      </c>
      <c r="I102" s="53">
        <v>2020</v>
      </c>
      <c r="J102" s="53">
        <v>101</v>
      </c>
      <c r="K102" s="71" t="s">
        <v>105</v>
      </c>
      <c r="L102" t="s">
        <v>705</v>
      </c>
      <c r="M102" s="74" t="s">
        <v>1225</v>
      </c>
      <c r="N102" s="1">
        <v>43924</v>
      </c>
      <c r="O102" t="s">
        <v>1154</v>
      </c>
      <c r="Q102" s="76"/>
      <c r="R102" t="b">
        <v>0</v>
      </c>
      <c r="S102" s="48">
        <v>2.5</v>
      </c>
      <c r="T102" s="72">
        <v>1</v>
      </c>
      <c r="U102">
        <v>20</v>
      </c>
      <c r="V102" s="31">
        <v>0.5</v>
      </c>
      <c r="W102" s="31">
        <v>0.5</v>
      </c>
      <c r="X102" s="33">
        <v>2.5</v>
      </c>
      <c r="Y102" s="29">
        <v>3</v>
      </c>
      <c r="Z102" s="29">
        <v>3</v>
      </c>
      <c r="AA102" s="35">
        <v>44058</v>
      </c>
      <c r="AB102" s="27"/>
      <c r="AC102" s="27"/>
      <c r="AD102" s="58">
        <v>2.5</v>
      </c>
      <c r="AE102" s="31">
        <v>0</v>
      </c>
      <c r="AF102" t="b">
        <v>0</v>
      </c>
      <c r="AG102" s="78">
        <v>-2.5</v>
      </c>
    </row>
    <row r="103" spans="1:33" x14ac:dyDescent="0.25">
      <c r="A103" t="str">
        <f t="shared" si="7"/>
        <v>2020-102</v>
      </c>
      <c r="B103" s="1">
        <f t="shared" si="8"/>
        <v>43927</v>
      </c>
      <c r="C103" t="str">
        <f t="shared" si="9"/>
        <v>2105969435/TeamViewer Germany GmbH, Jahnstr. 30, 73037 Göppingen, Deutschland</v>
      </c>
      <c r="D103" t="str">
        <f t="shared" si="10"/>
        <v>Ausgaben</v>
      </c>
      <c r="E103" t="str">
        <f t="shared" si="11"/>
        <v>sonstige Betriebsausgaben</v>
      </c>
      <c r="F103" s="117">
        <f t="shared" si="12"/>
        <v>301.32</v>
      </c>
      <c r="G103" t="str">
        <f t="shared" si="13"/>
        <v>0%</v>
      </c>
      <c r="I103" s="53">
        <v>2020</v>
      </c>
      <c r="J103" s="53">
        <v>102</v>
      </c>
      <c r="K103" s="71" t="s">
        <v>105</v>
      </c>
      <c r="L103" t="s">
        <v>705</v>
      </c>
      <c r="M103" s="74" t="s">
        <v>1314</v>
      </c>
      <c r="N103" s="1">
        <v>43927</v>
      </c>
      <c r="O103" t="s">
        <v>1315</v>
      </c>
      <c r="Q103" s="76"/>
      <c r="R103" t="b">
        <v>0</v>
      </c>
      <c r="S103" s="48">
        <v>301.32</v>
      </c>
      <c r="T103" s="72">
        <v>1</v>
      </c>
      <c r="U103">
        <v>0</v>
      </c>
      <c r="V103" s="31">
        <v>0</v>
      </c>
      <c r="W103" s="31">
        <v>0</v>
      </c>
      <c r="X103" s="33">
        <v>301.32</v>
      </c>
      <c r="Y103" s="29">
        <v>301.32</v>
      </c>
      <c r="Z103" s="29">
        <v>301.32</v>
      </c>
      <c r="AA103" s="35">
        <v>44058</v>
      </c>
      <c r="AB103" s="27"/>
      <c r="AC103" s="27">
        <v>20</v>
      </c>
      <c r="AD103" s="58">
        <v>301.32</v>
      </c>
      <c r="AE103" s="31">
        <v>60.264000000000003</v>
      </c>
      <c r="AF103" t="b">
        <v>0</v>
      </c>
      <c r="AG103" s="78">
        <v>-301.32</v>
      </c>
    </row>
    <row r="104" spans="1:33" x14ac:dyDescent="0.25">
      <c r="A104" t="str">
        <f t="shared" si="7"/>
        <v>2020-103</v>
      </c>
      <c r="B104" s="1">
        <f t="shared" si="8"/>
        <v>43928</v>
      </c>
      <c r="C104" t="str">
        <f t="shared" si="9"/>
        <v>6197452672/Hutchison Drei Austria GmbH, Brünner Straße 52, 1210 Wien, Österreich</v>
      </c>
      <c r="D104" t="str">
        <f t="shared" si="10"/>
        <v>Ausgaben</v>
      </c>
      <c r="E104" t="str">
        <f t="shared" si="11"/>
        <v>Telefon/Internet</v>
      </c>
      <c r="F104" s="117">
        <f t="shared" si="12"/>
        <v>18</v>
      </c>
      <c r="G104" t="str">
        <f t="shared" si="13"/>
        <v>20%</v>
      </c>
      <c r="I104" s="53">
        <v>2020</v>
      </c>
      <c r="J104" s="53">
        <v>103</v>
      </c>
      <c r="K104" s="71" t="s">
        <v>105</v>
      </c>
      <c r="L104" t="s">
        <v>703</v>
      </c>
      <c r="M104" s="74" t="s">
        <v>1294</v>
      </c>
      <c r="N104" s="1">
        <v>43928</v>
      </c>
      <c r="O104" t="s">
        <v>34</v>
      </c>
      <c r="Q104" s="76"/>
      <c r="R104" t="b">
        <v>0</v>
      </c>
      <c r="S104" s="48">
        <v>15</v>
      </c>
      <c r="T104" s="72">
        <v>1</v>
      </c>
      <c r="U104">
        <v>20</v>
      </c>
      <c r="V104" s="31">
        <v>3</v>
      </c>
      <c r="W104" s="31">
        <v>3</v>
      </c>
      <c r="X104" s="33">
        <v>15</v>
      </c>
      <c r="Y104" s="29">
        <v>18</v>
      </c>
      <c r="Z104" s="29">
        <v>18</v>
      </c>
      <c r="AA104" s="35">
        <v>44058</v>
      </c>
      <c r="AB104" s="27"/>
      <c r="AC104" s="27"/>
      <c r="AD104" s="58">
        <v>15</v>
      </c>
      <c r="AE104" s="31">
        <v>0</v>
      </c>
      <c r="AF104" t="b">
        <v>0</v>
      </c>
      <c r="AG104" s="78">
        <v>-15</v>
      </c>
    </row>
    <row r="105" spans="1:33" x14ac:dyDescent="0.25">
      <c r="A105" t="str">
        <f t="shared" si="7"/>
        <v>2020-104</v>
      </c>
      <c r="B105" s="1">
        <f t="shared" si="8"/>
        <v>43928</v>
      </c>
      <c r="C105" t="str">
        <f t="shared" si="9"/>
        <v>12020010/Wedding Avenue e.U., Mayerweckstrasse 2-8/99/1, 1210 Wien</v>
      </c>
      <c r="D105" t="str">
        <f t="shared" si="10"/>
        <v>Einnahmen</v>
      </c>
      <c r="E105" t="str">
        <f t="shared" si="11"/>
        <v>Waren-/Leistungserlöse</v>
      </c>
      <c r="F105" s="117">
        <f t="shared" si="12"/>
        <v>105</v>
      </c>
      <c r="G105" t="str">
        <f t="shared" si="13"/>
        <v>20%</v>
      </c>
      <c r="I105" s="53">
        <v>2020</v>
      </c>
      <c r="J105" s="53">
        <v>104</v>
      </c>
      <c r="K105" s="71" t="s">
        <v>708</v>
      </c>
      <c r="L105" t="s">
        <v>709</v>
      </c>
      <c r="M105" s="74" t="s">
        <v>1316</v>
      </c>
      <c r="N105" s="1">
        <v>43928</v>
      </c>
      <c r="O105" s="43" t="s">
        <v>1012</v>
      </c>
      <c r="Q105" s="76"/>
      <c r="R105" t="b">
        <v>0</v>
      </c>
      <c r="S105" s="48">
        <v>87.5</v>
      </c>
      <c r="T105" s="72">
        <v>1</v>
      </c>
      <c r="U105">
        <v>20</v>
      </c>
      <c r="V105" s="31">
        <v>17.5</v>
      </c>
      <c r="W105" s="31">
        <v>17.5</v>
      </c>
      <c r="X105" s="33">
        <v>87.5</v>
      </c>
      <c r="Y105" s="29">
        <v>105</v>
      </c>
      <c r="Z105" s="29">
        <v>105</v>
      </c>
      <c r="AA105" s="35">
        <v>44058</v>
      </c>
      <c r="AB105" s="27"/>
      <c r="AC105" s="27"/>
      <c r="AD105" s="58">
        <v>87.5</v>
      </c>
      <c r="AE105" s="31">
        <v>0</v>
      </c>
      <c r="AF105" t="b">
        <v>0</v>
      </c>
      <c r="AG105" s="78">
        <v>87.5</v>
      </c>
    </row>
    <row r="106" spans="1:33" x14ac:dyDescent="0.25">
      <c r="A106" t="str">
        <f t="shared" si="7"/>
        <v>2020-105</v>
      </c>
      <c r="B106" s="1">
        <f t="shared" si="8"/>
        <v>43928</v>
      </c>
      <c r="C106" t="str">
        <f t="shared" si="9"/>
        <v>12020012/Theresa Häfele-Kolbitsch, Josef-Mohrgasse 9, 2102 Bisamberg</v>
      </c>
      <c r="D106" t="str">
        <f t="shared" si="10"/>
        <v>Einnahmen</v>
      </c>
      <c r="E106" t="str">
        <f t="shared" si="11"/>
        <v>Waren-/Leistungserlöse</v>
      </c>
      <c r="F106" s="117">
        <f t="shared" si="12"/>
        <v>131.256</v>
      </c>
      <c r="G106" t="str">
        <f t="shared" si="13"/>
        <v>20%</v>
      </c>
      <c r="I106" s="53">
        <v>2020</v>
      </c>
      <c r="J106" s="53">
        <v>105</v>
      </c>
      <c r="K106" s="71" t="s">
        <v>708</v>
      </c>
      <c r="L106" t="s">
        <v>709</v>
      </c>
      <c r="M106" s="74" t="s">
        <v>1317</v>
      </c>
      <c r="N106" s="1">
        <v>43928</v>
      </c>
      <c r="O106" t="s">
        <v>1170</v>
      </c>
      <c r="Q106" s="76"/>
      <c r="R106" t="b">
        <v>0</v>
      </c>
      <c r="S106" s="48">
        <v>109.38</v>
      </c>
      <c r="T106" s="72">
        <v>1</v>
      </c>
      <c r="U106">
        <v>20</v>
      </c>
      <c r="V106" s="31">
        <v>21.875999999999998</v>
      </c>
      <c r="W106" s="31">
        <v>21.875999999999998</v>
      </c>
      <c r="X106" s="33">
        <v>109.38</v>
      </c>
      <c r="Y106" s="29">
        <v>131.256</v>
      </c>
      <c r="Z106" s="29">
        <v>131.256</v>
      </c>
      <c r="AA106" s="35">
        <v>44058</v>
      </c>
      <c r="AB106" s="27"/>
      <c r="AC106" s="27"/>
      <c r="AD106" s="58">
        <v>109.38</v>
      </c>
      <c r="AE106" s="31">
        <v>0</v>
      </c>
      <c r="AF106" t="b">
        <v>0</v>
      </c>
      <c r="AG106" s="78">
        <v>109.38</v>
      </c>
    </row>
    <row r="107" spans="1:33" x14ac:dyDescent="0.25">
      <c r="A107" t="str">
        <f t="shared" si="7"/>
        <v>2020-106</v>
      </c>
      <c r="B107" s="1">
        <f t="shared" si="8"/>
        <v>43928</v>
      </c>
      <c r="C107" t="str">
        <f t="shared" si="9"/>
        <v>VS/19-01-05428/Techem Messtechnik GmbH; Abnehmernummer 501686-0003-11-(</v>
      </c>
      <c r="D107" t="str">
        <f t="shared" si="10"/>
        <v>Ausgaben</v>
      </c>
      <c r="E107" t="str">
        <f t="shared" si="11"/>
        <v>sonstige Betriebsausgaben</v>
      </c>
      <c r="F107" s="117">
        <f t="shared" si="12"/>
        <v>43.900000000000006</v>
      </c>
      <c r="G107" t="str">
        <f t="shared" si="13"/>
        <v>20%</v>
      </c>
      <c r="I107" s="53">
        <v>2020</v>
      </c>
      <c r="J107" s="53">
        <v>106</v>
      </c>
      <c r="K107" s="71" t="s">
        <v>105</v>
      </c>
      <c r="L107" t="s">
        <v>705</v>
      </c>
      <c r="M107" s="74" t="s">
        <v>1143</v>
      </c>
      <c r="N107" s="1">
        <v>43928</v>
      </c>
      <c r="O107" t="s">
        <v>1128</v>
      </c>
      <c r="Q107" s="76"/>
      <c r="R107" t="b">
        <v>0</v>
      </c>
      <c r="S107" s="48">
        <v>36.583333333333336</v>
      </c>
      <c r="T107" s="72">
        <v>1</v>
      </c>
      <c r="U107">
        <v>20</v>
      </c>
      <c r="V107" s="31">
        <v>7.3166666666666673</v>
      </c>
      <c r="W107" s="31">
        <v>7.3166666666666673</v>
      </c>
      <c r="X107" s="33">
        <v>36.583333333333336</v>
      </c>
      <c r="Y107" s="29">
        <v>43.900000000000006</v>
      </c>
      <c r="Z107" s="29">
        <v>43.900000000000006</v>
      </c>
      <c r="AA107" s="35">
        <v>44058</v>
      </c>
      <c r="AB107" s="27"/>
      <c r="AC107" s="27"/>
      <c r="AD107" s="58">
        <v>36.583333333333336</v>
      </c>
      <c r="AE107" s="31">
        <v>0</v>
      </c>
      <c r="AF107" t="b">
        <v>0</v>
      </c>
      <c r="AG107" s="78">
        <v>-36.583333333333336</v>
      </c>
    </row>
    <row r="108" spans="1:33" x14ac:dyDescent="0.25">
      <c r="A108" t="str">
        <f t="shared" si="7"/>
        <v>2020-107</v>
      </c>
      <c r="B108" s="1">
        <f t="shared" si="8"/>
        <v>43935</v>
      </c>
      <c r="C108" t="str">
        <f t="shared" si="9"/>
        <v>146759383120/Wiener Netze GmbH, Erdbergstraße 236, 1110 Wien, Postfach 422</v>
      </c>
      <c r="D108" t="str">
        <f t="shared" si="10"/>
        <v>Ausgaben</v>
      </c>
      <c r="E108" t="str">
        <f t="shared" si="11"/>
        <v>sonstige Betriebsausgaben</v>
      </c>
      <c r="F108" s="117">
        <f t="shared" si="12"/>
        <v>34.799999999999997</v>
      </c>
      <c r="G108" t="str">
        <f t="shared" si="13"/>
        <v>20%</v>
      </c>
      <c r="I108" s="53">
        <v>2020</v>
      </c>
      <c r="J108" s="53">
        <v>107</v>
      </c>
      <c r="K108" s="71" t="s">
        <v>105</v>
      </c>
      <c r="L108" t="s">
        <v>705</v>
      </c>
      <c r="M108" s="74" t="s">
        <v>1318</v>
      </c>
      <c r="N108" s="1">
        <v>43935</v>
      </c>
      <c r="O108" t="s">
        <v>1223</v>
      </c>
      <c r="Q108" s="76"/>
      <c r="R108" t="b">
        <v>0</v>
      </c>
      <c r="S108" s="109">
        <v>29</v>
      </c>
      <c r="T108" s="72">
        <v>1</v>
      </c>
      <c r="U108">
        <v>20</v>
      </c>
      <c r="V108" s="31">
        <v>5.8</v>
      </c>
      <c r="W108" s="31">
        <v>5.8</v>
      </c>
      <c r="X108" s="33">
        <v>29</v>
      </c>
      <c r="Y108" s="29">
        <v>34.799999999999997</v>
      </c>
      <c r="Z108" s="29">
        <v>34.799999999999997</v>
      </c>
      <c r="AA108" s="35">
        <v>44058</v>
      </c>
      <c r="AB108" s="27"/>
      <c r="AC108" s="27"/>
      <c r="AD108" s="58">
        <v>29</v>
      </c>
      <c r="AE108" s="31">
        <v>0</v>
      </c>
      <c r="AF108" t="b">
        <v>0</v>
      </c>
      <c r="AG108" s="78">
        <v>-29</v>
      </c>
    </row>
    <row r="109" spans="1:33" x14ac:dyDescent="0.25">
      <c r="A109" t="str">
        <f t="shared" si="7"/>
        <v>2020-108</v>
      </c>
      <c r="B109" s="1">
        <f t="shared" si="8"/>
        <v>43936</v>
      </c>
      <c r="C109" t="str">
        <f t="shared" si="9"/>
        <v>12020009/Schick Küchendesign e.U. Alexander Schick, Linzerstraße 247, 1140 Wien</v>
      </c>
      <c r="D109" t="str">
        <f t="shared" si="10"/>
        <v>Einnahmen</v>
      </c>
      <c r="E109" t="str">
        <f t="shared" si="11"/>
        <v>Waren-/Leistungserlöse</v>
      </c>
      <c r="F109" s="117">
        <f t="shared" si="12"/>
        <v>207.9</v>
      </c>
      <c r="G109" t="str">
        <f t="shared" si="13"/>
        <v>20%</v>
      </c>
      <c r="I109" s="53">
        <v>2020</v>
      </c>
      <c r="J109" s="53">
        <v>108</v>
      </c>
      <c r="K109" s="71" t="s">
        <v>708</v>
      </c>
      <c r="L109" t="s">
        <v>709</v>
      </c>
      <c r="M109" s="77" t="s">
        <v>1319</v>
      </c>
      <c r="N109" s="44">
        <v>43936</v>
      </c>
      <c r="O109" t="s">
        <v>983</v>
      </c>
      <c r="Q109" s="76"/>
      <c r="R109" t="b">
        <v>0</v>
      </c>
      <c r="S109" s="48">
        <v>173.25</v>
      </c>
      <c r="T109" s="72">
        <v>1</v>
      </c>
      <c r="U109">
        <v>20</v>
      </c>
      <c r="V109" s="31">
        <v>34.65</v>
      </c>
      <c r="W109" s="31">
        <v>34.65</v>
      </c>
      <c r="X109" s="33">
        <v>173.25</v>
      </c>
      <c r="Y109" s="29">
        <v>207.9</v>
      </c>
      <c r="Z109" s="29">
        <v>207.9</v>
      </c>
      <c r="AA109" s="35">
        <v>44058</v>
      </c>
      <c r="AB109" s="27"/>
      <c r="AC109" s="27"/>
      <c r="AD109" s="58">
        <v>173.25</v>
      </c>
      <c r="AE109" s="31">
        <v>0</v>
      </c>
      <c r="AF109" t="b">
        <v>0</v>
      </c>
      <c r="AG109" s="78">
        <v>173.25</v>
      </c>
    </row>
    <row r="110" spans="1:33" x14ac:dyDescent="0.25">
      <c r="A110" t="str">
        <f t="shared" si="7"/>
        <v>2020-109</v>
      </c>
      <c r="B110" s="1">
        <f t="shared" si="8"/>
        <v>43936</v>
      </c>
      <c r="C110" t="str">
        <f t="shared" si="9"/>
        <v>R0011106041/Hetzner Online GmbH</v>
      </c>
      <c r="D110" t="str">
        <f t="shared" si="10"/>
        <v>Ausgaben</v>
      </c>
      <c r="E110" t="str">
        <f t="shared" si="11"/>
        <v>sonstige Betriebsausgaben</v>
      </c>
      <c r="F110" s="117">
        <f t="shared" si="12"/>
        <v>46.92</v>
      </c>
      <c r="G110" t="str">
        <f t="shared" si="13"/>
        <v>0%</v>
      </c>
      <c r="I110" s="53">
        <v>2020</v>
      </c>
      <c r="J110" s="53">
        <v>109</v>
      </c>
      <c r="K110" s="71" t="s">
        <v>105</v>
      </c>
      <c r="L110" t="s">
        <v>705</v>
      </c>
      <c r="M110" s="74" t="s">
        <v>1320</v>
      </c>
      <c r="N110" s="1">
        <v>43936</v>
      </c>
      <c r="O110" t="s">
        <v>927</v>
      </c>
      <c r="Q110" s="76"/>
      <c r="R110" t="b">
        <v>0</v>
      </c>
      <c r="S110" s="48">
        <v>46.92</v>
      </c>
      <c r="T110" s="72">
        <v>1</v>
      </c>
      <c r="U110">
        <v>0</v>
      </c>
      <c r="V110" s="31">
        <v>0</v>
      </c>
      <c r="W110" s="31">
        <v>0</v>
      </c>
      <c r="X110" s="33">
        <v>46.92</v>
      </c>
      <c r="Y110" s="29">
        <v>46.92</v>
      </c>
      <c r="Z110" s="29">
        <v>46.92</v>
      </c>
      <c r="AA110" s="35">
        <v>44058</v>
      </c>
      <c r="AB110" s="27"/>
      <c r="AC110" s="27">
        <v>20</v>
      </c>
      <c r="AD110" s="58">
        <v>46.92</v>
      </c>
      <c r="AE110" s="31">
        <v>9.3840000000000003</v>
      </c>
      <c r="AF110" t="b">
        <v>0</v>
      </c>
      <c r="AG110" s="78">
        <v>-46.92</v>
      </c>
    </row>
    <row r="111" spans="1:33" x14ac:dyDescent="0.25">
      <c r="A111" t="str">
        <f t="shared" si="7"/>
        <v>2020-110</v>
      </c>
      <c r="B111" s="1">
        <f t="shared" si="8"/>
        <v>43941</v>
      </c>
      <c r="C111" t="str">
        <f t="shared" si="9"/>
        <v>38935847/Nespresso Österreich GmbH&amp;Co OHG, Wiedner Gürtel 9, 1100 Wien</v>
      </c>
      <c r="D111" t="str">
        <f t="shared" si="10"/>
        <v>Ausgaben</v>
      </c>
      <c r="E111" t="str">
        <f t="shared" si="11"/>
        <v>sonstige Betriebsausgaben</v>
      </c>
      <c r="F111" s="117">
        <f t="shared" si="12"/>
        <v>41.004000000000005</v>
      </c>
      <c r="G111" t="str">
        <f t="shared" si="13"/>
        <v>20%</v>
      </c>
      <c r="I111" s="53">
        <v>2020</v>
      </c>
      <c r="J111" s="53">
        <v>110</v>
      </c>
      <c r="K111" s="71" t="s">
        <v>105</v>
      </c>
      <c r="L111" t="s">
        <v>705</v>
      </c>
      <c r="M111" s="74" t="s">
        <v>1321</v>
      </c>
      <c r="N111" s="1">
        <v>43941</v>
      </c>
      <c r="O111" t="s">
        <v>1322</v>
      </c>
      <c r="Q111" s="76"/>
      <c r="R111" t="b">
        <v>0</v>
      </c>
      <c r="S111" s="48">
        <v>34.17</v>
      </c>
      <c r="T111" s="72">
        <v>1</v>
      </c>
      <c r="U111">
        <v>20</v>
      </c>
      <c r="V111" s="31">
        <v>6.8340000000000005</v>
      </c>
      <c r="W111" s="31">
        <v>6.8340000000000005</v>
      </c>
      <c r="X111" s="33">
        <v>34.17</v>
      </c>
      <c r="Y111" s="29">
        <v>41.004000000000005</v>
      </c>
      <c r="Z111" s="29">
        <v>41.004000000000005</v>
      </c>
      <c r="AA111" s="35">
        <v>44058</v>
      </c>
      <c r="AB111" s="27"/>
      <c r="AC111" s="27"/>
      <c r="AD111" s="58">
        <v>34.17</v>
      </c>
      <c r="AE111" s="31">
        <v>0</v>
      </c>
      <c r="AF111" t="b">
        <v>0</v>
      </c>
      <c r="AG111" s="78">
        <v>-34.17</v>
      </c>
    </row>
    <row r="112" spans="1:33" x14ac:dyDescent="0.25">
      <c r="A112" t="str">
        <f t="shared" si="7"/>
        <v>2020-111</v>
      </c>
      <c r="B112" s="1">
        <f t="shared" si="8"/>
        <v>43942</v>
      </c>
      <c r="C112" t="str">
        <f t="shared" si="9"/>
        <v>901187750420/Magenta: T-Mobile Austria GmbH, A-1120 Wien, PF 47</v>
      </c>
      <c r="D112" t="str">
        <f t="shared" si="10"/>
        <v>Ausgaben</v>
      </c>
      <c r="E112" t="str">
        <f t="shared" si="11"/>
        <v>Telefon/Internet</v>
      </c>
      <c r="F112" s="117">
        <f t="shared" si="12"/>
        <v>42.288000000000004</v>
      </c>
      <c r="G112" t="str">
        <f t="shared" si="13"/>
        <v>20%</v>
      </c>
      <c r="I112" s="53">
        <v>2020</v>
      </c>
      <c r="J112" s="53">
        <v>111</v>
      </c>
      <c r="K112" s="71" t="s">
        <v>105</v>
      </c>
      <c r="L112" t="s">
        <v>703</v>
      </c>
      <c r="M112" s="74" t="s">
        <v>1398</v>
      </c>
      <c r="N112" s="1">
        <v>43942</v>
      </c>
      <c r="O112" t="s">
        <v>1148</v>
      </c>
      <c r="Q112" s="76"/>
      <c r="R112" t="b">
        <v>0</v>
      </c>
      <c r="S112" s="48">
        <v>35.24</v>
      </c>
      <c r="T112" s="72">
        <v>1</v>
      </c>
      <c r="U112">
        <v>20</v>
      </c>
      <c r="V112" s="31">
        <v>7.0480000000000009</v>
      </c>
      <c r="W112" s="31">
        <v>7.0480000000000009</v>
      </c>
      <c r="X112" s="33">
        <v>35.24</v>
      </c>
      <c r="Y112" s="29">
        <v>42.288000000000004</v>
      </c>
      <c r="Z112" s="29">
        <v>42.288000000000004</v>
      </c>
      <c r="AA112" s="35">
        <v>44058</v>
      </c>
      <c r="AB112" s="27"/>
      <c r="AC112" s="27"/>
      <c r="AD112" s="58">
        <v>35.24</v>
      </c>
      <c r="AE112" s="31">
        <v>0</v>
      </c>
      <c r="AF112" t="b">
        <v>0</v>
      </c>
      <c r="AG112" s="78">
        <v>-35.24</v>
      </c>
    </row>
    <row r="113" spans="1:33" x14ac:dyDescent="0.25">
      <c r="A113" t="str">
        <f t="shared" si="7"/>
        <v>2020-112</v>
      </c>
      <c r="B113" s="1">
        <f t="shared" si="8"/>
        <v>43955</v>
      </c>
      <c r="C113" t="str">
        <f t="shared" si="9"/>
        <v>20/9801/VS00043/Bontus Immobilienverwaltung GmbH, 1010 Wien, Franz Josefs Kai 65</v>
      </c>
      <c r="D113" t="str">
        <f t="shared" si="10"/>
        <v>Ausgaben</v>
      </c>
      <c r="E113" t="str">
        <f t="shared" si="11"/>
        <v>Miet- und Pachtaufwand, Leasing</v>
      </c>
      <c r="F113" s="117">
        <f t="shared" si="12"/>
        <v>554.928</v>
      </c>
      <c r="G113" t="str">
        <f t="shared" si="13"/>
        <v>20%</v>
      </c>
      <c r="I113" s="53">
        <v>2020</v>
      </c>
      <c r="J113" s="53">
        <v>112</v>
      </c>
      <c r="K113" s="71" t="s">
        <v>105</v>
      </c>
      <c r="L113" t="s">
        <v>691</v>
      </c>
      <c r="M113" s="74" t="s">
        <v>1250</v>
      </c>
      <c r="N113" s="1">
        <v>43955</v>
      </c>
      <c r="O113" t="s">
        <v>1113</v>
      </c>
      <c r="Q113" s="76"/>
      <c r="R113" t="b">
        <v>0</v>
      </c>
      <c r="S113" s="48">
        <v>462.44</v>
      </c>
      <c r="T113" s="72">
        <v>1</v>
      </c>
      <c r="U113">
        <v>20</v>
      </c>
      <c r="V113" s="31">
        <v>92.488</v>
      </c>
      <c r="W113" s="31">
        <v>92.488</v>
      </c>
      <c r="X113" s="33">
        <v>462.44</v>
      </c>
      <c r="Y113" s="29">
        <v>554.928</v>
      </c>
      <c r="Z113" s="29">
        <v>554.928</v>
      </c>
      <c r="AA113" s="35">
        <v>44058</v>
      </c>
      <c r="AB113" s="27"/>
      <c r="AC113" s="27"/>
      <c r="AD113" s="58">
        <v>462.44</v>
      </c>
      <c r="AE113" s="31">
        <v>0</v>
      </c>
      <c r="AF113" t="b">
        <v>0</v>
      </c>
      <c r="AG113" s="78">
        <v>-462.44</v>
      </c>
    </row>
    <row r="114" spans="1:33" x14ac:dyDescent="0.25">
      <c r="A114" t="str">
        <f t="shared" si="7"/>
        <v>2020-113</v>
      </c>
      <c r="B114" s="1">
        <f t="shared" si="8"/>
        <v>43956</v>
      </c>
      <c r="C114" t="str">
        <f t="shared" si="9"/>
        <v>12020015/Wedding Avenue e.U., Mayerweckstrasse 2-8/99/1, 1210 Wien</v>
      </c>
      <c r="D114" t="str">
        <f t="shared" si="10"/>
        <v>Einnahmen</v>
      </c>
      <c r="E114" t="str">
        <f t="shared" si="11"/>
        <v>Waren-/Leistungserlöse</v>
      </c>
      <c r="F114" s="117">
        <f t="shared" si="12"/>
        <v>52.5</v>
      </c>
      <c r="G114" t="str">
        <f t="shared" si="13"/>
        <v>20%</v>
      </c>
      <c r="I114" s="53">
        <v>2020</v>
      </c>
      <c r="J114" s="53">
        <v>113</v>
      </c>
      <c r="K114" s="71" t="s">
        <v>708</v>
      </c>
      <c r="L114" t="s">
        <v>709</v>
      </c>
      <c r="M114" s="74" t="s">
        <v>1357</v>
      </c>
      <c r="N114" s="1">
        <v>43956</v>
      </c>
      <c r="O114" s="43" t="s">
        <v>1012</v>
      </c>
      <c r="Q114" s="76"/>
      <c r="R114" t="b">
        <v>0</v>
      </c>
      <c r="S114" s="48">
        <v>43.75</v>
      </c>
      <c r="T114" s="72">
        <v>1</v>
      </c>
      <c r="U114">
        <v>20</v>
      </c>
      <c r="V114" s="31">
        <v>8.75</v>
      </c>
      <c r="W114" s="31">
        <v>8.75</v>
      </c>
      <c r="X114" s="33">
        <v>43.75</v>
      </c>
      <c r="Y114" s="29">
        <v>52.5</v>
      </c>
      <c r="Z114" s="29">
        <v>52.5</v>
      </c>
      <c r="AA114" s="35">
        <v>44058</v>
      </c>
      <c r="AB114" s="27"/>
      <c r="AC114" s="27"/>
      <c r="AD114" s="58">
        <v>43.75</v>
      </c>
      <c r="AE114" s="31">
        <v>0</v>
      </c>
      <c r="AF114" t="b">
        <v>0</v>
      </c>
      <c r="AG114" s="78">
        <v>43.75</v>
      </c>
    </row>
    <row r="115" spans="1:33" x14ac:dyDescent="0.25">
      <c r="A115" t="str">
        <f t="shared" si="7"/>
        <v>2020-114</v>
      </c>
      <c r="B115" s="1">
        <f t="shared" si="8"/>
        <v>43957</v>
      </c>
      <c r="C115" t="str">
        <f t="shared" si="9"/>
        <v>807693/easy green energy GmbH &amp; Co KG</v>
      </c>
      <c r="D115" t="str">
        <f t="shared" si="10"/>
        <v>Ausgaben</v>
      </c>
      <c r="E115" t="str">
        <f t="shared" si="11"/>
        <v>sonstige Betriebsausgaben</v>
      </c>
      <c r="F115" s="117">
        <f t="shared" si="12"/>
        <v>3</v>
      </c>
      <c r="G115" t="str">
        <f t="shared" si="13"/>
        <v>20%</v>
      </c>
      <c r="I115" s="53">
        <v>2020</v>
      </c>
      <c r="J115" s="53">
        <v>114</v>
      </c>
      <c r="K115" s="71" t="s">
        <v>105</v>
      </c>
      <c r="L115" t="s">
        <v>705</v>
      </c>
      <c r="M115" s="74" t="s">
        <v>1225</v>
      </c>
      <c r="N115" s="1">
        <v>43957</v>
      </c>
      <c r="O115" t="s">
        <v>1364</v>
      </c>
      <c r="Q115" s="76"/>
      <c r="R115" t="b">
        <v>0</v>
      </c>
      <c r="S115" s="48">
        <v>2.5</v>
      </c>
      <c r="T115" s="72">
        <v>1</v>
      </c>
      <c r="U115">
        <v>20</v>
      </c>
      <c r="V115" s="31">
        <v>0.5</v>
      </c>
      <c r="W115" s="31">
        <v>0.5</v>
      </c>
      <c r="X115" s="33">
        <v>2.5</v>
      </c>
      <c r="Y115" s="29">
        <v>3</v>
      </c>
      <c r="Z115" s="29">
        <v>3</v>
      </c>
      <c r="AA115" s="35">
        <v>44058</v>
      </c>
      <c r="AB115" s="27"/>
      <c r="AC115" s="27"/>
      <c r="AD115" s="58">
        <v>2.5</v>
      </c>
      <c r="AE115" s="31">
        <v>0</v>
      </c>
      <c r="AF115" t="b">
        <v>0</v>
      </c>
      <c r="AG115" s="78">
        <v>-2.5</v>
      </c>
    </row>
    <row r="116" spans="1:33" x14ac:dyDescent="0.25">
      <c r="A116" t="str">
        <f t="shared" si="7"/>
        <v>2020-115</v>
      </c>
      <c r="B116" s="1">
        <f t="shared" si="8"/>
        <v>43957</v>
      </c>
      <c r="C116" t="str">
        <f t="shared" si="9"/>
        <v>VS/19-01-05428/Techem Messtechnik GmbH; Abnehmernummer 501686-0003-11-(</v>
      </c>
      <c r="D116" t="str">
        <f t="shared" si="10"/>
        <v>Ausgaben</v>
      </c>
      <c r="E116" t="str">
        <f t="shared" si="11"/>
        <v>sonstige Betriebsausgaben</v>
      </c>
      <c r="F116" s="117">
        <f t="shared" si="12"/>
        <v>43.900000000000006</v>
      </c>
      <c r="G116" t="str">
        <f t="shared" si="13"/>
        <v>20%</v>
      </c>
      <c r="I116" s="53">
        <v>2020</v>
      </c>
      <c r="J116" s="53">
        <v>115</v>
      </c>
      <c r="K116" s="71" t="s">
        <v>105</v>
      </c>
      <c r="L116" t="s">
        <v>705</v>
      </c>
      <c r="M116" s="74" t="s">
        <v>1143</v>
      </c>
      <c r="N116" s="1">
        <v>43957</v>
      </c>
      <c r="O116" t="s">
        <v>1128</v>
      </c>
      <c r="Q116" s="76"/>
      <c r="R116" t="b">
        <v>0</v>
      </c>
      <c r="S116" s="48">
        <v>36.583333333333336</v>
      </c>
      <c r="T116" s="72">
        <v>1</v>
      </c>
      <c r="U116">
        <v>20</v>
      </c>
      <c r="V116" s="31">
        <v>7.3166666666666673</v>
      </c>
      <c r="W116" s="31">
        <v>7.3166666666666673</v>
      </c>
      <c r="X116" s="33">
        <v>36.583333333333336</v>
      </c>
      <c r="Y116" s="29">
        <v>43.900000000000006</v>
      </c>
      <c r="Z116" s="29">
        <v>43.900000000000006</v>
      </c>
      <c r="AA116" s="35">
        <v>44058</v>
      </c>
      <c r="AB116" s="27"/>
      <c r="AC116" s="27"/>
      <c r="AD116" s="58">
        <v>36.583333333333336</v>
      </c>
      <c r="AE116" s="31">
        <v>0</v>
      </c>
      <c r="AF116" t="b">
        <v>0</v>
      </c>
      <c r="AG116" s="78">
        <v>-36.583333333333336</v>
      </c>
    </row>
    <row r="117" spans="1:33" x14ac:dyDescent="0.25">
      <c r="A117" t="str">
        <f t="shared" si="7"/>
        <v>2020-116</v>
      </c>
      <c r="B117" s="1">
        <f t="shared" si="8"/>
        <v>43959</v>
      </c>
      <c r="C117" t="str">
        <f t="shared" si="9"/>
        <v>6201122126/Hutchison Drei Austria GmbH, Brünner Straße 52, 1210 Wien, Österreich</v>
      </c>
      <c r="D117" t="str">
        <f t="shared" si="10"/>
        <v>Ausgaben</v>
      </c>
      <c r="E117" t="str">
        <f t="shared" si="11"/>
        <v>Telefon/Internet</v>
      </c>
      <c r="F117" s="117">
        <f t="shared" si="12"/>
        <v>18</v>
      </c>
      <c r="G117" t="str">
        <f t="shared" si="13"/>
        <v>20%</v>
      </c>
      <c r="I117" s="53">
        <v>2020</v>
      </c>
      <c r="J117" s="53">
        <v>116</v>
      </c>
      <c r="K117" s="71" t="s">
        <v>105</v>
      </c>
      <c r="L117" t="s">
        <v>703</v>
      </c>
      <c r="M117" s="74" t="s">
        <v>1358</v>
      </c>
      <c r="N117" s="1">
        <v>43959</v>
      </c>
      <c r="O117" t="s">
        <v>34</v>
      </c>
      <c r="Q117" s="76"/>
      <c r="R117" t="b">
        <v>0</v>
      </c>
      <c r="S117" s="48">
        <v>15</v>
      </c>
      <c r="T117" s="72">
        <v>1</v>
      </c>
      <c r="U117">
        <v>20</v>
      </c>
      <c r="V117" s="31">
        <v>3</v>
      </c>
      <c r="W117" s="31">
        <v>3</v>
      </c>
      <c r="X117" s="33">
        <v>15</v>
      </c>
      <c r="Y117" s="29">
        <v>18</v>
      </c>
      <c r="Z117" s="29">
        <v>18</v>
      </c>
      <c r="AA117" s="35">
        <v>44058</v>
      </c>
      <c r="AB117" s="27"/>
      <c r="AC117" s="27"/>
      <c r="AD117" s="58">
        <v>15</v>
      </c>
      <c r="AE117" s="31">
        <v>0</v>
      </c>
      <c r="AF117" t="b">
        <v>0</v>
      </c>
      <c r="AG117" s="78">
        <v>-15</v>
      </c>
    </row>
    <row r="118" spans="1:33" x14ac:dyDescent="0.25">
      <c r="A118" t="str">
        <f t="shared" si="7"/>
        <v>2020-117</v>
      </c>
      <c r="B118" s="1">
        <f t="shared" si="8"/>
        <v>43962</v>
      </c>
      <c r="C118" t="str">
        <f t="shared" si="9"/>
        <v>/Sozialversicherung der gewerblichen Wirtshaft</v>
      </c>
      <c r="D118" t="str">
        <f t="shared" si="10"/>
        <v>Ausgaben</v>
      </c>
      <c r="E118" t="str">
        <f t="shared" si="11"/>
        <v>Pflichversicherungsbeiträge</v>
      </c>
      <c r="F118" s="117">
        <f t="shared" si="12"/>
        <v>1678.77</v>
      </c>
      <c r="G118" t="str">
        <f t="shared" si="13"/>
        <v>0%</v>
      </c>
      <c r="I118" s="53">
        <v>2020</v>
      </c>
      <c r="J118" s="53">
        <v>117</v>
      </c>
      <c r="K118" s="71" t="s">
        <v>105</v>
      </c>
      <c r="L118" t="s">
        <v>695</v>
      </c>
      <c r="M118" s="110"/>
      <c r="N118" s="1">
        <v>43962</v>
      </c>
      <c r="O118" t="s">
        <v>952</v>
      </c>
      <c r="Q118" s="76"/>
      <c r="R118" t="b">
        <v>0</v>
      </c>
      <c r="S118" s="48">
        <v>1678.77</v>
      </c>
      <c r="T118" s="72">
        <v>1</v>
      </c>
      <c r="U118">
        <v>0</v>
      </c>
      <c r="V118" s="31">
        <v>0</v>
      </c>
      <c r="W118" s="31">
        <v>0</v>
      </c>
      <c r="X118" s="33">
        <v>1678.77</v>
      </c>
      <c r="Y118" s="29">
        <v>1678.77</v>
      </c>
      <c r="Z118" s="29">
        <v>1678.77</v>
      </c>
      <c r="AA118" s="35">
        <v>44058</v>
      </c>
      <c r="AB118" s="27"/>
      <c r="AC118" s="27"/>
      <c r="AD118" s="58">
        <v>1678.77</v>
      </c>
      <c r="AE118" s="31">
        <v>0</v>
      </c>
      <c r="AF118" t="b">
        <v>0</v>
      </c>
      <c r="AG118" s="78">
        <v>-1678.77</v>
      </c>
    </row>
    <row r="119" spans="1:33" x14ac:dyDescent="0.25">
      <c r="A119" t="str">
        <f t="shared" si="7"/>
        <v>2020-118</v>
      </c>
      <c r="B119" s="1">
        <f t="shared" si="8"/>
        <v>43962</v>
      </c>
      <c r="C119" t="str">
        <f t="shared" si="9"/>
        <v>5112142283/Wiener Netze GmbH, Erdbergstraße 236, 1110 Wien, Postfach 422</v>
      </c>
      <c r="D119" t="str">
        <f t="shared" si="10"/>
        <v>Ausgaben</v>
      </c>
      <c r="E119" t="str">
        <f t="shared" si="11"/>
        <v>sonstige Betriebsausgaben</v>
      </c>
      <c r="F119" s="117">
        <f t="shared" si="12"/>
        <v>34.799999999999997</v>
      </c>
      <c r="G119" t="str">
        <f t="shared" si="13"/>
        <v>20%</v>
      </c>
      <c r="I119" s="53">
        <v>2020</v>
      </c>
      <c r="J119" s="53">
        <v>118</v>
      </c>
      <c r="K119" s="71" t="s">
        <v>105</v>
      </c>
      <c r="L119" t="s">
        <v>705</v>
      </c>
      <c r="M119" s="74" t="s">
        <v>1222</v>
      </c>
      <c r="N119" s="1">
        <v>43962</v>
      </c>
      <c r="O119" t="s">
        <v>1223</v>
      </c>
      <c r="Q119" s="76"/>
      <c r="R119" t="b">
        <v>0</v>
      </c>
      <c r="S119" s="109">
        <v>29</v>
      </c>
      <c r="T119" s="72">
        <v>1</v>
      </c>
      <c r="U119">
        <v>20</v>
      </c>
      <c r="V119" s="31">
        <v>5.8</v>
      </c>
      <c r="W119" s="31">
        <v>5.8</v>
      </c>
      <c r="X119" s="33">
        <v>29</v>
      </c>
      <c r="Y119" s="29">
        <v>34.799999999999997</v>
      </c>
      <c r="Z119" s="29">
        <v>34.799999999999997</v>
      </c>
      <c r="AA119" s="35">
        <v>44058</v>
      </c>
      <c r="AB119" s="27"/>
      <c r="AC119" s="27"/>
      <c r="AD119" s="58">
        <v>29</v>
      </c>
      <c r="AE119" s="31">
        <v>0</v>
      </c>
      <c r="AF119" t="b">
        <v>0</v>
      </c>
      <c r="AG119" s="78">
        <v>-29</v>
      </c>
    </row>
    <row r="120" spans="1:33" x14ac:dyDescent="0.25">
      <c r="A120" t="str">
        <f t="shared" si="7"/>
        <v>2020-119</v>
      </c>
      <c r="B120" s="1">
        <f t="shared" si="8"/>
        <v>43963</v>
      </c>
      <c r="C120" t="str">
        <f t="shared" si="9"/>
        <v>12020016/DCF - Digital Coding Factory GmbH, Bauernfeldgasse 4/12 1090 Wien</v>
      </c>
      <c r="D120" t="str">
        <f t="shared" si="10"/>
        <v>Einnahmen</v>
      </c>
      <c r="E120" t="str">
        <f t="shared" si="11"/>
        <v>Waren-/Leistungserlöse</v>
      </c>
      <c r="F120" s="117">
        <f t="shared" si="12"/>
        <v>189</v>
      </c>
      <c r="G120" t="str">
        <f t="shared" si="13"/>
        <v>20%</v>
      </c>
      <c r="I120" s="53">
        <v>2020</v>
      </c>
      <c r="J120" s="53">
        <v>119</v>
      </c>
      <c r="K120" s="71" t="s">
        <v>708</v>
      </c>
      <c r="L120" t="s">
        <v>709</v>
      </c>
      <c r="M120" s="74" t="s">
        <v>1359</v>
      </c>
      <c r="N120" s="1">
        <v>43963</v>
      </c>
      <c r="O120" t="s">
        <v>1266</v>
      </c>
      <c r="Q120" s="76"/>
      <c r="R120" t="b">
        <v>0</v>
      </c>
      <c r="S120" s="48">
        <v>157.5</v>
      </c>
      <c r="T120" s="72">
        <v>1</v>
      </c>
      <c r="U120">
        <v>20</v>
      </c>
      <c r="V120" s="31">
        <v>31.5</v>
      </c>
      <c r="W120" s="31">
        <v>31.5</v>
      </c>
      <c r="X120" s="33">
        <v>157.5</v>
      </c>
      <c r="Y120" s="29">
        <v>189</v>
      </c>
      <c r="Z120" s="29">
        <v>189</v>
      </c>
      <c r="AA120" s="35">
        <v>44058</v>
      </c>
      <c r="AB120" s="27"/>
      <c r="AC120" s="27"/>
      <c r="AD120" s="58">
        <v>157.5</v>
      </c>
      <c r="AE120" s="31">
        <v>0</v>
      </c>
      <c r="AF120" t="b">
        <v>0</v>
      </c>
      <c r="AG120" s="78">
        <v>157.5</v>
      </c>
    </row>
    <row r="121" spans="1:33" x14ac:dyDescent="0.25">
      <c r="A121" t="str">
        <f t="shared" si="7"/>
        <v>2020-120</v>
      </c>
      <c r="B121" s="1">
        <f t="shared" si="8"/>
        <v>43963</v>
      </c>
      <c r="C121" t="str">
        <f t="shared" si="9"/>
        <v>12020014/DCF - Digital Coding Factory GmbH, Bauernfeldgasse 4/12 1090 Wien</v>
      </c>
      <c r="D121" t="str">
        <f t="shared" si="10"/>
        <v>Einnahmen</v>
      </c>
      <c r="E121" t="str">
        <f t="shared" si="11"/>
        <v>Waren-/Leistungserlöse</v>
      </c>
      <c r="F121" s="117">
        <f t="shared" si="12"/>
        <v>8460</v>
      </c>
      <c r="G121" t="str">
        <f t="shared" si="13"/>
        <v>20%</v>
      </c>
      <c r="I121" s="53">
        <v>2020</v>
      </c>
      <c r="J121" s="53">
        <v>120</v>
      </c>
      <c r="K121" s="71" t="s">
        <v>708</v>
      </c>
      <c r="L121" t="s">
        <v>709</v>
      </c>
      <c r="M121" s="74" t="s">
        <v>1360</v>
      </c>
      <c r="N121" s="1">
        <v>43963</v>
      </c>
      <c r="O121" t="s">
        <v>1266</v>
      </c>
      <c r="Q121" s="76"/>
      <c r="R121" t="b">
        <v>0</v>
      </c>
      <c r="S121" s="48">
        <v>7050</v>
      </c>
      <c r="T121" s="72">
        <v>1</v>
      </c>
      <c r="U121">
        <v>20</v>
      </c>
      <c r="V121" s="31">
        <v>1410</v>
      </c>
      <c r="W121" s="31">
        <v>1410</v>
      </c>
      <c r="X121" s="33">
        <v>7050</v>
      </c>
      <c r="Y121" s="29">
        <v>8460</v>
      </c>
      <c r="Z121" s="29">
        <v>8460</v>
      </c>
      <c r="AA121" s="35">
        <v>44058</v>
      </c>
      <c r="AB121" s="27"/>
      <c r="AC121" s="27"/>
      <c r="AD121" s="58">
        <v>7050</v>
      </c>
      <c r="AE121" s="31">
        <v>0</v>
      </c>
      <c r="AF121" t="b">
        <v>0</v>
      </c>
      <c r="AG121" s="78">
        <v>7050</v>
      </c>
    </row>
    <row r="122" spans="1:33" x14ac:dyDescent="0.25">
      <c r="A122" t="str">
        <f t="shared" si="7"/>
        <v>2020-121</v>
      </c>
      <c r="B122" s="1">
        <f t="shared" si="8"/>
        <v>43964</v>
      </c>
      <c r="C122" t="str">
        <f t="shared" si="9"/>
        <v>R0011263482/Hetzner Online GmbH</v>
      </c>
      <c r="D122" t="str">
        <f t="shared" si="10"/>
        <v>Ausgaben</v>
      </c>
      <c r="E122" t="str">
        <f t="shared" si="11"/>
        <v>sonstige Betriebsausgaben</v>
      </c>
      <c r="F122" s="117">
        <f t="shared" si="12"/>
        <v>46.92</v>
      </c>
      <c r="G122" t="str">
        <f t="shared" si="13"/>
        <v>0%</v>
      </c>
      <c r="I122" s="53">
        <v>2020</v>
      </c>
      <c r="J122" s="53">
        <v>121</v>
      </c>
      <c r="K122" s="71" t="s">
        <v>105</v>
      </c>
      <c r="L122" t="s">
        <v>705</v>
      </c>
      <c r="M122" s="74" t="s">
        <v>1361</v>
      </c>
      <c r="N122" s="1">
        <v>43964</v>
      </c>
      <c r="O122" t="s">
        <v>927</v>
      </c>
      <c r="Q122" s="76"/>
      <c r="R122" t="b">
        <v>0</v>
      </c>
      <c r="S122" s="48">
        <v>46.92</v>
      </c>
      <c r="T122" s="72">
        <v>1</v>
      </c>
      <c r="U122">
        <v>0</v>
      </c>
      <c r="V122" s="31">
        <v>0</v>
      </c>
      <c r="W122" s="31">
        <v>0</v>
      </c>
      <c r="X122" s="33">
        <v>46.92</v>
      </c>
      <c r="Y122" s="29">
        <v>46.92</v>
      </c>
      <c r="Z122" s="29">
        <v>46.92</v>
      </c>
      <c r="AA122" s="35">
        <v>44058</v>
      </c>
      <c r="AB122" s="27"/>
      <c r="AC122" s="27">
        <v>20</v>
      </c>
      <c r="AD122" s="58">
        <v>46.92</v>
      </c>
      <c r="AE122" s="31">
        <v>9.3840000000000003</v>
      </c>
      <c r="AF122" t="b">
        <v>0</v>
      </c>
      <c r="AG122" s="78">
        <v>-46.92</v>
      </c>
    </row>
    <row r="123" spans="1:33" x14ac:dyDescent="0.25">
      <c r="A123" t="str">
        <f t="shared" si="7"/>
        <v>2020-122</v>
      </c>
      <c r="B123" s="1">
        <f t="shared" si="8"/>
        <v>43973</v>
      </c>
      <c r="C123" t="str">
        <f t="shared" si="9"/>
        <v>901190720520/Magenta: T-Mobile Austria GmbH, A-1120 Wien, PF 47</v>
      </c>
      <c r="D123" t="str">
        <f t="shared" si="10"/>
        <v>Ausgaben</v>
      </c>
      <c r="E123" t="str">
        <f t="shared" si="11"/>
        <v>Telefon/Internet</v>
      </c>
      <c r="F123" s="117">
        <f t="shared" si="12"/>
        <v>42.288000000000004</v>
      </c>
      <c r="G123" t="str">
        <f t="shared" si="13"/>
        <v>20%</v>
      </c>
      <c r="I123" s="53">
        <v>2020</v>
      </c>
      <c r="J123" s="53">
        <v>122</v>
      </c>
      <c r="K123" s="71" t="s">
        <v>105</v>
      </c>
      <c r="L123" t="s">
        <v>703</v>
      </c>
      <c r="M123" s="74" t="s">
        <v>1395</v>
      </c>
      <c r="N123" s="1">
        <v>43973</v>
      </c>
      <c r="O123" t="s">
        <v>1148</v>
      </c>
      <c r="Q123" s="76"/>
      <c r="R123" t="b">
        <v>0</v>
      </c>
      <c r="S123" s="48">
        <v>35.24</v>
      </c>
      <c r="T123" s="72">
        <v>1</v>
      </c>
      <c r="U123">
        <v>20</v>
      </c>
      <c r="V123" s="31">
        <v>7.0480000000000009</v>
      </c>
      <c r="W123" s="31">
        <v>7.0480000000000009</v>
      </c>
      <c r="X123" s="33">
        <v>35.24</v>
      </c>
      <c r="Y123" s="29">
        <v>42.288000000000004</v>
      </c>
      <c r="Z123" s="29">
        <v>42.288000000000004</v>
      </c>
      <c r="AA123" s="35">
        <v>44058</v>
      </c>
      <c r="AB123" s="27"/>
      <c r="AC123" s="27"/>
      <c r="AD123" s="58">
        <v>35.24</v>
      </c>
      <c r="AE123" s="31">
        <v>0</v>
      </c>
      <c r="AF123" t="b">
        <v>0</v>
      </c>
      <c r="AG123" s="78">
        <v>-35.24</v>
      </c>
    </row>
    <row r="124" spans="1:33" x14ac:dyDescent="0.25">
      <c r="A124" t="str">
        <f t="shared" si="7"/>
        <v>2020-123</v>
      </c>
      <c r="B124" s="1">
        <f t="shared" si="8"/>
        <v>43976</v>
      </c>
      <c r="C124" t="str">
        <f t="shared" si="9"/>
        <v>RE0851004/easyname GmbH, Fernkorngasse 10/3/501, A-1100 Wien</v>
      </c>
      <c r="D124" t="str">
        <f t="shared" si="10"/>
        <v>Ausgaben</v>
      </c>
      <c r="E124" t="str">
        <f t="shared" si="11"/>
        <v>sonstige Betriebsausgaben</v>
      </c>
      <c r="F124" s="117">
        <f t="shared" si="12"/>
        <v>19.895999999999997</v>
      </c>
      <c r="G124" t="str">
        <f t="shared" si="13"/>
        <v>20%</v>
      </c>
      <c r="I124" s="53">
        <v>2020</v>
      </c>
      <c r="J124" s="53">
        <v>123</v>
      </c>
      <c r="K124" s="71" t="s">
        <v>105</v>
      </c>
      <c r="L124" t="s">
        <v>705</v>
      </c>
      <c r="M124" s="74" t="s">
        <v>1362</v>
      </c>
      <c r="N124" s="1">
        <v>43976</v>
      </c>
      <c r="O124" t="s">
        <v>941</v>
      </c>
      <c r="Q124" s="76"/>
      <c r="R124" t="b">
        <v>0</v>
      </c>
      <c r="S124" s="48">
        <v>16.579999999999998</v>
      </c>
      <c r="T124" s="72">
        <v>1</v>
      </c>
      <c r="U124">
        <v>20</v>
      </c>
      <c r="V124" s="31">
        <v>3.3159999999999998</v>
      </c>
      <c r="W124" s="31">
        <v>3.3159999999999998</v>
      </c>
      <c r="X124" s="33">
        <v>16.579999999999998</v>
      </c>
      <c r="Y124" s="29">
        <v>19.895999999999997</v>
      </c>
      <c r="Z124" s="29">
        <v>19.895999999999997</v>
      </c>
      <c r="AA124" s="35">
        <v>44058</v>
      </c>
      <c r="AB124" s="27"/>
      <c r="AC124" s="27"/>
      <c r="AD124" s="58">
        <v>16.579999999999998</v>
      </c>
      <c r="AE124" s="31">
        <v>0</v>
      </c>
      <c r="AF124" t="b">
        <v>0</v>
      </c>
      <c r="AG124" s="78">
        <v>-16.579999999999998</v>
      </c>
    </row>
    <row r="125" spans="1:33" x14ac:dyDescent="0.25">
      <c r="A125" t="str">
        <f t="shared" si="7"/>
        <v>2020-124</v>
      </c>
      <c r="B125" s="1">
        <f t="shared" si="8"/>
        <v>43980</v>
      </c>
      <c r="C125" t="str">
        <f t="shared" si="9"/>
        <v>PRM320050004841/New Work SE, Dammtorstraße 30, 20354 Hamburg</v>
      </c>
      <c r="D125" t="str">
        <f t="shared" si="10"/>
        <v>Ausgaben</v>
      </c>
      <c r="E125" t="str">
        <f t="shared" si="11"/>
        <v>Werbe- und Repräsentationsaufwand</v>
      </c>
      <c r="F125" s="117">
        <f t="shared" si="12"/>
        <v>24.88</v>
      </c>
      <c r="G125" t="str">
        <f t="shared" si="13"/>
        <v>0%</v>
      </c>
      <c r="I125" s="53">
        <v>2020</v>
      </c>
      <c r="J125" s="53">
        <v>124</v>
      </c>
      <c r="K125" s="71" t="s">
        <v>105</v>
      </c>
      <c r="L125" t="s">
        <v>693</v>
      </c>
      <c r="M125" s="74" t="s">
        <v>1371</v>
      </c>
      <c r="N125" s="1">
        <v>43980</v>
      </c>
      <c r="O125" t="s">
        <v>1363</v>
      </c>
      <c r="Q125" s="76"/>
      <c r="R125" t="b">
        <v>0</v>
      </c>
      <c r="S125" s="48">
        <v>24.88</v>
      </c>
      <c r="T125" s="72">
        <v>1</v>
      </c>
      <c r="U125">
        <v>0</v>
      </c>
      <c r="V125" s="31">
        <v>0</v>
      </c>
      <c r="W125" s="31">
        <v>0</v>
      </c>
      <c r="X125" s="33">
        <v>24.88</v>
      </c>
      <c r="Y125" s="29">
        <v>24.88</v>
      </c>
      <c r="Z125" s="29">
        <v>24.88</v>
      </c>
      <c r="AA125" s="35">
        <v>44058</v>
      </c>
      <c r="AB125" s="27"/>
      <c r="AC125" s="27">
        <v>20</v>
      </c>
      <c r="AD125" s="58">
        <v>24.88</v>
      </c>
      <c r="AE125" s="31">
        <v>4.976</v>
      </c>
      <c r="AF125" t="b">
        <v>0</v>
      </c>
      <c r="AG125" s="78">
        <v>-24.88</v>
      </c>
    </row>
    <row r="126" spans="1:33" x14ac:dyDescent="0.25">
      <c r="A126" t="str">
        <f t="shared" si="7"/>
        <v>2020-125</v>
      </c>
      <c r="B126" s="1">
        <f t="shared" si="8"/>
        <v>43984</v>
      </c>
      <c r="C126" t="str">
        <f t="shared" si="9"/>
        <v>20/9801/VS00043/Bontus Immobilienverwaltung GmbH, 1010 Wien, Franz Josefs Kai 65</v>
      </c>
      <c r="D126" t="str">
        <f t="shared" si="10"/>
        <v>Ausgaben</v>
      </c>
      <c r="E126" t="str">
        <f t="shared" si="11"/>
        <v>Miet- und Pachtaufwand, Leasing</v>
      </c>
      <c r="F126" s="117">
        <f t="shared" si="12"/>
        <v>554.928</v>
      </c>
      <c r="G126" t="str">
        <f t="shared" si="13"/>
        <v>20%</v>
      </c>
      <c r="I126" s="53">
        <v>2020</v>
      </c>
      <c r="J126" s="53">
        <v>125</v>
      </c>
      <c r="K126" s="71" t="s">
        <v>105</v>
      </c>
      <c r="L126" t="s">
        <v>691</v>
      </c>
      <c r="M126" s="74" t="s">
        <v>1250</v>
      </c>
      <c r="N126" s="1">
        <v>43984</v>
      </c>
      <c r="O126" t="s">
        <v>1113</v>
      </c>
      <c r="Q126" s="76"/>
      <c r="R126" t="b">
        <v>0</v>
      </c>
      <c r="S126" s="48">
        <v>462.44</v>
      </c>
      <c r="T126" s="72">
        <v>1</v>
      </c>
      <c r="U126">
        <v>20</v>
      </c>
      <c r="V126" s="31">
        <v>92.488</v>
      </c>
      <c r="W126" s="31">
        <v>92.488</v>
      </c>
      <c r="X126" s="33">
        <v>462.44</v>
      </c>
      <c r="Y126" s="29">
        <v>554.928</v>
      </c>
      <c r="Z126" s="29">
        <v>554.928</v>
      </c>
      <c r="AA126" s="35">
        <v>44058</v>
      </c>
      <c r="AB126" s="27"/>
      <c r="AC126" s="27"/>
      <c r="AD126" s="58">
        <v>462.44</v>
      </c>
      <c r="AE126" s="31">
        <v>0</v>
      </c>
      <c r="AF126" t="b">
        <v>0</v>
      </c>
      <c r="AG126" s="78">
        <v>-462.44</v>
      </c>
    </row>
    <row r="127" spans="1:33" x14ac:dyDescent="0.25">
      <c r="A127" t="str">
        <f t="shared" si="7"/>
        <v>2020-126</v>
      </c>
      <c r="B127" s="1">
        <f t="shared" si="8"/>
        <v>43986</v>
      </c>
      <c r="C127" t="str">
        <f t="shared" si="9"/>
        <v>807693/easy green energy GmbH &amp; Co KG</v>
      </c>
      <c r="D127" t="str">
        <f t="shared" si="10"/>
        <v>Ausgaben</v>
      </c>
      <c r="E127" t="str">
        <f t="shared" si="11"/>
        <v>sonstige Betriebsausgaben</v>
      </c>
      <c r="F127" s="117">
        <f t="shared" si="12"/>
        <v>3</v>
      </c>
      <c r="G127" t="str">
        <f t="shared" si="13"/>
        <v>20%</v>
      </c>
      <c r="I127" s="53">
        <v>2020</v>
      </c>
      <c r="J127" s="53">
        <v>126</v>
      </c>
      <c r="K127" s="71" t="s">
        <v>105</v>
      </c>
      <c r="L127" t="s">
        <v>705</v>
      </c>
      <c r="M127" s="74" t="s">
        <v>1225</v>
      </c>
      <c r="N127" s="1">
        <v>43986</v>
      </c>
      <c r="O127" t="s">
        <v>1364</v>
      </c>
      <c r="Q127" s="76"/>
      <c r="R127" t="b">
        <v>0</v>
      </c>
      <c r="S127" s="48">
        <v>2.5</v>
      </c>
      <c r="T127" s="72">
        <v>1</v>
      </c>
      <c r="U127">
        <v>20</v>
      </c>
      <c r="V127" s="31">
        <v>0.5</v>
      </c>
      <c r="W127" s="31">
        <v>0.5</v>
      </c>
      <c r="X127" s="33">
        <v>2.5</v>
      </c>
      <c r="Y127" s="29">
        <v>3</v>
      </c>
      <c r="Z127" s="29">
        <v>3</v>
      </c>
      <c r="AA127" s="35">
        <v>44058</v>
      </c>
      <c r="AB127" s="27"/>
      <c r="AC127" s="27"/>
      <c r="AD127" s="58">
        <v>2.5</v>
      </c>
      <c r="AE127" s="31">
        <v>0</v>
      </c>
      <c r="AF127" t="b">
        <v>0</v>
      </c>
      <c r="AG127" s="78">
        <v>-2.5</v>
      </c>
    </row>
    <row r="128" spans="1:33" x14ac:dyDescent="0.25">
      <c r="A128" t="str">
        <f t="shared" si="7"/>
        <v>2020-127</v>
      </c>
      <c r="B128" s="1">
        <f t="shared" si="8"/>
        <v>43990</v>
      </c>
      <c r="C128" t="str">
        <f t="shared" si="9"/>
        <v>6199292916/Hutchison Drei Austria GmbH, Brünner Straße 52, 1210 Wien, Österreich</v>
      </c>
      <c r="D128" t="str">
        <f t="shared" si="10"/>
        <v>Ausgaben</v>
      </c>
      <c r="E128" t="str">
        <f t="shared" si="11"/>
        <v>Telefon/Internet</v>
      </c>
      <c r="F128" s="117">
        <f t="shared" si="12"/>
        <v>18</v>
      </c>
      <c r="G128" t="str">
        <f t="shared" si="13"/>
        <v>20%</v>
      </c>
      <c r="I128" s="53">
        <v>2020</v>
      </c>
      <c r="J128" s="53">
        <v>127</v>
      </c>
      <c r="K128" s="71" t="s">
        <v>105</v>
      </c>
      <c r="L128" t="s">
        <v>703</v>
      </c>
      <c r="M128" s="74" t="s">
        <v>1365</v>
      </c>
      <c r="N128" s="1">
        <v>43990</v>
      </c>
      <c r="O128" t="s">
        <v>34</v>
      </c>
      <c r="Q128" s="76"/>
      <c r="R128" t="b">
        <v>0</v>
      </c>
      <c r="S128" s="48">
        <v>15</v>
      </c>
      <c r="T128" s="72">
        <v>1</v>
      </c>
      <c r="U128">
        <v>20</v>
      </c>
      <c r="V128" s="31">
        <v>3</v>
      </c>
      <c r="W128" s="31">
        <v>3</v>
      </c>
      <c r="X128" s="33">
        <v>15</v>
      </c>
      <c r="Y128" s="29">
        <v>18</v>
      </c>
      <c r="Z128" s="29">
        <v>18</v>
      </c>
      <c r="AA128" s="35">
        <v>44058</v>
      </c>
      <c r="AB128" s="27"/>
      <c r="AC128" s="27"/>
      <c r="AD128" s="58">
        <v>15</v>
      </c>
      <c r="AE128" s="31">
        <v>0</v>
      </c>
      <c r="AF128" t="b">
        <v>0</v>
      </c>
      <c r="AG128" s="78">
        <v>-15</v>
      </c>
    </row>
    <row r="129" spans="1:33" x14ac:dyDescent="0.25">
      <c r="A129" t="str">
        <f t="shared" si="7"/>
        <v>2020-128</v>
      </c>
      <c r="B129" s="1">
        <f t="shared" si="8"/>
        <v>43994</v>
      </c>
      <c r="C129" t="str">
        <f t="shared" si="9"/>
        <v>R0011424001/Hetzner Online GmbH</v>
      </c>
      <c r="D129" t="str">
        <f t="shared" si="10"/>
        <v>Ausgaben</v>
      </c>
      <c r="E129" t="str">
        <f t="shared" si="11"/>
        <v>sonstige Betriebsausgaben</v>
      </c>
      <c r="F129" s="117">
        <f t="shared" si="12"/>
        <v>46.92</v>
      </c>
      <c r="G129" t="str">
        <f t="shared" si="13"/>
        <v>0%</v>
      </c>
      <c r="I129" s="53">
        <v>2020</v>
      </c>
      <c r="J129" s="53">
        <v>128</v>
      </c>
      <c r="K129" s="71" t="s">
        <v>105</v>
      </c>
      <c r="L129" t="s">
        <v>705</v>
      </c>
      <c r="M129" s="74" t="s">
        <v>1366</v>
      </c>
      <c r="N129" s="1">
        <v>43994</v>
      </c>
      <c r="O129" t="s">
        <v>927</v>
      </c>
      <c r="Q129" s="76"/>
      <c r="R129" t="b">
        <v>0</v>
      </c>
      <c r="S129" s="48">
        <v>46.92</v>
      </c>
      <c r="T129" s="72">
        <v>1</v>
      </c>
      <c r="U129">
        <v>0</v>
      </c>
      <c r="V129" s="31">
        <v>0</v>
      </c>
      <c r="W129" s="31">
        <v>0</v>
      </c>
      <c r="X129" s="33">
        <v>46.92</v>
      </c>
      <c r="Y129" s="29">
        <v>46.92</v>
      </c>
      <c r="Z129" s="29">
        <v>46.92</v>
      </c>
      <c r="AA129" s="35">
        <v>44058</v>
      </c>
      <c r="AB129" s="27"/>
      <c r="AC129" s="27">
        <v>20</v>
      </c>
      <c r="AD129" s="58">
        <v>46.92</v>
      </c>
      <c r="AE129" s="31">
        <v>9.3840000000000003</v>
      </c>
      <c r="AF129" t="b">
        <v>0</v>
      </c>
      <c r="AG129" s="78">
        <v>-46.92</v>
      </c>
    </row>
    <row r="130" spans="1:33" x14ac:dyDescent="0.25">
      <c r="A130" t="str">
        <f t="shared" si="7"/>
        <v>2020-129</v>
      </c>
      <c r="B130" s="1">
        <f t="shared" si="8"/>
        <v>43994</v>
      </c>
      <c r="C130" t="str">
        <f t="shared" si="9"/>
        <v>5104824361/Woocommerce.com, 17 Shelley Road, Salt River, Cape Town 7625, South Africa</v>
      </c>
      <c r="D130" t="str">
        <f t="shared" si="10"/>
        <v>Ausgaben</v>
      </c>
      <c r="E130" t="str">
        <f t="shared" si="11"/>
        <v>sonstige Betriebsausgaben</v>
      </c>
      <c r="F130" s="117">
        <f t="shared" si="12"/>
        <v>26</v>
      </c>
      <c r="G130" t="str">
        <f t="shared" si="13"/>
        <v>0%</v>
      </c>
      <c r="I130" s="53">
        <v>2020</v>
      </c>
      <c r="J130" s="53">
        <v>129</v>
      </c>
      <c r="K130" s="71" t="s">
        <v>105</v>
      </c>
      <c r="L130" t="s">
        <v>705</v>
      </c>
      <c r="M130" s="74" t="s">
        <v>1367</v>
      </c>
      <c r="N130" s="1">
        <v>43994</v>
      </c>
      <c r="O130" t="s">
        <v>1368</v>
      </c>
      <c r="Q130" s="76"/>
      <c r="R130" t="b">
        <v>0</v>
      </c>
      <c r="S130" s="48">
        <v>26</v>
      </c>
      <c r="T130" s="72">
        <v>1</v>
      </c>
      <c r="U130">
        <v>0</v>
      </c>
      <c r="V130" s="31">
        <v>0</v>
      </c>
      <c r="W130" s="31">
        <v>0</v>
      </c>
      <c r="X130" s="33">
        <v>26</v>
      </c>
      <c r="Y130" s="29">
        <v>26</v>
      </c>
      <c r="Z130" s="29">
        <v>26</v>
      </c>
      <c r="AA130" s="35">
        <v>44058</v>
      </c>
      <c r="AB130" s="27"/>
      <c r="AC130" s="27">
        <v>20</v>
      </c>
      <c r="AD130" s="58">
        <v>26</v>
      </c>
      <c r="AE130" s="31">
        <v>5.2</v>
      </c>
      <c r="AF130" t="b">
        <v>0</v>
      </c>
      <c r="AG130" s="78">
        <v>-26</v>
      </c>
    </row>
    <row r="131" spans="1:33" x14ac:dyDescent="0.25">
      <c r="A131" t="str">
        <f t="shared" ref="A131:A194" si="14">I131&amp;"-"&amp;J131</f>
        <v>2020-130</v>
      </c>
      <c r="B131" s="1">
        <f t="shared" ref="B131:B194" si="15">N131</f>
        <v>44000</v>
      </c>
      <c r="C131" t="str">
        <f t="shared" ref="C131:C194" si="16">M131&amp;"/"&amp;O131</f>
        <v>12020017/DCF - Digital Coding Factory GmbH, Bauernfeldgasse 4/12 1090 Wien</v>
      </c>
      <c r="D131" t="str">
        <f t="shared" ref="D131:D194" si="17">K131</f>
        <v>Einnahmen</v>
      </c>
      <c r="E131" t="str">
        <f t="shared" ref="E131:E194" si="18">L131</f>
        <v>Waren-/Leistungserlöse</v>
      </c>
      <c r="F131" s="117">
        <f t="shared" ref="F131:F194" si="19">Z131</f>
        <v>9072</v>
      </c>
      <c r="G131" t="str">
        <f t="shared" ref="G131:G194" si="20">U131&amp;"%"</f>
        <v>20%</v>
      </c>
      <c r="I131" s="53">
        <v>2020</v>
      </c>
      <c r="J131" s="53">
        <v>130</v>
      </c>
      <c r="K131" s="71" t="s">
        <v>708</v>
      </c>
      <c r="L131" t="s">
        <v>709</v>
      </c>
      <c r="M131" s="74" t="s">
        <v>1369</v>
      </c>
      <c r="N131" s="1">
        <v>44000</v>
      </c>
      <c r="O131" t="s">
        <v>1266</v>
      </c>
      <c r="Q131" s="76"/>
      <c r="R131" t="b">
        <v>0</v>
      </c>
      <c r="S131" s="48">
        <v>7560</v>
      </c>
      <c r="T131" s="72">
        <v>1</v>
      </c>
      <c r="U131">
        <v>20</v>
      </c>
      <c r="V131" s="31">
        <v>1512</v>
      </c>
      <c r="W131" s="31">
        <v>1512</v>
      </c>
      <c r="X131" s="33">
        <v>7560</v>
      </c>
      <c r="Y131" s="29">
        <v>9072</v>
      </c>
      <c r="Z131" s="29">
        <v>9072</v>
      </c>
      <c r="AA131" s="35">
        <v>44058</v>
      </c>
      <c r="AB131" s="27"/>
      <c r="AC131" s="27"/>
      <c r="AD131" s="58">
        <v>7560</v>
      </c>
      <c r="AE131" s="31">
        <v>0</v>
      </c>
      <c r="AF131" t="b">
        <v>0</v>
      </c>
      <c r="AG131" s="78">
        <v>7560</v>
      </c>
    </row>
    <row r="132" spans="1:33" x14ac:dyDescent="0.25">
      <c r="A132" t="str">
        <f t="shared" si="14"/>
        <v>2020-131</v>
      </c>
      <c r="B132" s="1">
        <f t="shared" si="15"/>
        <v>44001</v>
      </c>
      <c r="C132" t="str">
        <f t="shared" si="16"/>
        <v>2020063/3W Steuerkanzlei, Roter Hof 1a, 1080 Wien</v>
      </c>
      <c r="D132" t="str">
        <f t="shared" si="17"/>
        <v>Ausgaben</v>
      </c>
      <c r="E132" t="str">
        <f t="shared" si="18"/>
        <v>sonstige Betriebsausgaben</v>
      </c>
      <c r="F132" s="117">
        <f t="shared" si="19"/>
        <v>1032</v>
      </c>
      <c r="G132" t="str">
        <f t="shared" si="20"/>
        <v>20%</v>
      </c>
      <c r="I132" s="53">
        <v>2020</v>
      </c>
      <c r="J132" s="53">
        <v>131</v>
      </c>
      <c r="K132" s="71" t="s">
        <v>105</v>
      </c>
      <c r="L132" t="s">
        <v>705</v>
      </c>
      <c r="M132" s="74" t="s">
        <v>1370</v>
      </c>
      <c r="N132" s="1">
        <v>44001</v>
      </c>
      <c r="O132" t="s">
        <v>1027</v>
      </c>
      <c r="Q132" s="76"/>
      <c r="R132" t="b">
        <v>0</v>
      </c>
      <c r="S132" s="48">
        <v>860</v>
      </c>
      <c r="T132" s="72">
        <v>1</v>
      </c>
      <c r="U132">
        <v>20</v>
      </c>
      <c r="V132" s="31">
        <v>172</v>
      </c>
      <c r="W132" s="31">
        <v>172</v>
      </c>
      <c r="X132" s="33">
        <v>860</v>
      </c>
      <c r="Y132" s="29">
        <v>1032</v>
      </c>
      <c r="Z132" s="29">
        <v>1032</v>
      </c>
      <c r="AA132" s="35">
        <v>44058</v>
      </c>
      <c r="AB132" s="27"/>
      <c r="AC132" s="27"/>
      <c r="AD132" s="58">
        <v>860</v>
      </c>
      <c r="AE132" s="31">
        <v>0</v>
      </c>
      <c r="AF132" t="b">
        <v>0</v>
      </c>
      <c r="AG132" s="78">
        <v>-860</v>
      </c>
    </row>
    <row r="133" spans="1:33" x14ac:dyDescent="0.25">
      <c r="A133" t="str">
        <f t="shared" si="14"/>
        <v>2020-132</v>
      </c>
      <c r="B133" s="1">
        <f t="shared" si="15"/>
        <v>44004</v>
      </c>
      <c r="C133" t="str">
        <f t="shared" si="16"/>
        <v>25054595567/Microsoft Ireland Operations Ltd. One Microsoft Place, South County, Business Park, Leopardstown, Dublin 18, D18 P521, Ireland</v>
      </c>
      <c r="D133" t="str">
        <f t="shared" si="17"/>
        <v>Ausgaben</v>
      </c>
      <c r="E133" t="str">
        <f t="shared" si="18"/>
        <v>sonstige Betriebsausgaben</v>
      </c>
      <c r="F133" s="117">
        <f t="shared" si="19"/>
        <v>82.8</v>
      </c>
      <c r="G133" t="str">
        <f t="shared" si="20"/>
        <v>20%</v>
      </c>
      <c r="I133" s="53">
        <v>2020</v>
      </c>
      <c r="J133" s="53">
        <v>132</v>
      </c>
      <c r="K133" s="71" t="s">
        <v>105</v>
      </c>
      <c r="L133" t="s">
        <v>705</v>
      </c>
      <c r="M133" s="74" t="s">
        <v>1394</v>
      </c>
      <c r="N133" s="1">
        <v>44004</v>
      </c>
      <c r="O133" t="s">
        <v>1032</v>
      </c>
      <c r="Q133" s="76"/>
      <c r="R133" t="b">
        <v>0</v>
      </c>
      <c r="S133" s="48">
        <v>69</v>
      </c>
      <c r="T133" s="72">
        <v>1</v>
      </c>
      <c r="U133">
        <v>20</v>
      </c>
      <c r="V133" s="31">
        <v>13.8</v>
      </c>
      <c r="W133" s="31">
        <v>13.8</v>
      </c>
      <c r="X133" s="33">
        <v>69</v>
      </c>
      <c r="Y133" s="29">
        <v>82.8</v>
      </c>
      <c r="Z133" s="29">
        <v>82.8</v>
      </c>
      <c r="AA133" s="35">
        <v>44058</v>
      </c>
      <c r="AB133" s="27"/>
      <c r="AC133" s="27"/>
      <c r="AD133" s="58">
        <v>69</v>
      </c>
      <c r="AE133" s="31">
        <v>0</v>
      </c>
      <c r="AF133" t="b">
        <v>0</v>
      </c>
      <c r="AG133" s="78">
        <v>-69</v>
      </c>
    </row>
    <row r="134" spans="1:33" x14ac:dyDescent="0.25">
      <c r="A134" t="str">
        <f t="shared" si="14"/>
        <v>2020-133</v>
      </c>
      <c r="B134" s="1">
        <f t="shared" si="15"/>
        <v>44004</v>
      </c>
      <c r="C134" t="str">
        <f t="shared" si="16"/>
        <v>901188450620/Magenta: T-Mobile Austria GmbH, A-1120 Wien, PF 47</v>
      </c>
      <c r="D134" t="str">
        <f t="shared" si="17"/>
        <v>Ausgaben</v>
      </c>
      <c r="E134" t="str">
        <f t="shared" si="18"/>
        <v>Telefon/Internet</v>
      </c>
      <c r="F134" s="117">
        <f t="shared" si="19"/>
        <v>42.288000000000004</v>
      </c>
      <c r="G134" t="str">
        <f t="shared" si="20"/>
        <v>20%</v>
      </c>
      <c r="I134" s="53">
        <v>2020</v>
      </c>
      <c r="J134" s="53">
        <v>133</v>
      </c>
      <c r="K134" s="71" t="s">
        <v>105</v>
      </c>
      <c r="L134" t="s">
        <v>703</v>
      </c>
      <c r="M134" s="74" t="s">
        <v>1392</v>
      </c>
      <c r="N134" s="1">
        <v>44004</v>
      </c>
      <c r="O134" t="s">
        <v>1148</v>
      </c>
      <c r="Q134" s="76"/>
      <c r="R134" t="b">
        <v>0</v>
      </c>
      <c r="S134" s="48">
        <v>35.24</v>
      </c>
      <c r="T134" s="72">
        <v>1</v>
      </c>
      <c r="U134">
        <v>20</v>
      </c>
      <c r="V134" s="31">
        <v>7.0480000000000009</v>
      </c>
      <c r="W134" s="31">
        <v>7.0480000000000009</v>
      </c>
      <c r="X134" s="33">
        <v>35.24</v>
      </c>
      <c r="Y134" s="29">
        <v>42.288000000000004</v>
      </c>
      <c r="Z134" s="29">
        <v>42.288000000000004</v>
      </c>
      <c r="AA134" s="35">
        <v>44058</v>
      </c>
      <c r="AB134" s="27"/>
      <c r="AC134" s="27"/>
      <c r="AD134" s="58">
        <v>35.24</v>
      </c>
      <c r="AE134" s="31">
        <v>0</v>
      </c>
      <c r="AF134" t="b">
        <v>0</v>
      </c>
      <c r="AG134" s="78">
        <v>-35.24</v>
      </c>
    </row>
    <row r="135" spans="1:33" x14ac:dyDescent="0.25">
      <c r="A135" t="str">
        <f t="shared" si="14"/>
        <v>2020-134</v>
      </c>
      <c r="B135" s="1">
        <f t="shared" si="15"/>
        <v>44007</v>
      </c>
      <c r="C135" t="str">
        <f t="shared" si="16"/>
        <v>3293000009484102/car2go Österreich GmbH, Hintere Zollamtstraße 9, 1030 Wien</v>
      </c>
      <c r="D135" t="str">
        <f t="shared" si="17"/>
        <v>Ausgaben</v>
      </c>
      <c r="E135" t="str">
        <f t="shared" si="18"/>
        <v>Reise- und Fahrtspesen inkl. Kilometergeld und Diäten</v>
      </c>
      <c r="F135" s="117">
        <f t="shared" si="19"/>
        <v>2.88</v>
      </c>
      <c r="G135" t="str">
        <f t="shared" si="20"/>
        <v>20%</v>
      </c>
      <c r="I135" s="53">
        <v>2020</v>
      </c>
      <c r="J135" s="53">
        <v>134</v>
      </c>
      <c r="K135" s="71" t="s">
        <v>105</v>
      </c>
      <c r="L135" t="s">
        <v>689</v>
      </c>
      <c r="M135" s="74" t="s">
        <v>1393</v>
      </c>
      <c r="N135" s="1">
        <v>44007</v>
      </c>
      <c r="O135" t="s">
        <v>974</v>
      </c>
      <c r="Q135" s="76"/>
      <c r="R135" t="b">
        <v>0</v>
      </c>
      <c r="S135" s="48">
        <v>2.4</v>
      </c>
      <c r="T135" s="72">
        <v>1</v>
      </c>
      <c r="U135">
        <v>20</v>
      </c>
      <c r="V135" s="31">
        <v>0.48</v>
      </c>
      <c r="W135" s="31">
        <v>0.48</v>
      </c>
      <c r="X135" s="33">
        <v>2.4</v>
      </c>
      <c r="Y135" s="29">
        <v>2.88</v>
      </c>
      <c r="Z135" s="29">
        <v>2.88</v>
      </c>
      <c r="AA135" s="35">
        <v>44058</v>
      </c>
      <c r="AB135" s="27"/>
      <c r="AC135" s="27"/>
      <c r="AD135" s="58">
        <v>2.4</v>
      </c>
      <c r="AE135" s="31">
        <v>0</v>
      </c>
      <c r="AF135" t="b">
        <v>0</v>
      </c>
      <c r="AG135" s="78">
        <v>-2.4</v>
      </c>
    </row>
    <row r="136" spans="1:33" x14ac:dyDescent="0.25">
      <c r="A136" t="str">
        <f t="shared" si="14"/>
        <v>2020-135</v>
      </c>
      <c r="B136" s="1">
        <f t="shared" si="15"/>
        <v>44013</v>
      </c>
      <c r="C136" t="str">
        <f t="shared" si="16"/>
        <v>20/9801/VS00486/Bontus Immobilienverwaltung GmbH, 1010 Wien, Franz Josefs Kai 65</v>
      </c>
      <c r="D136" t="str">
        <f t="shared" si="17"/>
        <v>Ausgaben</v>
      </c>
      <c r="E136" t="str">
        <f t="shared" si="18"/>
        <v>Miet- und Pachtaufwand, Leasing</v>
      </c>
      <c r="F136" s="117">
        <f t="shared" si="19"/>
        <v>552.49</v>
      </c>
      <c r="G136" t="str">
        <f t="shared" si="20"/>
        <v>20%</v>
      </c>
      <c r="I136" s="53">
        <v>2020</v>
      </c>
      <c r="J136" s="53">
        <v>135</v>
      </c>
      <c r="K136" s="71" t="s">
        <v>105</v>
      </c>
      <c r="L136" t="s">
        <v>691</v>
      </c>
      <c r="M136" s="74" t="s">
        <v>1372</v>
      </c>
      <c r="N136" s="1">
        <v>44013</v>
      </c>
      <c r="O136" t="s">
        <v>1113</v>
      </c>
      <c r="Q136" s="76"/>
      <c r="R136" t="b">
        <v>0</v>
      </c>
      <c r="S136" s="48">
        <v>460.40833333333336</v>
      </c>
      <c r="T136" s="72">
        <v>1</v>
      </c>
      <c r="U136">
        <v>20</v>
      </c>
      <c r="V136" s="31">
        <v>92.081666666666678</v>
      </c>
      <c r="W136" s="31">
        <v>92.081666666666678</v>
      </c>
      <c r="X136" s="33">
        <v>460.40833333333336</v>
      </c>
      <c r="Y136" s="29">
        <v>552.49</v>
      </c>
      <c r="Z136" s="29">
        <v>552.49</v>
      </c>
      <c r="AA136" s="35">
        <v>44150</v>
      </c>
      <c r="AB136" s="27"/>
      <c r="AC136" s="27"/>
      <c r="AD136" s="58">
        <v>460.40833333333336</v>
      </c>
      <c r="AE136" s="31">
        <v>0</v>
      </c>
      <c r="AF136" t="b">
        <v>0</v>
      </c>
      <c r="AG136" s="78">
        <v>-460.40833333333336</v>
      </c>
    </row>
    <row r="137" spans="1:33" x14ac:dyDescent="0.25">
      <c r="A137" t="str">
        <f t="shared" si="14"/>
        <v>2020-136</v>
      </c>
      <c r="B137" s="1">
        <f t="shared" si="15"/>
        <v>44014</v>
      </c>
      <c r="C137" t="str">
        <f t="shared" si="16"/>
        <v>4293000000016407/car2go Österreich GmbH, Hintere Zollamtstraße 9, 1030 Wien</v>
      </c>
      <c r="D137" t="str">
        <f t="shared" si="17"/>
        <v>Ausgaben</v>
      </c>
      <c r="E137" t="str">
        <f t="shared" si="18"/>
        <v>Reise- und Fahrtspesen inkl. Kilometergeld und Diäten</v>
      </c>
      <c r="F137" s="117">
        <f t="shared" si="19"/>
        <v>18.600000000000001</v>
      </c>
      <c r="G137" t="str">
        <f t="shared" si="20"/>
        <v>20%</v>
      </c>
      <c r="I137" s="53">
        <v>2020</v>
      </c>
      <c r="J137" s="53">
        <v>136</v>
      </c>
      <c r="K137" s="71" t="s">
        <v>105</v>
      </c>
      <c r="L137" t="s">
        <v>689</v>
      </c>
      <c r="M137" s="74" t="s">
        <v>1375</v>
      </c>
      <c r="N137" s="1">
        <v>44014</v>
      </c>
      <c r="O137" t="s">
        <v>974</v>
      </c>
      <c r="Q137" s="76"/>
      <c r="R137" t="b">
        <v>0</v>
      </c>
      <c r="S137" s="48">
        <v>15.5</v>
      </c>
      <c r="T137" s="72">
        <v>1</v>
      </c>
      <c r="U137">
        <v>20</v>
      </c>
      <c r="V137" s="31">
        <v>3.1</v>
      </c>
      <c r="W137" s="31">
        <v>3.1</v>
      </c>
      <c r="X137" s="33">
        <v>15.5</v>
      </c>
      <c r="Y137" s="29">
        <v>18.600000000000001</v>
      </c>
      <c r="Z137" s="29">
        <v>18.600000000000001</v>
      </c>
      <c r="AA137" s="35">
        <v>44150</v>
      </c>
      <c r="AB137" s="27"/>
      <c r="AC137" s="27"/>
      <c r="AD137" s="58">
        <v>15.5</v>
      </c>
      <c r="AE137" s="31">
        <v>0</v>
      </c>
      <c r="AF137" t="b">
        <v>0</v>
      </c>
      <c r="AG137" s="78">
        <v>-15.5</v>
      </c>
    </row>
    <row r="138" spans="1:33" x14ac:dyDescent="0.25">
      <c r="A138" t="str">
        <f t="shared" si="14"/>
        <v>2020-137</v>
      </c>
      <c r="B138" s="1">
        <f t="shared" si="15"/>
        <v>44015</v>
      </c>
      <c r="C138" t="str">
        <f t="shared" si="16"/>
        <v>807693/easy green energy GmbH &amp; Co KG</v>
      </c>
      <c r="D138" t="str">
        <f t="shared" si="17"/>
        <v>Ausgaben</v>
      </c>
      <c r="E138" t="str">
        <f t="shared" si="18"/>
        <v>sonstige Betriebsausgaben</v>
      </c>
      <c r="F138" s="117">
        <f t="shared" si="19"/>
        <v>3</v>
      </c>
      <c r="G138" t="str">
        <f t="shared" si="20"/>
        <v>20%</v>
      </c>
      <c r="I138" s="53">
        <v>2020</v>
      </c>
      <c r="J138" s="53">
        <v>137</v>
      </c>
      <c r="K138" s="71" t="s">
        <v>105</v>
      </c>
      <c r="L138" t="s">
        <v>705</v>
      </c>
      <c r="M138" s="74" t="s">
        <v>1225</v>
      </c>
      <c r="N138" s="1">
        <v>44015</v>
      </c>
      <c r="O138" t="s">
        <v>1364</v>
      </c>
      <c r="Q138" s="76"/>
      <c r="R138" t="b">
        <v>0</v>
      </c>
      <c r="S138" s="48">
        <v>2.5</v>
      </c>
      <c r="T138" s="72">
        <v>1</v>
      </c>
      <c r="U138">
        <v>20</v>
      </c>
      <c r="V138" s="31">
        <v>0.5</v>
      </c>
      <c r="W138" s="31">
        <v>0.5</v>
      </c>
      <c r="X138" s="33">
        <v>2.5</v>
      </c>
      <c r="Y138" s="29">
        <v>3</v>
      </c>
      <c r="Z138" s="29">
        <v>3</v>
      </c>
      <c r="AA138" s="35">
        <v>44150</v>
      </c>
      <c r="AB138" s="27"/>
      <c r="AC138" s="27"/>
      <c r="AD138" s="58">
        <v>2.5</v>
      </c>
      <c r="AE138" s="31">
        <v>0</v>
      </c>
      <c r="AF138" t="b">
        <v>0</v>
      </c>
      <c r="AG138" s="78">
        <v>-2.5</v>
      </c>
    </row>
    <row r="139" spans="1:33" x14ac:dyDescent="0.25">
      <c r="A139" t="str">
        <f t="shared" si="14"/>
        <v>2020-138</v>
      </c>
      <c r="B139" s="1">
        <f t="shared" si="15"/>
        <v>44015</v>
      </c>
      <c r="C139" t="str">
        <f t="shared" si="16"/>
        <v>1002325367488/HoT Telekom und Service GmbH</v>
      </c>
      <c r="D139" t="str">
        <f t="shared" si="17"/>
        <v>Ausgaben</v>
      </c>
      <c r="E139" t="str">
        <f t="shared" si="18"/>
        <v>Telefon/Internet</v>
      </c>
      <c r="F139" s="117">
        <f t="shared" si="19"/>
        <v>5.9039999999999999</v>
      </c>
      <c r="G139" t="str">
        <f t="shared" si="20"/>
        <v>20%</v>
      </c>
      <c r="I139" s="53">
        <v>2020</v>
      </c>
      <c r="J139" s="53">
        <v>138</v>
      </c>
      <c r="K139" s="71" t="s">
        <v>105</v>
      </c>
      <c r="L139" t="s">
        <v>703</v>
      </c>
      <c r="M139" s="74" t="s">
        <v>1376</v>
      </c>
      <c r="N139" s="1">
        <v>44015</v>
      </c>
      <c r="O139" t="s">
        <v>1116</v>
      </c>
      <c r="Q139" s="76"/>
      <c r="R139" t="b">
        <v>0</v>
      </c>
      <c r="S139" s="48">
        <v>4.92</v>
      </c>
      <c r="T139" s="72">
        <v>1</v>
      </c>
      <c r="U139">
        <v>20</v>
      </c>
      <c r="V139" s="31">
        <v>0.9840000000000001</v>
      </c>
      <c r="W139" s="31">
        <v>0.9840000000000001</v>
      </c>
      <c r="X139" s="33">
        <v>4.92</v>
      </c>
      <c r="Y139" s="29">
        <v>5.9039999999999999</v>
      </c>
      <c r="Z139" s="29">
        <v>5.9039999999999999</v>
      </c>
      <c r="AA139" s="35">
        <v>44150</v>
      </c>
      <c r="AB139" s="27"/>
      <c r="AC139" s="27"/>
      <c r="AD139" s="58">
        <v>4.92</v>
      </c>
      <c r="AE139" s="31">
        <v>0</v>
      </c>
      <c r="AF139" t="b">
        <v>0</v>
      </c>
      <c r="AG139" s="78">
        <v>-4.92</v>
      </c>
    </row>
    <row r="140" spans="1:33" x14ac:dyDescent="0.25">
      <c r="A140" t="str">
        <f t="shared" si="14"/>
        <v>2020-139</v>
      </c>
      <c r="B140" s="1">
        <f t="shared" si="15"/>
        <v>44018</v>
      </c>
      <c r="C140" t="str">
        <f t="shared" si="16"/>
        <v>1002378950684/HoT Telekom und Service GmbH</v>
      </c>
      <c r="D140" t="str">
        <f t="shared" si="17"/>
        <v>Ausgaben</v>
      </c>
      <c r="E140" t="str">
        <f t="shared" si="18"/>
        <v>Telefon/Internet</v>
      </c>
      <c r="F140" s="117">
        <f t="shared" si="19"/>
        <v>2.004</v>
      </c>
      <c r="G140" t="str">
        <f t="shared" si="20"/>
        <v>20%</v>
      </c>
      <c r="I140" s="53">
        <v>2020</v>
      </c>
      <c r="J140" s="53">
        <v>139</v>
      </c>
      <c r="K140" s="71" t="s">
        <v>105</v>
      </c>
      <c r="L140" t="s">
        <v>703</v>
      </c>
      <c r="M140" s="74" t="s">
        <v>1377</v>
      </c>
      <c r="N140" s="1">
        <v>44018</v>
      </c>
      <c r="O140" t="s">
        <v>1116</v>
      </c>
      <c r="Q140" s="76"/>
      <c r="R140" t="b">
        <v>0</v>
      </c>
      <c r="S140" s="48">
        <v>1.67</v>
      </c>
      <c r="T140" s="72">
        <v>1</v>
      </c>
      <c r="U140">
        <v>20</v>
      </c>
      <c r="V140" s="31">
        <v>0.33399999999999996</v>
      </c>
      <c r="W140" s="31">
        <v>0.33399999999999996</v>
      </c>
      <c r="X140" s="33">
        <v>1.67</v>
      </c>
      <c r="Y140" s="29">
        <v>2.004</v>
      </c>
      <c r="Z140" s="29">
        <v>2.004</v>
      </c>
      <c r="AA140" s="35">
        <v>44150</v>
      </c>
      <c r="AB140" s="27"/>
      <c r="AC140" s="27"/>
      <c r="AD140" s="58">
        <v>1.67</v>
      </c>
      <c r="AE140" s="31">
        <v>0</v>
      </c>
      <c r="AF140" t="b">
        <v>0</v>
      </c>
      <c r="AG140" s="78">
        <v>-1.67</v>
      </c>
    </row>
    <row r="141" spans="1:33" x14ac:dyDescent="0.25">
      <c r="A141" t="str">
        <f t="shared" si="14"/>
        <v>2020-140</v>
      </c>
      <c r="B141" s="1">
        <f t="shared" si="15"/>
        <v>44018</v>
      </c>
      <c r="C141" t="str">
        <f t="shared" si="16"/>
        <v>HKA/20-01-39452/Techem Messtechnik GmbH; Abnehmernummer 501686-0003-11-(</v>
      </c>
      <c r="D141" t="str">
        <f t="shared" si="17"/>
        <v>Ausgaben</v>
      </c>
      <c r="E141" t="str">
        <f t="shared" si="18"/>
        <v>sonstige Betriebsausgaben</v>
      </c>
      <c r="F141" s="117">
        <f t="shared" si="19"/>
        <v>42</v>
      </c>
      <c r="G141" t="str">
        <f t="shared" si="20"/>
        <v>20%</v>
      </c>
      <c r="I141" s="53">
        <v>2020</v>
      </c>
      <c r="J141" s="53">
        <v>140</v>
      </c>
      <c r="K141" s="71" t="s">
        <v>105</v>
      </c>
      <c r="L141" t="s">
        <v>705</v>
      </c>
      <c r="M141" s="74" t="s">
        <v>1397</v>
      </c>
      <c r="N141" s="1">
        <v>44018</v>
      </c>
      <c r="O141" t="s">
        <v>1128</v>
      </c>
      <c r="Q141" s="76"/>
      <c r="R141" t="b">
        <v>0</v>
      </c>
      <c r="S141" s="48">
        <v>35</v>
      </c>
      <c r="T141" s="72">
        <v>1</v>
      </c>
      <c r="U141">
        <v>20</v>
      </c>
      <c r="V141" s="31">
        <v>7</v>
      </c>
      <c r="W141" s="31">
        <v>7</v>
      </c>
      <c r="X141" s="33">
        <v>35</v>
      </c>
      <c r="Y141" s="29">
        <v>42</v>
      </c>
      <c r="Z141" s="29">
        <v>42</v>
      </c>
      <c r="AA141" s="35">
        <v>44150</v>
      </c>
      <c r="AB141" s="27"/>
      <c r="AC141" s="27"/>
      <c r="AD141" s="58">
        <v>35</v>
      </c>
      <c r="AE141" s="31">
        <v>0</v>
      </c>
      <c r="AF141" t="b">
        <v>0</v>
      </c>
      <c r="AG141" s="78">
        <v>-35</v>
      </c>
    </row>
    <row r="142" spans="1:33" x14ac:dyDescent="0.25">
      <c r="A142" t="str">
        <f t="shared" si="14"/>
        <v>2020-141</v>
      </c>
      <c r="B142" s="1">
        <f t="shared" si="15"/>
        <v>44018</v>
      </c>
      <c r="C142" t="str">
        <f t="shared" si="16"/>
        <v>6202955483/Hutchison Drei Austria GmbH, Brünner Straße 52, 1210 Wien, Österreich</v>
      </c>
      <c r="D142" t="str">
        <f t="shared" si="17"/>
        <v>Ausgaben</v>
      </c>
      <c r="E142" t="str">
        <f t="shared" si="18"/>
        <v>Telefon/Internet</v>
      </c>
      <c r="F142" s="117">
        <f t="shared" si="19"/>
        <v>18</v>
      </c>
      <c r="G142" t="str">
        <f t="shared" si="20"/>
        <v>20%</v>
      </c>
      <c r="I142" s="53">
        <v>2020</v>
      </c>
      <c r="J142" s="53">
        <v>141</v>
      </c>
      <c r="K142" s="71" t="s">
        <v>105</v>
      </c>
      <c r="L142" t="s">
        <v>703</v>
      </c>
      <c r="M142" s="74" t="s">
        <v>1378</v>
      </c>
      <c r="N142" s="1">
        <v>44018</v>
      </c>
      <c r="O142" t="s">
        <v>34</v>
      </c>
      <c r="Q142" s="76"/>
      <c r="R142" t="b">
        <v>0</v>
      </c>
      <c r="S142" s="48">
        <v>15</v>
      </c>
      <c r="T142" s="72">
        <v>1</v>
      </c>
      <c r="U142">
        <v>20</v>
      </c>
      <c r="V142" s="31">
        <v>3</v>
      </c>
      <c r="W142" s="31">
        <v>3</v>
      </c>
      <c r="X142" s="33">
        <v>15</v>
      </c>
      <c r="Y142" s="29">
        <v>18</v>
      </c>
      <c r="Z142" s="29">
        <v>18</v>
      </c>
      <c r="AA142" s="35">
        <v>44150</v>
      </c>
      <c r="AB142" s="27"/>
      <c r="AC142" s="27"/>
      <c r="AD142" s="58">
        <v>15</v>
      </c>
      <c r="AE142" s="31">
        <v>0</v>
      </c>
      <c r="AF142" t="b">
        <v>0</v>
      </c>
      <c r="AG142" s="78">
        <v>-15</v>
      </c>
    </row>
    <row r="143" spans="1:33" x14ac:dyDescent="0.25">
      <c r="A143" t="str">
        <f t="shared" si="14"/>
        <v>2020-142</v>
      </c>
      <c r="B143" s="1">
        <f t="shared" si="15"/>
        <v>44020</v>
      </c>
      <c r="C143" t="str">
        <f t="shared" si="16"/>
        <v>12020023/Wedding Avenue e.U., Mayerweckstrasse 2-8/99/1, 1210 Wien</v>
      </c>
      <c r="D143" t="str">
        <f t="shared" si="17"/>
        <v>Einnahmen</v>
      </c>
      <c r="E143" t="str">
        <f t="shared" si="18"/>
        <v>Waren-/Leistungserlöse</v>
      </c>
      <c r="F143" s="117">
        <f t="shared" si="19"/>
        <v>1081.2</v>
      </c>
      <c r="G143" t="str">
        <f t="shared" si="20"/>
        <v>20%</v>
      </c>
      <c r="I143" s="53">
        <v>2020</v>
      </c>
      <c r="J143" s="53">
        <v>142</v>
      </c>
      <c r="K143" s="71" t="s">
        <v>708</v>
      </c>
      <c r="L143" t="s">
        <v>709</v>
      </c>
      <c r="M143" s="74" t="s">
        <v>1379</v>
      </c>
      <c r="N143" s="1">
        <v>44020</v>
      </c>
      <c r="O143" s="43" t="s">
        <v>1012</v>
      </c>
      <c r="Q143" s="76"/>
      <c r="R143" t="b">
        <v>0</v>
      </c>
      <c r="S143" s="48">
        <v>901</v>
      </c>
      <c r="T143" s="72">
        <v>1</v>
      </c>
      <c r="U143">
        <v>20</v>
      </c>
      <c r="V143" s="31">
        <v>180.2</v>
      </c>
      <c r="W143" s="31">
        <v>180.2</v>
      </c>
      <c r="X143" s="33">
        <v>901</v>
      </c>
      <c r="Y143" s="29">
        <v>1081.2</v>
      </c>
      <c r="Z143" s="29">
        <v>1081.2</v>
      </c>
      <c r="AA143" s="35">
        <v>44150</v>
      </c>
      <c r="AB143" s="27"/>
      <c r="AC143" s="27"/>
      <c r="AD143" s="58">
        <v>901</v>
      </c>
      <c r="AE143" s="31">
        <v>0</v>
      </c>
      <c r="AF143" t="b">
        <v>0</v>
      </c>
      <c r="AG143" s="78">
        <v>901</v>
      </c>
    </row>
    <row r="144" spans="1:33" x14ac:dyDescent="0.25">
      <c r="A144" t="str">
        <f t="shared" si="14"/>
        <v>2020-143</v>
      </c>
      <c r="B144" s="1">
        <f t="shared" si="15"/>
        <v>44033</v>
      </c>
      <c r="C144" t="str">
        <f t="shared" si="16"/>
        <v>90118800720/Magenta: T-Mobile Austria GmbH, A-1120 Wien, PF 47</v>
      </c>
      <c r="D144" t="str">
        <f t="shared" si="17"/>
        <v>Ausgaben</v>
      </c>
      <c r="E144" t="str">
        <f t="shared" si="18"/>
        <v>Telefon/Internet</v>
      </c>
      <c r="F144" s="117">
        <f t="shared" si="19"/>
        <v>42.288000000000004</v>
      </c>
      <c r="G144" t="str">
        <f t="shared" si="20"/>
        <v>20%</v>
      </c>
      <c r="I144" s="53">
        <v>2020</v>
      </c>
      <c r="J144" s="53">
        <v>143</v>
      </c>
      <c r="K144" s="71" t="s">
        <v>105</v>
      </c>
      <c r="L144" t="s">
        <v>703</v>
      </c>
      <c r="M144" s="74" t="s">
        <v>1396</v>
      </c>
      <c r="N144" s="1">
        <v>44033</v>
      </c>
      <c r="O144" t="s">
        <v>1148</v>
      </c>
      <c r="Q144" s="76"/>
      <c r="R144" t="b">
        <v>0</v>
      </c>
      <c r="S144" s="48">
        <v>35.24</v>
      </c>
      <c r="T144" s="72">
        <v>1</v>
      </c>
      <c r="U144">
        <v>20</v>
      </c>
      <c r="V144" s="31">
        <v>7.0480000000000009</v>
      </c>
      <c r="W144" s="31">
        <v>7.0480000000000009</v>
      </c>
      <c r="X144" s="33">
        <v>35.24</v>
      </c>
      <c r="Y144" s="29">
        <v>42.288000000000004</v>
      </c>
      <c r="Z144" s="29">
        <v>42.288000000000004</v>
      </c>
      <c r="AA144" s="35">
        <v>44150</v>
      </c>
      <c r="AB144" s="27"/>
      <c r="AC144" s="27"/>
      <c r="AD144" s="58">
        <v>35.24</v>
      </c>
      <c r="AE144" s="31">
        <v>0</v>
      </c>
      <c r="AF144" t="b">
        <v>0</v>
      </c>
      <c r="AG144" s="78">
        <v>-35.24</v>
      </c>
    </row>
    <row r="145" spans="1:33" x14ac:dyDescent="0.25">
      <c r="A145" t="str">
        <f t="shared" si="14"/>
        <v>2020-144</v>
      </c>
      <c r="B145" s="1">
        <f t="shared" si="15"/>
        <v>44020</v>
      </c>
      <c r="C145" t="str">
        <f t="shared" si="16"/>
        <v>R0011550257/Hetzner Online GmbH</v>
      </c>
      <c r="D145" t="str">
        <f t="shared" si="17"/>
        <v>Ausgaben</v>
      </c>
      <c r="E145" t="str">
        <f t="shared" si="18"/>
        <v>sonstige Betriebsausgaben</v>
      </c>
      <c r="F145" s="117">
        <f t="shared" si="19"/>
        <v>2.4900000000000002</v>
      </c>
      <c r="G145" t="str">
        <f t="shared" si="20"/>
        <v>0%</v>
      </c>
      <c r="I145" s="53">
        <v>2020</v>
      </c>
      <c r="J145" s="53">
        <v>144</v>
      </c>
      <c r="K145" s="71" t="s">
        <v>105</v>
      </c>
      <c r="L145" t="s">
        <v>705</v>
      </c>
      <c r="M145" s="74" t="s">
        <v>1380</v>
      </c>
      <c r="N145" s="1">
        <v>44020</v>
      </c>
      <c r="O145" t="s">
        <v>927</v>
      </c>
      <c r="Q145" s="76"/>
      <c r="R145" t="b">
        <v>0</v>
      </c>
      <c r="S145" s="48">
        <v>2.4900000000000002</v>
      </c>
      <c r="T145" s="72">
        <v>1</v>
      </c>
      <c r="U145">
        <v>0</v>
      </c>
      <c r="V145" s="31">
        <v>0</v>
      </c>
      <c r="W145" s="31">
        <v>0</v>
      </c>
      <c r="X145" s="33">
        <v>2.4900000000000002</v>
      </c>
      <c r="Y145" s="29">
        <v>2.4900000000000002</v>
      </c>
      <c r="Z145" s="29">
        <v>2.4900000000000002</v>
      </c>
      <c r="AA145" s="35">
        <v>44150</v>
      </c>
      <c r="AB145" s="27"/>
      <c r="AC145" s="27">
        <v>20</v>
      </c>
      <c r="AD145" s="58">
        <v>2.4900000000000002</v>
      </c>
      <c r="AE145" s="31">
        <v>0.49800000000000005</v>
      </c>
      <c r="AF145" t="b">
        <v>0</v>
      </c>
      <c r="AG145" s="78">
        <v>-2.4900000000000002</v>
      </c>
    </row>
    <row r="146" spans="1:33" x14ac:dyDescent="0.25">
      <c r="A146" t="str">
        <f t="shared" si="14"/>
        <v>2020-145</v>
      </c>
      <c r="B146" s="1">
        <f t="shared" si="15"/>
        <v>44022</v>
      </c>
      <c r="C146" t="str">
        <f t="shared" si="16"/>
        <v>5112142283/Wiener Netze GmbH, Erdbergstraße 236, 1110 Wien, Postfach 422</v>
      </c>
      <c r="D146" t="str">
        <f t="shared" si="17"/>
        <v>Ausgaben</v>
      </c>
      <c r="E146" t="str">
        <f t="shared" si="18"/>
        <v>sonstige Betriebsausgaben</v>
      </c>
      <c r="F146" s="117">
        <f t="shared" si="19"/>
        <v>34.799999999999997</v>
      </c>
      <c r="G146" t="str">
        <f t="shared" si="20"/>
        <v>20%</v>
      </c>
      <c r="I146" s="53">
        <v>2020</v>
      </c>
      <c r="J146" s="53">
        <v>145</v>
      </c>
      <c r="K146" s="71" t="s">
        <v>105</v>
      </c>
      <c r="L146" t="s">
        <v>705</v>
      </c>
      <c r="M146" s="74" t="s">
        <v>1222</v>
      </c>
      <c r="N146" s="1">
        <v>44022</v>
      </c>
      <c r="O146" t="s">
        <v>1223</v>
      </c>
      <c r="Q146" s="76"/>
      <c r="R146" t="b">
        <v>0</v>
      </c>
      <c r="S146" s="109">
        <v>29</v>
      </c>
      <c r="T146" s="72">
        <v>1</v>
      </c>
      <c r="U146">
        <v>20</v>
      </c>
      <c r="V146" s="31">
        <v>5.8</v>
      </c>
      <c r="W146" s="31">
        <v>5.8</v>
      </c>
      <c r="X146" s="33">
        <v>29</v>
      </c>
      <c r="Y146" s="29">
        <v>34.799999999999997</v>
      </c>
      <c r="Z146" s="29">
        <v>34.799999999999997</v>
      </c>
      <c r="AA146" s="35">
        <v>44150</v>
      </c>
      <c r="AB146" s="27"/>
      <c r="AC146" s="27"/>
      <c r="AD146" s="58">
        <v>29</v>
      </c>
      <c r="AE146" s="31">
        <v>0</v>
      </c>
      <c r="AF146" t="b">
        <v>0</v>
      </c>
      <c r="AG146" s="78">
        <v>-29</v>
      </c>
    </row>
    <row r="147" spans="1:33" x14ac:dyDescent="0.25">
      <c r="A147" t="str">
        <f t="shared" si="14"/>
        <v>2020-146</v>
      </c>
      <c r="B147" s="1">
        <f t="shared" si="15"/>
        <v>44025</v>
      </c>
      <c r="C147" t="str">
        <f t="shared" si="16"/>
        <v>R0011586147/Hetzner Online GmbH</v>
      </c>
      <c r="D147" t="str">
        <f t="shared" si="17"/>
        <v>Ausgaben</v>
      </c>
      <c r="E147" t="str">
        <f t="shared" si="18"/>
        <v>sonstige Betriebsausgaben</v>
      </c>
      <c r="F147" s="117">
        <f t="shared" si="19"/>
        <v>46.92</v>
      </c>
      <c r="G147" t="str">
        <f t="shared" si="20"/>
        <v>0%</v>
      </c>
      <c r="I147" s="53">
        <v>2020</v>
      </c>
      <c r="J147" s="53">
        <v>146</v>
      </c>
      <c r="K147" s="71" t="s">
        <v>105</v>
      </c>
      <c r="L147" t="s">
        <v>705</v>
      </c>
      <c r="M147" s="74" t="s">
        <v>1381</v>
      </c>
      <c r="N147" s="1">
        <v>44025</v>
      </c>
      <c r="O147" t="s">
        <v>927</v>
      </c>
      <c r="Q147" s="76"/>
      <c r="R147" t="b">
        <v>0</v>
      </c>
      <c r="S147" s="48">
        <v>46.92</v>
      </c>
      <c r="T147" s="72">
        <v>1</v>
      </c>
      <c r="U147">
        <v>0</v>
      </c>
      <c r="V147" s="31">
        <v>0</v>
      </c>
      <c r="W147" s="31">
        <v>0</v>
      </c>
      <c r="X147" s="33">
        <v>46.92</v>
      </c>
      <c r="Y147" s="29">
        <v>46.92</v>
      </c>
      <c r="Z147" s="29">
        <v>46.92</v>
      </c>
      <c r="AA147" s="35">
        <v>44150</v>
      </c>
      <c r="AB147" s="27"/>
      <c r="AC147" s="27">
        <v>20</v>
      </c>
      <c r="AD147" s="58">
        <v>46.92</v>
      </c>
      <c r="AE147" s="31">
        <v>9.3840000000000003</v>
      </c>
      <c r="AF147" t="b">
        <v>0</v>
      </c>
      <c r="AG147" s="78">
        <v>-46.92</v>
      </c>
    </row>
    <row r="148" spans="1:33" x14ac:dyDescent="0.25">
      <c r="A148" t="str">
        <f t="shared" si="14"/>
        <v>2020-147</v>
      </c>
      <c r="B148" s="1">
        <f t="shared" si="15"/>
        <v>44025</v>
      </c>
      <c r="C148" t="str">
        <f t="shared" si="16"/>
        <v>12020022/Schick Küchendesign e.U. Alexander Schick, Linzerstraße 247, 1140 Wien</v>
      </c>
      <c r="D148" t="str">
        <f t="shared" si="17"/>
        <v>Einnahmen</v>
      </c>
      <c r="E148" t="str">
        <f t="shared" si="18"/>
        <v>Waren-/Leistungserlöse</v>
      </c>
      <c r="F148" s="117">
        <f t="shared" si="19"/>
        <v>300.3</v>
      </c>
      <c r="G148" t="str">
        <f t="shared" si="20"/>
        <v>20%</v>
      </c>
      <c r="I148" s="53">
        <v>2020</v>
      </c>
      <c r="J148" s="53">
        <v>147</v>
      </c>
      <c r="K148" s="71" t="s">
        <v>708</v>
      </c>
      <c r="L148" t="s">
        <v>709</v>
      </c>
      <c r="M148" s="74" t="s">
        <v>1382</v>
      </c>
      <c r="N148" s="44">
        <v>44025</v>
      </c>
      <c r="O148" t="s">
        <v>983</v>
      </c>
      <c r="Q148" s="76"/>
      <c r="R148" t="b">
        <v>0</v>
      </c>
      <c r="S148" s="48">
        <v>250.25</v>
      </c>
      <c r="T148" s="72">
        <v>1</v>
      </c>
      <c r="U148">
        <v>20</v>
      </c>
      <c r="V148" s="31">
        <v>50.05</v>
      </c>
      <c r="W148" s="31">
        <v>50.05</v>
      </c>
      <c r="X148" s="33">
        <v>250.25</v>
      </c>
      <c r="Y148" s="29">
        <v>300.3</v>
      </c>
      <c r="Z148" s="29">
        <v>300.3</v>
      </c>
      <c r="AA148" s="35">
        <v>44150</v>
      </c>
      <c r="AB148" s="27"/>
      <c r="AC148" s="27"/>
      <c r="AD148" s="58">
        <v>250.25</v>
      </c>
      <c r="AE148" s="31">
        <v>0</v>
      </c>
      <c r="AF148" t="b">
        <v>0</v>
      </c>
      <c r="AG148" s="78">
        <v>250.25</v>
      </c>
    </row>
    <row r="149" spans="1:33" x14ac:dyDescent="0.25">
      <c r="A149" t="str">
        <f t="shared" si="14"/>
        <v>2020-148</v>
      </c>
      <c r="B149" s="1">
        <f t="shared" si="15"/>
        <v>44027</v>
      </c>
      <c r="C149" t="str">
        <f t="shared" si="16"/>
        <v>12020027/Musikschule Bad Vöslau, Hauptstraße 14, 2540 Bad Vöslau</v>
      </c>
      <c r="D149" t="str">
        <f t="shared" si="17"/>
        <v>Einnahmen</v>
      </c>
      <c r="E149" t="str">
        <f t="shared" si="18"/>
        <v>sonstige Betriebsausgaben</v>
      </c>
      <c r="F149" s="117">
        <f t="shared" si="19"/>
        <v>420</v>
      </c>
      <c r="G149" t="str">
        <f t="shared" si="20"/>
        <v>20%</v>
      </c>
      <c r="I149" s="53">
        <v>2020</v>
      </c>
      <c r="J149" s="53">
        <v>148</v>
      </c>
      <c r="K149" s="71" t="s">
        <v>708</v>
      </c>
      <c r="L149" t="s">
        <v>705</v>
      </c>
      <c r="M149" s="74" t="s">
        <v>1383</v>
      </c>
      <c r="N149" s="1">
        <v>44027</v>
      </c>
      <c r="O149" t="s">
        <v>1384</v>
      </c>
      <c r="Q149" s="76"/>
      <c r="R149" t="b">
        <v>0</v>
      </c>
      <c r="S149" s="48">
        <v>350</v>
      </c>
      <c r="T149" s="72">
        <v>1</v>
      </c>
      <c r="U149">
        <v>20</v>
      </c>
      <c r="V149" s="31">
        <v>70</v>
      </c>
      <c r="W149" s="31">
        <v>70</v>
      </c>
      <c r="X149" s="33">
        <v>350</v>
      </c>
      <c r="Y149" s="29">
        <v>420</v>
      </c>
      <c r="Z149" s="29">
        <v>420</v>
      </c>
      <c r="AA149" s="35">
        <v>44150</v>
      </c>
      <c r="AB149" s="27"/>
      <c r="AC149" s="27"/>
      <c r="AD149" s="58">
        <v>350</v>
      </c>
      <c r="AE149" s="31">
        <v>0</v>
      </c>
      <c r="AF149" t="b">
        <v>0</v>
      </c>
      <c r="AG149" s="78">
        <v>350</v>
      </c>
    </row>
    <row r="150" spans="1:33" x14ac:dyDescent="0.25">
      <c r="A150" t="str">
        <f t="shared" si="14"/>
        <v>2020-149</v>
      </c>
      <c r="B150" s="1">
        <f t="shared" si="15"/>
        <v>44025</v>
      </c>
      <c r="C150" t="str">
        <f t="shared" si="16"/>
        <v>/Wirtschaftsagentur Wien Home-Office 2020 Endauszahlung 357,8 (sonstiger Ertrag, nicht steuerbar)</v>
      </c>
      <c r="D150" t="str">
        <f t="shared" si="17"/>
        <v>Einnahmen</v>
      </c>
      <c r="E150" t="str">
        <f t="shared" si="18"/>
        <v>Übrige Erträge</v>
      </c>
      <c r="F150" s="117">
        <v>357.8</v>
      </c>
      <c r="G150" s="72">
        <v>0</v>
      </c>
      <c r="I150" s="53">
        <v>2020</v>
      </c>
      <c r="J150" s="53">
        <v>149</v>
      </c>
      <c r="K150" s="71" t="s">
        <v>708</v>
      </c>
      <c r="L150" s="100" t="s">
        <v>710</v>
      </c>
      <c r="M150" s="101"/>
      <c r="N150" s="102">
        <v>44025</v>
      </c>
      <c r="O150" s="100" t="s">
        <v>1385</v>
      </c>
      <c r="P150" s="100"/>
      <c r="Q150" s="103"/>
      <c r="R150" s="100" t="b">
        <v>0</v>
      </c>
      <c r="S150" s="107"/>
      <c r="T150" s="104"/>
      <c r="U150" s="100"/>
      <c r="V150" s="105"/>
      <c r="W150" s="105"/>
      <c r="X150" s="105"/>
      <c r="Y150" s="105"/>
      <c r="Z150" s="105"/>
      <c r="AA150" s="106"/>
      <c r="AB150" s="100"/>
      <c r="AC150" s="100"/>
      <c r="AD150" s="107"/>
      <c r="AE150" s="105"/>
      <c r="AF150" s="100"/>
      <c r="AG150" s="108"/>
    </row>
    <row r="151" spans="1:33" x14ac:dyDescent="0.25">
      <c r="A151" t="str">
        <f t="shared" si="14"/>
        <v>2020-150</v>
      </c>
      <c r="B151" s="1">
        <f t="shared" si="15"/>
        <v>44036</v>
      </c>
      <c r="C151" t="str">
        <f t="shared" si="16"/>
        <v>12020021/DCF - Digital Coding Factory GmbH, Bauernfeldgasse 4/12 1090 Wien</v>
      </c>
      <c r="D151" t="str">
        <f t="shared" si="17"/>
        <v>Einnahmen</v>
      </c>
      <c r="E151" t="str">
        <f t="shared" si="18"/>
        <v>Waren-/Leistungserlöse</v>
      </c>
      <c r="F151" s="117">
        <f t="shared" si="19"/>
        <v>2700</v>
      </c>
      <c r="G151" t="str">
        <f t="shared" si="20"/>
        <v>20%</v>
      </c>
      <c r="I151" s="53">
        <v>2020</v>
      </c>
      <c r="J151" s="53">
        <v>150</v>
      </c>
      <c r="K151" s="71" t="s">
        <v>708</v>
      </c>
      <c r="L151" t="s">
        <v>709</v>
      </c>
      <c r="M151" s="74" t="s">
        <v>1386</v>
      </c>
      <c r="N151" s="1">
        <v>44036</v>
      </c>
      <c r="O151" t="s">
        <v>1266</v>
      </c>
      <c r="Q151" s="76"/>
      <c r="R151" t="b">
        <v>0</v>
      </c>
      <c r="S151" s="48">
        <v>2250</v>
      </c>
      <c r="T151" s="72">
        <v>1</v>
      </c>
      <c r="U151">
        <v>20</v>
      </c>
      <c r="V151" s="31">
        <v>450</v>
      </c>
      <c r="W151" s="31">
        <v>450</v>
      </c>
      <c r="X151" s="33">
        <v>2250</v>
      </c>
      <c r="Y151" s="29">
        <v>2700</v>
      </c>
      <c r="Z151" s="29">
        <v>2700</v>
      </c>
      <c r="AA151" s="35">
        <v>44150</v>
      </c>
      <c r="AB151" s="27"/>
      <c r="AC151" s="27"/>
      <c r="AD151" s="58">
        <v>2250</v>
      </c>
      <c r="AE151" s="31">
        <v>0</v>
      </c>
      <c r="AF151" t="b">
        <v>0</v>
      </c>
      <c r="AG151" s="78">
        <v>2250</v>
      </c>
    </row>
    <row r="152" spans="1:33" x14ac:dyDescent="0.25">
      <c r="A152" t="str">
        <f t="shared" si="14"/>
        <v>2020-151</v>
      </c>
      <c r="B152" s="1">
        <f t="shared" si="15"/>
        <v>44036</v>
      </c>
      <c r="C152" t="str">
        <f t="shared" si="16"/>
        <v>12020020/DCF - Digital Coding Factory GmbH, Bauernfeldgasse 4/12 1090 Wien</v>
      </c>
      <c r="D152" t="str">
        <f t="shared" si="17"/>
        <v>Einnahmen</v>
      </c>
      <c r="E152" t="str">
        <f t="shared" si="18"/>
        <v>Waren-/Leistungserlöse</v>
      </c>
      <c r="F152" s="117">
        <f t="shared" si="19"/>
        <v>3348</v>
      </c>
      <c r="G152" t="str">
        <f t="shared" si="20"/>
        <v>20%</v>
      </c>
      <c r="I152" s="53">
        <v>2020</v>
      </c>
      <c r="J152" s="53">
        <v>151</v>
      </c>
      <c r="K152" s="71" t="s">
        <v>708</v>
      </c>
      <c r="L152" t="s">
        <v>709</v>
      </c>
      <c r="M152" s="74" t="s">
        <v>1387</v>
      </c>
      <c r="N152" s="1">
        <v>44036</v>
      </c>
      <c r="O152" t="s">
        <v>1266</v>
      </c>
      <c r="Q152" s="76"/>
      <c r="R152" t="b">
        <v>0</v>
      </c>
      <c r="S152" s="48">
        <v>2790</v>
      </c>
      <c r="T152" s="72">
        <v>1</v>
      </c>
      <c r="U152">
        <v>20</v>
      </c>
      <c r="V152" s="31">
        <v>558</v>
      </c>
      <c r="W152" s="31">
        <v>558</v>
      </c>
      <c r="X152" s="33">
        <v>2790</v>
      </c>
      <c r="Y152" s="29">
        <v>3348</v>
      </c>
      <c r="Z152" s="29">
        <v>3348</v>
      </c>
      <c r="AA152" s="35">
        <v>44150</v>
      </c>
      <c r="AB152" s="27"/>
      <c r="AC152" s="27"/>
      <c r="AD152" s="58">
        <v>2790</v>
      </c>
      <c r="AE152" s="31">
        <v>0</v>
      </c>
      <c r="AF152" t="b">
        <v>0</v>
      </c>
      <c r="AG152" s="78">
        <v>2790</v>
      </c>
    </row>
    <row r="153" spans="1:33" x14ac:dyDescent="0.25">
      <c r="A153" t="str">
        <f t="shared" si="14"/>
        <v>2020-152</v>
      </c>
      <c r="B153" s="1">
        <f t="shared" si="15"/>
        <v>44039</v>
      </c>
      <c r="C153" t="str">
        <f t="shared" si="16"/>
        <v>12020019/Paperholic all bout paper e.U.</v>
      </c>
      <c r="D153" t="str">
        <f t="shared" si="17"/>
        <v>Einnahmen</v>
      </c>
      <c r="E153" t="str">
        <f t="shared" si="18"/>
        <v>Waren-/Leistungserlöse</v>
      </c>
      <c r="F153" s="117">
        <f t="shared" si="19"/>
        <v>157.5</v>
      </c>
      <c r="G153" t="str">
        <f t="shared" si="20"/>
        <v>20%</v>
      </c>
      <c r="I153" s="53">
        <v>2020</v>
      </c>
      <c r="J153" s="53">
        <v>152</v>
      </c>
      <c r="K153" s="71" t="s">
        <v>708</v>
      </c>
      <c r="L153" t="s">
        <v>709</v>
      </c>
      <c r="M153" s="74" t="s">
        <v>1389</v>
      </c>
      <c r="N153" s="1">
        <v>44039</v>
      </c>
      <c r="O153" t="s">
        <v>1388</v>
      </c>
      <c r="Q153" s="76"/>
      <c r="R153" t="b">
        <v>0</v>
      </c>
      <c r="S153" s="48">
        <v>131.25</v>
      </c>
      <c r="T153" s="72">
        <v>1</v>
      </c>
      <c r="U153">
        <v>20</v>
      </c>
      <c r="V153" s="31">
        <v>26.25</v>
      </c>
      <c r="W153" s="31">
        <v>26.25</v>
      </c>
      <c r="X153" s="33">
        <v>131.25</v>
      </c>
      <c r="Y153" s="29">
        <v>157.5</v>
      </c>
      <c r="Z153" s="29">
        <v>157.5</v>
      </c>
      <c r="AA153" s="35">
        <v>44150</v>
      </c>
      <c r="AB153" s="27"/>
      <c r="AC153" s="27"/>
      <c r="AD153" s="58">
        <v>131.25</v>
      </c>
      <c r="AE153" s="31">
        <v>0</v>
      </c>
      <c r="AF153" t="b">
        <v>0</v>
      </c>
      <c r="AG153" s="78">
        <v>131.25</v>
      </c>
    </row>
    <row r="154" spans="1:33" x14ac:dyDescent="0.25">
      <c r="A154" t="str">
        <f t="shared" si="14"/>
        <v>2020-153</v>
      </c>
      <c r="B154" s="1">
        <f t="shared" si="15"/>
        <v>44046</v>
      </c>
      <c r="C154" t="str">
        <f t="shared" si="16"/>
        <v>1002325367488/HoT Telekom und Service GmbH</v>
      </c>
      <c r="D154" t="str">
        <f t="shared" si="17"/>
        <v>Ausgaben</v>
      </c>
      <c r="E154" t="str">
        <f t="shared" si="18"/>
        <v>Telefon/Internet</v>
      </c>
      <c r="F154" s="117">
        <f t="shared" si="19"/>
        <v>5.9039999999999999</v>
      </c>
      <c r="G154" t="str">
        <f t="shared" si="20"/>
        <v>20%</v>
      </c>
      <c r="I154" s="53">
        <v>2020</v>
      </c>
      <c r="J154" s="53">
        <v>153</v>
      </c>
      <c r="K154" s="71" t="s">
        <v>105</v>
      </c>
      <c r="L154" t="s">
        <v>703</v>
      </c>
      <c r="M154" s="74" t="s">
        <v>1376</v>
      </c>
      <c r="N154" s="1">
        <v>44046</v>
      </c>
      <c r="O154" t="s">
        <v>1116</v>
      </c>
      <c r="Q154" s="76"/>
      <c r="R154" t="b">
        <v>0</v>
      </c>
      <c r="S154" s="48">
        <v>4.92</v>
      </c>
      <c r="T154" s="72">
        <v>1</v>
      </c>
      <c r="U154">
        <v>20</v>
      </c>
      <c r="V154" s="31">
        <v>0.9840000000000001</v>
      </c>
      <c r="W154" s="31">
        <v>0.9840000000000001</v>
      </c>
      <c r="X154" s="33">
        <v>4.92</v>
      </c>
      <c r="Y154" s="29">
        <v>5.9039999999999999</v>
      </c>
      <c r="Z154" s="29">
        <v>5.9039999999999999</v>
      </c>
      <c r="AA154" s="35">
        <v>44150</v>
      </c>
      <c r="AB154" s="27"/>
      <c r="AC154" s="27"/>
      <c r="AD154" s="58">
        <v>4.92</v>
      </c>
      <c r="AE154" s="31">
        <v>0</v>
      </c>
      <c r="AF154" t="b">
        <v>0</v>
      </c>
      <c r="AG154" s="78">
        <v>-4.92</v>
      </c>
    </row>
    <row r="155" spans="1:33" x14ac:dyDescent="0.25">
      <c r="A155" t="str">
        <f t="shared" si="14"/>
        <v>2020-154</v>
      </c>
      <c r="B155" s="1">
        <f t="shared" si="15"/>
        <v>44048</v>
      </c>
      <c r="C155" t="str">
        <f t="shared" si="16"/>
        <v>HKA/20-01-39452/Techem Messtechnik GmbH; Abnehmernummer 501686-0003-11-(</v>
      </c>
      <c r="D155" t="str">
        <f t="shared" si="17"/>
        <v>Ausgaben</v>
      </c>
      <c r="E155" t="str">
        <f t="shared" si="18"/>
        <v>sonstige Betriebsausgaben</v>
      </c>
      <c r="F155" s="117">
        <f t="shared" si="19"/>
        <v>172.464</v>
      </c>
      <c r="G155" t="str">
        <f t="shared" si="20"/>
        <v>20%</v>
      </c>
      <c r="I155" s="53">
        <v>2020</v>
      </c>
      <c r="J155" s="53">
        <v>154</v>
      </c>
      <c r="K155" s="71" t="s">
        <v>105</v>
      </c>
      <c r="L155" t="s">
        <v>705</v>
      </c>
      <c r="M155" s="74" t="s">
        <v>1397</v>
      </c>
      <c r="N155" s="1">
        <v>44048</v>
      </c>
      <c r="O155" t="s">
        <v>1128</v>
      </c>
      <c r="Q155" s="76"/>
      <c r="R155" t="b">
        <v>0</v>
      </c>
      <c r="S155" s="48">
        <v>143.72</v>
      </c>
      <c r="T155" s="72">
        <v>1</v>
      </c>
      <c r="U155">
        <v>20</v>
      </c>
      <c r="V155" s="31">
        <v>28.744</v>
      </c>
      <c r="W155" s="31">
        <v>28.744</v>
      </c>
      <c r="X155" s="33">
        <v>143.72</v>
      </c>
      <c r="Y155" s="29">
        <v>172.464</v>
      </c>
      <c r="Z155" s="29">
        <v>172.464</v>
      </c>
      <c r="AA155" s="35">
        <v>44150</v>
      </c>
      <c r="AB155" s="27"/>
      <c r="AC155" s="27"/>
      <c r="AD155" s="58">
        <v>143.72</v>
      </c>
      <c r="AE155" s="31">
        <v>0</v>
      </c>
      <c r="AF155" t="b">
        <v>0</v>
      </c>
      <c r="AG155" s="78">
        <v>-143.72</v>
      </c>
    </row>
    <row r="156" spans="1:33" x14ac:dyDescent="0.25">
      <c r="A156" t="str">
        <f t="shared" si="14"/>
        <v>2020-155</v>
      </c>
      <c r="B156" s="1">
        <f t="shared" si="15"/>
        <v>44048</v>
      </c>
      <c r="C156" t="str">
        <f t="shared" si="16"/>
        <v>807693/easy green energy GmbH &amp; Co KG</v>
      </c>
      <c r="D156" t="str">
        <f t="shared" si="17"/>
        <v>Ausgaben</v>
      </c>
      <c r="E156" t="str">
        <f t="shared" si="18"/>
        <v>sonstige Betriebsausgaben</v>
      </c>
      <c r="F156" s="117">
        <f t="shared" si="19"/>
        <v>3</v>
      </c>
      <c r="G156" t="str">
        <f t="shared" si="20"/>
        <v>20%</v>
      </c>
      <c r="I156" s="53">
        <v>2020</v>
      </c>
      <c r="J156" s="53">
        <v>155</v>
      </c>
      <c r="K156" s="71" t="s">
        <v>105</v>
      </c>
      <c r="L156" t="s">
        <v>705</v>
      </c>
      <c r="M156" s="74" t="s">
        <v>1225</v>
      </c>
      <c r="N156" s="1">
        <v>44048</v>
      </c>
      <c r="O156" t="s">
        <v>1364</v>
      </c>
      <c r="Q156" s="76"/>
      <c r="R156" t="b">
        <v>0</v>
      </c>
      <c r="S156" s="48">
        <v>2.5</v>
      </c>
      <c r="T156" s="72">
        <v>1</v>
      </c>
      <c r="U156">
        <v>20</v>
      </c>
      <c r="V156" s="31">
        <v>0.5</v>
      </c>
      <c r="W156" s="31">
        <v>0.5</v>
      </c>
      <c r="X156" s="33">
        <v>2.5</v>
      </c>
      <c r="Y156" s="29">
        <v>3</v>
      </c>
      <c r="Z156" s="29">
        <v>3</v>
      </c>
      <c r="AA156" s="35">
        <v>44150</v>
      </c>
      <c r="AB156" s="27"/>
      <c r="AC156" s="27"/>
      <c r="AD156" s="58">
        <v>2.5</v>
      </c>
      <c r="AE156" s="31">
        <v>0</v>
      </c>
      <c r="AF156" t="b">
        <v>0</v>
      </c>
      <c r="AG156" s="78">
        <v>-2.5</v>
      </c>
    </row>
    <row r="157" spans="1:33" x14ac:dyDescent="0.25">
      <c r="A157" t="str">
        <f t="shared" si="14"/>
        <v>2020-156</v>
      </c>
      <c r="B157" s="1">
        <f t="shared" si="15"/>
        <v>44047</v>
      </c>
      <c r="C157" t="str">
        <f t="shared" si="16"/>
        <v>6204766176/Hutchison Drei Austria GmbH, Brünner Straße 52, 1210 Wien, Österreich</v>
      </c>
      <c r="D157" t="str">
        <f t="shared" si="17"/>
        <v>Ausgaben</v>
      </c>
      <c r="E157" t="str">
        <f t="shared" si="18"/>
        <v>Telefon/Internet</v>
      </c>
      <c r="F157" s="117">
        <f t="shared" si="19"/>
        <v>18</v>
      </c>
      <c r="G157" t="str">
        <f t="shared" si="20"/>
        <v>20%</v>
      </c>
      <c r="I157" s="53">
        <v>2020</v>
      </c>
      <c r="J157" s="53">
        <v>156</v>
      </c>
      <c r="K157" s="71" t="s">
        <v>105</v>
      </c>
      <c r="L157" t="s">
        <v>703</v>
      </c>
      <c r="M157" s="74">
        <v>6204766176</v>
      </c>
      <c r="N157" s="1">
        <v>44047</v>
      </c>
      <c r="O157" t="s">
        <v>34</v>
      </c>
      <c r="Q157" s="76"/>
      <c r="R157" t="b">
        <v>0</v>
      </c>
      <c r="S157" s="48">
        <v>15</v>
      </c>
      <c r="T157" s="72">
        <v>1</v>
      </c>
      <c r="U157">
        <v>20</v>
      </c>
      <c r="V157" s="31">
        <v>3</v>
      </c>
      <c r="W157" s="31">
        <v>3</v>
      </c>
      <c r="X157" s="33">
        <v>15</v>
      </c>
      <c r="Y157" s="29">
        <v>18</v>
      </c>
      <c r="Z157" s="29">
        <v>18</v>
      </c>
      <c r="AA157" s="35">
        <v>44150</v>
      </c>
      <c r="AB157" s="27"/>
      <c r="AC157" s="27"/>
      <c r="AD157" s="58">
        <v>15</v>
      </c>
      <c r="AE157" s="31">
        <v>0</v>
      </c>
      <c r="AF157" t="b">
        <v>0</v>
      </c>
      <c r="AG157" s="78">
        <v>-15</v>
      </c>
    </row>
    <row r="158" spans="1:33" x14ac:dyDescent="0.25">
      <c r="A158" t="str">
        <f t="shared" si="14"/>
        <v>2020-157</v>
      </c>
      <c r="B158" s="1">
        <f t="shared" si="15"/>
        <v>44049</v>
      </c>
      <c r="C158" t="str">
        <f t="shared" si="16"/>
        <v>R0011713189/Hetzner Online GmbH</v>
      </c>
      <c r="D158" t="str">
        <f t="shared" si="17"/>
        <v>Ausgaben</v>
      </c>
      <c r="E158" t="str">
        <f t="shared" si="18"/>
        <v>sonstige Betriebsausgaben</v>
      </c>
      <c r="F158" s="117">
        <f t="shared" si="19"/>
        <v>2.4900000000000002</v>
      </c>
      <c r="G158" t="str">
        <f t="shared" si="20"/>
        <v>0%</v>
      </c>
      <c r="I158" s="53">
        <v>2020</v>
      </c>
      <c r="J158" s="53">
        <v>157</v>
      </c>
      <c r="K158" s="71" t="s">
        <v>105</v>
      </c>
      <c r="L158" t="s">
        <v>705</v>
      </c>
      <c r="M158" t="s">
        <v>1390</v>
      </c>
      <c r="N158" s="1">
        <v>44049</v>
      </c>
      <c r="O158" t="s">
        <v>927</v>
      </c>
      <c r="Q158" s="76"/>
      <c r="R158" t="b">
        <v>0</v>
      </c>
      <c r="S158" s="48">
        <v>2.4900000000000002</v>
      </c>
      <c r="T158" s="72">
        <v>1</v>
      </c>
      <c r="U158">
        <v>0</v>
      </c>
      <c r="V158" s="31">
        <v>0</v>
      </c>
      <c r="W158" s="31">
        <v>0</v>
      </c>
      <c r="X158" s="33">
        <v>2.4900000000000002</v>
      </c>
      <c r="Y158" s="29">
        <v>2.4900000000000002</v>
      </c>
      <c r="Z158" s="29">
        <v>2.4900000000000002</v>
      </c>
      <c r="AA158" s="35">
        <v>44150</v>
      </c>
      <c r="AB158" s="27"/>
      <c r="AC158" s="27">
        <v>20</v>
      </c>
      <c r="AD158" s="58">
        <v>2.4900000000000002</v>
      </c>
      <c r="AE158" s="31">
        <v>0.49800000000000005</v>
      </c>
      <c r="AF158" t="b">
        <v>0</v>
      </c>
      <c r="AG158" s="78">
        <v>-2.4900000000000002</v>
      </c>
    </row>
    <row r="159" spans="1:33" x14ac:dyDescent="0.25">
      <c r="A159" t="str">
        <f t="shared" si="14"/>
        <v>2020-158</v>
      </c>
      <c r="B159" s="1">
        <f t="shared" si="15"/>
        <v>44053</v>
      </c>
      <c r="C159" t="str">
        <f t="shared" si="16"/>
        <v>5112142283/Wiener Netze GmbH, Erdbergstraße 236, 1110 Wien, Postfach 422</v>
      </c>
      <c r="D159" t="str">
        <f t="shared" si="17"/>
        <v>Ausgaben</v>
      </c>
      <c r="E159" t="str">
        <f t="shared" si="18"/>
        <v>sonstige Betriebsausgaben</v>
      </c>
      <c r="F159" s="117">
        <f t="shared" si="19"/>
        <v>34.799999999999997</v>
      </c>
      <c r="G159" t="str">
        <f t="shared" si="20"/>
        <v>20%</v>
      </c>
      <c r="I159" s="53">
        <v>2020</v>
      </c>
      <c r="J159" s="53">
        <v>158</v>
      </c>
      <c r="K159" s="71" t="s">
        <v>105</v>
      </c>
      <c r="L159" t="s">
        <v>705</v>
      </c>
      <c r="M159" s="74" t="s">
        <v>1222</v>
      </c>
      <c r="N159" s="1">
        <v>44053</v>
      </c>
      <c r="O159" t="s">
        <v>1223</v>
      </c>
      <c r="Q159" s="76"/>
      <c r="R159" t="b">
        <v>0</v>
      </c>
      <c r="S159" s="109">
        <v>29</v>
      </c>
      <c r="T159" s="72">
        <v>1</v>
      </c>
      <c r="U159">
        <v>20</v>
      </c>
      <c r="V159" s="31">
        <v>5.8</v>
      </c>
      <c r="W159" s="31">
        <v>5.8</v>
      </c>
      <c r="X159" s="33">
        <v>29</v>
      </c>
      <c r="Y159" s="29">
        <v>34.799999999999997</v>
      </c>
      <c r="Z159" s="29">
        <v>34.799999999999997</v>
      </c>
      <c r="AA159" s="35">
        <v>44150</v>
      </c>
      <c r="AB159" s="27"/>
      <c r="AC159" s="27"/>
      <c r="AD159" s="58">
        <v>29</v>
      </c>
      <c r="AE159" s="31">
        <v>0</v>
      </c>
      <c r="AF159" t="b">
        <v>0</v>
      </c>
      <c r="AG159" s="78">
        <v>-29</v>
      </c>
    </row>
    <row r="160" spans="1:33" x14ac:dyDescent="0.25">
      <c r="A160" t="str">
        <f t="shared" si="14"/>
        <v>2020-159</v>
      </c>
      <c r="B160" s="1">
        <f t="shared" si="15"/>
        <v>44053</v>
      </c>
      <c r="C160" t="str">
        <f t="shared" si="16"/>
        <v>802540/Lemon Technologies GmbH, Unterweißenbach 181, 7330 Feldbach: Bildschirm</v>
      </c>
      <c r="D160" t="str">
        <f t="shared" si="17"/>
        <v>Ausgaben</v>
      </c>
      <c r="E160" t="str">
        <f t="shared" si="18"/>
        <v>sonstige Betriebsausgaben</v>
      </c>
      <c r="F160" s="117">
        <f t="shared" si="19"/>
        <v>126.27600000000001</v>
      </c>
      <c r="G160" t="str">
        <f t="shared" si="20"/>
        <v>20%</v>
      </c>
      <c r="I160" s="53">
        <v>2020</v>
      </c>
      <c r="J160" s="53">
        <v>159</v>
      </c>
      <c r="K160" s="71" t="s">
        <v>105</v>
      </c>
      <c r="L160" t="s">
        <v>705</v>
      </c>
      <c r="M160" s="74" t="s">
        <v>1399</v>
      </c>
      <c r="N160" s="1">
        <v>44053</v>
      </c>
      <c r="O160" t="s">
        <v>1238</v>
      </c>
      <c r="Q160" s="76"/>
      <c r="R160" t="b">
        <v>0</v>
      </c>
      <c r="S160" s="109">
        <v>105.23</v>
      </c>
      <c r="T160" s="72">
        <v>1</v>
      </c>
      <c r="U160">
        <v>20</v>
      </c>
      <c r="V160" s="31">
        <v>21.045999999999999</v>
      </c>
      <c r="W160" s="31">
        <v>21.045999999999999</v>
      </c>
      <c r="X160" s="33">
        <v>105.23</v>
      </c>
      <c r="Y160" s="29">
        <v>126.27600000000001</v>
      </c>
      <c r="Z160" s="29">
        <v>126.27600000000001</v>
      </c>
      <c r="AA160" s="35">
        <v>44150</v>
      </c>
      <c r="AB160" s="27"/>
      <c r="AC160" s="27"/>
      <c r="AD160" s="58">
        <v>105.23</v>
      </c>
      <c r="AE160" s="31">
        <v>0</v>
      </c>
      <c r="AF160" t="b">
        <v>0</v>
      </c>
      <c r="AG160" s="78">
        <v>-105.23</v>
      </c>
    </row>
    <row r="161" spans="1:33" x14ac:dyDescent="0.25">
      <c r="A161" t="str">
        <f t="shared" si="14"/>
        <v>2020-160</v>
      </c>
      <c r="B161" s="1">
        <f t="shared" si="15"/>
        <v>44056</v>
      </c>
      <c r="C161" t="str">
        <f t="shared" si="16"/>
        <v>R0011750762/Hetzner Online GmbH</v>
      </c>
      <c r="D161" t="str">
        <f t="shared" si="17"/>
        <v>Ausgaben</v>
      </c>
      <c r="E161" t="str">
        <f t="shared" si="18"/>
        <v>sonstige Betriebsausgaben</v>
      </c>
      <c r="F161" s="117">
        <f t="shared" si="19"/>
        <v>46.92</v>
      </c>
      <c r="G161" t="str">
        <f t="shared" si="20"/>
        <v>0%</v>
      </c>
      <c r="I161" s="53">
        <v>2020</v>
      </c>
      <c r="J161" s="53">
        <v>160</v>
      </c>
      <c r="K161" s="71" t="s">
        <v>105</v>
      </c>
      <c r="L161" t="s">
        <v>705</v>
      </c>
      <c r="M161" t="s">
        <v>1391</v>
      </c>
      <c r="N161" s="1">
        <v>44056</v>
      </c>
      <c r="O161" t="s">
        <v>927</v>
      </c>
      <c r="Q161" s="76"/>
      <c r="R161" t="b">
        <v>0</v>
      </c>
      <c r="S161" s="109">
        <v>46.92</v>
      </c>
      <c r="T161" s="72">
        <v>1</v>
      </c>
      <c r="U161">
        <v>0</v>
      </c>
      <c r="V161" s="31">
        <v>0</v>
      </c>
      <c r="W161" s="31">
        <v>0</v>
      </c>
      <c r="X161" s="33">
        <v>46.92</v>
      </c>
      <c r="Y161" s="29">
        <v>46.92</v>
      </c>
      <c r="Z161" s="29">
        <v>46.92</v>
      </c>
      <c r="AA161" s="35">
        <v>44150</v>
      </c>
      <c r="AB161" s="27"/>
      <c r="AC161" s="27">
        <v>20</v>
      </c>
      <c r="AD161" s="58">
        <v>46.92</v>
      </c>
      <c r="AE161" s="31">
        <v>9.3840000000000003</v>
      </c>
      <c r="AF161" t="b">
        <v>0</v>
      </c>
      <c r="AG161" s="78">
        <v>-46.92</v>
      </c>
    </row>
    <row r="162" spans="1:33" x14ac:dyDescent="0.25">
      <c r="A162" t="str">
        <f t="shared" si="14"/>
        <v>2020-161</v>
      </c>
      <c r="B162" s="1">
        <f t="shared" si="15"/>
        <v>44014</v>
      </c>
      <c r="C162" t="str">
        <f t="shared" si="16"/>
        <v>12020013/ZT DI Dr. Arno Kolbitsch, Gütleweg 1, 6822 Satteins</v>
      </c>
      <c r="D162" t="str">
        <f t="shared" si="17"/>
        <v>Einnahmen</v>
      </c>
      <c r="E162" t="str">
        <f t="shared" si="18"/>
        <v>Waren-/Leistungserlöse</v>
      </c>
      <c r="F162" s="117">
        <f t="shared" si="19"/>
        <v>434.88</v>
      </c>
      <c r="G162" t="str">
        <f t="shared" si="20"/>
        <v>20%</v>
      </c>
      <c r="I162" s="53">
        <v>2020</v>
      </c>
      <c r="J162" s="53">
        <v>161</v>
      </c>
      <c r="K162" s="71" t="s">
        <v>708</v>
      </c>
      <c r="L162" t="s">
        <v>709</v>
      </c>
      <c r="M162" s="74">
        <v>12020013</v>
      </c>
      <c r="N162" s="1">
        <v>44014</v>
      </c>
      <c r="O162" t="s">
        <v>1038</v>
      </c>
      <c r="Q162" s="76"/>
      <c r="R162" t="b">
        <v>0</v>
      </c>
      <c r="S162" s="109">
        <v>362.4</v>
      </c>
      <c r="T162" s="72">
        <v>1</v>
      </c>
      <c r="U162">
        <v>20</v>
      </c>
      <c r="V162" s="31">
        <v>72.48</v>
      </c>
      <c r="W162" s="31">
        <v>72.48</v>
      </c>
      <c r="X162" s="33">
        <v>362.4</v>
      </c>
      <c r="Y162" s="29">
        <v>434.88</v>
      </c>
      <c r="Z162" s="29">
        <v>434.88</v>
      </c>
      <c r="AA162" s="35">
        <v>44150</v>
      </c>
      <c r="AB162" s="27"/>
      <c r="AC162" s="27"/>
      <c r="AD162" s="58">
        <v>362.4</v>
      </c>
      <c r="AE162" s="31">
        <v>0</v>
      </c>
      <c r="AF162" t="b">
        <v>0</v>
      </c>
      <c r="AG162" s="78">
        <v>362.4</v>
      </c>
    </row>
    <row r="163" spans="1:33" x14ac:dyDescent="0.25">
      <c r="A163" t="str">
        <f t="shared" si="14"/>
        <v>2020-162</v>
      </c>
      <c r="B163" s="1">
        <f t="shared" si="15"/>
        <v>44014</v>
      </c>
      <c r="C163" t="str">
        <f t="shared" si="16"/>
        <v>12020024/ZT DI Dr. Arno Kolbitsch, Gütleweg 1, 6822 Satteins</v>
      </c>
      <c r="D163" t="str">
        <f t="shared" si="17"/>
        <v>Einnahmen</v>
      </c>
      <c r="E163" t="str">
        <f t="shared" si="18"/>
        <v>Waren-/Leistungserlöse</v>
      </c>
      <c r="F163" s="117">
        <f t="shared" si="19"/>
        <v>367.5</v>
      </c>
      <c r="G163" t="str">
        <f t="shared" si="20"/>
        <v>20%</v>
      </c>
      <c r="I163" s="53">
        <v>2020</v>
      </c>
      <c r="J163" s="53">
        <v>162</v>
      </c>
      <c r="K163" s="71" t="s">
        <v>708</v>
      </c>
      <c r="L163" t="s">
        <v>709</v>
      </c>
      <c r="M163" s="74">
        <v>12020024</v>
      </c>
      <c r="N163" s="1">
        <v>44014</v>
      </c>
      <c r="O163" t="s">
        <v>1038</v>
      </c>
      <c r="Q163" s="76"/>
      <c r="R163" t="b">
        <v>0</v>
      </c>
      <c r="S163" s="109">
        <v>306.25</v>
      </c>
      <c r="T163" s="72">
        <v>1</v>
      </c>
      <c r="U163">
        <v>20</v>
      </c>
      <c r="V163" s="31">
        <v>61.25</v>
      </c>
      <c r="W163" s="31">
        <v>61.25</v>
      </c>
      <c r="X163" s="33">
        <v>306.25</v>
      </c>
      <c r="Y163" s="29">
        <v>367.5</v>
      </c>
      <c r="Z163" s="29">
        <v>367.5</v>
      </c>
      <c r="AA163" s="35">
        <v>44150</v>
      </c>
      <c r="AB163" s="27"/>
      <c r="AC163" s="27"/>
      <c r="AD163" s="58">
        <v>306.25</v>
      </c>
      <c r="AE163" s="31">
        <v>0</v>
      </c>
      <c r="AF163" t="b">
        <v>0</v>
      </c>
      <c r="AG163" s="78">
        <v>306.25</v>
      </c>
    </row>
    <row r="164" spans="1:33" x14ac:dyDescent="0.25">
      <c r="A164" t="str">
        <f t="shared" si="14"/>
        <v>2020-163</v>
      </c>
      <c r="B164" s="1">
        <f t="shared" si="15"/>
        <v>44071</v>
      </c>
      <c r="C164" t="str">
        <f t="shared" si="16"/>
        <v>/Sozialversicherung der gewerblichen Wirtshaft</v>
      </c>
      <c r="D164" t="str">
        <f t="shared" si="17"/>
        <v>Ausgaben</v>
      </c>
      <c r="E164" t="str">
        <f t="shared" si="18"/>
        <v>Pflichversicherungsbeiträge</v>
      </c>
      <c r="F164" s="117">
        <f t="shared" si="19"/>
        <v>1700.07</v>
      </c>
      <c r="G164" t="str">
        <f t="shared" si="20"/>
        <v>0%</v>
      </c>
      <c r="I164" s="53">
        <v>2020</v>
      </c>
      <c r="J164" s="53">
        <v>163</v>
      </c>
      <c r="K164" s="71" t="s">
        <v>105</v>
      </c>
      <c r="L164" t="s">
        <v>695</v>
      </c>
      <c r="N164" s="1">
        <v>44071</v>
      </c>
      <c r="O164" t="s">
        <v>952</v>
      </c>
      <c r="Q164" s="76"/>
      <c r="R164" t="b">
        <v>0</v>
      </c>
      <c r="S164" s="109">
        <v>1700.07</v>
      </c>
      <c r="T164" s="72">
        <v>1</v>
      </c>
      <c r="U164">
        <v>0</v>
      </c>
      <c r="V164" s="31">
        <v>0</v>
      </c>
      <c r="W164" s="31">
        <v>0</v>
      </c>
      <c r="X164" s="33">
        <v>1700.07</v>
      </c>
      <c r="Y164" s="29">
        <v>1700.07</v>
      </c>
      <c r="Z164" s="29">
        <v>1700.07</v>
      </c>
      <c r="AA164" s="35">
        <v>44150</v>
      </c>
      <c r="AB164" s="27"/>
      <c r="AC164" s="27"/>
      <c r="AD164" s="58">
        <v>1700.07</v>
      </c>
      <c r="AE164" s="31">
        <v>0</v>
      </c>
      <c r="AF164" t="b">
        <v>0</v>
      </c>
      <c r="AG164" s="78">
        <v>-1700.07</v>
      </c>
    </row>
    <row r="165" spans="1:33" x14ac:dyDescent="0.25">
      <c r="A165" t="str">
        <f t="shared" si="14"/>
        <v>2020-164</v>
      </c>
      <c r="B165" s="1">
        <f t="shared" si="15"/>
        <v>44074</v>
      </c>
      <c r="C165" t="str">
        <f t="shared" si="16"/>
        <v>PRM320080004475/New Work SE, Dammtorstraße 30, 20354 Hamburg</v>
      </c>
      <c r="D165" t="str">
        <f t="shared" si="17"/>
        <v>Ausgaben</v>
      </c>
      <c r="E165" t="str">
        <f t="shared" si="18"/>
        <v>Werbe- und Repräsentationsaufwand</v>
      </c>
      <c r="F165" s="117">
        <f t="shared" si="19"/>
        <v>24.88</v>
      </c>
      <c r="G165" t="str">
        <f t="shared" si="20"/>
        <v>0%</v>
      </c>
      <c r="I165" s="53">
        <v>2020</v>
      </c>
      <c r="J165" s="53">
        <v>164</v>
      </c>
      <c r="K165" s="71" t="s">
        <v>105</v>
      </c>
      <c r="L165" t="s">
        <v>693</v>
      </c>
      <c r="M165" t="s">
        <v>1401</v>
      </c>
      <c r="N165" s="1">
        <v>44074</v>
      </c>
      <c r="O165" t="s">
        <v>1363</v>
      </c>
      <c r="Q165" s="76"/>
      <c r="R165" t="b">
        <v>0</v>
      </c>
      <c r="S165" s="48">
        <v>24.88</v>
      </c>
      <c r="T165" s="72">
        <v>1</v>
      </c>
      <c r="U165">
        <v>0</v>
      </c>
      <c r="V165" s="31">
        <v>0</v>
      </c>
      <c r="W165" s="31">
        <v>0</v>
      </c>
      <c r="X165" s="33">
        <v>24.88</v>
      </c>
      <c r="Y165" s="29">
        <v>24.88</v>
      </c>
      <c r="Z165" s="29">
        <v>24.88</v>
      </c>
      <c r="AA165" s="35">
        <v>44150</v>
      </c>
      <c r="AB165" s="27"/>
      <c r="AC165" s="27">
        <v>20</v>
      </c>
      <c r="AD165" s="58">
        <v>24.88</v>
      </c>
      <c r="AE165" s="31">
        <v>4.976</v>
      </c>
      <c r="AF165" t="b">
        <v>0</v>
      </c>
      <c r="AG165" s="78">
        <v>-24.88</v>
      </c>
    </row>
    <row r="166" spans="1:33" x14ac:dyDescent="0.25">
      <c r="A166" t="str">
        <f t="shared" si="14"/>
        <v>2020-165</v>
      </c>
      <c r="B166" s="1">
        <f t="shared" si="15"/>
        <v>44075</v>
      </c>
      <c r="C166" t="str">
        <f t="shared" si="16"/>
        <v>20/9801/VS00486/Bontus Immobilienverwaltung GmbH, 1010 Wien, Franz Josefs Kai 65</v>
      </c>
      <c r="D166" t="str">
        <f t="shared" si="17"/>
        <v>Ausgaben</v>
      </c>
      <c r="E166" t="str">
        <f t="shared" si="18"/>
        <v>Miet- und Pachtaufwand, Leasing</v>
      </c>
      <c r="F166" s="117">
        <f t="shared" si="19"/>
        <v>552.49200000000008</v>
      </c>
      <c r="G166" t="str">
        <f t="shared" si="20"/>
        <v>20%</v>
      </c>
      <c r="I166" s="53">
        <v>2020</v>
      </c>
      <c r="J166" s="53">
        <v>165</v>
      </c>
      <c r="K166" s="71" t="s">
        <v>105</v>
      </c>
      <c r="L166" t="s">
        <v>691</v>
      </c>
      <c r="M166" s="74" t="s">
        <v>1372</v>
      </c>
      <c r="N166" s="1">
        <v>44075</v>
      </c>
      <c r="O166" t="s">
        <v>1113</v>
      </c>
      <c r="Q166" s="76"/>
      <c r="R166" t="b">
        <v>0</v>
      </c>
      <c r="S166" s="48">
        <v>460.41</v>
      </c>
      <c r="T166" s="72">
        <v>1</v>
      </c>
      <c r="U166">
        <v>20</v>
      </c>
      <c r="V166" s="31">
        <v>92.082000000000008</v>
      </c>
      <c r="W166" s="31">
        <v>92.082000000000008</v>
      </c>
      <c r="X166" s="33">
        <v>460.41</v>
      </c>
      <c r="Y166" s="29">
        <v>552.49200000000008</v>
      </c>
      <c r="Z166" s="29">
        <v>552.49200000000008</v>
      </c>
      <c r="AA166" s="35">
        <v>44150</v>
      </c>
      <c r="AB166" s="27"/>
      <c r="AC166" s="27"/>
      <c r="AD166" s="58">
        <v>460.41</v>
      </c>
      <c r="AE166" s="31">
        <v>0</v>
      </c>
      <c r="AF166" t="b">
        <v>0</v>
      </c>
      <c r="AG166" s="78">
        <v>-460.41</v>
      </c>
    </row>
    <row r="167" spans="1:33" x14ac:dyDescent="0.25">
      <c r="A167" t="str">
        <f t="shared" si="14"/>
        <v>2020-166</v>
      </c>
      <c r="B167" s="1">
        <f t="shared" si="15"/>
        <v>44076</v>
      </c>
      <c r="C167" t="str">
        <f t="shared" si="16"/>
        <v>4293000000017140/car2go Österreich GmbH, Hintere Zollamtstraße 9, 1030 Wien</v>
      </c>
      <c r="D167" t="str">
        <f t="shared" si="17"/>
        <v>Ausgaben</v>
      </c>
      <c r="E167" t="str">
        <f t="shared" si="18"/>
        <v>Reise- und Fahrtspesen inkl. Kilometergeld und Diäten</v>
      </c>
      <c r="F167" s="117">
        <f t="shared" si="19"/>
        <v>114.13200000000001</v>
      </c>
      <c r="G167" t="str">
        <f t="shared" si="20"/>
        <v>20%</v>
      </c>
      <c r="I167" s="53">
        <v>2020</v>
      </c>
      <c r="J167" s="53">
        <v>166</v>
      </c>
      <c r="K167" s="71" t="s">
        <v>105</v>
      </c>
      <c r="L167" t="s">
        <v>689</v>
      </c>
      <c r="M167" s="39" t="s">
        <v>1400</v>
      </c>
      <c r="N167" s="1">
        <v>44076</v>
      </c>
      <c r="O167" t="s">
        <v>974</v>
      </c>
      <c r="Q167" s="76"/>
      <c r="R167" t="b">
        <v>0</v>
      </c>
      <c r="S167" s="48">
        <v>95.11</v>
      </c>
      <c r="T167" s="72">
        <v>1</v>
      </c>
      <c r="U167">
        <v>20</v>
      </c>
      <c r="V167" s="31">
        <v>19.022000000000002</v>
      </c>
      <c r="W167" s="31">
        <v>19.022000000000002</v>
      </c>
      <c r="X167" s="33">
        <v>95.11</v>
      </c>
      <c r="Y167" s="29">
        <v>114.13200000000001</v>
      </c>
      <c r="Z167" s="29">
        <v>114.13200000000001</v>
      </c>
      <c r="AA167" s="35">
        <v>44150</v>
      </c>
      <c r="AB167" s="27"/>
      <c r="AC167" s="27"/>
      <c r="AD167" s="58">
        <v>95.11</v>
      </c>
      <c r="AE167" s="31">
        <v>0</v>
      </c>
      <c r="AF167" t="b">
        <v>0</v>
      </c>
      <c r="AG167" s="78">
        <v>-95.11</v>
      </c>
    </row>
    <row r="168" spans="1:33" x14ac:dyDescent="0.25">
      <c r="A168" t="str">
        <f t="shared" si="14"/>
        <v>2020-167</v>
      </c>
      <c r="B168" s="1">
        <f t="shared" si="15"/>
        <v>44077</v>
      </c>
      <c r="C168" t="str">
        <f t="shared" si="16"/>
        <v>INVCZ3082442/JetBrains s.r.o, Kavci Hory Office Park, Na hrebenech II 1718/10, Praha 4- Nusle 14000, Ceska republika</v>
      </c>
      <c r="D168" t="str">
        <f t="shared" si="17"/>
        <v>Ausgaben</v>
      </c>
      <c r="E168" t="str">
        <f t="shared" si="18"/>
        <v>sonstige Betriebsausgaben</v>
      </c>
      <c r="F168" s="117">
        <f t="shared" si="19"/>
        <v>85.2</v>
      </c>
      <c r="G168" t="str">
        <f t="shared" si="20"/>
        <v>20%</v>
      </c>
      <c r="I168" s="53">
        <v>2020</v>
      </c>
      <c r="J168" s="53">
        <v>167</v>
      </c>
      <c r="K168" s="71" t="s">
        <v>105</v>
      </c>
      <c r="L168" t="s">
        <v>705</v>
      </c>
      <c r="M168" t="s">
        <v>1402</v>
      </c>
      <c r="N168" s="1">
        <v>44077</v>
      </c>
      <c r="O168" t="s">
        <v>1403</v>
      </c>
      <c r="Q168" s="76"/>
      <c r="R168" t="b">
        <v>0</v>
      </c>
      <c r="S168" s="48">
        <v>71</v>
      </c>
      <c r="T168" s="72">
        <v>1</v>
      </c>
      <c r="U168">
        <v>20</v>
      </c>
      <c r="V168" s="31">
        <v>14.2</v>
      </c>
      <c r="W168" s="31">
        <v>14.2</v>
      </c>
      <c r="X168" s="33">
        <v>71</v>
      </c>
      <c r="Y168" s="29">
        <v>85.2</v>
      </c>
      <c r="Z168" s="29">
        <v>85.2</v>
      </c>
      <c r="AA168" s="35">
        <v>44150</v>
      </c>
      <c r="AB168" s="27"/>
      <c r="AC168" s="27"/>
      <c r="AD168" s="58">
        <v>71</v>
      </c>
      <c r="AE168" s="31">
        <v>0</v>
      </c>
      <c r="AF168" t="b">
        <v>0</v>
      </c>
      <c r="AG168" s="78">
        <v>-71</v>
      </c>
    </row>
    <row r="169" spans="1:33" x14ac:dyDescent="0.25">
      <c r="A169" t="str">
        <f t="shared" si="14"/>
        <v>2020-168</v>
      </c>
      <c r="B169" s="1">
        <f t="shared" si="15"/>
        <v>44077</v>
      </c>
      <c r="C169" t="str">
        <f t="shared" si="16"/>
        <v>3798454186/Google Ireland Ltd, Gordon House, Barrow Street, Dublin 4, Ireland; VAT number: IE 6388047V</v>
      </c>
      <c r="D169" t="str">
        <f t="shared" si="17"/>
        <v>Ausgaben</v>
      </c>
      <c r="E169" t="str">
        <f t="shared" si="18"/>
        <v>sonstige Betriebsausgaben</v>
      </c>
      <c r="F169" s="117">
        <f t="shared" si="19"/>
        <v>9.36</v>
      </c>
      <c r="G169" t="str">
        <f t="shared" si="20"/>
        <v>0%</v>
      </c>
      <c r="I169" s="53">
        <v>2020</v>
      </c>
      <c r="J169" s="53">
        <v>168</v>
      </c>
      <c r="K169" s="71" t="s">
        <v>105</v>
      </c>
      <c r="L169" t="s">
        <v>705</v>
      </c>
      <c r="M169" s="74" t="s">
        <v>1405</v>
      </c>
      <c r="N169" s="1">
        <v>44077</v>
      </c>
      <c r="O169" t="s">
        <v>1404</v>
      </c>
      <c r="Q169" s="76"/>
      <c r="R169" t="b">
        <v>0</v>
      </c>
      <c r="S169" s="48">
        <v>9.36</v>
      </c>
      <c r="T169" s="72">
        <v>1</v>
      </c>
      <c r="U169">
        <v>0</v>
      </c>
      <c r="V169" s="31">
        <v>0</v>
      </c>
      <c r="W169" s="31">
        <v>0</v>
      </c>
      <c r="X169" s="33">
        <v>9.36</v>
      </c>
      <c r="Y169" s="29">
        <v>9.36</v>
      </c>
      <c r="Z169" s="29">
        <v>9.36</v>
      </c>
      <c r="AA169" s="35">
        <v>44150</v>
      </c>
      <c r="AB169" s="27"/>
      <c r="AC169" s="27">
        <v>20</v>
      </c>
      <c r="AD169" s="58">
        <v>9.36</v>
      </c>
      <c r="AE169" s="31">
        <v>1.8719999999999999</v>
      </c>
      <c r="AF169" t="b">
        <v>0</v>
      </c>
      <c r="AG169" s="78">
        <v>-9.36</v>
      </c>
    </row>
    <row r="170" spans="1:33" x14ac:dyDescent="0.25">
      <c r="A170" t="str">
        <f t="shared" si="14"/>
        <v>2020-169</v>
      </c>
      <c r="B170" s="1">
        <f t="shared" si="15"/>
        <v>44077</v>
      </c>
      <c r="C170" t="str">
        <f t="shared" si="16"/>
        <v>807693/easy green energy GmbH &amp; Co KG</v>
      </c>
      <c r="D170" t="str">
        <f t="shared" si="17"/>
        <v>Ausgaben</v>
      </c>
      <c r="E170" t="str">
        <f t="shared" si="18"/>
        <v>sonstige Betriebsausgaben</v>
      </c>
      <c r="F170" s="117">
        <f t="shared" si="19"/>
        <v>3</v>
      </c>
      <c r="G170" t="str">
        <f t="shared" si="20"/>
        <v>20%</v>
      </c>
      <c r="I170" s="53">
        <v>2020</v>
      </c>
      <c r="J170" s="53">
        <v>169</v>
      </c>
      <c r="K170" s="71" t="s">
        <v>105</v>
      </c>
      <c r="L170" t="s">
        <v>705</v>
      </c>
      <c r="M170" s="74" t="s">
        <v>1225</v>
      </c>
      <c r="N170" s="1">
        <v>44077</v>
      </c>
      <c r="O170" t="s">
        <v>1364</v>
      </c>
      <c r="Q170" s="76"/>
      <c r="R170" t="b">
        <v>0</v>
      </c>
      <c r="S170" s="48">
        <v>2.5</v>
      </c>
      <c r="T170" s="72">
        <v>1</v>
      </c>
      <c r="U170">
        <v>20</v>
      </c>
      <c r="V170" s="31">
        <v>0.5</v>
      </c>
      <c r="W170" s="31">
        <v>0.5</v>
      </c>
      <c r="X170" s="33">
        <v>2.5</v>
      </c>
      <c r="Y170" s="29">
        <v>3</v>
      </c>
      <c r="Z170" s="29">
        <v>3</v>
      </c>
      <c r="AA170" s="35">
        <v>44150</v>
      </c>
      <c r="AB170" s="27"/>
      <c r="AC170" s="27"/>
      <c r="AD170" s="58">
        <v>2.5</v>
      </c>
      <c r="AE170" s="31">
        <v>0</v>
      </c>
      <c r="AF170" t="b">
        <v>0</v>
      </c>
      <c r="AG170" s="78">
        <v>-2.5</v>
      </c>
    </row>
    <row r="171" spans="1:33" x14ac:dyDescent="0.25">
      <c r="A171" t="str">
        <f t="shared" si="14"/>
        <v>2020-170</v>
      </c>
      <c r="B171" s="1">
        <f t="shared" si="15"/>
        <v>44077</v>
      </c>
      <c r="C171" t="str">
        <f t="shared" si="16"/>
        <v>79988/2183087/512753/58187/Leburger Wien 1070</v>
      </c>
      <c r="D171" t="str">
        <f t="shared" si="17"/>
        <v>Ausgaben</v>
      </c>
      <c r="E171" t="str">
        <f t="shared" si="18"/>
        <v>sonstige Betriebsausgaben</v>
      </c>
      <c r="F171" s="117">
        <f t="shared" si="19"/>
        <v>3</v>
      </c>
      <c r="G171" t="str">
        <f t="shared" si="20"/>
        <v>5%</v>
      </c>
      <c r="I171" s="53">
        <v>2020</v>
      </c>
      <c r="J171" s="53">
        <v>170</v>
      </c>
      <c r="K171" s="71" t="s">
        <v>105</v>
      </c>
      <c r="L171" t="s">
        <v>705</v>
      </c>
      <c r="M171" s="74" t="s">
        <v>1416</v>
      </c>
      <c r="N171" s="1">
        <v>44077</v>
      </c>
      <c r="O171" t="s">
        <v>1406</v>
      </c>
      <c r="Q171" s="76"/>
      <c r="R171" t="b">
        <v>0</v>
      </c>
      <c r="S171" s="48">
        <v>70.095238095238088</v>
      </c>
      <c r="T171" s="72">
        <v>1</v>
      </c>
      <c r="U171">
        <v>5</v>
      </c>
      <c r="V171" s="31">
        <v>3.5047619047619043</v>
      </c>
      <c r="W171" s="31">
        <v>3.5047619047619043</v>
      </c>
      <c r="X171" s="33">
        <v>70.095238095238088</v>
      </c>
      <c r="Y171" s="29">
        <v>73.599999999999994</v>
      </c>
      <c r="Z171" s="29">
        <v>3</v>
      </c>
      <c r="AA171" s="35">
        <v>44150</v>
      </c>
      <c r="AB171" s="27"/>
      <c r="AC171" s="27"/>
      <c r="AD171" s="58">
        <v>70.095238095238088</v>
      </c>
      <c r="AE171" s="31">
        <v>0</v>
      </c>
      <c r="AF171" t="b">
        <v>0</v>
      </c>
      <c r="AG171" s="78">
        <v>-70.095238095238088</v>
      </c>
    </row>
    <row r="172" spans="1:33" x14ac:dyDescent="0.25">
      <c r="A172" t="str">
        <f t="shared" si="14"/>
        <v>2020-171</v>
      </c>
      <c r="B172" s="1">
        <f t="shared" si="15"/>
        <v>44077</v>
      </c>
      <c r="C172" t="str">
        <f t="shared" si="16"/>
        <v>6206566381/Hutchison Drei Austria GmbH, Brünner Straße 52, 1210 Wien, Österreich</v>
      </c>
      <c r="D172" t="str">
        <f t="shared" si="17"/>
        <v>Ausgaben</v>
      </c>
      <c r="E172" t="str">
        <f t="shared" si="18"/>
        <v>Telefon/Internet</v>
      </c>
      <c r="F172" s="117">
        <f t="shared" si="19"/>
        <v>18.3</v>
      </c>
      <c r="G172" t="str">
        <f t="shared" si="20"/>
        <v>20%</v>
      </c>
      <c r="I172" s="53">
        <v>2020</v>
      </c>
      <c r="J172" s="53">
        <v>171</v>
      </c>
      <c r="K172" s="71" t="s">
        <v>105</v>
      </c>
      <c r="L172" t="s">
        <v>703</v>
      </c>
      <c r="M172">
        <v>6206566381</v>
      </c>
      <c r="N172" s="1">
        <v>44077</v>
      </c>
      <c r="O172" t="s">
        <v>34</v>
      </c>
      <c r="Q172" s="76"/>
      <c r="R172" t="b">
        <v>0</v>
      </c>
      <c r="S172" s="48">
        <v>15.25</v>
      </c>
      <c r="T172" s="72">
        <v>1</v>
      </c>
      <c r="U172">
        <v>20</v>
      </c>
      <c r="V172" s="31">
        <v>3.05</v>
      </c>
      <c r="W172" s="31">
        <v>3.05</v>
      </c>
      <c r="X172" s="33">
        <v>15.25</v>
      </c>
      <c r="Y172" s="29">
        <v>18.3</v>
      </c>
      <c r="Z172" s="29">
        <v>18.3</v>
      </c>
      <c r="AA172" s="35">
        <v>44150</v>
      </c>
      <c r="AB172" s="27"/>
      <c r="AC172" s="27"/>
      <c r="AD172" s="58">
        <v>15.25</v>
      </c>
      <c r="AE172" s="31">
        <v>0</v>
      </c>
      <c r="AF172" t="b">
        <v>0</v>
      </c>
      <c r="AG172" s="78">
        <v>-15.25</v>
      </c>
    </row>
    <row r="173" spans="1:33" x14ac:dyDescent="0.25">
      <c r="A173" t="str">
        <f t="shared" si="14"/>
        <v>2020-172</v>
      </c>
      <c r="B173" s="1">
        <f t="shared" si="15"/>
        <v>44078</v>
      </c>
      <c r="C173" t="str">
        <f t="shared" si="16"/>
        <v>12020026/DCF - Digital Coding Factory GmbH, Bauernfeldgasse 4/12 1090 Wien</v>
      </c>
      <c r="D173" t="str">
        <f t="shared" si="17"/>
        <v>Einnahmen</v>
      </c>
      <c r="E173" t="str">
        <f t="shared" si="18"/>
        <v>Waren-/Leistungserlöse</v>
      </c>
      <c r="F173" s="117">
        <f t="shared" si="19"/>
        <v>8208</v>
      </c>
      <c r="G173" t="str">
        <f t="shared" si="20"/>
        <v>20%</v>
      </c>
      <c r="I173" s="53">
        <v>2020</v>
      </c>
      <c r="J173" s="53">
        <v>172</v>
      </c>
      <c r="K173" s="71" t="s">
        <v>708</v>
      </c>
      <c r="L173" t="s">
        <v>709</v>
      </c>
      <c r="M173" s="6">
        <v>12020026</v>
      </c>
      <c r="N173" s="1">
        <v>44078</v>
      </c>
      <c r="O173" t="s">
        <v>1266</v>
      </c>
      <c r="Q173" s="76"/>
      <c r="R173" t="b">
        <v>0</v>
      </c>
      <c r="S173" s="48">
        <v>6840</v>
      </c>
      <c r="T173" s="72">
        <v>1</v>
      </c>
      <c r="U173">
        <v>20</v>
      </c>
      <c r="V173" s="31">
        <v>1368</v>
      </c>
      <c r="W173" s="31">
        <v>1368</v>
      </c>
      <c r="X173" s="33">
        <v>6840</v>
      </c>
      <c r="Y173" s="29">
        <v>8208</v>
      </c>
      <c r="Z173" s="29">
        <v>8208</v>
      </c>
      <c r="AA173" s="35">
        <v>44150</v>
      </c>
      <c r="AB173" s="27"/>
      <c r="AC173" s="27"/>
      <c r="AD173" s="58">
        <v>6840</v>
      </c>
      <c r="AE173" s="31">
        <v>0</v>
      </c>
      <c r="AF173" t="b">
        <v>0</v>
      </c>
      <c r="AG173" s="78">
        <v>6840</v>
      </c>
    </row>
    <row r="174" spans="1:33" x14ac:dyDescent="0.25">
      <c r="A174" t="str">
        <f t="shared" si="14"/>
        <v>2020-173</v>
      </c>
      <c r="B174" s="1">
        <f t="shared" si="15"/>
        <v>44078</v>
      </c>
      <c r="C174" t="str">
        <f t="shared" si="16"/>
        <v>12020025/DCF - Digital Coding Factory GmbH, Bauernfeldgasse 4/12 1090 Wien</v>
      </c>
      <c r="D174" t="str">
        <f t="shared" si="17"/>
        <v>Einnahmen</v>
      </c>
      <c r="E174" t="str">
        <f t="shared" si="18"/>
        <v>Waren-/Leistungserlöse</v>
      </c>
      <c r="F174" s="117">
        <f t="shared" si="19"/>
        <v>2772</v>
      </c>
      <c r="G174" t="str">
        <f t="shared" si="20"/>
        <v>20%</v>
      </c>
      <c r="I174" s="53">
        <v>2020</v>
      </c>
      <c r="J174" s="53">
        <v>173</v>
      </c>
      <c r="K174" s="71" t="s">
        <v>708</v>
      </c>
      <c r="L174" t="s">
        <v>709</v>
      </c>
      <c r="M174" s="6">
        <v>12020025</v>
      </c>
      <c r="N174" s="1">
        <v>44078</v>
      </c>
      <c r="O174" t="s">
        <v>1266</v>
      </c>
      <c r="Q174" s="76"/>
      <c r="R174" t="b">
        <v>0</v>
      </c>
      <c r="S174" s="48">
        <v>2310</v>
      </c>
      <c r="T174" s="72">
        <v>1</v>
      </c>
      <c r="U174">
        <v>20</v>
      </c>
      <c r="V174" s="31">
        <v>462</v>
      </c>
      <c r="W174" s="31">
        <v>462</v>
      </c>
      <c r="X174" s="33">
        <v>2310</v>
      </c>
      <c r="Y174" s="29">
        <v>2772</v>
      </c>
      <c r="Z174" s="29">
        <v>2772</v>
      </c>
      <c r="AA174" s="35">
        <v>44150</v>
      </c>
      <c r="AB174" s="27"/>
      <c r="AC174" s="27"/>
      <c r="AD174" s="58">
        <v>2310</v>
      </c>
      <c r="AE174" s="31">
        <v>0</v>
      </c>
      <c r="AF174" t="b">
        <v>0</v>
      </c>
      <c r="AG174" s="78">
        <v>2310</v>
      </c>
    </row>
    <row r="175" spans="1:33" x14ac:dyDescent="0.25">
      <c r="A175" t="str">
        <f t="shared" si="14"/>
        <v>2020-174</v>
      </c>
      <c r="B175" s="1">
        <f t="shared" si="15"/>
        <v>44081</v>
      </c>
      <c r="C175" t="str">
        <f t="shared" si="16"/>
        <v>HKA/20-01-39452/Techem Messtechnik GmbH; Abnehmernummer 501686-0003-11-(</v>
      </c>
      <c r="D175" t="str">
        <f t="shared" si="17"/>
        <v>Ausgaben</v>
      </c>
      <c r="E175" t="str">
        <f t="shared" si="18"/>
        <v>sonstige Betriebsausgaben</v>
      </c>
      <c r="F175" s="117">
        <f t="shared" si="19"/>
        <v>42</v>
      </c>
      <c r="G175" t="str">
        <f t="shared" si="20"/>
        <v>20%</v>
      </c>
      <c r="I175" s="53">
        <v>2020</v>
      </c>
      <c r="J175" s="53">
        <v>174</v>
      </c>
      <c r="K175" s="71" t="s">
        <v>105</v>
      </c>
      <c r="L175" t="s">
        <v>705</v>
      </c>
      <c r="M175" s="74" t="s">
        <v>1397</v>
      </c>
      <c r="N175" s="1">
        <v>44081</v>
      </c>
      <c r="O175" t="s">
        <v>1128</v>
      </c>
      <c r="Q175" s="76"/>
      <c r="R175" t="b">
        <v>0</v>
      </c>
      <c r="S175" s="48">
        <v>35</v>
      </c>
      <c r="T175" s="72">
        <v>1</v>
      </c>
      <c r="U175">
        <v>20</v>
      </c>
      <c r="V175" s="31">
        <v>7</v>
      </c>
      <c r="W175" s="31">
        <v>7</v>
      </c>
      <c r="X175" s="33">
        <v>35</v>
      </c>
      <c r="Y175" s="29">
        <v>42</v>
      </c>
      <c r="Z175" s="29">
        <v>42</v>
      </c>
      <c r="AA175" s="35">
        <v>44150</v>
      </c>
      <c r="AB175" s="27"/>
      <c r="AC175" s="27"/>
      <c r="AD175" s="58">
        <v>35</v>
      </c>
      <c r="AE175" s="31">
        <v>0</v>
      </c>
      <c r="AF175" t="b">
        <v>0</v>
      </c>
      <c r="AG175" s="78">
        <v>-35</v>
      </c>
    </row>
    <row r="176" spans="1:33" x14ac:dyDescent="0.25">
      <c r="A176" t="str">
        <f t="shared" si="14"/>
        <v>2020-175</v>
      </c>
      <c r="B176" s="1">
        <f t="shared" si="15"/>
        <v>44081</v>
      </c>
      <c r="C176" t="str">
        <f t="shared" si="16"/>
        <v>R0011878709/Hetzner Online GmbH</v>
      </c>
      <c r="D176" t="str">
        <f t="shared" si="17"/>
        <v>Ausgaben</v>
      </c>
      <c r="E176" t="str">
        <f t="shared" si="18"/>
        <v>sonstige Betriebsausgaben</v>
      </c>
      <c r="F176" s="117">
        <f t="shared" si="19"/>
        <v>2.4900000000000002</v>
      </c>
      <c r="G176" t="str">
        <f t="shared" si="20"/>
        <v>0%</v>
      </c>
      <c r="I176" s="53">
        <v>2020</v>
      </c>
      <c r="J176" s="53">
        <v>175</v>
      </c>
      <c r="K176" s="71" t="s">
        <v>105</v>
      </c>
      <c r="L176" t="s">
        <v>705</v>
      </c>
      <c r="M176" t="s">
        <v>1407</v>
      </c>
      <c r="N176" s="1">
        <v>44081</v>
      </c>
      <c r="O176" t="s">
        <v>927</v>
      </c>
      <c r="Q176" s="76"/>
      <c r="R176" t="b">
        <v>0</v>
      </c>
      <c r="S176" s="48">
        <v>2.4900000000000002</v>
      </c>
      <c r="T176" s="72">
        <v>1</v>
      </c>
      <c r="U176">
        <v>0</v>
      </c>
      <c r="V176" s="31">
        <v>0</v>
      </c>
      <c r="W176" s="31">
        <v>0</v>
      </c>
      <c r="X176" s="33">
        <v>2.4900000000000002</v>
      </c>
      <c r="Y176" s="29">
        <v>2.4900000000000002</v>
      </c>
      <c r="Z176" s="29">
        <v>2.4900000000000002</v>
      </c>
      <c r="AA176" s="35">
        <v>44150</v>
      </c>
      <c r="AB176" s="27"/>
      <c r="AC176" s="27">
        <v>20</v>
      </c>
      <c r="AD176" s="58">
        <v>2.4900000000000002</v>
      </c>
      <c r="AE176" s="31">
        <v>0.49800000000000005</v>
      </c>
      <c r="AF176" t="b">
        <v>0</v>
      </c>
      <c r="AG176" s="78">
        <v>-2.4900000000000002</v>
      </c>
    </row>
    <row r="177" spans="1:33" x14ac:dyDescent="0.25">
      <c r="A177" t="str">
        <f t="shared" si="14"/>
        <v>2020-176</v>
      </c>
      <c r="B177" s="1">
        <f t="shared" si="15"/>
        <v>44091</v>
      </c>
      <c r="C177" t="str">
        <f t="shared" si="16"/>
        <v>AEU-INV-AT-2020-14459455/Amazon EU S. à r.l., 38 avenue John F. Kennedy, L-1855 Luxembourg: HJEU: DVI-HDMI, Logitech Maus</v>
      </c>
      <c r="D177" t="str">
        <f t="shared" si="17"/>
        <v>Ausgaben</v>
      </c>
      <c r="E177" t="str">
        <f t="shared" si="18"/>
        <v>Waren, Rohstoffe, Hilfsstoffe</v>
      </c>
      <c r="F177" s="117">
        <f t="shared" si="19"/>
        <v>25.847999999999999</v>
      </c>
      <c r="G177" t="str">
        <f t="shared" si="20"/>
        <v>20%</v>
      </c>
      <c r="I177" s="53">
        <v>2020</v>
      </c>
      <c r="J177" s="53">
        <v>176</v>
      </c>
      <c r="K177" s="71" t="s">
        <v>105</v>
      </c>
      <c r="L177" t="s">
        <v>683</v>
      </c>
      <c r="M177" t="s">
        <v>1408</v>
      </c>
      <c r="N177" s="1">
        <v>44091</v>
      </c>
      <c r="O177" t="s">
        <v>981</v>
      </c>
      <c r="Q177" s="76"/>
      <c r="R177" t="b">
        <v>0</v>
      </c>
      <c r="S177" s="48">
        <v>21.54</v>
      </c>
      <c r="T177" s="72">
        <v>1</v>
      </c>
      <c r="U177">
        <v>20</v>
      </c>
      <c r="V177" s="31">
        <v>4.3079999999999998</v>
      </c>
      <c r="W177" s="31">
        <v>4.3079999999999998</v>
      </c>
      <c r="X177" s="33">
        <v>21.54</v>
      </c>
      <c r="Y177" s="29">
        <v>25.847999999999999</v>
      </c>
      <c r="Z177" s="29">
        <v>25.847999999999999</v>
      </c>
      <c r="AA177" s="35">
        <v>44150</v>
      </c>
      <c r="AB177" s="27"/>
      <c r="AC177" s="27"/>
      <c r="AD177" s="58">
        <v>21.54</v>
      </c>
      <c r="AE177" s="31">
        <v>0</v>
      </c>
      <c r="AF177" t="b">
        <v>0</v>
      </c>
      <c r="AG177" s="78">
        <v>-21.54</v>
      </c>
    </row>
    <row r="178" spans="1:33" x14ac:dyDescent="0.25">
      <c r="A178" t="str">
        <f t="shared" si="14"/>
        <v>2020-177</v>
      </c>
      <c r="B178" s="1">
        <f t="shared" si="15"/>
        <v>44084</v>
      </c>
      <c r="C178" t="str">
        <f t="shared" si="16"/>
        <v>5112142283/Wiener Netze GmbH, Erdbergstraße 236, 1110 Wien, Postfach 422</v>
      </c>
      <c r="D178" t="str">
        <f t="shared" si="17"/>
        <v>Ausgaben</v>
      </c>
      <c r="E178" t="str">
        <f t="shared" si="18"/>
        <v>sonstige Betriebsausgaben</v>
      </c>
      <c r="F178" s="117">
        <f t="shared" si="19"/>
        <v>34.799999999999997</v>
      </c>
      <c r="G178" t="str">
        <f t="shared" si="20"/>
        <v>20%</v>
      </c>
      <c r="I178" s="53">
        <v>2020</v>
      </c>
      <c r="J178" s="53">
        <v>177</v>
      </c>
      <c r="K178" s="71" t="s">
        <v>105</v>
      </c>
      <c r="L178" t="s">
        <v>705</v>
      </c>
      <c r="M178" s="74" t="s">
        <v>1222</v>
      </c>
      <c r="N178" s="1">
        <v>44084</v>
      </c>
      <c r="O178" t="s">
        <v>1223</v>
      </c>
      <c r="Q178" s="76"/>
      <c r="R178" t="b">
        <v>0</v>
      </c>
      <c r="S178" s="109">
        <v>29</v>
      </c>
      <c r="T178" s="72">
        <v>1</v>
      </c>
      <c r="U178">
        <v>20</v>
      </c>
      <c r="V178" s="31">
        <v>5.8</v>
      </c>
      <c r="W178" s="31">
        <v>5.8</v>
      </c>
      <c r="X178" s="33">
        <v>29</v>
      </c>
      <c r="Y178" s="29">
        <v>34.799999999999997</v>
      </c>
      <c r="Z178" s="29">
        <v>34.799999999999997</v>
      </c>
      <c r="AA178" s="35">
        <v>44150</v>
      </c>
      <c r="AB178" s="27"/>
      <c r="AC178" s="27"/>
      <c r="AD178" s="58">
        <v>29</v>
      </c>
      <c r="AE178" s="31">
        <v>0</v>
      </c>
      <c r="AF178" t="b">
        <v>0</v>
      </c>
      <c r="AG178" s="78">
        <v>-29</v>
      </c>
    </row>
    <row r="179" spans="1:33" x14ac:dyDescent="0.25">
      <c r="A179" t="str">
        <f t="shared" si="14"/>
        <v>2020-178</v>
      </c>
      <c r="B179" s="1">
        <f t="shared" si="15"/>
        <v>44085</v>
      </c>
      <c r="C179" t="str">
        <f t="shared" si="16"/>
        <v>R0011917182/Hetzner Online GmbH</v>
      </c>
      <c r="D179" t="str">
        <f t="shared" si="17"/>
        <v>Ausgaben</v>
      </c>
      <c r="E179" t="str">
        <f t="shared" si="18"/>
        <v>sonstige Betriebsausgaben</v>
      </c>
      <c r="F179" s="117">
        <f t="shared" si="19"/>
        <v>46.92</v>
      </c>
      <c r="G179" t="str">
        <f t="shared" si="20"/>
        <v>0%</v>
      </c>
      <c r="I179" s="53">
        <v>2020</v>
      </c>
      <c r="J179" s="53">
        <v>178</v>
      </c>
      <c r="K179" s="71" t="s">
        <v>105</v>
      </c>
      <c r="L179" t="s">
        <v>705</v>
      </c>
      <c r="M179" t="s">
        <v>1409</v>
      </c>
      <c r="N179" s="1">
        <v>44085</v>
      </c>
      <c r="O179" t="s">
        <v>927</v>
      </c>
      <c r="Q179" s="76"/>
      <c r="R179" t="b">
        <v>0</v>
      </c>
      <c r="S179" s="109">
        <v>46.92</v>
      </c>
      <c r="T179" s="72">
        <v>1</v>
      </c>
      <c r="U179">
        <v>0</v>
      </c>
      <c r="V179" s="31">
        <v>0</v>
      </c>
      <c r="W179" s="31">
        <v>0</v>
      </c>
      <c r="X179" s="33">
        <v>46.92</v>
      </c>
      <c r="Y179" s="29">
        <v>46.92</v>
      </c>
      <c r="Z179" s="29">
        <v>46.92</v>
      </c>
      <c r="AA179" s="35">
        <v>44150</v>
      </c>
      <c r="AB179" s="27"/>
      <c r="AC179" s="27">
        <v>20</v>
      </c>
      <c r="AD179" s="58">
        <v>46.92</v>
      </c>
      <c r="AE179" s="31">
        <v>9.3840000000000003</v>
      </c>
      <c r="AF179" t="b">
        <v>0</v>
      </c>
      <c r="AG179" s="78">
        <v>-46.92</v>
      </c>
    </row>
    <row r="180" spans="1:33" x14ac:dyDescent="0.25">
      <c r="A180" t="str">
        <f t="shared" si="14"/>
        <v>2020-179</v>
      </c>
      <c r="B180" s="1">
        <f t="shared" si="15"/>
        <v>44095</v>
      </c>
      <c r="C180" t="str">
        <f t="shared" si="16"/>
        <v>901202900920/Magenta: T-Mobile Austria GmbH, A-1120 Wien, PF 47</v>
      </c>
      <c r="D180" t="str">
        <f t="shared" si="17"/>
        <v>Ausgaben</v>
      </c>
      <c r="E180" t="str">
        <f t="shared" si="18"/>
        <v>Telefon/Internet</v>
      </c>
      <c r="F180" s="117">
        <f t="shared" si="19"/>
        <v>42.288000000000004</v>
      </c>
      <c r="G180" t="str">
        <f t="shared" si="20"/>
        <v>20%</v>
      </c>
      <c r="I180" s="53">
        <v>2020</v>
      </c>
      <c r="J180" s="53">
        <v>179</v>
      </c>
      <c r="K180" s="71" t="s">
        <v>105</v>
      </c>
      <c r="L180" t="s">
        <v>703</v>
      </c>
      <c r="M180" s="74" t="s">
        <v>1410</v>
      </c>
      <c r="N180" s="1">
        <v>44095</v>
      </c>
      <c r="O180" t="s">
        <v>1148</v>
      </c>
      <c r="Q180" s="76"/>
      <c r="R180" t="b">
        <v>0</v>
      </c>
      <c r="S180" s="48">
        <v>35.24</v>
      </c>
      <c r="T180" s="72">
        <v>1</v>
      </c>
      <c r="U180">
        <v>20</v>
      </c>
      <c r="V180" s="31">
        <v>7.0480000000000009</v>
      </c>
      <c r="W180" s="31">
        <v>7.0480000000000009</v>
      </c>
      <c r="X180" s="33">
        <v>35.24</v>
      </c>
      <c r="Y180" s="29">
        <v>42.288000000000004</v>
      </c>
      <c r="Z180" s="29">
        <v>42.288000000000004</v>
      </c>
      <c r="AA180" s="35">
        <v>44150</v>
      </c>
      <c r="AB180" s="27"/>
      <c r="AC180" s="27"/>
      <c r="AD180" s="58">
        <v>35.24</v>
      </c>
      <c r="AE180" s="31">
        <v>0</v>
      </c>
      <c r="AF180" t="b">
        <v>0</v>
      </c>
      <c r="AG180" s="78">
        <v>-35.24</v>
      </c>
    </row>
    <row r="181" spans="1:33" x14ac:dyDescent="0.25">
      <c r="A181" t="str">
        <f t="shared" si="14"/>
        <v>2020-180</v>
      </c>
      <c r="B181" s="1">
        <f t="shared" si="15"/>
        <v>44097</v>
      </c>
      <c r="C181" t="str">
        <f t="shared" si="16"/>
        <v>12020028/Paperholic all bout paper e.U.</v>
      </c>
      <c r="D181" t="str">
        <f t="shared" si="17"/>
        <v>Einnahmen</v>
      </c>
      <c r="E181" t="str">
        <f t="shared" si="18"/>
        <v>Waren-/Leistungserlöse</v>
      </c>
      <c r="F181" s="117">
        <f t="shared" si="19"/>
        <v>210</v>
      </c>
      <c r="G181" t="str">
        <f t="shared" si="20"/>
        <v>20%</v>
      </c>
      <c r="I181" s="53">
        <v>2020</v>
      </c>
      <c r="J181" s="53">
        <v>180</v>
      </c>
      <c r="K181" s="71" t="s">
        <v>708</v>
      </c>
      <c r="L181" t="s">
        <v>709</v>
      </c>
      <c r="M181" s="6">
        <v>12020028</v>
      </c>
      <c r="N181" s="1">
        <v>44097</v>
      </c>
      <c r="O181" t="s">
        <v>1388</v>
      </c>
      <c r="Q181" s="76"/>
      <c r="R181" t="b">
        <v>0</v>
      </c>
      <c r="S181" s="48">
        <v>175</v>
      </c>
      <c r="T181" s="72">
        <v>1</v>
      </c>
      <c r="U181">
        <v>20</v>
      </c>
      <c r="V181" s="31">
        <v>35</v>
      </c>
      <c r="W181" s="31">
        <v>35</v>
      </c>
      <c r="X181" s="33">
        <v>175</v>
      </c>
      <c r="Y181" s="29">
        <v>210</v>
      </c>
      <c r="Z181" s="29">
        <v>210</v>
      </c>
      <c r="AA181" s="35">
        <v>44150</v>
      </c>
      <c r="AB181" s="27"/>
      <c r="AC181" s="27"/>
      <c r="AD181" s="58">
        <v>175</v>
      </c>
      <c r="AE181" s="31">
        <v>0</v>
      </c>
      <c r="AF181" t="b">
        <v>0</v>
      </c>
      <c r="AG181" s="78">
        <v>175</v>
      </c>
    </row>
    <row r="182" spans="1:33" x14ac:dyDescent="0.25">
      <c r="A182" t="str">
        <f t="shared" si="14"/>
        <v>2020-181</v>
      </c>
      <c r="B182" s="1">
        <f t="shared" si="15"/>
        <v>44102</v>
      </c>
      <c r="C182" t="str">
        <f t="shared" si="16"/>
        <v>12020029/DCF - Digital Coding Factory GmbH, Bauernfeldgasse 4/12 1090 Wien</v>
      </c>
      <c r="D182" t="str">
        <f t="shared" si="17"/>
        <v>Einnahmen</v>
      </c>
      <c r="E182" t="str">
        <f t="shared" si="18"/>
        <v>Waren-/Leistungserlöse</v>
      </c>
      <c r="F182" s="117">
        <f t="shared" si="19"/>
        <v>360.60000000000008</v>
      </c>
      <c r="G182" t="str">
        <f t="shared" si="20"/>
        <v>20%</v>
      </c>
      <c r="I182" s="53">
        <v>2020</v>
      </c>
      <c r="J182" s="53">
        <v>181</v>
      </c>
      <c r="K182" s="71" t="s">
        <v>708</v>
      </c>
      <c r="L182" t="s">
        <v>709</v>
      </c>
      <c r="M182" s="6">
        <v>12020029</v>
      </c>
      <c r="N182" s="1">
        <v>44102</v>
      </c>
      <c r="O182" t="s">
        <v>1266</v>
      </c>
      <c r="Q182" s="76"/>
      <c r="R182" t="b">
        <v>0</v>
      </c>
      <c r="S182" s="48">
        <v>300.50000000000006</v>
      </c>
      <c r="T182" s="72">
        <v>1</v>
      </c>
      <c r="U182">
        <v>20</v>
      </c>
      <c r="V182" s="31">
        <v>60.100000000000009</v>
      </c>
      <c r="W182" s="31">
        <v>60.100000000000009</v>
      </c>
      <c r="X182" s="33">
        <v>300.50000000000006</v>
      </c>
      <c r="Y182" s="29">
        <v>360.60000000000008</v>
      </c>
      <c r="Z182" s="29">
        <v>360.60000000000008</v>
      </c>
      <c r="AA182" s="35">
        <v>44150</v>
      </c>
      <c r="AB182" s="27"/>
      <c r="AC182" s="27"/>
      <c r="AD182" s="58">
        <v>300.50000000000006</v>
      </c>
      <c r="AE182" s="31">
        <v>0</v>
      </c>
      <c r="AF182" t="b">
        <v>0</v>
      </c>
      <c r="AG182" s="78">
        <v>300.50000000000006</v>
      </c>
    </row>
    <row r="183" spans="1:33" x14ac:dyDescent="0.25">
      <c r="A183" t="str">
        <f t="shared" si="14"/>
        <v>2020-182</v>
      </c>
      <c r="B183" s="1">
        <f t="shared" si="15"/>
        <v>44102</v>
      </c>
      <c r="C183" t="str">
        <f t="shared" si="16"/>
        <v>12020030/DCF - Digital Coding Factory GmbH, Bauernfeldgasse 4/12 1090 Wien</v>
      </c>
      <c r="D183" t="str">
        <f t="shared" si="17"/>
        <v>Einnahmen</v>
      </c>
      <c r="E183" t="str">
        <f t="shared" si="18"/>
        <v>Waren-/Leistungserlöse</v>
      </c>
      <c r="F183" s="117">
        <f t="shared" si="19"/>
        <v>15012</v>
      </c>
      <c r="G183" t="str">
        <f t="shared" si="20"/>
        <v>20%</v>
      </c>
      <c r="I183" s="53">
        <v>2020</v>
      </c>
      <c r="J183" s="53">
        <v>182</v>
      </c>
      <c r="K183" s="71" t="s">
        <v>708</v>
      </c>
      <c r="L183" t="s">
        <v>709</v>
      </c>
      <c r="M183" s="6">
        <v>12020030</v>
      </c>
      <c r="N183" s="1">
        <v>44102</v>
      </c>
      <c r="O183" t="s">
        <v>1266</v>
      </c>
      <c r="Q183" s="76"/>
      <c r="R183" t="b">
        <v>0</v>
      </c>
      <c r="S183" s="48">
        <v>12510</v>
      </c>
      <c r="T183" s="72">
        <v>1</v>
      </c>
      <c r="U183">
        <v>20</v>
      </c>
      <c r="V183" s="31">
        <v>2502</v>
      </c>
      <c r="W183" s="31">
        <v>2502</v>
      </c>
      <c r="X183" s="33">
        <v>12510</v>
      </c>
      <c r="Y183" s="29">
        <v>15012</v>
      </c>
      <c r="Z183" s="29">
        <v>15012</v>
      </c>
      <c r="AA183" s="35">
        <v>44150</v>
      </c>
      <c r="AB183" s="27"/>
      <c r="AC183" s="27"/>
      <c r="AD183" s="58">
        <v>12510</v>
      </c>
      <c r="AE183" s="31">
        <v>0</v>
      </c>
      <c r="AF183" t="b">
        <v>0</v>
      </c>
      <c r="AG183" s="78">
        <v>12510</v>
      </c>
    </row>
    <row r="184" spans="1:33" x14ac:dyDescent="0.25">
      <c r="A184" t="str">
        <f t="shared" si="14"/>
        <v>2020-183</v>
      </c>
      <c r="B184" s="1">
        <f t="shared" si="15"/>
        <v>44102</v>
      </c>
      <c r="C184" t="str">
        <f t="shared" si="16"/>
        <v>12020033/ZT DI Dr. Arno Kolbitsch, Gütleweg 1, 6822 Satteins</v>
      </c>
      <c r="D184" t="str">
        <f t="shared" si="17"/>
        <v>Einnahmen</v>
      </c>
      <c r="E184" t="str">
        <f t="shared" si="18"/>
        <v>Waren-/Leistungserlöse</v>
      </c>
      <c r="F184" s="117">
        <f t="shared" si="19"/>
        <v>2623.1759999999999</v>
      </c>
      <c r="G184" t="str">
        <f t="shared" si="20"/>
        <v>20%</v>
      </c>
      <c r="I184" s="53">
        <v>2020</v>
      </c>
      <c r="J184" s="53">
        <v>183</v>
      </c>
      <c r="K184" s="71" t="s">
        <v>708</v>
      </c>
      <c r="L184" t="s">
        <v>709</v>
      </c>
      <c r="M184" s="6">
        <v>12020033</v>
      </c>
      <c r="N184" s="1">
        <v>44102</v>
      </c>
      <c r="O184" t="s">
        <v>1038</v>
      </c>
      <c r="Q184" s="76"/>
      <c r="R184" t="b">
        <v>0</v>
      </c>
      <c r="S184" s="48">
        <v>2185.98</v>
      </c>
      <c r="T184" s="72">
        <v>1</v>
      </c>
      <c r="U184">
        <v>20</v>
      </c>
      <c r="V184" s="31">
        <v>437.19599999999997</v>
      </c>
      <c r="W184" s="31">
        <v>437.19599999999997</v>
      </c>
      <c r="X184" s="33">
        <v>2185.98</v>
      </c>
      <c r="Y184" s="29">
        <v>2623.1759999999999</v>
      </c>
      <c r="Z184" s="29">
        <v>2623.1759999999999</v>
      </c>
      <c r="AA184" s="35">
        <v>44150</v>
      </c>
      <c r="AB184" s="27"/>
      <c r="AC184" s="27"/>
      <c r="AD184" s="58">
        <v>2185.98</v>
      </c>
      <c r="AE184" s="31">
        <v>0</v>
      </c>
      <c r="AF184" t="b">
        <v>0</v>
      </c>
      <c r="AG184" s="78">
        <v>2185.98</v>
      </c>
    </row>
    <row r="185" spans="1:33" x14ac:dyDescent="0.25">
      <c r="A185" t="str">
        <f t="shared" si="14"/>
        <v>2020-184</v>
      </c>
      <c r="B185" s="1">
        <f t="shared" si="15"/>
        <v>44103</v>
      </c>
      <c r="C185" t="str">
        <f t="shared" si="16"/>
        <v>INV-CZ-136954441-2020-182/3FCOM, 2 BIS, RUE DE L'INDUSTRIE, DRAVEIL, France, 91210, USt-IDNr. CZ685026459</v>
      </c>
      <c r="D185" t="str">
        <f t="shared" si="17"/>
        <v>Ausgaben</v>
      </c>
      <c r="E185" t="str">
        <f t="shared" si="18"/>
        <v>Waren, Rohstoffe, Hilfsstoffe</v>
      </c>
      <c r="F185" s="117">
        <f t="shared" si="19"/>
        <v>56.38</v>
      </c>
      <c r="G185" t="str">
        <f t="shared" si="20"/>
        <v>0%</v>
      </c>
      <c r="I185" s="53">
        <v>2020</v>
      </c>
      <c r="J185" s="53">
        <v>184</v>
      </c>
      <c r="K185" s="71" t="s">
        <v>105</v>
      </c>
      <c r="L185" t="s">
        <v>683</v>
      </c>
      <c r="M185" t="s">
        <v>1411</v>
      </c>
      <c r="N185" s="1">
        <v>44103</v>
      </c>
      <c r="O185" t="s">
        <v>1412</v>
      </c>
      <c r="Q185" s="76"/>
      <c r="R185" t="b">
        <v>0</v>
      </c>
      <c r="S185" s="48">
        <v>56.38</v>
      </c>
      <c r="T185" s="72">
        <v>1</v>
      </c>
      <c r="U185">
        <v>0</v>
      </c>
      <c r="V185" s="31">
        <v>0</v>
      </c>
      <c r="W185" s="31">
        <v>0</v>
      </c>
      <c r="X185" s="33">
        <v>56.38</v>
      </c>
      <c r="Y185" s="29">
        <v>56.38</v>
      </c>
      <c r="Z185" s="29">
        <v>56.38</v>
      </c>
      <c r="AA185" s="35">
        <v>44150</v>
      </c>
      <c r="AB185" s="27"/>
      <c r="AC185" s="27"/>
      <c r="AD185" s="58">
        <v>56.38</v>
      </c>
      <c r="AE185" s="31">
        <v>0</v>
      </c>
      <c r="AF185" t="b">
        <v>0</v>
      </c>
      <c r="AG185" s="78">
        <v>-56.38</v>
      </c>
    </row>
    <row r="186" spans="1:33" x14ac:dyDescent="0.25">
      <c r="A186" t="str">
        <f t="shared" si="14"/>
        <v>2020-185</v>
      </c>
      <c r="B186" s="1">
        <f t="shared" si="15"/>
        <v>44105</v>
      </c>
      <c r="C186" t="str">
        <f t="shared" si="16"/>
        <v>20/9801/VS00486/Bontus Immobilienverwaltung GmbH, 1010 Wien, Franz Josefs Kai 65</v>
      </c>
      <c r="D186" t="str">
        <f t="shared" si="17"/>
        <v>Ausgaben</v>
      </c>
      <c r="E186" t="str">
        <f t="shared" si="18"/>
        <v>Miet- und Pachtaufwand, Leasing</v>
      </c>
      <c r="F186" s="117">
        <f t="shared" si="19"/>
        <v>554.928</v>
      </c>
      <c r="G186" t="str">
        <f t="shared" si="20"/>
        <v>20%</v>
      </c>
      <c r="I186" s="53">
        <v>2020</v>
      </c>
      <c r="J186" s="53">
        <v>185</v>
      </c>
      <c r="K186" s="71" t="s">
        <v>105</v>
      </c>
      <c r="L186" t="s">
        <v>691</v>
      </c>
      <c r="M186" s="74" t="s">
        <v>1372</v>
      </c>
      <c r="N186" s="1">
        <v>44105</v>
      </c>
      <c r="O186" t="s">
        <v>1113</v>
      </c>
      <c r="Q186" s="76"/>
      <c r="R186" t="b">
        <v>0</v>
      </c>
      <c r="S186" s="48">
        <v>462.44</v>
      </c>
      <c r="T186" s="72">
        <v>1</v>
      </c>
      <c r="U186">
        <v>20</v>
      </c>
      <c r="V186" s="31">
        <v>92.488</v>
      </c>
      <c r="W186" s="31">
        <v>92.488</v>
      </c>
      <c r="X186" s="33">
        <v>462.44</v>
      </c>
      <c r="Y186" s="29">
        <v>554.928</v>
      </c>
      <c r="Z186" s="29">
        <v>554.928</v>
      </c>
      <c r="AA186" s="35">
        <v>44242</v>
      </c>
      <c r="AB186" s="27"/>
      <c r="AC186" s="27"/>
      <c r="AD186" s="58">
        <v>462.44</v>
      </c>
      <c r="AE186" s="31">
        <v>0</v>
      </c>
      <c r="AF186" t="b">
        <v>0</v>
      </c>
      <c r="AG186" s="78">
        <v>-462.44</v>
      </c>
    </row>
    <row r="187" spans="1:33" x14ac:dyDescent="0.25">
      <c r="A187" t="str">
        <f t="shared" si="14"/>
        <v>2020-186</v>
      </c>
      <c r="B187" s="1">
        <f t="shared" si="15"/>
        <v>44106</v>
      </c>
      <c r="C187" t="str">
        <f t="shared" si="16"/>
        <v>6208395543/Hutchison Drei Austria GmbH, Brünner Straße 52, 1210 Wien, Österreich</v>
      </c>
      <c r="D187" t="str">
        <f t="shared" si="17"/>
        <v>Ausgaben</v>
      </c>
      <c r="E187" t="str">
        <f t="shared" si="18"/>
        <v>Telefon/Internet</v>
      </c>
      <c r="F187" s="117">
        <f t="shared" si="19"/>
        <v>18</v>
      </c>
      <c r="G187" t="str">
        <f t="shared" si="20"/>
        <v>20%</v>
      </c>
      <c r="I187" s="53">
        <v>2020</v>
      </c>
      <c r="J187" s="53">
        <v>186</v>
      </c>
      <c r="K187" s="71" t="s">
        <v>105</v>
      </c>
      <c r="L187" t="s">
        <v>703</v>
      </c>
      <c r="M187" s="74" t="s">
        <v>1413</v>
      </c>
      <c r="N187" s="1">
        <v>44106</v>
      </c>
      <c r="O187" t="s">
        <v>34</v>
      </c>
      <c r="Q187" s="76"/>
      <c r="R187" t="b">
        <v>0</v>
      </c>
      <c r="S187" s="48">
        <v>15</v>
      </c>
      <c r="T187" s="72">
        <v>1</v>
      </c>
      <c r="U187">
        <v>20</v>
      </c>
      <c r="V187" s="31">
        <v>3</v>
      </c>
      <c r="W187" s="31">
        <v>3</v>
      </c>
      <c r="X187" s="33">
        <v>15</v>
      </c>
      <c r="Y187" s="29">
        <v>18</v>
      </c>
      <c r="Z187" s="29">
        <v>18</v>
      </c>
      <c r="AA187" s="35">
        <v>44242</v>
      </c>
      <c r="AB187" s="27"/>
      <c r="AC187" s="27"/>
      <c r="AD187" s="58">
        <v>15</v>
      </c>
      <c r="AE187" s="31">
        <v>0</v>
      </c>
      <c r="AF187" t="b">
        <v>0</v>
      </c>
      <c r="AG187" s="78">
        <v>-15</v>
      </c>
    </row>
    <row r="188" spans="1:33" x14ac:dyDescent="0.25">
      <c r="A188" t="str">
        <f t="shared" si="14"/>
        <v>2020-187</v>
      </c>
      <c r="B188" s="1">
        <f t="shared" si="15"/>
        <v>44106</v>
      </c>
      <c r="C188" t="str">
        <f t="shared" si="16"/>
        <v>4293000000017710/car2go Österreich GmbH, Hintere Zollamtstraße 9, 1030 Wien</v>
      </c>
      <c r="D188" t="str">
        <f t="shared" si="17"/>
        <v>Ausgaben</v>
      </c>
      <c r="E188" t="str">
        <f t="shared" si="18"/>
        <v>Reise- und Fahrtspesen inkl. Kilometergeld und Diäten</v>
      </c>
      <c r="F188" s="117">
        <f t="shared" si="19"/>
        <v>62.16</v>
      </c>
      <c r="G188" t="str">
        <f t="shared" si="20"/>
        <v>20%</v>
      </c>
      <c r="I188" s="53">
        <v>2020</v>
      </c>
      <c r="J188" s="53">
        <v>187</v>
      </c>
      <c r="K188" s="71" t="s">
        <v>105</v>
      </c>
      <c r="L188" t="s">
        <v>689</v>
      </c>
      <c r="M188" s="39" t="s">
        <v>1414</v>
      </c>
      <c r="N188" s="1">
        <v>44106</v>
      </c>
      <c r="O188" t="s">
        <v>974</v>
      </c>
      <c r="Q188" s="76"/>
      <c r="R188" t="b">
        <v>0</v>
      </c>
      <c r="S188" s="48">
        <v>51.8</v>
      </c>
      <c r="T188" s="72">
        <v>1</v>
      </c>
      <c r="U188">
        <v>20</v>
      </c>
      <c r="V188" s="31">
        <v>10.36</v>
      </c>
      <c r="W188" s="31">
        <v>10.36</v>
      </c>
      <c r="X188" s="33">
        <v>51.8</v>
      </c>
      <c r="Y188" s="29">
        <v>62.16</v>
      </c>
      <c r="Z188" s="29">
        <v>62.16</v>
      </c>
      <c r="AA188" s="35">
        <v>44242</v>
      </c>
      <c r="AB188" s="27"/>
      <c r="AC188" s="27"/>
      <c r="AD188" s="58">
        <v>51.8</v>
      </c>
      <c r="AE188" s="31">
        <v>0</v>
      </c>
      <c r="AF188" t="b">
        <v>0</v>
      </c>
      <c r="AG188" s="78">
        <v>-51.8</v>
      </c>
    </row>
    <row r="189" spans="1:33" x14ac:dyDescent="0.25">
      <c r="A189" t="str">
        <f t="shared" si="14"/>
        <v>2020-188</v>
      </c>
      <c r="B189" s="1">
        <f t="shared" si="15"/>
        <v>44064</v>
      </c>
      <c r="C189" t="str">
        <f t="shared" si="16"/>
        <v>901202370820/Magenta: T-Mobile Austria GmbH, A-1120 Wien, PF 47</v>
      </c>
      <c r="D189" t="str">
        <f t="shared" si="17"/>
        <v>Ausgaben</v>
      </c>
      <c r="E189" t="str">
        <f t="shared" si="18"/>
        <v>Telefon/Internet</v>
      </c>
      <c r="F189" s="117">
        <f t="shared" si="19"/>
        <v>42.288000000000004</v>
      </c>
      <c r="G189" t="str">
        <f t="shared" si="20"/>
        <v>20%</v>
      </c>
      <c r="I189" s="53">
        <v>2020</v>
      </c>
      <c r="J189" s="53">
        <v>188</v>
      </c>
      <c r="K189" s="71" t="s">
        <v>105</v>
      </c>
      <c r="L189" t="s">
        <v>703</v>
      </c>
      <c r="M189" s="39" t="s">
        <v>1415</v>
      </c>
      <c r="N189" s="1">
        <v>44064</v>
      </c>
      <c r="O189" t="s">
        <v>1148</v>
      </c>
      <c r="Q189" s="76"/>
      <c r="R189" t="b">
        <v>0</v>
      </c>
      <c r="S189" s="48">
        <v>35.24</v>
      </c>
      <c r="T189" s="72">
        <v>1</v>
      </c>
      <c r="U189">
        <v>20</v>
      </c>
      <c r="V189" s="31">
        <v>7.0480000000000009</v>
      </c>
      <c r="W189" s="31">
        <v>7.0480000000000009</v>
      </c>
      <c r="X189" s="33">
        <v>35.24</v>
      </c>
      <c r="Y189" s="29">
        <v>42.288000000000004</v>
      </c>
      <c r="Z189" s="29">
        <v>42.288000000000004</v>
      </c>
      <c r="AA189" s="35">
        <v>44150</v>
      </c>
      <c r="AB189" s="27"/>
      <c r="AC189" s="27"/>
      <c r="AD189" s="58">
        <v>35.24</v>
      </c>
      <c r="AE189" s="31">
        <v>0</v>
      </c>
      <c r="AF189" t="b">
        <v>0</v>
      </c>
      <c r="AG189" s="78">
        <v>-35.24</v>
      </c>
    </row>
    <row r="190" spans="1:33" x14ac:dyDescent="0.25">
      <c r="A190" t="str">
        <f t="shared" si="14"/>
        <v>2020-189</v>
      </c>
      <c r="B190" s="1">
        <f t="shared" si="15"/>
        <v>44109</v>
      </c>
      <c r="C190" t="str">
        <f t="shared" si="16"/>
        <v>3798454186/Google Ireland Ltd, Gordon House, Barrow Street, Dublin 4, Ireland; VAT number: IE 6388047V</v>
      </c>
      <c r="D190" t="str">
        <f t="shared" si="17"/>
        <v>Ausgaben</v>
      </c>
      <c r="E190" t="str">
        <f t="shared" si="18"/>
        <v>sonstige Betriebsausgaben</v>
      </c>
      <c r="F190" s="117">
        <f t="shared" si="19"/>
        <v>9.36</v>
      </c>
      <c r="G190" t="str">
        <f t="shared" si="20"/>
        <v>0%</v>
      </c>
      <c r="I190" s="53">
        <v>2020</v>
      </c>
      <c r="J190" s="53">
        <v>189</v>
      </c>
      <c r="K190" s="71" t="s">
        <v>105</v>
      </c>
      <c r="L190" t="s">
        <v>705</v>
      </c>
      <c r="M190" s="74" t="s">
        <v>1405</v>
      </c>
      <c r="N190" s="1">
        <v>44109</v>
      </c>
      <c r="O190" t="s">
        <v>1404</v>
      </c>
      <c r="Q190" s="76"/>
      <c r="R190" t="b">
        <v>0</v>
      </c>
      <c r="S190" s="48">
        <v>9.36</v>
      </c>
      <c r="T190" s="72">
        <v>1</v>
      </c>
      <c r="U190">
        <v>0</v>
      </c>
      <c r="V190" s="31">
        <v>0</v>
      </c>
      <c r="W190" s="31">
        <v>0</v>
      </c>
      <c r="X190" s="33">
        <v>9.36</v>
      </c>
      <c r="Y190" s="29">
        <v>9.36</v>
      </c>
      <c r="Z190" s="29">
        <v>9.36</v>
      </c>
      <c r="AA190" s="35">
        <v>44242</v>
      </c>
      <c r="AB190" s="27"/>
      <c r="AC190" s="27">
        <v>20</v>
      </c>
      <c r="AD190" s="58">
        <v>9.36</v>
      </c>
      <c r="AE190" s="31">
        <v>1.8719999999999999</v>
      </c>
      <c r="AF190" t="b">
        <v>0</v>
      </c>
      <c r="AG190" s="78">
        <v>-9.36</v>
      </c>
    </row>
    <row r="191" spans="1:33" x14ac:dyDescent="0.25">
      <c r="A191" t="str">
        <f t="shared" si="14"/>
        <v>2020-190</v>
      </c>
      <c r="B191" s="1">
        <f t="shared" si="15"/>
        <v>44109</v>
      </c>
      <c r="C191" t="str">
        <f t="shared" si="16"/>
        <v>807693/easy green energy GmbH &amp; Co KG</v>
      </c>
      <c r="D191" t="str">
        <f t="shared" si="17"/>
        <v>Ausgaben</v>
      </c>
      <c r="E191" t="str">
        <f t="shared" si="18"/>
        <v>sonstige Betriebsausgaben</v>
      </c>
      <c r="F191" s="117">
        <f t="shared" si="19"/>
        <v>3</v>
      </c>
      <c r="G191" t="str">
        <f t="shared" si="20"/>
        <v>20%</v>
      </c>
      <c r="I191" s="53">
        <v>2020</v>
      </c>
      <c r="J191" s="53">
        <v>190</v>
      </c>
      <c r="K191" s="71" t="s">
        <v>105</v>
      </c>
      <c r="L191" t="s">
        <v>705</v>
      </c>
      <c r="M191" s="74" t="s">
        <v>1225</v>
      </c>
      <c r="N191" s="1">
        <v>44109</v>
      </c>
      <c r="O191" t="s">
        <v>1364</v>
      </c>
      <c r="Q191" s="76"/>
      <c r="R191" t="b">
        <v>0</v>
      </c>
      <c r="S191" s="48">
        <v>2.5</v>
      </c>
      <c r="T191" s="72">
        <v>1</v>
      </c>
      <c r="U191">
        <v>20</v>
      </c>
      <c r="V191" s="31">
        <v>0.5</v>
      </c>
      <c r="W191" s="31">
        <v>0.5</v>
      </c>
      <c r="X191" s="33">
        <v>2.5</v>
      </c>
      <c r="Y191" s="29">
        <v>3</v>
      </c>
      <c r="Z191" s="29">
        <v>3</v>
      </c>
      <c r="AA191" s="35">
        <v>44242</v>
      </c>
      <c r="AB191" s="27"/>
      <c r="AC191" s="27"/>
      <c r="AD191" s="58">
        <v>2.5</v>
      </c>
      <c r="AE191" s="31">
        <v>0</v>
      </c>
      <c r="AF191" t="b">
        <v>0</v>
      </c>
      <c r="AG191" s="78">
        <v>-2.5</v>
      </c>
    </row>
    <row r="192" spans="1:33" x14ac:dyDescent="0.25">
      <c r="A192" t="str">
        <f t="shared" si="14"/>
        <v>2020-191</v>
      </c>
      <c r="B192" s="1">
        <f t="shared" si="15"/>
        <v>44110</v>
      </c>
      <c r="C192" t="str">
        <f t="shared" si="16"/>
        <v>HKA/20-01-39452/Techem Messtechnik GmbH; Abnehmernummer 501686-0003-11-(</v>
      </c>
      <c r="D192" t="str">
        <f t="shared" si="17"/>
        <v>Ausgaben</v>
      </c>
      <c r="E192" t="str">
        <f t="shared" si="18"/>
        <v>sonstige Betriebsausgaben</v>
      </c>
      <c r="F192" s="117">
        <f t="shared" si="19"/>
        <v>42</v>
      </c>
      <c r="G192" t="str">
        <f t="shared" si="20"/>
        <v>20%</v>
      </c>
      <c r="I192" s="53">
        <v>2020</v>
      </c>
      <c r="J192" s="53">
        <v>191</v>
      </c>
      <c r="K192" s="71" t="s">
        <v>105</v>
      </c>
      <c r="L192" t="s">
        <v>705</v>
      </c>
      <c r="M192" s="74" t="s">
        <v>1397</v>
      </c>
      <c r="N192" s="1">
        <v>44110</v>
      </c>
      <c r="O192" t="s">
        <v>1128</v>
      </c>
      <c r="Q192" s="76"/>
      <c r="R192" t="b">
        <v>0</v>
      </c>
      <c r="S192" s="48">
        <v>35</v>
      </c>
      <c r="T192" s="72">
        <v>1</v>
      </c>
      <c r="U192">
        <v>20</v>
      </c>
      <c r="V192" s="31">
        <v>7</v>
      </c>
      <c r="W192" s="31">
        <v>7</v>
      </c>
      <c r="X192" s="33">
        <v>35</v>
      </c>
      <c r="Y192" s="29">
        <v>42</v>
      </c>
      <c r="Z192" s="29">
        <v>42</v>
      </c>
      <c r="AA192" s="35">
        <v>44242</v>
      </c>
      <c r="AB192" s="27"/>
      <c r="AC192" s="27"/>
      <c r="AD192" s="58">
        <v>35</v>
      </c>
      <c r="AE192" s="31">
        <v>0</v>
      </c>
      <c r="AF192" t="b">
        <v>0</v>
      </c>
      <c r="AG192" s="78">
        <v>-35</v>
      </c>
    </row>
    <row r="193" spans="1:33" x14ac:dyDescent="0.25">
      <c r="A193" t="str">
        <f t="shared" si="14"/>
        <v>2020-192</v>
      </c>
      <c r="B193" s="1">
        <f t="shared" si="15"/>
        <v>44111</v>
      </c>
      <c r="C193" t="str">
        <f t="shared" si="16"/>
        <v>R0012046586/Hetzner Online GmbH</v>
      </c>
      <c r="D193" t="str">
        <f t="shared" si="17"/>
        <v>Ausgaben</v>
      </c>
      <c r="E193" t="str">
        <f t="shared" si="18"/>
        <v>sonstige Betriebsausgaben</v>
      </c>
      <c r="F193" s="117">
        <f t="shared" si="19"/>
        <v>2.4900000000000002</v>
      </c>
      <c r="G193" t="str">
        <f t="shared" si="20"/>
        <v>0%</v>
      </c>
      <c r="I193" s="53">
        <v>2020</v>
      </c>
      <c r="J193" s="53">
        <v>192</v>
      </c>
      <c r="K193" s="71" t="s">
        <v>105</v>
      </c>
      <c r="L193" t="s">
        <v>705</v>
      </c>
      <c r="M193" s="74" t="s">
        <v>1417</v>
      </c>
      <c r="N193" s="1">
        <v>44111</v>
      </c>
      <c r="O193" t="s">
        <v>927</v>
      </c>
      <c r="Q193" s="76"/>
      <c r="R193" t="b">
        <v>0</v>
      </c>
      <c r="S193" s="48">
        <v>2.4900000000000002</v>
      </c>
      <c r="T193" s="72">
        <v>1</v>
      </c>
      <c r="U193">
        <v>0</v>
      </c>
      <c r="V193" s="31">
        <v>0</v>
      </c>
      <c r="W193" s="31">
        <v>0</v>
      </c>
      <c r="X193" s="33">
        <v>2.4900000000000002</v>
      </c>
      <c r="Y193" s="29">
        <v>2.4900000000000002</v>
      </c>
      <c r="Z193" s="29">
        <v>2.4900000000000002</v>
      </c>
      <c r="AA193" s="35">
        <v>44242</v>
      </c>
      <c r="AB193" s="27"/>
      <c r="AC193" s="27">
        <v>20</v>
      </c>
      <c r="AD193" s="58">
        <v>2.4900000000000002</v>
      </c>
      <c r="AE193" s="31">
        <v>0.49800000000000005</v>
      </c>
      <c r="AF193" t="b">
        <v>0</v>
      </c>
      <c r="AG193" s="78">
        <v>-2.4900000000000002</v>
      </c>
    </row>
    <row r="194" spans="1:33" x14ac:dyDescent="0.25">
      <c r="A194" t="str">
        <f t="shared" si="14"/>
        <v>2020-193</v>
      </c>
      <c r="B194" s="1">
        <f t="shared" si="15"/>
        <v>44116</v>
      </c>
      <c r="C194" t="str">
        <f t="shared" si="16"/>
        <v>5112142283/Wiener Netze GmbH, Erdbergstraße 236, 1110 Wien, Postfach 422</v>
      </c>
      <c r="D194" t="str">
        <f t="shared" si="17"/>
        <v>Ausgaben</v>
      </c>
      <c r="E194" t="str">
        <f t="shared" si="18"/>
        <v>sonstige Betriebsausgaben</v>
      </c>
      <c r="F194" s="117">
        <f t="shared" si="19"/>
        <v>34.799999999999997</v>
      </c>
      <c r="G194" t="str">
        <f t="shared" si="20"/>
        <v>20%</v>
      </c>
      <c r="I194" s="53">
        <v>2020</v>
      </c>
      <c r="J194" s="53">
        <v>193</v>
      </c>
      <c r="K194" s="71" t="s">
        <v>105</v>
      </c>
      <c r="L194" t="s">
        <v>705</v>
      </c>
      <c r="M194" s="74" t="s">
        <v>1222</v>
      </c>
      <c r="N194" s="1">
        <v>44116</v>
      </c>
      <c r="O194" t="s">
        <v>1223</v>
      </c>
      <c r="Q194" s="76"/>
      <c r="R194" t="b">
        <v>0</v>
      </c>
      <c r="S194" s="109">
        <v>29</v>
      </c>
      <c r="T194" s="72">
        <v>1</v>
      </c>
      <c r="U194">
        <v>20</v>
      </c>
      <c r="V194" s="31">
        <v>5.8</v>
      </c>
      <c r="W194" s="31">
        <v>5.8</v>
      </c>
      <c r="X194" s="33">
        <v>29</v>
      </c>
      <c r="Y194" s="29">
        <v>34.799999999999997</v>
      </c>
      <c r="Z194" s="29">
        <v>34.799999999999997</v>
      </c>
      <c r="AA194" s="35">
        <v>44242</v>
      </c>
      <c r="AB194" s="27"/>
      <c r="AC194" s="27"/>
      <c r="AD194" s="58">
        <v>29</v>
      </c>
      <c r="AE194" s="31">
        <v>0</v>
      </c>
      <c r="AF194" t="b">
        <v>0</v>
      </c>
      <c r="AG194" s="78">
        <v>-29</v>
      </c>
    </row>
    <row r="195" spans="1:33" x14ac:dyDescent="0.25">
      <c r="A195" t="str">
        <f t="shared" ref="A195:A235" si="21">I195&amp;"-"&amp;J195</f>
        <v>2020-194</v>
      </c>
      <c r="B195" s="1">
        <f t="shared" ref="B195:B235" si="22">N195</f>
        <v>44117</v>
      </c>
      <c r="C195" t="str">
        <f t="shared" ref="C195:C235" si="23">M195&amp;"/"&amp;O195</f>
        <v>R0012086246/Hetzner Online GmbH</v>
      </c>
      <c r="D195" t="str">
        <f t="shared" ref="D195:D235" si="24">K195</f>
        <v>Ausgaben</v>
      </c>
      <c r="E195" t="str">
        <f t="shared" ref="E195:E235" si="25">L195</f>
        <v>sonstige Betriebsausgaben</v>
      </c>
      <c r="F195" s="117">
        <f t="shared" ref="F195:F235" si="26">Z195</f>
        <v>46.92</v>
      </c>
      <c r="G195" t="str">
        <f t="shared" ref="G195:G235" si="27">U195&amp;"%"</f>
        <v>0%</v>
      </c>
      <c r="I195" s="53">
        <v>2020</v>
      </c>
      <c r="J195" s="53">
        <v>194</v>
      </c>
      <c r="K195" s="71" t="s">
        <v>105</v>
      </c>
      <c r="L195" t="s">
        <v>705</v>
      </c>
      <c r="M195" s="74" t="s">
        <v>1418</v>
      </c>
      <c r="N195" s="1">
        <v>44117</v>
      </c>
      <c r="O195" t="s">
        <v>927</v>
      </c>
      <c r="Q195" s="76"/>
      <c r="R195" t="b">
        <v>0</v>
      </c>
      <c r="S195" s="48">
        <v>46.92</v>
      </c>
      <c r="T195" s="72">
        <v>1</v>
      </c>
      <c r="U195">
        <v>0</v>
      </c>
      <c r="V195" s="31">
        <v>0</v>
      </c>
      <c r="W195" s="31">
        <v>0</v>
      </c>
      <c r="X195" s="33">
        <v>46.92</v>
      </c>
      <c r="Y195" s="29">
        <v>46.92</v>
      </c>
      <c r="Z195" s="29">
        <v>46.92</v>
      </c>
      <c r="AA195" s="35">
        <v>44242</v>
      </c>
      <c r="AB195" s="27"/>
      <c r="AC195" s="27">
        <v>20</v>
      </c>
      <c r="AD195" s="58">
        <v>46.92</v>
      </c>
      <c r="AE195" s="31">
        <v>9.3840000000000003</v>
      </c>
      <c r="AF195" t="b">
        <v>0</v>
      </c>
      <c r="AG195" s="78">
        <v>-46.92</v>
      </c>
    </row>
    <row r="196" spans="1:33" x14ac:dyDescent="0.25">
      <c r="A196" t="str">
        <f t="shared" si="21"/>
        <v>2020-195</v>
      </c>
      <c r="B196" s="1">
        <f t="shared" si="22"/>
        <v>44120</v>
      </c>
      <c r="C196" t="str">
        <f t="shared" si="23"/>
        <v>AEU-INV-PL-2020-5037886/Amazon EU S. à r.l., 38 avenue John F. Kennedy, L-1855 Luxembourg: HJEU: DVI-HDMI, Logitech Maus</v>
      </c>
      <c r="D196" t="str">
        <f t="shared" si="24"/>
        <v>Ausgaben</v>
      </c>
      <c r="E196" t="str">
        <f t="shared" si="25"/>
        <v>Waren, Rohstoffe, Hilfsstoffe</v>
      </c>
      <c r="F196" s="117">
        <f t="shared" si="26"/>
        <v>19.368000000000002</v>
      </c>
      <c r="G196" t="str">
        <f t="shared" si="27"/>
        <v>20%</v>
      </c>
      <c r="I196" s="53">
        <v>2020</v>
      </c>
      <c r="J196" s="53">
        <v>195</v>
      </c>
      <c r="K196" s="71" t="s">
        <v>105</v>
      </c>
      <c r="L196" t="s">
        <v>683</v>
      </c>
      <c r="M196" s="74" t="s">
        <v>1419</v>
      </c>
      <c r="N196" s="1">
        <v>44120</v>
      </c>
      <c r="O196" t="s">
        <v>981</v>
      </c>
      <c r="Q196" s="76"/>
      <c r="R196" t="b">
        <v>0</v>
      </c>
      <c r="S196" s="48">
        <v>16.14</v>
      </c>
      <c r="T196" s="72">
        <v>1</v>
      </c>
      <c r="U196">
        <v>20</v>
      </c>
      <c r="V196" s="31">
        <v>3.2280000000000002</v>
      </c>
      <c r="W196" s="31">
        <v>3.2280000000000002</v>
      </c>
      <c r="X196" s="33">
        <v>16.14</v>
      </c>
      <c r="Y196" s="29">
        <v>19.368000000000002</v>
      </c>
      <c r="Z196" s="29">
        <v>19.368000000000002</v>
      </c>
      <c r="AA196" s="35">
        <v>44242</v>
      </c>
      <c r="AB196" s="27"/>
      <c r="AC196" s="27"/>
      <c r="AD196" s="58">
        <v>16.14</v>
      </c>
      <c r="AE196" s="31">
        <v>0</v>
      </c>
      <c r="AF196" t="b">
        <v>0</v>
      </c>
      <c r="AG196" s="78">
        <v>-16.14</v>
      </c>
    </row>
    <row r="197" spans="1:33" x14ac:dyDescent="0.25">
      <c r="A197" t="str">
        <f t="shared" si="21"/>
        <v>2020-196</v>
      </c>
      <c r="B197" s="1">
        <f t="shared" si="22"/>
        <v>44125</v>
      </c>
      <c r="C197" t="str">
        <f t="shared" si="23"/>
        <v>901200291020/Magenta: T-Mobile Austria GmbH, A-1120 Wien, PF 47</v>
      </c>
      <c r="D197" t="str">
        <f t="shared" si="24"/>
        <v>Ausgaben</v>
      </c>
      <c r="E197" t="str">
        <f t="shared" si="25"/>
        <v>Telefon/Internet</v>
      </c>
      <c r="F197" s="117">
        <f t="shared" si="26"/>
        <v>42.288000000000004</v>
      </c>
      <c r="G197" t="str">
        <f t="shared" si="27"/>
        <v>20%</v>
      </c>
      <c r="I197" s="53">
        <v>2020</v>
      </c>
      <c r="J197" s="53">
        <v>196</v>
      </c>
      <c r="K197" s="71" t="s">
        <v>105</v>
      </c>
      <c r="L197" t="s">
        <v>703</v>
      </c>
      <c r="M197" s="75" t="s">
        <v>1421</v>
      </c>
      <c r="N197" s="1">
        <v>44125</v>
      </c>
      <c r="O197" t="s">
        <v>1148</v>
      </c>
      <c r="Q197" s="76"/>
      <c r="R197" t="b">
        <v>0</v>
      </c>
      <c r="S197" s="48">
        <v>35.24</v>
      </c>
      <c r="T197" s="72">
        <v>1</v>
      </c>
      <c r="U197">
        <v>20</v>
      </c>
      <c r="V197" s="31">
        <v>7.0480000000000009</v>
      </c>
      <c r="W197" s="31">
        <v>7.0480000000000009</v>
      </c>
      <c r="X197" s="33">
        <v>35.24</v>
      </c>
      <c r="Y197" s="29">
        <v>42.288000000000004</v>
      </c>
      <c r="Z197" s="29">
        <v>42.288000000000004</v>
      </c>
      <c r="AA197" s="35">
        <v>44242</v>
      </c>
      <c r="AB197" s="27"/>
      <c r="AC197" s="27"/>
      <c r="AD197" s="58">
        <v>35.24</v>
      </c>
      <c r="AE197" s="31">
        <v>0</v>
      </c>
      <c r="AF197" t="b">
        <v>0</v>
      </c>
      <c r="AG197" s="78">
        <v>-35.24</v>
      </c>
    </row>
    <row r="198" spans="1:33" x14ac:dyDescent="0.25">
      <c r="A198" t="str">
        <f t="shared" si="21"/>
        <v>2020-197</v>
      </c>
      <c r="B198" s="1">
        <f t="shared" si="22"/>
        <v>44120</v>
      </c>
      <c r="C198" t="str">
        <f t="shared" si="23"/>
        <v>AEU-INV-PL-2020-5037886/Amazon EU S. à r.l., 38 avenue John F. Kennedy, L-1855 Luxembourg: UID PL5262907815; Leitz Ordner 3er</v>
      </c>
      <c r="D198" t="str">
        <f t="shared" si="24"/>
        <v>Ausgaben</v>
      </c>
      <c r="E198" t="str">
        <f t="shared" si="25"/>
        <v>sonstige Betriebsausgaben</v>
      </c>
      <c r="F198" s="117">
        <f t="shared" si="26"/>
        <v>16.14</v>
      </c>
      <c r="G198" t="str">
        <f t="shared" si="27"/>
        <v>0%</v>
      </c>
      <c r="I198" s="53">
        <v>2020</v>
      </c>
      <c r="J198" s="53">
        <v>197</v>
      </c>
      <c r="K198" s="71" t="s">
        <v>105</v>
      </c>
      <c r="L198" t="s">
        <v>705</v>
      </c>
      <c r="M198" s="74" t="s">
        <v>1419</v>
      </c>
      <c r="N198" s="1">
        <v>44120</v>
      </c>
      <c r="O198" t="s">
        <v>1422</v>
      </c>
      <c r="Q198" s="76"/>
      <c r="R198" t="b">
        <v>0</v>
      </c>
      <c r="S198" s="48">
        <v>16.14</v>
      </c>
      <c r="T198" s="72">
        <v>1</v>
      </c>
      <c r="U198">
        <v>0</v>
      </c>
      <c r="V198" s="31">
        <v>0</v>
      </c>
      <c r="W198" s="31">
        <v>0</v>
      </c>
      <c r="X198" s="33">
        <v>16.14</v>
      </c>
      <c r="Y198" s="29">
        <v>16.14</v>
      </c>
      <c r="Z198" s="29">
        <v>16.14</v>
      </c>
      <c r="AA198" s="35">
        <v>44242</v>
      </c>
      <c r="AB198" s="27"/>
      <c r="AC198" s="27">
        <v>20</v>
      </c>
      <c r="AD198" s="58">
        <v>16.14</v>
      </c>
      <c r="AE198" s="31">
        <v>3.2280000000000002</v>
      </c>
      <c r="AF198" t="b">
        <v>0</v>
      </c>
      <c r="AG198" s="78">
        <v>-16.14</v>
      </c>
    </row>
    <row r="199" spans="1:33" x14ac:dyDescent="0.25">
      <c r="A199" t="str">
        <f t="shared" si="21"/>
        <v>2020-198</v>
      </c>
      <c r="B199" s="1">
        <f t="shared" si="22"/>
        <v>44131</v>
      </c>
      <c r="C199" t="str">
        <f t="shared" si="23"/>
        <v>201001871465/Wirtschaftskammer Wien Grundumlagen, Straße der Wiener Wirtschaft 1, 1020 Wien: GU UBIT</v>
      </c>
      <c r="D199" t="str">
        <f t="shared" si="24"/>
        <v>Ausgaben</v>
      </c>
      <c r="E199" t="str">
        <f t="shared" si="25"/>
        <v>sonstige Betriebsausgaben</v>
      </c>
      <c r="F199" s="117">
        <f t="shared" si="26"/>
        <v>65</v>
      </c>
      <c r="G199" t="str">
        <f t="shared" si="27"/>
        <v>0%</v>
      </c>
      <c r="I199" s="53">
        <v>2020</v>
      </c>
      <c r="J199" s="53">
        <v>198</v>
      </c>
      <c r="K199" s="71" t="s">
        <v>105</v>
      </c>
      <c r="L199" t="s">
        <v>705</v>
      </c>
      <c r="M199" s="75" t="s">
        <v>1424</v>
      </c>
      <c r="N199" s="1">
        <v>44131</v>
      </c>
      <c r="O199" t="s">
        <v>1021</v>
      </c>
      <c r="Q199" s="76"/>
      <c r="R199" t="b">
        <v>0</v>
      </c>
      <c r="S199" s="48">
        <v>65</v>
      </c>
      <c r="T199" s="72">
        <v>1</v>
      </c>
      <c r="U199">
        <v>0</v>
      </c>
      <c r="V199" s="31">
        <v>0</v>
      </c>
      <c r="W199" s="31">
        <v>0</v>
      </c>
      <c r="X199" s="33">
        <v>65</v>
      </c>
      <c r="Y199" s="29">
        <v>65</v>
      </c>
      <c r="Z199" s="29">
        <v>65</v>
      </c>
      <c r="AA199" s="35">
        <v>44242</v>
      </c>
      <c r="AB199" s="27"/>
      <c r="AC199" s="27"/>
      <c r="AD199" s="58">
        <v>65</v>
      </c>
      <c r="AE199" s="31">
        <v>0</v>
      </c>
      <c r="AF199" t="b">
        <v>0</v>
      </c>
      <c r="AG199" s="78">
        <v>-65</v>
      </c>
    </row>
    <row r="200" spans="1:33" x14ac:dyDescent="0.25">
      <c r="A200" t="str">
        <f t="shared" si="21"/>
        <v>2020-199</v>
      </c>
      <c r="B200" s="1">
        <f t="shared" si="22"/>
        <v>44133</v>
      </c>
      <c r="C200" t="str">
        <f t="shared" si="23"/>
        <v>3810095756/Google Ireland Ltd, Gordon House, Barrow Street, Dublin 4, Ireland; VAT number: IE 6388047V</v>
      </c>
      <c r="D200" t="str">
        <f t="shared" si="24"/>
        <v>Ausgaben</v>
      </c>
      <c r="E200" t="str">
        <f t="shared" si="25"/>
        <v>sonstige Betriebsausgaben</v>
      </c>
      <c r="F200" s="117">
        <f t="shared" si="26"/>
        <v>9.36</v>
      </c>
      <c r="G200" t="str">
        <f t="shared" si="27"/>
        <v>0%</v>
      </c>
      <c r="I200" s="53">
        <v>2020</v>
      </c>
      <c r="J200" s="53">
        <v>199</v>
      </c>
      <c r="K200" s="71" t="s">
        <v>105</v>
      </c>
      <c r="L200" t="s">
        <v>705</v>
      </c>
      <c r="M200" s="75" t="s">
        <v>1425</v>
      </c>
      <c r="N200" s="1">
        <v>44133</v>
      </c>
      <c r="O200" t="s">
        <v>1404</v>
      </c>
      <c r="Q200" s="76"/>
      <c r="R200" t="b">
        <v>0</v>
      </c>
      <c r="S200" s="48">
        <v>9.36</v>
      </c>
      <c r="T200" s="72">
        <v>1</v>
      </c>
      <c r="U200">
        <v>0</v>
      </c>
      <c r="V200" s="31">
        <v>0</v>
      </c>
      <c r="W200" s="31">
        <v>0</v>
      </c>
      <c r="X200" s="33">
        <v>9.36</v>
      </c>
      <c r="Y200" s="29">
        <v>9.36</v>
      </c>
      <c r="Z200" s="29">
        <v>9.36</v>
      </c>
      <c r="AA200" s="35">
        <v>44242</v>
      </c>
      <c r="AB200" s="27"/>
      <c r="AC200" s="27">
        <v>20</v>
      </c>
      <c r="AD200" s="58">
        <v>9.36</v>
      </c>
      <c r="AE200" s="31">
        <v>1.8719999999999999</v>
      </c>
      <c r="AF200" t="b">
        <v>0</v>
      </c>
      <c r="AG200" s="78">
        <v>-9.36</v>
      </c>
    </row>
    <row r="201" spans="1:33" x14ac:dyDescent="0.25">
      <c r="A201" t="str">
        <f t="shared" si="21"/>
        <v>2020-200</v>
      </c>
      <c r="B201" s="1">
        <f t="shared" si="22"/>
        <v>44137</v>
      </c>
      <c r="C201" t="str">
        <f t="shared" si="23"/>
        <v>20/9801/VS00486/Bontus Immobilienverwaltung GmbH, 1010 Wien, Franz Josefs Kai 65</v>
      </c>
      <c r="D201" t="str">
        <f t="shared" si="24"/>
        <v>Ausgaben</v>
      </c>
      <c r="E201" t="str">
        <f t="shared" si="25"/>
        <v>Miet- und Pachtaufwand, Leasing</v>
      </c>
      <c r="F201" s="117">
        <f t="shared" si="26"/>
        <v>554.928</v>
      </c>
      <c r="G201" t="str">
        <f t="shared" si="27"/>
        <v>20%</v>
      </c>
      <c r="I201" s="53">
        <v>2020</v>
      </c>
      <c r="J201" s="53">
        <v>200</v>
      </c>
      <c r="K201" s="71" t="s">
        <v>105</v>
      </c>
      <c r="L201" t="s">
        <v>691</v>
      </c>
      <c r="M201" s="74" t="s">
        <v>1372</v>
      </c>
      <c r="N201" s="1">
        <v>44137</v>
      </c>
      <c r="O201" t="s">
        <v>1113</v>
      </c>
      <c r="Q201" s="76"/>
      <c r="R201" t="b">
        <v>0</v>
      </c>
      <c r="S201" s="48">
        <v>462.44</v>
      </c>
      <c r="T201" s="72">
        <v>1</v>
      </c>
      <c r="U201">
        <v>20</v>
      </c>
      <c r="V201" s="31">
        <v>92.488</v>
      </c>
      <c r="W201" s="31">
        <v>92.488</v>
      </c>
      <c r="X201" s="33">
        <v>462.44</v>
      </c>
      <c r="Y201" s="29">
        <v>554.928</v>
      </c>
      <c r="Z201" s="29">
        <v>554.928</v>
      </c>
      <c r="AA201" s="35">
        <v>44242</v>
      </c>
      <c r="AB201" s="27"/>
      <c r="AC201" s="27"/>
      <c r="AD201" s="58">
        <v>462.44</v>
      </c>
      <c r="AE201" s="31">
        <v>0</v>
      </c>
      <c r="AF201" t="b">
        <v>0</v>
      </c>
      <c r="AG201" s="78">
        <v>-462.44</v>
      </c>
    </row>
    <row r="202" spans="1:33" x14ac:dyDescent="0.25">
      <c r="A202" t="str">
        <f t="shared" si="21"/>
        <v>2020-201</v>
      </c>
      <c r="B202" s="1">
        <f t="shared" si="22"/>
        <v>44137</v>
      </c>
      <c r="C202" t="str">
        <f t="shared" si="23"/>
        <v>4293000000018200/car2go Österreich GmbH, Hintere Zollamtstraße 9, 1030 Wien</v>
      </c>
      <c r="D202" t="str">
        <f t="shared" si="24"/>
        <v>Ausgaben</v>
      </c>
      <c r="E202" t="str">
        <f t="shared" si="25"/>
        <v>Reise- und Fahrtspesen inkl. Kilometergeld und Diäten</v>
      </c>
      <c r="F202" s="117">
        <f t="shared" si="26"/>
        <v>93.109999999999985</v>
      </c>
      <c r="G202" t="str">
        <f t="shared" si="27"/>
        <v>20%</v>
      </c>
      <c r="I202" s="53">
        <v>2020</v>
      </c>
      <c r="J202" s="53">
        <v>201</v>
      </c>
      <c r="K202" s="71" t="s">
        <v>105</v>
      </c>
      <c r="L202" t="s">
        <v>689</v>
      </c>
      <c r="M202" s="75" t="s">
        <v>1423</v>
      </c>
      <c r="N202" s="1">
        <v>44137</v>
      </c>
      <c r="O202" t="s">
        <v>974</v>
      </c>
      <c r="Q202" s="76"/>
      <c r="R202" t="b">
        <v>0</v>
      </c>
      <c r="S202" s="48">
        <v>77.569999999999993</v>
      </c>
      <c r="T202" s="72">
        <v>1</v>
      </c>
      <c r="U202">
        <v>20</v>
      </c>
      <c r="V202" s="31">
        <v>15.54</v>
      </c>
      <c r="W202" s="31">
        <v>15.54</v>
      </c>
      <c r="X202" s="33">
        <v>77.569999999999993</v>
      </c>
      <c r="Y202" s="29">
        <v>93.109999999999985</v>
      </c>
      <c r="Z202" s="29">
        <v>93.109999999999985</v>
      </c>
      <c r="AA202" s="35">
        <v>44242</v>
      </c>
      <c r="AB202" s="27"/>
      <c r="AC202" s="27"/>
      <c r="AD202" s="58">
        <v>77.569999999999993</v>
      </c>
      <c r="AE202" s="31">
        <v>0</v>
      </c>
      <c r="AF202" t="b">
        <v>0</v>
      </c>
      <c r="AG202" s="78">
        <v>-77.569999999999993</v>
      </c>
    </row>
    <row r="203" spans="1:33" x14ac:dyDescent="0.25">
      <c r="A203" t="str">
        <f t="shared" si="21"/>
        <v>2020-202</v>
      </c>
      <c r="B203" s="1">
        <f t="shared" si="22"/>
        <v>44138</v>
      </c>
      <c r="C203" t="str">
        <f t="shared" si="23"/>
        <v>6212001185/Hutchison Drei Austria GmbH, Brünner Straße 52, 1210 Wien, Österreich</v>
      </c>
      <c r="D203" t="str">
        <f t="shared" si="24"/>
        <v>Ausgaben</v>
      </c>
      <c r="E203" t="str">
        <f t="shared" si="25"/>
        <v>Telefon/Internet</v>
      </c>
      <c r="F203" s="117">
        <f t="shared" si="26"/>
        <v>18</v>
      </c>
      <c r="G203" t="str">
        <f t="shared" si="27"/>
        <v>20%</v>
      </c>
      <c r="I203" s="53">
        <v>2020</v>
      </c>
      <c r="J203" s="53">
        <v>202</v>
      </c>
      <c r="K203" s="71" t="s">
        <v>105</v>
      </c>
      <c r="L203" t="s">
        <v>703</v>
      </c>
      <c r="M203" s="74">
        <v>6212001185</v>
      </c>
      <c r="N203" s="1">
        <v>44138</v>
      </c>
      <c r="O203" t="s">
        <v>34</v>
      </c>
      <c r="Q203" s="76"/>
      <c r="R203" t="b">
        <v>0</v>
      </c>
      <c r="S203" s="48">
        <v>15</v>
      </c>
      <c r="T203" s="72">
        <v>1</v>
      </c>
      <c r="U203">
        <v>20</v>
      </c>
      <c r="V203" s="31">
        <v>3</v>
      </c>
      <c r="W203" s="31">
        <v>3</v>
      </c>
      <c r="X203" s="33">
        <v>15</v>
      </c>
      <c r="Y203" s="29">
        <v>18</v>
      </c>
      <c r="Z203" s="29">
        <v>18</v>
      </c>
      <c r="AA203" s="35">
        <v>44242</v>
      </c>
      <c r="AB203" s="27"/>
      <c r="AC203" s="27"/>
      <c r="AD203" s="58">
        <v>15</v>
      </c>
      <c r="AE203" s="31">
        <v>0</v>
      </c>
      <c r="AF203" t="b">
        <v>0</v>
      </c>
      <c r="AG203" s="78">
        <v>-15</v>
      </c>
    </row>
    <row r="204" spans="1:33" x14ac:dyDescent="0.25">
      <c r="A204" t="str">
        <f t="shared" si="21"/>
        <v>2020-203</v>
      </c>
      <c r="B204" s="1">
        <f t="shared" si="22"/>
        <v>44139</v>
      </c>
      <c r="C204" t="str">
        <f t="shared" si="23"/>
        <v>807693/easy green energy GmbH &amp; Co KG</v>
      </c>
      <c r="D204" t="str">
        <f t="shared" si="24"/>
        <v>Ausgaben</v>
      </c>
      <c r="E204" t="str">
        <f t="shared" si="25"/>
        <v>sonstige Betriebsausgaben</v>
      </c>
      <c r="F204" s="117">
        <f t="shared" si="26"/>
        <v>3</v>
      </c>
      <c r="G204" t="str">
        <f t="shared" si="27"/>
        <v>20%</v>
      </c>
      <c r="I204" s="53">
        <v>2020</v>
      </c>
      <c r="J204" s="53">
        <v>203</v>
      </c>
      <c r="K204" s="71" t="s">
        <v>105</v>
      </c>
      <c r="L204" t="s">
        <v>705</v>
      </c>
      <c r="M204" s="74" t="s">
        <v>1225</v>
      </c>
      <c r="N204" s="1">
        <v>44139</v>
      </c>
      <c r="O204" t="s">
        <v>1364</v>
      </c>
      <c r="Q204" s="76"/>
      <c r="R204" t="b">
        <v>0</v>
      </c>
      <c r="S204" s="48">
        <v>2.5</v>
      </c>
      <c r="T204" s="72">
        <v>1</v>
      </c>
      <c r="U204">
        <v>20</v>
      </c>
      <c r="V204" s="31">
        <v>0.5</v>
      </c>
      <c r="W204" s="31">
        <v>0.5</v>
      </c>
      <c r="X204" s="33">
        <v>2.5</v>
      </c>
      <c r="Y204" s="29">
        <v>3</v>
      </c>
      <c r="Z204" s="29">
        <v>3</v>
      </c>
      <c r="AA204" s="35">
        <v>44242</v>
      </c>
      <c r="AB204" s="27"/>
      <c r="AC204" s="27"/>
      <c r="AD204" s="58">
        <v>2.5</v>
      </c>
      <c r="AE204" s="31">
        <v>0</v>
      </c>
      <c r="AF204" t="b">
        <v>0</v>
      </c>
      <c r="AG204" s="78">
        <v>-2.5</v>
      </c>
    </row>
    <row r="205" spans="1:33" x14ac:dyDescent="0.25">
      <c r="A205" t="str">
        <f t="shared" si="21"/>
        <v>2020-204</v>
      </c>
      <c r="B205" s="1">
        <f t="shared" si="22"/>
        <v>44140</v>
      </c>
      <c r="C205" t="str">
        <f t="shared" si="23"/>
        <v>HKA/20-01-39452/Techem Messtechnik GmbH; Abnehmernummer 501686-0003-11-(</v>
      </c>
      <c r="D205" t="str">
        <f t="shared" si="24"/>
        <v>Ausgaben</v>
      </c>
      <c r="E205" t="str">
        <f t="shared" si="25"/>
        <v>sonstige Betriebsausgaben</v>
      </c>
      <c r="F205" s="117">
        <f t="shared" si="26"/>
        <v>42</v>
      </c>
      <c r="G205" t="str">
        <f t="shared" si="27"/>
        <v>20%</v>
      </c>
      <c r="I205" s="53">
        <v>2020</v>
      </c>
      <c r="J205" s="53">
        <v>204</v>
      </c>
      <c r="K205" s="71" t="s">
        <v>105</v>
      </c>
      <c r="L205" t="s">
        <v>705</v>
      </c>
      <c r="M205" s="74" t="s">
        <v>1397</v>
      </c>
      <c r="N205" s="1">
        <v>44140</v>
      </c>
      <c r="O205" t="s">
        <v>1128</v>
      </c>
      <c r="Q205" s="76"/>
      <c r="R205" t="b">
        <v>0</v>
      </c>
      <c r="S205" s="48">
        <v>35</v>
      </c>
      <c r="T205" s="72">
        <v>1</v>
      </c>
      <c r="U205">
        <v>20</v>
      </c>
      <c r="V205" s="31">
        <v>7</v>
      </c>
      <c r="W205" s="31">
        <v>7</v>
      </c>
      <c r="X205" s="33">
        <v>35</v>
      </c>
      <c r="Y205" s="29">
        <v>42</v>
      </c>
      <c r="Z205" s="29">
        <v>42</v>
      </c>
      <c r="AA205" s="35">
        <v>44242</v>
      </c>
      <c r="AB205" s="27"/>
      <c r="AC205" s="27"/>
      <c r="AD205" s="58">
        <v>35</v>
      </c>
      <c r="AE205" s="31">
        <v>0</v>
      </c>
      <c r="AF205" t="b">
        <v>0</v>
      </c>
      <c r="AG205" s="78">
        <v>-35</v>
      </c>
    </row>
    <row r="206" spans="1:33" x14ac:dyDescent="0.25">
      <c r="A206" t="str">
        <f t="shared" si="21"/>
        <v>2020-205</v>
      </c>
      <c r="B206" s="1">
        <f t="shared" si="22"/>
        <v>44141</v>
      </c>
      <c r="C206" t="str">
        <f t="shared" si="23"/>
        <v>R0012216893/Hetzner Online GmbH</v>
      </c>
      <c r="D206" t="str">
        <f t="shared" si="24"/>
        <v>Ausgaben</v>
      </c>
      <c r="E206" t="str">
        <f t="shared" si="25"/>
        <v>sonstige Betriebsausgaben</v>
      </c>
      <c r="F206" s="117">
        <f t="shared" si="26"/>
        <v>2.4900000000000002</v>
      </c>
      <c r="G206" t="str">
        <f t="shared" si="27"/>
        <v>0%</v>
      </c>
      <c r="I206" s="53">
        <v>2020</v>
      </c>
      <c r="J206" s="53">
        <v>205</v>
      </c>
      <c r="K206" s="71" t="s">
        <v>105</v>
      </c>
      <c r="L206" t="s">
        <v>705</v>
      </c>
      <c r="M206" s="74" t="s">
        <v>1426</v>
      </c>
      <c r="N206" s="1">
        <v>44141</v>
      </c>
      <c r="O206" t="s">
        <v>927</v>
      </c>
      <c r="Q206" s="76"/>
      <c r="R206" t="b">
        <v>0</v>
      </c>
      <c r="S206" s="48">
        <v>2.4900000000000002</v>
      </c>
      <c r="T206" s="72">
        <v>1</v>
      </c>
      <c r="U206">
        <v>0</v>
      </c>
      <c r="V206" s="31">
        <v>0</v>
      </c>
      <c r="W206" s="31">
        <v>0</v>
      </c>
      <c r="X206" s="33">
        <v>2.4900000000000002</v>
      </c>
      <c r="Y206" s="29">
        <v>2.4900000000000002</v>
      </c>
      <c r="Z206" s="29">
        <v>2.4900000000000002</v>
      </c>
      <c r="AA206" s="35">
        <v>44242</v>
      </c>
      <c r="AB206" s="27"/>
      <c r="AC206" s="27">
        <v>20</v>
      </c>
      <c r="AD206" s="58">
        <v>2.4900000000000002</v>
      </c>
      <c r="AE206" s="31">
        <v>0.49800000000000005</v>
      </c>
      <c r="AF206" t="b">
        <v>0</v>
      </c>
      <c r="AG206" s="78">
        <v>-2.4900000000000002</v>
      </c>
    </row>
    <row r="207" spans="1:33" x14ac:dyDescent="0.25">
      <c r="A207" t="str">
        <f t="shared" si="21"/>
        <v>2020-206</v>
      </c>
      <c r="B207" s="1">
        <f t="shared" si="22"/>
        <v>44144</v>
      </c>
      <c r="C207" t="str">
        <f t="shared" si="23"/>
        <v>12020035/DCF - Digital Coding Factory GmbH, Bauernfeldgasse 4/12 1090 Wien</v>
      </c>
      <c r="D207" t="str">
        <f t="shared" si="24"/>
        <v>Einnahmen</v>
      </c>
      <c r="E207" t="str">
        <f t="shared" si="25"/>
        <v>Waren-/Leistungserlöse</v>
      </c>
      <c r="F207" s="117">
        <f t="shared" si="26"/>
        <v>11772</v>
      </c>
      <c r="G207" t="str">
        <f t="shared" si="27"/>
        <v>20%</v>
      </c>
      <c r="I207" s="53">
        <v>2020</v>
      </c>
      <c r="J207" s="53">
        <v>206</v>
      </c>
      <c r="K207" s="71" t="s">
        <v>708</v>
      </c>
      <c r="L207" t="s">
        <v>709</v>
      </c>
      <c r="M207" s="74">
        <v>12020035</v>
      </c>
      <c r="N207" s="1">
        <v>44144</v>
      </c>
      <c r="O207" t="s">
        <v>1266</v>
      </c>
      <c r="Q207" s="76"/>
      <c r="R207" t="b">
        <v>0</v>
      </c>
      <c r="S207" s="48">
        <v>9810</v>
      </c>
      <c r="T207" s="72">
        <v>1</v>
      </c>
      <c r="U207">
        <v>20</v>
      </c>
      <c r="V207" s="31">
        <v>1962</v>
      </c>
      <c r="W207" s="31">
        <v>1962</v>
      </c>
      <c r="X207" s="33">
        <v>9810</v>
      </c>
      <c r="Y207" s="29">
        <v>11772</v>
      </c>
      <c r="Z207" s="29">
        <v>11772</v>
      </c>
      <c r="AA207" s="35">
        <v>44242</v>
      </c>
      <c r="AB207" s="27"/>
      <c r="AC207" s="27"/>
      <c r="AD207" s="58">
        <v>9810</v>
      </c>
      <c r="AE207" s="31">
        <v>0</v>
      </c>
      <c r="AF207" t="b">
        <v>0</v>
      </c>
      <c r="AG207" s="78">
        <v>9810</v>
      </c>
    </row>
    <row r="208" spans="1:33" x14ac:dyDescent="0.25">
      <c r="A208" t="str">
        <f t="shared" si="21"/>
        <v>2020-207</v>
      </c>
      <c r="B208" s="1">
        <f t="shared" si="22"/>
        <v>44144</v>
      </c>
      <c r="C208" t="str">
        <f t="shared" si="23"/>
        <v>12020034/DCF - Digital Coding Factory GmbH, Bauernfeldgasse 4/12 1090 Wien</v>
      </c>
      <c r="D208" t="str">
        <f t="shared" si="24"/>
        <v>Einnahmen</v>
      </c>
      <c r="E208" t="str">
        <f t="shared" si="25"/>
        <v>Waren-/Leistungserlöse</v>
      </c>
      <c r="F208" s="117">
        <f t="shared" si="26"/>
        <v>504</v>
      </c>
      <c r="G208" t="str">
        <f t="shared" si="27"/>
        <v>20%</v>
      </c>
      <c r="I208" s="53">
        <v>2020</v>
      </c>
      <c r="J208" s="53">
        <v>207</v>
      </c>
      <c r="K208" s="71" t="s">
        <v>708</v>
      </c>
      <c r="L208" t="s">
        <v>709</v>
      </c>
      <c r="M208" s="74">
        <v>12020034</v>
      </c>
      <c r="N208" s="1">
        <v>44144</v>
      </c>
      <c r="O208" t="s">
        <v>1266</v>
      </c>
      <c r="Q208" s="76"/>
      <c r="R208" t="b">
        <v>0</v>
      </c>
      <c r="S208" s="48">
        <v>420</v>
      </c>
      <c r="T208" s="72">
        <v>1</v>
      </c>
      <c r="U208">
        <v>20</v>
      </c>
      <c r="V208" s="31">
        <v>84</v>
      </c>
      <c r="W208" s="31">
        <v>84</v>
      </c>
      <c r="X208" s="33">
        <v>420</v>
      </c>
      <c r="Y208" s="29">
        <v>504</v>
      </c>
      <c r="Z208" s="29">
        <v>504</v>
      </c>
      <c r="AA208" s="35">
        <v>44242</v>
      </c>
      <c r="AB208" s="27"/>
      <c r="AC208" s="27"/>
      <c r="AD208" s="58">
        <v>420</v>
      </c>
      <c r="AE208" s="31">
        <v>0</v>
      </c>
      <c r="AF208" t="b">
        <v>0</v>
      </c>
      <c r="AG208" s="78">
        <v>420</v>
      </c>
    </row>
    <row r="209" spans="1:33" x14ac:dyDescent="0.25">
      <c r="A209" t="str">
        <f t="shared" si="21"/>
        <v>2020-208</v>
      </c>
      <c r="B209" s="1">
        <f t="shared" si="22"/>
        <v>44145</v>
      </c>
      <c r="C209" t="str">
        <f t="shared" si="23"/>
        <v>5112142283/Wiener Netze GmbH, Erdbergstraße 236, 1110 Wien, Postfach 422</v>
      </c>
      <c r="D209" t="str">
        <f t="shared" si="24"/>
        <v>Ausgaben</v>
      </c>
      <c r="E209" t="str">
        <f t="shared" si="25"/>
        <v>sonstige Betriebsausgaben</v>
      </c>
      <c r="F209" s="117">
        <f t="shared" si="26"/>
        <v>34.799999999999997</v>
      </c>
      <c r="G209" t="str">
        <f t="shared" si="27"/>
        <v>20%</v>
      </c>
      <c r="I209" s="53">
        <v>2020</v>
      </c>
      <c r="J209" s="53">
        <v>208</v>
      </c>
      <c r="K209" s="71" t="s">
        <v>105</v>
      </c>
      <c r="L209" t="s">
        <v>705</v>
      </c>
      <c r="M209" s="74" t="s">
        <v>1222</v>
      </c>
      <c r="N209" s="1">
        <v>44145</v>
      </c>
      <c r="O209" t="s">
        <v>1223</v>
      </c>
      <c r="Q209" s="76"/>
      <c r="R209" t="b">
        <v>0</v>
      </c>
      <c r="S209" s="109">
        <v>29</v>
      </c>
      <c r="T209" s="72">
        <v>1</v>
      </c>
      <c r="U209">
        <v>20</v>
      </c>
      <c r="V209" s="31">
        <v>5.8</v>
      </c>
      <c r="W209" s="31">
        <v>5.8</v>
      </c>
      <c r="X209" s="33">
        <v>29</v>
      </c>
      <c r="Y209" s="29">
        <v>34.799999999999997</v>
      </c>
      <c r="Z209" s="29">
        <v>34.799999999999997</v>
      </c>
      <c r="AA209" s="35">
        <v>44242</v>
      </c>
      <c r="AB209" s="27"/>
      <c r="AC209" s="27"/>
      <c r="AD209" s="58">
        <v>29</v>
      </c>
      <c r="AE209" s="31">
        <v>0</v>
      </c>
      <c r="AF209" t="b">
        <v>0</v>
      </c>
      <c r="AG209" s="78">
        <v>-29</v>
      </c>
    </row>
    <row r="210" spans="1:33" x14ac:dyDescent="0.25">
      <c r="A210" t="str">
        <f t="shared" si="21"/>
        <v>2020-209</v>
      </c>
      <c r="B210" s="1">
        <f t="shared" si="22"/>
        <v>44146</v>
      </c>
      <c r="C210" t="str">
        <f t="shared" si="23"/>
        <v>12020037/DCF - Digital Coding Factory GmbH, Bauernfeldgasse 4/12 1090 Wien</v>
      </c>
      <c r="D210" t="str">
        <f t="shared" si="24"/>
        <v>Einnahmen</v>
      </c>
      <c r="E210" t="str">
        <f t="shared" si="25"/>
        <v>Waren-/Leistungserlöse</v>
      </c>
      <c r="F210" s="117">
        <f t="shared" si="26"/>
        <v>17.928000000000001</v>
      </c>
      <c r="G210" t="str">
        <f t="shared" si="27"/>
        <v>20%</v>
      </c>
      <c r="I210" s="53">
        <v>2020</v>
      </c>
      <c r="J210" s="53">
        <v>209</v>
      </c>
      <c r="K210" s="71" t="s">
        <v>708</v>
      </c>
      <c r="L210" t="s">
        <v>709</v>
      </c>
      <c r="M210" s="74">
        <v>12020037</v>
      </c>
      <c r="N210" s="1">
        <v>44146</v>
      </c>
      <c r="O210" t="s">
        <v>1266</v>
      </c>
      <c r="Q210" s="76"/>
      <c r="R210" t="b">
        <v>0</v>
      </c>
      <c r="S210" s="109">
        <v>14.94</v>
      </c>
      <c r="T210" s="72">
        <v>1</v>
      </c>
      <c r="U210">
        <v>20</v>
      </c>
      <c r="V210" s="31">
        <v>2.988</v>
      </c>
      <c r="W210" s="31">
        <v>2.988</v>
      </c>
      <c r="X210" s="33">
        <v>14.94</v>
      </c>
      <c r="Y210" s="29">
        <v>17.928000000000001</v>
      </c>
      <c r="Z210" s="29">
        <v>17.928000000000001</v>
      </c>
      <c r="AA210" s="35">
        <v>44242</v>
      </c>
      <c r="AB210" s="27"/>
      <c r="AC210" s="27"/>
      <c r="AD210" s="58">
        <v>14.94</v>
      </c>
      <c r="AE210" s="31">
        <v>0</v>
      </c>
      <c r="AF210" t="b">
        <v>0</v>
      </c>
      <c r="AG210" s="78">
        <v>14.94</v>
      </c>
    </row>
    <row r="211" spans="1:33" x14ac:dyDescent="0.25">
      <c r="A211" t="str">
        <f t="shared" si="21"/>
        <v>2020-210</v>
      </c>
      <c r="B211" s="1">
        <f t="shared" si="22"/>
        <v>44147</v>
      </c>
      <c r="C211" t="str">
        <f t="shared" si="23"/>
        <v>R0012257918/Hetzner Online GmbH</v>
      </c>
      <c r="D211" t="str">
        <f t="shared" si="24"/>
        <v>Ausgaben</v>
      </c>
      <c r="E211" t="str">
        <f t="shared" si="25"/>
        <v>sonstige Betriebsausgaben</v>
      </c>
      <c r="F211" s="117">
        <f t="shared" si="26"/>
        <v>46.92</v>
      </c>
      <c r="G211" t="str">
        <f t="shared" si="27"/>
        <v>0%</v>
      </c>
      <c r="I211" s="53">
        <v>2020</v>
      </c>
      <c r="J211" s="53">
        <v>210</v>
      </c>
      <c r="K211" s="71" t="s">
        <v>105</v>
      </c>
      <c r="L211" t="s">
        <v>705</v>
      </c>
      <c r="M211" s="74" t="s">
        <v>1427</v>
      </c>
      <c r="N211" s="1">
        <v>44147</v>
      </c>
      <c r="O211" t="s">
        <v>927</v>
      </c>
      <c r="Q211" s="76"/>
      <c r="R211" t="b">
        <v>0</v>
      </c>
      <c r="S211" s="48">
        <v>46.92</v>
      </c>
      <c r="T211" s="72">
        <v>1</v>
      </c>
      <c r="U211">
        <v>0</v>
      </c>
      <c r="V211" s="31">
        <v>0</v>
      </c>
      <c r="W211" s="31">
        <v>0</v>
      </c>
      <c r="X211" s="33">
        <v>46.92</v>
      </c>
      <c r="Y211" s="29">
        <v>46.92</v>
      </c>
      <c r="Z211" s="29">
        <v>46.92</v>
      </c>
      <c r="AA211" s="35">
        <v>44242</v>
      </c>
      <c r="AB211" s="27"/>
      <c r="AC211" s="27">
        <v>20</v>
      </c>
      <c r="AD211" s="58">
        <v>46.92</v>
      </c>
      <c r="AE211" s="31">
        <v>9.3840000000000003</v>
      </c>
      <c r="AF211" t="b">
        <v>0</v>
      </c>
      <c r="AG211" s="78">
        <v>-46.92</v>
      </c>
    </row>
    <row r="212" spans="1:33" x14ac:dyDescent="0.25">
      <c r="A212" t="str">
        <f t="shared" si="21"/>
        <v>2020-211</v>
      </c>
      <c r="B212" s="1">
        <f t="shared" si="22"/>
        <v>44154</v>
      </c>
      <c r="C212" t="str">
        <f t="shared" si="23"/>
        <v>WEB-R-2020-11-0054/Software Quality Lab GmbH, Gewerbepark Urfahr 6, 4040 Linz: ISTQB CTFL online</v>
      </c>
      <c r="D212" t="str">
        <f t="shared" si="24"/>
        <v>Ausgaben</v>
      </c>
      <c r="E212" t="str">
        <f t="shared" si="25"/>
        <v>Seminargebühren</v>
      </c>
      <c r="F212" s="117">
        <f t="shared" si="26"/>
        <v>540</v>
      </c>
      <c r="G212" t="str">
        <f t="shared" si="27"/>
        <v>20%</v>
      </c>
      <c r="I212" s="53">
        <v>2020</v>
      </c>
      <c r="J212" s="53">
        <v>211</v>
      </c>
      <c r="K212" s="71" t="s">
        <v>105</v>
      </c>
      <c r="L212" t="s">
        <v>702</v>
      </c>
      <c r="M212" s="74" t="s">
        <v>1429</v>
      </c>
      <c r="N212" s="1">
        <v>44154</v>
      </c>
      <c r="O212" t="s">
        <v>1428</v>
      </c>
      <c r="Q212" s="76"/>
      <c r="R212" t="b">
        <v>0</v>
      </c>
      <c r="S212" s="48">
        <v>450</v>
      </c>
      <c r="T212" s="72">
        <v>1</v>
      </c>
      <c r="U212">
        <v>20</v>
      </c>
      <c r="V212" s="31">
        <v>90</v>
      </c>
      <c r="W212" s="31">
        <v>90</v>
      </c>
      <c r="X212" s="33">
        <v>450</v>
      </c>
      <c r="Y212" s="29">
        <v>540</v>
      </c>
      <c r="Z212" s="29">
        <v>540</v>
      </c>
      <c r="AA212" s="35">
        <v>44242</v>
      </c>
      <c r="AB212" s="27"/>
      <c r="AC212" s="27"/>
      <c r="AD212" s="58">
        <v>450</v>
      </c>
      <c r="AE212" s="31">
        <v>0</v>
      </c>
      <c r="AF212" t="b">
        <v>0</v>
      </c>
      <c r="AG212" s="78">
        <v>-450</v>
      </c>
    </row>
    <row r="213" spans="1:33" x14ac:dyDescent="0.25">
      <c r="A213" t="str">
        <f t="shared" si="21"/>
        <v>2020-212</v>
      </c>
      <c r="B213" s="1">
        <f t="shared" si="22"/>
        <v>44155</v>
      </c>
      <c r="C213" t="str">
        <f t="shared" si="23"/>
        <v>901194491120/Magenta: T-Mobile Austria GmbH, A-1120 Wien, PF 47</v>
      </c>
      <c r="D213" t="str">
        <f t="shared" si="24"/>
        <v>Ausgaben</v>
      </c>
      <c r="E213" t="str">
        <f t="shared" si="25"/>
        <v>Telefon/Internet</v>
      </c>
      <c r="F213" s="117">
        <f t="shared" si="26"/>
        <v>42.288000000000004</v>
      </c>
      <c r="G213" t="str">
        <f t="shared" si="27"/>
        <v>20%</v>
      </c>
      <c r="I213" s="53">
        <v>2020</v>
      </c>
      <c r="J213" s="53">
        <v>212</v>
      </c>
      <c r="K213" s="71" t="s">
        <v>105</v>
      </c>
      <c r="L213" t="s">
        <v>703</v>
      </c>
      <c r="M213" s="75" t="s">
        <v>1430</v>
      </c>
      <c r="N213" s="1">
        <v>44155</v>
      </c>
      <c r="O213" t="s">
        <v>1148</v>
      </c>
      <c r="Q213" s="76"/>
      <c r="R213" t="b">
        <v>0</v>
      </c>
      <c r="S213" s="48">
        <v>35.24</v>
      </c>
      <c r="T213" s="72">
        <v>1</v>
      </c>
      <c r="U213">
        <v>20</v>
      </c>
      <c r="V213" s="31">
        <v>7.0480000000000009</v>
      </c>
      <c r="W213" s="31">
        <v>7.0480000000000009</v>
      </c>
      <c r="X213" s="33">
        <v>35.24</v>
      </c>
      <c r="Y213" s="29">
        <v>42.288000000000004</v>
      </c>
      <c r="Z213" s="29">
        <v>42.288000000000004</v>
      </c>
      <c r="AA213" s="35">
        <v>44242</v>
      </c>
      <c r="AB213" s="27"/>
      <c r="AC213" s="27"/>
      <c r="AD213" s="58">
        <v>35.24</v>
      </c>
      <c r="AE213" s="31">
        <v>0</v>
      </c>
      <c r="AF213" t="b">
        <v>0</v>
      </c>
      <c r="AG213" s="78">
        <v>-35.24</v>
      </c>
    </row>
    <row r="214" spans="1:33" x14ac:dyDescent="0.25">
      <c r="A214" t="str">
        <f t="shared" si="21"/>
        <v>2020-213</v>
      </c>
      <c r="B214" s="1">
        <f t="shared" si="22"/>
        <v>44155</v>
      </c>
      <c r="C214" t="str">
        <f t="shared" si="23"/>
        <v>RE0912489/easyname GmbH, Fernkorngasse 10/3/501, A-1100 Wien</v>
      </c>
      <c r="D214" t="str">
        <f t="shared" si="24"/>
        <v>Ausgaben</v>
      </c>
      <c r="E214" t="str">
        <f t="shared" si="25"/>
        <v>sonstige Betriebsausgaben</v>
      </c>
      <c r="F214" s="117">
        <f t="shared" si="26"/>
        <v>19.895999999999997</v>
      </c>
      <c r="G214" t="str">
        <f t="shared" si="27"/>
        <v>20%</v>
      </c>
      <c r="I214" s="53">
        <v>2020</v>
      </c>
      <c r="J214" s="53">
        <v>213</v>
      </c>
      <c r="K214" s="71" t="s">
        <v>105</v>
      </c>
      <c r="L214" t="s">
        <v>705</v>
      </c>
      <c r="M214" s="74" t="s">
        <v>1431</v>
      </c>
      <c r="N214" s="1">
        <v>44155</v>
      </c>
      <c r="O214" t="s">
        <v>941</v>
      </c>
      <c r="Q214" s="76"/>
      <c r="R214" t="b">
        <v>0</v>
      </c>
      <c r="S214" s="48">
        <v>16.579999999999998</v>
      </c>
      <c r="T214" s="72">
        <v>1</v>
      </c>
      <c r="U214">
        <v>20</v>
      </c>
      <c r="V214" s="31">
        <v>3.3159999999999998</v>
      </c>
      <c r="W214" s="31">
        <v>3.3159999999999998</v>
      </c>
      <c r="X214" s="33">
        <v>16.579999999999998</v>
      </c>
      <c r="Y214" s="29">
        <v>19.895999999999997</v>
      </c>
      <c r="Z214" s="29">
        <v>19.895999999999997</v>
      </c>
      <c r="AA214" s="35">
        <v>44242</v>
      </c>
      <c r="AB214" s="27"/>
      <c r="AC214" s="27"/>
      <c r="AD214" s="58">
        <v>16.579999999999998</v>
      </c>
      <c r="AE214" s="31">
        <v>0</v>
      </c>
      <c r="AF214" t="b">
        <v>0</v>
      </c>
      <c r="AG214" s="78">
        <v>-16.579999999999998</v>
      </c>
    </row>
    <row r="215" spans="1:33" x14ac:dyDescent="0.25">
      <c r="A215" t="str">
        <f t="shared" si="21"/>
        <v>2020-214</v>
      </c>
      <c r="B215" s="1">
        <f t="shared" si="22"/>
        <v>44161</v>
      </c>
      <c r="C215" t="str">
        <f t="shared" si="23"/>
        <v>6568004907/Digital River Ireland, Ltd., Dromore House, East Park, Shannon, County Clare, V14 AN23, Ireland; UID ATU66641618</v>
      </c>
      <c r="D215" t="str">
        <f t="shared" si="24"/>
        <v>Ausgaben</v>
      </c>
      <c r="E215" t="str">
        <f t="shared" si="25"/>
        <v>sonstige Betriebsausgaben</v>
      </c>
      <c r="F215" s="117">
        <f t="shared" si="26"/>
        <v>85.68</v>
      </c>
      <c r="G215" t="str">
        <f t="shared" si="27"/>
        <v>20%</v>
      </c>
      <c r="I215" s="53">
        <v>2020</v>
      </c>
      <c r="J215" s="53">
        <v>214</v>
      </c>
      <c r="K215" s="71" t="s">
        <v>105</v>
      </c>
      <c r="L215" t="s">
        <v>705</v>
      </c>
      <c r="M215" s="74" t="s">
        <v>1433</v>
      </c>
      <c r="N215" s="1">
        <v>44161</v>
      </c>
      <c r="O215" t="s">
        <v>1432</v>
      </c>
      <c r="Q215" s="76"/>
      <c r="R215" t="b">
        <v>0</v>
      </c>
      <c r="S215" s="48">
        <v>71.400000000000006</v>
      </c>
      <c r="T215" s="72">
        <v>1</v>
      </c>
      <c r="U215">
        <v>20</v>
      </c>
      <c r="V215" s="31">
        <v>14.28</v>
      </c>
      <c r="W215" s="31">
        <v>14.28</v>
      </c>
      <c r="X215" s="33">
        <v>71.400000000000006</v>
      </c>
      <c r="Y215" s="29">
        <v>85.68</v>
      </c>
      <c r="Z215" s="29">
        <v>85.68</v>
      </c>
      <c r="AA215" s="35">
        <v>44242</v>
      </c>
      <c r="AB215" s="27"/>
      <c r="AC215" s="27"/>
      <c r="AD215" s="58">
        <v>71.400000000000006</v>
      </c>
      <c r="AE215" s="31">
        <v>0</v>
      </c>
      <c r="AF215" t="b">
        <v>0</v>
      </c>
      <c r="AG215" s="78">
        <v>-71.400000000000006</v>
      </c>
    </row>
    <row r="216" spans="1:33" x14ac:dyDescent="0.25">
      <c r="A216" t="str">
        <f t="shared" si="21"/>
        <v>2020-215</v>
      </c>
      <c r="B216" s="1">
        <f t="shared" si="22"/>
        <v>44162</v>
      </c>
      <c r="C216" t="str">
        <f t="shared" si="23"/>
        <v>/Sozialversicherung der gewerblichen Wirtshaft</v>
      </c>
      <c r="D216" t="str">
        <f t="shared" si="24"/>
        <v>Ausgaben</v>
      </c>
      <c r="E216" t="str">
        <f t="shared" si="25"/>
        <v>Pflichversicherungsbeiträge</v>
      </c>
      <c r="F216" s="117">
        <f t="shared" si="26"/>
        <v>1709.58</v>
      </c>
      <c r="G216" t="str">
        <f t="shared" si="27"/>
        <v>0%</v>
      </c>
      <c r="I216" s="53">
        <v>2020</v>
      </c>
      <c r="J216" s="53">
        <v>215</v>
      </c>
      <c r="K216" s="71" t="s">
        <v>105</v>
      </c>
      <c r="L216" t="s">
        <v>695</v>
      </c>
      <c r="M216" s="74"/>
      <c r="N216" s="1">
        <v>44162</v>
      </c>
      <c r="O216" t="s">
        <v>952</v>
      </c>
      <c r="Q216" s="76"/>
      <c r="R216" t="b">
        <v>0</v>
      </c>
      <c r="S216" s="48">
        <v>1709.58</v>
      </c>
      <c r="T216" s="72">
        <v>1</v>
      </c>
      <c r="U216">
        <v>0</v>
      </c>
      <c r="V216" s="31">
        <v>0</v>
      </c>
      <c r="W216" s="31">
        <v>0</v>
      </c>
      <c r="X216" s="33">
        <v>1709.58</v>
      </c>
      <c r="Y216" s="29">
        <v>1709.58</v>
      </c>
      <c r="Z216" s="29">
        <v>1709.58</v>
      </c>
      <c r="AA216" s="35">
        <v>44242</v>
      </c>
      <c r="AB216" s="27"/>
      <c r="AC216" s="27"/>
      <c r="AD216" s="58">
        <v>1709.58</v>
      </c>
      <c r="AE216" s="31">
        <v>0</v>
      </c>
      <c r="AF216" t="b">
        <v>0</v>
      </c>
      <c r="AG216" s="78">
        <v>-1709.58</v>
      </c>
    </row>
    <row r="217" spans="1:33" x14ac:dyDescent="0.25">
      <c r="A217" t="str">
        <f t="shared" si="21"/>
        <v>2020-216</v>
      </c>
      <c r="B217" s="1">
        <f t="shared" si="22"/>
        <v>44166</v>
      </c>
      <c r="C217" t="str">
        <f t="shared" si="23"/>
        <v>PRM320110004603/New Work SE, Dammtorstraße 30, 20354 Hamburg</v>
      </c>
      <c r="D217" t="str">
        <f t="shared" si="24"/>
        <v>Ausgaben</v>
      </c>
      <c r="E217" t="str">
        <f t="shared" si="25"/>
        <v>Werbe- und Repräsentationsaufwand</v>
      </c>
      <c r="F217" s="117">
        <f t="shared" si="26"/>
        <v>24.88</v>
      </c>
      <c r="G217" t="str">
        <f t="shared" si="27"/>
        <v>0%</v>
      </c>
      <c r="I217" s="53">
        <v>2020</v>
      </c>
      <c r="J217" s="53">
        <v>216</v>
      </c>
      <c r="K217" s="71" t="s">
        <v>105</v>
      </c>
      <c r="L217" t="s">
        <v>693</v>
      </c>
      <c r="M217" s="74" t="s">
        <v>1434</v>
      </c>
      <c r="N217" s="1">
        <v>44166</v>
      </c>
      <c r="O217" t="s">
        <v>1363</v>
      </c>
      <c r="Q217" s="76"/>
      <c r="R217" t="b">
        <v>0</v>
      </c>
      <c r="S217" s="48">
        <v>24.88</v>
      </c>
      <c r="T217" s="72">
        <v>1</v>
      </c>
      <c r="U217">
        <v>0</v>
      </c>
      <c r="V217" s="31">
        <v>0</v>
      </c>
      <c r="W217" s="31">
        <v>0</v>
      </c>
      <c r="X217" s="33">
        <v>24.88</v>
      </c>
      <c r="Y217" s="29">
        <v>24.88</v>
      </c>
      <c r="Z217" s="29">
        <v>24.88</v>
      </c>
      <c r="AA217" s="35">
        <v>44242</v>
      </c>
      <c r="AB217" s="27"/>
      <c r="AC217" s="27">
        <v>20</v>
      </c>
      <c r="AD217" s="58">
        <v>24.88</v>
      </c>
      <c r="AE217" s="31">
        <v>4.976</v>
      </c>
      <c r="AF217" t="b">
        <v>0</v>
      </c>
      <c r="AG217" s="78">
        <v>-24.88</v>
      </c>
    </row>
    <row r="218" spans="1:33" x14ac:dyDescent="0.25">
      <c r="A218" t="str">
        <f t="shared" si="21"/>
        <v>2020-217</v>
      </c>
      <c r="B218" s="1">
        <f t="shared" si="22"/>
        <v>44166</v>
      </c>
      <c r="C218" t="str">
        <f t="shared" si="23"/>
        <v>20/9801/VS00486/Bontus Immobilienverwaltung GmbH, 1010 Wien, Franz Josefs Kai 65</v>
      </c>
      <c r="D218" t="str">
        <f t="shared" si="24"/>
        <v>Ausgaben</v>
      </c>
      <c r="E218" t="str">
        <f t="shared" si="25"/>
        <v>Miet- und Pachtaufwand, Leasing</v>
      </c>
      <c r="F218" s="117">
        <f t="shared" si="26"/>
        <v>554.928</v>
      </c>
      <c r="G218" t="str">
        <f t="shared" si="27"/>
        <v>20%</v>
      </c>
      <c r="I218" s="53">
        <v>2020</v>
      </c>
      <c r="J218" s="53">
        <v>217</v>
      </c>
      <c r="K218" s="71" t="s">
        <v>105</v>
      </c>
      <c r="L218" t="s">
        <v>691</v>
      </c>
      <c r="M218" s="74" t="s">
        <v>1372</v>
      </c>
      <c r="N218" s="1">
        <v>44166</v>
      </c>
      <c r="O218" t="s">
        <v>1113</v>
      </c>
      <c r="Q218" s="76"/>
      <c r="R218" t="b">
        <v>0</v>
      </c>
      <c r="S218" s="48">
        <v>462.44</v>
      </c>
      <c r="T218" s="72">
        <v>1</v>
      </c>
      <c r="U218">
        <v>20</v>
      </c>
      <c r="V218" s="31">
        <v>92.488</v>
      </c>
      <c r="W218" s="31">
        <v>92.488</v>
      </c>
      <c r="X218" s="33">
        <v>462.44</v>
      </c>
      <c r="Y218" s="29">
        <v>554.928</v>
      </c>
      <c r="Z218" s="29">
        <v>554.928</v>
      </c>
      <c r="AA218" s="35">
        <v>44242</v>
      </c>
      <c r="AB218" s="27"/>
      <c r="AC218" s="27"/>
      <c r="AD218" s="58">
        <v>462.44</v>
      </c>
      <c r="AE218" s="31">
        <v>0</v>
      </c>
      <c r="AF218" t="b">
        <v>0</v>
      </c>
      <c r="AG218" s="78">
        <v>-462.44</v>
      </c>
    </row>
    <row r="219" spans="1:33" x14ac:dyDescent="0.25">
      <c r="A219" t="str">
        <f t="shared" si="21"/>
        <v>2020-218</v>
      </c>
      <c r="B219" s="1">
        <f t="shared" si="22"/>
        <v>44166</v>
      </c>
      <c r="C219" t="str">
        <f t="shared" si="23"/>
        <v>6569277447/Digital River Ireland, Ltd., Dromore House, East Park, Shannon, County Clare, V14 AN23, Ireland; UID ATU66641618</v>
      </c>
      <c r="D219" t="str">
        <f t="shared" si="24"/>
        <v>Ausgaben</v>
      </c>
      <c r="E219" t="str">
        <f t="shared" si="25"/>
        <v>sonstige Betriebsausgaben</v>
      </c>
      <c r="F219" s="117">
        <f t="shared" si="26"/>
        <v>243.36</v>
      </c>
      <c r="G219" t="str">
        <f t="shared" si="27"/>
        <v>20%</v>
      </c>
      <c r="I219" s="53">
        <v>2020</v>
      </c>
      <c r="J219" s="53">
        <v>218</v>
      </c>
      <c r="K219" s="71" t="s">
        <v>105</v>
      </c>
      <c r="L219" t="s">
        <v>705</v>
      </c>
      <c r="M219" s="74" t="s">
        <v>1441</v>
      </c>
      <c r="N219" s="1">
        <v>44166</v>
      </c>
      <c r="O219" t="s">
        <v>1432</v>
      </c>
      <c r="Q219" s="76"/>
      <c r="R219" t="b">
        <v>0</v>
      </c>
      <c r="S219" s="48">
        <v>202.8</v>
      </c>
      <c r="T219" s="72">
        <v>1</v>
      </c>
      <c r="U219">
        <v>20</v>
      </c>
      <c r="V219" s="31">
        <v>40.56</v>
      </c>
      <c r="W219" s="31">
        <v>40.56</v>
      </c>
      <c r="X219" s="33">
        <v>202.8</v>
      </c>
      <c r="Y219" s="29">
        <v>243.36</v>
      </c>
      <c r="Z219" s="29">
        <v>243.36</v>
      </c>
      <c r="AA219" s="35">
        <v>44242</v>
      </c>
      <c r="AB219" s="27"/>
      <c r="AC219" s="27"/>
      <c r="AD219" s="58">
        <v>202.8</v>
      </c>
      <c r="AE219" s="31">
        <v>0</v>
      </c>
      <c r="AF219" t="b">
        <v>0</v>
      </c>
      <c r="AG219" s="78">
        <v>-202.8</v>
      </c>
    </row>
    <row r="220" spans="1:33" x14ac:dyDescent="0.25">
      <c r="A220" t="str">
        <f t="shared" si="21"/>
        <v>2020-219</v>
      </c>
      <c r="B220" s="1">
        <f t="shared" si="22"/>
        <v>44168</v>
      </c>
      <c r="C220" t="str">
        <f t="shared" si="23"/>
        <v>4293000000018420/car2go Österreich GmbH, Hintere Zollamtstraße 9, 1030 Wien</v>
      </c>
      <c r="D220" t="str">
        <f t="shared" si="24"/>
        <v>Ausgaben</v>
      </c>
      <c r="E220" t="str">
        <f t="shared" si="25"/>
        <v>Reise- und Fahrtspesen inkl. Kilometergeld und Diäten</v>
      </c>
      <c r="F220" s="117">
        <f t="shared" si="26"/>
        <v>37.769999999999996</v>
      </c>
      <c r="G220" t="str">
        <f t="shared" si="27"/>
        <v>20%</v>
      </c>
      <c r="I220" s="53">
        <v>2020</v>
      </c>
      <c r="J220" s="53">
        <v>219</v>
      </c>
      <c r="K220" s="71" t="s">
        <v>105</v>
      </c>
      <c r="L220" t="s">
        <v>689</v>
      </c>
      <c r="M220" s="39" t="s">
        <v>1435</v>
      </c>
      <c r="N220" s="1">
        <v>44168</v>
      </c>
      <c r="O220" t="s">
        <v>974</v>
      </c>
      <c r="Q220" s="76"/>
      <c r="R220" t="b">
        <v>0</v>
      </c>
      <c r="S220" s="48">
        <v>31.47</v>
      </c>
      <c r="T220" s="72">
        <v>1</v>
      </c>
      <c r="U220">
        <v>20</v>
      </c>
      <c r="V220" s="31">
        <v>6.3</v>
      </c>
      <c r="W220" s="31">
        <v>6.3</v>
      </c>
      <c r="X220" s="33">
        <v>31.47</v>
      </c>
      <c r="Y220" s="29">
        <v>37.769999999999996</v>
      </c>
      <c r="Z220" s="29">
        <v>37.769999999999996</v>
      </c>
      <c r="AA220" s="35">
        <v>44242</v>
      </c>
      <c r="AB220" s="27"/>
      <c r="AC220" s="27"/>
      <c r="AD220" s="58">
        <v>31.47</v>
      </c>
      <c r="AE220" s="31">
        <v>0</v>
      </c>
      <c r="AF220" t="b">
        <v>0</v>
      </c>
      <c r="AG220" s="78">
        <v>-31.47</v>
      </c>
    </row>
    <row r="221" spans="1:33" x14ac:dyDescent="0.25">
      <c r="A221" t="str">
        <f t="shared" si="21"/>
        <v>2020-220</v>
      </c>
      <c r="B221" s="1">
        <f t="shared" si="22"/>
        <v>44168</v>
      </c>
      <c r="C221" t="str">
        <f t="shared" si="23"/>
        <v>6212001185/Hutchison Drei Austria GmbH, Brünner Straße 52, 1210 Wien, Österreich</v>
      </c>
      <c r="D221" t="str">
        <f t="shared" si="24"/>
        <v>Ausgaben</v>
      </c>
      <c r="E221" t="str">
        <f t="shared" si="25"/>
        <v>Telefon/Internet</v>
      </c>
      <c r="F221" s="117">
        <f t="shared" si="26"/>
        <v>18</v>
      </c>
      <c r="G221" t="str">
        <f t="shared" si="27"/>
        <v>20%</v>
      </c>
      <c r="I221" s="53">
        <v>2020</v>
      </c>
      <c r="J221" s="53">
        <v>220</v>
      </c>
      <c r="K221" s="71" t="s">
        <v>105</v>
      </c>
      <c r="L221" t="s">
        <v>703</v>
      </c>
      <c r="M221" s="74">
        <v>6212001185</v>
      </c>
      <c r="N221" s="1">
        <v>44168</v>
      </c>
      <c r="O221" t="s">
        <v>34</v>
      </c>
      <c r="Q221" s="76"/>
      <c r="R221" t="b">
        <v>0</v>
      </c>
      <c r="S221" s="48">
        <v>15</v>
      </c>
      <c r="T221" s="72">
        <v>1</v>
      </c>
      <c r="U221">
        <v>20</v>
      </c>
      <c r="V221" s="31">
        <v>3</v>
      </c>
      <c r="W221" s="31">
        <v>3</v>
      </c>
      <c r="X221" s="33">
        <v>15</v>
      </c>
      <c r="Y221" s="29">
        <v>18</v>
      </c>
      <c r="Z221" s="29">
        <v>18</v>
      </c>
      <c r="AA221" s="35">
        <v>44242</v>
      </c>
      <c r="AB221" s="27"/>
      <c r="AC221" s="27"/>
      <c r="AD221" s="58">
        <v>15</v>
      </c>
      <c r="AE221" s="31">
        <v>0</v>
      </c>
      <c r="AF221" t="b">
        <v>0</v>
      </c>
      <c r="AG221" s="78">
        <v>-15</v>
      </c>
    </row>
    <row r="222" spans="1:33" x14ac:dyDescent="0.25">
      <c r="A222" t="str">
        <f t="shared" si="21"/>
        <v>2020-221</v>
      </c>
      <c r="B222" s="1">
        <f t="shared" si="22"/>
        <v>44168</v>
      </c>
      <c r="C222" t="str">
        <f t="shared" si="23"/>
        <v>807693/easy green energy GmbH &amp; Co KG</v>
      </c>
      <c r="D222" t="str">
        <f t="shared" si="24"/>
        <v>Ausgaben</v>
      </c>
      <c r="E222" t="str">
        <f t="shared" si="25"/>
        <v>sonstige Betriebsausgaben</v>
      </c>
      <c r="F222" s="117">
        <f t="shared" si="26"/>
        <v>3</v>
      </c>
      <c r="G222" t="str">
        <f t="shared" si="27"/>
        <v>20%</v>
      </c>
      <c r="I222" s="53">
        <v>2020</v>
      </c>
      <c r="J222" s="53">
        <v>221</v>
      </c>
      <c r="K222" s="71" t="s">
        <v>105</v>
      </c>
      <c r="L222" t="s">
        <v>705</v>
      </c>
      <c r="M222" s="74" t="s">
        <v>1225</v>
      </c>
      <c r="N222" s="1">
        <v>44168</v>
      </c>
      <c r="O222" t="s">
        <v>1364</v>
      </c>
      <c r="Q222" s="76"/>
      <c r="R222" t="b">
        <v>0</v>
      </c>
      <c r="S222" s="48">
        <v>2.5</v>
      </c>
      <c r="T222" s="72">
        <v>1</v>
      </c>
      <c r="U222">
        <v>20</v>
      </c>
      <c r="V222" s="31">
        <v>0.5</v>
      </c>
      <c r="W222" s="31">
        <v>0.5</v>
      </c>
      <c r="X222" s="33">
        <v>2.5</v>
      </c>
      <c r="Y222" s="29">
        <v>3</v>
      </c>
      <c r="Z222" s="29">
        <v>3</v>
      </c>
      <c r="AA222" s="35">
        <v>44242</v>
      </c>
      <c r="AB222" s="27"/>
      <c r="AC222" s="27"/>
      <c r="AD222" s="58">
        <v>2.5</v>
      </c>
      <c r="AE222" s="31">
        <v>0</v>
      </c>
      <c r="AF222" t="b">
        <v>0</v>
      </c>
      <c r="AG222" s="78">
        <v>-2.5</v>
      </c>
    </row>
    <row r="223" spans="1:33" x14ac:dyDescent="0.25">
      <c r="A223" t="str">
        <f t="shared" si="21"/>
        <v>2020-222</v>
      </c>
      <c r="B223" s="1">
        <f t="shared" si="22"/>
        <v>44172</v>
      </c>
      <c r="C223" t="str">
        <f t="shared" si="23"/>
        <v>HKA/20-01-39452/Techem Messtechnik GmbH; Abnehmernummer 501686-0003-11-(</v>
      </c>
      <c r="D223" t="str">
        <f t="shared" si="24"/>
        <v>Ausgaben</v>
      </c>
      <c r="E223" t="str">
        <f t="shared" si="25"/>
        <v>sonstige Betriebsausgaben</v>
      </c>
      <c r="F223" s="117">
        <f t="shared" si="26"/>
        <v>42</v>
      </c>
      <c r="G223" t="str">
        <f t="shared" si="27"/>
        <v>20%</v>
      </c>
      <c r="I223" s="53">
        <v>2020</v>
      </c>
      <c r="J223" s="53">
        <v>222</v>
      </c>
      <c r="K223" s="71" t="s">
        <v>105</v>
      </c>
      <c r="L223" t="s">
        <v>705</v>
      </c>
      <c r="M223" s="74" t="s">
        <v>1397</v>
      </c>
      <c r="N223" s="1">
        <v>44172</v>
      </c>
      <c r="O223" t="s">
        <v>1128</v>
      </c>
      <c r="Q223" s="76"/>
      <c r="R223" t="b">
        <v>0</v>
      </c>
      <c r="S223" s="48">
        <v>35</v>
      </c>
      <c r="T223" s="72">
        <v>1</v>
      </c>
      <c r="U223">
        <v>20</v>
      </c>
      <c r="V223" s="31">
        <v>7</v>
      </c>
      <c r="W223" s="31">
        <v>7</v>
      </c>
      <c r="X223" s="33">
        <v>35</v>
      </c>
      <c r="Y223" s="29">
        <v>42</v>
      </c>
      <c r="Z223" s="29">
        <v>42</v>
      </c>
      <c r="AA223" s="35">
        <v>44242</v>
      </c>
      <c r="AB223" s="27"/>
      <c r="AC223" s="27"/>
      <c r="AD223" s="58">
        <v>35</v>
      </c>
      <c r="AE223" s="31">
        <v>0</v>
      </c>
      <c r="AF223" t="b">
        <v>0</v>
      </c>
      <c r="AG223" s="78">
        <v>-35</v>
      </c>
    </row>
    <row r="224" spans="1:33" x14ac:dyDescent="0.25">
      <c r="A224" t="str">
        <f t="shared" si="21"/>
        <v>2020-223</v>
      </c>
      <c r="B224" s="1">
        <f t="shared" si="22"/>
        <v>44172</v>
      </c>
      <c r="C224" t="str">
        <f t="shared" si="23"/>
        <v>R0012390011/Hetzner Online GmbH</v>
      </c>
      <c r="D224" t="str">
        <f t="shared" si="24"/>
        <v>Ausgaben</v>
      </c>
      <c r="E224" t="str">
        <f t="shared" si="25"/>
        <v>sonstige Betriebsausgaben</v>
      </c>
      <c r="F224" s="117">
        <f t="shared" si="26"/>
        <v>2.4900000000000002</v>
      </c>
      <c r="G224" t="str">
        <f t="shared" si="27"/>
        <v>0%</v>
      </c>
      <c r="I224" s="53">
        <v>2020</v>
      </c>
      <c r="J224" s="53">
        <v>223</v>
      </c>
      <c r="K224" s="71" t="s">
        <v>105</v>
      </c>
      <c r="L224" t="s">
        <v>705</v>
      </c>
      <c r="M224" s="74" t="s">
        <v>1440</v>
      </c>
      <c r="N224" s="1">
        <v>44172</v>
      </c>
      <c r="O224" t="s">
        <v>927</v>
      </c>
      <c r="Q224" s="76"/>
      <c r="R224" t="b">
        <v>0</v>
      </c>
      <c r="S224" s="48">
        <v>2.4900000000000002</v>
      </c>
      <c r="T224" s="72">
        <v>1</v>
      </c>
      <c r="U224">
        <v>0</v>
      </c>
      <c r="V224" s="31">
        <v>0</v>
      </c>
      <c r="W224" s="31">
        <v>0</v>
      </c>
      <c r="X224" s="33">
        <v>2.4900000000000002</v>
      </c>
      <c r="Y224" s="29">
        <v>2.4900000000000002</v>
      </c>
      <c r="Z224" s="29">
        <v>2.4900000000000002</v>
      </c>
      <c r="AA224" s="35">
        <v>44242</v>
      </c>
      <c r="AB224" s="27"/>
      <c r="AC224" s="27">
        <v>20</v>
      </c>
      <c r="AD224" s="58">
        <v>2.4900000000000002</v>
      </c>
      <c r="AE224" s="31">
        <v>0.49800000000000005</v>
      </c>
      <c r="AF224" t="b">
        <v>0</v>
      </c>
      <c r="AG224" s="78">
        <v>-2.4900000000000002</v>
      </c>
    </row>
    <row r="225" spans="1:33" x14ac:dyDescent="0.25">
      <c r="A225" t="str">
        <f t="shared" si="21"/>
        <v>2020-224</v>
      </c>
      <c r="B225" s="1">
        <f t="shared" si="22"/>
        <v>44176</v>
      </c>
      <c r="C225" t="str">
        <f t="shared" si="23"/>
        <v>R0012432377/Hetzner Online GmbH</v>
      </c>
      <c r="D225" t="str">
        <f t="shared" si="24"/>
        <v>Ausgaben</v>
      </c>
      <c r="E225" t="str">
        <f t="shared" si="25"/>
        <v>sonstige Betriebsausgaben</v>
      </c>
      <c r="F225" s="117">
        <f t="shared" si="26"/>
        <v>46.92</v>
      </c>
      <c r="G225" t="str">
        <f t="shared" si="27"/>
        <v>0%</v>
      </c>
      <c r="I225" s="53">
        <v>2020</v>
      </c>
      <c r="J225" s="53">
        <v>224</v>
      </c>
      <c r="K225" s="71" t="s">
        <v>105</v>
      </c>
      <c r="L225" t="s">
        <v>705</v>
      </c>
      <c r="M225" s="74" t="s">
        <v>1439</v>
      </c>
      <c r="N225" s="1">
        <v>44176</v>
      </c>
      <c r="O225" t="s">
        <v>927</v>
      </c>
      <c r="Q225" s="76"/>
      <c r="R225" t="b">
        <v>0</v>
      </c>
      <c r="S225" s="48">
        <v>46.92</v>
      </c>
      <c r="T225" s="72">
        <v>1</v>
      </c>
      <c r="U225">
        <v>0</v>
      </c>
      <c r="V225" s="31">
        <v>0</v>
      </c>
      <c r="W225" s="31">
        <v>0</v>
      </c>
      <c r="X225" s="33">
        <v>46.92</v>
      </c>
      <c r="Y225" s="29">
        <v>46.92</v>
      </c>
      <c r="Z225" s="29">
        <v>46.92</v>
      </c>
      <c r="AA225" s="35">
        <v>44242</v>
      </c>
      <c r="AB225" s="27"/>
      <c r="AC225" s="27">
        <v>20</v>
      </c>
      <c r="AD225" s="58">
        <v>46.92</v>
      </c>
      <c r="AE225" s="31">
        <v>9.3840000000000003</v>
      </c>
      <c r="AF225" t="b">
        <v>0</v>
      </c>
      <c r="AG225" s="78">
        <v>-46.92</v>
      </c>
    </row>
    <row r="226" spans="1:33" x14ac:dyDescent="0.25">
      <c r="A226" t="str">
        <f t="shared" si="21"/>
        <v>2020-225</v>
      </c>
      <c r="B226" s="1">
        <f t="shared" si="22"/>
        <v>44179</v>
      </c>
      <c r="C226" t="str">
        <f t="shared" si="23"/>
        <v>12020031/DCF - Digital Coding Factory GmbH, Bauernfeldgasse 4/12 1090 Wien</v>
      </c>
      <c r="D226" t="str">
        <f t="shared" si="24"/>
        <v>Einnahmen</v>
      </c>
      <c r="E226" t="str">
        <f t="shared" si="25"/>
        <v>Waren-/Leistungserlöse</v>
      </c>
      <c r="F226" s="117">
        <f t="shared" si="26"/>
        <v>612</v>
      </c>
      <c r="G226" t="str">
        <f t="shared" si="27"/>
        <v>20%</v>
      </c>
      <c r="I226" s="53">
        <v>2020</v>
      </c>
      <c r="J226" s="53">
        <v>225</v>
      </c>
      <c r="K226" s="71" t="s">
        <v>708</v>
      </c>
      <c r="L226" t="s">
        <v>709</v>
      </c>
      <c r="M226" s="74" t="s">
        <v>1436</v>
      </c>
      <c r="N226" s="1">
        <v>44179</v>
      </c>
      <c r="O226" t="s">
        <v>1266</v>
      </c>
      <c r="Q226" s="76"/>
      <c r="R226" t="b">
        <v>0</v>
      </c>
      <c r="S226" s="48">
        <v>510</v>
      </c>
      <c r="T226" s="72">
        <v>1</v>
      </c>
      <c r="U226">
        <v>20</v>
      </c>
      <c r="V226" s="31">
        <v>102</v>
      </c>
      <c r="W226" s="31">
        <v>102</v>
      </c>
      <c r="X226" s="33">
        <v>510</v>
      </c>
      <c r="Y226" s="29">
        <v>612</v>
      </c>
      <c r="Z226" s="29">
        <v>612</v>
      </c>
      <c r="AA226" s="35">
        <v>44242</v>
      </c>
      <c r="AB226" s="27"/>
      <c r="AC226" s="27"/>
      <c r="AD226" s="58">
        <v>510</v>
      </c>
      <c r="AE226" s="31">
        <v>0</v>
      </c>
      <c r="AF226" t="b">
        <v>0</v>
      </c>
      <c r="AG226" s="78">
        <v>510</v>
      </c>
    </row>
    <row r="227" spans="1:33" x14ac:dyDescent="0.25">
      <c r="A227" t="str">
        <f t="shared" si="21"/>
        <v>2020-226</v>
      </c>
      <c r="B227" s="1">
        <f t="shared" si="22"/>
        <v>44179</v>
      </c>
      <c r="C227" t="str">
        <f t="shared" si="23"/>
        <v>12020032/DCF - Digital Coding Factory GmbH, Bauernfeldgasse 4/12 1090 Wien</v>
      </c>
      <c r="D227" t="str">
        <f t="shared" si="24"/>
        <v>Einnahmen</v>
      </c>
      <c r="E227" t="str">
        <f t="shared" si="25"/>
        <v>Waren-/Leistungserlöse</v>
      </c>
      <c r="F227" s="117">
        <f t="shared" si="26"/>
        <v>8712</v>
      </c>
      <c r="G227" t="str">
        <f t="shared" si="27"/>
        <v>20%</v>
      </c>
      <c r="I227" s="53">
        <v>2020</v>
      </c>
      <c r="J227" s="53">
        <v>226</v>
      </c>
      <c r="K227" s="71" t="s">
        <v>708</v>
      </c>
      <c r="L227" t="s">
        <v>709</v>
      </c>
      <c r="M227" s="6">
        <v>12020032</v>
      </c>
      <c r="N227" s="1">
        <v>44179</v>
      </c>
      <c r="O227" t="s">
        <v>1266</v>
      </c>
      <c r="Q227" s="76"/>
      <c r="R227" t="b">
        <v>0</v>
      </c>
      <c r="S227" s="48">
        <v>7260</v>
      </c>
      <c r="T227" s="72">
        <v>1</v>
      </c>
      <c r="U227">
        <v>20</v>
      </c>
      <c r="V227" s="31">
        <v>1452</v>
      </c>
      <c r="W227" s="31">
        <v>1452</v>
      </c>
      <c r="X227" s="33">
        <v>7260</v>
      </c>
      <c r="Y227" s="29">
        <v>8712</v>
      </c>
      <c r="Z227" s="29">
        <v>8712</v>
      </c>
      <c r="AA227" s="35">
        <v>44242</v>
      </c>
      <c r="AB227" s="27"/>
      <c r="AC227" s="27"/>
      <c r="AD227" s="58">
        <v>7260</v>
      </c>
      <c r="AE227" s="31">
        <v>0</v>
      </c>
      <c r="AF227" t="b">
        <v>0</v>
      </c>
      <c r="AG227" s="78">
        <v>7260</v>
      </c>
    </row>
    <row r="228" spans="1:33" x14ac:dyDescent="0.25">
      <c r="A228" t="str">
        <f t="shared" si="21"/>
        <v>2020-227</v>
      </c>
      <c r="B228" s="1">
        <f t="shared" si="22"/>
        <v>44186</v>
      </c>
      <c r="C228" t="str">
        <f t="shared" si="23"/>
        <v>901201021220/Magenta: T-Mobile Austria GmbH, A-1120 Wien, PF 47</v>
      </c>
      <c r="D228" t="str">
        <f t="shared" si="24"/>
        <v>Ausgaben</v>
      </c>
      <c r="E228" t="str">
        <f t="shared" si="25"/>
        <v>Telefon/Internet</v>
      </c>
      <c r="F228" s="117">
        <f t="shared" si="26"/>
        <v>42.288000000000004</v>
      </c>
      <c r="G228" t="str">
        <f t="shared" si="27"/>
        <v>20%</v>
      </c>
      <c r="I228" s="53">
        <v>2020</v>
      </c>
      <c r="J228" s="53">
        <v>227</v>
      </c>
      <c r="K228" s="71" t="s">
        <v>105</v>
      </c>
      <c r="L228" t="s">
        <v>703</v>
      </c>
      <c r="M228" s="74" t="s">
        <v>1442</v>
      </c>
      <c r="N228" s="1">
        <v>44186</v>
      </c>
      <c r="O228" t="s">
        <v>1148</v>
      </c>
      <c r="Q228" s="76"/>
      <c r="R228" t="b">
        <v>0</v>
      </c>
      <c r="S228" s="48">
        <v>35.24</v>
      </c>
      <c r="T228" s="72">
        <v>1</v>
      </c>
      <c r="U228">
        <v>20</v>
      </c>
      <c r="V228" s="31">
        <v>7.0480000000000009</v>
      </c>
      <c r="W228" s="31">
        <v>7.0480000000000009</v>
      </c>
      <c r="X228" s="33">
        <v>35.24</v>
      </c>
      <c r="Y228" s="29">
        <v>42.288000000000004</v>
      </c>
      <c r="Z228" s="29">
        <v>42.288000000000004</v>
      </c>
      <c r="AA228" s="35">
        <v>44242</v>
      </c>
      <c r="AB228" s="27"/>
      <c r="AC228" s="27"/>
      <c r="AD228" s="58">
        <v>35.24</v>
      </c>
      <c r="AE228" s="31">
        <v>0</v>
      </c>
      <c r="AF228" t="b">
        <v>0</v>
      </c>
      <c r="AG228" s="78">
        <v>-35.24</v>
      </c>
    </row>
    <row r="229" spans="1:33" x14ac:dyDescent="0.25">
      <c r="A229" t="str">
        <f t="shared" si="21"/>
        <v>2020-228</v>
      </c>
      <c r="B229" s="1">
        <f t="shared" si="22"/>
        <v>43987</v>
      </c>
      <c r="C229" t="str">
        <f t="shared" si="23"/>
        <v>VS/19-01-05428/Techem Messtechnik GmbH; Abnehmernummer 501686-0003-11-( (NACHTRAG 25.12.)</v>
      </c>
      <c r="D229" t="str">
        <f t="shared" si="24"/>
        <v>Ausgaben</v>
      </c>
      <c r="E229" t="str">
        <f t="shared" si="25"/>
        <v>sonstige Betriebsausgaben</v>
      </c>
      <c r="F229" s="117">
        <f t="shared" si="26"/>
        <v>43.896000000000001</v>
      </c>
      <c r="G229" t="str">
        <f t="shared" si="27"/>
        <v>20%</v>
      </c>
      <c r="I229" s="53">
        <v>2020</v>
      </c>
      <c r="J229" s="53">
        <v>228</v>
      </c>
      <c r="K229" s="71" t="s">
        <v>105</v>
      </c>
      <c r="L229" t="s">
        <v>705</v>
      </c>
      <c r="M229" s="74" t="s">
        <v>1143</v>
      </c>
      <c r="N229" s="1">
        <v>43987</v>
      </c>
      <c r="O229" t="s">
        <v>1437</v>
      </c>
      <c r="Q229" s="76"/>
      <c r="R229" t="b">
        <v>0</v>
      </c>
      <c r="S229" s="48">
        <v>36.58</v>
      </c>
      <c r="T229" s="72">
        <v>1</v>
      </c>
      <c r="U229">
        <v>20</v>
      </c>
      <c r="V229" s="31">
        <v>7.3159999999999989</v>
      </c>
      <c r="W229" s="31">
        <v>7.3159999999999989</v>
      </c>
      <c r="X229" s="33">
        <v>36.58</v>
      </c>
      <c r="Y229" s="29">
        <v>43.896000000000001</v>
      </c>
      <c r="Z229" s="29">
        <v>43.896000000000001</v>
      </c>
      <c r="AA229" s="35">
        <v>44058</v>
      </c>
      <c r="AB229" s="27"/>
      <c r="AC229" s="27"/>
      <c r="AD229" s="58">
        <v>36.58</v>
      </c>
      <c r="AE229" s="31">
        <v>0</v>
      </c>
      <c r="AF229" t="b">
        <v>0</v>
      </c>
      <c r="AG229" s="78">
        <v>-36.58</v>
      </c>
    </row>
    <row r="230" spans="1:33" x14ac:dyDescent="0.25">
      <c r="A230" t="str">
        <f t="shared" si="21"/>
        <v>2020-229</v>
      </c>
      <c r="B230" s="1">
        <f t="shared" si="22"/>
        <v>44190</v>
      </c>
      <c r="C230" t="str">
        <f t="shared" si="23"/>
        <v>GSVG-Rechner/Sozialversicherung der gewerblichen Wirtshaft</v>
      </c>
      <c r="D230" t="str">
        <f t="shared" si="24"/>
        <v>Ausgaben</v>
      </c>
      <c r="E230" t="str">
        <f t="shared" si="25"/>
        <v>Pflichversicherungsbeiträge</v>
      </c>
      <c r="F230" s="117">
        <f t="shared" si="26"/>
        <v>13124.8</v>
      </c>
      <c r="G230" t="str">
        <f t="shared" si="27"/>
        <v>0%</v>
      </c>
      <c r="I230" s="53">
        <v>2020</v>
      </c>
      <c r="J230" s="53">
        <v>229</v>
      </c>
      <c r="K230" s="71" t="s">
        <v>105</v>
      </c>
      <c r="L230" t="s">
        <v>695</v>
      </c>
      <c r="M230" s="74" t="s">
        <v>1438</v>
      </c>
      <c r="N230" s="1">
        <v>44190</v>
      </c>
      <c r="O230" t="s">
        <v>952</v>
      </c>
      <c r="Q230" s="76"/>
      <c r="R230" t="b">
        <v>0</v>
      </c>
      <c r="S230" s="48">
        <v>13124.8</v>
      </c>
      <c r="T230" s="72">
        <v>1</v>
      </c>
      <c r="U230">
        <v>0</v>
      </c>
      <c r="V230" s="31">
        <v>0</v>
      </c>
      <c r="W230" s="31">
        <v>0</v>
      </c>
      <c r="X230" s="33">
        <v>13124.8</v>
      </c>
      <c r="Y230" s="29">
        <v>13124.8</v>
      </c>
      <c r="Z230" s="29">
        <v>13124.8</v>
      </c>
      <c r="AA230" s="35">
        <v>44242</v>
      </c>
      <c r="AB230" s="27"/>
      <c r="AC230" s="27"/>
      <c r="AD230" s="58">
        <v>13124.8</v>
      </c>
      <c r="AE230" s="31">
        <v>0</v>
      </c>
      <c r="AF230" t="b">
        <v>0</v>
      </c>
      <c r="AG230" s="78">
        <v>-13124.8</v>
      </c>
    </row>
    <row r="231" spans="1:33" x14ac:dyDescent="0.25">
      <c r="A231" t="str">
        <f t="shared" si="21"/>
        <v>2020-230</v>
      </c>
      <c r="B231" s="1">
        <f t="shared" si="22"/>
        <v>44193</v>
      </c>
      <c r="C231" t="str">
        <f t="shared" si="23"/>
        <v>I200002565115/Hetzner Online GmbH</v>
      </c>
      <c r="D231" t="str">
        <f t="shared" si="24"/>
        <v>Ausgaben</v>
      </c>
      <c r="E231" t="str">
        <f t="shared" si="25"/>
        <v>sonstige Betriebsausgaben</v>
      </c>
      <c r="F231" s="117">
        <f t="shared" si="26"/>
        <v>10</v>
      </c>
      <c r="G231" t="str">
        <f t="shared" si="27"/>
        <v>0%</v>
      </c>
      <c r="I231" s="53">
        <v>2020</v>
      </c>
      <c r="J231" s="53">
        <v>230</v>
      </c>
      <c r="K231" s="71" t="s">
        <v>105</v>
      </c>
      <c r="L231" t="s">
        <v>705</v>
      </c>
      <c r="M231" s="74" t="s">
        <v>1444</v>
      </c>
      <c r="N231" s="1">
        <v>44193</v>
      </c>
      <c r="O231" t="s">
        <v>927</v>
      </c>
      <c r="Q231" s="76"/>
      <c r="R231" t="b">
        <v>0</v>
      </c>
      <c r="S231" s="48">
        <v>10</v>
      </c>
      <c r="T231" s="72">
        <v>1</v>
      </c>
      <c r="U231">
        <v>0</v>
      </c>
      <c r="V231" s="31">
        <v>0</v>
      </c>
      <c r="W231" s="31">
        <v>0</v>
      </c>
      <c r="X231" s="33">
        <v>10</v>
      </c>
      <c r="Y231" s="29">
        <v>10</v>
      </c>
      <c r="Z231" s="29">
        <v>10</v>
      </c>
      <c r="AA231" s="35">
        <v>44242</v>
      </c>
      <c r="AB231" s="27"/>
      <c r="AC231" s="27">
        <v>20</v>
      </c>
      <c r="AD231" s="58">
        <v>10</v>
      </c>
      <c r="AE231" s="31">
        <v>2</v>
      </c>
      <c r="AF231" t="b">
        <v>0</v>
      </c>
      <c r="AG231" s="78">
        <v>-10</v>
      </c>
    </row>
    <row r="232" spans="1:33" x14ac:dyDescent="0.25">
      <c r="A232" t="str">
        <f t="shared" si="21"/>
        <v>2020-231</v>
      </c>
      <c r="B232" s="1">
        <f t="shared" si="22"/>
        <v>44193</v>
      </c>
      <c r="C232" t="str">
        <f t="shared" si="23"/>
        <v>6573659633/Digital River Ireland, Ltd., Dromore House, East Park, Shannon, County Clare, V14 AN23, Ireland; UID ATU66641618</v>
      </c>
      <c r="D232" t="str">
        <f t="shared" si="24"/>
        <v>Ausgaben</v>
      </c>
      <c r="E232" t="str">
        <f t="shared" si="25"/>
        <v>sonstige Betriebsausgaben</v>
      </c>
      <c r="F232" s="117">
        <f t="shared" si="26"/>
        <v>2455.6559999999999</v>
      </c>
      <c r="G232" t="str">
        <f t="shared" si="27"/>
        <v>20%</v>
      </c>
      <c r="I232" s="53">
        <v>2020</v>
      </c>
      <c r="J232" s="53">
        <v>231</v>
      </c>
      <c r="K232" s="71" t="s">
        <v>105</v>
      </c>
      <c r="L232" t="s">
        <v>705</v>
      </c>
      <c r="M232" s="74" t="s">
        <v>1443</v>
      </c>
      <c r="N232" s="1">
        <v>44193</v>
      </c>
      <c r="O232" t="s">
        <v>1432</v>
      </c>
      <c r="P232">
        <v>3</v>
      </c>
      <c r="Q232" s="76"/>
      <c r="R232" t="b">
        <v>1</v>
      </c>
      <c r="S232" s="48">
        <v>2046.38</v>
      </c>
      <c r="T232" s="72">
        <v>1</v>
      </c>
      <c r="U232">
        <v>20</v>
      </c>
      <c r="V232" s="31">
        <v>409.27600000000007</v>
      </c>
      <c r="W232" s="31">
        <v>409.27600000000007</v>
      </c>
      <c r="X232" s="33">
        <v>2046.38</v>
      </c>
      <c r="Y232" s="29">
        <v>2455.6559999999999</v>
      </c>
      <c r="Z232" s="29">
        <v>2455.6559999999999</v>
      </c>
      <c r="AA232" s="35">
        <v>44242</v>
      </c>
      <c r="AB232" s="27"/>
      <c r="AC232" s="27"/>
      <c r="AD232" s="58" t="e">
        <v>#DIV/0!</v>
      </c>
      <c r="AE232" s="31">
        <v>0</v>
      </c>
      <c r="AF232" t="b">
        <v>0</v>
      </c>
      <c r="AG232" s="78">
        <v>-2046.38</v>
      </c>
    </row>
    <row r="233" spans="1:33" x14ac:dyDescent="0.25">
      <c r="A233" t="str">
        <f t="shared" si="21"/>
        <v>2020-232</v>
      </c>
      <c r="B233" s="1">
        <f t="shared" si="22"/>
        <v>44193</v>
      </c>
      <c r="C233" t="str">
        <f t="shared" si="23"/>
        <v>5137082649/Wiener Netze GmbH, Erdbergstraße 236, 1110 Wien, Postfach 422; Jahresabrechnung vom 17.12.20: GUTSCHRIFT</v>
      </c>
      <c r="D233" t="str">
        <f t="shared" si="24"/>
        <v>Ausgaben</v>
      </c>
      <c r="E233" t="str">
        <f t="shared" si="25"/>
        <v>sonstige Betriebsausgaben</v>
      </c>
      <c r="F233" s="117">
        <f t="shared" si="26"/>
        <v>-193.69</v>
      </c>
      <c r="G233" t="str">
        <f t="shared" si="27"/>
        <v>0%</v>
      </c>
      <c r="I233" s="53">
        <v>2020</v>
      </c>
      <c r="J233" s="53">
        <v>232</v>
      </c>
      <c r="K233" s="71" t="s">
        <v>105</v>
      </c>
      <c r="L233" t="s">
        <v>705</v>
      </c>
      <c r="M233" s="74" t="s">
        <v>1465</v>
      </c>
      <c r="N233" s="1">
        <v>44193</v>
      </c>
      <c r="O233" t="s">
        <v>1466</v>
      </c>
      <c r="Q233" s="76"/>
      <c r="R233" t="b">
        <v>0</v>
      </c>
      <c r="S233" s="48">
        <v>-193.69</v>
      </c>
      <c r="T233" s="72">
        <v>1</v>
      </c>
      <c r="U233">
        <v>0</v>
      </c>
      <c r="V233" s="31">
        <v>0</v>
      </c>
      <c r="W233" s="31">
        <v>0</v>
      </c>
      <c r="X233" s="33">
        <v>-193.69</v>
      </c>
      <c r="Y233" s="29">
        <v>-193.69</v>
      </c>
      <c r="Z233" s="29">
        <v>-193.69</v>
      </c>
      <c r="AA233" s="35">
        <v>44242</v>
      </c>
      <c r="AB233" s="27"/>
      <c r="AC233" s="27">
        <v>20</v>
      </c>
      <c r="AD233" s="58">
        <v>-193.69</v>
      </c>
      <c r="AE233" s="31">
        <v>-38.738</v>
      </c>
      <c r="AF233" t="b">
        <v>0</v>
      </c>
      <c r="AG233" s="78">
        <v>193.69</v>
      </c>
    </row>
    <row r="234" spans="1:33" x14ac:dyDescent="0.25">
      <c r="A234" t="str">
        <f t="shared" si="21"/>
        <v>2020-233</v>
      </c>
      <c r="B234" s="1">
        <f t="shared" si="22"/>
        <v>44196</v>
      </c>
      <c r="C234" t="str">
        <f t="shared" si="23"/>
        <v>0/AfA 2020 - im letzten Jahr gab es diesen Posten nicht?</v>
      </c>
      <c r="D234" t="str">
        <f t="shared" si="24"/>
        <v>Ausgaben</v>
      </c>
      <c r="E234" t="str">
        <f t="shared" si="25"/>
        <v>Abschreibung Anlagevermögen</v>
      </c>
      <c r="F234" s="117">
        <f t="shared" si="26"/>
        <v>0</v>
      </c>
      <c r="G234" t="str">
        <f t="shared" si="27"/>
        <v>0%</v>
      </c>
      <c r="I234" s="53">
        <v>2020</v>
      </c>
      <c r="J234" s="53">
        <v>233</v>
      </c>
      <c r="K234" s="71" t="s">
        <v>105</v>
      </c>
      <c r="L234" t="s">
        <v>687</v>
      </c>
      <c r="M234" s="39">
        <v>0</v>
      </c>
      <c r="N234" s="1">
        <v>44196</v>
      </c>
      <c r="O234" s="111" t="s">
        <v>1445</v>
      </c>
      <c r="Q234" s="76"/>
      <c r="R234" t="b">
        <v>0</v>
      </c>
      <c r="S234" s="48">
        <v>0</v>
      </c>
      <c r="T234" s="72">
        <v>1</v>
      </c>
      <c r="U234">
        <v>0</v>
      </c>
      <c r="V234" s="31">
        <v>0</v>
      </c>
      <c r="W234" s="31">
        <v>0</v>
      </c>
      <c r="X234" s="33"/>
      <c r="Y234" s="29">
        <v>0</v>
      </c>
      <c r="Z234" s="29"/>
      <c r="AA234" s="35"/>
      <c r="AB234" s="27"/>
      <c r="AC234" s="27"/>
      <c r="AD234" s="58"/>
      <c r="AE234" s="31"/>
      <c r="AF234" t="b">
        <v>0</v>
      </c>
      <c r="AG234" s="78"/>
    </row>
    <row r="235" spans="1:33" x14ac:dyDescent="0.25">
      <c r="A235" t="str">
        <f t="shared" si="21"/>
        <v>2020-234</v>
      </c>
      <c r="B235" s="1">
        <f t="shared" si="22"/>
        <v>43992</v>
      </c>
      <c r="C235" t="str">
        <f t="shared" si="23"/>
        <v>12020018/Nacherfassung</v>
      </c>
      <c r="D235" t="str">
        <f t="shared" si="24"/>
        <v>Einnahmen</v>
      </c>
      <c r="E235" t="str">
        <f t="shared" si="25"/>
        <v>Waren-/Leistungserlöse</v>
      </c>
      <c r="F235" s="117">
        <f t="shared" si="26"/>
        <v>2556</v>
      </c>
      <c r="G235" t="str">
        <f t="shared" si="27"/>
        <v>20%</v>
      </c>
      <c r="I235" s="53">
        <v>2020</v>
      </c>
      <c r="J235" s="53">
        <v>234</v>
      </c>
      <c r="K235" s="71" t="s">
        <v>708</v>
      </c>
      <c r="L235" t="s">
        <v>709</v>
      </c>
      <c r="M235" s="114">
        <v>12020018</v>
      </c>
      <c r="N235" s="1">
        <v>43992</v>
      </c>
      <c r="O235" s="115" t="s">
        <v>1472</v>
      </c>
      <c r="Q235" s="76"/>
      <c r="R235" t="b">
        <v>0</v>
      </c>
      <c r="S235" s="116">
        <v>2130</v>
      </c>
      <c r="T235" s="72">
        <v>1</v>
      </c>
      <c r="U235">
        <v>20</v>
      </c>
      <c r="V235" s="31">
        <v>426</v>
      </c>
      <c r="W235" s="31">
        <v>426</v>
      </c>
      <c r="X235" s="33">
        <v>2130</v>
      </c>
      <c r="Y235" s="29">
        <v>2556</v>
      </c>
      <c r="Z235" s="29">
        <v>2556</v>
      </c>
      <c r="AA235" s="35">
        <v>44058</v>
      </c>
      <c r="AB235" s="27"/>
      <c r="AC235" s="27"/>
      <c r="AD235" s="58">
        <v>2130</v>
      </c>
      <c r="AE235" s="31">
        <v>0</v>
      </c>
      <c r="AF235" t="b">
        <v>0</v>
      </c>
      <c r="AG235" s="78">
        <v>2130</v>
      </c>
    </row>
    <row r="236" spans="1:33" x14ac:dyDescent="0.25">
      <c r="F236" s="117"/>
    </row>
    <row r="237" spans="1:33" x14ac:dyDescent="0.25">
      <c r="F237" s="117"/>
    </row>
    <row r="238" spans="1:33" x14ac:dyDescent="0.25">
      <c r="F238" s="117"/>
    </row>
    <row r="239" spans="1:33" x14ac:dyDescent="0.25">
      <c r="F239" s="117"/>
    </row>
    <row r="240" spans="1:33" x14ac:dyDescent="0.25">
      <c r="F240" s="117"/>
    </row>
    <row r="241" spans="6:6" x14ac:dyDescent="0.25">
      <c r="F241" s="117"/>
    </row>
    <row r="242" spans="6:6" x14ac:dyDescent="0.25">
      <c r="F242" s="117"/>
    </row>
    <row r="243" spans="6:6" x14ac:dyDescent="0.25">
      <c r="F243" s="117"/>
    </row>
    <row r="244" spans="6:6" x14ac:dyDescent="0.25">
      <c r="F244" s="117"/>
    </row>
    <row r="245" spans="6:6" x14ac:dyDescent="0.25">
      <c r="F245" s="117"/>
    </row>
    <row r="246" spans="6:6" x14ac:dyDescent="0.25">
      <c r="F246" s="117"/>
    </row>
    <row r="247" spans="6:6" x14ac:dyDescent="0.25">
      <c r="F247" s="117"/>
    </row>
    <row r="248" spans="6:6" x14ac:dyDescent="0.25">
      <c r="F248" s="117"/>
    </row>
    <row r="249" spans="6:6" x14ac:dyDescent="0.25">
      <c r="F249" s="117"/>
    </row>
    <row r="250" spans="6:6" x14ac:dyDescent="0.25">
      <c r="F250" s="117"/>
    </row>
    <row r="251" spans="6:6" x14ac:dyDescent="0.25">
      <c r="F251" s="117"/>
    </row>
    <row r="252" spans="6:6" x14ac:dyDescent="0.25">
      <c r="F252" s="117"/>
    </row>
    <row r="253" spans="6:6" x14ac:dyDescent="0.25">
      <c r="F253" s="117"/>
    </row>
    <row r="254" spans="6:6" x14ac:dyDescent="0.25">
      <c r="F254" s="117"/>
    </row>
    <row r="255" spans="6:6" x14ac:dyDescent="0.25">
      <c r="F255" s="117"/>
    </row>
    <row r="256" spans="6:6" x14ac:dyDescent="0.25">
      <c r="F256" s="117"/>
    </row>
    <row r="257" spans="6:6" x14ac:dyDescent="0.25">
      <c r="F257" s="117"/>
    </row>
    <row r="258" spans="6:6" x14ac:dyDescent="0.25">
      <c r="F258" s="117"/>
    </row>
    <row r="259" spans="6:6" x14ac:dyDescent="0.25">
      <c r="F259" s="117"/>
    </row>
    <row r="260" spans="6:6" x14ac:dyDescent="0.25">
      <c r="F260" s="117"/>
    </row>
    <row r="261" spans="6:6" x14ac:dyDescent="0.25">
      <c r="F261" s="117"/>
    </row>
    <row r="262" spans="6:6" x14ac:dyDescent="0.25">
      <c r="F262" s="117"/>
    </row>
    <row r="263" spans="6:6" x14ac:dyDescent="0.25">
      <c r="F263" s="117"/>
    </row>
  </sheetData>
  <autoFilter ref="A1:G239" xr:uid="{14E14B9B-1694-4DBB-A8FE-9E75F9B47E22}"/>
  <conditionalFormatting sqref="D1">
    <cfRule type="containsText" dxfId="2828" priority="2968" operator="containsText" text="Einnahmen">
      <formula>NOT(ISERROR(SEARCH("Einnahmen",D1)))</formula>
    </cfRule>
    <cfRule type="containsText" dxfId="2827" priority="2969" operator="containsText" text="Ausgaben">
      <formula>NOT(ISERROR(SEARCH("Ausgaben",D1)))</formula>
    </cfRule>
  </conditionalFormatting>
  <conditionalFormatting sqref="B1">
    <cfRule type="expression" dxfId="2826" priority="2967">
      <formula>ISBLANK(#REF!)</formula>
    </cfRule>
  </conditionalFormatting>
  <conditionalFormatting sqref="K2:K4 K6:K7 K11:K27 K29 K31 K33 K35 K37 K39 K41 K43 K45 K47 K51 K53 K55 K57 K59 K71 K76 K81 K91 K96 K101 K111 K115 K74 K79 K89 K94 K104 K113 K62:K64 K66:K69 K84:K86">
    <cfRule type="containsText" dxfId="2825" priority="1242" operator="containsText" text="Einnahmen">
      <formula>NOT(ISERROR(SEARCH("Einnahmen",K2)))</formula>
    </cfRule>
    <cfRule type="containsText" dxfId="2824" priority="1243" operator="containsText" text="Ausgaben">
      <formula>NOT(ISERROR(SEARCH("Ausgaben",K2)))</formula>
    </cfRule>
  </conditionalFormatting>
  <conditionalFormatting sqref="M4 M11 M13:M16 M19:M21 M24 M31 M86 M90 M95 M103 M105 M111 M120 M122 M129:M131 M136:M137 M139:M140 M149 M169 M171 M198 M212 M214:M217 M230">
    <cfRule type="expression" dxfId="2823" priority="1241">
      <formula>ISBLANK(M4)</formula>
    </cfRule>
  </conditionalFormatting>
  <conditionalFormatting sqref="M2">
    <cfRule type="expression" dxfId="2822" priority="1240">
      <formula>ISBLANK(M2)</formula>
    </cfRule>
  </conditionalFormatting>
  <conditionalFormatting sqref="M3">
    <cfRule type="expression" dxfId="2821" priority="1239">
      <formula>ISBLANK(M3)</formula>
    </cfRule>
  </conditionalFormatting>
  <conditionalFormatting sqref="K5">
    <cfRule type="containsText" dxfId="2820" priority="1237" operator="containsText" text="Einnahmen">
      <formula>NOT(ISERROR(SEARCH("Einnahmen",K5)))</formula>
    </cfRule>
    <cfRule type="containsText" dxfId="2819" priority="1238" operator="containsText" text="Ausgaben">
      <formula>NOT(ISERROR(SEARCH("Ausgaben",K5)))</formula>
    </cfRule>
  </conditionalFormatting>
  <conditionalFormatting sqref="M5">
    <cfRule type="expression" dxfId="2818" priority="1236">
      <formula>ISBLANK(M5)</formula>
    </cfRule>
  </conditionalFormatting>
  <conditionalFormatting sqref="M6">
    <cfRule type="expression" dxfId="2817" priority="1235">
      <formula>ISBLANK(M6)</formula>
    </cfRule>
  </conditionalFormatting>
  <conditionalFormatting sqref="M7">
    <cfRule type="expression" dxfId="2816" priority="1234">
      <formula>ISBLANK(M7)</formula>
    </cfRule>
  </conditionalFormatting>
  <conditionalFormatting sqref="K8">
    <cfRule type="containsText" dxfId="2815" priority="1232" operator="containsText" text="Einnahmen">
      <formula>NOT(ISERROR(SEARCH("Einnahmen",K8)))</formula>
    </cfRule>
    <cfRule type="containsText" dxfId="2814" priority="1233" operator="containsText" text="Ausgaben">
      <formula>NOT(ISERROR(SEARCH("Ausgaben",K8)))</formula>
    </cfRule>
  </conditionalFormatting>
  <conditionalFormatting sqref="M8">
    <cfRule type="expression" dxfId="2813" priority="1231">
      <formula>ISBLANK(M8)</formula>
    </cfRule>
  </conditionalFormatting>
  <conditionalFormatting sqref="K9">
    <cfRule type="containsText" dxfId="2812" priority="1229" operator="containsText" text="Einnahmen">
      <formula>NOT(ISERROR(SEARCH("Einnahmen",K9)))</formula>
    </cfRule>
    <cfRule type="containsText" dxfId="2811" priority="1230" operator="containsText" text="Ausgaben">
      <formula>NOT(ISERROR(SEARCH("Ausgaben",K9)))</formula>
    </cfRule>
  </conditionalFormatting>
  <conditionalFormatting sqref="M9">
    <cfRule type="expression" dxfId="2810" priority="1228">
      <formula>ISBLANK(M9)</formula>
    </cfRule>
  </conditionalFormatting>
  <conditionalFormatting sqref="K10">
    <cfRule type="containsText" dxfId="2809" priority="1226" operator="containsText" text="Einnahmen">
      <formula>NOT(ISERROR(SEARCH("Einnahmen",K10)))</formula>
    </cfRule>
    <cfRule type="containsText" dxfId="2808" priority="1227" operator="containsText" text="Ausgaben">
      <formula>NOT(ISERROR(SEARCH("Ausgaben",K10)))</formula>
    </cfRule>
  </conditionalFormatting>
  <conditionalFormatting sqref="M10">
    <cfRule type="expression" dxfId="2807" priority="1225">
      <formula>ISBLANK(M10)</formula>
    </cfRule>
  </conditionalFormatting>
  <conditionalFormatting sqref="M12">
    <cfRule type="expression" dxfId="2806" priority="1224">
      <formula>ISBLANK(M12)</formula>
    </cfRule>
  </conditionalFormatting>
  <conditionalFormatting sqref="M17:M18">
    <cfRule type="expression" dxfId="2805" priority="1223">
      <formula>ISBLANK(M17)</formula>
    </cfRule>
  </conditionalFormatting>
  <conditionalFormatting sqref="M22:M23">
    <cfRule type="expression" dxfId="2804" priority="1222">
      <formula>ISBLANK(M22)</formula>
    </cfRule>
  </conditionalFormatting>
  <conditionalFormatting sqref="M25">
    <cfRule type="expression" dxfId="2803" priority="1221">
      <formula>ISBLANK(M25)</formula>
    </cfRule>
  </conditionalFormatting>
  <conditionalFormatting sqref="K28 K30 K32 K34 K36 K38 K40 K42 K44 K52 K54 K56 K58 K60:K61 K65 K72:K73 K77:K78 K82:K83 K87 K92:K93 K97:K98 K102:K103 K112 K116:K117 K70 K75 K80 K90 K95 K105 K110">
    <cfRule type="containsText" dxfId="2802" priority="1219" operator="containsText" text="Einnahmen">
      <formula>NOT(ISERROR(SEARCH("Einnahmen",K28)))</formula>
    </cfRule>
    <cfRule type="containsText" dxfId="2801" priority="1220" operator="containsText" text="Ausgaben">
      <formula>NOT(ISERROR(SEARCH("Ausgaben",K28)))</formula>
    </cfRule>
  </conditionalFormatting>
  <conditionalFormatting sqref="M60">
    <cfRule type="expression" dxfId="2800" priority="1218">
      <formula>ISBLANK(M60)</formula>
    </cfRule>
  </conditionalFormatting>
  <conditionalFormatting sqref="M27:M30">
    <cfRule type="expression" dxfId="2799" priority="1217">
      <formula>ISBLANK(M27)</formula>
    </cfRule>
  </conditionalFormatting>
  <conditionalFormatting sqref="M32">
    <cfRule type="expression" dxfId="2798" priority="1216">
      <formula>ISBLANK(M32)</formula>
    </cfRule>
  </conditionalFormatting>
  <conditionalFormatting sqref="M33">
    <cfRule type="expression" dxfId="2797" priority="1215">
      <formula>ISBLANK(M33)</formula>
    </cfRule>
  </conditionalFormatting>
  <conditionalFormatting sqref="M34">
    <cfRule type="expression" dxfId="2796" priority="1214">
      <formula>ISBLANK(M34)</formula>
    </cfRule>
  </conditionalFormatting>
  <conditionalFormatting sqref="M45">
    <cfRule type="expression" dxfId="2795" priority="1209">
      <formula>ISBLANK(M45)</formula>
    </cfRule>
  </conditionalFormatting>
  <conditionalFormatting sqref="M38">
    <cfRule type="expression" dxfId="2794" priority="1213">
      <formula>ISBLANK(M38)</formula>
    </cfRule>
  </conditionalFormatting>
  <conditionalFormatting sqref="M39">
    <cfRule type="expression" dxfId="2793" priority="1212">
      <formula>ISBLANK(M39)</formula>
    </cfRule>
  </conditionalFormatting>
  <conditionalFormatting sqref="M40">
    <cfRule type="expression" dxfId="2792" priority="1211">
      <formula>ISBLANK(M40)</formula>
    </cfRule>
  </conditionalFormatting>
  <conditionalFormatting sqref="M42">
    <cfRule type="expression" dxfId="2791" priority="1210">
      <formula>ISBLANK(M42)</formula>
    </cfRule>
  </conditionalFormatting>
  <conditionalFormatting sqref="M43">
    <cfRule type="expression" dxfId="2790" priority="1208">
      <formula>ISBLANK(M43)</formula>
    </cfRule>
  </conditionalFormatting>
  <conditionalFormatting sqref="M44">
    <cfRule type="expression" dxfId="2789" priority="1207">
      <formula>ISBLANK(M44)</formula>
    </cfRule>
  </conditionalFormatting>
  <conditionalFormatting sqref="M54">
    <cfRule type="expression" dxfId="2788" priority="1203">
      <formula>ISBLANK(M54)</formula>
    </cfRule>
  </conditionalFormatting>
  <conditionalFormatting sqref="M47">
    <cfRule type="expression" dxfId="2787" priority="1206">
      <formula>ISBLANK(M47)</formula>
    </cfRule>
  </conditionalFormatting>
  <conditionalFormatting sqref="M51">
    <cfRule type="expression" dxfId="2786" priority="1205">
      <formula>ISBLANK(M51)</formula>
    </cfRule>
  </conditionalFormatting>
  <conditionalFormatting sqref="M52">
    <cfRule type="expression" dxfId="2785" priority="1204">
      <formula>ISBLANK(M52)</formula>
    </cfRule>
  </conditionalFormatting>
  <conditionalFormatting sqref="M55">
    <cfRule type="expression" dxfId="2784" priority="1202">
      <formula>ISBLANK(M55)</formula>
    </cfRule>
  </conditionalFormatting>
  <conditionalFormatting sqref="M57">
    <cfRule type="expression" dxfId="2783" priority="1201">
      <formula>ISBLANK(M57)</formula>
    </cfRule>
  </conditionalFormatting>
  <conditionalFormatting sqref="M58">
    <cfRule type="expression" dxfId="2782" priority="1200">
      <formula>ISBLANK(M58)</formula>
    </cfRule>
  </conditionalFormatting>
  <conditionalFormatting sqref="M59">
    <cfRule type="expression" dxfId="2781" priority="1199">
      <formula>ISBLANK(M59)</formula>
    </cfRule>
  </conditionalFormatting>
  <conditionalFormatting sqref="M61">
    <cfRule type="expression" dxfId="2780" priority="1198">
      <formula>ISBLANK(M61)</formula>
    </cfRule>
  </conditionalFormatting>
  <conditionalFormatting sqref="M62:M63">
    <cfRule type="expression" dxfId="2779" priority="1197">
      <formula>ISBLANK(M62)</formula>
    </cfRule>
  </conditionalFormatting>
  <conditionalFormatting sqref="M37">
    <cfRule type="expression" dxfId="2778" priority="1196">
      <formula>ISBLANK(M37)</formula>
    </cfRule>
  </conditionalFormatting>
  <conditionalFormatting sqref="M35">
    <cfRule type="expression" dxfId="2777" priority="1195">
      <formula>ISBLANK(M35)</formula>
    </cfRule>
  </conditionalFormatting>
  <conditionalFormatting sqref="M36">
    <cfRule type="expression" dxfId="2776" priority="1194">
      <formula>ISBLANK(M36)</formula>
    </cfRule>
  </conditionalFormatting>
  <conditionalFormatting sqref="K46">
    <cfRule type="containsText" dxfId="2775" priority="1192" operator="containsText" text="Einnahmen">
      <formula>NOT(ISERROR(SEARCH("Einnahmen",K46)))</formula>
    </cfRule>
    <cfRule type="containsText" dxfId="2774" priority="1193" operator="containsText" text="Ausgaben">
      <formula>NOT(ISERROR(SEARCH("Ausgaben",K46)))</formula>
    </cfRule>
  </conditionalFormatting>
  <conditionalFormatting sqref="M46">
    <cfRule type="expression" dxfId="2773" priority="1191">
      <formula>ISBLANK(M46)</formula>
    </cfRule>
  </conditionalFormatting>
  <conditionalFormatting sqref="K48">
    <cfRule type="containsText" dxfId="2772" priority="1189" operator="containsText" text="Einnahmen">
      <formula>NOT(ISERROR(SEARCH("Einnahmen",K48)))</formula>
    </cfRule>
    <cfRule type="containsText" dxfId="2771" priority="1190" operator="containsText" text="Ausgaben">
      <formula>NOT(ISERROR(SEARCH("Ausgaben",K48)))</formula>
    </cfRule>
  </conditionalFormatting>
  <conditionalFormatting sqref="M48">
    <cfRule type="expression" dxfId="2770" priority="1188">
      <formula>ISBLANK(M48)</formula>
    </cfRule>
  </conditionalFormatting>
  <conditionalFormatting sqref="K49">
    <cfRule type="containsText" dxfId="2769" priority="1186" operator="containsText" text="Einnahmen">
      <formula>NOT(ISERROR(SEARCH("Einnahmen",K49)))</formula>
    </cfRule>
    <cfRule type="containsText" dxfId="2768" priority="1187" operator="containsText" text="Ausgaben">
      <formula>NOT(ISERROR(SEARCH("Ausgaben",K49)))</formula>
    </cfRule>
  </conditionalFormatting>
  <conditionalFormatting sqref="M49">
    <cfRule type="expression" dxfId="2767" priority="1185">
      <formula>ISBLANK(M49)</formula>
    </cfRule>
  </conditionalFormatting>
  <conditionalFormatting sqref="K50">
    <cfRule type="containsText" dxfId="2766" priority="1183" operator="containsText" text="Einnahmen">
      <formula>NOT(ISERROR(SEARCH("Einnahmen",K50)))</formula>
    </cfRule>
    <cfRule type="containsText" dxfId="2765" priority="1184" operator="containsText" text="Ausgaben">
      <formula>NOT(ISERROR(SEARCH("Ausgaben",K50)))</formula>
    </cfRule>
  </conditionalFormatting>
  <conditionalFormatting sqref="M50">
    <cfRule type="expression" dxfId="2764" priority="1182">
      <formula>ISBLANK(M50)</formula>
    </cfRule>
  </conditionalFormatting>
  <conditionalFormatting sqref="M53">
    <cfRule type="expression" dxfId="2763" priority="1181">
      <formula>ISBLANK(M53)</formula>
    </cfRule>
  </conditionalFormatting>
  <conditionalFormatting sqref="M56">
    <cfRule type="expression" dxfId="2762" priority="1180">
      <formula>ISBLANK(M56)</formula>
    </cfRule>
  </conditionalFormatting>
  <conditionalFormatting sqref="M65">
    <cfRule type="expression" dxfId="2761" priority="1179">
      <formula>ISBLANK(M65)</formula>
    </cfRule>
  </conditionalFormatting>
  <conditionalFormatting sqref="M66">
    <cfRule type="expression" dxfId="2760" priority="1178">
      <formula>ISBLANK(M66)</formula>
    </cfRule>
  </conditionalFormatting>
  <conditionalFormatting sqref="M63">
    <cfRule type="expression" dxfId="2759" priority="1177">
      <formula>ISBLANK(M63)</formula>
    </cfRule>
  </conditionalFormatting>
  <conditionalFormatting sqref="M64">
    <cfRule type="expression" dxfId="2758" priority="1176">
      <formula>ISBLANK(M64)</formula>
    </cfRule>
  </conditionalFormatting>
  <conditionalFormatting sqref="M64">
    <cfRule type="expression" dxfId="2757" priority="1175">
      <formula>ISBLANK(M64)</formula>
    </cfRule>
  </conditionalFormatting>
  <conditionalFormatting sqref="M67">
    <cfRule type="expression" dxfId="2756" priority="1174">
      <formula>ISBLANK(M67)</formula>
    </cfRule>
  </conditionalFormatting>
  <conditionalFormatting sqref="M68">
    <cfRule type="expression" dxfId="2755" priority="1173">
      <formula>ISBLANK(M68)</formula>
    </cfRule>
  </conditionalFormatting>
  <conditionalFormatting sqref="M69">
    <cfRule type="expression" dxfId="2754" priority="1172">
      <formula>ISBLANK(M69)</formula>
    </cfRule>
  </conditionalFormatting>
  <conditionalFormatting sqref="M70">
    <cfRule type="expression" dxfId="2753" priority="1171">
      <formula>ISBLANK(M70)</formula>
    </cfRule>
  </conditionalFormatting>
  <conditionalFormatting sqref="M71">
    <cfRule type="expression" dxfId="2752" priority="1170">
      <formula>ISBLANK(M71)</formula>
    </cfRule>
  </conditionalFormatting>
  <conditionalFormatting sqref="M72">
    <cfRule type="expression" dxfId="2751" priority="1169">
      <formula>ISBLANK(M72)</formula>
    </cfRule>
  </conditionalFormatting>
  <conditionalFormatting sqref="M73">
    <cfRule type="expression" dxfId="2750" priority="1168">
      <formula>ISBLANK(M73)</formula>
    </cfRule>
  </conditionalFormatting>
  <conditionalFormatting sqref="M74">
    <cfRule type="expression" dxfId="2749" priority="1167">
      <formula>ISBLANK(M74)</formula>
    </cfRule>
  </conditionalFormatting>
  <conditionalFormatting sqref="M75">
    <cfRule type="expression" dxfId="2748" priority="1166">
      <formula>ISBLANK(M75)</formula>
    </cfRule>
  </conditionalFormatting>
  <conditionalFormatting sqref="M76">
    <cfRule type="expression" dxfId="2747" priority="1165">
      <formula>ISBLANK(M76)</formula>
    </cfRule>
  </conditionalFormatting>
  <conditionalFormatting sqref="M77">
    <cfRule type="expression" dxfId="2746" priority="1164">
      <formula>ISBLANK(M77)</formula>
    </cfRule>
  </conditionalFormatting>
  <conditionalFormatting sqref="M78">
    <cfRule type="expression" dxfId="2745" priority="1163">
      <formula>ISBLANK(M78)</formula>
    </cfRule>
  </conditionalFormatting>
  <conditionalFormatting sqref="M80">
    <cfRule type="expression" dxfId="2744" priority="1162">
      <formula>ISBLANK(M80)</formula>
    </cfRule>
  </conditionalFormatting>
  <conditionalFormatting sqref="M81">
    <cfRule type="expression" dxfId="2743" priority="1161">
      <formula>ISBLANK(M81)</formula>
    </cfRule>
  </conditionalFormatting>
  <conditionalFormatting sqref="M82">
    <cfRule type="expression" dxfId="2742" priority="1160">
      <formula>ISBLANK(M82)</formula>
    </cfRule>
  </conditionalFormatting>
  <conditionalFormatting sqref="M84">
    <cfRule type="expression" dxfId="2741" priority="1159">
      <formula>ISBLANK(M84)</formula>
    </cfRule>
  </conditionalFormatting>
  <conditionalFormatting sqref="M85">
    <cfRule type="expression" dxfId="2740" priority="1158">
      <formula>ISBLANK(M85)</formula>
    </cfRule>
  </conditionalFormatting>
  <conditionalFormatting sqref="M87">
    <cfRule type="expression" dxfId="2739" priority="1157">
      <formula>ISBLANK(M87)</formula>
    </cfRule>
  </conditionalFormatting>
  <conditionalFormatting sqref="K88">
    <cfRule type="containsText" dxfId="2738" priority="1155" operator="containsText" text="Einnahmen">
      <formula>NOT(ISERROR(SEARCH("Einnahmen",K88)))</formula>
    </cfRule>
    <cfRule type="containsText" dxfId="2737" priority="1156" operator="containsText" text="Ausgaben">
      <formula>NOT(ISERROR(SEARCH("Ausgaben",K88)))</formula>
    </cfRule>
  </conditionalFormatting>
  <conditionalFormatting sqref="M88">
    <cfRule type="expression" dxfId="2736" priority="1154">
      <formula>ISBLANK(M88)</formula>
    </cfRule>
  </conditionalFormatting>
  <conditionalFormatting sqref="M89">
    <cfRule type="expression" dxfId="2735" priority="1153">
      <formula>ISBLANK(M89)</formula>
    </cfRule>
  </conditionalFormatting>
  <conditionalFormatting sqref="M91">
    <cfRule type="expression" dxfId="2734" priority="1152">
      <formula>ISBLANK(M91)</formula>
    </cfRule>
  </conditionalFormatting>
  <conditionalFormatting sqref="M92">
    <cfRule type="expression" dxfId="2733" priority="1151">
      <formula>ISBLANK(M92)</formula>
    </cfRule>
  </conditionalFormatting>
  <conditionalFormatting sqref="M93">
    <cfRule type="expression" dxfId="2732" priority="1150">
      <formula>ISBLANK(M93)</formula>
    </cfRule>
  </conditionalFormatting>
  <conditionalFormatting sqref="M94">
    <cfRule type="expression" dxfId="2731" priority="1149">
      <formula>ISBLANK(M94)</formula>
    </cfRule>
  </conditionalFormatting>
  <conditionalFormatting sqref="M96">
    <cfRule type="expression" dxfId="2730" priority="1148">
      <formula>ISBLANK(M96)</formula>
    </cfRule>
  </conditionalFormatting>
  <conditionalFormatting sqref="M97">
    <cfRule type="expression" dxfId="2729" priority="1147">
      <formula>ISBLANK(M97)</formula>
    </cfRule>
  </conditionalFormatting>
  <conditionalFormatting sqref="M98">
    <cfRule type="expression" dxfId="2728" priority="1146">
      <formula>ISBLANK(M98)</formula>
    </cfRule>
  </conditionalFormatting>
  <conditionalFormatting sqref="K99">
    <cfRule type="containsText" dxfId="2727" priority="1144" operator="containsText" text="Einnahmen">
      <formula>NOT(ISERROR(SEARCH("Einnahmen",K99)))</formula>
    </cfRule>
    <cfRule type="containsText" dxfId="2726" priority="1145" operator="containsText" text="Ausgaben">
      <formula>NOT(ISERROR(SEARCH("Ausgaben",K99)))</formula>
    </cfRule>
  </conditionalFormatting>
  <conditionalFormatting sqref="M99">
    <cfRule type="expression" dxfId="2725" priority="1143">
      <formula>ISBLANK(M99)</formula>
    </cfRule>
  </conditionalFormatting>
  <conditionalFormatting sqref="K100">
    <cfRule type="containsText" dxfId="2724" priority="1141" operator="containsText" text="Einnahmen">
      <formula>NOT(ISERROR(SEARCH("Einnahmen",K100)))</formula>
    </cfRule>
    <cfRule type="containsText" dxfId="2723" priority="1142" operator="containsText" text="Ausgaben">
      <formula>NOT(ISERROR(SEARCH("Ausgaben",K100)))</formula>
    </cfRule>
  </conditionalFormatting>
  <conditionalFormatting sqref="M100">
    <cfRule type="expression" dxfId="2722" priority="1140">
      <formula>ISBLANK(M100)</formula>
    </cfRule>
  </conditionalFormatting>
  <conditionalFormatting sqref="M101">
    <cfRule type="expression" dxfId="2721" priority="1139">
      <formula>ISBLANK(M101)</formula>
    </cfRule>
  </conditionalFormatting>
  <conditionalFormatting sqref="M102">
    <cfRule type="expression" dxfId="2720" priority="1138">
      <formula>ISBLANK(M102)</formula>
    </cfRule>
  </conditionalFormatting>
  <conditionalFormatting sqref="M104">
    <cfRule type="expression" dxfId="2719" priority="1137">
      <formula>ISBLANK(M104)</formula>
    </cfRule>
  </conditionalFormatting>
  <conditionalFormatting sqref="K106">
    <cfRule type="containsText" dxfId="2718" priority="1135" operator="containsText" text="Einnahmen">
      <formula>NOT(ISERROR(SEARCH("Einnahmen",K106)))</formula>
    </cfRule>
    <cfRule type="containsText" dxfId="2717" priority="1136" operator="containsText" text="Ausgaben">
      <formula>NOT(ISERROR(SEARCH("Ausgaben",K106)))</formula>
    </cfRule>
  </conditionalFormatting>
  <conditionalFormatting sqref="M106">
    <cfRule type="expression" dxfId="2716" priority="1134">
      <formula>ISBLANK(M106)</formula>
    </cfRule>
  </conditionalFormatting>
  <conditionalFormatting sqref="K107">
    <cfRule type="containsText" dxfId="2715" priority="1132" operator="containsText" text="Einnahmen">
      <formula>NOT(ISERROR(SEARCH("Einnahmen",K107)))</formula>
    </cfRule>
    <cfRule type="containsText" dxfId="2714" priority="1133" operator="containsText" text="Ausgaben">
      <formula>NOT(ISERROR(SEARCH("Ausgaben",K107)))</formula>
    </cfRule>
  </conditionalFormatting>
  <conditionalFormatting sqref="K108">
    <cfRule type="containsText" dxfId="2713" priority="1130" operator="containsText" text="Einnahmen">
      <formula>NOT(ISERROR(SEARCH("Einnahmen",K108)))</formula>
    </cfRule>
    <cfRule type="containsText" dxfId="2712" priority="1131" operator="containsText" text="Ausgaben">
      <formula>NOT(ISERROR(SEARCH("Ausgaben",K108)))</formula>
    </cfRule>
  </conditionalFormatting>
  <conditionalFormatting sqref="M108">
    <cfRule type="expression" dxfId="2711" priority="1129">
      <formula>ISBLANK(M108)</formula>
    </cfRule>
  </conditionalFormatting>
  <conditionalFormatting sqref="K109">
    <cfRule type="containsText" dxfId="2710" priority="1127" operator="containsText" text="Einnahmen">
      <formula>NOT(ISERROR(SEARCH("Einnahmen",K109)))</formula>
    </cfRule>
    <cfRule type="containsText" dxfId="2709" priority="1128" operator="containsText" text="Ausgaben">
      <formula>NOT(ISERROR(SEARCH("Ausgaben",K109)))</formula>
    </cfRule>
  </conditionalFormatting>
  <conditionalFormatting sqref="M110">
    <cfRule type="expression" dxfId="2708" priority="1126">
      <formula>ISBLANK(M110)</formula>
    </cfRule>
  </conditionalFormatting>
  <conditionalFormatting sqref="M112">
    <cfRule type="expression" dxfId="2707" priority="1125">
      <formula>ISBLANK(M112)</formula>
    </cfRule>
  </conditionalFormatting>
  <conditionalFormatting sqref="M113">
    <cfRule type="expression" dxfId="2706" priority="1124">
      <formula>ISBLANK(M113)</formula>
    </cfRule>
  </conditionalFormatting>
  <conditionalFormatting sqref="M114">
    <cfRule type="expression" dxfId="2705" priority="1123">
      <formula>ISBLANK(M114)</formula>
    </cfRule>
  </conditionalFormatting>
  <conditionalFormatting sqref="K114">
    <cfRule type="containsText" dxfId="2704" priority="1121" operator="containsText" text="Einnahmen">
      <formula>NOT(ISERROR(SEARCH("Einnahmen",K114)))</formula>
    </cfRule>
    <cfRule type="containsText" dxfId="2703" priority="1122" operator="containsText" text="Ausgaben">
      <formula>NOT(ISERROR(SEARCH("Ausgaben",K114)))</formula>
    </cfRule>
  </conditionalFormatting>
  <conditionalFormatting sqref="M115">
    <cfRule type="expression" dxfId="2702" priority="1120">
      <formula>ISBLANK(M115)</formula>
    </cfRule>
  </conditionalFormatting>
  <conditionalFormatting sqref="M116">
    <cfRule type="expression" dxfId="2701" priority="1119">
      <formula>ISBLANK(M116)</formula>
    </cfRule>
  </conditionalFormatting>
  <conditionalFormatting sqref="M117">
    <cfRule type="expression" dxfId="2700" priority="1118">
      <formula>ISBLANK(M117)</formula>
    </cfRule>
  </conditionalFormatting>
  <conditionalFormatting sqref="K118">
    <cfRule type="containsText" dxfId="2699" priority="1116" operator="containsText" text="Einnahmen">
      <formula>NOT(ISERROR(SEARCH("Einnahmen",K118)))</formula>
    </cfRule>
    <cfRule type="containsText" dxfId="2698" priority="1117" operator="containsText" text="Ausgaben">
      <formula>NOT(ISERROR(SEARCH("Ausgaben",K118)))</formula>
    </cfRule>
  </conditionalFormatting>
  <conditionalFormatting sqref="K119 K122:K130 K132:K141 K149">
    <cfRule type="containsText" dxfId="2697" priority="1114" operator="containsText" text="Einnahmen">
      <formula>NOT(ISERROR(SEARCH("Einnahmen",K119)))</formula>
    </cfRule>
    <cfRule type="containsText" dxfId="2696" priority="1115" operator="containsText" text="Ausgaben">
      <formula>NOT(ISERROR(SEARCH("Ausgaben",K119)))</formula>
    </cfRule>
  </conditionalFormatting>
  <conditionalFormatting sqref="M118">
    <cfRule type="expression" dxfId="2695" priority="1113">
      <formula>ISBLANK(M118)</formula>
    </cfRule>
  </conditionalFormatting>
  <conditionalFormatting sqref="K120">
    <cfRule type="containsText" dxfId="2694" priority="1111" operator="containsText" text="Einnahmen">
      <formula>NOT(ISERROR(SEARCH("Einnahmen",K120)))</formula>
    </cfRule>
    <cfRule type="containsText" dxfId="2693" priority="1112" operator="containsText" text="Ausgaben">
      <formula>NOT(ISERROR(SEARCH("Ausgaben",K120)))</formula>
    </cfRule>
  </conditionalFormatting>
  <conditionalFormatting sqref="M121">
    <cfRule type="expression" dxfId="2692" priority="1110">
      <formula>ISBLANK(M121)</formula>
    </cfRule>
  </conditionalFormatting>
  <conditionalFormatting sqref="K121">
    <cfRule type="containsText" dxfId="2691" priority="1108" operator="containsText" text="Einnahmen">
      <formula>NOT(ISERROR(SEARCH("Einnahmen",K121)))</formula>
    </cfRule>
    <cfRule type="containsText" dxfId="2690" priority="1109" operator="containsText" text="Ausgaben">
      <formula>NOT(ISERROR(SEARCH("Ausgaben",K121)))</formula>
    </cfRule>
  </conditionalFormatting>
  <conditionalFormatting sqref="M124">
    <cfRule type="expression" dxfId="2689" priority="1107">
      <formula>ISBLANK(M124)</formula>
    </cfRule>
  </conditionalFormatting>
  <conditionalFormatting sqref="M123">
    <cfRule type="expression" dxfId="2688" priority="1106">
      <formula>ISBLANK(M123)</formula>
    </cfRule>
  </conditionalFormatting>
  <conditionalFormatting sqref="M125">
    <cfRule type="expression" dxfId="2687" priority="1105">
      <formula>ISBLANK(M125)</formula>
    </cfRule>
  </conditionalFormatting>
  <conditionalFormatting sqref="M127">
    <cfRule type="expression" dxfId="2686" priority="1104">
      <formula>ISBLANK(M127)</formula>
    </cfRule>
  </conditionalFormatting>
  <conditionalFormatting sqref="M128">
    <cfRule type="expression" dxfId="2685" priority="1103">
      <formula>ISBLANK(M128)</formula>
    </cfRule>
  </conditionalFormatting>
  <conditionalFormatting sqref="K131">
    <cfRule type="containsText" dxfId="2684" priority="1101" operator="containsText" text="Einnahmen">
      <formula>NOT(ISERROR(SEARCH("Einnahmen",K131)))</formula>
    </cfRule>
    <cfRule type="containsText" dxfId="2683" priority="1102" operator="containsText" text="Ausgaben">
      <formula>NOT(ISERROR(SEARCH("Ausgaben",K131)))</formula>
    </cfRule>
  </conditionalFormatting>
  <conditionalFormatting sqref="M132">
    <cfRule type="expression" dxfId="2682" priority="1100">
      <formula>ISBLANK(M132)</formula>
    </cfRule>
  </conditionalFormatting>
  <conditionalFormatting sqref="M133:M135">
    <cfRule type="expression" dxfId="2681" priority="1099">
      <formula>ISBLANK(M133)</formula>
    </cfRule>
  </conditionalFormatting>
  <conditionalFormatting sqref="M141">
    <cfRule type="expression" dxfId="2680" priority="1098">
      <formula>ISBLANK(M141)</formula>
    </cfRule>
  </conditionalFormatting>
  <conditionalFormatting sqref="K142">
    <cfRule type="containsText" dxfId="2679" priority="1096" operator="containsText" text="Einnahmen">
      <formula>NOT(ISERROR(SEARCH("Einnahmen",K142)))</formula>
    </cfRule>
    <cfRule type="containsText" dxfId="2678" priority="1097" operator="containsText" text="Ausgaben">
      <formula>NOT(ISERROR(SEARCH("Ausgaben",K142)))</formula>
    </cfRule>
  </conditionalFormatting>
  <conditionalFormatting sqref="M142">
    <cfRule type="expression" dxfId="2677" priority="1095">
      <formula>ISBLANK(M142)</formula>
    </cfRule>
  </conditionalFormatting>
  <conditionalFormatting sqref="M153">
    <cfRule type="expression" dxfId="2676" priority="1070">
      <formula>ISBLANK(M153)</formula>
    </cfRule>
  </conditionalFormatting>
  <conditionalFormatting sqref="K145">
    <cfRule type="containsText" dxfId="2675" priority="1093" operator="containsText" text="Einnahmen">
      <formula>NOT(ISERROR(SEARCH("Einnahmen",K145)))</formula>
    </cfRule>
    <cfRule type="containsText" dxfId="2674" priority="1094" operator="containsText" text="Ausgaben">
      <formula>NOT(ISERROR(SEARCH("Ausgaben",K145)))</formula>
    </cfRule>
  </conditionalFormatting>
  <conditionalFormatting sqref="M143">
    <cfRule type="expression" dxfId="2673" priority="1092">
      <formula>ISBLANK(M143)</formula>
    </cfRule>
  </conditionalFormatting>
  <conditionalFormatting sqref="K143">
    <cfRule type="containsText" dxfId="2672" priority="1090" operator="containsText" text="Einnahmen">
      <formula>NOT(ISERROR(SEARCH("Einnahmen",K143)))</formula>
    </cfRule>
    <cfRule type="containsText" dxfId="2671" priority="1091" operator="containsText" text="Ausgaben">
      <formula>NOT(ISERROR(SEARCH("Ausgaben",K143)))</formula>
    </cfRule>
  </conditionalFormatting>
  <conditionalFormatting sqref="M145">
    <cfRule type="expression" dxfId="2670" priority="1089">
      <formula>ISBLANK(M145)</formula>
    </cfRule>
  </conditionalFormatting>
  <conditionalFormatting sqref="K144">
    <cfRule type="containsText" dxfId="2669" priority="1087" operator="containsText" text="Einnahmen">
      <formula>NOT(ISERROR(SEARCH("Einnahmen",K144)))</formula>
    </cfRule>
    <cfRule type="containsText" dxfId="2668" priority="1088" operator="containsText" text="Ausgaben">
      <formula>NOT(ISERROR(SEARCH("Ausgaben",K144)))</formula>
    </cfRule>
  </conditionalFormatting>
  <conditionalFormatting sqref="K154">
    <cfRule type="containsText" dxfId="2667" priority="1065" operator="containsText" text="Einnahmen">
      <formula>NOT(ISERROR(SEARCH("Einnahmen",K154)))</formula>
    </cfRule>
    <cfRule type="containsText" dxfId="2666" priority="1066" operator="containsText" text="Ausgaben">
      <formula>NOT(ISERROR(SEARCH("Ausgaben",K154)))</formula>
    </cfRule>
  </conditionalFormatting>
  <conditionalFormatting sqref="K146">
    <cfRule type="containsText" dxfId="2665" priority="1085" operator="containsText" text="Einnahmen">
      <formula>NOT(ISERROR(SEARCH("Einnahmen",K146)))</formula>
    </cfRule>
    <cfRule type="containsText" dxfId="2664" priority="1086" operator="containsText" text="Ausgaben">
      <formula>NOT(ISERROR(SEARCH("Ausgaben",K146)))</formula>
    </cfRule>
  </conditionalFormatting>
  <conditionalFormatting sqref="M147">
    <cfRule type="expression" dxfId="2663" priority="1084">
      <formula>ISBLANK(M147)</formula>
    </cfRule>
  </conditionalFormatting>
  <conditionalFormatting sqref="K147">
    <cfRule type="containsText" dxfId="2662" priority="1082" operator="containsText" text="Einnahmen">
      <formula>NOT(ISERROR(SEARCH("Einnahmen",K147)))</formula>
    </cfRule>
    <cfRule type="containsText" dxfId="2661" priority="1083" operator="containsText" text="Ausgaben">
      <formula>NOT(ISERROR(SEARCH("Ausgaben",K147)))</formula>
    </cfRule>
  </conditionalFormatting>
  <conditionalFormatting sqref="K148">
    <cfRule type="containsText" dxfId="2660" priority="1080" operator="containsText" text="Einnahmen">
      <formula>NOT(ISERROR(SEARCH("Einnahmen",K148)))</formula>
    </cfRule>
    <cfRule type="containsText" dxfId="2659" priority="1081" operator="containsText" text="Ausgaben">
      <formula>NOT(ISERROR(SEARCH("Ausgaben",K148)))</formula>
    </cfRule>
  </conditionalFormatting>
  <conditionalFormatting sqref="K150">
    <cfRule type="containsText" dxfId="2658" priority="1078" operator="containsText" text="Einnahmen">
      <formula>NOT(ISERROR(SEARCH("Einnahmen",K150)))</formula>
    </cfRule>
    <cfRule type="containsText" dxfId="2657" priority="1079" operator="containsText" text="Ausgaben">
      <formula>NOT(ISERROR(SEARCH("Ausgaben",K150)))</formula>
    </cfRule>
  </conditionalFormatting>
  <conditionalFormatting sqref="K153">
    <cfRule type="containsText" dxfId="2656" priority="1068" operator="containsText" text="Einnahmen">
      <formula>NOT(ISERROR(SEARCH("Einnahmen",K153)))</formula>
    </cfRule>
    <cfRule type="containsText" dxfId="2655" priority="1069" operator="containsText" text="Ausgaben">
      <formula>NOT(ISERROR(SEARCH("Ausgaben",K153)))</formula>
    </cfRule>
  </conditionalFormatting>
  <conditionalFormatting sqref="M144">
    <cfRule type="expression" dxfId="2654" priority="1077">
      <formula>ISBLANK(M144)</formula>
    </cfRule>
  </conditionalFormatting>
  <conditionalFormatting sqref="M151">
    <cfRule type="expression" dxfId="2653" priority="1076">
      <formula>ISBLANK(M151)</formula>
    </cfRule>
  </conditionalFormatting>
  <conditionalFormatting sqref="K151">
    <cfRule type="containsText" dxfId="2652" priority="1074" operator="containsText" text="Einnahmen">
      <formula>NOT(ISERROR(SEARCH("Einnahmen",K151)))</formula>
    </cfRule>
    <cfRule type="containsText" dxfId="2651" priority="1075" operator="containsText" text="Ausgaben">
      <formula>NOT(ISERROR(SEARCH("Ausgaben",K151)))</formula>
    </cfRule>
  </conditionalFormatting>
  <conditionalFormatting sqref="M152">
    <cfRule type="expression" dxfId="2650" priority="1073">
      <formula>ISBLANK(M152)</formula>
    </cfRule>
  </conditionalFormatting>
  <conditionalFormatting sqref="K152">
    <cfRule type="containsText" dxfId="2649" priority="1071" operator="containsText" text="Einnahmen">
      <formula>NOT(ISERROR(SEARCH("Einnahmen",K152)))</formula>
    </cfRule>
    <cfRule type="containsText" dxfId="2648" priority="1072" operator="containsText" text="Ausgaben">
      <formula>NOT(ISERROR(SEARCH("Ausgaben",K152)))</formula>
    </cfRule>
  </conditionalFormatting>
  <conditionalFormatting sqref="M154">
    <cfRule type="expression" dxfId="2647" priority="1067">
      <formula>ISBLANK(M154)</formula>
    </cfRule>
  </conditionalFormatting>
  <conditionalFormatting sqref="K155">
    <cfRule type="containsText" dxfId="2646" priority="1063" operator="containsText" text="Einnahmen">
      <formula>NOT(ISERROR(SEARCH("Einnahmen",K155)))</formula>
    </cfRule>
    <cfRule type="containsText" dxfId="2645" priority="1064" operator="containsText" text="Ausgaben">
      <formula>NOT(ISERROR(SEARCH("Ausgaben",K155)))</formula>
    </cfRule>
  </conditionalFormatting>
  <conditionalFormatting sqref="K159 K169 K171">
    <cfRule type="containsText" dxfId="2644" priority="1061" operator="containsText" text="Einnahmen">
      <formula>NOT(ISERROR(SEARCH("Einnahmen",K159)))</formula>
    </cfRule>
    <cfRule type="containsText" dxfId="2643" priority="1062" operator="containsText" text="Ausgaben">
      <formula>NOT(ISERROR(SEARCH("Ausgaben",K159)))</formula>
    </cfRule>
  </conditionalFormatting>
  <conditionalFormatting sqref="K158">
    <cfRule type="containsText" dxfId="2642" priority="1059" operator="containsText" text="Einnahmen">
      <formula>NOT(ISERROR(SEARCH("Einnahmen",K158)))</formula>
    </cfRule>
    <cfRule type="containsText" dxfId="2641" priority="1060" operator="containsText" text="Ausgaben">
      <formula>NOT(ISERROR(SEARCH("Ausgaben",K158)))</formula>
    </cfRule>
  </conditionalFormatting>
  <conditionalFormatting sqref="K160">
    <cfRule type="containsText" dxfId="2640" priority="1057" operator="containsText" text="Einnahmen">
      <formula>NOT(ISERROR(SEARCH("Einnahmen",K160)))</formula>
    </cfRule>
    <cfRule type="containsText" dxfId="2639" priority="1058" operator="containsText" text="Ausgaben">
      <formula>NOT(ISERROR(SEARCH("Ausgaben",K160)))</formula>
    </cfRule>
  </conditionalFormatting>
  <conditionalFormatting sqref="M160">
    <cfRule type="expression" dxfId="2638" priority="1056">
      <formula>ISBLANK(M160)</formula>
    </cfRule>
  </conditionalFormatting>
  <conditionalFormatting sqref="K161">
    <cfRule type="containsText" dxfId="2637" priority="1054" operator="containsText" text="Einnahmen">
      <formula>NOT(ISERROR(SEARCH("Einnahmen",K161)))</formula>
    </cfRule>
    <cfRule type="containsText" dxfId="2636" priority="1055" operator="containsText" text="Ausgaben">
      <formula>NOT(ISERROR(SEARCH("Ausgaben",K161)))</formula>
    </cfRule>
  </conditionalFormatting>
  <conditionalFormatting sqref="K162">
    <cfRule type="containsText" dxfId="2635" priority="1052" operator="containsText" text="Einnahmen">
      <formula>NOT(ISERROR(SEARCH("Einnahmen",K162)))</formula>
    </cfRule>
    <cfRule type="containsText" dxfId="2634" priority="1053" operator="containsText" text="Ausgaben">
      <formula>NOT(ISERROR(SEARCH("Ausgaben",K162)))</formula>
    </cfRule>
  </conditionalFormatting>
  <conditionalFormatting sqref="K163">
    <cfRule type="containsText" dxfId="2633" priority="1050" operator="containsText" text="Einnahmen">
      <formula>NOT(ISERROR(SEARCH("Einnahmen",K163)))</formula>
    </cfRule>
    <cfRule type="containsText" dxfId="2632" priority="1051" operator="containsText" text="Ausgaben">
      <formula>NOT(ISERROR(SEARCH("Ausgaben",K163)))</formula>
    </cfRule>
  </conditionalFormatting>
  <conditionalFormatting sqref="K156">
    <cfRule type="containsText" dxfId="2631" priority="1048" operator="containsText" text="Einnahmen">
      <formula>NOT(ISERROR(SEARCH("Einnahmen",K156)))</formula>
    </cfRule>
    <cfRule type="containsText" dxfId="2630" priority="1049" operator="containsText" text="Ausgaben">
      <formula>NOT(ISERROR(SEARCH("Ausgaben",K156)))</formula>
    </cfRule>
  </conditionalFormatting>
  <conditionalFormatting sqref="K157">
    <cfRule type="containsText" dxfId="2629" priority="1046" operator="containsText" text="Einnahmen">
      <formula>NOT(ISERROR(SEARCH("Einnahmen",K157)))</formula>
    </cfRule>
    <cfRule type="containsText" dxfId="2628" priority="1047" operator="containsText" text="Ausgaben">
      <formula>NOT(ISERROR(SEARCH("Ausgaben",K157)))</formula>
    </cfRule>
  </conditionalFormatting>
  <conditionalFormatting sqref="K168">
    <cfRule type="containsText" dxfId="2627" priority="1044" operator="containsText" text="Einnahmen">
      <formula>NOT(ISERROR(SEARCH("Einnahmen",K168)))</formula>
    </cfRule>
    <cfRule type="containsText" dxfId="2626" priority="1045" operator="containsText" text="Ausgaben">
      <formula>NOT(ISERROR(SEARCH("Ausgaben",K168)))</formula>
    </cfRule>
  </conditionalFormatting>
  <conditionalFormatting sqref="M138">
    <cfRule type="expression" dxfId="2625" priority="1043">
      <formula>ISBLANK(M138)</formula>
    </cfRule>
  </conditionalFormatting>
  <conditionalFormatting sqref="M156">
    <cfRule type="expression" dxfId="2624" priority="1042">
      <formula>ISBLANK(M156)</formula>
    </cfRule>
  </conditionalFormatting>
  <conditionalFormatting sqref="M79">
    <cfRule type="expression" dxfId="2623" priority="1041">
      <formula>ISBLANK(M79)</formula>
    </cfRule>
  </conditionalFormatting>
  <conditionalFormatting sqref="M107">
    <cfRule type="expression" dxfId="2622" priority="1040">
      <formula>ISBLANK(M107)</formula>
    </cfRule>
  </conditionalFormatting>
  <conditionalFormatting sqref="M155">
    <cfRule type="expression" dxfId="2621" priority="1039">
      <formula>ISBLANK(M155)</formula>
    </cfRule>
  </conditionalFormatting>
  <conditionalFormatting sqref="K164">
    <cfRule type="containsText" dxfId="2620" priority="1037" operator="containsText" text="Einnahmen">
      <formula>NOT(ISERROR(SEARCH("Einnahmen",K164)))</formula>
    </cfRule>
    <cfRule type="containsText" dxfId="2619" priority="1038" operator="containsText" text="Ausgaben">
      <formula>NOT(ISERROR(SEARCH("Ausgaben",K164)))</formula>
    </cfRule>
  </conditionalFormatting>
  <conditionalFormatting sqref="M41">
    <cfRule type="expression" dxfId="2618" priority="1036">
      <formula>ISBLANK(M41)</formula>
    </cfRule>
  </conditionalFormatting>
  <conditionalFormatting sqref="M83">
    <cfRule type="expression" dxfId="2617" priority="1035">
      <formula>ISBLANK(M83)</formula>
    </cfRule>
  </conditionalFormatting>
  <conditionalFormatting sqref="M119">
    <cfRule type="expression" dxfId="2616" priority="1034">
      <formula>ISBLANK(M119)</formula>
    </cfRule>
  </conditionalFormatting>
  <conditionalFormatting sqref="M146">
    <cfRule type="expression" dxfId="2615" priority="1033">
      <formula>ISBLANK(M146)</formula>
    </cfRule>
  </conditionalFormatting>
  <conditionalFormatting sqref="M159">
    <cfRule type="expression" dxfId="2614" priority="1032">
      <formula>ISBLANK(M159)</formula>
    </cfRule>
  </conditionalFormatting>
  <conditionalFormatting sqref="M126">
    <cfRule type="expression" dxfId="2613" priority="1031">
      <formula>ISBLANK(M126)</formula>
    </cfRule>
  </conditionalFormatting>
  <conditionalFormatting sqref="K165">
    <cfRule type="containsText" dxfId="2612" priority="1029" operator="containsText" text="Einnahmen">
      <formula>NOT(ISERROR(SEARCH("Einnahmen",K165)))</formula>
    </cfRule>
    <cfRule type="containsText" dxfId="2611" priority="1030" operator="containsText" text="Ausgaben">
      <formula>NOT(ISERROR(SEARCH("Ausgaben",K165)))</formula>
    </cfRule>
  </conditionalFormatting>
  <conditionalFormatting sqref="K166">
    <cfRule type="containsText" dxfId="2610" priority="1027" operator="containsText" text="Einnahmen">
      <formula>NOT(ISERROR(SEARCH("Einnahmen",K166)))</formula>
    </cfRule>
    <cfRule type="containsText" dxfId="2609" priority="1028" operator="containsText" text="Ausgaben">
      <formula>NOT(ISERROR(SEARCH("Ausgaben",K166)))</formula>
    </cfRule>
  </conditionalFormatting>
  <conditionalFormatting sqref="K167">
    <cfRule type="containsText" dxfId="2608" priority="1025" operator="containsText" text="Einnahmen">
      <formula>NOT(ISERROR(SEARCH("Einnahmen",K167)))</formula>
    </cfRule>
    <cfRule type="containsText" dxfId="2607" priority="1026" operator="containsText" text="Ausgaben">
      <formula>NOT(ISERROR(SEARCH("Ausgaben",K167)))</formula>
    </cfRule>
  </conditionalFormatting>
  <conditionalFormatting sqref="M166">
    <cfRule type="expression" dxfId="2606" priority="1024">
      <formula>ISBLANK(M166)</formula>
    </cfRule>
  </conditionalFormatting>
  <conditionalFormatting sqref="K170">
    <cfRule type="containsText" dxfId="2605" priority="1022" operator="containsText" text="Einnahmen">
      <formula>NOT(ISERROR(SEARCH("Einnahmen",K170)))</formula>
    </cfRule>
    <cfRule type="containsText" dxfId="2604" priority="1023" operator="containsText" text="Ausgaben">
      <formula>NOT(ISERROR(SEARCH("Ausgaben",K170)))</formula>
    </cfRule>
  </conditionalFormatting>
  <conditionalFormatting sqref="M170">
    <cfRule type="expression" dxfId="2603" priority="1021">
      <formula>ISBLANK(M170)</formula>
    </cfRule>
  </conditionalFormatting>
  <conditionalFormatting sqref="K172">
    <cfRule type="containsText" dxfId="2602" priority="1019" operator="containsText" text="Einnahmen">
      <formula>NOT(ISERROR(SEARCH("Einnahmen",K172)))</formula>
    </cfRule>
    <cfRule type="containsText" dxfId="2601" priority="1020" operator="containsText" text="Ausgaben">
      <formula>NOT(ISERROR(SEARCH("Ausgaben",K172)))</formula>
    </cfRule>
  </conditionalFormatting>
  <conditionalFormatting sqref="K173">
    <cfRule type="containsText" dxfId="2600" priority="1017" operator="containsText" text="Einnahmen">
      <formula>NOT(ISERROR(SEARCH("Einnahmen",K173)))</formula>
    </cfRule>
    <cfRule type="containsText" dxfId="2599" priority="1018" operator="containsText" text="Ausgaben">
      <formula>NOT(ISERROR(SEARCH("Ausgaben",K173)))</formula>
    </cfRule>
  </conditionalFormatting>
  <conditionalFormatting sqref="K174">
    <cfRule type="containsText" dxfId="2598" priority="1015" operator="containsText" text="Einnahmen">
      <formula>NOT(ISERROR(SEARCH("Einnahmen",K174)))</formula>
    </cfRule>
    <cfRule type="containsText" dxfId="2597" priority="1016" operator="containsText" text="Ausgaben">
      <formula>NOT(ISERROR(SEARCH("Ausgaben",K174)))</formula>
    </cfRule>
  </conditionalFormatting>
  <conditionalFormatting sqref="K175">
    <cfRule type="containsText" dxfId="2596" priority="1013" operator="containsText" text="Einnahmen">
      <formula>NOT(ISERROR(SEARCH("Einnahmen",K175)))</formula>
    </cfRule>
    <cfRule type="containsText" dxfId="2595" priority="1014" operator="containsText" text="Ausgaben">
      <formula>NOT(ISERROR(SEARCH("Ausgaben",K175)))</formula>
    </cfRule>
  </conditionalFormatting>
  <conditionalFormatting sqref="M175">
    <cfRule type="expression" dxfId="2594" priority="1012">
      <formula>ISBLANK(M175)</formula>
    </cfRule>
  </conditionalFormatting>
  <conditionalFormatting sqref="K176">
    <cfRule type="containsText" dxfId="2593" priority="1010" operator="containsText" text="Einnahmen">
      <formula>NOT(ISERROR(SEARCH("Einnahmen",K176)))</formula>
    </cfRule>
    <cfRule type="containsText" dxfId="2592" priority="1011" operator="containsText" text="Ausgaben">
      <formula>NOT(ISERROR(SEARCH("Ausgaben",K176)))</formula>
    </cfRule>
  </conditionalFormatting>
  <conditionalFormatting sqref="K177">
    <cfRule type="containsText" dxfId="2591" priority="1008" operator="containsText" text="Einnahmen">
      <formula>NOT(ISERROR(SEARCH("Einnahmen",K177)))</formula>
    </cfRule>
    <cfRule type="containsText" dxfId="2590" priority="1009" operator="containsText" text="Ausgaben">
      <formula>NOT(ISERROR(SEARCH("Ausgaben",K177)))</formula>
    </cfRule>
  </conditionalFormatting>
  <conditionalFormatting sqref="K178">
    <cfRule type="containsText" dxfId="2589" priority="1006" operator="containsText" text="Einnahmen">
      <formula>NOT(ISERROR(SEARCH("Einnahmen",K178)))</formula>
    </cfRule>
    <cfRule type="containsText" dxfId="2588" priority="1007" operator="containsText" text="Ausgaben">
      <formula>NOT(ISERROR(SEARCH("Ausgaben",K178)))</formula>
    </cfRule>
  </conditionalFormatting>
  <conditionalFormatting sqref="M178">
    <cfRule type="expression" dxfId="2587" priority="1005">
      <formula>ISBLANK(M178)</formula>
    </cfRule>
  </conditionalFormatting>
  <conditionalFormatting sqref="K179">
    <cfRule type="containsText" dxfId="2586" priority="1003" operator="containsText" text="Einnahmen">
      <formula>NOT(ISERROR(SEARCH("Einnahmen",K179)))</formula>
    </cfRule>
    <cfRule type="containsText" dxfId="2585" priority="1004" operator="containsText" text="Ausgaben">
      <formula>NOT(ISERROR(SEARCH("Ausgaben",K179)))</formula>
    </cfRule>
  </conditionalFormatting>
  <conditionalFormatting sqref="K180">
    <cfRule type="containsText" dxfId="2584" priority="1001" operator="containsText" text="Einnahmen">
      <formula>NOT(ISERROR(SEARCH("Einnahmen",K180)))</formula>
    </cfRule>
    <cfRule type="containsText" dxfId="2583" priority="1002" operator="containsText" text="Ausgaben">
      <formula>NOT(ISERROR(SEARCH("Ausgaben",K180)))</formula>
    </cfRule>
  </conditionalFormatting>
  <conditionalFormatting sqref="M180">
    <cfRule type="expression" dxfId="2582" priority="1000">
      <formula>ISBLANK(M180)</formula>
    </cfRule>
  </conditionalFormatting>
  <conditionalFormatting sqref="K181">
    <cfRule type="containsText" dxfId="2581" priority="998" operator="containsText" text="Einnahmen">
      <formula>NOT(ISERROR(SEARCH("Einnahmen",K181)))</formula>
    </cfRule>
    <cfRule type="containsText" dxfId="2580" priority="999" operator="containsText" text="Ausgaben">
      <formula>NOT(ISERROR(SEARCH("Ausgaben",K181)))</formula>
    </cfRule>
  </conditionalFormatting>
  <conditionalFormatting sqref="K182">
    <cfRule type="containsText" dxfId="2579" priority="996" operator="containsText" text="Einnahmen">
      <formula>NOT(ISERROR(SEARCH("Einnahmen",K182)))</formula>
    </cfRule>
    <cfRule type="containsText" dxfId="2578" priority="997" operator="containsText" text="Ausgaben">
      <formula>NOT(ISERROR(SEARCH("Ausgaben",K182)))</formula>
    </cfRule>
  </conditionalFormatting>
  <conditionalFormatting sqref="K183">
    <cfRule type="containsText" dxfId="2577" priority="994" operator="containsText" text="Einnahmen">
      <formula>NOT(ISERROR(SEARCH("Einnahmen",K183)))</formula>
    </cfRule>
    <cfRule type="containsText" dxfId="2576" priority="995" operator="containsText" text="Ausgaben">
      <formula>NOT(ISERROR(SEARCH("Ausgaben",K183)))</formula>
    </cfRule>
  </conditionalFormatting>
  <conditionalFormatting sqref="K184">
    <cfRule type="containsText" dxfId="2575" priority="992" operator="containsText" text="Einnahmen">
      <formula>NOT(ISERROR(SEARCH("Einnahmen",K184)))</formula>
    </cfRule>
    <cfRule type="containsText" dxfId="2574" priority="993" operator="containsText" text="Ausgaben">
      <formula>NOT(ISERROR(SEARCH("Ausgaben",K184)))</formula>
    </cfRule>
  </conditionalFormatting>
  <conditionalFormatting sqref="K185">
    <cfRule type="containsText" dxfId="2573" priority="990" operator="containsText" text="Einnahmen">
      <formula>NOT(ISERROR(SEARCH("Einnahmen",K185)))</formula>
    </cfRule>
    <cfRule type="containsText" dxfId="2572" priority="991" operator="containsText" text="Ausgaben">
      <formula>NOT(ISERROR(SEARCH("Ausgaben",K185)))</formula>
    </cfRule>
  </conditionalFormatting>
  <conditionalFormatting sqref="K186">
    <cfRule type="containsText" dxfId="2571" priority="988" operator="containsText" text="Einnahmen">
      <formula>NOT(ISERROR(SEARCH("Einnahmen",K186)))</formula>
    </cfRule>
    <cfRule type="containsText" dxfId="2570" priority="989" operator="containsText" text="Ausgaben">
      <formula>NOT(ISERROR(SEARCH("Ausgaben",K186)))</formula>
    </cfRule>
  </conditionalFormatting>
  <conditionalFormatting sqref="M186">
    <cfRule type="expression" dxfId="2569" priority="987">
      <formula>ISBLANK(M186)</formula>
    </cfRule>
  </conditionalFormatting>
  <conditionalFormatting sqref="K187">
    <cfRule type="containsText" dxfId="2568" priority="985" operator="containsText" text="Einnahmen">
      <formula>NOT(ISERROR(SEARCH("Einnahmen",K187)))</formula>
    </cfRule>
    <cfRule type="containsText" dxfId="2567" priority="986" operator="containsText" text="Ausgaben">
      <formula>NOT(ISERROR(SEARCH("Ausgaben",K187)))</formula>
    </cfRule>
  </conditionalFormatting>
  <conditionalFormatting sqref="K188">
    <cfRule type="containsText" dxfId="2566" priority="983" operator="containsText" text="Einnahmen">
      <formula>NOT(ISERROR(SEARCH("Einnahmen",K188)))</formula>
    </cfRule>
    <cfRule type="containsText" dxfId="2565" priority="984" operator="containsText" text="Ausgaben">
      <formula>NOT(ISERROR(SEARCH("Ausgaben",K188)))</formula>
    </cfRule>
  </conditionalFormatting>
  <conditionalFormatting sqref="K189">
    <cfRule type="containsText" dxfId="2564" priority="981" operator="containsText" text="Einnahmen">
      <formula>NOT(ISERROR(SEARCH("Einnahmen",K189)))</formula>
    </cfRule>
    <cfRule type="containsText" dxfId="2563" priority="982" operator="containsText" text="Ausgaben">
      <formula>NOT(ISERROR(SEARCH("Ausgaben",K189)))</formula>
    </cfRule>
  </conditionalFormatting>
  <conditionalFormatting sqref="M190">
    <cfRule type="expression" dxfId="2562" priority="980">
      <formula>ISBLANK(M190)</formula>
    </cfRule>
  </conditionalFormatting>
  <conditionalFormatting sqref="K190">
    <cfRule type="containsText" dxfId="2561" priority="978" operator="containsText" text="Einnahmen">
      <formula>NOT(ISERROR(SEARCH("Einnahmen",K190)))</formula>
    </cfRule>
    <cfRule type="containsText" dxfId="2560" priority="979" operator="containsText" text="Ausgaben">
      <formula>NOT(ISERROR(SEARCH("Ausgaben",K190)))</formula>
    </cfRule>
  </conditionalFormatting>
  <conditionalFormatting sqref="K191">
    <cfRule type="containsText" dxfId="2559" priority="976" operator="containsText" text="Einnahmen">
      <formula>NOT(ISERROR(SEARCH("Einnahmen",K191)))</formula>
    </cfRule>
    <cfRule type="containsText" dxfId="2558" priority="977" operator="containsText" text="Ausgaben">
      <formula>NOT(ISERROR(SEARCH("Ausgaben",K191)))</formula>
    </cfRule>
  </conditionalFormatting>
  <conditionalFormatting sqref="M191">
    <cfRule type="expression" dxfId="2557" priority="975">
      <formula>ISBLANK(M191)</formula>
    </cfRule>
  </conditionalFormatting>
  <conditionalFormatting sqref="K192">
    <cfRule type="containsText" dxfId="2556" priority="973" operator="containsText" text="Einnahmen">
      <formula>NOT(ISERROR(SEARCH("Einnahmen",K192)))</formula>
    </cfRule>
    <cfRule type="containsText" dxfId="2555" priority="974" operator="containsText" text="Ausgaben">
      <formula>NOT(ISERROR(SEARCH("Ausgaben",K192)))</formula>
    </cfRule>
  </conditionalFormatting>
  <conditionalFormatting sqref="M192">
    <cfRule type="expression" dxfId="2554" priority="972">
      <formula>ISBLANK(M192)</formula>
    </cfRule>
  </conditionalFormatting>
  <conditionalFormatting sqref="K193">
    <cfRule type="containsText" dxfId="2553" priority="970" operator="containsText" text="Einnahmen">
      <formula>NOT(ISERROR(SEARCH("Einnahmen",K193)))</formula>
    </cfRule>
    <cfRule type="containsText" dxfId="2552" priority="971" operator="containsText" text="Ausgaben">
      <formula>NOT(ISERROR(SEARCH("Ausgaben",K193)))</formula>
    </cfRule>
  </conditionalFormatting>
  <conditionalFormatting sqref="K194">
    <cfRule type="containsText" dxfId="2551" priority="968" operator="containsText" text="Einnahmen">
      <formula>NOT(ISERROR(SEARCH("Einnahmen",K194)))</formula>
    </cfRule>
    <cfRule type="containsText" dxfId="2550" priority="969" operator="containsText" text="Ausgaben">
      <formula>NOT(ISERROR(SEARCH("Ausgaben",K194)))</formula>
    </cfRule>
  </conditionalFormatting>
  <conditionalFormatting sqref="M194">
    <cfRule type="expression" dxfId="2549" priority="967">
      <formula>ISBLANK(M194)</formula>
    </cfRule>
  </conditionalFormatting>
  <conditionalFormatting sqref="K195">
    <cfRule type="containsText" dxfId="2548" priority="965" operator="containsText" text="Einnahmen">
      <formula>NOT(ISERROR(SEARCH("Einnahmen",K195)))</formula>
    </cfRule>
    <cfRule type="containsText" dxfId="2547" priority="966" operator="containsText" text="Ausgaben">
      <formula>NOT(ISERROR(SEARCH("Ausgaben",K195)))</formula>
    </cfRule>
  </conditionalFormatting>
  <conditionalFormatting sqref="K196">
    <cfRule type="containsText" dxfId="2546" priority="963" operator="containsText" text="Einnahmen">
      <formula>NOT(ISERROR(SEARCH("Einnahmen",K196)))</formula>
    </cfRule>
    <cfRule type="containsText" dxfId="2545" priority="964" operator="containsText" text="Ausgaben">
      <formula>NOT(ISERROR(SEARCH("Ausgaben",K196)))</formula>
    </cfRule>
  </conditionalFormatting>
  <conditionalFormatting sqref="K197:K198 K212 K215:K216">
    <cfRule type="containsText" dxfId="2544" priority="961" operator="containsText" text="Einnahmen">
      <formula>NOT(ISERROR(SEARCH("Einnahmen",K197)))</formula>
    </cfRule>
    <cfRule type="containsText" dxfId="2543" priority="962" operator="containsText" text="Ausgaben">
      <formula>NOT(ISERROR(SEARCH("Ausgaben",K197)))</formula>
    </cfRule>
  </conditionalFormatting>
  <conditionalFormatting sqref="K199">
    <cfRule type="containsText" dxfId="2542" priority="959" operator="containsText" text="Einnahmen">
      <formula>NOT(ISERROR(SEARCH("Einnahmen",K199)))</formula>
    </cfRule>
    <cfRule type="containsText" dxfId="2541" priority="960" operator="containsText" text="Ausgaben">
      <formula>NOT(ISERROR(SEARCH("Ausgaben",K199)))</formula>
    </cfRule>
  </conditionalFormatting>
  <conditionalFormatting sqref="K200">
    <cfRule type="containsText" dxfId="2540" priority="957" operator="containsText" text="Einnahmen">
      <formula>NOT(ISERROR(SEARCH("Einnahmen",K200)))</formula>
    </cfRule>
    <cfRule type="containsText" dxfId="2539" priority="958" operator="containsText" text="Ausgaben">
      <formula>NOT(ISERROR(SEARCH("Ausgaben",K200)))</formula>
    </cfRule>
  </conditionalFormatting>
  <conditionalFormatting sqref="K201">
    <cfRule type="containsText" dxfId="2538" priority="955" operator="containsText" text="Einnahmen">
      <formula>NOT(ISERROR(SEARCH("Einnahmen",K201)))</formula>
    </cfRule>
    <cfRule type="containsText" dxfId="2537" priority="956" operator="containsText" text="Ausgaben">
      <formula>NOT(ISERROR(SEARCH("Ausgaben",K201)))</formula>
    </cfRule>
  </conditionalFormatting>
  <conditionalFormatting sqref="M201">
    <cfRule type="expression" dxfId="2536" priority="954">
      <formula>ISBLANK(M201)</formula>
    </cfRule>
  </conditionalFormatting>
  <conditionalFormatting sqref="K202">
    <cfRule type="containsText" dxfId="2535" priority="952" operator="containsText" text="Einnahmen">
      <formula>NOT(ISERROR(SEARCH("Einnahmen",K202)))</formula>
    </cfRule>
    <cfRule type="containsText" dxfId="2534" priority="953" operator="containsText" text="Ausgaben">
      <formula>NOT(ISERROR(SEARCH("Ausgaben",K202)))</formula>
    </cfRule>
  </conditionalFormatting>
  <conditionalFormatting sqref="K203">
    <cfRule type="containsText" dxfId="2533" priority="950" operator="containsText" text="Einnahmen">
      <formula>NOT(ISERROR(SEARCH("Einnahmen",K203)))</formula>
    </cfRule>
    <cfRule type="containsText" dxfId="2532" priority="951" operator="containsText" text="Ausgaben">
      <formula>NOT(ISERROR(SEARCH("Ausgaben",K203)))</formula>
    </cfRule>
  </conditionalFormatting>
  <conditionalFormatting sqref="K204">
    <cfRule type="containsText" dxfId="2531" priority="948" operator="containsText" text="Einnahmen">
      <formula>NOT(ISERROR(SEARCH("Einnahmen",K204)))</formula>
    </cfRule>
    <cfRule type="containsText" dxfId="2530" priority="949" operator="containsText" text="Ausgaben">
      <formula>NOT(ISERROR(SEARCH("Ausgaben",K204)))</formula>
    </cfRule>
  </conditionalFormatting>
  <conditionalFormatting sqref="M204">
    <cfRule type="expression" dxfId="2529" priority="947">
      <formula>ISBLANK(M204)</formula>
    </cfRule>
  </conditionalFormatting>
  <conditionalFormatting sqref="K205">
    <cfRule type="containsText" dxfId="2528" priority="945" operator="containsText" text="Einnahmen">
      <formula>NOT(ISERROR(SEARCH("Einnahmen",K205)))</formula>
    </cfRule>
    <cfRule type="containsText" dxfId="2527" priority="946" operator="containsText" text="Ausgaben">
      <formula>NOT(ISERROR(SEARCH("Ausgaben",K205)))</formula>
    </cfRule>
  </conditionalFormatting>
  <conditionalFormatting sqref="M205">
    <cfRule type="expression" dxfId="2526" priority="944">
      <formula>ISBLANK(M205)</formula>
    </cfRule>
  </conditionalFormatting>
  <conditionalFormatting sqref="K206">
    <cfRule type="containsText" dxfId="2525" priority="942" operator="containsText" text="Einnahmen">
      <formula>NOT(ISERROR(SEARCH("Einnahmen",K206)))</formula>
    </cfRule>
    <cfRule type="containsText" dxfId="2524" priority="943" operator="containsText" text="Ausgaben">
      <formula>NOT(ISERROR(SEARCH("Ausgaben",K206)))</formula>
    </cfRule>
  </conditionalFormatting>
  <conditionalFormatting sqref="K207">
    <cfRule type="containsText" dxfId="2523" priority="940" operator="containsText" text="Einnahmen">
      <formula>NOT(ISERROR(SEARCH("Einnahmen",K207)))</formula>
    </cfRule>
    <cfRule type="containsText" dxfId="2522" priority="941" operator="containsText" text="Ausgaben">
      <formula>NOT(ISERROR(SEARCH("Ausgaben",K207)))</formula>
    </cfRule>
  </conditionalFormatting>
  <conditionalFormatting sqref="K208">
    <cfRule type="containsText" dxfId="2521" priority="938" operator="containsText" text="Einnahmen">
      <formula>NOT(ISERROR(SEARCH("Einnahmen",K208)))</formula>
    </cfRule>
    <cfRule type="containsText" dxfId="2520" priority="939" operator="containsText" text="Ausgaben">
      <formula>NOT(ISERROR(SEARCH("Ausgaben",K208)))</formula>
    </cfRule>
  </conditionalFormatting>
  <conditionalFormatting sqref="K209">
    <cfRule type="containsText" dxfId="2519" priority="936" operator="containsText" text="Einnahmen">
      <formula>NOT(ISERROR(SEARCH("Einnahmen",K209)))</formula>
    </cfRule>
    <cfRule type="containsText" dxfId="2518" priority="937" operator="containsText" text="Ausgaben">
      <formula>NOT(ISERROR(SEARCH("Ausgaben",K209)))</formula>
    </cfRule>
  </conditionalFormatting>
  <conditionalFormatting sqref="M209">
    <cfRule type="expression" dxfId="2517" priority="935">
      <formula>ISBLANK(M209)</formula>
    </cfRule>
  </conditionalFormatting>
  <conditionalFormatting sqref="K210">
    <cfRule type="containsText" dxfId="2516" priority="933" operator="containsText" text="Einnahmen">
      <formula>NOT(ISERROR(SEARCH("Einnahmen",K210)))</formula>
    </cfRule>
    <cfRule type="containsText" dxfId="2515" priority="934" operator="containsText" text="Ausgaben">
      <formula>NOT(ISERROR(SEARCH("Ausgaben",K210)))</formula>
    </cfRule>
  </conditionalFormatting>
  <conditionalFormatting sqref="K211">
    <cfRule type="containsText" dxfId="2514" priority="931" operator="containsText" text="Einnahmen">
      <formula>NOT(ISERROR(SEARCH("Einnahmen",K211)))</formula>
    </cfRule>
    <cfRule type="containsText" dxfId="2513" priority="932" operator="containsText" text="Ausgaben">
      <formula>NOT(ISERROR(SEARCH("Ausgaben",K211)))</formula>
    </cfRule>
  </conditionalFormatting>
  <conditionalFormatting sqref="K213">
    <cfRule type="containsText" dxfId="2512" priority="929" operator="containsText" text="Einnahmen">
      <formula>NOT(ISERROR(SEARCH("Einnahmen",K213)))</formula>
    </cfRule>
    <cfRule type="containsText" dxfId="2511" priority="930" operator="containsText" text="Ausgaben">
      <formula>NOT(ISERROR(SEARCH("Ausgaben",K213)))</formula>
    </cfRule>
  </conditionalFormatting>
  <conditionalFormatting sqref="K214">
    <cfRule type="containsText" dxfId="2510" priority="927" operator="containsText" text="Einnahmen">
      <formula>NOT(ISERROR(SEARCH("Einnahmen",K214)))</formula>
    </cfRule>
    <cfRule type="containsText" dxfId="2509" priority="928" operator="containsText" text="Ausgaben">
      <formula>NOT(ISERROR(SEARCH("Ausgaben",K214)))</formula>
    </cfRule>
  </conditionalFormatting>
  <conditionalFormatting sqref="M229">
    <cfRule type="expression" dxfId="2508" priority="891">
      <formula>ISBLANK(M229)</formula>
    </cfRule>
  </conditionalFormatting>
  <conditionalFormatting sqref="K217">
    <cfRule type="containsText" dxfId="2507" priority="925" operator="containsText" text="Einnahmen">
      <formula>NOT(ISERROR(SEARCH("Einnahmen",K217)))</formula>
    </cfRule>
    <cfRule type="containsText" dxfId="2506" priority="926" operator="containsText" text="Ausgaben">
      <formula>NOT(ISERROR(SEARCH("Ausgaben",K217)))</formula>
    </cfRule>
  </conditionalFormatting>
  <conditionalFormatting sqref="K218">
    <cfRule type="containsText" dxfId="2505" priority="923" operator="containsText" text="Einnahmen">
      <formula>NOT(ISERROR(SEARCH("Einnahmen",K218)))</formula>
    </cfRule>
    <cfRule type="containsText" dxfId="2504" priority="924" operator="containsText" text="Ausgaben">
      <formula>NOT(ISERROR(SEARCH("Ausgaben",K218)))</formula>
    </cfRule>
  </conditionalFormatting>
  <conditionalFormatting sqref="M218">
    <cfRule type="expression" dxfId="2503" priority="922">
      <formula>ISBLANK(M218)</formula>
    </cfRule>
  </conditionalFormatting>
  <conditionalFormatting sqref="K219">
    <cfRule type="containsText" dxfId="2502" priority="920" operator="containsText" text="Einnahmen">
      <formula>NOT(ISERROR(SEARCH("Einnahmen",K219)))</formula>
    </cfRule>
    <cfRule type="containsText" dxfId="2501" priority="921" operator="containsText" text="Ausgaben">
      <formula>NOT(ISERROR(SEARCH("Ausgaben",K219)))</formula>
    </cfRule>
  </conditionalFormatting>
  <conditionalFormatting sqref="M219">
    <cfRule type="expression" dxfId="2500" priority="919">
      <formula>ISBLANK(M219)</formula>
    </cfRule>
  </conditionalFormatting>
  <conditionalFormatting sqref="K220">
    <cfRule type="containsText" dxfId="2499" priority="917" operator="containsText" text="Einnahmen">
      <formula>NOT(ISERROR(SEARCH("Einnahmen",K220)))</formula>
    </cfRule>
    <cfRule type="containsText" dxfId="2498" priority="918" operator="containsText" text="Ausgaben">
      <formula>NOT(ISERROR(SEARCH("Ausgaben",K220)))</formula>
    </cfRule>
  </conditionalFormatting>
  <conditionalFormatting sqref="K221">
    <cfRule type="containsText" dxfId="2497" priority="915" operator="containsText" text="Einnahmen">
      <formula>NOT(ISERROR(SEARCH("Einnahmen",K221)))</formula>
    </cfRule>
    <cfRule type="containsText" dxfId="2496" priority="916" operator="containsText" text="Ausgaben">
      <formula>NOT(ISERROR(SEARCH("Ausgaben",K221)))</formula>
    </cfRule>
  </conditionalFormatting>
  <conditionalFormatting sqref="K222">
    <cfRule type="containsText" dxfId="2495" priority="913" operator="containsText" text="Einnahmen">
      <formula>NOT(ISERROR(SEARCH("Einnahmen",K222)))</formula>
    </cfRule>
    <cfRule type="containsText" dxfId="2494" priority="914" operator="containsText" text="Ausgaben">
      <formula>NOT(ISERROR(SEARCH("Ausgaben",K222)))</formula>
    </cfRule>
  </conditionalFormatting>
  <conditionalFormatting sqref="M222">
    <cfRule type="expression" dxfId="2493" priority="912">
      <formula>ISBLANK(M222)</formula>
    </cfRule>
  </conditionalFormatting>
  <conditionalFormatting sqref="K223">
    <cfRule type="containsText" dxfId="2492" priority="910" operator="containsText" text="Einnahmen">
      <formula>NOT(ISERROR(SEARCH("Einnahmen",K223)))</formula>
    </cfRule>
    <cfRule type="containsText" dxfId="2491" priority="911" operator="containsText" text="Ausgaben">
      <formula>NOT(ISERROR(SEARCH("Ausgaben",K223)))</formula>
    </cfRule>
  </conditionalFormatting>
  <conditionalFormatting sqref="M223">
    <cfRule type="expression" dxfId="2490" priority="909">
      <formula>ISBLANK(M223)</formula>
    </cfRule>
  </conditionalFormatting>
  <conditionalFormatting sqref="K224">
    <cfRule type="containsText" dxfId="2489" priority="907" operator="containsText" text="Einnahmen">
      <formula>NOT(ISERROR(SEARCH("Einnahmen",K224)))</formula>
    </cfRule>
    <cfRule type="containsText" dxfId="2488" priority="908" operator="containsText" text="Ausgaben">
      <formula>NOT(ISERROR(SEARCH("Ausgaben",K224)))</formula>
    </cfRule>
  </conditionalFormatting>
  <conditionalFormatting sqref="M224">
    <cfRule type="expression" dxfId="2487" priority="906">
      <formula>ISBLANK(M224)</formula>
    </cfRule>
  </conditionalFormatting>
  <conditionalFormatting sqref="K225">
    <cfRule type="containsText" dxfId="2486" priority="904" operator="containsText" text="Einnahmen">
      <formula>NOT(ISERROR(SEARCH("Einnahmen",K225)))</formula>
    </cfRule>
    <cfRule type="containsText" dxfId="2485" priority="905" operator="containsText" text="Ausgaben">
      <formula>NOT(ISERROR(SEARCH("Ausgaben",K225)))</formula>
    </cfRule>
  </conditionalFormatting>
  <conditionalFormatting sqref="K226">
    <cfRule type="containsText" dxfId="2484" priority="902" operator="containsText" text="Einnahmen">
      <formula>NOT(ISERROR(SEARCH("Einnahmen",K226)))</formula>
    </cfRule>
    <cfRule type="containsText" dxfId="2483" priority="903" operator="containsText" text="Ausgaben">
      <formula>NOT(ISERROR(SEARCH("Ausgaben",K226)))</formula>
    </cfRule>
  </conditionalFormatting>
  <conditionalFormatting sqref="M225">
    <cfRule type="expression" dxfId="2482" priority="901">
      <formula>ISBLANK(M225)</formula>
    </cfRule>
  </conditionalFormatting>
  <conditionalFormatting sqref="K227">
    <cfRule type="containsText" dxfId="2481" priority="899" operator="containsText" text="Einnahmen">
      <formula>NOT(ISERROR(SEARCH("Einnahmen",K227)))</formula>
    </cfRule>
    <cfRule type="containsText" dxfId="2480" priority="900" operator="containsText" text="Ausgaben">
      <formula>NOT(ISERROR(SEARCH("Ausgaben",K227)))</formula>
    </cfRule>
  </conditionalFormatting>
  <conditionalFormatting sqref="K228">
    <cfRule type="containsText" dxfId="2479" priority="897" operator="containsText" text="Einnahmen">
      <formula>NOT(ISERROR(SEARCH("Einnahmen",K228)))</formula>
    </cfRule>
    <cfRule type="containsText" dxfId="2478" priority="898" operator="containsText" text="Ausgaben">
      <formula>NOT(ISERROR(SEARCH("Ausgaben",K228)))</formula>
    </cfRule>
  </conditionalFormatting>
  <conditionalFormatting sqref="M228">
    <cfRule type="expression" dxfId="2477" priority="896">
      <formula>ISBLANK(M228)</formula>
    </cfRule>
  </conditionalFormatting>
  <conditionalFormatting sqref="K230">
    <cfRule type="containsText" dxfId="2476" priority="894" operator="containsText" text="Einnahmen">
      <formula>NOT(ISERROR(SEARCH("Einnahmen",K230)))</formula>
    </cfRule>
    <cfRule type="containsText" dxfId="2475" priority="895" operator="containsText" text="Ausgaben">
      <formula>NOT(ISERROR(SEARCH("Ausgaben",K230)))</formula>
    </cfRule>
  </conditionalFormatting>
  <conditionalFormatting sqref="K229">
    <cfRule type="containsText" dxfId="2474" priority="892" operator="containsText" text="Einnahmen">
      <formula>NOT(ISERROR(SEARCH("Einnahmen",K229)))</formula>
    </cfRule>
    <cfRule type="containsText" dxfId="2473" priority="893" operator="containsText" text="Ausgaben">
      <formula>NOT(ISERROR(SEARCH("Ausgaben",K229)))</formula>
    </cfRule>
  </conditionalFormatting>
  <conditionalFormatting sqref="K231">
    <cfRule type="containsText" dxfId="2472" priority="889" operator="containsText" text="Einnahmen">
      <formula>NOT(ISERROR(SEARCH("Einnahmen",K231)))</formula>
    </cfRule>
    <cfRule type="containsText" dxfId="2471" priority="890" operator="containsText" text="Ausgaben">
      <formula>NOT(ISERROR(SEARCH("Ausgaben",K231)))</formula>
    </cfRule>
  </conditionalFormatting>
  <conditionalFormatting sqref="M231">
    <cfRule type="expression" dxfId="2470" priority="888">
      <formula>ISBLANK(M231)</formula>
    </cfRule>
  </conditionalFormatting>
  <conditionalFormatting sqref="K232">
    <cfRule type="containsText" dxfId="2469" priority="886" operator="containsText" text="Einnahmen">
      <formula>NOT(ISERROR(SEARCH("Einnahmen",K232)))</formula>
    </cfRule>
    <cfRule type="containsText" dxfId="2468" priority="887" operator="containsText" text="Ausgaben">
      <formula>NOT(ISERROR(SEARCH("Ausgaben",K232)))</formula>
    </cfRule>
  </conditionalFormatting>
  <conditionalFormatting sqref="M232:M233">
    <cfRule type="expression" dxfId="2467" priority="885">
      <formula>ISBLANK(M232)</formula>
    </cfRule>
  </conditionalFormatting>
  <conditionalFormatting sqref="K234:K235">
    <cfRule type="containsText" dxfId="2466" priority="883" operator="containsText" text="Einnahmen">
      <formula>NOT(ISERROR(SEARCH("Einnahmen",K234)))</formula>
    </cfRule>
    <cfRule type="containsText" dxfId="2465" priority="884" operator="containsText" text="Ausgaben">
      <formula>NOT(ISERROR(SEARCH("Ausgaben",K234)))</formula>
    </cfRule>
  </conditionalFormatting>
  <conditionalFormatting sqref="K233">
    <cfRule type="containsText" dxfId="2464" priority="881" operator="containsText" text="Einnahmen">
      <formula>NOT(ISERROR(SEARCH("Einnahmen",K233)))</formula>
    </cfRule>
    <cfRule type="containsText" dxfId="2463" priority="882" operator="containsText" text="Ausgaben">
      <formula>NOT(ISERROR(SEARCH("Ausgaben",K233)))</formula>
    </cfRule>
  </conditionalFormatting>
  <conditionalFormatting sqref="AA62:AA63">
    <cfRule type="expression" dxfId="2462" priority="880">
      <formula>AND(AND($W62&lt;TODAY(),$W62&lt;&gt;""),$X62="")</formula>
    </cfRule>
  </conditionalFormatting>
  <conditionalFormatting sqref="Q4 Q11 Q15:Q16 Q19:Q20 Q26 Q86 Q90 Q95 Q103 Q120 Q130 Q137 Q149 Q169 Q171 Q198 Q212 Q215:Q216 Q230">
    <cfRule type="cellIs" dxfId="2461" priority="879" operator="equal">
      <formula>"ja"</formula>
    </cfRule>
  </conditionalFormatting>
  <conditionalFormatting sqref="Q2">
    <cfRule type="cellIs" dxfId="2460" priority="878" operator="equal">
      <formula>"ja"</formula>
    </cfRule>
  </conditionalFormatting>
  <conditionalFormatting sqref="AA2">
    <cfRule type="expression" dxfId="2459" priority="877">
      <formula>AND(AND($W2&lt;TODAY(),$W2&lt;&gt;""),$X2="")</formula>
    </cfRule>
  </conditionalFormatting>
  <conditionalFormatting sqref="AG2">
    <cfRule type="dataBar" priority="876">
      <dataBar>
        <cfvo type="min"/>
        <cfvo type="max"/>
        <color rgb="FF63C384"/>
      </dataBar>
      <extLst>
        <ext xmlns:x14="http://schemas.microsoft.com/office/spreadsheetml/2009/9/main" uri="{B025F937-C7B1-47D3-B67F-A62EFF666E3E}">
          <x14:id>{11BB559F-6260-4116-B593-AE42FFAC6B6F}</x14:id>
        </ext>
      </extLst>
    </cfRule>
  </conditionalFormatting>
  <conditionalFormatting sqref="AG2">
    <cfRule type="dataBar" priority="875">
      <dataBar>
        <cfvo type="min"/>
        <cfvo type="max"/>
        <color rgb="FF63C384"/>
      </dataBar>
      <extLst>
        <ext xmlns:x14="http://schemas.microsoft.com/office/spreadsheetml/2009/9/main" uri="{B025F937-C7B1-47D3-B67F-A62EFF666E3E}">
          <x14:id>{AD006380-6290-42D1-B7C6-577A3A7EB350}</x14:id>
        </ext>
      </extLst>
    </cfRule>
  </conditionalFormatting>
  <conditionalFormatting sqref="AA3:AA4">
    <cfRule type="expression" dxfId="2458" priority="874">
      <formula>AND(AND($W3&lt;TODAY(),$W3&lt;&gt;""),$X3="")</formula>
    </cfRule>
  </conditionalFormatting>
  <conditionalFormatting sqref="Q3">
    <cfRule type="cellIs" dxfId="2457" priority="873" operator="equal">
      <formula>"ja"</formula>
    </cfRule>
  </conditionalFormatting>
  <conditionalFormatting sqref="AG3:AG4">
    <cfRule type="dataBar" priority="872">
      <dataBar>
        <cfvo type="min"/>
        <cfvo type="max"/>
        <color rgb="FF63C384"/>
      </dataBar>
      <extLst>
        <ext xmlns:x14="http://schemas.microsoft.com/office/spreadsheetml/2009/9/main" uri="{B025F937-C7B1-47D3-B67F-A62EFF666E3E}">
          <x14:id>{04531706-9BA4-4F8B-B362-450930025AA8}</x14:id>
        </ext>
      </extLst>
    </cfRule>
  </conditionalFormatting>
  <conditionalFormatting sqref="AG3:AG4">
    <cfRule type="dataBar" priority="871">
      <dataBar>
        <cfvo type="min"/>
        <cfvo type="max"/>
        <color rgb="FF63C384"/>
      </dataBar>
      <extLst>
        <ext xmlns:x14="http://schemas.microsoft.com/office/spreadsheetml/2009/9/main" uri="{B025F937-C7B1-47D3-B67F-A62EFF666E3E}">
          <x14:id>{DDACEE5C-D207-4BD2-8B7A-C95836301C26}</x14:id>
        </ext>
      </extLst>
    </cfRule>
  </conditionalFormatting>
  <conditionalFormatting sqref="Q5">
    <cfRule type="cellIs" dxfId="2456" priority="870" operator="equal">
      <formula>"ja"</formula>
    </cfRule>
  </conditionalFormatting>
  <conditionalFormatting sqref="AA5">
    <cfRule type="expression" dxfId="2455" priority="869">
      <formula>AND(AND($W5&lt;TODAY(),$W5&lt;&gt;""),$X5="")</formula>
    </cfRule>
  </conditionalFormatting>
  <conditionalFormatting sqref="AG5">
    <cfRule type="dataBar" priority="868">
      <dataBar>
        <cfvo type="min"/>
        <cfvo type="max"/>
        <color rgb="FF63C384"/>
      </dataBar>
      <extLst>
        <ext xmlns:x14="http://schemas.microsoft.com/office/spreadsheetml/2009/9/main" uri="{B025F937-C7B1-47D3-B67F-A62EFF666E3E}">
          <x14:id>{D83CA15C-2EBF-41F2-BD98-1ECFA263A865}</x14:id>
        </ext>
      </extLst>
    </cfRule>
  </conditionalFormatting>
  <conditionalFormatting sqref="AG5">
    <cfRule type="dataBar" priority="867">
      <dataBar>
        <cfvo type="min"/>
        <cfvo type="max"/>
        <color rgb="FF63C384"/>
      </dataBar>
      <extLst>
        <ext xmlns:x14="http://schemas.microsoft.com/office/spreadsheetml/2009/9/main" uri="{B025F937-C7B1-47D3-B67F-A62EFF666E3E}">
          <x14:id>{AC826091-05EA-409F-A5AE-4285B51D12A5}</x14:id>
        </ext>
      </extLst>
    </cfRule>
  </conditionalFormatting>
  <conditionalFormatting sqref="Q6">
    <cfRule type="cellIs" dxfId="2454" priority="866" operator="equal">
      <formula>"ja"</formula>
    </cfRule>
  </conditionalFormatting>
  <conditionalFormatting sqref="AA6">
    <cfRule type="expression" dxfId="2453" priority="865">
      <formula>AND(AND($W6&lt;TODAY(),$W6&lt;&gt;""),$X6="")</formula>
    </cfRule>
  </conditionalFormatting>
  <conditionalFormatting sqref="AG6">
    <cfRule type="dataBar" priority="864">
      <dataBar>
        <cfvo type="min"/>
        <cfvo type="max"/>
        <color rgb="FF63C384"/>
      </dataBar>
      <extLst>
        <ext xmlns:x14="http://schemas.microsoft.com/office/spreadsheetml/2009/9/main" uri="{B025F937-C7B1-47D3-B67F-A62EFF666E3E}">
          <x14:id>{E1280485-6258-408A-B1CF-4C64B571D92A}</x14:id>
        </ext>
      </extLst>
    </cfRule>
  </conditionalFormatting>
  <conditionalFormatting sqref="AG6">
    <cfRule type="dataBar" priority="863">
      <dataBar>
        <cfvo type="min"/>
        <cfvo type="max"/>
        <color rgb="FF63C384"/>
      </dataBar>
      <extLst>
        <ext xmlns:x14="http://schemas.microsoft.com/office/spreadsheetml/2009/9/main" uri="{B025F937-C7B1-47D3-B67F-A62EFF666E3E}">
          <x14:id>{66CC25DD-C4AE-4EB1-94D6-266ED80F34CB}</x14:id>
        </ext>
      </extLst>
    </cfRule>
  </conditionalFormatting>
  <conditionalFormatting sqref="Q7">
    <cfRule type="cellIs" dxfId="2452" priority="862" operator="equal">
      <formula>"ja"</formula>
    </cfRule>
  </conditionalFormatting>
  <conditionalFormatting sqref="AA7">
    <cfRule type="expression" dxfId="2451" priority="861">
      <formula>AND(AND($W7&lt;TODAY(),$W7&lt;&gt;""),$X7="")</formula>
    </cfRule>
  </conditionalFormatting>
  <conditionalFormatting sqref="AG7">
    <cfRule type="dataBar" priority="860">
      <dataBar>
        <cfvo type="min"/>
        <cfvo type="max"/>
        <color rgb="FF63C384"/>
      </dataBar>
      <extLst>
        <ext xmlns:x14="http://schemas.microsoft.com/office/spreadsheetml/2009/9/main" uri="{B025F937-C7B1-47D3-B67F-A62EFF666E3E}">
          <x14:id>{CD7B7F56-C7B9-4666-8273-07FA04887FE8}</x14:id>
        </ext>
      </extLst>
    </cfRule>
  </conditionalFormatting>
  <conditionalFormatting sqref="AG7">
    <cfRule type="dataBar" priority="859">
      <dataBar>
        <cfvo type="min"/>
        <cfvo type="max"/>
        <color rgb="FF63C384"/>
      </dataBar>
      <extLst>
        <ext xmlns:x14="http://schemas.microsoft.com/office/spreadsheetml/2009/9/main" uri="{B025F937-C7B1-47D3-B67F-A62EFF666E3E}">
          <x14:id>{3CA87134-AB8E-4157-BC9A-D7790F808C95}</x14:id>
        </ext>
      </extLst>
    </cfRule>
  </conditionalFormatting>
  <conditionalFormatting sqref="Q8">
    <cfRule type="cellIs" dxfId="2450" priority="858" operator="equal">
      <formula>"ja"</formula>
    </cfRule>
  </conditionalFormatting>
  <conditionalFormatting sqref="AA8">
    <cfRule type="expression" dxfId="2449" priority="857">
      <formula>AND(AND($W8&lt;TODAY(),$W8&lt;&gt;""),$X8="")</formula>
    </cfRule>
  </conditionalFormatting>
  <conditionalFormatting sqref="AG8">
    <cfRule type="dataBar" priority="856">
      <dataBar>
        <cfvo type="min"/>
        <cfvo type="max"/>
        <color rgb="FF63C384"/>
      </dataBar>
      <extLst>
        <ext xmlns:x14="http://schemas.microsoft.com/office/spreadsheetml/2009/9/main" uri="{B025F937-C7B1-47D3-B67F-A62EFF666E3E}">
          <x14:id>{205361BE-2D4B-41D0-A221-A0C11B9386B9}</x14:id>
        </ext>
      </extLst>
    </cfRule>
  </conditionalFormatting>
  <conditionalFormatting sqref="AG8">
    <cfRule type="dataBar" priority="855">
      <dataBar>
        <cfvo type="min"/>
        <cfvo type="max"/>
        <color rgb="FF63C384"/>
      </dataBar>
      <extLst>
        <ext xmlns:x14="http://schemas.microsoft.com/office/spreadsheetml/2009/9/main" uri="{B025F937-C7B1-47D3-B67F-A62EFF666E3E}">
          <x14:id>{EFB00967-508D-4F72-A6FE-44BA25B47D6C}</x14:id>
        </ext>
      </extLst>
    </cfRule>
  </conditionalFormatting>
  <conditionalFormatting sqref="Q9">
    <cfRule type="cellIs" dxfId="2448" priority="854" operator="equal">
      <formula>"ja"</formula>
    </cfRule>
  </conditionalFormatting>
  <conditionalFormatting sqref="AA9">
    <cfRule type="expression" dxfId="2447" priority="853">
      <formula>AND(AND($W9&lt;TODAY(),$W9&lt;&gt;""),$X9="")</formula>
    </cfRule>
  </conditionalFormatting>
  <conditionalFormatting sqref="AG9">
    <cfRule type="dataBar" priority="852">
      <dataBar>
        <cfvo type="min"/>
        <cfvo type="max"/>
        <color rgb="FF63C384"/>
      </dataBar>
      <extLst>
        <ext xmlns:x14="http://schemas.microsoft.com/office/spreadsheetml/2009/9/main" uri="{B025F937-C7B1-47D3-B67F-A62EFF666E3E}">
          <x14:id>{3A540930-5D2C-4D92-AC8E-F2D5618DBE48}</x14:id>
        </ext>
      </extLst>
    </cfRule>
  </conditionalFormatting>
  <conditionalFormatting sqref="AG9">
    <cfRule type="dataBar" priority="851">
      <dataBar>
        <cfvo type="min"/>
        <cfvo type="max"/>
        <color rgb="FF63C384"/>
      </dataBar>
      <extLst>
        <ext xmlns:x14="http://schemas.microsoft.com/office/spreadsheetml/2009/9/main" uri="{B025F937-C7B1-47D3-B67F-A62EFF666E3E}">
          <x14:id>{FBAE6F42-0DEC-4185-BFCD-2814202AE148}</x14:id>
        </ext>
      </extLst>
    </cfRule>
  </conditionalFormatting>
  <conditionalFormatting sqref="Q10">
    <cfRule type="cellIs" dxfId="2446" priority="850" operator="equal">
      <formula>"ja"</formula>
    </cfRule>
  </conditionalFormatting>
  <conditionalFormatting sqref="AA10:AA11">
    <cfRule type="expression" dxfId="2445" priority="849">
      <formula>AND(AND($W10&lt;TODAY(),$W10&lt;&gt;""),$X10="")</formula>
    </cfRule>
  </conditionalFormatting>
  <conditionalFormatting sqref="AG10:AG11">
    <cfRule type="dataBar" priority="848">
      <dataBar>
        <cfvo type="min"/>
        <cfvo type="max"/>
        <color rgb="FF63C384"/>
      </dataBar>
      <extLst>
        <ext xmlns:x14="http://schemas.microsoft.com/office/spreadsheetml/2009/9/main" uri="{B025F937-C7B1-47D3-B67F-A62EFF666E3E}">
          <x14:id>{00D24CFB-8159-49D3-9532-31033299BAF4}</x14:id>
        </ext>
      </extLst>
    </cfRule>
  </conditionalFormatting>
  <conditionalFormatting sqref="AG10:AG11">
    <cfRule type="dataBar" priority="847">
      <dataBar>
        <cfvo type="min"/>
        <cfvo type="max"/>
        <color rgb="FF63C384"/>
      </dataBar>
      <extLst>
        <ext xmlns:x14="http://schemas.microsoft.com/office/spreadsheetml/2009/9/main" uri="{B025F937-C7B1-47D3-B67F-A62EFF666E3E}">
          <x14:id>{535724FC-27EB-4C62-8A1A-97974DAF947D}</x14:id>
        </ext>
      </extLst>
    </cfRule>
  </conditionalFormatting>
  <conditionalFormatting sqref="Q12">
    <cfRule type="cellIs" dxfId="2444" priority="846" operator="equal">
      <formula>"ja"</formula>
    </cfRule>
  </conditionalFormatting>
  <conditionalFormatting sqref="AA12">
    <cfRule type="expression" dxfId="2443" priority="845">
      <formula>AND(AND($W12&lt;TODAY(),$W12&lt;&gt;""),$X12="")</formula>
    </cfRule>
  </conditionalFormatting>
  <conditionalFormatting sqref="AG12">
    <cfRule type="dataBar" priority="844">
      <dataBar>
        <cfvo type="min"/>
        <cfvo type="max"/>
        <color rgb="FF63C384"/>
      </dataBar>
      <extLst>
        <ext xmlns:x14="http://schemas.microsoft.com/office/spreadsheetml/2009/9/main" uri="{B025F937-C7B1-47D3-B67F-A62EFF666E3E}">
          <x14:id>{CE122AAE-DAF5-4AEF-B21B-9EDC00E72DDC}</x14:id>
        </ext>
      </extLst>
    </cfRule>
  </conditionalFormatting>
  <conditionalFormatting sqref="AG12">
    <cfRule type="dataBar" priority="843">
      <dataBar>
        <cfvo type="min"/>
        <cfvo type="max"/>
        <color rgb="FF63C384"/>
      </dataBar>
      <extLst>
        <ext xmlns:x14="http://schemas.microsoft.com/office/spreadsheetml/2009/9/main" uri="{B025F937-C7B1-47D3-B67F-A62EFF666E3E}">
          <x14:id>{F9CB0476-EBE5-4837-B410-0CBFDF630A1F}</x14:id>
        </ext>
      </extLst>
    </cfRule>
  </conditionalFormatting>
  <conditionalFormatting sqref="AA13">
    <cfRule type="expression" dxfId="2442" priority="842">
      <formula>AND(AND($W13&lt;TODAY(),$W13&lt;&gt;""),$X13="")</formula>
    </cfRule>
  </conditionalFormatting>
  <conditionalFormatting sqref="AG13">
    <cfRule type="dataBar" priority="841">
      <dataBar>
        <cfvo type="min"/>
        <cfvo type="max"/>
        <color rgb="FF63C384"/>
      </dataBar>
      <extLst>
        <ext xmlns:x14="http://schemas.microsoft.com/office/spreadsheetml/2009/9/main" uri="{B025F937-C7B1-47D3-B67F-A62EFF666E3E}">
          <x14:id>{545B1E3D-C7CA-4A31-AB5E-57F447781AE3}</x14:id>
        </ext>
      </extLst>
    </cfRule>
  </conditionalFormatting>
  <conditionalFormatting sqref="AG13">
    <cfRule type="dataBar" priority="840">
      <dataBar>
        <cfvo type="min"/>
        <cfvo type="max"/>
        <color rgb="FF63C384"/>
      </dataBar>
      <extLst>
        <ext xmlns:x14="http://schemas.microsoft.com/office/spreadsheetml/2009/9/main" uri="{B025F937-C7B1-47D3-B67F-A62EFF666E3E}">
          <x14:id>{1506C0D2-1116-4CE3-8D43-900398AA11CA}</x14:id>
        </ext>
      </extLst>
    </cfRule>
  </conditionalFormatting>
  <conditionalFormatting sqref="AA14">
    <cfRule type="expression" dxfId="2441" priority="839">
      <formula>AND(AND($W14&lt;TODAY(),$W14&lt;&gt;""),$X14="")</formula>
    </cfRule>
  </conditionalFormatting>
  <conditionalFormatting sqref="Q14">
    <cfRule type="cellIs" dxfId="2440" priority="838" operator="equal">
      <formula>"ja"</formula>
    </cfRule>
  </conditionalFormatting>
  <conditionalFormatting sqref="AG14">
    <cfRule type="dataBar" priority="837">
      <dataBar>
        <cfvo type="min"/>
        <cfvo type="max"/>
        <color rgb="FF63C384"/>
      </dataBar>
      <extLst>
        <ext xmlns:x14="http://schemas.microsoft.com/office/spreadsheetml/2009/9/main" uri="{B025F937-C7B1-47D3-B67F-A62EFF666E3E}">
          <x14:id>{DBCDE1DC-31B2-4A80-90A6-A8E1B2D1DD70}</x14:id>
        </ext>
      </extLst>
    </cfRule>
  </conditionalFormatting>
  <conditionalFormatting sqref="AG14">
    <cfRule type="dataBar" priority="836">
      <dataBar>
        <cfvo type="min"/>
        <cfvo type="max"/>
        <color rgb="FF63C384"/>
      </dataBar>
      <extLst>
        <ext xmlns:x14="http://schemas.microsoft.com/office/spreadsheetml/2009/9/main" uri="{B025F937-C7B1-47D3-B67F-A62EFF666E3E}">
          <x14:id>{C31D42ED-F7C7-451E-BAF2-C78D8E4A7D3B}</x14:id>
        </ext>
      </extLst>
    </cfRule>
  </conditionalFormatting>
  <conditionalFormatting sqref="Q13">
    <cfRule type="cellIs" dxfId="2439" priority="835" operator="equal">
      <formula>"ja"</formula>
    </cfRule>
  </conditionalFormatting>
  <conditionalFormatting sqref="AA15">
    <cfRule type="expression" dxfId="2438" priority="834">
      <formula>AND(AND($W15&lt;TODAY(),$W15&lt;&gt;""),$X15="")</formula>
    </cfRule>
  </conditionalFormatting>
  <conditionalFormatting sqref="AG15">
    <cfRule type="dataBar" priority="833">
      <dataBar>
        <cfvo type="min"/>
        <cfvo type="max"/>
        <color rgb="FF63C384"/>
      </dataBar>
      <extLst>
        <ext xmlns:x14="http://schemas.microsoft.com/office/spreadsheetml/2009/9/main" uri="{B025F937-C7B1-47D3-B67F-A62EFF666E3E}">
          <x14:id>{2B5244F3-643D-4E1D-A619-54633BC4089E}</x14:id>
        </ext>
      </extLst>
    </cfRule>
  </conditionalFormatting>
  <conditionalFormatting sqref="AG15">
    <cfRule type="dataBar" priority="832">
      <dataBar>
        <cfvo type="min"/>
        <cfvo type="max"/>
        <color rgb="FF63C384"/>
      </dataBar>
      <extLst>
        <ext xmlns:x14="http://schemas.microsoft.com/office/spreadsheetml/2009/9/main" uri="{B025F937-C7B1-47D3-B67F-A62EFF666E3E}">
          <x14:id>{8254C021-D792-4F8A-B236-A5EDF11A5A88}</x14:id>
        </ext>
      </extLst>
    </cfRule>
  </conditionalFormatting>
  <conditionalFormatting sqref="AA16">
    <cfRule type="expression" dxfId="2437" priority="831">
      <formula>AND(AND($W16&lt;TODAY(),$W16&lt;&gt;""),$X16="")</formula>
    </cfRule>
  </conditionalFormatting>
  <conditionalFormatting sqref="AG16">
    <cfRule type="dataBar" priority="830">
      <dataBar>
        <cfvo type="min"/>
        <cfvo type="max"/>
        <color rgb="FF63C384"/>
      </dataBar>
      <extLst>
        <ext xmlns:x14="http://schemas.microsoft.com/office/spreadsheetml/2009/9/main" uri="{B025F937-C7B1-47D3-B67F-A62EFF666E3E}">
          <x14:id>{D9E618D8-5062-47CE-8086-26F34DAE06A3}</x14:id>
        </ext>
      </extLst>
    </cfRule>
  </conditionalFormatting>
  <conditionalFormatting sqref="AG16">
    <cfRule type="dataBar" priority="829">
      <dataBar>
        <cfvo type="min"/>
        <cfvo type="max"/>
        <color rgb="FF63C384"/>
      </dataBar>
      <extLst>
        <ext xmlns:x14="http://schemas.microsoft.com/office/spreadsheetml/2009/9/main" uri="{B025F937-C7B1-47D3-B67F-A62EFF666E3E}">
          <x14:id>{74B77EF4-08CD-444D-9D1F-85C9B0F7A995}</x14:id>
        </ext>
      </extLst>
    </cfRule>
  </conditionalFormatting>
  <conditionalFormatting sqref="Q17:Q18">
    <cfRule type="cellIs" dxfId="2436" priority="828" operator="equal">
      <formula>"ja"</formula>
    </cfRule>
  </conditionalFormatting>
  <conditionalFormatting sqref="AA17:AA18">
    <cfRule type="expression" dxfId="2435" priority="827">
      <formula>AND(AND($W17&lt;TODAY(),$W17&lt;&gt;""),$X17="")</formula>
    </cfRule>
  </conditionalFormatting>
  <conditionalFormatting sqref="AG17:AG18">
    <cfRule type="dataBar" priority="826">
      <dataBar>
        <cfvo type="min"/>
        <cfvo type="max"/>
        <color rgb="FF63C384"/>
      </dataBar>
      <extLst>
        <ext xmlns:x14="http://schemas.microsoft.com/office/spreadsheetml/2009/9/main" uri="{B025F937-C7B1-47D3-B67F-A62EFF666E3E}">
          <x14:id>{248366F6-00C4-4BCC-BC82-F5FD5F151B42}</x14:id>
        </ext>
      </extLst>
    </cfRule>
  </conditionalFormatting>
  <conditionalFormatting sqref="AG17:AG18">
    <cfRule type="dataBar" priority="825">
      <dataBar>
        <cfvo type="min"/>
        <cfvo type="max"/>
        <color rgb="FF63C384"/>
      </dataBar>
      <extLst>
        <ext xmlns:x14="http://schemas.microsoft.com/office/spreadsheetml/2009/9/main" uri="{B025F937-C7B1-47D3-B67F-A62EFF666E3E}">
          <x14:id>{09AC8A07-D743-49B1-90CE-FD9D7ABF4384}</x14:id>
        </ext>
      </extLst>
    </cfRule>
  </conditionalFormatting>
  <conditionalFormatting sqref="AA19">
    <cfRule type="expression" dxfId="2434" priority="824">
      <formula>AND(AND($W19&lt;TODAY(),$W19&lt;&gt;""),$X19="")</formula>
    </cfRule>
  </conditionalFormatting>
  <conditionalFormatting sqref="AG19">
    <cfRule type="dataBar" priority="823">
      <dataBar>
        <cfvo type="min"/>
        <cfvo type="max"/>
        <color rgb="FF63C384"/>
      </dataBar>
      <extLst>
        <ext xmlns:x14="http://schemas.microsoft.com/office/spreadsheetml/2009/9/main" uri="{B025F937-C7B1-47D3-B67F-A62EFF666E3E}">
          <x14:id>{B022CF2B-9501-4071-80A9-1596728A3DFB}</x14:id>
        </ext>
      </extLst>
    </cfRule>
  </conditionalFormatting>
  <conditionalFormatting sqref="AG19">
    <cfRule type="dataBar" priority="822">
      <dataBar>
        <cfvo type="min"/>
        <cfvo type="max"/>
        <color rgb="FF63C384"/>
      </dataBar>
      <extLst>
        <ext xmlns:x14="http://schemas.microsoft.com/office/spreadsheetml/2009/9/main" uri="{B025F937-C7B1-47D3-B67F-A62EFF666E3E}">
          <x14:id>{DFFFB1F6-C2B9-4B09-8257-95DAC86E769D}</x14:id>
        </ext>
      </extLst>
    </cfRule>
  </conditionalFormatting>
  <conditionalFormatting sqref="AA20">
    <cfRule type="expression" dxfId="2433" priority="821">
      <formula>AND(AND($W20&lt;TODAY(),$W20&lt;&gt;""),$X20="")</formula>
    </cfRule>
  </conditionalFormatting>
  <conditionalFormatting sqref="AG20">
    <cfRule type="dataBar" priority="820">
      <dataBar>
        <cfvo type="min"/>
        <cfvo type="max"/>
        <color rgb="FF63C384"/>
      </dataBar>
      <extLst>
        <ext xmlns:x14="http://schemas.microsoft.com/office/spreadsheetml/2009/9/main" uri="{B025F937-C7B1-47D3-B67F-A62EFF666E3E}">
          <x14:id>{60CD247C-DF06-47AB-A8DC-21ACEC46AEF6}</x14:id>
        </ext>
      </extLst>
    </cfRule>
  </conditionalFormatting>
  <conditionalFormatting sqref="AG20">
    <cfRule type="dataBar" priority="819">
      <dataBar>
        <cfvo type="min"/>
        <cfvo type="max"/>
        <color rgb="FF63C384"/>
      </dataBar>
      <extLst>
        <ext xmlns:x14="http://schemas.microsoft.com/office/spreadsheetml/2009/9/main" uri="{B025F937-C7B1-47D3-B67F-A62EFF666E3E}">
          <x14:id>{62C4F98D-8C52-4333-BE1E-9009F1574D77}</x14:id>
        </ext>
      </extLst>
    </cfRule>
  </conditionalFormatting>
  <conditionalFormatting sqref="AA21">
    <cfRule type="expression" dxfId="2432" priority="818">
      <formula>AND(AND($W21&lt;TODAY(),$W21&lt;&gt;""),$X21="")</formula>
    </cfRule>
  </conditionalFormatting>
  <conditionalFormatting sqref="AG21">
    <cfRule type="dataBar" priority="817">
      <dataBar>
        <cfvo type="min"/>
        <cfvo type="max"/>
        <color rgb="FF63C384"/>
      </dataBar>
      <extLst>
        <ext xmlns:x14="http://schemas.microsoft.com/office/spreadsheetml/2009/9/main" uri="{B025F937-C7B1-47D3-B67F-A62EFF666E3E}">
          <x14:id>{E4729C58-904D-4BB9-9643-6A5FC27B6F63}</x14:id>
        </ext>
      </extLst>
    </cfRule>
  </conditionalFormatting>
  <conditionalFormatting sqref="AG21">
    <cfRule type="dataBar" priority="816">
      <dataBar>
        <cfvo type="min"/>
        <cfvo type="max"/>
        <color rgb="FF63C384"/>
      </dataBar>
      <extLst>
        <ext xmlns:x14="http://schemas.microsoft.com/office/spreadsheetml/2009/9/main" uri="{B025F937-C7B1-47D3-B67F-A62EFF666E3E}">
          <x14:id>{0F02C841-07C6-49F4-9ACC-D6039794AA10}</x14:id>
        </ext>
      </extLst>
    </cfRule>
  </conditionalFormatting>
  <conditionalFormatting sqref="Q21">
    <cfRule type="cellIs" dxfId="2431" priority="815" operator="equal">
      <formula>"ja"</formula>
    </cfRule>
  </conditionalFormatting>
  <conditionalFormatting sqref="Q22:Q23">
    <cfRule type="cellIs" dxfId="2430" priority="814" operator="equal">
      <formula>"ja"</formula>
    </cfRule>
  </conditionalFormatting>
  <conditionalFormatting sqref="AA22:AA23">
    <cfRule type="expression" dxfId="2429" priority="813">
      <formula>AND(AND($W22&lt;TODAY(),$W22&lt;&gt;""),$X22="")</formula>
    </cfRule>
  </conditionalFormatting>
  <conditionalFormatting sqref="AG22:AG23">
    <cfRule type="dataBar" priority="812">
      <dataBar>
        <cfvo type="min"/>
        <cfvo type="max"/>
        <color rgb="FF63C384"/>
      </dataBar>
      <extLst>
        <ext xmlns:x14="http://schemas.microsoft.com/office/spreadsheetml/2009/9/main" uri="{B025F937-C7B1-47D3-B67F-A62EFF666E3E}">
          <x14:id>{6C6E4D00-ED70-40F7-B07B-7A6541055927}</x14:id>
        </ext>
      </extLst>
    </cfRule>
  </conditionalFormatting>
  <conditionalFormatting sqref="AG22:AG23">
    <cfRule type="dataBar" priority="811">
      <dataBar>
        <cfvo type="min"/>
        <cfvo type="max"/>
        <color rgb="FF63C384"/>
      </dataBar>
      <extLst>
        <ext xmlns:x14="http://schemas.microsoft.com/office/spreadsheetml/2009/9/main" uri="{B025F937-C7B1-47D3-B67F-A62EFF666E3E}">
          <x14:id>{04704B82-00D9-49F4-A5BD-A62534B47D3C}</x14:id>
        </ext>
      </extLst>
    </cfRule>
  </conditionalFormatting>
  <conditionalFormatting sqref="AA24">
    <cfRule type="expression" dxfId="2428" priority="810">
      <formula>AND(AND($W24&lt;TODAY(),$W24&lt;&gt;""),$X24="")</formula>
    </cfRule>
  </conditionalFormatting>
  <conditionalFormatting sqref="Q24">
    <cfRule type="cellIs" dxfId="2427" priority="809" operator="equal">
      <formula>"ja"</formula>
    </cfRule>
  </conditionalFormatting>
  <conditionalFormatting sqref="AG24">
    <cfRule type="dataBar" priority="808">
      <dataBar>
        <cfvo type="min"/>
        <cfvo type="max"/>
        <color rgb="FF63C384"/>
      </dataBar>
      <extLst>
        <ext xmlns:x14="http://schemas.microsoft.com/office/spreadsheetml/2009/9/main" uri="{B025F937-C7B1-47D3-B67F-A62EFF666E3E}">
          <x14:id>{5A13EF30-E208-4957-8CA7-5D89C44A258F}</x14:id>
        </ext>
      </extLst>
    </cfRule>
  </conditionalFormatting>
  <conditionalFormatting sqref="AG24">
    <cfRule type="dataBar" priority="807">
      <dataBar>
        <cfvo type="min"/>
        <cfvo type="max"/>
        <color rgb="FF63C384"/>
      </dataBar>
      <extLst>
        <ext xmlns:x14="http://schemas.microsoft.com/office/spreadsheetml/2009/9/main" uri="{B025F937-C7B1-47D3-B67F-A62EFF666E3E}">
          <x14:id>{3BE51D16-8EC8-44A7-8E8F-B2A4A1E8265C}</x14:id>
        </ext>
      </extLst>
    </cfRule>
  </conditionalFormatting>
  <conditionalFormatting sqref="Q25">
    <cfRule type="cellIs" dxfId="2426" priority="806" operator="equal">
      <formula>"ja"</formula>
    </cfRule>
  </conditionalFormatting>
  <conditionalFormatting sqref="AA25">
    <cfRule type="expression" dxfId="2425" priority="805">
      <formula>AND(AND($W25&lt;TODAY(),$W25&lt;&gt;""),$X25="")</formula>
    </cfRule>
  </conditionalFormatting>
  <conditionalFormatting sqref="AG25">
    <cfRule type="dataBar" priority="804">
      <dataBar>
        <cfvo type="min"/>
        <cfvo type="max"/>
        <color rgb="FF63C384"/>
      </dataBar>
      <extLst>
        <ext xmlns:x14="http://schemas.microsoft.com/office/spreadsheetml/2009/9/main" uri="{B025F937-C7B1-47D3-B67F-A62EFF666E3E}">
          <x14:id>{6AFE4345-2686-4FC4-B870-CA42F57F3F40}</x14:id>
        </ext>
      </extLst>
    </cfRule>
  </conditionalFormatting>
  <conditionalFormatting sqref="AG25">
    <cfRule type="dataBar" priority="803">
      <dataBar>
        <cfvo type="min"/>
        <cfvo type="max"/>
        <color rgb="FF63C384"/>
      </dataBar>
      <extLst>
        <ext xmlns:x14="http://schemas.microsoft.com/office/spreadsheetml/2009/9/main" uri="{B025F937-C7B1-47D3-B67F-A62EFF666E3E}">
          <x14:id>{6AA174B5-5DCB-4701-9DAB-0B76CB7F1B77}</x14:id>
        </ext>
      </extLst>
    </cfRule>
  </conditionalFormatting>
  <conditionalFormatting sqref="AA26">
    <cfRule type="expression" dxfId="2424" priority="802">
      <formula>AND(AND($W26&lt;TODAY(),$W26&lt;&gt;""),$X26="")</formula>
    </cfRule>
  </conditionalFormatting>
  <conditionalFormatting sqref="AG26">
    <cfRule type="dataBar" priority="801">
      <dataBar>
        <cfvo type="min"/>
        <cfvo type="max"/>
        <color rgb="FF63C384"/>
      </dataBar>
      <extLst>
        <ext xmlns:x14="http://schemas.microsoft.com/office/spreadsheetml/2009/9/main" uri="{B025F937-C7B1-47D3-B67F-A62EFF666E3E}">
          <x14:id>{D9AB8B47-0F2B-455D-B966-F4C9432FDD30}</x14:id>
        </ext>
      </extLst>
    </cfRule>
  </conditionalFormatting>
  <conditionalFormatting sqref="AG26">
    <cfRule type="dataBar" priority="800">
      <dataBar>
        <cfvo type="min"/>
        <cfvo type="max"/>
        <color rgb="FF63C384"/>
      </dataBar>
      <extLst>
        <ext xmlns:x14="http://schemas.microsoft.com/office/spreadsheetml/2009/9/main" uri="{B025F937-C7B1-47D3-B67F-A62EFF666E3E}">
          <x14:id>{3D19F814-BFCF-4E87-B2A7-D6C6FB761367}</x14:id>
        </ext>
      </extLst>
    </cfRule>
  </conditionalFormatting>
  <conditionalFormatting sqref="Q27:Q30">
    <cfRule type="cellIs" dxfId="2423" priority="799" operator="equal">
      <formula>"ja"</formula>
    </cfRule>
  </conditionalFormatting>
  <conditionalFormatting sqref="AA27:AA30">
    <cfRule type="expression" dxfId="2422" priority="798">
      <formula>AND(AND($W27&lt;TODAY(),$W27&lt;&gt;""),$X27="")</formula>
    </cfRule>
  </conditionalFormatting>
  <conditionalFormatting sqref="AG27:AG30">
    <cfRule type="dataBar" priority="797">
      <dataBar>
        <cfvo type="min"/>
        <cfvo type="max"/>
        <color rgb="FF63C384"/>
      </dataBar>
      <extLst>
        <ext xmlns:x14="http://schemas.microsoft.com/office/spreadsheetml/2009/9/main" uri="{B025F937-C7B1-47D3-B67F-A62EFF666E3E}">
          <x14:id>{C0E995D0-9636-4B0D-A44F-C9F4F6AF54DF}</x14:id>
        </ext>
      </extLst>
    </cfRule>
  </conditionalFormatting>
  <conditionalFormatting sqref="AG27:AG30">
    <cfRule type="dataBar" priority="796">
      <dataBar>
        <cfvo type="min"/>
        <cfvo type="max"/>
        <color rgb="FF63C384"/>
      </dataBar>
      <extLst>
        <ext xmlns:x14="http://schemas.microsoft.com/office/spreadsheetml/2009/9/main" uri="{B025F937-C7B1-47D3-B67F-A62EFF666E3E}">
          <x14:id>{E28106AD-B2AA-48BC-B124-F200F919D562}</x14:id>
        </ext>
      </extLst>
    </cfRule>
  </conditionalFormatting>
  <conditionalFormatting sqref="Q31">
    <cfRule type="cellIs" dxfId="2421" priority="795" operator="equal">
      <formula>"ja"</formula>
    </cfRule>
  </conditionalFormatting>
  <conditionalFormatting sqref="AA31">
    <cfRule type="expression" dxfId="2420" priority="794">
      <formula>AND(AND($W31&lt;TODAY(),$W31&lt;&gt;""),$X31="")</formula>
    </cfRule>
  </conditionalFormatting>
  <conditionalFormatting sqref="AG31">
    <cfRule type="dataBar" priority="793">
      <dataBar>
        <cfvo type="min"/>
        <cfvo type="max"/>
        <color rgb="FF63C384"/>
      </dataBar>
      <extLst>
        <ext xmlns:x14="http://schemas.microsoft.com/office/spreadsheetml/2009/9/main" uri="{B025F937-C7B1-47D3-B67F-A62EFF666E3E}">
          <x14:id>{98FA08F0-7DE6-44E1-898C-59B20C668C55}</x14:id>
        </ext>
      </extLst>
    </cfRule>
  </conditionalFormatting>
  <conditionalFormatting sqref="AG31">
    <cfRule type="dataBar" priority="792">
      <dataBar>
        <cfvo type="min"/>
        <cfvo type="max"/>
        <color rgb="FF63C384"/>
      </dataBar>
      <extLst>
        <ext xmlns:x14="http://schemas.microsoft.com/office/spreadsheetml/2009/9/main" uri="{B025F937-C7B1-47D3-B67F-A62EFF666E3E}">
          <x14:id>{E4A9F49B-38A3-4BA8-8B41-242D6F7BDA58}</x14:id>
        </ext>
      </extLst>
    </cfRule>
  </conditionalFormatting>
  <conditionalFormatting sqref="Q32">
    <cfRule type="cellIs" dxfId="2419" priority="791" operator="equal">
      <formula>"ja"</formula>
    </cfRule>
  </conditionalFormatting>
  <conditionalFormatting sqref="AA32">
    <cfRule type="expression" dxfId="2418" priority="790">
      <formula>AND(AND($W32&lt;TODAY(),$W32&lt;&gt;""),$X32="")</formula>
    </cfRule>
  </conditionalFormatting>
  <conditionalFormatting sqref="AG32">
    <cfRule type="dataBar" priority="789">
      <dataBar>
        <cfvo type="min"/>
        <cfvo type="max"/>
        <color rgb="FF63C384"/>
      </dataBar>
      <extLst>
        <ext xmlns:x14="http://schemas.microsoft.com/office/spreadsheetml/2009/9/main" uri="{B025F937-C7B1-47D3-B67F-A62EFF666E3E}">
          <x14:id>{A537CAC9-1FB3-423C-AA81-145EB6DA8C68}</x14:id>
        </ext>
      </extLst>
    </cfRule>
  </conditionalFormatting>
  <conditionalFormatting sqref="AG32">
    <cfRule type="dataBar" priority="788">
      <dataBar>
        <cfvo type="min"/>
        <cfvo type="max"/>
        <color rgb="FF63C384"/>
      </dataBar>
      <extLst>
        <ext xmlns:x14="http://schemas.microsoft.com/office/spreadsheetml/2009/9/main" uri="{B025F937-C7B1-47D3-B67F-A62EFF666E3E}">
          <x14:id>{42063A15-CB93-473E-ABB5-EA2AAFCA5057}</x14:id>
        </ext>
      </extLst>
    </cfRule>
  </conditionalFormatting>
  <conditionalFormatting sqref="AA33">
    <cfRule type="expression" dxfId="2417" priority="787">
      <formula>AND(AND($W33&lt;TODAY(),$W33&lt;&gt;""),$X33="")</formula>
    </cfRule>
  </conditionalFormatting>
  <conditionalFormatting sqref="Q33">
    <cfRule type="cellIs" dxfId="2416" priority="786" operator="equal">
      <formula>"ja"</formula>
    </cfRule>
  </conditionalFormatting>
  <conditionalFormatting sqref="AG33">
    <cfRule type="dataBar" priority="785">
      <dataBar>
        <cfvo type="min"/>
        <cfvo type="max"/>
        <color rgb="FF63C384"/>
      </dataBar>
      <extLst>
        <ext xmlns:x14="http://schemas.microsoft.com/office/spreadsheetml/2009/9/main" uri="{B025F937-C7B1-47D3-B67F-A62EFF666E3E}">
          <x14:id>{676C0AEC-2B53-4463-8879-594C04EF5003}</x14:id>
        </ext>
      </extLst>
    </cfRule>
  </conditionalFormatting>
  <conditionalFormatting sqref="AG33">
    <cfRule type="dataBar" priority="784">
      <dataBar>
        <cfvo type="min"/>
        <cfvo type="max"/>
        <color rgb="FF63C384"/>
      </dataBar>
      <extLst>
        <ext xmlns:x14="http://schemas.microsoft.com/office/spreadsheetml/2009/9/main" uri="{B025F937-C7B1-47D3-B67F-A62EFF666E3E}">
          <x14:id>{EDF5E066-D931-459C-8270-1C19FA60EB5E}</x14:id>
        </ext>
      </extLst>
    </cfRule>
  </conditionalFormatting>
  <conditionalFormatting sqref="Q34">
    <cfRule type="cellIs" dxfId="2415" priority="783" operator="equal">
      <formula>"ja"</formula>
    </cfRule>
  </conditionalFormatting>
  <conditionalFormatting sqref="AA34">
    <cfRule type="expression" dxfId="2414" priority="782">
      <formula>AND(AND($W34&lt;TODAY(),$W34&lt;&gt;""),$X34="")</formula>
    </cfRule>
  </conditionalFormatting>
  <conditionalFormatting sqref="AG34">
    <cfRule type="dataBar" priority="781">
      <dataBar>
        <cfvo type="min"/>
        <cfvo type="max"/>
        <color rgb="FF63C384"/>
      </dataBar>
      <extLst>
        <ext xmlns:x14="http://schemas.microsoft.com/office/spreadsheetml/2009/9/main" uri="{B025F937-C7B1-47D3-B67F-A62EFF666E3E}">
          <x14:id>{25A71C78-7952-410D-B2B7-C239A538EF9D}</x14:id>
        </ext>
      </extLst>
    </cfRule>
  </conditionalFormatting>
  <conditionalFormatting sqref="AG34">
    <cfRule type="dataBar" priority="780">
      <dataBar>
        <cfvo type="min"/>
        <cfvo type="max"/>
        <color rgb="FF63C384"/>
      </dataBar>
      <extLst>
        <ext xmlns:x14="http://schemas.microsoft.com/office/spreadsheetml/2009/9/main" uri="{B025F937-C7B1-47D3-B67F-A62EFF666E3E}">
          <x14:id>{7661C7CF-9F62-4953-AB6F-7165F43B4409}</x14:id>
        </ext>
      </extLst>
    </cfRule>
  </conditionalFormatting>
  <conditionalFormatting sqref="Q37">
    <cfRule type="cellIs" dxfId="2413" priority="779" operator="equal">
      <formula>"ja"</formula>
    </cfRule>
  </conditionalFormatting>
  <conditionalFormatting sqref="AA37">
    <cfRule type="expression" dxfId="2412" priority="778">
      <formula>AND(AND($W37&lt;TODAY(),$W37&lt;&gt;""),$X37="")</formula>
    </cfRule>
  </conditionalFormatting>
  <conditionalFormatting sqref="AG37">
    <cfRule type="dataBar" priority="777">
      <dataBar>
        <cfvo type="min"/>
        <cfvo type="max"/>
        <color rgb="FF63C384"/>
      </dataBar>
      <extLst>
        <ext xmlns:x14="http://schemas.microsoft.com/office/spreadsheetml/2009/9/main" uri="{B025F937-C7B1-47D3-B67F-A62EFF666E3E}">
          <x14:id>{AA58CC1C-2AD9-45AB-9E44-81CD5D46EF11}</x14:id>
        </ext>
      </extLst>
    </cfRule>
  </conditionalFormatting>
  <conditionalFormatting sqref="AG37">
    <cfRule type="dataBar" priority="776">
      <dataBar>
        <cfvo type="min"/>
        <cfvo type="max"/>
        <color rgb="FF63C384"/>
      </dataBar>
      <extLst>
        <ext xmlns:x14="http://schemas.microsoft.com/office/spreadsheetml/2009/9/main" uri="{B025F937-C7B1-47D3-B67F-A62EFF666E3E}">
          <x14:id>{6C460E23-B835-4E73-B358-4DF61E9EE72F}</x14:id>
        </ext>
      </extLst>
    </cfRule>
  </conditionalFormatting>
  <conditionalFormatting sqref="Q38">
    <cfRule type="cellIs" dxfId="2411" priority="775" operator="equal">
      <formula>"ja"</formula>
    </cfRule>
  </conditionalFormatting>
  <conditionalFormatting sqref="AA38">
    <cfRule type="expression" dxfId="2410" priority="774">
      <formula>AND(AND($W38&lt;TODAY(),$W38&lt;&gt;""),$X38="")</formula>
    </cfRule>
  </conditionalFormatting>
  <conditionalFormatting sqref="AG38">
    <cfRule type="dataBar" priority="773">
      <dataBar>
        <cfvo type="min"/>
        <cfvo type="max"/>
        <color rgb="FF63C384"/>
      </dataBar>
      <extLst>
        <ext xmlns:x14="http://schemas.microsoft.com/office/spreadsheetml/2009/9/main" uri="{B025F937-C7B1-47D3-B67F-A62EFF666E3E}">
          <x14:id>{EFC975FC-AD2C-451D-9A46-2DB232206E35}</x14:id>
        </ext>
      </extLst>
    </cfRule>
  </conditionalFormatting>
  <conditionalFormatting sqref="AG38">
    <cfRule type="dataBar" priority="772">
      <dataBar>
        <cfvo type="min"/>
        <cfvo type="max"/>
        <color rgb="FF63C384"/>
      </dataBar>
      <extLst>
        <ext xmlns:x14="http://schemas.microsoft.com/office/spreadsheetml/2009/9/main" uri="{B025F937-C7B1-47D3-B67F-A62EFF666E3E}">
          <x14:id>{ACE021AE-74EE-42D6-B441-64EAE8CB7E38}</x14:id>
        </ext>
      </extLst>
    </cfRule>
  </conditionalFormatting>
  <conditionalFormatting sqref="Q39">
    <cfRule type="cellIs" dxfId="2409" priority="771" operator="equal">
      <formula>"ja"</formula>
    </cfRule>
  </conditionalFormatting>
  <conditionalFormatting sqref="AA39">
    <cfRule type="expression" dxfId="2408" priority="770">
      <formula>AND(AND($W39&lt;TODAY(),$W39&lt;&gt;""),$X39="")</formula>
    </cfRule>
  </conditionalFormatting>
  <conditionalFormatting sqref="AG39">
    <cfRule type="dataBar" priority="769">
      <dataBar>
        <cfvo type="min"/>
        <cfvo type="max"/>
        <color rgb="FF63C384"/>
      </dataBar>
      <extLst>
        <ext xmlns:x14="http://schemas.microsoft.com/office/spreadsheetml/2009/9/main" uri="{B025F937-C7B1-47D3-B67F-A62EFF666E3E}">
          <x14:id>{32CD1764-B64C-40DD-85C4-E7958F88B2E7}</x14:id>
        </ext>
      </extLst>
    </cfRule>
  </conditionalFormatting>
  <conditionalFormatting sqref="AG39">
    <cfRule type="dataBar" priority="768">
      <dataBar>
        <cfvo type="min"/>
        <cfvo type="max"/>
        <color rgb="FF63C384"/>
      </dataBar>
      <extLst>
        <ext xmlns:x14="http://schemas.microsoft.com/office/spreadsheetml/2009/9/main" uri="{B025F937-C7B1-47D3-B67F-A62EFF666E3E}">
          <x14:id>{9D5A2FF4-F3C9-4F22-AEE6-2D5256021DB2}</x14:id>
        </ext>
      </extLst>
    </cfRule>
  </conditionalFormatting>
  <conditionalFormatting sqref="AA40">
    <cfRule type="expression" dxfId="2407" priority="767">
      <formula>AND(AND($W40&lt;TODAY(),$W40&lt;&gt;""),$X40="")</formula>
    </cfRule>
  </conditionalFormatting>
  <conditionalFormatting sqref="Q40">
    <cfRule type="cellIs" dxfId="2406" priority="766" operator="equal">
      <formula>"ja"</formula>
    </cfRule>
  </conditionalFormatting>
  <conditionalFormatting sqref="AG40">
    <cfRule type="dataBar" priority="765">
      <dataBar>
        <cfvo type="min"/>
        <cfvo type="max"/>
        <color rgb="FF63C384"/>
      </dataBar>
      <extLst>
        <ext xmlns:x14="http://schemas.microsoft.com/office/spreadsheetml/2009/9/main" uri="{B025F937-C7B1-47D3-B67F-A62EFF666E3E}">
          <x14:id>{91DB4B8B-C4F1-4C80-B0BA-1D9691E214AD}</x14:id>
        </ext>
      </extLst>
    </cfRule>
  </conditionalFormatting>
  <conditionalFormatting sqref="AG40">
    <cfRule type="dataBar" priority="764">
      <dataBar>
        <cfvo type="min"/>
        <cfvo type="max"/>
        <color rgb="FF63C384"/>
      </dataBar>
      <extLst>
        <ext xmlns:x14="http://schemas.microsoft.com/office/spreadsheetml/2009/9/main" uri="{B025F937-C7B1-47D3-B67F-A62EFF666E3E}">
          <x14:id>{A18B9399-A640-429E-92A5-4A0F5E68C563}</x14:id>
        </ext>
      </extLst>
    </cfRule>
  </conditionalFormatting>
  <conditionalFormatting sqref="Q42">
    <cfRule type="cellIs" dxfId="2405" priority="763" operator="equal">
      <formula>"ja"</formula>
    </cfRule>
  </conditionalFormatting>
  <conditionalFormatting sqref="AA42">
    <cfRule type="expression" dxfId="2404" priority="762">
      <formula>AND(AND($W42&lt;TODAY(),$W42&lt;&gt;""),$X42="")</formula>
    </cfRule>
  </conditionalFormatting>
  <conditionalFormatting sqref="AG42">
    <cfRule type="dataBar" priority="761">
      <dataBar>
        <cfvo type="min"/>
        <cfvo type="max"/>
        <color rgb="FF63C384"/>
      </dataBar>
      <extLst>
        <ext xmlns:x14="http://schemas.microsoft.com/office/spreadsheetml/2009/9/main" uri="{B025F937-C7B1-47D3-B67F-A62EFF666E3E}">
          <x14:id>{076C8C21-E8C7-4604-A967-9F096385252A}</x14:id>
        </ext>
      </extLst>
    </cfRule>
  </conditionalFormatting>
  <conditionalFormatting sqref="AG42">
    <cfRule type="dataBar" priority="760">
      <dataBar>
        <cfvo type="min"/>
        <cfvo type="max"/>
        <color rgb="FF63C384"/>
      </dataBar>
      <extLst>
        <ext xmlns:x14="http://schemas.microsoft.com/office/spreadsheetml/2009/9/main" uri="{B025F937-C7B1-47D3-B67F-A62EFF666E3E}">
          <x14:id>{88B15591-3D9C-4CFD-9C3C-3643A5002567}</x14:id>
        </ext>
      </extLst>
    </cfRule>
  </conditionalFormatting>
  <conditionalFormatting sqref="Q45">
    <cfRule type="cellIs" dxfId="2403" priority="759" operator="equal">
      <formula>"ja"</formula>
    </cfRule>
  </conditionalFormatting>
  <conditionalFormatting sqref="AA45">
    <cfRule type="expression" dxfId="2402" priority="758">
      <formula>AND(AND($W45&lt;TODAY(),$W45&lt;&gt;""),$X45="")</formula>
    </cfRule>
  </conditionalFormatting>
  <conditionalFormatting sqref="AG45">
    <cfRule type="dataBar" priority="757">
      <dataBar>
        <cfvo type="min"/>
        <cfvo type="max"/>
        <color rgb="FF63C384"/>
      </dataBar>
      <extLst>
        <ext xmlns:x14="http://schemas.microsoft.com/office/spreadsheetml/2009/9/main" uri="{B025F937-C7B1-47D3-B67F-A62EFF666E3E}">
          <x14:id>{BE66977B-1D88-40E6-80B8-DB145073C8B4}</x14:id>
        </ext>
      </extLst>
    </cfRule>
  </conditionalFormatting>
  <conditionalFormatting sqref="AG45">
    <cfRule type="dataBar" priority="756">
      <dataBar>
        <cfvo type="min"/>
        <cfvo type="max"/>
        <color rgb="FF63C384"/>
      </dataBar>
      <extLst>
        <ext xmlns:x14="http://schemas.microsoft.com/office/spreadsheetml/2009/9/main" uri="{B025F937-C7B1-47D3-B67F-A62EFF666E3E}">
          <x14:id>{B4C48C52-1467-4C30-9439-2172C9175F85}</x14:id>
        </ext>
      </extLst>
    </cfRule>
  </conditionalFormatting>
  <conditionalFormatting sqref="Q43">
    <cfRule type="cellIs" dxfId="2401" priority="755" operator="equal">
      <formula>"ja"</formula>
    </cfRule>
  </conditionalFormatting>
  <conditionalFormatting sqref="AA43">
    <cfRule type="expression" dxfId="2400" priority="754">
      <formula>AND(AND($W43&lt;TODAY(),$W43&lt;&gt;""),$X43="")</formula>
    </cfRule>
  </conditionalFormatting>
  <conditionalFormatting sqref="AG43">
    <cfRule type="dataBar" priority="753">
      <dataBar>
        <cfvo type="min"/>
        <cfvo type="max"/>
        <color rgb="FF63C384"/>
      </dataBar>
      <extLst>
        <ext xmlns:x14="http://schemas.microsoft.com/office/spreadsheetml/2009/9/main" uri="{B025F937-C7B1-47D3-B67F-A62EFF666E3E}">
          <x14:id>{DE07CFE5-CEA9-4DDC-8F1D-41F6256DB5F8}</x14:id>
        </ext>
      </extLst>
    </cfRule>
  </conditionalFormatting>
  <conditionalFormatting sqref="AG43">
    <cfRule type="dataBar" priority="752">
      <dataBar>
        <cfvo type="min"/>
        <cfvo type="max"/>
        <color rgb="FF63C384"/>
      </dataBar>
      <extLst>
        <ext xmlns:x14="http://schemas.microsoft.com/office/spreadsheetml/2009/9/main" uri="{B025F937-C7B1-47D3-B67F-A62EFF666E3E}">
          <x14:id>{6123E653-F312-4AC5-8AF0-AA85E9837F4F}</x14:id>
        </ext>
      </extLst>
    </cfRule>
  </conditionalFormatting>
  <conditionalFormatting sqref="Q44">
    <cfRule type="cellIs" dxfId="2399" priority="751" operator="equal">
      <formula>"ja"</formula>
    </cfRule>
  </conditionalFormatting>
  <conditionalFormatting sqref="AA44">
    <cfRule type="expression" dxfId="2398" priority="750">
      <formula>AND(AND($W44&lt;TODAY(),$W44&lt;&gt;""),$X44="")</formula>
    </cfRule>
  </conditionalFormatting>
  <conditionalFormatting sqref="AG44">
    <cfRule type="dataBar" priority="749">
      <dataBar>
        <cfvo type="min"/>
        <cfvo type="max"/>
        <color rgb="FF63C384"/>
      </dataBar>
      <extLst>
        <ext xmlns:x14="http://schemas.microsoft.com/office/spreadsheetml/2009/9/main" uri="{B025F937-C7B1-47D3-B67F-A62EFF666E3E}">
          <x14:id>{29E4A622-9C1B-4382-8EB5-813AEC1BB8F7}</x14:id>
        </ext>
      </extLst>
    </cfRule>
  </conditionalFormatting>
  <conditionalFormatting sqref="AG44">
    <cfRule type="dataBar" priority="748">
      <dataBar>
        <cfvo type="min"/>
        <cfvo type="max"/>
        <color rgb="FF63C384"/>
      </dataBar>
      <extLst>
        <ext xmlns:x14="http://schemas.microsoft.com/office/spreadsheetml/2009/9/main" uri="{B025F937-C7B1-47D3-B67F-A62EFF666E3E}">
          <x14:id>{E8E489ED-C0F0-400E-AE45-A6007EC56F06}</x14:id>
        </ext>
      </extLst>
    </cfRule>
  </conditionalFormatting>
  <conditionalFormatting sqref="AA47">
    <cfRule type="expression" dxfId="2397" priority="747">
      <formula>AND(AND($W47&lt;TODAY(),$W47&lt;&gt;""),$X47="")</formula>
    </cfRule>
  </conditionalFormatting>
  <conditionalFormatting sqref="Q47">
    <cfRule type="cellIs" dxfId="2396" priority="746" operator="equal">
      <formula>"ja"</formula>
    </cfRule>
  </conditionalFormatting>
  <conditionalFormatting sqref="AG47">
    <cfRule type="dataBar" priority="745">
      <dataBar>
        <cfvo type="min"/>
        <cfvo type="max"/>
        <color rgb="FF63C384"/>
      </dataBar>
      <extLst>
        <ext xmlns:x14="http://schemas.microsoft.com/office/spreadsheetml/2009/9/main" uri="{B025F937-C7B1-47D3-B67F-A62EFF666E3E}">
          <x14:id>{05D5E077-8E68-4B15-BF6A-76F50DC41821}</x14:id>
        </ext>
      </extLst>
    </cfRule>
  </conditionalFormatting>
  <conditionalFormatting sqref="AG47">
    <cfRule type="dataBar" priority="744">
      <dataBar>
        <cfvo type="min"/>
        <cfvo type="max"/>
        <color rgb="FF63C384"/>
      </dataBar>
      <extLst>
        <ext xmlns:x14="http://schemas.microsoft.com/office/spreadsheetml/2009/9/main" uri="{B025F937-C7B1-47D3-B67F-A62EFF666E3E}">
          <x14:id>{86ABD301-50FA-43BE-A498-90D0AAC225E0}</x14:id>
        </ext>
      </extLst>
    </cfRule>
  </conditionalFormatting>
  <conditionalFormatting sqref="Q54">
    <cfRule type="cellIs" dxfId="2395" priority="735" operator="equal">
      <formula>"ja"</formula>
    </cfRule>
  </conditionalFormatting>
  <conditionalFormatting sqref="AA54">
    <cfRule type="expression" dxfId="2394" priority="734">
      <formula>AND(AND($W54&lt;TODAY(),$W54&lt;&gt;""),$X54="")</formula>
    </cfRule>
  </conditionalFormatting>
  <conditionalFormatting sqref="Q51">
    <cfRule type="cellIs" dxfId="2393" priority="743" operator="equal">
      <formula>"ja"</formula>
    </cfRule>
  </conditionalFormatting>
  <conditionalFormatting sqref="AA51">
    <cfRule type="expression" dxfId="2392" priority="742">
      <formula>AND(AND($W51&lt;TODAY(),$W51&lt;&gt;""),$X51="")</formula>
    </cfRule>
  </conditionalFormatting>
  <conditionalFormatting sqref="AG51">
    <cfRule type="dataBar" priority="741">
      <dataBar>
        <cfvo type="min"/>
        <cfvo type="max"/>
        <color rgb="FF63C384"/>
      </dataBar>
      <extLst>
        <ext xmlns:x14="http://schemas.microsoft.com/office/spreadsheetml/2009/9/main" uri="{B025F937-C7B1-47D3-B67F-A62EFF666E3E}">
          <x14:id>{11368872-96A9-409F-897D-AB80BD1B4887}</x14:id>
        </ext>
      </extLst>
    </cfRule>
  </conditionalFormatting>
  <conditionalFormatting sqref="AG51">
    <cfRule type="dataBar" priority="740">
      <dataBar>
        <cfvo type="min"/>
        <cfvo type="max"/>
        <color rgb="FF63C384"/>
      </dataBar>
      <extLst>
        <ext xmlns:x14="http://schemas.microsoft.com/office/spreadsheetml/2009/9/main" uri="{B025F937-C7B1-47D3-B67F-A62EFF666E3E}">
          <x14:id>{F2FCB50E-F9FD-4F54-A319-8190F52B5663}</x14:id>
        </ext>
      </extLst>
    </cfRule>
  </conditionalFormatting>
  <conditionalFormatting sqref="Q52">
    <cfRule type="cellIs" dxfId="2391" priority="739" operator="equal">
      <formula>"ja"</formula>
    </cfRule>
  </conditionalFormatting>
  <conditionalFormatting sqref="AA52">
    <cfRule type="expression" dxfId="2390" priority="738">
      <formula>AND(AND($W52&lt;TODAY(),$W52&lt;&gt;""),$X52="")</formula>
    </cfRule>
  </conditionalFormatting>
  <conditionalFormatting sqref="AG52">
    <cfRule type="dataBar" priority="737">
      <dataBar>
        <cfvo type="min"/>
        <cfvo type="max"/>
        <color rgb="FF63C384"/>
      </dataBar>
      <extLst>
        <ext xmlns:x14="http://schemas.microsoft.com/office/spreadsheetml/2009/9/main" uri="{B025F937-C7B1-47D3-B67F-A62EFF666E3E}">
          <x14:id>{813506AF-427A-47C1-8C29-C0EC23A3FA43}</x14:id>
        </ext>
      </extLst>
    </cfRule>
  </conditionalFormatting>
  <conditionalFormatting sqref="AG52">
    <cfRule type="dataBar" priority="736">
      <dataBar>
        <cfvo type="min"/>
        <cfvo type="max"/>
        <color rgb="FF63C384"/>
      </dataBar>
      <extLst>
        <ext xmlns:x14="http://schemas.microsoft.com/office/spreadsheetml/2009/9/main" uri="{B025F937-C7B1-47D3-B67F-A62EFF666E3E}">
          <x14:id>{FA6D81E3-4035-43BE-B7EE-8ACBB13E5BB3}</x14:id>
        </ext>
      </extLst>
    </cfRule>
  </conditionalFormatting>
  <conditionalFormatting sqref="AG54">
    <cfRule type="dataBar" priority="733">
      <dataBar>
        <cfvo type="min"/>
        <cfvo type="max"/>
        <color rgb="FF63C384"/>
      </dataBar>
      <extLst>
        <ext xmlns:x14="http://schemas.microsoft.com/office/spreadsheetml/2009/9/main" uri="{B025F937-C7B1-47D3-B67F-A62EFF666E3E}">
          <x14:id>{4C0272C3-1775-434B-A46A-9EB23160691F}</x14:id>
        </ext>
      </extLst>
    </cfRule>
  </conditionalFormatting>
  <conditionalFormatting sqref="AG54">
    <cfRule type="dataBar" priority="732">
      <dataBar>
        <cfvo type="min"/>
        <cfvo type="max"/>
        <color rgb="FF63C384"/>
      </dataBar>
      <extLst>
        <ext xmlns:x14="http://schemas.microsoft.com/office/spreadsheetml/2009/9/main" uri="{B025F937-C7B1-47D3-B67F-A62EFF666E3E}">
          <x14:id>{51090A33-6198-4EBA-A796-930079DEF3C8}</x14:id>
        </ext>
      </extLst>
    </cfRule>
  </conditionalFormatting>
  <conditionalFormatting sqref="Q55">
    <cfRule type="cellIs" dxfId="2389" priority="731" operator="equal">
      <formula>"ja"</formula>
    </cfRule>
  </conditionalFormatting>
  <conditionalFormatting sqref="AA55">
    <cfRule type="expression" dxfId="2388" priority="730">
      <formula>AND(AND($W55&lt;TODAY(),$W55&lt;&gt;""),$X55="")</formula>
    </cfRule>
  </conditionalFormatting>
  <conditionalFormatting sqref="AG55">
    <cfRule type="dataBar" priority="729">
      <dataBar>
        <cfvo type="min"/>
        <cfvo type="max"/>
        <color rgb="FF63C384"/>
      </dataBar>
      <extLst>
        <ext xmlns:x14="http://schemas.microsoft.com/office/spreadsheetml/2009/9/main" uri="{B025F937-C7B1-47D3-B67F-A62EFF666E3E}">
          <x14:id>{AD1C1063-2680-494D-BBB5-22FB09096FA0}</x14:id>
        </ext>
      </extLst>
    </cfRule>
  </conditionalFormatting>
  <conditionalFormatting sqref="AG55">
    <cfRule type="dataBar" priority="728">
      <dataBar>
        <cfvo type="min"/>
        <cfvo type="max"/>
        <color rgb="FF63C384"/>
      </dataBar>
      <extLst>
        <ext xmlns:x14="http://schemas.microsoft.com/office/spreadsheetml/2009/9/main" uri="{B025F937-C7B1-47D3-B67F-A62EFF666E3E}">
          <x14:id>{8E89BA78-0167-4513-A1F8-DD57710F4619}</x14:id>
        </ext>
      </extLst>
    </cfRule>
  </conditionalFormatting>
  <conditionalFormatting sqref="Q57">
    <cfRule type="cellIs" dxfId="2387" priority="727" operator="equal">
      <formula>"ja"</formula>
    </cfRule>
  </conditionalFormatting>
  <conditionalFormatting sqref="AA57">
    <cfRule type="expression" dxfId="2386" priority="726">
      <formula>AND(AND($W57&lt;TODAY(),$W57&lt;&gt;""),$X57="")</formula>
    </cfRule>
  </conditionalFormatting>
  <conditionalFormatting sqref="AG57">
    <cfRule type="dataBar" priority="725">
      <dataBar>
        <cfvo type="min"/>
        <cfvo type="max"/>
        <color rgb="FF63C384"/>
      </dataBar>
      <extLst>
        <ext xmlns:x14="http://schemas.microsoft.com/office/spreadsheetml/2009/9/main" uri="{B025F937-C7B1-47D3-B67F-A62EFF666E3E}">
          <x14:id>{9A92AF8C-9911-421C-AF62-55620CB64E42}</x14:id>
        </ext>
      </extLst>
    </cfRule>
  </conditionalFormatting>
  <conditionalFormatting sqref="AG57">
    <cfRule type="dataBar" priority="724">
      <dataBar>
        <cfvo type="min"/>
        <cfvo type="max"/>
        <color rgb="FF63C384"/>
      </dataBar>
      <extLst>
        <ext xmlns:x14="http://schemas.microsoft.com/office/spreadsheetml/2009/9/main" uri="{B025F937-C7B1-47D3-B67F-A62EFF666E3E}">
          <x14:id>{D282CA76-7FA0-4A94-BDE4-F73714D3D4E1}</x14:id>
        </ext>
      </extLst>
    </cfRule>
  </conditionalFormatting>
  <conditionalFormatting sqref="Q58">
    <cfRule type="cellIs" dxfId="2385" priority="723" operator="equal">
      <formula>"ja"</formula>
    </cfRule>
  </conditionalFormatting>
  <conditionalFormatting sqref="AA58">
    <cfRule type="expression" dxfId="2384" priority="722">
      <formula>AND(AND($W58&lt;TODAY(),$W58&lt;&gt;""),$X58="")</formula>
    </cfRule>
  </conditionalFormatting>
  <conditionalFormatting sqref="AG58">
    <cfRule type="dataBar" priority="721">
      <dataBar>
        <cfvo type="min"/>
        <cfvo type="max"/>
        <color rgb="FF63C384"/>
      </dataBar>
      <extLst>
        <ext xmlns:x14="http://schemas.microsoft.com/office/spreadsheetml/2009/9/main" uri="{B025F937-C7B1-47D3-B67F-A62EFF666E3E}">
          <x14:id>{F8A44B07-39AB-4059-81C0-46A6979CAF19}</x14:id>
        </ext>
      </extLst>
    </cfRule>
  </conditionalFormatting>
  <conditionalFormatting sqref="AG58">
    <cfRule type="dataBar" priority="720">
      <dataBar>
        <cfvo type="min"/>
        <cfvo type="max"/>
        <color rgb="FF63C384"/>
      </dataBar>
      <extLst>
        <ext xmlns:x14="http://schemas.microsoft.com/office/spreadsheetml/2009/9/main" uri="{B025F937-C7B1-47D3-B67F-A62EFF666E3E}">
          <x14:id>{C389CC30-563B-4D3F-B769-0451AFBC977F}</x14:id>
        </ext>
      </extLst>
    </cfRule>
  </conditionalFormatting>
  <conditionalFormatting sqref="Q59">
    <cfRule type="cellIs" dxfId="2383" priority="719" operator="equal">
      <formula>"ja"</formula>
    </cfRule>
  </conditionalFormatting>
  <conditionalFormatting sqref="AA59">
    <cfRule type="expression" dxfId="2382" priority="718">
      <formula>AND(AND($W59&lt;TODAY(),$W59&lt;&gt;""),$X59="")</formula>
    </cfRule>
  </conditionalFormatting>
  <conditionalFormatting sqref="AG59">
    <cfRule type="dataBar" priority="717">
      <dataBar>
        <cfvo type="min"/>
        <cfvo type="max"/>
        <color rgb="FF63C384"/>
      </dataBar>
      <extLst>
        <ext xmlns:x14="http://schemas.microsoft.com/office/spreadsheetml/2009/9/main" uri="{B025F937-C7B1-47D3-B67F-A62EFF666E3E}">
          <x14:id>{6845E9EE-8921-45C7-B9D1-692697973C95}</x14:id>
        </ext>
      </extLst>
    </cfRule>
  </conditionalFormatting>
  <conditionalFormatting sqref="AG59">
    <cfRule type="dataBar" priority="716">
      <dataBar>
        <cfvo type="min"/>
        <cfvo type="max"/>
        <color rgb="FF63C384"/>
      </dataBar>
      <extLst>
        <ext xmlns:x14="http://schemas.microsoft.com/office/spreadsheetml/2009/9/main" uri="{B025F937-C7B1-47D3-B67F-A62EFF666E3E}">
          <x14:id>{6B31774A-5635-4B91-AC24-788BE3B792E6}</x14:id>
        </ext>
      </extLst>
    </cfRule>
  </conditionalFormatting>
  <conditionalFormatting sqref="Q60">
    <cfRule type="cellIs" dxfId="2381" priority="715" operator="equal">
      <formula>"ja"</formula>
    </cfRule>
  </conditionalFormatting>
  <conditionalFormatting sqref="AA60">
    <cfRule type="expression" dxfId="2380" priority="714">
      <formula>AND(AND($W60&lt;TODAY(),$W60&lt;&gt;""),$X60="")</formula>
    </cfRule>
  </conditionalFormatting>
  <conditionalFormatting sqref="AG60">
    <cfRule type="dataBar" priority="713">
      <dataBar>
        <cfvo type="min"/>
        <cfvo type="max"/>
        <color rgb="FF63C384"/>
      </dataBar>
      <extLst>
        <ext xmlns:x14="http://schemas.microsoft.com/office/spreadsheetml/2009/9/main" uri="{B025F937-C7B1-47D3-B67F-A62EFF666E3E}">
          <x14:id>{291905A3-F4B3-4D18-A103-4584D80B4138}</x14:id>
        </ext>
      </extLst>
    </cfRule>
  </conditionalFormatting>
  <conditionalFormatting sqref="AG60">
    <cfRule type="dataBar" priority="712">
      <dataBar>
        <cfvo type="min"/>
        <cfvo type="max"/>
        <color rgb="FF63C384"/>
      </dataBar>
      <extLst>
        <ext xmlns:x14="http://schemas.microsoft.com/office/spreadsheetml/2009/9/main" uri="{B025F937-C7B1-47D3-B67F-A62EFF666E3E}">
          <x14:id>{92237D45-A8D5-4880-83D4-D0CFA16D5FC0}</x14:id>
        </ext>
      </extLst>
    </cfRule>
  </conditionalFormatting>
  <conditionalFormatting sqref="AA61">
    <cfRule type="expression" dxfId="2379" priority="711">
      <formula>AND(AND($W61&lt;TODAY(),$W61&lt;&gt;""),$X61="")</formula>
    </cfRule>
  </conditionalFormatting>
  <conditionalFormatting sqref="Q61">
    <cfRule type="cellIs" dxfId="2378" priority="710" operator="equal">
      <formula>"ja"</formula>
    </cfRule>
  </conditionalFormatting>
  <conditionalFormatting sqref="AG61">
    <cfRule type="dataBar" priority="709">
      <dataBar>
        <cfvo type="min"/>
        <cfvo type="max"/>
        <color rgb="FF63C384"/>
      </dataBar>
      <extLst>
        <ext xmlns:x14="http://schemas.microsoft.com/office/spreadsheetml/2009/9/main" uri="{B025F937-C7B1-47D3-B67F-A62EFF666E3E}">
          <x14:id>{8B45D5E8-DF40-441C-B5FE-E275E6C6A4E5}</x14:id>
        </ext>
      </extLst>
    </cfRule>
  </conditionalFormatting>
  <conditionalFormatting sqref="AG61">
    <cfRule type="dataBar" priority="708">
      <dataBar>
        <cfvo type="min"/>
        <cfvo type="max"/>
        <color rgb="FF63C384"/>
      </dataBar>
      <extLst>
        <ext xmlns:x14="http://schemas.microsoft.com/office/spreadsheetml/2009/9/main" uri="{B025F937-C7B1-47D3-B67F-A62EFF666E3E}">
          <x14:id>{BC36A9DA-194E-44C9-AE28-BB2FCFE006C3}</x14:id>
        </ext>
      </extLst>
    </cfRule>
  </conditionalFormatting>
  <conditionalFormatting sqref="Q62:Q63">
    <cfRule type="cellIs" dxfId="2377" priority="707" operator="equal">
      <formula>"ja"</formula>
    </cfRule>
  </conditionalFormatting>
  <conditionalFormatting sqref="AG62">
    <cfRule type="dataBar" priority="706">
      <dataBar>
        <cfvo type="min"/>
        <cfvo type="max"/>
        <color rgb="FF63C384"/>
      </dataBar>
      <extLst>
        <ext xmlns:x14="http://schemas.microsoft.com/office/spreadsheetml/2009/9/main" uri="{B025F937-C7B1-47D3-B67F-A62EFF666E3E}">
          <x14:id>{FAF943C3-9868-4890-8B03-90D9966EFAFE}</x14:id>
        </ext>
      </extLst>
    </cfRule>
  </conditionalFormatting>
  <conditionalFormatting sqref="Q35">
    <cfRule type="cellIs" dxfId="2376" priority="705" operator="equal">
      <formula>"ja"</formula>
    </cfRule>
  </conditionalFormatting>
  <conditionalFormatting sqref="AA35">
    <cfRule type="expression" dxfId="2375" priority="704">
      <formula>AND(AND($W35&lt;TODAY(),$W35&lt;&gt;""),$X35="")</formula>
    </cfRule>
  </conditionalFormatting>
  <conditionalFormatting sqref="AG35">
    <cfRule type="dataBar" priority="703">
      <dataBar>
        <cfvo type="min"/>
        <cfvo type="max"/>
        <color rgb="FF63C384"/>
      </dataBar>
      <extLst>
        <ext xmlns:x14="http://schemas.microsoft.com/office/spreadsheetml/2009/9/main" uri="{B025F937-C7B1-47D3-B67F-A62EFF666E3E}">
          <x14:id>{D878CB41-DDB4-4918-B4BF-16D890B28941}</x14:id>
        </ext>
      </extLst>
    </cfRule>
  </conditionalFormatting>
  <conditionalFormatting sqref="AG35">
    <cfRule type="dataBar" priority="702">
      <dataBar>
        <cfvo type="min"/>
        <cfvo type="max"/>
        <color rgb="FF63C384"/>
      </dataBar>
      <extLst>
        <ext xmlns:x14="http://schemas.microsoft.com/office/spreadsheetml/2009/9/main" uri="{B025F937-C7B1-47D3-B67F-A62EFF666E3E}">
          <x14:id>{F2899B57-32A9-4B1B-81F7-3F8144577A11}</x14:id>
        </ext>
      </extLst>
    </cfRule>
  </conditionalFormatting>
  <conditionalFormatting sqref="Q36">
    <cfRule type="cellIs" dxfId="2374" priority="701" operator="equal">
      <formula>"ja"</formula>
    </cfRule>
  </conditionalFormatting>
  <conditionalFormatting sqref="AA36">
    <cfRule type="expression" dxfId="2373" priority="700">
      <formula>AND(AND($W36&lt;TODAY(),$W36&lt;&gt;""),$X36="")</formula>
    </cfRule>
  </conditionalFormatting>
  <conditionalFormatting sqref="AG36">
    <cfRule type="dataBar" priority="699">
      <dataBar>
        <cfvo type="min"/>
        <cfvo type="max"/>
        <color rgb="FF63C384"/>
      </dataBar>
      <extLst>
        <ext xmlns:x14="http://schemas.microsoft.com/office/spreadsheetml/2009/9/main" uri="{B025F937-C7B1-47D3-B67F-A62EFF666E3E}">
          <x14:id>{B3E9A391-5F66-47D3-AC75-5E52B0EEABED}</x14:id>
        </ext>
      </extLst>
    </cfRule>
  </conditionalFormatting>
  <conditionalFormatting sqref="AG36">
    <cfRule type="dataBar" priority="698">
      <dataBar>
        <cfvo type="min"/>
        <cfvo type="max"/>
        <color rgb="FF63C384"/>
      </dataBar>
      <extLst>
        <ext xmlns:x14="http://schemas.microsoft.com/office/spreadsheetml/2009/9/main" uri="{B025F937-C7B1-47D3-B67F-A62EFF666E3E}">
          <x14:id>{E568F19F-659E-4BFB-B653-8DDCCCDF5855}</x14:id>
        </ext>
      </extLst>
    </cfRule>
  </conditionalFormatting>
  <conditionalFormatting sqref="Q41">
    <cfRule type="cellIs" dxfId="2372" priority="697" operator="equal">
      <formula>"ja"</formula>
    </cfRule>
  </conditionalFormatting>
  <conditionalFormatting sqref="AA41">
    <cfRule type="expression" dxfId="2371" priority="696">
      <formula>AND(AND($W41&lt;TODAY(),$W41&lt;&gt;""),$X41="")</formula>
    </cfRule>
  </conditionalFormatting>
  <conditionalFormatting sqref="AG41">
    <cfRule type="dataBar" priority="695">
      <dataBar>
        <cfvo type="min"/>
        <cfvo type="max"/>
        <color rgb="FF63C384"/>
      </dataBar>
      <extLst>
        <ext xmlns:x14="http://schemas.microsoft.com/office/spreadsheetml/2009/9/main" uri="{B025F937-C7B1-47D3-B67F-A62EFF666E3E}">
          <x14:id>{D3CCADC8-5917-4CBD-8834-BE502EF0C662}</x14:id>
        </ext>
      </extLst>
    </cfRule>
  </conditionalFormatting>
  <conditionalFormatting sqref="AG41">
    <cfRule type="dataBar" priority="694">
      <dataBar>
        <cfvo type="min"/>
        <cfvo type="max"/>
        <color rgb="FF63C384"/>
      </dataBar>
      <extLst>
        <ext xmlns:x14="http://schemas.microsoft.com/office/spreadsheetml/2009/9/main" uri="{B025F937-C7B1-47D3-B67F-A62EFF666E3E}">
          <x14:id>{D16F009A-C017-4DC5-897A-A5BDC836EC8E}</x14:id>
        </ext>
      </extLst>
    </cfRule>
  </conditionalFormatting>
  <conditionalFormatting sqref="Q46">
    <cfRule type="cellIs" dxfId="2370" priority="693" operator="equal">
      <formula>"ja"</formula>
    </cfRule>
  </conditionalFormatting>
  <conditionalFormatting sqref="AA46">
    <cfRule type="expression" dxfId="2369" priority="692">
      <formula>AND(AND($W46&lt;TODAY(),$W46&lt;&gt;""),$X46="")</formula>
    </cfRule>
  </conditionalFormatting>
  <conditionalFormatting sqref="AG46">
    <cfRule type="dataBar" priority="691">
      <dataBar>
        <cfvo type="min"/>
        <cfvo type="max"/>
        <color rgb="FF63C384"/>
      </dataBar>
      <extLst>
        <ext xmlns:x14="http://schemas.microsoft.com/office/spreadsheetml/2009/9/main" uri="{B025F937-C7B1-47D3-B67F-A62EFF666E3E}">
          <x14:id>{DEF77A13-E7D4-49E6-BB51-2DAF789CD11D}</x14:id>
        </ext>
      </extLst>
    </cfRule>
  </conditionalFormatting>
  <conditionalFormatting sqref="AG46">
    <cfRule type="dataBar" priority="690">
      <dataBar>
        <cfvo type="min"/>
        <cfvo type="max"/>
        <color rgb="FF63C384"/>
      </dataBar>
      <extLst>
        <ext xmlns:x14="http://schemas.microsoft.com/office/spreadsheetml/2009/9/main" uri="{B025F937-C7B1-47D3-B67F-A62EFF666E3E}">
          <x14:id>{7C6A824C-0787-4E78-9F26-6474BC65877C}</x14:id>
        </ext>
      </extLst>
    </cfRule>
  </conditionalFormatting>
  <conditionalFormatting sqref="Q48">
    <cfRule type="cellIs" dxfId="2368" priority="689" operator="equal">
      <formula>"ja"</formula>
    </cfRule>
  </conditionalFormatting>
  <conditionalFormatting sqref="AA48">
    <cfRule type="expression" dxfId="2367" priority="688">
      <formula>AND(AND($W48&lt;TODAY(),$W48&lt;&gt;""),$X48="")</formula>
    </cfRule>
  </conditionalFormatting>
  <conditionalFormatting sqref="AG48">
    <cfRule type="dataBar" priority="687">
      <dataBar>
        <cfvo type="min"/>
        <cfvo type="max"/>
        <color rgb="FF63C384"/>
      </dataBar>
      <extLst>
        <ext xmlns:x14="http://schemas.microsoft.com/office/spreadsheetml/2009/9/main" uri="{B025F937-C7B1-47D3-B67F-A62EFF666E3E}">
          <x14:id>{DD153F36-1A37-4648-A1E2-35142EAE0912}</x14:id>
        </ext>
      </extLst>
    </cfRule>
  </conditionalFormatting>
  <conditionalFormatting sqref="AG48">
    <cfRule type="dataBar" priority="686">
      <dataBar>
        <cfvo type="min"/>
        <cfvo type="max"/>
        <color rgb="FF63C384"/>
      </dataBar>
      <extLst>
        <ext xmlns:x14="http://schemas.microsoft.com/office/spreadsheetml/2009/9/main" uri="{B025F937-C7B1-47D3-B67F-A62EFF666E3E}">
          <x14:id>{09D3CEE6-455E-4A3E-A74F-A4CCA48A1F97}</x14:id>
        </ext>
      </extLst>
    </cfRule>
  </conditionalFormatting>
  <conditionalFormatting sqref="Q49">
    <cfRule type="cellIs" dxfId="2366" priority="685" operator="equal">
      <formula>"ja"</formula>
    </cfRule>
  </conditionalFormatting>
  <conditionalFormatting sqref="AA49">
    <cfRule type="expression" dxfId="2365" priority="684">
      <formula>AND(AND($W49&lt;TODAY(),$W49&lt;&gt;""),$X49="")</formula>
    </cfRule>
  </conditionalFormatting>
  <conditionalFormatting sqref="AG49">
    <cfRule type="dataBar" priority="683">
      <dataBar>
        <cfvo type="min"/>
        <cfvo type="max"/>
        <color rgb="FF63C384"/>
      </dataBar>
      <extLst>
        <ext xmlns:x14="http://schemas.microsoft.com/office/spreadsheetml/2009/9/main" uri="{B025F937-C7B1-47D3-B67F-A62EFF666E3E}">
          <x14:id>{B2A0E923-0DBA-4062-801D-29E653DB4E05}</x14:id>
        </ext>
      </extLst>
    </cfRule>
  </conditionalFormatting>
  <conditionalFormatting sqref="AG49">
    <cfRule type="dataBar" priority="682">
      <dataBar>
        <cfvo type="min"/>
        <cfvo type="max"/>
        <color rgb="FF63C384"/>
      </dataBar>
      <extLst>
        <ext xmlns:x14="http://schemas.microsoft.com/office/spreadsheetml/2009/9/main" uri="{B025F937-C7B1-47D3-B67F-A62EFF666E3E}">
          <x14:id>{F354A788-6D4A-480B-9CFA-67C7668444A3}</x14:id>
        </ext>
      </extLst>
    </cfRule>
  </conditionalFormatting>
  <conditionalFormatting sqref="Q50">
    <cfRule type="cellIs" dxfId="2364" priority="681" operator="equal">
      <formula>"ja"</formula>
    </cfRule>
  </conditionalFormatting>
  <conditionalFormatting sqref="AA50">
    <cfRule type="expression" dxfId="2363" priority="680">
      <formula>AND(AND($W50&lt;TODAY(),$W50&lt;&gt;""),$X50="")</formula>
    </cfRule>
  </conditionalFormatting>
  <conditionalFormatting sqref="AG50">
    <cfRule type="dataBar" priority="679">
      <dataBar>
        <cfvo type="min"/>
        <cfvo type="max"/>
        <color rgb="FF63C384"/>
      </dataBar>
      <extLst>
        <ext xmlns:x14="http://schemas.microsoft.com/office/spreadsheetml/2009/9/main" uri="{B025F937-C7B1-47D3-B67F-A62EFF666E3E}">
          <x14:id>{559C3C7E-B6B5-4021-8594-19261F36732D}</x14:id>
        </ext>
      </extLst>
    </cfRule>
  </conditionalFormatting>
  <conditionalFormatting sqref="AG50">
    <cfRule type="dataBar" priority="678">
      <dataBar>
        <cfvo type="min"/>
        <cfvo type="max"/>
        <color rgb="FF63C384"/>
      </dataBar>
      <extLst>
        <ext xmlns:x14="http://schemas.microsoft.com/office/spreadsheetml/2009/9/main" uri="{B025F937-C7B1-47D3-B67F-A62EFF666E3E}">
          <x14:id>{4F0B7B81-38E7-4691-9070-B23FB6DE9714}</x14:id>
        </ext>
      </extLst>
    </cfRule>
  </conditionalFormatting>
  <conditionalFormatting sqref="Q53">
    <cfRule type="cellIs" dxfId="2362" priority="677" operator="equal">
      <formula>"ja"</formula>
    </cfRule>
  </conditionalFormatting>
  <conditionalFormatting sqref="AA53">
    <cfRule type="expression" dxfId="2361" priority="676">
      <formula>AND(AND($W53&lt;TODAY(),$W53&lt;&gt;""),$X53="")</formula>
    </cfRule>
  </conditionalFormatting>
  <conditionalFormatting sqref="AG53">
    <cfRule type="dataBar" priority="675">
      <dataBar>
        <cfvo type="min"/>
        <cfvo type="max"/>
        <color rgb="FF63C384"/>
      </dataBar>
      <extLst>
        <ext xmlns:x14="http://schemas.microsoft.com/office/spreadsheetml/2009/9/main" uri="{B025F937-C7B1-47D3-B67F-A62EFF666E3E}">
          <x14:id>{8866BEC3-A7E1-446A-8594-68A2E285624A}</x14:id>
        </ext>
      </extLst>
    </cfRule>
  </conditionalFormatting>
  <conditionalFormatting sqref="AG53">
    <cfRule type="dataBar" priority="674">
      <dataBar>
        <cfvo type="min"/>
        <cfvo type="max"/>
        <color rgb="FF63C384"/>
      </dataBar>
      <extLst>
        <ext xmlns:x14="http://schemas.microsoft.com/office/spreadsheetml/2009/9/main" uri="{B025F937-C7B1-47D3-B67F-A62EFF666E3E}">
          <x14:id>{FA83EDF1-FB2D-4644-B8B1-650578E60F88}</x14:id>
        </ext>
      </extLst>
    </cfRule>
  </conditionalFormatting>
  <conditionalFormatting sqref="Q56">
    <cfRule type="cellIs" dxfId="2360" priority="673" operator="equal">
      <formula>"ja"</formula>
    </cfRule>
  </conditionalFormatting>
  <conditionalFormatting sqref="AA56">
    <cfRule type="expression" dxfId="2359" priority="672">
      <formula>AND(AND($W56&lt;TODAY(),$W56&lt;&gt;""),$X56="")</formula>
    </cfRule>
  </conditionalFormatting>
  <conditionalFormatting sqref="AG56">
    <cfRule type="dataBar" priority="671">
      <dataBar>
        <cfvo type="min"/>
        <cfvo type="max"/>
        <color rgb="FF63C384"/>
      </dataBar>
      <extLst>
        <ext xmlns:x14="http://schemas.microsoft.com/office/spreadsheetml/2009/9/main" uri="{B025F937-C7B1-47D3-B67F-A62EFF666E3E}">
          <x14:id>{9EE97E74-E3DA-436D-B442-4D6508BEB561}</x14:id>
        </ext>
      </extLst>
    </cfRule>
  </conditionalFormatting>
  <conditionalFormatting sqref="AG56">
    <cfRule type="dataBar" priority="670">
      <dataBar>
        <cfvo type="min"/>
        <cfvo type="max"/>
        <color rgb="FF63C384"/>
      </dataBar>
      <extLst>
        <ext xmlns:x14="http://schemas.microsoft.com/office/spreadsheetml/2009/9/main" uri="{B025F937-C7B1-47D3-B67F-A62EFF666E3E}">
          <x14:id>{A8BD8C16-63F4-4358-A79D-31AD1D38AF4E}</x14:id>
        </ext>
      </extLst>
    </cfRule>
  </conditionalFormatting>
  <conditionalFormatting sqref="Q65">
    <cfRule type="cellIs" dxfId="2358" priority="669" operator="equal">
      <formula>"ja"</formula>
    </cfRule>
  </conditionalFormatting>
  <conditionalFormatting sqref="AA65">
    <cfRule type="expression" dxfId="2357" priority="668">
      <formula>AND(AND($W65&lt;TODAY(),$W65&lt;&gt;""),$X65="")</formula>
    </cfRule>
  </conditionalFormatting>
  <conditionalFormatting sqref="AG65">
    <cfRule type="dataBar" priority="667">
      <dataBar>
        <cfvo type="min"/>
        <cfvo type="max"/>
        <color rgb="FF63C384"/>
      </dataBar>
      <extLst>
        <ext xmlns:x14="http://schemas.microsoft.com/office/spreadsheetml/2009/9/main" uri="{B025F937-C7B1-47D3-B67F-A62EFF666E3E}">
          <x14:id>{815660CB-B065-40FE-9834-42D5614D960B}</x14:id>
        </ext>
      </extLst>
    </cfRule>
  </conditionalFormatting>
  <conditionalFormatting sqref="AG65">
    <cfRule type="dataBar" priority="666">
      <dataBar>
        <cfvo type="min"/>
        <cfvo type="max"/>
        <color rgb="FF63C384"/>
      </dataBar>
      <extLst>
        <ext xmlns:x14="http://schemas.microsoft.com/office/spreadsheetml/2009/9/main" uri="{B025F937-C7B1-47D3-B67F-A62EFF666E3E}">
          <x14:id>{278A92DE-9190-4BC2-9777-65DF79059972}</x14:id>
        </ext>
      </extLst>
    </cfRule>
  </conditionalFormatting>
  <conditionalFormatting sqref="Q66">
    <cfRule type="cellIs" dxfId="2356" priority="665" operator="equal">
      <formula>"ja"</formula>
    </cfRule>
  </conditionalFormatting>
  <conditionalFormatting sqref="AA66">
    <cfRule type="expression" dxfId="2355" priority="664">
      <formula>AND(AND($W66&lt;TODAY(),$W66&lt;&gt;""),$X66="")</formula>
    </cfRule>
  </conditionalFormatting>
  <conditionalFormatting sqref="AG66">
    <cfRule type="dataBar" priority="663">
      <dataBar>
        <cfvo type="min"/>
        <cfvo type="max"/>
        <color rgb="FF63C384"/>
      </dataBar>
      <extLst>
        <ext xmlns:x14="http://schemas.microsoft.com/office/spreadsheetml/2009/9/main" uri="{B025F937-C7B1-47D3-B67F-A62EFF666E3E}">
          <x14:id>{D0BA3555-2BFD-4998-8A0A-3B7524C07F23}</x14:id>
        </ext>
      </extLst>
    </cfRule>
  </conditionalFormatting>
  <conditionalFormatting sqref="AG66">
    <cfRule type="dataBar" priority="662">
      <dataBar>
        <cfvo type="min"/>
        <cfvo type="max"/>
        <color rgb="FF63C384"/>
      </dataBar>
      <extLst>
        <ext xmlns:x14="http://schemas.microsoft.com/office/spreadsheetml/2009/9/main" uri="{B025F937-C7B1-47D3-B67F-A62EFF666E3E}">
          <x14:id>{6BAE99B3-7206-4065-A17B-E66E000AB7E8}</x14:id>
        </ext>
      </extLst>
    </cfRule>
  </conditionalFormatting>
  <conditionalFormatting sqref="Q63">
    <cfRule type="cellIs" dxfId="2354" priority="661" operator="equal">
      <formula>"ja"</formula>
    </cfRule>
  </conditionalFormatting>
  <conditionalFormatting sqref="AG63">
    <cfRule type="dataBar" priority="660">
      <dataBar>
        <cfvo type="min"/>
        <cfvo type="max"/>
        <color rgb="FF63C384"/>
      </dataBar>
      <extLst>
        <ext xmlns:x14="http://schemas.microsoft.com/office/spreadsheetml/2009/9/main" uri="{B025F937-C7B1-47D3-B67F-A62EFF666E3E}">
          <x14:id>{76104E8A-96C4-4211-B904-4D31EAA93740}</x14:id>
        </ext>
      </extLst>
    </cfRule>
  </conditionalFormatting>
  <conditionalFormatting sqref="AG63">
    <cfRule type="dataBar" priority="659">
      <dataBar>
        <cfvo type="min"/>
        <cfvo type="max"/>
        <color rgb="FF63C384"/>
      </dataBar>
      <extLst>
        <ext xmlns:x14="http://schemas.microsoft.com/office/spreadsheetml/2009/9/main" uri="{B025F937-C7B1-47D3-B67F-A62EFF666E3E}">
          <x14:id>{046E5B7C-D048-4257-A319-F8F5E5DB8845}</x14:id>
        </ext>
      </extLst>
    </cfRule>
  </conditionalFormatting>
  <conditionalFormatting sqref="AA64">
    <cfRule type="expression" dxfId="2353" priority="658">
      <formula>AND(AND($W64&lt;TODAY(),$W64&lt;&gt;""),$X64="")</formula>
    </cfRule>
  </conditionalFormatting>
  <conditionalFormatting sqref="Q64">
    <cfRule type="cellIs" dxfId="2352" priority="657" operator="equal">
      <formula>"ja"</formula>
    </cfRule>
  </conditionalFormatting>
  <conditionalFormatting sqref="Q64">
    <cfRule type="cellIs" dxfId="2351" priority="656" operator="equal">
      <formula>"ja"</formula>
    </cfRule>
  </conditionalFormatting>
  <conditionalFormatting sqref="AG64">
    <cfRule type="dataBar" priority="655">
      <dataBar>
        <cfvo type="min"/>
        <cfvo type="max"/>
        <color rgb="FF63C384"/>
      </dataBar>
      <extLst>
        <ext xmlns:x14="http://schemas.microsoft.com/office/spreadsheetml/2009/9/main" uri="{B025F937-C7B1-47D3-B67F-A62EFF666E3E}">
          <x14:id>{C03ACAD1-B4BB-429E-8E3D-30FE31877F95}</x14:id>
        </ext>
      </extLst>
    </cfRule>
  </conditionalFormatting>
  <conditionalFormatting sqref="AG64">
    <cfRule type="dataBar" priority="654">
      <dataBar>
        <cfvo type="min"/>
        <cfvo type="max"/>
        <color rgb="FF63C384"/>
      </dataBar>
      <extLst>
        <ext xmlns:x14="http://schemas.microsoft.com/office/spreadsheetml/2009/9/main" uri="{B025F937-C7B1-47D3-B67F-A62EFF666E3E}">
          <x14:id>{45D8E6C8-2BC4-4D33-823D-0B19CE86CF04}</x14:id>
        </ext>
      </extLst>
    </cfRule>
  </conditionalFormatting>
  <conditionalFormatting sqref="Q67">
    <cfRule type="cellIs" dxfId="2350" priority="653" operator="equal">
      <formula>"ja"</formula>
    </cfRule>
  </conditionalFormatting>
  <conditionalFormatting sqref="AA67">
    <cfRule type="expression" dxfId="2349" priority="652">
      <formula>AND(AND($W67&lt;TODAY(),$W67&lt;&gt;""),$X67="")</formula>
    </cfRule>
  </conditionalFormatting>
  <conditionalFormatting sqref="AG67">
    <cfRule type="dataBar" priority="651">
      <dataBar>
        <cfvo type="min"/>
        <cfvo type="max"/>
        <color rgb="FF63C384"/>
      </dataBar>
      <extLst>
        <ext xmlns:x14="http://schemas.microsoft.com/office/spreadsheetml/2009/9/main" uri="{B025F937-C7B1-47D3-B67F-A62EFF666E3E}">
          <x14:id>{F681FAE7-2E84-424F-A8A9-8B5E9C0B8D62}</x14:id>
        </ext>
      </extLst>
    </cfRule>
  </conditionalFormatting>
  <conditionalFormatting sqref="AG67">
    <cfRule type="dataBar" priority="650">
      <dataBar>
        <cfvo type="min"/>
        <cfvo type="max"/>
        <color rgb="FF63C384"/>
      </dataBar>
      <extLst>
        <ext xmlns:x14="http://schemas.microsoft.com/office/spreadsheetml/2009/9/main" uri="{B025F937-C7B1-47D3-B67F-A62EFF666E3E}">
          <x14:id>{A8F7F2F9-96E8-4603-B6C8-562B310B9673}</x14:id>
        </ext>
      </extLst>
    </cfRule>
  </conditionalFormatting>
  <conditionalFormatting sqref="Q68">
    <cfRule type="cellIs" dxfId="2348" priority="649" operator="equal">
      <formula>"ja"</formula>
    </cfRule>
  </conditionalFormatting>
  <conditionalFormatting sqref="AA68">
    <cfRule type="expression" dxfId="2347" priority="648">
      <formula>AND(AND($W68&lt;TODAY(),$W68&lt;&gt;""),$X68="")</formula>
    </cfRule>
  </conditionalFormatting>
  <conditionalFormatting sqref="AG68">
    <cfRule type="dataBar" priority="647">
      <dataBar>
        <cfvo type="min"/>
        <cfvo type="max"/>
        <color rgb="FF63C384"/>
      </dataBar>
      <extLst>
        <ext xmlns:x14="http://schemas.microsoft.com/office/spreadsheetml/2009/9/main" uri="{B025F937-C7B1-47D3-B67F-A62EFF666E3E}">
          <x14:id>{4D64BBDA-1D54-4492-B11C-ACC6CD2D5A46}</x14:id>
        </ext>
      </extLst>
    </cfRule>
  </conditionalFormatting>
  <conditionalFormatting sqref="AG68">
    <cfRule type="dataBar" priority="646">
      <dataBar>
        <cfvo type="min"/>
        <cfvo type="max"/>
        <color rgb="FF63C384"/>
      </dataBar>
      <extLst>
        <ext xmlns:x14="http://schemas.microsoft.com/office/spreadsheetml/2009/9/main" uri="{B025F937-C7B1-47D3-B67F-A62EFF666E3E}">
          <x14:id>{A06A8DB1-A800-4EEC-A463-05C5DEACBFFA}</x14:id>
        </ext>
      </extLst>
    </cfRule>
  </conditionalFormatting>
  <conditionalFormatting sqref="Q69">
    <cfRule type="cellIs" dxfId="2346" priority="645" operator="equal">
      <formula>"ja"</formula>
    </cfRule>
  </conditionalFormatting>
  <conditionalFormatting sqref="AA69">
    <cfRule type="expression" dxfId="2345" priority="644">
      <formula>AND(AND($W69&lt;TODAY(),$W69&lt;&gt;""),$X69="")</formula>
    </cfRule>
  </conditionalFormatting>
  <conditionalFormatting sqref="AG69">
    <cfRule type="dataBar" priority="643">
      <dataBar>
        <cfvo type="min"/>
        <cfvo type="max"/>
        <color rgb="FF63C384"/>
      </dataBar>
      <extLst>
        <ext xmlns:x14="http://schemas.microsoft.com/office/spreadsheetml/2009/9/main" uri="{B025F937-C7B1-47D3-B67F-A62EFF666E3E}">
          <x14:id>{DC183C30-8AC9-4DCA-AE76-AC6355C953E2}</x14:id>
        </ext>
      </extLst>
    </cfRule>
  </conditionalFormatting>
  <conditionalFormatting sqref="AG69">
    <cfRule type="dataBar" priority="642">
      <dataBar>
        <cfvo type="min"/>
        <cfvo type="max"/>
        <color rgb="FF63C384"/>
      </dataBar>
      <extLst>
        <ext xmlns:x14="http://schemas.microsoft.com/office/spreadsheetml/2009/9/main" uri="{B025F937-C7B1-47D3-B67F-A62EFF666E3E}">
          <x14:id>{43F91801-3FAB-490D-96EC-47D918CE8DA3}</x14:id>
        </ext>
      </extLst>
    </cfRule>
  </conditionalFormatting>
  <conditionalFormatting sqref="Q70">
    <cfRule type="cellIs" dxfId="2344" priority="641" operator="equal">
      <formula>"ja"</formula>
    </cfRule>
  </conditionalFormatting>
  <conditionalFormatting sqref="AA70">
    <cfRule type="expression" dxfId="2343" priority="640">
      <formula>AND(AND($W70&lt;TODAY(),$W70&lt;&gt;""),$X70="")</formula>
    </cfRule>
  </conditionalFormatting>
  <conditionalFormatting sqref="AG70">
    <cfRule type="dataBar" priority="639">
      <dataBar>
        <cfvo type="min"/>
        <cfvo type="max"/>
        <color rgb="FF63C384"/>
      </dataBar>
      <extLst>
        <ext xmlns:x14="http://schemas.microsoft.com/office/spreadsheetml/2009/9/main" uri="{B025F937-C7B1-47D3-B67F-A62EFF666E3E}">
          <x14:id>{37661954-A436-4815-B324-9ACF0EE1928C}</x14:id>
        </ext>
      </extLst>
    </cfRule>
  </conditionalFormatting>
  <conditionalFormatting sqref="AG70">
    <cfRule type="dataBar" priority="638">
      <dataBar>
        <cfvo type="min"/>
        <cfvo type="max"/>
        <color rgb="FF63C384"/>
      </dataBar>
      <extLst>
        <ext xmlns:x14="http://schemas.microsoft.com/office/spreadsheetml/2009/9/main" uri="{B025F937-C7B1-47D3-B67F-A62EFF666E3E}">
          <x14:id>{48DAF6D9-34D8-4977-8819-7E378A94524F}</x14:id>
        </ext>
      </extLst>
    </cfRule>
  </conditionalFormatting>
  <conditionalFormatting sqref="Q71">
    <cfRule type="cellIs" dxfId="2342" priority="637" operator="equal">
      <formula>"ja"</formula>
    </cfRule>
  </conditionalFormatting>
  <conditionalFormatting sqref="AA71">
    <cfRule type="expression" dxfId="2341" priority="636">
      <formula>AND(AND($W71&lt;TODAY(),$W71&lt;&gt;""),$X71="")</formula>
    </cfRule>
  </conditionalFormatting>
  <conditionalFormatting sqref="AG71">
    <cfRule type="dataBar" priority="635">
      <dataBar>
        <cfvo type="min"/>
        <cfvo type="max"/>
        <color rgb="FF63C384"/>
      </dataBar>
      <extLst>
        <ext xmlns:x14="http://schemas.microsoft.com/office/spreadsheetml/2009/9/main" uri="{B025F937-C7B1-47D3-B67F-A62EFF666E3E}">
          <x14:id>{E138A9A5-D5FC-442B-849E-5314AFD171C3}</x14:id>
        </ext>
      </extLst>
    </cfRule>
  </conditionalFormatting>
  <conditionalFormatting sqref="AG71">
    <cfRule type="dataBar" priority="634">
      <dataBar>
        <cfvo type="min"/>
        <cfvo type="max"/>
        <color rgb="FF63C384"/>
      </dataBar>
      <extLst>
        <ext xmlns:x14="http://schemas.microsoft.com/office/spreadsheetml/2009/9/main" uri="{B025F937-C7B1-47D3-B67F-A62EFF666E3E}">
          <x14:id>{87A83D1E-6B2A-40F4-B0DE-879D9BFA8249}</x14:id>
        </ext>
      </extLst>
    </cfRule>
  </conditionalFormatting>
  <conditionalFormatting sqref="Q72">
    <cfRule type="cellIs" dxfId="2340" priority="633" operator="equal">
      <formula>"ja"</formula>
    </cfRule>
  </conditionalFormatting>
  <conditionalFormatting sqref="AA72">
    <cfRule type="expression" dxfId="2339" priority="632">
      <formula>AND(AND($W72&lt;TODAY(),$W72&lt;&gt;""),$X72="")</formula>
    </cfRule>
  </conditionalFormatting>
  <conditionalFormatting sqref="AG72">
    <cfRule type="dataBar" priority="631">
      <dataBar>
        <cfvo type="min"/>
        <cfvo type="max"/>
        <color rgb="FF63C384"/>
      </dataBar>
      <extLst>
        <ext xmlns:x14="http://schemas.microsoft.com/office/spreadsheetml/2009/9/main" uri="{B025F937-C7B1-47D3-B67F-A62EFF666E3E}">
          <x14:id>{435CEC11-0E9C-4D9C-A19D-2F989EEFE690}</x14:id>
        </ext>
      </extLst>
    </cfRule>
  </conditionalFormatting>
  <conditionalFormatting sqref="AG72">
    <cfRule type="dataBar" priority="630">
      <dataBar>
        <cfvo type="min"/>
        <cfvo type="max"/>
        <color rgb="FF63C384"/>
      </dataBar>
      <extLst>
        <ext xmlns:x14="http://schemas.microsoft.com/office/spreadsheetml/2009/9/main" uri="{B025F937-C7B1-47D3-B67F-A62EFF666E3E}">
          <x14:id>{A223365C-2B14-43C2-BC06-827A67473466}</x14:id>
        </ext>
      </extLst>
    </cfRule>
  </conditionalFormatting>
  <conditionalFormatting sqref="Q73">
    <cfRule type="cellIs" dxfId="2338" priority="629" operator="equal">
      <formula>"ja"</formula>
    </cfRule>
  </conditionalFormatting>
  <conditionalFormatting sqref="AA73">
    <cfRule type="expression" dxfId="2337" priority="628">
      <formula>AND(AND($W73&lt;TODAY(),$W73&lt;&gt;""),$X73="")</formula>
    </cfRule>
  </conditionalFormatting>
  <conditionalFormatting sqref="AG73">
    <cfRule type="dataBar" priority="627">
      <dataBar>
        <cfvo type="min"/>
        <cfvo type="max"/>
        <color rgb="FF63C384"/>
      </dataBar>
      <extLst>
        <ext xmlns:x14="http://schemas.microsoft.com/office/spreadsheetml/2009/9/main" uri="{B025F937-C7B1-47D3-B67F-A62EFF666E3E}">
          <x14:id>{25D94314-EEE4-4DFD-BE21-1E7EB6FE3A5A}</x14:id>
        </ext>
      </extLst>
    </cfRule>
  </conditionalFormatting>
  <conditionalFormatting sqref="AG73">
    <cfRule type="dataBar" priority="626">
      <dataBar>
        <cfvo type="min"/>
        <cfvo type="max"/>
        <color rgb="FF63C384"/>
      </dataBar>
      <extLst>
        <ext xmlns:x14="http://schemas.microsoft.com/office/spreadsheetml/2009/9/main" uri="{B025F937-C7B1-47D3-B67F-A62EFF666E3E}">
          <x14:id>{C1A9B879-ECC7-4943-B699-219E8C211DEA}</x14:id>
        </ext>
      </extLst>
    </cfRule>
  </conditionalFormatting>
  <conditionalFormatting sqref="Q74">
    <cfRule type="cellIs" dxfId="2336" priority="625" operator="equal">
      <formula>"ja"</formula>
    </cfRule>
  </conditionalFormatting>
  <conditionalFormatting sqref="AA74">
    <cfRule type="expression" dxfId="2335" priority="624">
      <formula>AND(AND($W74&lt;TODAY(),$W74&lt;&gt;""),$X74="")</formula>
    </cfRule>
  </conditionalFormatting>
  <conditionalFormatting sqref="AG74">
    <cfRule type="dataBar" priority="623">
      <dataBar>
        <cfvo type="min"/>
        <cfvo type="max"/>
        <color rgb="FF63C384"/>
      </dataBar>
      <extLst>
        <ext xmlns:x14="http://schemas.microsoft.com/office/spreadsheetml/2009/9/main" uri="{B025F937-C7B1-47D3-B67F-A62EFF666E3E}">
          <x14:id>{7BFB5F5B-FB04-40D8-9D8A-277399B6483B}</x14:id>
        </ext>
      </extLst>
    </cfRule>
  </conditionalFormatting>
  <conditionalFormatting sqref="AG74">
    <cfRule type="dataBar" priority="622">
      <dataBar>
        <cfvo type="min"/>
        <cfvo type="max"/>
        <color rgb="FF63C384"/>
      </dataBar>
      <extLst>
        <ext xmlns:x14="http://schemas.microsoft.com/office/spreadsheetml/2009/9/main" uri="{B025F937-C7B1-47D3-B67F-A62EFF666E3E}">
          <x14:id>{C3901654-5C91-405D-9E85-3C6331C30367}</x14:id>
        </ext>
      </extLst>
    </cfRule>
  </conditionalFormatting>
  <conditionalFormatting sqref="Q75">
    <cfRule type="cellIs" dxfId="2334" priority="621" operator="equal">
      <formula>"ja"</formula>
    </cfRule>
  </conditionalFormatting>
  <conditionalFormatting sqref="AA75">
    <cfRule type="expression" dxfId="2333" priority="620">
      <formula>AND(AND($W75&lt;TODAY(),$W75&lt;&gt;""),$X75="")</formula>
    </cfRule>
  </conditionalFormatting>
  <conditionalFormatting sqref="AG75">
    <cfRule type="dataBar" priority="619">
      <dataBar>
        <cfvo type="min"/>
        <cfvo type="max"/>
        <color rgb="FF63C384"/>
      </dataBar>
      <extLst>
        <ext xmlns:x14="http://schemas.microsoft.com/office/spreadsheetml/2009/9/main" uri="{B025F937-C7B1-47D3-B67F-A62EFF666E3E}">
          <x14:id>{8A55F896-5E88-4746-AA90-D240337EE757}</x14:id>
        </ext>
      </extLst>
    </cfRule>
  </conditionalFormatting>
  <conditionalFormatting sqref="AG75">
    <cfRule type="dataBar" priority="618">
      <dataBar>
        <cfvo type="min"/>
        <cfvo type="max"/>
        <color rgb="FF63C384"/>
      </dataBar>
      <extLst>
        <ext xmlns:x14="http://schemas.microsoft.com/office/spreadsheetml/2009/9/main" uri="{B025F937-C7B1-47D3-B67F-A62EFF666E3E}">
          <x14:id>{3A76BAC0-F749-4D51-A213-8080FBC3C287}</x14:id>
        </ext>
      </extLst>
    </cfRule>
  </conditionalFormatting>
  <conditionalFormatting sqref="Q76">
    <cfRule type="cellIs" dxfId="2332" priority="617" operator="equal">
      <formula>"ja"</formula>
    </cfRule>
  </conditionalFormatting>
  <conditionalFormatting sqref="AA76">
    <cfRule type="expression" dxfId="2331" priority="616">
      <formula>AND(AND($W76&lt;TODAY(),$W76&lt;&gt;""),$X76="")</formula>
    </cfRule>
  </conditionalFormatting>
  <conditionalFormatting sqref="AG76">
    <cfRule type="dataBar" priority="615">
      <dataBar>
        <cfvo type="min"/>
        <cfvo type="max"/>
        <color rgb="FF63C384"/>
      </dataBar>
      <extLst>
        <ext xmlns:x14="http://schemas.microsoft.com/office/spreadsheetml/2009/9/main" uri="{B025F937-C7B1-47D3-B67F-A62EFF666E3E}">
          <x14:id>{E332958E-9EB0-467E-97AF-7E4B22832D5E}</x14:id>
        </ext>
      </extLst>
    </cfRule>
  </conditionalFormatting>
  <conditionalFormatting sqref="AG76">
    <cfRule type="dataBar" priority="614">
      <dataBar>
        <cfvo type="min"/>
        <cfvo type="max"/>
        <color rgb="FF63C384"/>
      </dataBar>
      <extLst>
        <ext xmlns:x14="http://schemas.microsoft.com/office/spreadsheetml/2009/9/main" uri="{B025F937-C7B1-47D3-B67F-A62EFF666E3E}">
          <x14:id>{EBC8832B-64DF-4046-A7BC-7C8993AED51E}</x14:id>
        </ext>
      </extLst>
    </cfRule>
  </conditionalFormatting>
  <conditionalFormatting sqref="Q77">
    <cfRule type="cellIs" dxfId="2330" priority="613" operator="equal">
      <formula>"ja"</formula>
    </cfRule>
  </conditionalFormatting>
  <conditionalFormatting sqref="AA77">
    <cfRule type="expression" dxfId="2329" priority="612">
      <formula>AND(AND($W77&lt;TODAY(),$W77&lt;&gt;""),$X77="")</formula>
    </cfRule>
  </conditionalFormatting>
  <conditionalFormatting sqref="AG77">
    <cfRule type="dataBar" priority="611">
      <dataBar>
        <cfvo type="min"/>
        <cfvo type="max"/>
        <color rgb="FF63C384"/>
      </dataBar>
      <extLst>
        <ext xmlns:x14="http://schemas.microsoft.com/office/spreadsheetml/2009/9/main" uri="{B025F937-C7B1-47D3-B67F-A62EFF666E3E}">
          <x14:id>{83F1B11B-D376-47F3-BDCB-3C0E29F3A721}</x14:id>
        </ext>
      </extLst>
    </cfRule>
  </conditionalFormatting>
  <conditionalFormatting sqref="AG77">
    <cfRule type="dataBar" priority="610">
      <dataBar>
        <cfvo type="min"/>
        <cfvo type="max"/>
        <color rgb="FF63C384"/>
      </dataBar>
      <extLst>
        <ext xmlns:x14="http://schemas.microsoft.com/office/spreadsheetml/2009/9/main" uri="{B025F937-C7B1-47D3-B67F-A62EFF666E3E}">
          <x14:id>{CBFAFD06-BFBE-4576-8CEE-1872E44D12E3}</x14:id>
        </ext>
      </extLst>
    </cfRule>
  </conditionalFormatting>
  <conditionalFormatting sqref="AA78">
    <cfRule type="expression" dxfId="2328" priority="609">
      <formula>AND(AND($W78&lt;TODAY(),$W78&lt;&gt;""),$X78="")</formula>
    </cfRule>
  </conditionalFormatting>
  <conditionalFormatting sqref="Q78">
    <cfRule type="cellIs" dxfId="2327" priority="608" operator="equal">
      <formula>"ja"</formula>
    </cfRule>
  </conditionalFormatting>
  <conditionalFormatting sqref="AG78">
    <cfRule type="dataBar" priority="607">
      <dataBar>
        <cfvo type="min"/>
        <cfvo type="max"/>
        <color rgb="FF63C384"/>
      </dataBar>
      <extLst>
        <ext xmlns:x14="http://schemas.microsoft.com/office/spreadsheetml/2009/9/main" uri="{B025F937-C7B1-47D3-B67F-A62EFF666E3E}">
          <x14:id>{A71FD2EA-F462-4A47-96DC-E3604925F9BF}</x14:id>
        </ext>
      </extLst>
    </cfRule>
  </conditionalFormatting>
  <conditionalFormatting sqref="AG78">
    <cfRule type="dataBar" priority="606">
      <dataBar>
        <cfvo type="min"/>
        <cfvo type="max"/>
        <color rgb="FF63C384"/>
      </dataBar>
      <extLst>
        <ext xmlns:x14="http://schemas.microsoft.com/office/spreadsheetml/2009/9/main" uri="{B025F937-C7B1-47D3-B67F-A62EFF666E3E}">
          <x14:id>{500D891D-D43F-4CCA-AE10-FD868A6E37E6}</x14:id>
        </ext>
      </extLst>
    </cfRule>
  </conditionalFormatting>
  <conditionalFormatting sqref="Q79">
    <cfRule type="cellIs" dxfId="2326" priority="605" operator="equal">
      <formula>"ja"</formula>
    </cfRule>
  </conditionalFormatting>
  <conditionalFormatting sqref="AA79">
    <cfRule type="expression" dxfId="2325" priority="604">
      <formula>AND(AND($W79&lt;TODAY(),$W79&lt;&gt;""),$X79="")</formula>
    </cfRule>
  </conditionalFormatting>
  <conditionalFormatting sqref="AG79">
    <cfRule type="dataBar" priority="603">
      <dataBar>
        <cfvo type="min"/>
        <cfvo type="max"/>
        <color rgb="FF63C384"/>
      </dataBar>
      <extLst>
        <ext xmlns:x14="http://schemas.microsoft.com/office/spreadsheetml/2009/9/main" uri="{B025F937-C7B1-47D3-B67F-A62EFF666E3E}">
          <x14:id>{F6F892B8-C5C7-440E-8E73-3FCBA3FA67BF}</x14:id>
        </ext>
      </extLst>
    </cfRule>
  </conditionalFormatting>
  <conditionalFormatting sqref="AG79">
    <cfRule type="dataBar" priority="602">
      <dataBar>
        <cfvo type="min"/>
        <cfvo type="max"/>
        <color rgb="FF63C384"/>
      </dataBar>
      <extLst>
        <ext xmlns:x14="http://schemas.microsoft.com/office/spreadsheetml/2009/9/main" uri="{B025F937-C7B1-47D3-B67F-A62EFF666E3E}">
          <x14:id>{2608DA3F-2400-42A1-AEFE-AB41582CB0D7}</x14:id>
        </ext>
      </extLst>
    </cfRule>
  </conditionalFormatting>
  <conditionalFormatting sqref="Q80">
    <cfRule type="cellIs" dxfId="2324" priority="601" operator="equal">
      <formula>"ja"</formula>
    </cfRule>
  </conditionalFormatting>
  <conditionalFormatting sqref="AA80">
    <cfRule type="expression" dxfId="2323" priority="600">
      <formula>AND(AND($W80&lt;TODAY(),$W80&lt;&gt;""),$X80="")</formula>
    </cfRule>
  </conditionalFormatting>
  <conditionalFormatting sqref="AG80">
    <cfRule type="dataBar" priority="599">
      <dataBar>
        <cfvo type="min"/>
        <cfvo type="max"/>
        <color rgb="FF63C384"/>
      </dataBar>
      <extLst>
        <ext xmlns:x14="http://schemas.microsoft.com/office/spreadsheetml/2009/9/main" uri="{B025F937-C7B1-47D3-B67F-A62EFF666E3E}">
          <x14:id>{8E218161-8F00-4EC7-B835-4EE2B356204A}</x14:id>
        </ext>
      </extLst>
    </cfRule>
  </conditionalFormatting>
  <conditionalFormatting sqref="AG80">
    <cfRule type="dataBar" priority="598">
      <dataBar>
        <cfvo type="min"/>
        <cfvo type="max"/>
        <color rgb="FF63C384"/>
      </dataBar>
      <extLst>
        <ext xmlns:x14="http://schemas.microsoft.com/office/spreadsheetml/2009/9/main" uri="{B025F937-C7B1-47D3-B67F-A62EFF666E3E}">
          <x14:id>{122ABAEB-6233-453C-BAF4-D3CBDCB9A081}</x14:id>
        </ext>
      </extLst>
    </cfRule>
  </conditionalFormatting>
  <conditionalFormatting sqref="Q81">
    <cfRule type="cellIs" dxfId="2322" priority="597" operator="equal">
      <formula>"ja"</formula>
    </cfRule>
  </conditionalFormatting>
  <conditionalFormatting sqref="AA81">
    <cfRule type="expression" dxfId="2321" priority="596">
      <formula>AND(AND($W81&lt;TODAY(),$W81&lt;&gt;""),$X81="")</formula>
    </cfRule>
  </conditionalFormatting>
  <conditionalFormatting sqref="AG81">
    <cfRule type="dataBar" priority="595">
      <dataBar>
        <cfvo type="min"/>
        <cfvo type="max"/>
        <color rgb="FF63C384"/>
      </dataBar>
      <extLst>
        <ext xmlns:x14="http://schemas.microsoft.com/office/spreadsheetml/2009/9/main" uri="{B025F937-C7B1-47D3-B67F-A62EFF666E3E}">
          <x14:id>{84AF1282-D06C-46DB-AE74-1638ECAB6EAA}</x14:id>
        </ext>
      </extLst>
    </cfRule>
  </conditionalFormatting>
  <conditionalFormatting sqref="AG81">
    <cfRule type="dataBar" priority="594">
      <dataBar>
        <cfvo type="min"/>
        <cfvo type="max"/>
        <color rgb="FF63C384"/>
      </dataBar>
      <extLst>
        <ext xmlns:x14="http://schemas.microsoft.com/office/spreadsheetml/2009/9/main" uri="{B025F937-C7B1-47D3-B67F-A62EFF666E3E}">
          <x14:id>{791A1496-0F05-4BF2-9F90-CDA170211347}</x14:id>
        </ext>
      </extLst>
    </cfRule>
  </conditionalFormatting>
  <conditionalFormatting sqref="Q82">
    <cfRule type="cellIs" dxfId="2320" priority="593" operator="equal">
      <formula>"ja"</formula>
    </cfRule>
  </conditionalFormatting>
  <conditionalFormatting sqref="AA82">
    <cfRule type="expression" dxfId="2319" priority="592">
      <formula>AND(AND($W82&lt;TODAY(),$W82&lt;&gt;""),$X82="")</formula>
    </cfRule>
  </conditionalFormatting>
  <conditionalFormatting sqref="AG82">
    <cfRule type="dataBar" priority="591">
      <dataBar>
        <cfvo type="min"/>
        <cfvo type="max"/>
        <color rgb="FF63C384"/>
      </dataBar>
      <extLst>
        <ext xmlns:x14="http://schemas.microsoft.com/office/spreadsheetml/2009/9/main" uri="{B025F937-C7B1-47D3-B67F-A62EFF666E3E}">
          <x14:id>{A51C2479-6F66-4321-80E0-59CAF91FA049}</x14:id>
        </ext>
      </extLst>
    </cfRule>
  </conditionalFormatting>
  <conditionalFormatting sqref="AG82">
    <cfRule type="dataBar" priority="590">
      <dataBar>
        <cfvo type="min"/>
        <cfvo type="max"/>
        <color rgb="FF63C384"/>
      </dataBar>
      <extLst>
        <ext xmlns:x14="http://schemas.microsoft.com/office/spreadsheetml/2009/9/main" uri="{B025F937-C7B1-47D3-B67F-A62EFF666E3E}">
          <x14:id>{CB496475-1EBC-4A9E-8584-6D634EDB5E9F}</x14:id>
        </ext>
      </extLst>
    </cfRule>
  </conditionalFormatting>
  <conditionalFormatting sqref="Q83">
    <cfRule type="cellIs" dxfId="2318" priority="589" operator="equal">
      <formula>"ja"</formula>
    </cfRule>
  </conditionalFormatting>
  <conditionalFormatting sqref="AA83">
    <cfRule type="expression" dxfId="2317" priority="588">
      <formula>AND(AND($W83&lt;TODAY(),$W83&lt;&gt;""),$X83="")</formula>
    </cfRule>
  </conditionalFormatting>
  <conditionalFormatting sqref="AG83">
    <cfRule type="dataBar" priority="587">
      <dataBar>
        <cfvo type="min"/>
        <cfvo type="max"/>
        <color rgb="FF63C384"/>
      </dataBar>
      <extLst>
        <ext xmlns:x14="http://schemas.microsoft.com/office/spreadsheetml/2009/9/main" uri="{B025F937-C7B1-47D3-B67F-A62EFF666E3E}">
          <x14:id>{03993A35-61D9-4409-BF08-3707B93E39BB}</x14:id>
        </ext>
      </extLst>
    </cfRule>
  </conditionalFormatting>
  <conditionalFormatting sqref="AG83">
    <cfRule type="dataBar" priority="586">
      <dataBar>
        <cfvo type="min"/>
        <cfvo type="max"/>
        <color rgb="FF63C384"/>
      </dataBar>
      <extLst>
        <ext xmlns:x14="http://schemas.microsoft.com/office/spreadsheetml/2009/9/main" uri="{B025F937-C7B1-47D3-B67F-A62EFF666E3E}">
          <x14:id>{17E2EAFF-F9CF-4A2C-9C41-74EC1E18005F}</x14:id>
        </ext>
      </extLst>
    </cfRule>
  </conditionalFormatting>
  <conditionalFormatting sqref="Q84">
    <cfRule type="cellIs" dxfId="2316" priority="585" operator="equal">
      <formula>"ja"</formula>
    </cfRule>
  </conditionalFormatting>
  <conditionalFormatting sqref="AA84">
    <cfRule type="expression" dxfId="2315" priority="584">
      <formula>AND(AND($W84&lt;TODAY(),$W84&lt;&gt;""),$X84="")</formula>
    </cfRule>
  </conditionalFormatting>
  <conditionalFormatting sqref="AG84">
    <cfRule type="dataBar" priority="583">
      <dataBar>
        <cfvo type="min"/>
        <cfvo type="max"/>
        <color rgb="FF63C384"/>
      </dataBar>
      <extLst>
        <ext xmlns:x14="http://schemas.microsoft.com/office/spreadsheetml/2009/9/main" uri="{B025F937-C7B1-47D3-B67F-A62EFF666E3E}">
          <x14:id>{10D32B24-9EB9-48B5-88B6-BF14552CA1E0}</x14:id>
        </ext>
      </extLst>
    </cfRule>
  </conditionalFormatting>
  <conditionalFormatting sqref="AG84">
    <cfRule type="dataBar" priority="582">
      <dataBar>
        <cfvo type="min"/>
        <cfvo type="max"/>
        <color rgb="FF63C384"/>
      </dataBar>
      <extLst>
        <ext xmlns:x14="http://schemas.microsoft.com/office/spreadsheetml/2009/9/main" uri="{B025F937-C7B1-47D3-B67F-A62EFF666E3E}">
          <x14:id>{F585F0CE-914D-4A54-9128-C4E0AB82ADFC}</x14:id>
        </ext>
      </extLst>
    </cfRule>
  </conditionalFormatting>
  <conditionalFormatting sqref="Q85">
    <cfRule type="cellIs" dxfId="2314" priority="581" operator="equal">
      <formula>"ja"</formula>
    </cfRule>
  </conditionalFormatting>
  <conditionalFormatting sqref="AA85:AA86">
    <cfRule type="expression" dxfId="2313" priority="580">
      <formula>AND(AND($W85&lt;TODAY(),$W85&lt;&gt;""),$X85="")</formula>
    </cfRule>
  </conditionalFormatting>
  <conditionalFormatting sqref="AG85:AG86">
    <cfRule type="dataBar" priority="579">
      <dataBar>
        <cfvo type="min"/>
        <cfvo type="max"/>
        <color rgb="FF63C384"/>
      </dataBar>
      <extLst>
        <ext xmlns:x14="http://schemas.microsoft.com/office/spreadsheetml/2009/9/main" uri="{B025F937-C7B1-47D3-B67F-A62EFF666E3E}">
          <x14:id>{83FFBB16-687A-4D0D-9172-655DAFEFA4B3}</x14:id>
        </ext>
      </extLst>
    </cfRule>
  </conditionalFormatting>
  <conditionalFormatting sqref="AG85:AG86">
    <cfRule type="dataBar" priority="578">
      <dataBar>
        <cfvo type="min"/>
        <cfvo type="max"/>
        <color rgb="FF63C384"/>
      </dataBar>
      <extLst>
        <ext xmlns:x14="http://schemas.microsoft.com/office/spreadsheetml/2009/9/main" uri="{B025F937-C7B1-47D3-B67F-A62EFF666E3E}">
          <x14:id>{0052162E-BB15-48C6-9381-6AFAEC4EF58D}</x14:id>
        </ext>
      </extLst>
    </cfRule>
  </conditionalFormatting>
  <conditionalFormatting sqref="Q87">
    <cfRule type="cellIs" dxfId="2312" priority="577" operator="equal">
      <formula>"ja"</formula>
    </cfRule>
  </conditionalFormatting>
  <conditionalFormatting sqref="AA87">
    <cfRule type="expression" dxfId="2311" priority="576">
      <formula>AND(AND($W87&lt;TODAY(),$W87&lt;&gt;""),$X87="")</formula>
    </cfRule>
  </conditionalFormatting>
  <conditionalFormatting sqref="AG87">
    <cfRule type="dataBar" priority="575">
      <dataBar>
        <cfvo type="min"/>
        <cfvo type="max"/>
        <color rgb="FF63C384"/>
      </dataBar>
      <extLst>
        <ext xmlns:x14="http://schemas.microsoft.com/office/spreadsheetml/2009/9/main" uri="{B025F937-C7B1-47D3-B67F-A62EFF666E3E}">
          <x14:id>{A2A08287-EECC-426C-8AEB-2B40044509DC}</x14:id>
        </ext>
      </extLst>
    </cfRule>
  </conditionalFormatting>
  <conditionalFormatting sqref="AG87">
    <cfRule type="dataBar" priority="574">
      <dataBar>
        <cfvo type="min"/>
        <cfvo type="max"/>
        <color rgb="FF63C384"/>
      </dataBar>
      <extLst>
        <ext xmlns:x14="http://schemas.microsoft.com/office/spreadsheetml/2009/9/main" uri="{B025F937-C7B1-47D3-B67F-A62EFF666E3E}">
          <x14:id>{187C0F80-21F9-438B-A0EF-364449F58E5A}</x14:id>
        </ext>
      </extLst>
    </cfRule>
  </conditionalFormatting>
  <conditionalFormatting sqref="Q88">
    <cfRule type="cellIs" dxfId="2310" priority="573" operator="equal">
      <formula>"ja"</formula>
    </cfRule>
  </conditionalFormatting>
  <conditionalFormatting sqref="AA88">
    <cfRule type="expression" dxfId="2309" priority="572">
      <formula>AND(AND($W88&lt;TODAY(),$W88&lt;&gt;""),$X88="")</formula>
    </cfRule>
  </conditionalFormatting>
  <conditionalFormatting sqref="AG88">
    <cfRule type="dataBar" priority="571">
      <dataBar>
        <cfvo type="min"/>
        <cfvo type="max"/>
        <color rgb="FF63C384"/>
      </dataBar>
      <extLst>
        <ext xmlns:x14="http://schemas.microsoft.com/office/spreadsheetml/2009/9/main" uri="{B025F937-C7B1-47D3-B67F-A62EFF666E3E}">
          <x14:id>{D8512629-FB77-4316-8872-E0D49BB68BDE}</x14:id>
        </ext>
      </extLst>
    </cfRule>
  </conditionalFormatting>
  <conditionalFormatting sqref="AG88">
    <cfRule type="dataBar" priority="570">
      <dataBar>
        <cfvo type="min"/>
        <cfvo type="max"/>
        <color rgb="FF63C384"/>
      </dataBar>
      <extLst>
        <ext xmlns:x14="http://schemas.microsoft.com/office/spreadsheetml/2009/9/main" uri="{B025F937-C7B1-47D3-B67F-A62EFF666E3E}">
          <x14:id>{E2379C0C-8317-40FD-9C3B-7E7E5B1C7519}</x14:id>
        </ext>
      </extLst>
    </cfRule>
  </conditionalFormatting>
  <conditionalFormatting sqref="AA89">
    <cfRule type="expression" dxfId="2308" priority="569">
      <formula>AND(AND($W89&lt;TODAY(),$W89&lt;&gt;""),$X89="")</formula>
    </cfRule>
  </conditionalFormatting>
  <conditionalFormatting sqref="Q89">
    <cfRule type="cellIs" dxfId="2307" priority="568" operator="equal">
      <formula>"ja"</formula>
    </cfRule>
  </conditionalFormatting>
  <conditionalFormatting sqref="AG89">
    <cfRule type="dataBar" priority="567">
      <dataBar>
        <cfvo type="min"/>
        <cfvo type="max"/>
        <color rgb="FF63C384"/>
      </dataBar>
      <extLst>
        <ext xmlns:x14="http://schemas.microsoft.com/office/spreadsheetml/2009/9/main" uri="{B025F937-C7B1-47D3-B67F-A62EFF666E3E}">
          <x14:id>{CF3759F0-83F9-4D17-BFCC-140C1E788858}</x14:id>
        </ext>
      </extLst>
    </cfRule>
  </conditionalFormatting>
  <conditionalFormatting sqref="AG89">
    <cfRule type="dataBar" priority="566">
      <dataBar>
        <cfvo type="min"/>
        <cfvo type="max"/>
        <color rgb="FF63C384"/>
      </dataBar>
      <extLst>
        <ext xmlns:x14="http://schemas.microsoft.com/office/spreadsheetml/2009/9/main" uri="{B025F937-C7B1-47D3-B67F-A62EFF666E3E}">
          <x14:id>{8A3B9D7C-4F04-476E-8EE5-27F1BBDF1758}</x14:id>
        </ext>
      </extLst>
    </cfRule>
  </conditionalFormatting>
  <conditionalFormatting sqref="AA90">
    <cfRule type="expression" dxfId="2306" priority="565">
      <formula>AND(AND($W90&lt;TODAY(),$W90&lt;&gt;""),$X90="")</formula>
    </cfRule>
  </conditionalFormatting>
  <conditionalFormatting sqref="AG90">
    <cfRule type="dataBar" priority="564">
      <dataBar>
        <cfvo type="min"/>
        <cfvo type="max"/>
        <color rgb="FF63C384"/>
      </dataBar>
      <extLst>
        <ext xmlns:x14="http://schemas.microsoft.com/office/spreadsheetml/2009/9/main" uri="{B025F937-C7B1-47D3-B67F-A62EFF666E3E}">
          <x14:id>{F67D1DED-463A-419D-9AF3-5C937B7AF2D9}</x14:id>
        </ext>
      </extLst>
    </cfRule>
  </conditionalFormatting>
  <conditionalFormatting sqref="AG90">
    <cfRule type="dataBar" priority="563">
      <dataBar>
        <cfvo type="min"/>
        <cfvo type="max"/>
        <color rgb="FF63C384"/>
      </dataBar>
      <extLst>
        <ext xmlns:x14="http://schemas.microsoft.com/office/spreadsheetml/2009/9/main" uri="{B025F937-C7B1-47D3-B67F-A62EFF666E3E}">
          <x14:id>{C547EEEA-7AD4-4CA2-B73F-F3BBB44DF7CE}</x14:id>
        </ext>
      </extLst>
    </cfRule>
  </conditionalFormatting>
  <conditionalFormatting sqref="Q91">
    <cfRule type="cellIs" dxfId="2305" priority="562" operator="equal">
      <formula>"ja"</formula>
    </cfRule>
  </conditionalFormatting>
  <conditionalFormatting sqref="AA91">
    <cfRule type="expression" dxfId="2304" priority="561">
      <formula>AND(AND($W91&lt;TODAY(),$W91&lt;&gt;""),$X91="")</formula>
    </cfRule>
  </conditionalFormatting>
  <conditionalFormatting sqref="AG91">
    <cfRule type="dataBar" priority="560">
      <dataBar>
        <cfvo type="min"/>
        <cfvo type="max"/>
        <color rgb="FF63C384"/>
      </dataBar>
      <extLst>
        <ext xmlns:x14="http://schemas.microsoft.com/office/spreadsheetml/2009/9/main" uri="{B025F937-C7B1-47D3-B67F-A62EFF666E3E}">
          <x14:id>{5D45401C-36F1-42D2-8E4E-1E65BBEEC918}</x14:id>
        </ext>
      </extLst>
    </cfRule>
  </conditionalFormatting>
  <conditionalFormatting sqref="AG91">
    <cfRule type="dataBar" priority="559">
      <dataBar>
        <cfvo type="min"/>
        <cfvo type="max"/>
        <color rgb="FF63C384"/>
      </dataBar>
      <extLst>
        <ext xmlns:x14="http://schemas.microsoft.com/office/spreadsheetml/2009/9/main" uri="{B025F937-C7B1-47D3-B67F-A62EFF666E3E}">
          <x14:id>{32E865E2-CC57-4330-9AB7-55C2D277CCA3}</x14:id>
        </ext>
      </extLst>
    </cfRule>
  </conditionalFormatting>
  <conditionalFormatting sqref="Q92">
    <cfRule type="cellIs" dxfId="2303" priority="558" operator="equal">
      <formula>"ja"</formula>
    </cfRule>
  </conditionalFormatting>
  <conditionalFormatting sqref="AA92">
    <cfRule type="expression" dxfId="2302" priority="557">
      <formula>AND(AND($W92&lt;TODAY(),$W92&lt;&gt;""),$X92="")</formula>
    </cfRule>
  </conditionalFormatting>
  <conditionalFormatting sqref="AG92">
    <cfRule type="dataBar" priority="556">
      <dataBar>
        <cfvo type="min"/>
        <cfvo type="max"/>
        <color rgb="FF63C384"/>
      </dataBar>
      <extLst>
        <ext xmlns:x14="http://schemas.microsoft.com/office/spreadsheetml/2009/9/main" uri="{B025F937-C7B1-47D3-B67F-A62EFF666E3E}">
          <x14:id>{DF0D21D3-1D40-4BE7-BD64-99D741B55F99}</x14:id>
        </ext>
      </extLst>
    </cfRule>
  </conditionalFormatting>
  <conditionalFormatting sqref="AG92">
    <cfRule type="dataBar" priority="555">
      <dataBar>
        <cfvo type="min"/>
        <cfvo type="max"/>
        <color rgb="FF63C384"/>
      </dataBar>
      <extLst>
        <ext xmlns:x14="http://schemas.microsoft.com/office/spreadsheetml/2009/9/main" uri="{B025F937-C7B1-47D3-B67F-A62EFF666E3E}">
          <x14:id>{298056CB-09F7-438E-87C9-67F14537182B}</x14:id>
        </ext>
      </extLst>
    </cfRule>
  </conditionalFormatting>
  <conditionalFormatting sqref="Q93">
    <cfRule type="cellIs" dxfId="2301" priority="554" operator="equal">
      <formula>"ja"</formula>
    </cfRule>
  </conditionalFormatting>
  <conditionalFormatting sqref="AA93">
    <cfRule type="expression" dxfId="2300" priority="553">
      <formula>AND(AND($W93&lt;TODAY(),$W93&lt;&gt;""),$X93="")</formula>
    </cfRule>
  </conditionalFormatting>
  <conditionalFormatting sqref="AG93">
    <cfRule type="dataBar" priority="552">
      <dataBar>
        <cfvo type="min"/>
        <cfvo type="max"/>
        <color rgb="FF63C384"/>
      </dataBar>
      <extLst>
        <ext xmlns:x14="http://schemas.microsoft.com/office/spreadsheetml/2009/9/main" uri="{B025F937-C7B1-47D3-B67F-A62EFF666E3E}">
          <x14:id>{771A1AC1-1108-44E2-9A46-91A800745526}</x14:id>
        </ext>
      </extLst>
    </cfRule>
  </conditionalFormatting>
  <conditionalFormatting sqref="AG93">
    <cfRule type="dataBar" priority="551">
      <dataBar>
        <cfvo type="min"/>
        <cfvo type="max"/>
        <color rgb="FF63C384"/>
      </dataBar>
      <extLst>
        <ext xmlns:x14="http://schemas.microsoft.com/office/spreadsheetml/2009/9/main" uri="{B025F937-C7B1-47D3-B67F-A62EFF666E3E}">
          <x14:id>{D9E070E9-923F-49B2-91E9-5C8C93331D32}</x14:id>
        </ext>
      </extLst>
    </cfRule>
  </conditionalFormatting>
  <conditionalFormatting sqref="AA94">
    <cfRule type="expression" dxfId="2299" priority="550">
      <formula>AND(AND($W94&lt;TODAY(),$W94&lt;&gt;""),$X94="")</formula>
    </cfRule>
  </conditionalFormatting>
  <conditionalFormatting sqref="Q94">
    <cfRule type="cellIs" dxfId="2298" priority="549" operator="equal">
      <formula>"ja"</formula>
    </cfRule>
  </conditionalFormatting>
  <conditionalFormatting sqref="AG94">
    <cfRule type="dataBar" priority="548">
      <dataBar>
        <cfvo type="min"/>
        <cfvo type="max"/>
        <color rgb="FF63C384"/>
      </dataBar>
      <extLst>
        <ext xmlns:x14="http://schemas.microsoft.com/office/spreadsheetml/2009/9/main" uri="{B025F937-C7B1-47D3-B67F-A62EFF666E3E}">
          <x14:id>{991EF882-0E54-4198-B47F-16EAE62BEF0A}</x14:id>
        </ext>
      </extLst>
    </cfRule>
  </conditionalFormatting>
  <conditionalFormatting sqref="AG94">
    <cfRule type="dataBar" priority="547">
      <dataBar>
        <cfvo type="min"/>
        <cfvo type="max"/>
        <color rgb="FF63C384"/>
      </dataBar>
      <extLst>
        <ext xmlns:x14="http://schemas.microsoft.com/office/spreadsheetml/2009/9/main" uri="{B025F937-C7B1-47D3-B67F-A62EFF666E3E}">
          <x14:id>{5E44D809-0712-4A6D-A1D0-DB3EDD66F231}</x14:id>
        </ext>
      </extLst>
    </cfRule>
  </conditionalFormatting>
  <conditionalFormatting sqref="AA95">
    <cfRule type="expression" dxfId="2297" priority="546">
      <formula>AND(AND($W95&lt;TODAY(),$W95&lt;&gt;""),$X95="")</formula>
    </cfRule>
  </conditionalFormatting>
  <conditionalFormatting sqref="AG95">
    <cfRule type="dataBar" priority="545">
      <dataBar>
        <cfvo type="min"/>
        <cfvo type="max"/>
        <color rgb="FF63C384"/>
      </dataBar>
      <extLst>
        <ext xmlns:x14="http://schemas.microsoft.com/office/spreadsheetml/2009/9/main" uri="{B025F937-C7B1-47D3-B67F-A62EFF666E3E}">
          <x14:id>{8662C10F-048A-445F-87E2-0A0A82C99ADA}</x14:id>
        </ext>
      </extLst>
    </cfRule>
  </conditionalFormatting>
  <conditionalFormatting sqref="AG95">
    <cfRule type="dataBar" priority="544">
      <dataBar>
        <cfvo type="min"/>
        <cfvo type="max"/>
        <color rgb="FF63C384"/>
      </dataBar>
      <extLst>
        <ext xmlns:x14="http://schemas.microsoft.com/office/spreadsheetml/2009/9/main" uri="{B025F937-C7B1-47D3-B67F-A62EFF666E3E}">
          <x14:id>{8329DA8D-8C31-4AB7-98E7-AC24FF07693D}</x14:id>
        </ext>
      </extLst>
    </cfRule>
  </conditionalFormatting>
  <conditionalFormatting sqref="Q96">
    <cfRule type="cellIs" dxfId="2296" priority="543" operator="equal">
      <formula>"ja"</formula>
    </cfRule>
  </conditionalFormatting>
  <conditionalFormatting sqref="AA96">
    <cfRule type="expression" dxfId="2295" priority="542">
      <formula>AND(AND($W96&lt;TODAY(),$W96&lt;&gt;""),$X96="")</formula>
    </cfRule>
  </conditionalFormatting>
  <conditionalFormatting sqref="AG96">
    <cfRule type="dataBar" priority="541">
      <dataBar>
        <cfvo type="min"/>
        <cfvo type="max"/>
        <color rgb="FF63C384"/>
      </dataBar>
      <extLst>
        <ext xmlns:x14="http://schemas.microsoft.com/office/spreadsheetml/2009/9/main" uri="{B025F937-C7B1-47D3-B67F-A62EFF666E3E}">
          <x14:id>{195EB052-2848-4EDD-842F-00767CB46AA9}</x14:id>
        </ext>
      </extLst>
    </cfRule>
  </conditionalFormatting>
  <conditionalFormatting sqref="AG96">
    <cfRule type="dataBar" priority="540">
      <dataBar>
        <cfvo type="min"/>
        <cfvo type="max"/>
        <color rgb="FF63C384"/>
      </dataBar>
      <extLst>
        <ext xmlns:x14="http://schemas.microsoft.com/office/spreadsheetml/2009/9/main" uri="{B025F937-C7B1-47D3-B67F-A62EFF666E3E}">
          <x14:id>{1B66ED30-CC74-402D-9178-EB3B71CE4F45}</x14:id>
        </ext>
      </extLst>
    </cfRule>
  </conditionalFormatting>
  <conditionalFormatting sqref="Q97">
    <cfRule type="cellIs" dxfId="2294" priority="539" operator="equal">
      <formula>"ja"</formula>
    </cfRule>
  </conditionalFormatting>
  <conditionalFormatting sqref="AA97">
    <cfRule type="expression" dxfId="2293" priority="538">
      <formula>AND(AND($W97&lt;TODAY(),$W97&lt;&gt;""),$X97="")</formula>
    </cfRule>
  </conditionalFormatting>
  <conditionalFormatting sqref="AG97">
    <cfRule type="dataBar" priority="537">
      <dataBar>
        <cfvo type="min"/>
        <cfvo type="max"/>
        <color rgb="FF63C384"/>
      </dataBar>
      <extLst>
        <ext xmlns:x14="http://schemas.microsoft.com/office/spreadsheetml/2009/9/main" uri="{B025F937-C7B1-47D3-B67F-A62EFF666E3E}">
          <x14:id>{F0B24BA2-B384-4866-9BD5-9C18B487F01D}</x14:id>
        </ext>
      </extLst>
    </cfRule>
  </conditionalFormatting>
  <conditionalFormatting sqref="AG97">
    <cfRule type="dataBar" priority="536">
      <dataBar>
        <cfvo type="min"/>
        <cfvo type="max"/>
        <color rgb="FF63C384"/>
      </dataBar>
      <extLst>
        <ext xmlns:x14="http://schemas.microsoft.com/office/spreadsheetml/2009/9/main" uri="{B025F937-C7B1-47D3-B67F-A62EFF666E3E}">
          <x14:id>{5BE87DFB-2E69-4511-8E7E-43AD8F903EDF}</x14:id>
        </ext>
      </extLst>
    </cfRule>
  </conditionalFormatting>
  <conditionalFormatting sqref="AA98">
    <cfRule type="expression" dxfId="2292" priority="535">
      <formula>AND(AND($W98&lt;TODAY(),$W98&lt;&gt;""),$X98="")</formula>
    </cfRule>
  </conditionalFormatting>
  <conditionalFormatting sqref="AG98">
    <cfRule type="dataBar" priority="534">
      <dataBar>
        <cfvo type="min"/>
        <cfvo type="max"/>
        <color rgb="FF63C384"/>
      </dataBar>
      <extLst>
        <ext xmlns:x14="http://schemas.microsoft.com/office/spreadsheetml/2009/9/main" uri="{B025F937-C7B1-47D3-B67F-A62EFF666E3E}">
          <x14:id>{FB8BF17B-52E1-47EF-8F92-A7415F8F8058}</x14:id>
        </ext>
      </extLst>
    </cfRule>
  </conditionalFormatting>
  <conditionalFormatting sqref="AG98">
    <cfRule type="dataBar" priority="533">
      <dataBar>
        <cfvo type="min"/>
        <cfvo type="max"/>
        <color rgb="FF63C384"/>
      </dataBar>
      <extLst>
        <ext xmlns:x14="http://schemas.microsoft.com/office/spreadsheetml/2009/9/main" uri="{B025F937-C7B1-47D3-B67F-A62EFF666E3E}">
          <x14:id>{1A1D8FC3-4DA3-4F94-99F2-A24CA687F39E}</x14:id>
        </ext>
      </extLst>
    </cfRule>
  </conditionalFormatting>
  <conditionalFormatting sqref="Q98">
    <cfRule type="cellIs" dxfId="2291" priority="532" operator="equal">
      <formula>"ja"</formula>
    </cfRule>
  </conditionalFormatting>
  <conditionalFormatting sqref="Q99">
    <cfRule type="cellIs" dxfId="2290" priority="531" operator="equal">
      <formula>"ja"</formula>
    </cfRule>
  </conditionalFormatting>
  <conditionalFormatting sqref="AA99">
    <cfRule type="expression" dxfId="2289" priority="530">
      <formula>AND(AND($W99&lt;TODAY(),$W99&lt;&gt;""),$X99="")</formula>
    </cfRule>
  </conditionalFormatting>
  <conditionalFormatting sqref="AG99">
    <cfRule type="dataBar" priority="529">
      <dataBar>
        <cfvo type="min"/>
        <cfvo type="max"/>
        <color rgb="FF63C384"/>
      </dataBar>
      <extLst>
        <ext xmlns:x14="http://schemas.microsoft.com/office/spreadsheetml/2009/9/main" uri="{B025F937-C7B1-47D3-B67F-A62EFF666E3E}">
          <x14:id>{25E6CC77-DF8F-446C-89C2-7EFC0BB44C13}</x14:id>
        </ext>
      </extLst>
    </cfRule>
  </conditionalFormatting>
  <conditionalFormatting sqref="AG99">
    <cfRule type="dataBar" priority="528">
      <dataBar>
        <cfvo type="min"/>
        <cfvo type="max"/>
        <color rgb="FF63C384"/>
      </dataBar>
      <extLst>
        <ext xmlns:x14="http://schemas.microsoft.com/office/spreadsheetml/2009/9/main" uri="{B025F937-C7B1-47D3-B67F-A62EFF666E3E}">
          <x14:id>{645C188C-0995-4337-AD71-C0071425EA84}</x14:id>
        </ext>
      </extLst>
    </cfRule>
  </conditionalFormatting>
  <conditionalFormatting sqref="Q100">
    <cfRule type="cellIs" dxfId="2288" priority="527" operator="equal">
      <formula>"ja"</formula>
    </cfRule>
  </conditionalFormatting>
  <conditionalFormatting sqref="AA100">
    <cfRule type="expression" dxfId="2287" priority="526">
      <formula>AND(AND($W100&lt;TODAY(),$W100&lt;&gt;""),$X100="")</formula>
    </cfRule>
  </conditionalFormatting>
  <conditionalFormatting sqref="AG100">
    <cfRule type="dataBar" priority="525">
      <dataBar>
        <cfvo type="min"/>
        <cfvo type="max"/>
        <color rgb="FF63C384"/>
      </dataBar>
      <extLst>
        <ext xmlns:x14="http://schemas.microsoft.com/office/spreadsheetml/2009/9/main" uri="{B025F937-C7B1-47D3-B67F-A62EFF666E3E}">
          <x14:id>{1B8D95FD-3A7D-4D38-99DE-D682E535ED13}</x14:id>
        </ext>
      </extLst>
    </cfRule>
  </conditionalFormatting>
  <conditionalFormatting sqref="AG100">
    <cfRule type="dataBar" priority="524">
      <dataBar>
        <cfvo type="min"/>
        <cfvo type="max"/>
        <color rgb="FF63C384"/>
      </dataBar>
      <extLst>
        <ext xmlns:x14="http://schemas.microsoft.com/office/spreadsheetml/2009/9/main" uri="{B025F937-C7B1-47D3-B67F-A62EFF666E3E}">
          <x14:id>{FA0DEC98-9C2C-4823-8F9E-12EA257DA98E}</x14:id>
        </ext>
      </extLst>
    </cfRule>
  </conditionalFormatting>
  <conditionalFormatting sqref="Q101">
    <cfRule type="cellIs" dxfId="2286" priority="523" operator="equal">
      <formula>"ja"</formula>
    </cfRule>
  </conditionalFormatting>
  <conditionalFormatting sqref="AA101">
    <cfRule type="expression" dxfId="2285" priority="522">
      <formula>AND(AND($W101&lt;TODAY(),$W101&lt;&gt;""),$X101="")</formula>
    </cfRule>
  </conditionalFormatting>
  <conditionalFormatting sqref="AG101">
    <cfRule type="dataBar" priority="521">
      <dataBar>
        <cfvo type="min"/>
        <cfvo type="max"/>
        <color rgb="FF63C384"/>
      </dataBar>
      <extLst>
        <ext xmlns:x14="http://schemas.microsoft.com/office/spreadsheetml/2009/9/main" uri="{B025F937-C7B1-47D3-B67F-A62EFF666E3E}">
          <x14:id>{C6DBA153-B911-471C-8410-4FEB9816A468}</x14:id>
        </ext>
      </extLst>
    </cfRule>
  </conditionalFormatting>
  <conditionalFormatting sqref="AG101">
    <cfRule type="dataBar" priority="520">
      <dataBar>
        <cfvo type="min"/>
        <cfvo type="max"/>
        <color rgb="FF63C384"/>
      </dataBar>
      <extLst>
        <ext xmlns:x14="http://schemas.microsoft.com/office/spreadsheetml/2009/9/main" uri="{B025F937-C7B1-47D3-B67F-A62EFF666E3E}">
          <x14:id>{A1D1AD68-81D3-4AF7-ADEB-B1D7EF5BA3DA}</x14:id>
        </ext>
      </extLst>
    </cfRule>
  </conditionalFormatting>
  <conditionalFormatting sqref="Q102">
    <cfRule type="cellIs" dxfId="2284" priority="519" operator="equal">
      <formula>"ja"</formula>
    </cfRule>
  </conditionalFormatting>
  <conditionalFormatting sqref="AA102">
    <cfRule type="expression" dxfId="2283" priority="518">
      <formula>AND(AND($W102&lt;TODAY(),$W102&lt;&gt;""),$X102="")</formula>
    </cfRule>
  </conditionalFormatting>
  <conditionalFormatting sqref="AG102">
    <cfRule type="dataBar" priority="517">
      <dataBar>
        <cfvo type="min"/>
        <cfvo type="max"/>
        <color rgb="FF63C384"/>
      </dataBar>
      <extLst>
        <ext xmlns:x14="http://schemas.microsoft.com/office/spreadsheetml/2009/9/main" uri="{B025F937-C7B1-47D3-B67F-A62EFF666E3E}">
          <x14:id>{3B25FFB7-4DE3-41CD-A6F8-CA0F4A60FF3B}</x14:id>
        </ext>
      </extLst>
    </cfRule>
  </conditionalFormatting>
  <conditionalFormatting sqref="AG102">
    <cfRule type="dataBar" priority="516">
      <dataBar>
        <cfvo type="min"/>
        <cfvo type="max"/>
        <color rgb="FF63C384"/>
      </dataBar>
      <extLst>
        <ext xmlns:x14="http://schemas.microsoft.com/office/spreadsheetml/2009/9/main" uri="{B025F937-C7B1-47D3-B67F-A62EFF666E3E}">
          <x14:id>{53E92983-3CB3-471C-AFF3-E1E3D820DDF7}</x14:id>
        </ext>
      </extLst>
    </cfRule>
  </conditionalFormatting>
  <conditionalFormatting sqref="AA103">
    <cfRule type="expression" dxfId="2282" priority="515">
      <formula>AND(AND($W103&lt;TODAY(),$W103&lt;&gt;""),$X103="")</formula>
    </cfRule>
  </conditionalFormatting>
  <conditionalFormatting sqref="AG103">
    <cfRule type="dataBar" priority="514">
      <dataBar>
        <cfvo type="min"/>
        <cfvo type="max"/>
        <color rgb="FF63C384"/>
      </dataBar>
      <extLst>
        <ext xmlns:x14="http://schemas.microsoft.com/office/spreadsheetml/2009/9/main" uri="{B025F937-C7B1-47D3-B67F-A62EFF666E3E}">
          <x14:id>{8A5231F1-867C-45BD-A53E-61263E954964}</x14:id>
        </ext>
      </extLst>
    </cfRule>
  </conditionalFormatting>
  <conditionalFormatting sqref="AG103">
    <cfRule type="dataBar" priority="513">
      <dataBar>
        <cfvo type="min"/>
        <cfvo type="max"/>
        <color rgb="FF63C384"/>
      </dataBar>
      <extLst>
        <ext xmlns:x14="http://schemas.microsoft.com/office/spreadsheetml/2009/9/main" uri="{B025F937-C7B1-47D3-B67F-A62EFF666E3E}">
          <x14:id>{2D58C48B-FAFA-4FEA-ABF3-29D2CD29906B}</x14:id>
        </ext>
      </extLst>
    </cfRule>
  </conditionalFormatting>
  <conditionalFormatting sqref="AA104">
    <cfRule type="expression" dxfId="2281" priority="512">
      <formula>AND(AND($W104&lt;TODAY(),$W104&lt;&gt;""),$X104="")</formula>
    </cfRule>
  </conditionalFormatting>
  <conditionalFormatting sqref="Q104">
    <cfRule type="cellIs" dxfId="2280" priority="511" operator="equal">
      <formula>"ja"</formula>
    </cfRule>
  </conditionalFormatting>
  <conditionalFormatting sqref="AG104">
    <cfRule type="dataBar" priority="510">
      <dataBar>
        <cfvo type="min"/>
        <cfvo type="max"/>
        <color rgb="FF63C384"/>
      </dataBar>
      <extLst>
        <ext xmlns:x14="http://schemas.microsoft.com/office/spreadsheetml/2009/9/main" uri="{B025F937-C7B1-47D3-B67F-A62EFF666E3E}">
          <x14:id>{2F08C12B-7BFD-489E-85D8-95D10D8C77E0}</x14:id>
        </ext>
      </extLst>
    </cfRule>
  </conditionalFormatting>
  <conditionalFormatting sqref="AG104">
    <cfRule type="dataBar" priority="509">
      <dataBar>
        <cfvo type="min"/>
        <cfvo type="max"/>
        <color rgb="FF63C384"/>
      </dataBar>
      <extLst>
        <ext xmlns:x14="http://schemas.microsoft.com/office/spreadsheetml/2009/9/main" uri="{B025F937-C7B1-47D3-B67F-A62EFF666E3E}">
          <x14:id>{7CDD95EF-8F08-4842-83FB-7B847AB46090}</x14:id>
        </ext>
      </extLst>
    </cfRule>
  </conditionalFormatting>
  <conditionalFormatting sqref="Q105">
    <cfRule type="cellIs" dxfId="2279" priority="508" operator="equal">
      <formula>"ja"</formula>
    </cfRule>
  </conditionalFormatting>
  <conditionalFormatting sqref="AA105">
    <cfRule type="expression" dxfId="2278" priority="507">
      <formula>AND(AND($W105&lt;TODAY(),$W105&lt;&gt;""),$X105="")</formula>
    </cfRule>
  </conditionalFormatting>
  <conditionalFormatting sqref="AG105">
    <cfRule type="dataBar" priority="506">
      <dataBar>
        <cfvo type="min"/>
        <cfvo type="max"/>
        <color rgb="FF63C384"/>
      </dataBar>
      <extLst>
        <ext xmlns:x14="http://schemas.microsoft.com/office/spreadsheetml/2009/9/main" uri="{B025F937-C7B1-47D3-B67F-A62EFF666E3E}">
          <x14:id>{1CB1BBDE-1F6F-4832-8D4D-9318FF677868}</x14:id>
        </ext>
      </extLst>
    </cfRule>
  </conditionalFormatting>
  <conditionalFormatting sqref="AG105">
    <cfRule type="dataBar" priority="505">
      <dataBar>
        <cfvo type="min"/>
        <cfvo type="max"/>
        <color rgb="FF63C384"/>
      </dataBar>
      <extLst>
        <ext xmlns:x14="http://schemas.microsoft.com/office/spreadsheetml/2009/9/main" uri="{B025F937-C7B1-47D3-B67F-A62EFF666E3E}">
          <x14:id>{12F714FB-0E7B-4C17-852B-24DAE0C59046}</x14:id>
        </ext>
      </extLst>
    </cfRule>
  </conditionalFormatting>
  <conditionalFormatting sqref="Q106">
    <cfRule type="cellIs" dxfId="2277" priority="504" operator="equal">
      <formula>"ja"</formula>
    </cfRule>
  </conditionalFormatting>
  <conditionalFormatting sqref="AA106">
    <cfRule type="expression" dxfId="2276" priority="503">
      <formula>AND(AND($W106&lt;TODAY(),$W106&lt;&gt;""),$X106="")</formula>
    </cfRule>
  </conditionalFormatting>
  <conditionalFormatting sqref="AG106">
    <cfRule type="dataBar" priority="502">
      <dataBar>
        <cfvo type="min"/>
        <cfvo type="max"/>
        <color rgb="FF63C384"/>
      </dataBar>
      <extLst>
        <ext xmlns:x14="http://schemas.microsoft.com/office/spreadsheetml/2009/9/main" uri="{B025F937-C7B1-47D3-B67F-A62EFF666E3E}">
          <x14:id>{8446474B-AC02-4BF0-9160-D57E75E4A4EE}</x14:id>
        </ext>
      </extLst>
    </cfRule>
  </conditionalFormatting>
  <conditionalFormatting sqref="AG106">
    <cfRule type="dataBar" priority="501">
      <dataBar>
        <cfvo type="min"/>
        <cfvo type="max"/>
        <color rgb="FF63C384"/>
      </dataBar>
      <extLst>
        <ext xmlns:x14="http://schemas.microsoft.com/office/spreadsheetml/2009/9/main" uri="{B025F937-C7B1-47D3-B67F-A62EFF666E3E}">
          <x14:id>{C9267750-D9B5-45CF-B15F-F601EFDC0DAC}</x14:id>
        </ext>
      </extLst>
    </cfRule>
  </conditionalFormatting>
  <conditionalFormatting sqref="Q107">
    <cfRule type="cellIs" dxfId="2275" priority="500" operator="equal">
      <formula>"ja"</formula>
    </cfRule>
  </conditionalFormatting>
  <conditionalFormatting sqref="AA107">
    <cfRule type="expression" dxfId="2274" priority="499">
      <formula>AND(AND($W107&lt;TODAY(),$W107&lt;&gt;""),$X107="")</formula>
    </cfRule>
  </conditionalFormatting>
  <conditionalFormatting sqref="AG107">
    <cfRule type="dataBar" priority="498">
      <dataBar>
        <cfvo type="min"/>
        <cfvo type="max"/>
        <color rgb="FF63C384"/>
      </dataBar>
      <extLst>
        <ext xmlns:x14="http://schemas.microsoft.com/office/spreadsheetml/2009/9/main" uri="{B025F937-C7B1-47D3-B67F-A62EFF666E3E}">
          <x14:id>{F2F94E12-514D-4E0C-A53F-36422EC83079}</x14:id>
        </ext>
      </extLst>
    </cfRule>
  </conditionalFormatting>
  <conditionalFormatting sqref="AG107">
    <cfRule type="dataBar" priority="497">
      <dataBar>
        <cfvo type="min"/>
        <cfvo type="max"/>
        <color rgb="FF63C384"/>
      </dataBar>
      <extLst>
        <ext xmlns:x14="http://schemas.microsoft.com/office/spreadsheetml/2009/9/main" uri="{B025F937-C7B1-47D3-B67F-A62EFF666E3E}">
          <x14:id>{E8ABC355-3E1C-470F-BFCA-8238F2A1C045}</x14:id>
        </ext>
      </extLst>
    </cfRule>
  </conditionalFormatting>
  <conditionalFormatting sqref="Q108">
    <cfRule type="cellIs" dxfId="2273" priority="496" operator="equal">
      <formula>"ja"</formula>
    </cfRule>
  </conditionalFormatting>
  <conditionalFormatting sqref="AA108">
    <cfRule type="expression" dxfId="2272" priority="495">
      <formula>AND(AND($W108&lt;TODAY(),$W108&lt;&gt;""),$X108="")</formula>
    </cfRule>
  </conditionalFormatting>
  <conditionalFormatting sqref="AG108">
    <cfRule type="dataBar" priority="494">
      <dataBar>
        <cfvo type="min"/>
        <cfvo type="max"/>
        <color rgb="FF63C384"/>
      </dataBar>
      <extLst>
        <ext xmlns:x14="http://schemas.microsoft.com/office/spreadsheetml/2009/9/main" uri="{B025F937-C7B1-47D3-B67F-A62EFF666E3E}">
          <x14:id>{548ECDFE-7E0B-4CCE-9D41-4916111F4CBC}</x14:id>
        </ext>
      </extLst>
    </cfRule>
  </conditionalFormatting>
  <conditionalFormatting sqref="AG108">
    <cfRule type="dataBar" priority="493">
      <dataBar>
        <cfvo type="min"/>
        <cfvo type="max"/>
        <color rgb="FF63C384"/>
      </dataBar>
      <extLst>
        <ext xmlns:x14="http://schemas.microsoft.com/office/spreadsheetml/2009/9/main" uri="{B025F937-C7B1-47D3-B67F-A62EFF666E3E}">
          <x14:id>{0CE5A07A-8DA0-4B71-BC32-2E340847E223}</x14:id>
        </ext>
      </extLst>
    </cfRule>
  </conditionalFormatting>
  <conditionalFormatting sqref="Q109">
    <cfRule type="cellIs" dxfId="2271" priority="492" operator="equal">
      <formula>"ja"</formula>
    </cfRule>
  </conditionalFormatting>
  <conditionalFormatting sqref="AA109">
    <cfRule type="expression" dxfId="2270" priority="491">
      <formula>AND(AND($W109&lt;TODAY(),$W109&lt;&gt;""),$X109="")</formula>
    </cfRule>
  </conditionalFormatting>
  <conditionalFormatting sqref="AG109">
    <cfRule type="dataBar" priority="490">
      <dataBar>
        <cfvo type="min"/>
        <cfvo type="max"/>
        <color rgb="FF63C384"/>
      </dataBar>
      <extLst>
        <ext xmlns:x14="http://schemas.microsoft.com/office/spreadsheetml/2009/9/main" uri="{B025F937-C7B1-47D3-B67F-A62EFF666E3E}">
          <x14:id>{499281DB-8693-4ACF-B191-CD5C5CABAA30}</x14:id>
        </ext>
      </extLst>
    </cfRule>
  </conditionalFormatting>
  <conditionalFormatting sqref="AG109">
    <cfRule type="dataBar" priority="489">
      <dataBar>
        <cfvo type="min"/>
        <cfvo type="max"/>
        <color rgb="FF63C384"/>
      </dataBar>
      <extLst>
        <ext xmlns:x14="http://schemas.microsoft.com/office/spreadsheetml/2009/9/main" uri="{B025F937-C7B1-47D3-B67F-A62EFF666E3E}">
          <x14:id>{4929E15F-DDBC-42D0-8A85-61DA0203AB45}</x14:id>
        </ext>
      </extLst>
    </cfRule>
  </conditionalFormatting>
  <conditionalFormatting sqref="AA110">
    <cfRule type="expression" dxfId="2269" priority="488">
      <formula>AND(AND($W110&lt;TODAY(),$W110&lt;&gt;""),$X110="")</formula>
    </cfRule>
  </conditionalFormatting>
  <conditionalFormatting sqref="Q110">
    <cfRule type="cellIs" dxfId="2268" priority="487" operator="equal">
      <formula>"ja"</formula>
    </cfRule>
  </conditionalFormatting>
  <conditionalFormatting sqref="AG110">
    <cfRule type="dataBar" priority="486">
      <dataBar>
        <cfvo type="min"/>
        <cfvo type="max"/>
        <color rgb="FF63C384"/>
      </dataBar>
      <extLst>
        <ext xmlns:x14="http://schemas.microsoft.com/office/spreadsheetml/2009/9/main" uri="{B025F937-C7B1-47D3-B67F-A62EFF666E3E}">
          <x14:id>{FBD9F564-3EA3-4721-814E-B399FE60B226}</x14:id>
        </ext>
      </extLst>
    </cfRule>
  </conditionalFormatting>
  <conditionalFormatting sqref="AG110">
    <cfRule type="dataBar" priority="485">
      <dataBar>
        <cfvo type="min"/>
        <cfvo type="max"/>
        <color rgb="FF63C384"/>
      </dataBar>
      <extLst>
        <ext xmlns:x14="http://schemas.microsoft.com/office/spreadsheetml/2009/9/main" uri="{B025F937-C7B1-47D3-B67F-A62EFF666E3E}">
          <x14:id>{C88A4120-82D9-4C3D-99B5-4EFDB5D26844}</x14:id>
        </ext>
      </extLst>
    </cfRule>
  </conditionalFormatting>
  <conditionalFormatting sqref="AA111">
    <cfRule type="expression" dxfId="2267" priority="484">
      <formula>AND(AND($W111&lt;TODAY(),$W111&lt;&gt;""),$X111="")</formula>
    </cfRule>
  </conditionalFormatting>
  <conditionalFormatting sqref="Q111">
    <cfRule type="cellIs" dxfId="2266" priority="483" operator="equal">
      <formula>"ja"</formula>
    </cfRule>
  </conditionalFormatting>
  <conditionalFormatting sqref="AG111">
    <cfRule type="dataBar" priority="482">
      <dataBar>
        <cfvo type="min"/>
        <cfvo type="max"/>
        <color rgb="FF63C384"/>
      </dataBar>
      <extLst>
        <ext xmlns:x14="http://schemas.microsoft.com/office/spreadsheetml/2009/9/main" uri="{B025F937-C7B1-47D3-B67F-A62EFF666E3E}">
          <x14:id>{C9E883CB-F693-4F70-B879-60780FB1D890}</x14:id>
        </ext>
      </extLst>
    </cfRule>
  </conditionalFormatting>
  <conditionalFormatting sqref="AG111">
    <cfRule type="dataBar" priority="481">
      <dataBar>
        <cfvo type="min"/>
        <cfvo type="max"/>
        <color rgb="FF63C384"/>
      </dataBar>
      <extLst>
        <ext xmlns:x14="http://schemas.microsoft.com/office/spreadsheetml/2009/9/main" uri="{B025F937-C7B1-47D3-B67F-A62EFF666E3E}">
          <x14:id>{1F1B3D8E-3A92-42F0-89B2-153074A8F4D6}</x14:id>
        </ext>
      </extLst>
    </cfRule>
  </conditionalFormatting>
  <conditionalFormatting sqref="Q112">
    <cfRule type="cellIs" dxfId="2265" priority="480" operator="equal">
      <formula>"ja"</formula>
    </cfRule>
  </conditionalFormatting>
  <conditionalFormatting sqref="AA112">
    <cfRule type="expression" dxfId="2264" priority="479">
      <formula>AND(AND($W112&lt;TODAY(),$W112&lt;&gt;""),$X112="")</formula>
    </cfRule>
  </conditionalFormatting>
  <conditionalFormatting sqref="AG112">
    <cfRule type="dataBar" priority="478">
      <dataBar>
        <cfvo type="min"/>
        <cfvo type="max"/>
        <color rgb="FF63C384"/>
      </dataBar>
      <extLst>
        <ext xmlns:x14="http://schemas.microsoft.com/office/spreadsheetml/2009/9/main" uri="{B025F937-C7B1-47D3-B67F-A62EFF666E3E}">
          <x14:id>{82BC0436-079B-4B84-8D14-B06994F91058}</x14:id>
        </ext>
      </extLst>
    </cfRule>
  </conditionalFormatting>
  <conditionalFormatting sqref="AG112">
    <cfRule type="dataBar" priority="477">
      <dataBar>
        <cfvo type="min"/>
        <cfvo type="max"/>
        <color rgb="FF63C384"/>
      </dataBar>
      <extLst>
        <ext xmlns:x14="http://schemas.microsoft.com/office/spreadsheetml/2009/9/main" uri="{B025F937-C7B1-47D3-B67F-A62EFF666E3E}">
          <x14:id>{3DA8A47D-A453-484A-9C03-B80F8A33A09D}</x14:id>
        </ext>
      </extLst>
    </cfRule>
  </conditionalFormatting>
  <conditionalFormatting sqref="Q113">
    <cfRule type="cellIs" dxfId="2263" priority="476" operator="equal">
      <formula>"ja"</formula>
    </cfRule>
  </conditionalFormatting>
  <conditionalFormatting sqref="AA113">
    <cfRule type="expression" dxfId="2262" priority="475">
      <formula>AND(AND($W113&lt;TODAY(),$W113&lt;&gt;""),$X113="")</formula>
    </cfRule>
  </conditionalFormatting>
  <conditionalFormatting sqref="AG113">
    <cfRule type="dataBar" priority="474">
      <dataBar>
        <cfvo type="min"/>
        <cfvo type="max"/>
        <color rgb="FF63C384"/>
      </dataBar>
      <extLst>
        <ext xmlns:x14="http://schemas.microsoft.com/office/spreadsheetml/2009/9/main" uri="{B025F937-C7B1-47D3-B67F-A62EFF666E3E}">
          <x14:id>{CF4AB431-8D98-4954-A349-349056FA0758}</x14:id>
        </ext>
      </extLst>
    </cfRule>
  </conditionalFormatting>
  <conditionalFormatting sqref="AG113">
    <cfRule type="dataBar" priority="473">
      <dataBar>
        <cfvo type="min"/>
        <cfvo type="max"/>
        <color rgb="FF63C384"/>
      </dataBar>
      <extLst>
        <ext xmlns:x14="http://schemas.microsoft.com/office/spreadsheetml/2009/9/main" uri="{B025F937-C7B1-47D3-B67F-A62EFF666E3E}">
          <x14:id>{73D63559-F820-40ED-8980-A143AB22152C}</x14:id>
        </ext>
      </extLst>
    </cfRule>
  </conditionalFormatting>
  <conditionalFormatting sqref="Q114">
    <cfRule type="cellIs" dxfId="2261" priority="472" operator="equal">
      <formula>"ja"</formula>
    </cfRule>
  </conditionalFormatting>
  <conditionalFormatting sqref="AA114">
    <cfRule type="expression" dxfId="2260" priority="471">
      <formula>AND(AND($W114&lt;TODAY(),$W114&lt;&gt;""),$X114="")</formula>
    </cfRule>
  </conditionalFormatting>
  <conditionalFormatting sqref="AG114">
    <cfRule type="dataBar" priority="470">
      <dataBar>
        <cfvo type="min"/>
        <cfvo type="max"/>
        <color rgb="FF63C384"/>
      </dataBar>
      <extLst>
        <ext xmlns:x14="http://schemas.microsoft.com/office/spreadsheetml/2009/9/main" uri="{B025F937-C7B1-47D3-B67F-A62EFF666E3E}">
          <x14:id>{593FA3F9-4B53-43FA-8A06-273D8EC43C55}</x14:id>
        </ext>
      </extLst>
    </cfRule>
  </conditionalFormatting>
  <conditionalFormatting sqref="AG114">
    <cfRule type="dataBar" priority="469">
      <dataBar>
        <cfvo type="min"/>
        <cfvo type="max"/>
        <color rgb="FF63C384"/>
      </dataBar>
      <extLst>
        <ext xmlns:x14="http://schemas.microsoft.com/office/spreadsheetml/2009/9/main" uri="{B025F937-C7B1-47D3-B67F-A62EFF666E3E}">
          <x14:id>{0F6CDCBD-0A44-4DE1-8095-2FD3D1D41361}</x14:id>
        </ext>
      </extLst>
    </cfRule>
  </conditionalFormatting>
  <conditionalFormatting sqref="Q115">
    <cfRule type="cellIs" dxfId="2259" priority="468" operator="equal">
      <formula>"ja"</formula>
    </cfRule>
  </conditionalFormatting>
  <conditionalFormatting sqref="AA115">
    <cfRule type="expression" dxfId="2258" priority="467">
      <formula>AND(AND($W115&lt;TODAY(),$W115&lt;&gt;""),$X115="")</formula>
    </cfRule>
  </conditionalFormatting>
  <conditionalFormatting sqref="AG115">
    <cfRule type="dataBar" priority="466">
      <dataBar>
        <cfvo type="min"/>
        <cfvo type="max"/>
        <color rgb="FF63C384"/>
      </dataBar>
      <extLst>
        <ext xmlns:x14="http://schemas.microsoft.com/office/spreadsheetml/2009/9/main" uri="{B025F937-C7B1-47D3-B67F-A62EFF666E3E}">
          <x14:id>{CF48D17D-312C-4F28-A69D-FB1772B50C1B}</x14:id>
        </ext>
      </extLst>
    </cfRule>
  </conditionalFormatting>
  <conditionalFormatting sqref="AG115">
    <cfRule type="dataBar" priority="465">
      <dataBar>
        <cfvo type="min"/>
        <cfvo type="max"/>
        <color rgb="FF63C384"/>
      </dataBar>
      <extLst>
        <ext xmlns:x14="http://schemas.microsoft.com/office/spreadsheetml/2009/9/main" uri="{B025F937-C7B1-47D3-B67F-A62EFF666E3E}">
          <x14:id>{2D775385-86F0-4534-872E-FAD43619B7C5}</x14:id>
        </ext>
      </extLst>
    </cfRule>
  </conditionalFormatting>
  <conditionalFormatting sqref="Q116">
    <cfRule type="cellIs" dxfId="2257" priority="464" operator="equal">
      <formula>"ja"</formula>
    </cfRule>
  </conditionalFormatting>
  <conditionalFormatting sqref="AA116">
    <cfRule type="expression" dxfId="2256" priority="463">
      <formula>AND(AND($W116&lt;TODAY(),$W116&lt;&gt;""),$X116="")</formula>
    </cfRule>
  </conditionalFormatting>
  <conditionalFormatting sqref="AG116">
    <cfRule type="dataBar" priority="462">
      <dataBar>
        <cfvo type="min"/>
        <cfvo type="max"/>
        <color rgb="FF63C384"/>
      </dataBar>
      <extLst>
        <ext xmlns:x14="http://schemas.microsoft.com/office/spreadsheetml/2009/9/main" uri="{B025F937-C7B1-47D3-B67F-A62EFF666E3E}">
          <x14:id>{E336213C-CD8D-48A2-B820-E1A6F970A911}</x14:id>
        </ext>
      </extLst>
    </cfRule>
  </conditionalFormatting>
  <conditionalFormatting sqref="AG116">
    <cfRule type="dataBar" priority="461">
      <dataBar>
        <cfvo type="min"/>
        <cfvo type="max"/>
        <color rgb="FF63C384"/>
      </dataBar>
      <extLst>
        <ext xmlns:x14="http://schemas.microsoft.com/office/spreadsheetml/2009/9/main" uri="{B025F937-C7B1-47D3-B67F-A62EFF666E3E}">
          <x14:id>{63EB7DDE-E2F3-40D0-A92D-371E1489561E}</x14:id>
        </ext>
      </extLst>
    </cfRule>
  </conditionalFormatting>
  <conditionalFormatting sqref="AA117">
    <cfRule type="expression" dxfId="2255" priority="460">
      <formula>AND(AND($W117&lt;TODAY(),$W117&lt;&gt;""),$X117="")</formula>
    </cfRule>
  </conditionalFormatting>
  <conditionalFormatting sqref="Q117">
    <cfRule type="cellIs" dxfId="2254" priority="459" operator="equal">
      <formula>"ja"</formula>
    </cfRule>
  </conditionalFormatting>
  <conditionalFormatting sqref="AG117">
    <cfRule type="dataBar" priority="458">
      <dataBar>
        <cfvo type="min"/>
        <cfvo type="max"/>
        <color rgb="FF63C384"/>
      </dataBar>
      <extLst>
        <ext xmlns:x14="http://schemas.microsoft.com/office/spreadsheetml/2009/9/main" uri="{B025F937-C7B1-47D3-B67F-A62EFF666E3E}">
          <x14:id>{618F291E-77DE-45B2-96C3-64BFC5F31810}</x14:id>
        </ext>
      </extLst>
    </cfRule>
  </conditionalFormatting>
  <conditionalFormatting sqref="AG117">
    <cfRule type="dataBar" priority="457">
      <dataBar>
        <cfvo type="min"/>
        <cfvo type="max"/>
        <color rgb="FF63C384"/>
      </dataBar>
      <extLst>
        <ext xmlns:x14="http://schemas.microsoft.com/office/spreadsheetml/2009/9/main" uri="{B025F937-C7B1-47D3-B67F-A62EFF666E3E}">
          <x14:id>{91757B14-5EC2-4EB3-9CEF-D5B18D381BD8}</x14:id>
        </ext>
      </extLst>
    </cfRule>
  </conditionalFormatting>
  <conditionalFormatting sqref="AA118">
    <cfRule type="expression" dxfId="2253" priority="456">
      <formula>AND(AND($W118&lt;TODAY(),$W118&lt;&gt;""),$X118="")</formula>
    </cfRule>
  </conditionalFormatting>
  <conditionalFormatting sqref="Q118">
    <cfRule type="cellIs" dxfId="2252" priority="455" operator="equal">
      <formula>"ja"</formula>
    </cfRule>
  </conditionalFormatting>
  <conditionalFormatting sqref="AG118">
    <cfRule type="dataBar" priority="454">
      <dataBar>
        <cfvo type="min"/>
        <cfvo type="max"/>
        <color rgb="FF63C384"/>
      </dataBar>
      <extLst>
        <ext xmlns:x14="http://schemas.microsoft.com/office/spreadsheetml/2009/9/main" uri="{B025F937-C7B1-47D3-B67F-A62EFF666E3E}">
          <x14:id>{0E1E6B08-866B-4DE8-AC7F-9BC7D2B85D9C}</x14:id>
        </ext>
      </extLst>
    </cfRule>
  </conditionalFormatting>
  <conditionalFormatting sqref="Q119">
    <cfRule type="cellIs" dxfId="2251" priority="453" operator="equal">
      <formula>"ja"</formula>
    </cfRule>
  </conditionalFormatting>
  <conditionalFormatting sqref="AA119">
    <cfRule type="expression" dxfId="2250" priority="452">
      <formula>AND(AND($W119&lt;TODAY(),$W119&lt;&gt;""),$X119="")</formula>
    </cfRule>
  </conditionalFormatting>
  <conditionalFormatting sqref="AG119">
    <cfRule type="dataBar" priority="451">
      <dataBar>
        <cfvo type="min"/>
        <cfvo type="max"/>
        <color rgb="FF63C384"/>
      </dataBar>
      <extLst>
        <ext xmlns:x14="http://schemas.microsoft.com/office/spreadsheetml/2009/9/main" uri="{B025F937-C7B1-47D3-B67F-A62EFF666E3E}">
          <x14:id>{49859003-38E1-40B1-AF99-9FE484FD03B9}</x14:id>
        </ext>
      </extLst>
    </cfRule>
  </conditionalFormatting>
  <conditionalFormatting sqref="AG119">
    <cfRule type="dataBar" priority="450">
      <dataBar>
        <cfvo type="min"/>
        <cfvo type="max"/>
        <color rgb="FF63C384"/>
      </dataBar>
      <extLst>
        <ext xmlns:x14="http://schemas.microsoft.com/office/spreadsheetml/2009/9/main" uri="{B025F937-C7B1-47D3-B67F-A62EFF666E3E}">
          <x14:id>{10F12765-B2B7-4647-A192-3264F14644F4}</x14:id>
        </ext>
      </extLst>
    </cfRule>
  </conditionalFormatting>
  <conditionalFormatting sqref="AA120">
    <cfRule type="expression" dxfId="2249" priority="449">
      <formula>AND(AND($W120&lt;TODAY(),$W120&lt;&gt;""),$X120="")</formula>
    </cfRule>
  </conditionalFormatting>
  <conditionalFormatting sqref="AG120">
    <cfRule type="dataBar" priority="448">
      <dataBar>
        <cfvo type="min"/>
        <cfvo type="max"/>
        <color rgb="FF63C384"/>
      </dataBar>
      <extLst>
        <ext xmlns:x14="http://schemas.microsoft.com/office/spreadsheetml/2009/9/main" uri="{B025F937-C7B1-47D3-B67F-A62EFF666E3E}">
          <x14:id>{6ADBA278-EF55-4352-8A5D-56E5F8614157}</x14:id>
        </ext>
      </extLst>
    </cfRule>
  </conditionalFormatting>
  <conditionalFormatting sqref="AG120">
    <cfRule type="dataBar" priority="447">
      <dataBar>
        <cfvo type="min"/>
        <cfvo type="max"/>
        <color rgb="FF63C384"/>
      </dataBar>
      <extLst>
        <ext xmlns:x14="http://schemas.microsoft.com/office/spreadsheetml/2009/9/main" uri="{B025F937-C7B1-47D3-B67F-A62EFF666E3E}">
          <x14:id>{3765C35E-2E5C-4F4E-9BC6-D660B6F86524}</x14:id>
        </ext>
      </extLst>
    </cfRule>
  </conditionalFormatting>
  <conditionalFormatting sqref="Q121">
    <cfRule type="cellIs" dxfId="2248" priority="446" operator="equal">
      <formula>"ja"</formula>
    </cfRule>
  </conditionalFormatting>
  <conditionalFormatting sqref="AA121">
    <cfRule type="expression" dxfId="2247" priority="445">
      <formula>AND(AND($W121&lt;TODAY(),$W121&lt;&gt;""),$X121="")</formula>
    </cfRule>
  </conditionalFormatting>
  <conditionalFormatting sqref="AG121">
    <cfRule type="dataBar" priority="444">
      <dataBar>
        <cfvo type="min"/>
        <cfvo type="max"/>
        <color rgb="FF63C384"/>
      </dataBar>
      <extLst>
        <ext xmlns:x14="http://schemas.microsoft.com/office/spreadsheetml/2009/9/main" uri="{B025F937-C7B1-47D3-B67F-A62EFF666E3E}">
          <x14:id>{BBF778C6-A219-4ADE-97CE-43521E8EE23E}</x14:id>
        </ext>
      </extLst>
    </cfRule>
  </conditionalFormatting>
  <conditionalFormatting sqref="AG121">
    <cfRule type="dataBar" priority="443">
      <dataBar>
        <cfvo type="min"/>
        <cfvo type="max"/>
        <color rgb="FF63C384"/>
      </dataBar>
      <extLst>
        <ext xmlns:x14="http://schemas.microsoft.com/office/spreadsheetml/2009/9/main" uri="{B025F937-C7B1-47D3-B67F-A62EFF666E3E}">
          <x14:id>{2F8BA4BA-B516-4BB1-A551-1B47B63CFB6D}</x14:id>
        </ext>
      </extLst>
    </cfRule>
  </conditionalFormatting>
  <conditionalFormatting sqref="AA122">
    <cfRule type="expression" dxfId="2246" priority="442">
      <formula>AND(AND($W122&lt;TODAY(),$W122&lt;&gt;""),$X122="")</formula>
    </cfRule>
  </conditionalFormatting>
  <conditionalFormatting sqref="Q122">
    <cfRule type="cellIs" dxfId="2245" priority="441" operator="equal">
      <formula>"ja"</formula>
    </cfRule>
  </conditionalFormatting>
  <conditionalFormatting sqref="AG122">
    <cfRule type="dataBar" priority="440">
      <dataBar>
        <cfvo type="min"/>
        <cfvo type="max"/>
        <color rgb="FF63C384"/>
      </dataBar>
      <extLst>
        <ext xmlns:x14="http://schemas.microsoft.com/office/spreadsheetml/2009/9/main" uri="{B025F937-C7B1-47D3-B67F-A62EFF666E3E}">
          <x14:id>{E66703AB-CFC0-4F13-AA27-1BFFDC91625F}</x14:id>
        </ext>
      </extLst>
    </cfRule>
  </conditionalFormatting>
  <conditionalFormatting sqref="AG122">
    <cfRule type="dataBar" priority="439">
      <dataBar>
        <cfvo type="min"/>
        <cfvo type="max"/>
        <color rgb="FF63C384"/>
      </dataBar>
      <extLst>
        <ext xmlns:x14="http://schemas.microsoft.com/office/spreadsheetml/2009/9/main" uri="{B025F937-C7B1-47D3-B67F-A62EFF666E3E}">
          <x14:id>{C7A93D23-50F1-46DF-94B3-7A4E8A0180E9}</x14:id>
        </ext>
      </extLst>
    </cfRule>
  </conditionalFormatting>
  <conditionalFormatting sqref="AA124">
    <cfRule type="expression" dxfId="2244" priority="438">
      <formula>AND(AND($W124&lt;TODAY(),$W124&lt;&gt;""),$X124="")</formula>
    </cfRule>
  </conditionalFormatting>
  <conditionalFormatting sqref="Q124">
    <cfRule type="cellIs" dxfId="2243" priority="437" operator="equal">
      <formula>"ja"</formula>
    </cfRule>
  </conditionalFormatting>
  <conditionalFormatting sqref="AG124">
    <cfRule type="dataBar" priority="436">
      <dataBar>
        <cfvo type="min"/>
        <cfvo type="max"/>
        <color rgb="FF63C384"/>
      </dataBar>
      <extLst>
        <ext xmlns:x14="http://schemas.microsoft.com/office/spreadsheetml/2009/9/main" uri="{B025F937-C7B1-47D3-B67F-A62EFF666E3E}">
          <x14:id>{7AD21341-50C9-49D1-9207-C48CCB848BEA}</x14:id>
        </ext>
      </extLst>
    </cfRule>
  </conditionalFormatting>
  <conditionalFormatting sqref="AG124">
    <cfRule type="dataBar" priority="435">
      <dataBar>
        <cfvo type="min"/>
        <cfvo type="max"/>
        <color rgb="FF63C384"/>
      </dataBar>
      <extLst>
        <ext xmlns:x14="http://schemas.microsoft.com/office/spreadsheetml/2009/9/main" uri="{B025F937-C7B1-47D3-B67F-A62EFF666E3E}">
          <x14:id>{C6C61C9C-5F81-4542-BAF7-1990A2CA0EE4}</x14:id>
        </ext>
      </extLst>
    </cfRule>
  </conditionalFormatting>
  <conditionalFormatting sqref="Q123">
    <cfRule type="cellIs" dxfId="2242" priority="434" operator="equal">
      <formula>"ja"</formula>
    </cfRule>
  </conditionalFormatting>
  <conditionalFormatting sqref="AA123">
    <cfRule type="expression" dxfId="2241" priority="433">
      <formula>AND(AND($W123&lt;TODAY(),$W123&lt;&gt;""),$X123="")</formula>
    </cfRule>
  </conditionalFormatting>
  <conditionalFormatting sqref="AG123">
    <cfRule type="dataBar" priority="432">
      <dataBar>
        <cfvo type="min"/>
        <cfvo type="max"/>
        <color rgb="FF63C384"/>
      </dataBar>
      <extLst>
        <ext xmlns:x14="http://schemas.microsoft.com/office/spreadsheetml/2009/9/main" uri="{B025F937-C7B1-47D3-B67F-A62EFF666E3E}">
          <x14:id>{2DBF4C4A-2ECE-4740-BF8B-CC25E6AE35F0}</x14:id>
        </ext>
      </extLst>
    </cfRule>
  </conditionalFormatting>
  <conditionalFormatting sqref="AG123">
    <cfRule type="dataBar" priority="431">
      <dataBar>
        <cfvo type="min"/>
        <cfvo type="max"/>
        <color rgb="FF63C384"/>
      </dataBar>
      <extLst>
        <ext xmlns:x14="http://schemas.microsoft.com/office/spreadsheetml/2009/9/main" uri="{B025F937-C7B1-47D3-B67F-A62EFF666E3E}">
          <x14:id>{1A07BDE1-EC0A-4580-A2B8-C89E16EA054F}</x14:id>
        </ext>
      </extLst>
    </cfRule>
  </conditionalFormatting>
  <conditionalFormatting sqref="Q125">
    <cfRule type="cellIs" dxfId="2240" priority="430" operator="equal">
      <formula>"ja"</formula>
    </cfRule>
  </conditionalFormatting>
  <conditionalFormatting sqref="AA125">
    <cfRule type="expression" dxfId="2239" priority="429">
      <formula>AND(AND($W125&lt;TODAY(),$W125&lt;&gt;""),$X125="")</formula>
    </cfRule>
  </conditionalFormatting>
  <conditionalFormatting sqref="AG125">
    <cfRule type="dataBar" priority="428">
      <dataBar>
        <cfvo type="min"/>
        <cfvo type="max"/>
        <color rgb="FF63C384"/>
      </dataBar>
      <extLst>
        <ext xmlns:x14="http://schemas.microsoft.com/office/spreadsheetml/2009/9/main" uri="{B025F937-C7B1-47D3-B67F-A62EFF666E3E}">
          <x14:id>{07C6BBC3-1411-4872-9F5E-4B3F6EE0CD7E}</x14:id>
        </ext>
      </extLst>
    </cfRule>
  </conditionalFormatting>
  <conditionalFormatting sqref="AG125">
    <cfRule type="dataBar" priority="427">
      <dataBar>
        <cfvo type="min"/>
        <cfvo type="max"/>
        <color rgb="FF63C384"/>
      </dataBar>
      <extLst>
        <ext xmlns:x14="http://schemas.microsoft.com/office/spreadsheetml/2009/9/main" uri="{B025F937-C7B1-47D3-B67F-A62EFF666E3E}">
          <x14:id>{89673846-2B10-403B-9414-2B830E8DD2C4}</x14:id>
        </ext>
      </extLst>
    </cfRule>
  </conditionalFormatting>
  <conditionalFormatting sqref="Q126">
    <cfRule type="cellIs" dxfId="2238" priority="426" operator="equal">
      <formula>"ja"</formula>
    </cfRule>
  </conditionalFormatting>
  <conditionalFormatting sqref="AA126">
    <cfRule type="expression" dxfId="2237" priority="425">
      <formula>AND(AND($W126&lt;TODAY(),$W126&lt;&gt;""),$X126="")</formula>
    </cfRule>
  </conditionalFormatting>
  <conditionalFormatting sqref="AG126">
    <cfRule type="dataBar" priority="424">
      <dataBar>
        <cfvo type="min"/>
        <cfvo type="max"/>
        <color rgb="FF63C384"/>
      </dataBar>
      <extLst>
        <ext xmlns:x14="http://schemas.microsoft.com/office/spreadsheetml/2009/9/main" uri="{B025F937-C7B1-47D3-B67F-A62EFF666E3E}">
          <x14:id>{F81F51B8-1E1B-45F1-96BB-1D87B4F2DF5D}</x14:id>
        </ext>
      </extLst>
    </cfRule>
  </conditionalFormatting>
  <conditionalFormatting sqref="AG126">
    <cfRule type="dataBar" priority="423">
      <dataBar>
        <cfvo type="min"/>
        <cfvo type="max"/>
        <color rgb="FF63C384"/>
      </dataBar>
      <extLst>
        <ext xmlns:x14="http://schemas.microsoft.com/office/spreadsheetml/2009/9/main" uri="{B025F937-C7B1-47D3-B67F-A62EFF666E3E}">
          <x14:id>{DAEEAB6F-C70D-4A33-B032-8627F398B9A6}</x14:id>
        </ext>
      </extLst>
    </cfRule>
  </conditionalFormatting>
  <conditionalFormatting sqref="Q127">
    <cfRule type="cellIs" dxfId="2236" priority="422" operator="equal">
      <formula>"ja"</formula>
    </cfRule>
  </conditionalFormatting>
  <conditionalFormatting sqref="AA127">
    <cfRule type="expression" dxfId="2235" priority="421">
      <formula>AND(AND($W127&lt;TODAY(),$W127&lt;&gt;""),$X127="")</formula>
    </cfRule>
  </conditionalFormatting>
  <conditionalFormatting sqref="AG127">
    <cfRule type="dataBar" priority="420">
      <dataBar>
        <cfvo type="min"/>
        <cfvo type="max"/>
        <color rgb="FF63C384"/>
      </dataBar>
      <extLst>
        <ext xmlns:x14="http://schemas.microsoft.com/office/spreadsheetml/2009/9/main" uri="{B025F937-C7B1-47D3-B67F-A62EFF666E3E}">
          <x14:id>{3B1385F8-815E-4BA2-9F5F-FE606E4ED340}</x14:id>
        </ext>
      </extLst>
    </cfRule>
  </conditionalFormatting>
  <conditionalFormatting sqref="AG127">
    <cfRule type="dataBar" priority="419">
      <dataBar>
        <cfvo type="min"/>
        <cfvo type="max"/>
        <color rgb="FF63C384"/>
      </dataBar>
      <extLst>
        <ext xmlns:x14="http://schemas.microsoft.com/office/spreadsheetml/2009/9/main" uri="{B025F937-C7B1-47D3-B67F-A62EFF666E3E}">
          <x14:id>{ACA2B5B4-60A7-4AFB-A430-B0E4D663DA1A}</x14:id>
        </ext>
      </extLst>
    </cfRule>
  </conditionalFormatting>
  <conditionalFormatting sqref="AA128">
    <cfRule type="expression" dxfId="2234" priority="418">
      <formula>AND(AND($W128&lt;TODAY(),$W128&lt;&gt;""),$X128="")</formula>
    </cfRule>
  </conditionalFormatting>
  <conditionalFormatting sqref="Q128">
    <cfRule type="cellIs" dxfId="2233" priority="417" operator="equal">
      <formula>"ja"</formula>
    </cfRule>
  </conditionalFormatting>
  <conditionalFormatting sqref="AG128">
    <cfRule type="dataBar" priority="416">
      <dataBar>
        <cfvo type="min"/>
        <cfvo type="max"/>
        <color rgb="FF63C384"/>
      </dataBar>
      <extLst>
        <ext xmlns:x14="http://schemas.microsoft.com/office/spreadsheetml/2009/9/main" uri="{B025F937-C7B1-47D3-B67F-A62EFF666E3E}">
          <x14:id>{D23C1338-E78C-4B47-BE41-782F2AD84423}</x14:id>
        </ext>
      </extLst>
    </cfRule>
  </conditionalFormatting>
  <conditionalFormatting sqref="AG128">
    <cfRule type="dataBar" priority="415">
      <dataBar>
        <cfvo type="min"/>
        <cfvo type="max"/>
        <color rgb="FF63C384"/>
      </dataBar>
      <extLst>
        <ext xmlns:x14="http://schemas.microsoft.com/office/spreadsheetml/2009/9/main" uri="{B025F937-C7B1-47D3-B67F-A62EFF666E3E}">
          <x14:id>{75008A31-9C4F-4942-A29D-02603DD616B9}</x14:id>
        </ext>
      </extLst>
    </cfRule>
  </conditionalFormatting>
  <conditionalFormatting sqref="AA129">
    <cfRule type="expression" dxfId="2232" priority="414">
      <formula>AND(AND($W129&lt;TODAY(),$W129&lt;&gt;""),$X129="")</formula>
    </cfRule>
  </conditionalFormatting>
  <conditionalFormatting sqref="Q129">
    <cfRule type="cellIs" dxfId="2231" priority="413" operator="equal">
      <formula>"ja"</formula>
    </cfRule>
  </conditionalFormatting>
  <conditionalFormatting sqref="AG129">
    <cfRule type="dataBar" priority="412">
      <dataBar>
        <cfvo type="min"/>
        <cfvo type="max"/>
        <color rgb="FF63C384"/>
      </dataBar>
      <extLst>
        <ext xmlns:x14="http://schemas.microsoft.com/office/spreadsheetml/2009/9/main" uri="{B025F937-C7B1-47D3-B67F-A62EFF666E3E}">
          <x14:id>{B309D967-1C78-42A0-B356-B233183DB892}</x14:id>
        </ext>
      </extLst>
    </cfRule>
  </conditionalFormatting>
  <conditionalFormatting sqref="AG129">
    <cfRule type="dataBar" priority="411">
      <dataBar>
        <cfvo type="min"/>
        <cfvo type="max"/>
        <color rgb="FF63C384"/>
      </dataBar>
      <extLst>
        <ext xmlns:x14="http://schemas.microsoft.com/office/spreadsheetml/2009/9/main" uri="{B025F937-C7B1-47D3-B67F-A62EFF666E3E}">
          <x14:id>{74960E7A-400F-42BA-9908-C41517E62806}</x14:id>
        </ext>
      </extLst>
    </cfRule>
  </conditionalFormatting>
  <conditionalFormatting sqref="AA130">
    <cfRule type="expression" dxfId="2230" priority="410">
      <formula>AND(AND($W130&lt;TODAY(),$W130&lt;&gt;""),$X130="")</formula>
    </cfRule>
  </conditionalFormatting>
  <conditionalFormatting sqref="AG130">
    <cfRule type="dataBar" priority="409">
      <dataBar>
        <cfvo type="min"/>
        <cfvo type="max"/>
        <color rgb="FF63C384"/>
      </dataBar>
      <extLst>
        <ext xmlns:x14="http://schemas.microsoft.com/office/spreadsheetml/2009/9/main" uri="{B025F937-C7B1-47D3-B67F-A62EFF666E3E}">
          <x14:id>{10262294-ECF7-4CE0-BE7A-65BFE1E8521C}</x14:id>
        </ext>
      </extLst>
    </cfRule>
  </conditionalFormatting>
  <conditionalFormatting sqref="AG130">
    <cfRule type="dataBar" priority="408">
      <dataBar>
        <cfvo type="min"/>
        <cfvo type="max"/>
        <color rgb="FF63C384"/>
      </dataBar>
      <extLst>
        <ext xmlns:x14="http://schemas.microsoft.com/office/spreadsheetml/2009/9/main" uri="{B025F937-C7B1-47D3-B67F-A62EFF666E3E}">
          <x14:id>{1B4269AD-13A1-45D7-B56D-F47C3BD297C6}</x14:id>
        </ext>
      </extLst>
    </cfRule>
  </conditionalFormatting>
  <conditionalFormatting sqref="Q131">
    <cfRule type="cellIs" dxfId="2229" priority="407" operator="equal">
      <formula>"ja"</formula>
    </cfRule>
  </conditionalFormatting>
  <conditionalFormatting sqref="AA131">
    <cfRule type="expression" dxfId="2228" priority="406">
      <formula>AND(AND($W131&lt;TODAY(),$W131&lt;&gt;""),$X131="")</formula>
    </cfRule>
  </conditionalFormatting>
  <conditionalFormatting sqref="AG131">
    <cfRule type="dataBar" priority="405">
      <dataBar>
        <cfvo type="min"/>
        <cfvo type="max"/>
        <color rgb="FF63C384"/>
      </dataBar>
      <extLst>
        <ext xmlns:x14="http://schemas.microsoft.com/office/spreadsheetml/2009/9/main" uri="{B025F937-C7B1-47D3-B67F-A62EFF666E3E}">
          <x14:id>{F299E123-5CDE-405D-8171-F7237F3AE58B}</x14:id>
        </ext>
      </extLst>
    </cfRule>
  </conditionalFormatting>
  <conditionalFormatting sqref="AG131">
    <cfRule type="dataBar" priority="404">
      <dataBar>
        <cfvo type="min"/>
        <cfvo type="max"/>
        <color rgb="FF63C384"/>
      </dataBar>
      <extLst>
        <ext xmlns:x14="http://schemas.microsoft.com/office/spreadsheetml/2009/9/main" uri="{B025F937-C7B1-47D3-B67F-A62EFF666E3E}">
          <x14:id>{58DC8416-95EE-4878-BC07-3E36E434C7CC}</x14:id>
        </ext>
      </extLst>
    </cfRule>
  </conditionalFormatting>
  <conditionalFormatting sqref="Q132">
    <cfRule type="cellIs" dxfId="2227" priority="403" operator="equal">
      <formula>"ja"</formula>
    </cfRule>
  </conditionalFormatting>
  <conditionalFormatting sqref="AA132">
    <cfRule type="expression" dxfId="2226" priority="402">
      <formula>AND(AND($W132&lt;TODAY(),$W132&lt;&gt;""),$X132="")</formula>
    </cfRule>
  </conditionalFormatting>
  <conditionalFormatting sqref="AG132">
    <cfRule type="dataBar" priority="401">
      <dataBar>
        <cfvo type="min"/>
        <cfvo type="max"/>
        <color rgb="FF63C384"/>
      </dataBar>
      <extLst>
        <ext xmlns:x14="http://schemas.microsoft.com/office/spreadsheetml/2009/9/main" uri="{B025F937-C7B1-47D3-B67F-A62EFF666E3E}">
          <x14:id>{A4DAC749-3D1A-4AB2-BFA8-A64E527D2452}</x14:id>
        </ext>
      </extLst>
    </cfRule>
  </conditionalFormatting>
  <conditionalFormatting sqref="AG132">
    <cfRule type="dataBar" priority="400">
      <dataBar>
        <cfvo type="min"/>
        <cfvo type="max"/>
        <color rgb="FF63C384"/>
      </dataBar>
      <extLst>
        <ext xmlns:x14="http://schemas.microsoft.com/office/spreadsheetml/2009/9/main" uri="{B025F937-C7B1-47D3-B67F-A62EFF666E3E}">
          <x14:id>{678B85DD-5362-4480-8E45-0074D3FD56DB}</x14:id>
        </ext>
      </extLst>
    </cfRule>
  </conditionalFormatting>
  <conditionalFormatting sqref="AA136">
    <cfRule type="expression" dxfId="2225" priority="399">
      <formula>AND(AND($W136&lt;TODAY(),$W136&lt;&gt;""),$X136="")</formula>
    </cfRule>
  </conditionalFormatting>
  <conditionalFormatting sqref="AG136">
    <cfRule type="dataBar" priority="398">
      <dataBar>
        <cfvo type="min"/>
        <cfvo type="max"/>
        <color rgb="FF63C384"/>
      </dataBar>
      <extLst>
        <ext xmlns:x14="http://schemas.microsoft.com/office/spreadsheetml/2009/9/main" uri="{B025F937-C7B1-47D3-B67F-A62EFF666E3E}">
          <x14:id>{22E4B830-5F8A-40C7-98B3-67CB9355CCFF}</x14:id>
        </ext>
      </extLst>
    </cfRule>
  </conditionalFormatting>
  <conditionalFormatting sqref="AG136">
    <cfRule type="dataBar" priority="397">
      <dataBar>
        <cfvo type="min"/>
        <cfvo type="max"/>
        <color rgb="FF63C384"/>
      </dataBar>
      <extLst>
        <ext xmlns:x14="http://schemas.microsoft.com/office/spreadsheetml/2009/9/main" uri="{B025F937-C7B1-47D3-B67F-A62EFF666E3E}">
          <x14:id>{03F4C410-F557-4F0C-9725-368CFE1A36EC}</x14:id>
        </ext>
      </extLst>
    </cfRule>
  </conditionalFormatting>
  <conditionalFormatting sqref="Q136">
    <cfRule type="cellIs" dxfId="2224" priority="396" operator="equal">
      <formula>"ja"</formula>
    </cfRule>
  </conditionalFormatting>
  <conditionalFormatting sqref="Q133">
    <cfRule type="cellIs" dxfId="2223" priority="395" operator="equal">
      <formula>"ja"</formula>
    </cfRule>
  </conditionalFormatting>
  <conditionalFormatting sqref="AA133">
    <cfRule type="expression" dxfId="2222" priority="394">
      <formula>AND(AND($W133&lt;TODAY(),$W133&lt;&gt;""),$X133="")</formula>
    </cfRule>
  </conditionalFormatting>
  <conditionalFormatting sqref="AG133">
    <cfRule type="dataBar" priority="393">
      <dataBar>
        <cfvo type="min"/>
        <cfvo type="max"/>
        <color rgb="FF63C384"/>
      </dataBar>
      <extLst>
        <ext xmlns:x14="http://schemas.microsoft.com/office/spreadsheetml/2009/9/main" uri="{B025F937-C7B1-47D3-B67F-A62EFF666E3E}">
          <x14:id>{2F99DE22-DC95-46E3-8407-B4AF277235A7}</x14:id>
        </ext>
      </extLst>
    </cfRule>
  </conditionalFormatting>
  <conditionalFormatting sqref="AG133">
    <cfRule type="dataBar" priority="392">
      <dataBar>
        <cfvo type="min"/>
        <cfvo type="max"/>
        <color rgb="FF63C384"/>
      </dataBar>
      <extLst>
        <ext xmlns:x14="http://schemas.microsoft.com/office/spreadsheetml/2009/9/main" uri="{B025F937-C7B1-47D3-B67F-A62EFF666E3E}">
          <x14:id>{B8A3A41D-D351-4ED7-AC8C-43CF9C33E511}</x14:id>
        </ext>
      </extLst>
    </cfRule>
  </conditionalFormatting>
  <conditionalFormatting sqref="Q134">
    <cfRule type="cellIs" dxfId="2221" priority="391" operator="equal">
      <formula>"ja"</formula>
    </cfRule>
  </conditionalFormatting>
  <conditionalFormatting sqref="AA134">
    <cfRule type="expression" dxfId="2220" priority="390">
      <formula>AND(AND($W134&lt;TODAY(),$W134&lt;&gt;""),$X134="")</formula>
    </cfRule>
  </conditionalFormatting>
  <conditionalFormatting sqref="AG134">
    <cfRule type="dataBar" priority="389">
      <dataBar>
        <cfvo type="min"/>
        <cfvo type="max"/>
        <color rgb="FF63C384"/>
      </dataBar>
      <extLst>
        <ext xmlns:x14="http://schemas.microsoft.com/office/spreadsheetml/2009/9/main" uri="{B025F937-C7B1-47D3-B67F-A62EFF666E3E}">
          <x14:id>{9330DCA6-27E1-40C0-A85E-12D6E6D12DB7}</x14:id>
        </ext>
      </extLst>
    </cfRule>
  </conditionalFormatting>
  <conditionalFormatting sqref="AG134">
    <cfRule type="dataBar" priority="388">
      <dataBar>
        <cfvo type="min"/>
        <cfvo type="max"/>
        <color rgb="FF63C384"/>
      </dataBar>
      <extLst>
        <ext xmlns:x14="http://schemas.microsoft.com/office/spreadsheetml/2009/9/main" uri="{B025F937-C7B1-47D3-B67F-A62EFF666E3E}">
          <x14:id>{3C82AFFF-0BA5-4128-A041-D727F7B8D2EC}</x14:id>
        </ext>
      </extLst>
    </cfRule>
  </conditionalFormatting>
  <conditionalFormatting sqref="Q135">
    <cfRule type="cellIs" dxfId="2219" priority="387" operator="equal">
      <formula>"ja"</formula>
    </cfRule>
  </conditionalFormatting>
  <conditionalFormatting sqref="AA135">
    <cfRule type="expression" dxfId="2218" priority="386">
      <formula>AND(AND($W135&lt;TODAY(),$W135&lt;&gt;""),$X135="")</formula>
    </cfRule>
  </conditionalFormatting>
  <conditionalFormatting sqref="AG135">
    <cfRule type="dataBar" priority="385">
      <dataBar>
        <cfvo type="min"/>
        <cfvo type="max"/>
        <color rgb="FF63C384"/>
      </dataBar>
      <extLst>
        <ext xmlns:x14="http://schemas.microsoft.com/office/spreadsheetml/2009/9/main" uri="{B025F937-C7B1-47D3-B67F-A62EFF666E3E}">
          <x14:id>{42D636BF-0B14-42B8-A30A-1710B64734A7}</x14:id>
        </ext>
      </extLst>
    </cfRule>
  </conditionalFormatting>
  <conditionalFormatting sqref="AG135">
    <cfRule type="dataBar" priority="384">
      <dataBar>
        <cfvo type="min"/>
        <cfvo type="max"/>
        <color rgb="FF63C384"/>
      </dataBar>
      <extLst>
        <ext xmlns:x14="http://schemas.microsoft.com/office/spreadsheetml/2009/9/main" uri="{B025F937-C7B1-47D3-B67F-A62EFF666E3E}">
          <x14:id>{189DB2A9-84B9-4825-B05C-89FDFACBF492}</x14:id>
        </ext>
      </extLst>
    </cfRule>
  </conditionalFormatting>
  <conditionalFormatting sqref="AA137">
    <cfRule type="expression" dxfId="2217" priority="383">
      <formula>AND(AND($W137&lt;TODAY(),$W137&lt;&gt;""),$X137="")</formula>
    </cfRule>
  </conditionalFormatting>
  <conditionalFormatting sqref="AG137">
    <cfRule type="dataBar" priority="382">
      <dataBar>
        <cfvo type="min"/>
        <cfvo type="max"/>
        <color rgb="FF63C384"/>
      </dataBar>
      <extLst>
        <ext xmlns:x14="http://schemas.microsoft.com/office/spreadsheetml/2009/9/main" uri="{B025F937-C7B1-47D3-B67F-A62EFF666E3E}">
          <x14:id>{9DA217DF-65BB-4336-A9D0-86CB165B7BD6}</x14:id>
        </ext>
      </extLst>
    </cfRule>
  </conditionalFormatting>
  <conditionalFormatting sqref="AG137">
    <cfRule type="dataBar" priority="381">
      <dataBar>
        <cfvo type="min"/>
        <cfvo type="max"/>
        <color rgb="FF63C384"/>
      </dataBar>
      <extLst>
        <ext xmlns:x14="http://schemas.microsoft.com/office/spreadsheetml/2009/9/main" uri="{B025F937-C7B1-47D3-B67F-A62EFF666E3E}">
          <x14:id>{C0004F8A-298F-4992-B8DB-667DD39CD731}</x14:id>
        </ext>
      </extLst>
    </cfRule>
  </conditionalFormatting>
  <conditionalFormatting sqref="Q138">
    <cfRule type="cellIs" dxfId="2216" priority="380" operator="equal">
      <formula>"ja"</formula>
    </cfRule>
  </conditionalFormatting>
  <conditionalFormatting sqref="AA138">
    <cfRule type="expression" dxfId="2215" priority="379">
      <formula>AND(AND($W138&lt;TODAY(),$W138&lt;&gt;""),$X138="")</formula>
    </cfRule>
  </conditionalFormatting>
  <conditionalFormatting sqref="AG138">
    <cfRule type="dataBar" priority="378">
      <dataBar>
        <cfvo type="min"/>
        <cfvo type="max"/>
        <color rgb="FF63C384"/>
      </dataBar>
      <extLst>
        <ext xmlns:x14="http://schemas.microsoft.com/office/spreadsheetml/2009/9/main" uri="{B025F937-C7B1-47D3-B67F-A62EFF666E3E}">
          <x14:id>{76E7630D-BF25-4C5D-A431-346CB70EE621}</x14:id>
        </ext>
      </extLst>
    </cfRule>
  </conditionalFormatting>
  <conditionalFormatting sqref="AG138">
    <cfRule type="dataBar" priority="377">
      <dataBar>
        <cfvo type="min"/>
        <cfvo type="max"/>
        <color rgb="FF63C384"/>
      </dataBar>
      <extLst>
        <ext xmlns:x14="http://schemas.microsoft.com/office/spreadsheetml/2009/9/main" uri="{B025F937-C7B1-47D3-B67F-A62EFF666E3E}">
          <x14:id>{E6051748-6D6E-4B5F-8EC9-9D4B287EED67}</x14:id>
        </ext>
      </extLst>
    </cfRule>
  </conditionalFormatting>
  <conditionalFormatting sqref="Q139">
    <cfRule type="cellIs" dxfId="2214" priority="376" operator="equal">
      <formula>"ja"</formula>
    </cfRule>
  </conditionalFormatting>
  <conditionalFormatting sqref="AA139">
    <cfRule type="expression" dxfId="2213" priority="375">
      <formula>AND(AND($W139&lt;TODAY(),$W139&lt;&gt;""),$X139="")</formula>
    </cfRule>
  </conditionalFormatting>
  <conditionalFormatting sqref="AG139">
    <cfRule type="dataBar" priority="374">
      <dataBar>
        <cfvo type="min"/>
        <cfvo type="max"/>
        <color rgb="FF63C384"/>
      </dataBar>
      <extLst>
        <ext xmlns:x14="http://schemas.microsoft.com/office/spreadsheetml/2009/9/main" uri="{B025F937-C7B1-47D3-B67F-A62EFF666E3E}">
          <x14:id>{21A83951-6BBE-4AA0-9F04-2E305634D75B}</x14:id>
        </ext>
      </extLst>
    </cfRule>
  </conditionalFormatting>
  <conditionalFormatting sqref="AG139">
    <cfRule type="dataBar" priority="373">
      <dataBar>
        <cfvo type="min"/>
        <cfvo type="max"/>
        <color rgb="FF63C384"/>
      </dataBar>
      <extLst>
        <ext xmlns:x14="http://schemas.microsoft.com/office/spreadsheetml/2009/9/main" uri="{B025F937-C7B1-47D3-B67F-A62EFF666E3E}">
          <x14:id>{BD901474-E86B-4CFF-9FD0-1583C4597CFD}</x14:id>
        </ext>
      </extLst>
    </cfRule>
  </conditionalFormatting>
  <conditionalFormatting sqref="Q140">
    <cfRule type="cellIs" dxfId="2212" priority="372" operator="equal">
      <formula>"ja"</formula>
    </cfRule>
  </conditionalFormatting>
  <conditionalFormatting sqref="AA140">
    <cfRule type="expression" dxfId="2211" priority="371">
      <formula>AND(AND($W140&lt;TODAY(),$W140&lt;&gt;""),$X140="")</formula>
    </cfRule>
  </conditionalFormatting>
  <conditionalFormatting sqref="AG140">
    <cfRule type="dataBar" priority="370">
      <dataBar>
        <cfvo type="min"/>
        <cfvo type="max"/>
        <color rgb="FF63C384"/>
      </dataBar>
      <extLst>
        <ext xmlns:x14="http://schemas.microsoft.com/office/spreadsheetml/2009/9/main" uri="{B025F937-C7B1-47D3-B67F-A62EFF666E3E}">
          <x14:id>{B2BB7E4E-8C50-4688-BC01-DD6F1D394181}</x14:id>
        </ext>
      </extLst>
    </cfRule>
  </conditionalFormatting>
  <conditionalFormatting sqref="AG140">
    <cfRule type="dataBar" priority="369">
      <dataBar>
        <cfvo type="min"/>
        <cfvo type="max"/>
        <color rgb="FF63C384"/>
      </dataBar>
      <extLst>
        <ext xmlns:x14="http://schemas.microsoft.com/office/spreadsheetml/2009/9/main" uri="{B025F937-C7B1-47D3-B67F-A62EFF666E3E}">
          <x14:id>{0B7043CC-44EC-4899-862C-A40999210F43}</x14:id>
        </ext>
      </extLst>
    </cfRule>
  </conditionalFormatting>
  <conditionalFormatting sqref="Q141">
    <cfRule type="cellIs" dxfId="2210" priority="368" operator="equal">
      <formula>"ja"</formula>
    </cfRule>
  </conditionalFormatting>
  <conditionalFormatting sqref="AA141">
    <cfRule type="expression" dxfId="2209" priority="367">
      <formula>AND(AND($W141&lt;TODAY(),$W141&lt;&gt;""),$X141="")</formula>
    </cfRule>
  </conditionalFormatting>
  <conditionalFormatting sqref="AG141">
    <cfRule type="dataBar" priority="366">
      <dataBar>
        <cfvo type="min"/>
        <cfvo type="max"/>
        <color rgb="FF63C384"/>
      </dataBar>
      <extLst>
        <ext xmlns:x14="http://schemas.microsoft.com/office/spreadsheetml/2009/9/main" uri="{B025F937-C7B1-47D3-B67F-A62EFF666E3E}">
          <x14:id>{DD607E77-BB28-4CF2-8D2A-A5BF8737C207}</x14:id>
        </ext>
      </extLst>
    </cfRule>
  </conditionalFormatting>
  <conditionalFormatting sqref="AG141">
    <cfRule type="dataBar" priority="365">
      <dataBar>
        <cfvo type="min"/>
        <cfvo type="max"/>
        <color rgb="FF63C384"/>
      </dataBar>
      <extLst>
        <ext xmlns:x14="http://schemas.microsoft.com/office/spreadsheetml/2009/9/main" uri="{B025F937-C7B1-47D3-B67F-A62EFF666E3E}">
          <x14:id>{BF766A07-8CD7-47F2-8072-73C1E2D913C9}</x14:id>
        </ext>
      </extLst>
    </cfRule>
  </conditionalFormatting>
  <conditionalFormatting sqref="AA142">
    <cfRule type="expression" dxfId="2208" priority="364">
      <formula>AND(AND($W142&lt;TODAY(),$W142&lt;&gt;""),$X142="")</formula>
    </cfRule>
  </conditionalFormatting>
  <conditionalFormatting sqref="Q142">
    <cfRule type="cellIs" dxfId="2207" priority="363" operator="equal">
      <formula>"ja"</formula>
    </cfRule>
  </conditionalFormatting>
  <conditionalFormatting sqref="AG142">
    <cfRule type="dataBar" priority="362">
      <dataBar>
        <cfvo type="min"/>
        <cfvo type="max"/>
        <color rgb="FF63C384"/>
      </dataBar>
      <extLst>
        <ext xmlns:x14="http://schemas.microsoft.com/office/spreadsheetml/2009/9/main" uri="{B025F937-C7B1-47D3-B67F-A62EFF666E3E}">
          <x14:id>{EE9E1684-C4E7-4523-A1BB-1EC85040AB60}</x14:id>
        </ext>
      </extLst>
    </cfRule>
  </conditionalFormatting>
  <conditionalFormatting sqref="AG142">
    <cfRule type="dataBar" priority="361">
      <dataBar>
        <cfvo type="min"/>
        <cfvo type="max"/>
        <color rgb="FF63C384"/>
      </dataBar>
      <extLst>
        <ext xmlns:x14="http://schemas.microsoft.com/office/spreadsheetml/2009/9/main" uri="{B025F937-C7B1-47D3-B67F-A62EFF666E3E}">
          <x14:id>{46551FA0-3757-494E-965E-10D7F394B5CA}</x14:id>
        </ext>
      </extLst>
    </cfRule>
  </conditionalFormatting>
  <conditionalFormatting sqref="Q143">
    <cfRule type="cellIs" dxfId="2206" priority="360" operator="equal">
      <formula>"ja"</formula>
    </cfRule>
  </conditionalFormatting>
  <conditionalFormatting sqref="AA143">
    <cfRule type="expression" dxfId="2205" priority="359">
      <formula>AND(AND($W143&lt;TODAY(),$W143&lt;&gt;""),$X143="")</formula>
    </cfRule>
  </conditionalFormatting>
  <conditionalFormatting sqref="AG143">
    <cfRule type="dataBar" priority="358">
      <dataBar>
        <cfvo type="min"/>
        <cfvo type="max"/>
        <color rgb="FF63C384"/>
      </dataBar>
      <extLst>
        <ext xmlns:x14="http://schemas.microsoft.com/office/spreadsheetml/2009/9/main" uri="{B025F937-C7B1-47D3-B67F-A62EFF666E3E}">
          <x14:id>{E25D6F94-24BB-44AA-85A4-79FB5D312512}</x14:id>
        </ext>
      </extLst>
    </cfRule>
  </conditionalFormatting>
  <conditionalFormatting sqref="AG143">
    <cfRule type="dataBar" priority="357">
      <dataBar>
        <cfvo type="min"/>
        <cfvo type="max"/>
        <color rgb="FF63C384"/>
      </dataBar>
      <extLst>
        <ext xmlns:x14="http://schemas.microsoft.com/office/spreadsheetml/2009/9/main" uri="{B025F937-C7B1-47D3-B67F-A62EFF666E3E}">
          <x14:id>{44A9A18E-3883-4ACC-A0A1-FF9D330D9DAE}</x14:id>
        </ext>
      </extLst>
    </cfRule>
  </conditionalFormatting>
  <conditionalFormatting sqref="AA145">
    <cfRule type="expression" dxfId="2204" priority="356">
      <formula>AND(AND($W145&lt;TODAY(),$W145&lt;&gt;""),$X145="")</formula>
    </cfRule>
  </conditionalFormatting>
  <conditionalFormatting sqref="Q145">
    <cfRule type="cellIs" dxfId="2203" priority="355" operator="equal">
      <formula>"ja"</formula>
    </cfRule>
  </conditionalFormatting>
  <conditionalFormatting sqref="AG145">
    <cfRule type="dataBar" priority="354">
      <dataBar>
        <cfvo type="min"/>
        <cfvo type="max"/>
        <color rgb="FF63C384"/>
      </dataBar>
      <extLst>
        <ext xmlns:x14="http://schemas.microsoft.com/office/spreadsheetml/2009/9/main" uri="{B025F937-C7B1-47D3-B67F-A62EFF666E3E}">
          <x14:id>{278A635F-00DE-4069-B90A-481E43320F4E}</x14:id>
        </ext>
      </extLst>
    </cfRule>
  </conditionalFormatting>
  <conditionalFormatting sqref="AG145">
    <cfRule type="dataBar" priority="353">
      <dataBar>
        <cfvo type="min"/>
        <cfvo type="max"/>
        <color rgb="FF63C384"/>
      </dataBar>
      <extLst>
        <ext xmlns:x14="http://schemas.microsoft.com/office/spreadsheetml/2009/9/main" uri="{B025F937-C7B1-47D3-B67F-A62EFF666E3E}">
          <x14:id>{4899BB8C-DCA1-44C4-AA1F-D6557627CF2D}</x14:id>
        </ext>
      </extLst>
    </cfRule>
  </conditionalFormatting>
  <conditionalFormatting sqref="AA153">
    <cfRule type="expression" dxfId="2202" priority="320">
      <formula>AND(AND($W153&lt;TODAY(),$W153&lt;&gt;""),$X153="")</formula>
    </cfRule>
  </conditionalFormatting>
  <conditionalFormatting sqref="Q146">
    <cfRule type="cellIs" dxfId="2201" priority="352" operator="equal">
      <formula>"ja"</formula>
    </cfRule>
  </conditionalFormatting>
  <conditionalFormatting sqref="AA146">
    <cfRule type="expression" dxfId="2200" priority="351">
      <formula>AND(AND($W146&lt;TODAY(),$W146&lt;&gt;""),$X146="")</formula>
    </cfRule>
  </conditionalFormatting>
  <conditionalFormatting sqref="AG146">
    <cfRule type="dataBar" priority="350">
      <dataBar>
        <cfvo type="min"/>
        <cfvo type="max"/>
        <color rgb="FF63C384"/>
      </dataBar>
      <extLst>
        <ext xmlns:x14="http://schemas.microsoft.com/office/spreadsheetml/2009/9/main" uri="{B025F937-C7B1-47D3-B67F-A62EFF666E3E}">
          <x14:id>{81C19D04-060C-4754-B057-90EA0722C319}</x14:id>
        </ext>
      </extLst>
    </cfRule>
  </conditionalFormatting>
  <conditionalFormatting sqref="AG146">
    <cfRule type="dataBar" priority="349">
      <dataBar>
        <cfvo type="min"/>
        <cfvo type="max"/>
        <color rgb="FF63C384"/>
      </dataBar>
      <extLst>
        <ext xmlns:x14="http://schemas.microsoft.com/office/spreadsheetml/2009/9/main" uri="{B025F937-C7B1-47D3-B67F-A62EFF666E3E}">
          <x14:id>{D9EDD50A-03A9-4A4B-B3B5-000C1A843426}</x14:id>
        </ext>
      </extLst>
    </cfRule>
  </conditionalFormatting>
  <conditionalFormatting sqref="AA147">
    <cfRule type="expression" dxfId="2199" priority="348">
      <formula>AND(AND($W147&lt;TODAY(),$W147&lt;&gt;""),$X147="")</formula>
    </cfRule>
  </conditionalFormatting>
  <conditionalFormatting sqref="Q147">
    <cfRule type="cellIs" dxfId="2198" priority="347" operator="equal">
      <formula>"ja"</formula>
    </cfRule>
  </conditionalFormatting>
  <conditionalFormatting sqref="AG147">
    <cfRule type="dataBar" priority="346">
      <dataBar>
        <cfvo type="min"/>
        <cfvo type="max"/>
        <color rgb="FF63C384"/>
      </dataBar>
      <extLst>
        <ext xmlns:x14="http://schemas.microsoft.com/office/spreadsheetml/2009/9/main" uri="{B025F937-C7B1-47D3-B67F-A62EFF666E3E}">
          <x14:id>{1DADAFCC-60B6-44A8-9310-41382822238B}</x14:id>
        </ext>
      </extLst>
    </cfRule>
  </conditionalFormatting>
  <conditionalFormatting sqref="AG147">
    <cfRule type="dataBar" priority="345">
      <dataBar>
        <cfvo type="min"/>
        <cfvo type="max"/>
        <color rgb="FF63C384"/>
      </dataBar>
      <extLst>
        <ext xmlns:x14="http://schemas.microsoft.com/office/spreadsheetml/2009/9/main" uri="{B025F937-C7B1-47D3-B67F-A62EFF666E3E}">
          <x14:id>{C11BE253-CAEA-474F-A344-F91CAD1154D0}</x14:id>
        </ext>
      </extLst>
    </cfRule>
  </conditionalFormatting>
  <conditionalFormatting sqref="Q148">
    <cfRule type="cellIs" dxfId="2197" priority="344" operator="equal">
      <formula>"ja"</formula>
    </cfRule>
  </conditionalFormatting>
  <conditionalFormatting sqref="AA148">
    <cfRule type="expression" dxfId="2196" priority="343">
      <formula>AND(AND($W148&lt;TODAY(),$W148&lt;&gt;""),$X148="")</formula>
    </cfRule>
  </conditionalFormatting>
  <conditionalFormatting sqref="AG148">
    <cfRule type="dataBar" priority="342">
      <dataBar>
        <cfvo type="min"/>
        <cfvo type="max"/>
        <color rgb="FF63C384"/>
      </dataBar>
      <extLst>
        <ext xmlns:x14="http://schemas.microsoft.com/office/spreadsheetml/2009/9/main" uri="{B025F937-C7B1-47D3-B67F-A62EFF666E3E}">
          <x14:id>{A8E10098-1803-4B72-AF37-335B6C038006}</x14:id>
        </ext>
      </extLst>
    </cfRule>
  </conditionalFormatting>
  <conditionalFormatting sqref="AG148">
    <cfRule type="dataBar" priority="341">
      <dataBar>
        <cfvo type="min"/>
        <cfvo type="max"/>
        <color rgb="FF63C384"/>
      </dataBar>
      <extLst>
        <ext xmlns:x14="http://schemas.microsoft.com/office/spreadsheetml/2009/9/main" uri="{B025F937-C7B1-47D3-B67F-A62EFF666E3E}">
          <x14:id>{FE01369D-DD18-4A41-A59D-069A9ED38BEE}</x14:id>
        </ext>
      </extLst>
    </cfRule>
  </conditionalFormatting>
  <conditionalFormatting sqref="AA149">
    <cfRule type="expression" dxfId="2195" priority="340">
      <formula>AND(AND($W149&lt;TODAY(),$W149&lt;&gt;""),$X149="")</formula>
    </cfRule>
  </conditionalFormatting>
  <conditionalFormatting sqref="AG149">
    <cfRule type="dataBar" priority="339">
      <dataBar>
        <cfvo type="min"/>
        <cfvo type="max"/>
        <color rgb="FF63C384"/>
      </dataBar>
      <extLst>
        <ext xmlns:x14="http://schemas.microsoft.com/office/spreadsheetml/2009/9/main" uri="{B025F937-C7B1-47D3-B67F-A62EFF666E3E}">
          <x14:id>{A9530334-8E92-4DCA-9E1D-64EB3155C56B}</x14:id>
        </ext>
      </extLst>
    </cfRule>
  </conditionalFormatting>
  <conditionalFormatting sqref="AG149">
    <cfRule type="dataBar" priority="338">
      <dataBar>
        <cfvo type="min"/>
        <cfvo type="max"/>
        <color rgb="FF63C384"/>
      </dataBar>
      <extLst>
        <ext xmlns:x14="http://schemas.microsoft.com/office/spreadsheetml/2009/9/main" uri="{B025F937-C7B1-47D3-B67F-A62EFF666E3E}">
          <x14:id>{8F219FD5-410A-4860-9B63-27CA03EB4096}</x14:id>
        </ext>
      </extLst>
    </cfRule>
  </conditionalFormatting>
  <conditionalFormatting sqref="Q150">
    <cfRule type="cellIs" dxfId="2194" priority="337" operator="equal">
      <formula>"ja"</formula>
    </cfRule>
  </conditionalFormatting>
  <conditionalFormatting sqref="AA150">
    <cfRule type="expression" dxfId="2193" priority="336">
      <formula>AND(AND($W150&lt;TODAY(),$W150&lt;&gt;""),$X150="")</formula>
    </cfRule>
  </conditionalFormatting>
  <conditionalFormatting sqref="AG150">
    <cfRule type="dataBar" priority="335">
      <dataBar>
        <cfvo type="min"/>
        <cfvo type="max"/>
        <color rgb="FF63C384"/>
      </dataBar>
      <extLst>
        <ext xmlns:x14="http://schemas.microsoft.com/office/spreadsheetml/2009/9/main" uri="{B025F937-C7B1-47D3-B67F-A62EFF666E3E}">
          <x14:id>{8CD93350-EAA7-4209-8770-50EDF984ABF3}</x14:id>
        </ext>
      </extLst>
    </cfRule>
  </conditionalFormatting>
  <conditionalFormatting sqref="AG150">
    <cfRule type="dataBar" priority="334">
      <dataBar>
        <cfvo type="min"/>
        <cfvo type="max"/>
        <color rgb="FF63C384"/>
      </dataBar>
      <extLst>
        <ext xmlns:x14="http://schemas.microsoft.com/office/spreadsheetml/2009/9/main" uri="{B025F937-C7B1-47D3-B67F-A62EFF666E3E}">
          <x14:id>{31CE1617-ECFC-4CB1-A2B7-C8DD2B2732D1}</x14:id>
        </ext>
      </extLst>
    </cfRule>
  </conditionalFormatting>
  <conditionalFormatting sqref="Q144">
    <cfRule type="cellIs" dxfId="2192" priority="333" operator="equal">
      <formula>"ja"</formula>
    </cfRule>
  </conditionalFormatting>
  <conditionalFormatting sqref="AA144">
    <cfRule type="expression" dxfId="2191" priority="332">
      <formula>AND(AND($W144&lt;TODAY(),$W144&lt;&gt;""),$X144="")</formula>
    </cfRule>
  </conditionalFormatting>
  <conditionalFormatting sqref="AG144">
    <cfRule type="dataBar" priority="331">
      <dataBar>
        <cfvo type="min"/>
        <cfvo type="max"/>
        <color rgb="FF63C384"/>
      </dataBar>
      <extLst>
        <ext xmlns:x14="http://schemas.microsoft.com/office/spreadsheetml/2009/9/main" uri="{B025F937-C7B1-47D3-B67F-A62EFF666E3E}">
          <x14:id>{5491768A-6C45-43CE-8A84-08A97EBAA5D9}</x14:id>
        </ext>
      </extLst>
    </cfRule>
  </conditionalFormatting>
  <conditionalFormatting sqref="AG144">
    <cfRule type="dataBar" priority="330">
      <dataBar>
        <cfvo type="min"/>
        <cfvo type="max"/>
        <color rgb="FF63C384"/>
      </dataBar>
      <extLst>
        <ext xmlns:x14="http://schemas.microsoft.com/office/spreadsheetml/2009/9/main" uri="{B025F937-C7B1-47D3-B67F-A62EFF666E3E}">
          <x14:id>{56401191-1564-47C6-86C3-FE40654AC4A7}</x14:id>
        </ext>
      </extLst>
    </cfRule>
  </conditionalFormatting>
  <conditionalFormatting sqref="Q151">
    <cfRule type="cellIs" dxfId="2190" priority="329" operator="equal">
      <formula>"ja"</formula>
    </cfRule>
  </conditionalFormatting>
  <conditionalFormatting sqref="AA151">
    <cfRule type="expression" dxfId="2189" priority="328">
      <formula>AND(AND($W151&lt;TODAY(),$W151&lt;&gt;""),$X151="")</formula>
    </cfRule>
  </conditionalFormatting>
  <conditionalFormatting sqref="AG151">
    <cfRule type="dataBar" priority="327">
      <dataBar>
        <cfvo type="min"/>
        <cfvo type="max"/>
        <color rgb="FF63C384"/>
      </dataBar>
      <extLst>
        <ext xmlns:x14="http://schemas.microsoft.com/office/spreadsheetml/2009/9/main" uri="{B025F937-C7B1-47D3-B67F-A62EFF666E3E}">
          <x14:id>{094F5417-953D-49E2-AAC4-814EC3DDB21A}</x14:id>
        </ext>
      </extLst>
    </cfRule>
  </conditionalFormatting>
  <conditionalFormatting sqref="AG151">
    <cfRule type="dataBar" priority="326">
      <dataBar>
        <cfvo type="min"/>
        <cfvo type="max"/>
        <color rgb="FF63C384"/>
      </dataBar>
      <extLst>
        <ext xmlns:x14="http://schemas.microsoft.com/office/spreadsheetml/2009/9/main" uri="{B025F937-C7B1-47D3-B67F-A62EFF666E3E}">
          <x14:id>{06612EFA-45D9-4647-87B4-BFDE2AF6EE4B}</x14:id>
        </ext>
      </extLst>
    </cfRule>
  </conditionalFormatting>
  <conditionalFormatting sqref="Q152">
    <cfRule type="cellIs" dxfId="2188" priority="325" operator="equal">
      <formula>"ja"</formula>
    </cfRule>
  </conditionalFormatting>
  <conditionalFormatting sqref="AA152">
    <cfRule type="expression" dxfId="2187" priority="324">
      <formula>AND(AND($W152&lt;TODAY(),$W152&lt;&gt;""),$X152="")</formula>
    </cfRule>
  </conditionalFormatting>
  <conditionalFormatting sqref="AG152">
    <cfRule type="dataBar" priority="323">
      <dataBar>
        <cfvo type="min"/>
        <cfvo type="max"/>
        <color rgb="FF63C384"/>
      </dataBar>
      <extLst>
        <ext xmlns:x14="http://schemas.microsoft.com/office/spreadsheetml/2009/9/main" uri="{B025F937-C7B1-47D3-B67F-A62EFF666E3E}">
          <x14:id>{CC7D85E0-CEF3-459E-9BBD-3D2FF7954128}</x14:id>
        </ext>
      </extLst>
    </cfRule>
  </conditionalFormatting>
  <conditionalFormatting sqref="AG152">
    <cfRule type="dataBar" priority="322">
      <dataBar>
        <cfvo type="min"/>
        <cfvo type="max"/>
        <color rgb="FF63C384"/>
      </dataBar>
      <extLst>
        <ext xmlns:x14="http://schemas.microsoft.com/office/spreadsheetml/2009/9/main" uri="{B025F937-C7B1-47D3-B67F-A62EFF666E3E}">
          <x14:id>{D50B6469-BE38-4B0E-BE16-F1AE603221DA}</x14:id>
        </ext>
      </extLst>
    </cfRule>
  </conditionalFormatting>
  <conditionalFormatting sqref="Q153">
    <cfRule type="cellIs" dxfId="2186" priority="321" operator="equal">
      <formula>"ja"</formula>
    </cfRule>
  </conditionalFormatting>
  <conditionalFormatting sqref="AG153">
    <cfRule type="dataBar" priority="319">
      <dataBar>
        <cfvo type="min"/>
        <cfvo type="max"/>
        <color rgb="FF63C384"/>
      </dataBar>
      <extLst>
        <ext xmlns:x14="http://schemas.microsoft.com/office/spreadsheetml/2009/9/main" uri="{B025F937-C7B1-47D3-B67F-A62EFF666E3E}">
          <x14:id>{76044529-3B6A-4F21-AD0C-4E2260DA45DB}</x14:id>
        </ext>
      </extLst>
    </cfRule>
  </conditionalFormatting>
  <conditionalFormatting sqref="AG153">
    <cfRule type="dataBar" priority="318">
      <dataBar>
        <cfvo type="min"/>
        <cfvo type="max"/>
        <color rgb="FF63C384"/>
      </dataBar>
      <extLst>
        <ext xmlns:x14="http://schemas.microsoft.com/office/spreadsheetml/2009/9/main" uri="{B025F937-C7B1-47D3-B67F-A62EFF666E3E}">
          <x14:id>{6F707617-013E-4C59-B754-B931DFA2D44C}</x14:id>
        </ext>
      </extLst>
    </cfRule>
  </conditionalFormatting>
  <conditionalFormatting sqref="Q154">
    <cfRule type="cellIs" dxfId="2185" priority="317" operator="equal">
      <formula>"ja"</formula>
    </cfRule>
  </conditionalFormatting>
  <conditionalFormatting sqref="AA154">
    <cfRule type="expression" dxfId="2184" priority="316">
      <formula>AND(AND($W154&lt;TODAY(),$W154&lt;&gt;""),$X154="")</formula>
    </cfRule>
  </conditionalFormatting>
  <conditionalFormatting sqref="AG154">
    <cfRule type="dataBar" priority="315">
      <dataBar>
        <cfvo type="min"/>
        <cfvo type="max"/>
        <color rgb="FF63C384"/>
      </dataBar>
      <extLst>
        <ext xmlns:x14="http://schemas.microsoft.com/office/spreadsheetml/2009/9/main" uri="{B025F937-C7B1-47D3-B67F-A62EFF666E3E}">
          <x14:id>{794CF9F7-AB12-48BE-B5ED-97610DC9E06A}</x14:id>
        </ext>
      </extLst>
    </cfRule>
  </conditionalFormatting>
  <conditionalFormatting sqref="AG154">
    <cfRule type="dataBar" priority="314">
      <dataBar>
        <cfvo type="min"/>
        <cfvo type="max"/>
        <color rgb="FF63C384"/>
      </dataBar>
      <extLst>
        <ext xmlns:x14="http://schemas.microsoft.com/office/spreadsheetml/2009/9/main" uri="{B025F937-C7B1-47D3-B67F-A62EFF666E3E}">
          <x14:id>{68FBFA8F-88A8-43E8-BF21-FAA5964EB009}</x14:id>
        </ext>
      </extLst>
    </cfRule>
  </conditionalFormatting>
  <conditionalFormatting sqref="Q155">
    <cfRule type="cellIs" dxfId="2183" priority="313" operator="equal">
      <formula>"ja"</formula>
    </cfRule>
  </conditionalFormatting>
  <conditionalFormatting sqref="AA155">
    <cfRule type="expression" dxfId="2182" priority="312">
      <formula>AND(AND($W155&lt;TODAY(),$W155&lt;&gt;""),$X155="")</formula>
    </cfRule>
  </conditionalFormatting>
  <conditionalFormatting sqref="AG155">
    <cfRule type="dataBar" priority="311">
      <dataBar>
        <cfvo type="min"/>
        <cfvo type="max"/>
        <color rgb="FF63C384"/>
      </dataBar>
      <extLst>
        <ext xmlns:x14="http://schemas.microsoft.com/office/spreadsheetml/2009/9/main" uri="{B025F937-C7B1-47D3-B67F-A62EFF666E3E}">
          <x14:id>{B3DFD3C6-26E6-429F-85A2-DEDA65456911}</x14:id>
        </ext>
      </extLst>
    </cfRule>
  </conditionalFormatting>
  <conditionalFormatting sqref="AG155">
    <cfRule type="dataBar" priority="310">
      <dataBar>
        <cfvo type="min"/>
        <cfvo type="max"/>
        <color rgb="FF63C384"/>
      </dataBar>
      <extLst>
        <ext xmlns:x14="http://schemas.microsoft.com/office/spreadsheetml/2009/9/main" uri="{B025F937-C7B1-47D3-B67F-A62EFF666E3E}">
          <x14:id>{E322AA8A-4483-4DA0-B1EA-EE6C3315D782}</x14:id>
        </ext>
      </extLst>
    </cfRule>
  </conditionalFormatting>
  <conditionalFormatting sqref="AA158">
    <cfRule type="expression" dxfId="2181" priority="309">
      <formula>AND(AND($W158&lt;TODAY(),$W158&lt;&gt;""),$X158="")</formula>
    </cfRule>
  </conditionalFormatting>
  <conditionalFormatting sqref="Q158">
    <cfRule type="cellIs" dxfId="2180" priority="308" operator="equal">
      <formula>"ja"</formula>
    </cfRule>
  </conditionalFormatting>
  <conditionalFormatting sqref="AG158">
    <cfRule type="dataBar" priority="307">
      <dataBar>
        <cfvo type="min"/>
        <cfvo type="max"/>
        <color rgb="FF63C384"/>
      </dataBar>
      <extLst>
        <ext xmlns:x14="http://schemas.microsoft.com/office/spreadsheetml/2009/9/main" uri="{B025F937-C7B1-47D3-B67F-A62EFF666E3E}">
          <x14:id>{E9A45B58-3989-49FB-99D7-2EDEB1AC0DAC}</x14:id>
        </ext>
      </extLst>
    </cfRule>
  </conditionalFormatting>
  <conditionalFormatting sqref="AG158">
    <cfRule type="dataBar" priority="306">
      <dataBar>
        <cfvo type="min"/>
        <cfvo type="max"/>
        <color rgb="FF63C384"/>
      </dataBar>
      <extLst>
        <ext xmlns:x14="http://schemas.microsoft.com/office/spreadsheetml/2009/9/main" uri="{B025F937-C7B1-47D3-B67F-A62EFF666E3E}">
          <x14:id>{EF3B8685-E3B6-4660-934B-39D00EF9020B}</x14:id>
        </ext>
      </extLst>
    </cfRule>
  </conditionalFormatting>
  <conditionalFormatting sqref="Q159">
    <cfRule type="cellIs" dxfId="2179" priority="305" operator="equal">
      <formula>"ja"</formula>
    </cfRule>
  </conditionalFormatting>
  <conditionalFormatting sqref="AA159">
    <cfRule type="expression" dxfId="2178" priority="304">
      <formula>AND(AND($W159&lt;TODAY(),$W159&lt;&gt;""),$X159="")</formula>
    </cfRule>
  </conditionalFormatting>
  <conditionalFormatting sqref="AG159">
    <cfRule type="dataBar" priority="303">
      <dataBar>
        <cfvo type="min"/>
        <cfvo type="max"/>
        <color rgb="FF63C384"/>
      </dataBar>
      <extLst>
        <ext xmlns:x14="http://schemas.microsoft.com/office/spreadsheetml/2009/9/main" uri="{B025F937-C7B1-47D3-B67F-A62EFF666E3E}">
          <x14:id>{6816A3D4-5FD9-4AB6-A3A0-33CEF8C5AA58}</x14:id>
        </ext>
      </extLst>
    </cfRule>
  </conditionalFormatting>
  <conditionalFormatting sqref="AG159">
    <cfRule type="dataBar" priority="302">
      <dataBar>
        <cfvo type="min"/>
        <cfvo type="max"/>
        <color rgb="FF63C384"/>
      </dataBar>
      <extLst>
        <ext xmlns:x14="http://schemas.microsoft.com/office/spreadsheetml/2009/9/main" uri="{B025F937-C7B1-47D3-B67F-A62EFF666E3E}">
          <x14:id>{1A1D037B-9E83-4B51-BE47-FF11622D515B}</x14:id>
        </ext>
      </extLst>
    </cfRule>
  </conditionalFormatting>
  <conditionalFormatting sqref="AA160">
    <cfRule type="expression" dxfId="2177" priority="301">
      <formula>AND(AND($W160&lt;TODAY(),$W160&lt;&gt;""),$X160="")</formula>
    </cfRule>
  </conditionalFormatting>
  <conditionalFormatting sqref="AG160">
    <cfRule type="dataBar" priority="300">
      <dataBar>
        <cfvo type="min"/>
        <cfvo type="max"/>
        <color rgb="FF63C384"/>
      </dataBar>
      <extLst>
        <ext xmlns:x14="http://schemas.microsoft.com/office/spreadsheetml/2009/9/main" uri="{B025F937-C7B1-47D3-B67F-A62EFF666E3E}">
          <x14:id>{A31D2164-8CD5-434C-80FC-EEAA588C7525}</x14:id>
        </ext>
      </extLst>
    </cfRule>
  </conditionalFormatting>
  <conditionalFormatting sqref="AG160">
    <cfRule type="dataBar" priority="299">
      <dataBar>
        <cfvo type="min"/>
        <cfvo type="max"/>
        <color rgb="FF63C384"/>
      </dataBar>
      <extLst>
        <ext xmlns:x14="http://schemas.microsoft.com/office/spreadsheetml/2009/9/main" uri="{B025F937-C7B1-47D3-B67F-A62EFF666E3E}">
          <x14:id>{0518FE2F-DCCB-4BF6-AF7E-7B9440A0B86D}</x14:id>
        </ext>
      </extLst>
    </cfRule>
  </conditionalFormatting>
  <conditionalFormatting sqref="Q160">
    <cfRule type="cellIs" dxfId="2176" priority="298" operator="equal">
      <formula>"ja"</formula>
    </cfRule>
  </conditionalFormatting>
  <conditionalFormatting sqref="AA161">
    <cfRule type="expression" dxfId="2175" priority="297">
      <formula>AND(AND($W161&lt;TODAY(),$W161&lt;&gt;""),$X161="")</formula>
    </cfRule>
  </conditionalFormatting>
  <conditionalFormatting sqref="Q161">
    <cfRule type="cellIs" dxfId="2174" priority="296" operator="equal">
      <formula>"ja"</formula>
    </cfRule>
  </conditionalFormatting>
  <conditionalFormatting sqref="AG161">
    <cfRule type="dataBar" priority="295">
      <dataBar>
        <cfvo type="min"/>
        <cfvo type="max"/>
        <color rgb="FF63C384"/>
      </dataBar>
      <extLst>
        <ext xmlns:x14="http://schemas.microsoft.com/office/spreadsheetml/2009/9/main" uri="{B025F937-C7B1-47D3-B67F-A62EFF666E3E}">
          <x14:id>{83233C83-90E2-4B53-9722-F9C939E24560}</x14:id>
        </ext>
      </extLst>
    </cfRule>
  </conditionalFormatting>
  <conditionalFormatting sqref="AG161">
    <cfRule type="dataBar" priority="294">
      <dataBar>
        <cfvo type="min"/>
        <cfvo type="max"/>
        <color rgb="FF63C384"/>
      </dataBar>
      <extLst>
        <ext xmlns:x14="http://schemas.microsoft.com/office/spreadsheetml/2009/9/main" uri="{B025F937-C7B1-47D3-B67F-A62EFF666E3E}">
          <x14:id>{0B83A23A-1D91-4108-AF98-851A8C2C9158}</x14:id>
        </ext>
      </extLst>
    </cfRule>
  </conditionalFormatting>
  <conditionalFormatting sqref="Q162">
    <cfRule type="cellIs" dxfId="2173" priority="293" operator="equal">
      <formula>"ja"</formula>
    </cfRule>
  </conditionalFormatting>
  <conditionalFormatting sqref="AA162">
    <cfRule type="expression" dxfId="2172" priority="292">
      <formula>AND(AND($W162&lt;TODAY(),$W162&lt;&gt;""),$X162="")</formula>
    </cfRule>
  </conditionalFormatting>
  <conditionalFormatting sqref="AG162">
    <cfRule type="dataBar" priority="291">
      <dataBar>
        <cfvo type="min"/>
        <cfvo type="max"/>
        <color rgb="FF63C384"/>
      </dataBar>
      <extLst>
        <ext xmlns:x14="http://schemas.microsoft.com/office/spreadsheetml/2009/9/main" uri="{B025F937-C7B1-47D3-B67F-A62EFF666E3E}">
          <x14:id>{32A77051-B9C0-49DB-90C7-02EC9AC8B3EB}</x14:id>
        </ext>
      </extLst>
    </cfRule>
  </conditionalFormatting>
  <conditionalFormatting sqref="AG162">
    <cfRule type="dataBar" priority="290">
      <dataBar>
        <cfvo type="min"/>
        <cfvo type="max"/>
        <color rgb="FF63C384"/>
      </dataBar>
      <extLst>
        <ext xmlns:x14="http://schemas.microsoft.com/office/spreadsheetml/2009/9/main" uri="{B025F937-C7B1-47D3-B67F-A62EFF666E3E}">
          <x14:id>{B8E3C382-5D22-4D2D-B351-342D6B4724CA}</x14:id>
        </ext>
      </extLst>
    </cfRule>
  </conditionalFormatting>
  <conditionalFormatting sqref="Q163">
    <cfRule type="cellIs" dxfId="2171" priority="289" operator="equal">
      <formula>"ja"</formula>
    </cfRule>
  </conditionalFormatting>
  <conditionalFormatting sqref="AA163">
    <cfRule type="expression" dxfId="2170" priority="288">
      <formula>AND(AND($W163&lt;TODAY(),$W163&lt;&gt;""),$X163="")</formula>
    </cfRule>
  </conditionalFormatting>
  <conditionalFormatting sqref="AG163">
    <cfRule type="dataBar" priority="287">
      <dataBar>
        <cfvo type="min"/>
        <cfvo type="max"/>
        <color rgb="FF63C384"/>
      </dataBar>
      <extLst>
        <ext xmlns:x14="http://schemas.microsoft.com/office/spreadsheetml/2009/9/main" uri="{B025F937-C7B1-47D3-B67F-A62EFF666E3E}">
          <x14:id>{B71084B3-B0FD-416F-B16A-F362865E3B0C}</x14:id>
        </ext>
      </extLst>
    </cfRule>
  </conditionalFormatting>
  <conditionalFormatting sqref="AG163">
    <cfRule type="dataBar" priority="286">
      <dataBar>
        <cfvo type="min"/>
        <cfvo type="max"/>
        <color rgb="FF63C384"/>
      </dataBar>
      <extLst>
        <ext xmlns:x14="http://schemas.microsoft.com/office/spreadsheetml/2009/9/main" uri="{B025F937-C7B1-47D3-B67F-A62EFF666E3E}">
          <x14:id>{D5723DC2-130E-4737-B6CD-5028CF9978C7}</x14:id>
        </ext>
      </extLst>
    </cfRule>
  </conditionalFormatting>
  <conditionalFormatting sqref="Q168">
    <cfRule type="cellIs" dxfId="2169" priority="285" operator="equal">
      <formula>"ja"</formula>
    </cfRule>
  </conditionalFormatting>
  <conditionalFormatting sqref="Q156">
    <cfRule type="cellIs" dxfId="2168" priority="284" operator="equal">
      <formula>"ja"</formula>
    </cfRule>
  </conditionalFormatting>
  <conditionalFormatting sqref="AA156">
    <cfRule type="expression" dxfId="2167" priority="283">
      <formula>AND(AND($W156&lt;TODAY(),$W156&lt;&gt;""),$X156="")</formula>
    </cfRule>
  </conditionalFormatting>
  <conditionalFormatting sqref="AG156">
    <cfRule type="dataBar" priority="282">
      <dataBar>
        <cfvo type="min"/>
        <cfvo type="max"/>
        <color rgb="FF63C384"/>
      </dataBar>
      <extLst>
        <ext xmlns:x14="http://schemas.microsoft.com/office/spreadsheetml/2009/9/main" uri="{B025F937-C7B1-47D3-B67F-A62EFF666E3E}">
          <x14:id>{CE7D86C5-96F1-47BF-9DD9-1833DCFF48E3}</x14:id>
        </ext>
      </extLst>
    </cfRule>
  </conditionalFormatting>
  <conditionalFormatting sqref="AG156">
    <cfRule type="dataBar" priority="281">
      <dataBar>
        <cfvo type="min"/>
        <cfvo type="max"/>
        <color rgb="FF63C384"/>
      </dataBar>
      <extLst>
        <ext xmlns:x14="http://schemas.microsoft.com/office/spreadsheetml/2009/9/main" uri="{B025F937-C7B1-47D3-B67F-A62EFF666E3E}">
          <x14:id>{4C3A9141-B373-408B-AED7-C0862B055E31}</x14:id>
        </ext>
      </extLst>
    </cfRule>
  </conditionalFormatting>
  <conditionalFormatting sqref="AA157">
    <cfRule type="expression" dxfId="2166" priority="280">
      <formula>AND(AND($W157&lt;TODAY(),$W157&lt;&gt;""),$X157="")</formula>
    </cfRule>
  </conditionalFormatting>
  <conditionalFormatting sqref="Q157">
    <cfRule type="cellIs" dxfId="2165" priority="279" operator="equal">
      <formula>"ja"</formula>
    </cfRule>
  </conditionalFormatting>
  <conditionalFormatting sqref="AG157">
    <cfRule type="dataBar" priority="278">
      <dataBar>
        <cfvo type="min"/>
        <cfvo type="max"/>
        <color rgb="FF63C384"/>
      </dataBar>
      <extLst>
        <ext xmlns:x14="http://schemas.microsoft.com/office/spreadsheetml/2009/9/main" uri="{B025F937-C7B1-47D3-B67F-A62EFF666E3E}">
          <x14:id>{97D0FA1A-8EC4-47A7-B867-BEC7A466F654}</x14:id>
        </ext>
      </extLst>
    </cfRule>
  </conditionalFormatting>
  <conditionalFormatting sqref="AG157">
    <cfRule type="dataBar" priority="277">
      <dataBar>
        <cfvo type="min"/>
        <cfvo type="max"/>
        <color rgb="FF63C384"/>
      </dataBar>
      <extLst>
        <ext xmlns:x14="http://schemas.microsoft.com/office/spreadsheetml/2009/9/main" uri="{B025F937-C7B1-47D3-B67F-A62EFF666E3E}">
          <x14:id>{37BB5FE0-11B0-4A1D-930B-449EDC7F0B07}</x14:id>
        </ext>
      </extLst>
    </cfRule>
  </conditionalFormatting>
  <conditionalFormatting sqref="AA164">
    <cfRule type="expression" dxfId="2164" priority="276">
      <formula>AND(AND($W164&lt;TODAY(),$W164&lt;&gt;""),$X164="")</formula>
    </cfRule>
  </conditionalFormatting>
  <conditionalFormatting sqref="Q164">
    <cfRule type="cellIs" dxfId="2163" priority="275" operator="equal">
      <formula>"ja"</formula>
    </cfRule>
  </conditionalFormatting>
  <conditionalFormatting sqref="AG164">
    <cfRule type="dataBar" priority="274">
      <dataBar>
        <cfvo type="min"/>
        <cfvo type="max"/>
        <color rgb="FF63C384"/>
      </dataBar>
      <extLst>
        <ext xmlns:x14="http://schemas.microsoft.com/office/spreadsheetml/2009/9/main" uri="{B025F937-C7B1-47D3-B67F-A62EFF666E3E}">
          <x14:id>{16BB8ED9-CB95-47F7-8906-8698C9AF696E}</x14:id>
        </ext>
      </extLst>
    </cfRule>
  </conditionalFormatting>
  <conditionalFormatting sqref="Q165">
    <cfRule type="cellIs" dxfId="2162" priority="273" operator="equal">
      <formula>"ja"</formula>
    </cfRule>
  </conditionalFormatting>
  <conditionalFormatting sqref="AA165">
    <cfRule type="expression" dxfId="2161" priority="272">
      <formula>AND(AND($W165&lt;TODAY(),$W165&lt;&gt;""),$X165="")</formula>
    </cfRule>
  </conditionalFormatting>
  <conditionalFormatting sqref="AG165">
    <cfRule type="dataBar" priority="271">
      <dataBar>
        <cfvo type="min"/>
        <cfvo type="max"/>
        <color rgb="FF63C384"/>
      </dataBar>
      <extLst>
        <ext xmlns:x14="http://schemas.microsoft.com/office/spreadsheetml/2009/9/main" uri="{B025F937-C7B1-47D3-B67F-A62EFF666E3E}">
          <x14:id>{16CC5A4F-CD2A-4BA8-A7E7-7447B710011D}</x14:id>
        </ext>
      </extLst>
    </cfRule>
  </conditionalFormatting>
  <conditionalFormatting sqref="AG165">
    <cfRule type="dataBar" priority="270">
      <dataBar>
        <cfvo type="min"/>
        <cfvo type="max"/>
        <color rgb="FF63C384"/>
      </dataBar>
      <extLst>
        <ext xmlns:x14="http://schemas.microsoft.com/office/spreadsheetml/2009/9/main" uri="{B025F937-C7B1-47D3-B67F-A62EFF666E3E}">
          <x14:id>{627B5BCA-D147-42D0-83B6-DE677EA2F3C8}</x14:id>
        </ext>
      </extLst>
    </cfRule>
  </conditionalFormatting>
  <conditionalFormatting sqref="AA166">
    <cfRule type="expression" dxfId="2160" priority="269">
      <formula>AND(AND($W166&lt;TODAY(),$W166&lt;&gt;""),$X166="")</formula>
    </cfRule>
  </conditionalFormatting>
  <conditionalFormatting sqref="AG166">
    <cfRule type="dataBar" priority="268">
      <dataBar>
        <cfvo type="min"/>
        <cfvo type="max"/>
        <color rgb="FF63C384"/>
      </dataBar>
      <extLst>
        <ext xmlns:x14="http://schemas.microsoft.com/office/spreadsheetml/2009/9/main" uri="{B025F937-C7B1-47D3-B67F-A62EFF666E3E}">
          <x14:id>{BFEF9B95-3B2C-49AE-8CF1-86A14F1ED329}</x14:id>
        </ext>
      </extLst>
    </cfRule>
  </conditionalFormatting>
  <conditionalFormatting sqref="AG166">
    <cfRule type="dataBar" priority="267">
      <dataBar>
        <cfvo type="min"/>
        <cfvo type="max"/>
        <color rgb="FF63C384"/>
      </dataBar>
      <extLst>
        <ext xmlns:x14="http://schemas.microsoft.com/office/spreadsheetml/2009/9/main" uri="{B025F937-C7B1-47D3-B67F-A62EFF666E3E}">
          <x14:id>{875ACD6D-1D7B-40F9-9539-FE3B15B3473E}</x14:id>
        </ext>
      </extLst>
    </cfRule>
  </conditionalFormatting>
  <conditionalFormatting sqref="Q166">
    <cfRule type="cellIs" dxfId="2159" priority="266" operator="equal">
      <formula>"ja"</formula>
    </cfRule>
  </conditionalFormatting>
  <conditionalFormatting sqref="Q167">
    <cfRule type="cellIs" dxfId="2158" priority="265" operator="equal">
      <formula>"ja"</formula>
    </cfRule>
  </conditionalFormatting>
  <conditionalFormatting sqref="AA167">
    <cfRule type="expression" dxfId="2157" priority="264">
      <formula>AND(AND($W167&lt;TODAY(),$W167&lt;&gt;""),$X167="")</formula>
    </cfRule>
  </conditionalFormatting>
  <conditionalFormatting sqref="AG167">
    <cfRule type="dataBar" priority="263">
      <dataBar>
        <cfvo type="min"/>
        <cfvo type="max"/>
        <color rgb="FF63C384"/>
      </dataBar>
      <extLst>
        <ext xmlns:x14="http://schemas.microsoft.com/office/spreadsheetml/2009/9/main" uri="{B025F937-C7B1-47D3-B67F-A62EFF666E3E}">
          <x14:id>{243099A7-6309-49FE-94B6-42960E0C79B1}</x14:id>
        </ext>
      </extLst>
    </cfRule>
  </conditionalFormatting>
  <conditionalFormatting sqref="AG167">
    <cfRule type="dataBar" priority="262">
      <dataBar>
        <cfvo type="min"/>
        <cfvo type="max"/>
        <color rgb="FF63C384"/>
      </dataBar>
      <extLst>
        <ext xmlns:x14="http://schemas.microsoft.com/office/spreadsheetml/2009/9/main" uri="{B025F937-C7B1-47D3-B67F-A62EFF666E3E}">
          <x14:id>{9E01AF57-D53B-4566-8238-9F5F21F03573}</x14:id>
        </ext>
      </extLst>
    </cfRule>
  </conditionalFormatting>
  <conditionalFormatting sqref="AA168">
    <cfRule type="expression" dxfId="2156" priority="261">
      <formula>AND(AND($W168&lt;TODAY(),$W168&lt;&gt;""),$X168="")</formula>
    </cfRule>
  </conditionalFormatting>
  <conditionalFormatting sqref="AG168">
    <cfRule type="dataBar" priority="260">
      <dataBar>
        <cfvo type="min"/>
        <cfvo type="max"/>
        <color rgb="FF63C384"/>
      </dataBar>
      <extLst>
        <ext xmlns:x14="http://schemas.microsoft.com/office/spreadsheetml/2009/9/main" uri="{B025F937-C7B1-47D3-B67F-A62EFF666E3E}">
          <x14:id>{A951543F-4E69-40BF-9A4F-0A22F30D220D}</x14:id>
        </ext>
      </extLst>
    </cfRule>
  </conditionalFormatting>
  <conditionalFormatting sqref="AG168">
    <cfRule type="dataBar" priority="259">
      <dataBar>
        <cfvo type="min"/>
        <cfvo type="max"/>
        <color rgb="FF63C384"/>
      </dataBar>
      <extLst>
        <ext xmlns:x14="http://schemas.microsoft.com/office/spreadsheetml/2009/9/main" uri="{B025F937-C7B1-47D3-B67F-A62EFF666E3E}">
          <x14:id>{5B28F3F4-3E67-4685-BDC2-86F7617C2314}</x14:id>
        </ext>
      </extLst>
    </cfRule>
  </conditionalFormatting>
  <conditionalFormatting sqref="AA169">
    <cfRule type="expression" dxfId="2155" priority="258">
      <formula>AND(AND($W169&lt;TODAY(),$W169&lt;&gt;""),$X169="")</formula>
    </cfRule>
  </conditionalFormatting>
  <conditionalFormatting sqref="AG169">
    <cfRule type="dataBar" priority="257">
      <dataBar>
        <cfvo type="min"/>
        <cfvo type="max"/>
        <color rgb="FF63C384"/>
      </dataBar>
      <extLst>
        <ext xmlns:x14="http://schemas.microsoft.com/office/spreadsheetml/2009/9/main" uri="{B025F937-C7B1-47D3-B67F-A62EFF666E3E}">
          <x14:id>{0CBC8809-31EA-4DEB-8CE1-645354EB5367}</x14:id>
        </ext>
      </extLst>
    </cfRule>
  </conditionalFormatting>
  <conditionalFormatting sqref="AG169">
    <cfRule type="dataBar" priority="256">
      <dataBar>
        <cfvo type="min"/>
        <cfvo type="max"/>
        <color rgb="FF63C384"/>
      </dataBar>
      <extLst>
        <ext xmlns:x14="http://schemas.microsoft.com/office/spreadsheetml/2009/9/main" uri="{B025F937-C7B1-47D3-B67F-A62EFF666E3E}">
          <x14:id>{6A4AEDB4-2628-46F2-A21C-72A56F78939B}</x14:id>
        </ext>
      </extLst>
    </cfRule>
  </conditionalFormatting>
  <conditionalFormatting sqref="Q170">
    <cfRule type="cellIs" dxfId="2154" priority="255" operator="equal">
      <formula>"ja"</formula>
    </cfRule>
  </conditionalFormatting>
  <conditionalFormatting sqref="AA170">
    <cfRule type="expression" dxfId="2153" priority="254">
      <formula>AND(AND($W170&lt;TODAY(),$W170&lt;&gt;""),$X170="")</formula>
    </cfRule>
  </conditionalFormatting>
  <conditionalFormatting sqref="AG170">
    <cfRule type="dataBar" priority="253">
      <dataBar>
        <cfvo type="min"/>
        <cfvo type="max"/>
        <color rgb="FF63C384"/>
      </dataBar>
      <extLst>
        <ext xmlns:x14="http://schemas.microsoft.com/office/spreadsheetml/2009/9/main" uri="{B025F937-C7B1-47D3-B67F-A62EFF666E3E}">
          <x14:id>{6F9E57E2-F8A3-41F3-A728-2757D75100A1}</x14:id>
        </ext>
      </extLst>
    </cfRule>
  </conditionalFormatting>
  <conditionalFormatting sqref="AG170">
    <cfRule type="dataBar" priority="252">
      <dataBar>
        <cfvo type="min"/>
        <cfvo type="max"/>
        <color rgb="FF63C384"/>
      </dataBar>
      <extLst>
        <ext xmlns:x14="http://schemas.microsoft.com/office/spreadsheetml/2009/9/main" uri="{B025F937-C7B1-47D3-B67F-A62EFF666E3E}">
          <x14:id>{D2440597-37A7-41DE-9E73-F7C9AE46B9C2}</x14:id>
        </ext>
      </extLst>
    </cfRule>
  </conditionalFormatting>
  <conditionalFormatting sqref="AA171">
    <cfRule type="expression" dxfId="2152" priority="251">
      <formula>AND(AND($W171&lt;TODAY(),$W171&lt;&gt;""),$X171="")</formula>
    </cfRule>
  </conditionalFormatting>
  <conditionalFormatting sqref="AG171">
    <cfRule type="dataBar" priority="250">
      <dataBar>
        <cfvo type="min"/>
        <cfvo type="max"/>
        <color rgb="FF63C384"/>
      </dataBar>
      <extLst>
        <ext xmlns:x14="http://schemas.microsoft.com/office/spreadsheetml/2009/9/main" uri="{B025F937-C7B1-47D3-B67F-A62EFF666E3E}">
          <x14:id>{B672CB17-E047-4243-9A3F-72A8709F8899}</x14:id>
        </ext>
      </extLst>
    </cfRule>
  </conditionalFormatting>
  <conditionalFormatting sqref="AG171">
    <cfRule type="dataBar" priority="249">
      <dataBar>
        <cfvo type="min"/>
        <cfvo type="max"/>
        <color rgb="FF63C384"/>
      </dataBar>
      <extLst>
        <ext xmlns:x14="http://schemas.microsoft.com/office/spreadsheetml/2009/9/main" uri="{B025F937-C7B1-47D3-B67F-A62EFF666E3E}">
          <x14:id>{C898E76E-1E4C-41FF-9946-273720106B8F}</x14:id>
        </ext>
      </extLst>
    </cfRule>
  </conditionalFormatting>
  <conditionalFormatting sqref="AA172">
    <cfRule type="expression" dxfId="2151" priority="248">
      <formula>AND(AND($W172&lt;TODAY(),$W172&lt;&gt;""),$X172="")</formula>
    </cfRule>
  </conditionalFormatting>
  <conditionalFormatting sqref="Q172">
    <cfRule type="cellIs" dxfId="2150" priority="247" operator="equal">
      <formula>"ja"</formula>
    </cfRule>
  </conditionalFormatting>
  <conditionalFormatting sqref="AG172">
    <cfRule type="dataBar" priority="246">
      <dataBar>
        <cfvo type="min"/>
        <cfvo type="max"/>
        <color rgb="FF63C384"/>
      </dataBar>
      <extLst>
        <ext xmlns:x14="http://schemas.microsoft.com/office/spreadsheetml/2009/9/main" uri="{B025F937-C7B1-47D3-B67F-A62EFF666E3E}">
          <x14:id>{8DC446B5-10CC-4DC8-9815-3546EB1D37D4}</x14:id>
        </ext>
      </extLst>
    </cfRule>
  </conditionalFormatting>
  <conditionalFormatting sqref="AG172">
    <cfRule type="dataBar" priority="245">
      <dataBar>
        <cfvo type="min"/>
        <cfvo type="max"/>
        <color rgb="FF63C384"/>
      </dataBar>
      <extLst>
        <ext xmlns:x14="http://schemas.microsoft.com/office/spreadsheetml/2009/9/main" uri="{B025F937-C7B1-47D3-B67F-A62EFF666E3E}">
          <x14:id>{C992D39E-3FE1-4D4F-B328-2575132E8903}</x14:id>
        </ext>
      </extLst>
    </cfRule>
  </conditionalFormatting>
  <conditionalFormatting sqref="Q173">
    <cfRule type="cellIs" dxfId="2149" priority="244" operator="equal">
      <formula>"ja"</formula>
    </cfRule>
  </conditionalFormatting>
  <conditionalFormatting sqref="AA173">
    <cfRule type="expression" dxfId="2148" priority="243">
      <formula>AND(AND($W173&lt;TODAY(),$W173&lt;&gt;""),$X173="")</formula>
    </cfRule>
  </conditionalFormatting>
  <conditionalFormatting sqref="AG173">
    <cfRule type="dataBar" priority="242">
      <dataBar>
        <cfvo type="min"/>
        <cfvo type="max"/>
        <color rgb="FF63C384"/>
      </dataBar>
      <extLst>
        <ext xmlns:x14="http://schemas.microsoft.com/office/spreadsheetml/2009/9/main" uri="{B025F937-C7B1-47D3-B67F-A62EFF666E3E}">
          <x14:id>{37E526DB-6A04-4627-984A-93AB94677A91}</x14:id>
        </ext>
      </extLst>
    </cfRule>
  </conditionalFormatting>
  <conditionalFormatting sqref="AG173">
    <cfRule type="dataBar" priority="241">
      <dataBar>
        <cfvo type="min"/>
        <cfvo type="max"/>
        <color rgb="FF63C384"/>
      </dataBar>
      <extLst>
        <ext xmlns:x14="http://schemas.microsoft.com/office/spreadsheetml/2009/9/main" uri="{B025F937-C7B1-47D3-B67F-A62EFF666E3E}">
          <x14:id>{8DAF25F3-359D-43B7-AC80-A56537499AF3}</x14:id>
        </ext>
      </extLst>
    </cfRule>
  </conditionalFormatting>
  <conditionalFormatting sqref="Q174">
    <cfRule type="cellIs" dxfId="2147" priority="240" operator="equal">
      <formula>"ja"</formula>
    </cfRule>
  </conditionalFormatting>
  <conditionalFormatting sqref="AA174">
    <cfRule type="expression" dxfId="2146" priority="239">
      <formula>AND(AND($W174&lt;TODAY(),$W174&lt;&gt;""),$X174="")</formula>
    </cfRule>
  </conditionalFormatting>
  <conditionalFormatting sqref="AG174">
    <cfRule type="dataBar" priority="238">
      <dataBar>
        <cfvo type="min"/>
        <cfvo type="max"/>
        <color rgb="FF63C384"/>
      </dataBar>
      <extLst>
        <ext xmlns:x14="http://schemas.microsoft.com/office/spreadsheetml/2009/9/main" uri="{B025F937-C7B1-47D3-B67F-A62EFF666E3E}">
          <x14:id>{89640A8A-A13A-4E5C-8173-4CC15EFD43D5}</x14:id>
        </ext>
      </extLst>
    </cfRule>
  </conditionalFormatting>
  <conditionalFormatting sqref="AG174">
    <cfRule type="dataBar" priority="237">
      <dataBar>
        <cfvo type="min"/>
        <cfvo type="max"/>
        <color rgb="FF63C384"/>
      </dataBar>
      <extLst>
        <ext xmlns:x14="http://schemas.microsoft.com/office/spreadsheetml/2009/9/main" uri="{B025F937-C7B1-47D3-B67F-A62EFF666E3E}">
          <x14:id>{96A0B4BD-4860-4EDD-A275-F60B29A74E5E}</x14:id>
        </ext>
      </extLst>
    </cfRule>
  </conditionalFormatting>
  <conditionalFormatting sqref="Q175">
    <cfRule type="cellIs" dxfId="2145" priority="236" operator="equal">
      <formula>"ja"</formula>
    </cfRule>
  </conditionalFormatting>
  <conditionalFormatting sqref="AA175">
    <cfRule type="expression" dxfId="2144" priority="235">
      <formula>AND(AND($W175&lt;TODAY(),$W175&lt;&gt;""),$X175="")</formula>
    </cfRule>
  </conditionalFormatting>
  <conditionalFormatting sqref="AG175">
    <cfRule type="dataBar" priority="234">
      <dataBar>
        <cfvo type="min"/>
        <cfvo type="max"/>
        <color rgb="FF63C384"/>
      </dataBar>
      <extLst>
        <ext xmlns:x14="http://schemas.microsoft.com/office/spreadsheetml/2009/9/main" uri="{B025F937-C7B1-47D3-B67F-A62EFF666E3E}">
          <x14:id>{FC331263-670F-4A83-A6C5-CCB2E26EB210}</x14:id>
        </ext>
      </extLst>
    </cfRule>
  </conditionalFormatting>
  <conditionalFormatting sqref="AG175">
    <cfRule type="dataBar" priority="233">
      <dataBar>
        <cfvo type="min"/>
        <cfvo type="max"/>
        <color rgb="FF63C384"/>
      </dataBar>
      <extLst>
        <ext xmlns:x14="http://schemas.microsoft.com/office/spreadsheetml/2009/9/main" uri="{B025F937-C7B1-47D3-B67F-A62EFF666E3E}">
          <x14:id>{F8744FEE-0710-4CBF-B1C7-467B7A3B8C01}</x14:id>
        </ext>
      </extLst>
    </cfRule>
  </conditionalFormatting>
  <conditionalFormatting sqref="AA176">
    <cfRule type="expression" dxfId="2143" priority="232">
      <formula>AND(AND($W176&lt;TODAY(),$W176&lt;&gt;""),$X176="")</formula>
    </cfRule>
  </conditionalFormatting>
  <conditionalFormatting sqref="Q176">
    <cfRule type="cellIs" dxfId="2142" priority="231" operator="equal">
      <formula>"ja"</formula>
    </cfRule>
  </conditionalFormatting>
  <conditionalFormatting sqref="AG176">
    <cfRule type="dataBar" priority="230">
      <dataBar>
        <cfvo type="min"/>
        <cfvo type="max"/>
        <color rgb="FF63C384"/>
      </dataBar>
      <extLst>
        <ext xmlns:x14="http://schemas.microsoft.com/office/spreadsheetml/2009/9/main" uri="{B025F937-C7B1-47D3-B67F-A62EFF666E3E}">
          <x14:id>{70992BE4-5D92-40D9-8705-8A70F6DAC988}</x14:id>
        </ext>
      </extLst>
    </cfRule>
  </conditionalFormatting>
  <conditionalFormatting sqref="AG176">
    <cfRule type="dataBar" priority="229">
      <dataBar>
        <cfvo type="min"/>
        <cfvo type="max"/>
        <color rgb="FF63C384"/>
      </dataBar>
      <extLst>
        <ext xmlns:x14="http://schemas.microsoft.com/office/spreadsheetml/2009/9/main" uri="{B025F937-C7B1-47D3-B67F-A62EFF666E3E}">
          <x14:id>{3CD950FA-F61E-4332-A568-168755FCD71D}</x14:id>
        </ext>
      </extLst>
    </cfRule>
  </conditionalFormatting>
  <conditionalFormatting sqref="Q177">
    <cfRule type="cellIs" dxfId="2141" priority="228" operator="equal">
      <formula>"ja"</formula>
    </cfRule>
  </conditionalFormatting>
  <conditionalFormatting sqref="AA177">
    <cfRule type="expression" dxfId="2140" priority="227">
      <formula>AND(AND($W177&lt;TODAY(),$W177&lt;&gt;""),$X177="")</formula>
    </cfRule>
  </conditionalFormatting>
  <conditionalFormatting sqref="AG177">
    <cfRule type="dataBar" priority="226">
      <dataBar>
        <cfvo type="min"/>
        <cfvo type="max"/>
        <color rgb="FF63C384"/>
      </dataBar>
      <extLst>
        <ext xmlns:x14="http://schemas.microsoft.com/office/spreadsheetml/2009/9/main" uri="{B025F937-C7B1-47D3-B67F-A62EFF666E3E}">
          <x14:id>{D085F05E-22C6-47EB-952B-B73C77744E46}</x14:id>
        </ext>
      </extLst>
    </cfRule>
  </conditionalFormatting>
  <conditionalFormatting sqref="AG177">
    <cfRule type="dataBar" priority="225">
      <dataBar>
        <cfvo type="min"/>
        <cfvo type="max"/>
        <color rgb="FF63C384"/>
      </dataBar>
      <extLst>
        <ext xmlns:x14="http://schemas.microsoft.com/office/spreadsheetml/2009/9/main" uri="{B025F937-C7B1-47D3-B67F-A62EFF666E3E}">
          <x14:id>{E61C3EB7-CDA0-40AB-AD0A-685D7BAD7F11}</x14:id>
        </ext>
      </extLst>
    </cfRule>
  </conditionalFormatting>
  <conditionalFormatting sqref="Q178">
    <cfRule type="cellIs" dxfId="2139" priority="224" operator="equal">
      <formula>"ja"</formula>
    </cfRule>
  </conditionalFormatting>
  <conditionalFormatting sqref="AA178">
    <cfRule type="expression" dxfId="2138" priority="223">
      <formula>AND(AND($W178&lt;TODAY(),$W178&lt;&gt;""),$X178="")</formula>
    </cfRule>
  </conditionalFormatting>
  <conditionalFormatting sqref="AG178">
    <cfRule type="dataBar" priority="222">
      <dataBar>
        <cfvo type="min"/>
        <cfvo type="max"/>
        <color rgb="FF63C384"/>
      </dataBar>
      <extLst>
        <ext xmlns:x14="http://schemas.microsoft.com/office/spreadsheetml/2009/9/main" uri="{B025F937-C7B1-47D3-B67F-A62EFF666E3E}">
          <x14:id>{A14F38C5-78A6-48C5-B6FB-F0FE75B6B181}</x14:id>
        </ext>
      </extLst>
    </cfRule>
  </conditionalFormatting>
  <conditionalFormatting sqref="AG178">
    <cfRule type="dataBar" priority="221">
      <dataBar>
        <cfvo type="min"/>
        <cfvo type="max"/>
        <color rgb="FF63C384"/>
      </dataBar>
      <extLst>
        <ext xmlns:x14="http://schemas.microsoft.com/office/spreadsheetml/2009/9/main" uri="{B025F937-C7B1-47D3-B67F-A62EFF666E3E}">
          <x14:id>{C4324920-841D-409C-8385-3F57A5F33D08}</x14:id>
        </ext>
      </extLst>
    </cfRule>
  </conditionalFormatting>
  <conditionalFormatting sqref="AA179">
    <cfRule type="expression" dxfId="2137" priority="220">
      <formula>AND(AND($W179&lt;TODAY(),$W179&lt;&gt;""),$X179="")</formula>
    </cfRule>
  </conditionalFormatting>
  <conditionalFormatting sqref="Q179">
    <cfRule type="cellIs" dxfId="2136" priority="219" operator="equal">
      <formula>"ja"</formula>
    </cfRule>
  </conditionalFormatting>
  <conditionalFormatting sqref="AG179">
    <cfRule type="dataBar" priority="218">
      <dataBar>
        <cfvo type="min"/>
        <cfvo type="max"/>
        <color rgb="FF63C384"/>
      </dataBar>
      <extLst>
        <ext xmlns:x14="http://schemas.microsoft.com/office/spreadsheetml/2009/9/main" uri="{B025F937-C7B1-47D3-B67F-A62EFF666E3E}">
          <x14:id>{7F84D124-FD98-4ADB-818E-D7918A452EE0}</x14:id>
        </ext>
      </extLst>
    </cfRule>
  </conditionalFormatting>
  <conditionalFormatting sqref="AG179">
    <cfRule type="dataBar" priority="217">
      <dataBar>
        <cfvo type="min"/>
        <cfvo type="max"/>
        <color rgb="FF63C384"/>
      </dataBar>
      <extLst>
        <ext xmlns:x14="http://schemas.microsoft.com/office/spreadsheetml/2009/9/main" uri="{B025F937-C7B1-47D3-B67F-A62EFF666E3E}">
          <x14:id>{50775010-6F40-47B5-9488-8805386BB57F}</x14:id>
        </ext>
      </extLst>
    </cfRule>
  </conditionalFormatting>
  <conditionalFormatting sqref="Q180">
    <cfRule type="cellIs" dxfId="2135" priority="216" operator="equal">
      <formula>"ja"</formula>
    </cfRule>
  </conditionalFormatting>
  <conditionalFormatting sqref="AA180">
    <cfRule type="expression" dxfId="2134" priority="215">
      <formula>AND(AND($W180&lt;TODAY(),$W180&lt;&gt;""),$X180="")</formula>
    </cfRule>
  </conditionalFormatting>
  <conditionalFormatting sqref="AG180">
    <cfRule type="dataBar" priority="214">
      <dataBar>
        <cfvo type="min"/>
        <cfvo type="max"/>
        <color rgb="FF63C384"/>
      </dataBar>
      <extLst>
        <ext xmlns:x14="http://schemas.microsoft.com/office/spreadsheetml/2009/9/main" uri="{B025F937-C7B1-47D3-B67F-A62EFF666E3E}">
          <x14:id>{98A300F0-5830-4453-A0B7-4C27B35196BB}</x14:id>
        </ext>
      </extLst>
    </cfRule>
  </conditionalFormatting>
  <conditionalFormatting sqref="AG180">
    <cfRule type="dataBar" priority="213">
      <dataBar>
        <cfvo type="min"/>
        <cfvo type="max"/>
        <color rgb="FF63C384"/>
      </dataBar>
      <extLst>
        <ext xmlns:x14="http://schemas.microsoft.com/office/spreadsheetml/2009/9/main" uri="{B025F937-C7B1-47D3-B67F-A62EFF666E3E}">
          <x14:id>{78C6C8C7-1529-4E8C-87E7-12080899C7CA}</x14:id>
        </ext>
      </extLst>
    </cfRule>
  </conditionalFormatting>
  <conditionalFormatting sqref="AA181">
    <cfRule type="expression" dxfId="2133" priority="211">
      <formula>AND(AND($W181&lt;TODAY(),$W181&lt;&gt;""),$X181="")</formula>
    </cfRule>
  </conditionalFormatting>
  <conditionalFormatting sqref="Q181">
    <cfRule type="cellIs" dxfId="2132" priority="212" operator="equal">
      <formula>"ja"</formula>
    </cfRule>
  </conditionalFormatting>
  <conditionalFormatting sqref="AG181">
    <cfRule type="dataBar" priority="210">
      <dataBar>
        <cfvo type="min"/>
        <cfvo type="max"/>
        <color rgb="FF63C384"/>
      </dataBar>
      <extLst>
        <ext xmlns:x14="http://schemas.microsoft.com/office/spreadsheetml/2009/9/main" uri="{B025F937-C7B1-47D3-B67F-A62EFF666E3E}">
          <x14:id>{9E45B2E7-D378-415D-A770-AAC092A3CBBC}</x14:id>
        </ext>
      </extLst>
    </cfRule>
  </conditionalFormatting>
  <conditionalFormatting sqref="AG181">
    <cfRule type="dataBar" priority="209">
      <dataBar>
        <cfvo type="min"/>
        <cfvo type="max"/>
        <color rgb="FF63C384"/>
      </dataBar>
      <extLst>
        <ext xmlns:x14="http://schemas.microsoft.com/office/spreadsheetml/2009/9/main" uri="{B025F937-C7B1-47D3-B67F-A62EFF666E3E}">
          <x14:id>{C572D108-874E-4FA9-BE0C-1EDFC82FC34C}</x14:id>
        </ext>
      </extLst>
    </cfRule>
  </conditionalFormatting>
  <conditionalFormatting sqref="Q182">
    <cfRule type="cellIs" dxfId="2131" priority="208" operator="equal">
      <formula>"ja"</formula>
    </cfRule>
  </conditionalFormatting>
  <conditionalFormatting sqref="AA182">
    <cfRule type="expression" dxfId="2130" priority="207">
      <formula>AND(AND($W182&lt;TODAY(),$W182&lt;&gt;""),$X182="")</formula>
    </cfRule>
  </conditionalFormatting>
  <conditionalFormatting sqref="AG182">
    <cfRule type="dataBar" priority="206">
      <dataBar>
        <cfvo type="min"/>
        <cfvo type="max"/>
        <color rgb="FF63C384"/>
      </dataBar>
      <extLst>
        <ext xmlns:x14="http://schemas.microsoft.com/office/spreadsheetml/2009/9/main" uri="{B025F937-C7B1-47D3-B67F-A62EFF666E3E}">
          <x14:id>{C3EECA87-D0E2-4122-A115-08D4E28A35D5}</x14:id>
        </ext>
      </extLst>
    </cfRule>
  </conditionalFormatting>
  <conditionalFormatting sqref="AG182">
    <cfRule type="dataBar" priority="205">
      <dataBar>
        <cfvo type="min"/>
        <cfvo type="max"/>
        <color rgb="FF63C384"/>
      </dataBar>
      <extLst>
        <ext xmlns:x14="http://schemas.microsoft.com/office/spreadsheetml/2009/9/main" uri="{B025F937-C7B1-47D3-B67F-A62EFF666E3E}">
          <x14:id>{72B0F2C0-FCEE-4D63-BB08-89C7A645B092}</x14:id>
        </ext>
      </extLst>
    </cfRule>
  </conditionalFormatting>
  <conditionalFormatting sqref="Q183">
    <cfRule type="cellIs" dxfId="2129" priority="204" operator="equal">
      <formula>"ja"</formula>
    </cfRule>
  </conditionalFormatting>
  <conditionalFormatting sqref="AA183">
    <cfRule type="expression" dxfId="2128" priority="203">
      <formula>AND(AND($W183&lt;TODAY(),$W183&lt;&gt;""),$X183="")</formula>
    </cfRule>
  </conditionalFormatting>
  <conditionalFormatting sqref="AG183">
    <cfRule type="dataBar" priority="202">
      <dataBar>
        <cfvo type="min"/>
        <cfvo type="max"/>
        <color rgb="FF63C384"/>
      </dataBar>
      <extLst>
        <ext xmlns:x14="http://schemas.microsoft.com/office/spreadsheetml/2009/9/main" uri="{B025F937-C7B1-47D3-B67F-A62EFF666E3E}">
          <x14:id>{2A410060-06EF-4026-AE73-C2B0F2362347}</x14:id>
        </ext>
      </extLst>
    </cfRule>
  </conditionalFormatting>
  <conditionalFormatting sqref="AG183">
    <cfRule type="dataBar" priority="201">
      <dataBar>
        <cfvo type="min"/>
        <cfvo type="max"/>
        <color rgb="FF63C384"/>
      </dataBar>
      <extLst>
        <ext xmlns:x14="http://schemas.microsoft.com/office/spreadsheetml/2009/9/main" uri="{B025F937-C7B1-47D3-B67F-A62EFF666E3E}">
          <x14:id>{976C6064-C8B3-4460-8765-80F27A45B58E}</x14:id>
        </ext>
      </extLst>
    </cfRule>
  </conditionalFormatting>
  <conditionalFormatting sqref="Q184">
    <cfRule type="cellIs" dxfId="2127" priority="200" operator="equal">
      <formula>"ja"</formula>
    </cfRule>
  </conditionalFormatting>
  <conditionalFormatting sqref="AA184">
    <cfRule type="expression" dxfId="2126" priority="199">
      <formula>AND(AND($W184&lt;TODAY(),$W184&lt;&gt;""),$X184="")</formula>
    </cfRule>
  </conditionalFormatting>
  <conditionalFormatting sqref="AG184">
    <cfRule type="dataBar" priority="198">
      <dataBar>
        <cfvo type="min"/>
        <cfvo type="max"/>
        <color rgb="FF63C384"/>
      </dataBar>
      <extLst>
        <ext xmlns:x14="http://schemas.microsoft.com/office/spreadsheetml/2009/9/main" uri="{B025F937-C7B1-47D3-B67F-A62EFF666E3E}">
          <x14:id>{2D4FA550-CC9F-4D73-8C58-DA729AA1CEAF}</x14:id>
        </ext>
      </extLst>
    </cfRule>
  </conditionalFormatting>
  <conditionalFormatting sqref="AG184">
    <cfRule type="dataBar" priority="197">
      <dataBar>
        <cfvo type="min"/>
        <cfvo type="max"/>
        <color rgb="FF63C384"/>
      </dataBar>
      <extLst>
        <ext xmlns:x14="http://schemas.microsoft.com/office/spreadsheetml/2009/9/main" uri="{B025F937-C7B1-47D3-B67F-A62EFF666E3E}">
          <x14:id>{CAF34597-BEB9-4F96-998C-C9E17AC9F18A}</x14:id>
        </ext>
      </extLst>
    </cfRule>
  </conditionalFormatting>
  <conditionalFormatting sqref="Q185">
    <cfRule type="cellIs" dxfId="2125" priority="196" operator="equal">
      <formula>"ja"</formula>
    </cfRule>
  </conditionalFormatting>
  <conditionalFormatting sqref="AA185">
    <cfRule type="expression" dxfId="2124" priority="195">
      <formula>AND(AND($W185&lt;TODAY(),$W185&lt;&gt;""),$X185="")</formula>
    </cfRule>
  </conditionalFormatting>
  <conditionalFormatting sqref="AG185">
    <cfRule type="dataBar" priority="194">
      <dataBar>
        <cfvo type="min"/>
        <cfvo type="max"/>
        <color rgb="FF63C384"/>
      </dataBar>
      <extLst>
        <ext xmlns:x14="http://schemas.microsoft.com/office/spreadsheetml/2009/9/main" uri="{B025F937-C7B1-47D3-B67F-A62EFF666E3E}">
          <x14:id>{90058351-0EF7-4667-9CC6-C7E602684887}</x14:id>
        </ext>
      </extLst>
    </cfRule>
  </conditionalFormatting>
  <conditionalFormatting sqref="AG185">
    <cfRule type="dataBar" priority="193">
      <dataBar>
        <cfvo type="min"/>
        <cfvo type="max"/>
        <color rgb="FF63C384"/>
      </dataBar>
      <extLst>
        <ext xmlns:x14="http://schemas.microsoft.com/office/spreadsheetml/2009/9/main" uri="{B025F937-C7B1-47D3-B67F-A62EFF666E3E}">
          <x14:id>{5EB7C289-C4D9-4B22-8077-2A5693E13F75}</x14:id>
        </ext>
      </extLst>
    </cfRule>
  </conditionalFormatting>
  <conditionalFormatting sqref="AA186">
    <cfRule type="expression" dxfId="2123" priority="192">
      <formula>AND(AND($W186&lt;TODAY(),$W186&lt;&gt;""),$X186="")</formula>
    </cfRule>
  </conditionalFormatting>
  <conditionalFormatting sqref="AG186">
    <cfRule type="dataBar" priority="191">
      <dataBar>
        <cfvo type="min"/>
        <cfvo type="max"/>
        <color rgb="FF63C384"/>
      </dataBar>
      <extLst>
        <ext xmlns:x14="http://schemas.microsoft.com/office/spreadsheetml/2009/9/main" uri="{B025F937-C7B1-47D3-B67F-A62EFF666E3E}">
          <x14:id>{9CDAA69F-F19B-4B2B-9247-FFE2266F057E}</x14:id>
        </ext>
      </extLst>
    </cfRule>
  </conditionalFormatting>
  <conditionalFormatting sqref="AG186">
    <cfRule type="dataBar" priority="190">
      <dataBar>
        <cfvo type="min"/>
        <cfvo type="max"/>
        <color rgb="FF63C384"/>
      </dataBar>
      <extLst>
        <ext xmlns:x14="http://schemas.microsoft.com/office/spreadsheetml/2009/9/main" uri="{B025F937-C7B1-47D3-B67F-A62EFF666E3E}">
          <x14:id>{1BA320A2-F599-42DA-88A7-AD512FEC1E52}</x14:id>
        </ext>
      </extLst>
    </cfRule>
  </conditionalFormatting>
  <conditionalFormatting sqref="Q186">
    <cfRule type="cellIs" dxfId="2122" priority="189" operator="equal">
      <formula>"ja"</formula>
    </cfRule>
  </conditionalFormatting>
  <conditionalFormatting sqref="AA187">
    <cfRule type="expression" dxfId="2121" priority="188">
      <formula>AND(AND($W187&lt;TODAY(),$W187&lt;&gt;""),$X187="")</formula>
    </cfRule>
  </conditionalFormatting>
  <conditionalFormatting sqref="Q187">
    <cfRule type="cellIs" dxfId="2120" priority="187" operator="equal">
      <formula>"ja"</formula>
    </cfRule>
  </conditionalFormatting>
  <conditionalFormatting sqref="AG187">
    <cfRule type="dataBar" priority="186">
      <dataBar>
        <cfvo type="min"/>
        <cfvo type="max"/>
        <color rgb="FF63C384"/>
      </dataBar>
      <extLst>
        <ext xmlns:x14="http://schemas.microsoft.com/office/spreadsheetml/2009/9/main" uri="{B025F937-C7B1-47D3-B67F-A62EFF666E3E}">
          <x14:id>{C5E77D8D-0B39-4DBE-8B14-B658092C8A01}</x14:id>
        </ext>
      </extLst>
    </cfRule>
  </conditionalFormatting>
  <conditionalFormatting sqref="AG187">
    <cfRule type="dataBar" priority="185">
      <dataBar>
        <cfvo type="min"/>
        <cfvo type="max"/>
        <color rgb="FF63C384"/>
      </dataBar>
      <extLst>
        <ext xmlns:x14="http://schemas.microsoft.com/office/spreadsheetml/2009/9/main" uri="{B025F937-C7B1-47D3-B67F-A62EFF666E3E}">
          <x14:id>{210A47AE-B330-4FB4-A732-E61EB8BC117D}</x14:id>
        </ext>
      </extLst>
    </cfRule>
  </conditionalFormatting>
  <conditionalFormatting sqref="Q188">
    <cfRule type="cellIs" dxfId="2119" priority="184" operator="equal">
      <formula>"ja"</formula>
    </cfRule>
  </conditionalFormatting>
  <conditionalFormatting sqref="AA188">
    <cfRule type="expression" dxfId="2118" priority="183">
      <formula>AND(AND($W188&lt;TODAY(),$W188&lt;&gt;""),$X188="")</formula>
    </cfRule>
  </conditionalFormatting>
  <conditionalFormatting sqref="AG188">
    <cfRule type="dataBar" priority="182">
      <dataBar>
        <cfvo type="min"/>
        <cfvo type="max"/>
        <color rgb="FF63C384"/>
      </dataBar>
      <extLst>
        <ext xmlns:x14="http://schemas.microsoft.com/office/spreadsheetml/2009/9/main" uri="{B025F937-C7B1-47D3-B67F-A62EFF666E3E}">
          <x14:id>{CCC5118E-352F-4475-B1C3-CB5754578765}</x14:id>
        </ext>
      </extLst>
    </cfRule>
  </conditionalFormatting>
  <conditionalFormatting sqref="AG188">
    <cfRule type="dataBar" priority="181">
      <dataBar>
        <cfvo type="min"/>
        <cfvo type="max"/>
        <color rgb="FF63C384"/>
      </dataBar>
      <extLst>
        <ext xmlns:x14="http://schemas.microsoft.com/office/spreadsheetml/2009/9/main" uri="{B025F937-C7B1-47D3-B67F-A62EFF666E3E}">
          <x14:id>{0ABDB9EE-1B32-430C-A8E9-B68A9793DFB8}</x14:id>
        </ext>
      </extLst>
    </cfRule>
  </conditionalFormatting>
  <conditionalFormatting sqref="Q189">
    <cfRule type="cellIs" dxfId="2117" priority="180" operator="equal">
      <formula>"ja"</formula>
    </cfRule>
  </conditionalFormatting>
  <conditionalFormatting sqref="AA189">
    <cfRule type="expression" dxfId="2116" priority="179">
      <formula>AND(AND($W189&lt;TODAY(),$W189&lt;&gt;""),$X189="")</formula>
    </cfRule>
  </conditionalFormatting>
  <conditionalFormatting sqref="AG189">
    <cfRule type="dataBar" priority="178">
      <dataBar>
        <cfvo type="min"/>
        <cfvo type="max"/>
        <color rgb="FF63C384"/>
      </dataBar>
      <extLst>
        <ext xmlns:x14="http://schemas.microsoft.com/office/spreadsheetml/2009/9/main" uri="{B025F937-C7B1-47D3-B67F-A62EFF666E3E}">
          <x14:id>{D66A8566-D235-4F08-8369-B94C2A0AB249}</x14:id>
        </ext>
      </extLst>
    </cfRule>
  </conditionalFormatting>
  <conditionalFormatting sqref="AG189">
    <cfRule type="dataBar" priority="177">
      <dataBar>
        <cfvo type="min"/>
        <cfvo type="max"/>
        <color rgb="FF63C384"/>
      </dataBar>
      <extLst>
        <ext xmlns:x14="http://schemas.microsoft.com/office/spreadsheetml/2009/9/main" uri="{B025F937-C7B1-47D3-B67F-A62EFF666E3E}">
          <x14:id>{1A78C68E-DD22-4DE9-960D-92E60A0752A5}</x14:id>
        </ext>
      </extLst>
    </cfRule>
  </conditionalFormatting>
  <conditionalFormatting sqref="Q190">
    <cfRule type="cellIs" dxfId="2115" priority="176" operator="equal">
      <formula>"ja"</formula>
    </cfRule>
  </conditionalFormatting>
  <conditionalFormatting sqref="AA190">
    <cfRule type="expression" dxfId="2114" priority="175">
      <formula>AND(AND($W190&lt;TODAY(),$W190&lt;&gt;""),$X190="")</formula>
    </cfRule>
  </conditionalFormatting>
  <conditionalFormatting sqref="AG190">
    <cfRule type="dataBar" priority="174">
      <dataBar>
        <cfvo type="min"/>
        <cfvo type="max"/>
        <color rgb="FF63C384"/>
      </dataBar>
      <extLst>
        <ext xmlns:x14="http://schemas.microsoft.com/office/spreadsheetml/2009/9/main" uri="{B025F937-C7B1-47D3-B67F-A62EFF666E3E}">
          <x14:id>{5A54265D-9F73-47EB-9DF3-85AF0ABC1FBF}</x14:id>
        </ext>
      </extLst>
    </cfRule>
  </conditionalFormatting>
  <conditionalFormatting sqref="AG190">
    <cfRule type="dataBar" priority="173">
      <dataBar>
        <cfvo type="min"/>
        <cfvo type="max"/>
        <color rgb="FF63C384"/>
      </dataBar>
      <extLst>
        <ext xmlns:x14="http://schemas.microsoft.com/office/spreadsheetml/2009/9/main" uri="{B025F937-C7B1-47D3-B67F-A62EFF666E3E}">
          <x14:id>{B9B9E0A2-7448-4466-A678-6F739E46E638}</x14:id>
        </ext>
      </extLst>
    </cfRule>
  </conditionalFormatting>
  <conditionalFormatting sqref="Q191">
    <cfRule type="cellIs" dxfId="2113" priority="172" operator="equal">
      <formula>"ja"</formula>
    </cfRule>
  </conditionalFormatting>
  <conditionalFormatting sqref="AA191">
    <cfRule type="expression" dxfId="2112" priority="171">
      <formula>AND(AND($W191&lt;TODAY(),$W191&lt;&gt;""),$X191="")</formula>
    </cfRule>
  </conditionalFormatting>
  <conditionalFormatting sqref="AG191">
    <cfRule type="dataBar" priority="170">
      <dataBar>
        <cfvo type="min"/>
        <cfvo type="max"/>
        <color rgb="FF63C384"/>
      </dataBar>
      <extLst>
        <ext xmlns:x14="http://schemas.microsoft.com/office/spreadsheetml/2009/9/main" uri="{B025F937-C7B1-47D3-B67F-A62EFF666E3E}">
          <x14:id>{345B59BE-68E5-4F4B-98C0-7EFD5D665FB0}</x14:id>
        </ext>
      </extLst>
    </cfRule>
  </conditionalFormatting>
  <conditionalFormatting sqref="AG191">
    <cfRule type="dataBar" priority="169">
      <dataBar>
        <cfvo type="min"/>
        <cfvo type="max"/>
        <color rgb="FF63C384"/>
      </dataBar>
      <extLst>
        <ext xmlns:x14="http://schemas.microsoft.com/office/spreadsheetml/2009/9/main" uri="{B025F937-C7B1-47D3-B67F-A62EFF666E3E}">
          <x14:id>{42058A04-9A64-4372-8756-7EA1AA12DE26}</x14:id>
        </ext>
      </extLst>
    </cfRule>
  </conditionalFormatting>
  <conditionalFormatting sqref="Q192">
    <cfRule type="cellIs" dxfId="2111" priority="168" operator="equal">
      <formula>"ja"</formula>
    </cfRule>
  </conditionalFormatting>
  <conditionalFormatting sqref="AA192">
    <cfRule type="expression" dxfId="2110" priority="167">
      <formula>AND(AND($W192&lt;TODAY(),$W192&lt;&gt;""),$X192="")</formula>
    </cfRule>
  </conditionalFormatting>
  <conditionalFormatting sqref="AG192">
    <cfRule type="dataBar" priority="166">
      <dataBar>
        <cfvo type="min"/>
        <cfvo type="max"/>
        <color rgb="FF63C384"/>
      </dataBar>
      <extLst>
        <ext xmlns:x14="http://schemas.microsoft.com/office/spreadsheetml/2009/9/main" uri="{B025F937-C7B1-47D3-B67F-A62EFF666E3E}">
          <x14:id>{28188702-5077-4303-ADD1-46125549F98C}</x14:id>
        </ext>
      </extLst>
    </cfRule>
  </conditionalFormatting>
  <conditionalFormatting sqref="AG192">
    <cfRule type="dataBar" priority="165">
      <dataBar>
        <cfvo type="min"/>
        <cfvo type="max"/>
        <color rgb="FF63C384"/>
      </dataBar>
      <extLst>
        <ext xmlns:x14="http://schemas.microsoft.com/office/spreadsheetml/2009/9/main" uri="{B025F937-C7B1-47D3-B67F-A62EFF666E3E}">
          <x14:id>{F97F771D-9BFC-42DD-80BD-21C1476FBBCE}</x14:id>
        </ext>
      </extLst>
    </cfRule>
  </conditionalFormatting>
  <conditionalFormatting sqref="AA193">
    <cfRule type="expression" dxfId="2109" priority="164">
      <formula>AND(AND($W193&lt;TODAY(),$W193&lt;&gt;""),$X193="")</formula>
    </cfRule>
  </conditionalFormatting>
  <conditionalFormatting sqref="Q193">
    <cfRule type="cellIs" dxfId="2108" priority="163" operator="equal">
      <formula>"ja"</formula>
    </cfRule>
  </conditionalFormatting>
  <conditionalFormatting sqref="AG193">
    <cfRule type="dataBar" priority="162">
      <dataBar>
        <cfvo type="min"/>
        <cfvo type="max"/>
        <color rgb="FF63C384"/>
      </dataBar>
      <extLst>
        <ext xmlns:x14="http://schemas.microsoft.com/office/spreadsheetml/2009/9/main" uri="{B025F937-C7B1-47D3-B67F-A62EFF666E3E}">
          <x14:id>{EFAC12CC-A87B-4E18-AD44-BD41864162C4}</x14:id>
        </ext>
      </extLst>
    </cfRule>
  </conditionalFormatting>
  <conditionalFormatting sqref="AG193">
    <cfRule type="dataBar" priority="161">
      <dataBar>
        <cfvo type="min"/>
        <cfvo type="max"/>
        <color rgb="FF63C384"/>
      </dataBar>
      <extLst>
        <ext xmlns:x14="http://schemas.microsoft.com/office/spreadsheetml/2009/9/main" uri="{B025F937-C7B1-47D3-B67F-A62EFF666E3E}">
          <x14:id>{08DD1394-0102-419A-9B66-63DBF633FD20}</x14:id>
        </ext>
      </extLst>
    </cfRule>
  </conditionalFormatting>
  <conditionalFormatting sqref="Q194">
    <cfRule type="cellIs" dxfId="2107" priority="160" operator="equal">
      <formula>"ja"</formula>
    </cfRule>
  </conditionalFormatting>
  <conditionalFormatting sqref="AA194">
    <cfRule type="expression" dxfId="2106" priority="159">
      <formula>AND(AND($W194&lt;TODAY(),$W194&lt;&gt;""),$X194="")</formula>
    </cfRule>
  </conditionalFormatting>
  <conditionalFormatting sqref="AG194">
    <cfRule type="dataBar" priority="158">
      <dataBar>
        <cfvo type="min"/>
        <cfvo type="max"/>
        <color rgb="FF63C384"/>
      </dataBar>
      <extLst>
        <ext xmlns:x14="http://schemas.microsoft.com/office/spreadsheetml/2009/9/main" uri="{B025F937-C7B1-47D3-B67F-A62EFF666E3E}">
          <x14:id>{861BA116-CF0E-40D7-877B-C28004288175}</x14:id>
        </ext>
      </extLst>
    </cfRule>
  </conditionalFormatting>
  <conditionalFormatting sqref="AG194">
    <cfRule type="dataBar" priority="157">
      <dataBar>
        <cfvo type="min"/>
        <cfvo type="max"/>
        <color rgb="FF63C384"/>
      </dataBar>
      <extLst>
        <ext xmlns:x14="http://schemas.microsoft.com/office/spreadsheetml/2009/9/main" uri="{B025F937-C7B1-47D3-B67F-A62EFF666E3E}">
          <x14:id>{B895EC5C-F306-4064-A11D-1622FFF27767}</x14:id>
        </ext>
      </extLst>
    </cfRule>
  </conditionalFormatting>
  <conditionalFormatting sqref="AA195">
    <cfRule type="expression" dxfId="2105" priority="156">
      <formula>AND(AND($W195&lt;TODAY(),$W195&lt;&gt;""),$X195="")</formula>
    </cfRule>
  </conditionalFormatting>
  <conditionalFormatting sqref="Q195">
    <cfRule type="cellIs" dxfId="2104" priority="155" operator="equal">
      <formula>"ja"</formula>
    </cfRule>
  </conditionalFormatting>
  <conditionalFormatting sqref="AG195">
    <cfRule type="dataBar" priority="154">
      <dataBar>
        <cfvo type="min"/>
        <cfvo type="max"/>
        <color rgb="FF63C384"/>
      </dataBar>
      <extLst>
        <ext xmlns:x14="http://schemas.microsoft.com/office/spreadsheetml/2009/9/main" uri="{B025F937-C7B1-47D3-B67F-A62EFF666E3E}">
          <x14:id>{1DB41411-8C21-43E3-9496-11F2F8F35427}</x14:id>
        </ext>
      </extLst>
    </cfRule>
  </conditionalFormatting>
  <conditionalFormatting sqref="AG195">
    <cfRule type="dataBar" priority="153">
      <dataBar>
        <cfvo type="min"/>
        <cfvo type="max"/>
        <color rgb="FF63C384"/>
      </dataBar>
      <extLst>
        <ext xmlns:x14="http://schemas.microsoft.com/office/spreadsheetml/2009/9/main" uri="{B025F937-C7B1-47D3-B67F-A62EFF666E3E}">
          <x14:id>{F0C86864-176A-407A-BF80-745DE19DE4AE}</x14:id>
        </ext>
      </extLst>
    </cfRule>
  </conditionalFormatting>
  <conditionalFormatting sqref="Q196">
    <cfRule type="cellIs" dxfId="2103" priority="152" operator="equal">
      <formula>"ja"</formula>
    </cfRule>
  </conditionalFormatting>
  <conditionalFormatting sqref="AA196">
    <cfRule type="expression" dxfId="2102" priority="151">
      <formula>AND(AND($W196&lt;TODAY(),$W196&lt;&gt;""),$X196="")</formula>
    </cfRule>
  </conditionalFormatting>
  <conditionalFormatting sqref="AG196">
    <cfRule type="dataBar" priority="150">
      <dataBar>
        <cfvo type="min"/>
        <cfvo type="max"/>
        <color rgb="FF63C384"/>
      </dataBar>
      <extLst>
        <ext xmlns:x14="http://schemas.microsoft.com/office/spreadsheetml/2009/9/main" uri="{B025F937-C7B1-47D3-B67F-A62EFF666E3E}">
          <x14:id>{F750CBFA-276B-4E18-B71B-4C6790910DEE}</x14:id>
        </ext>
      </extLst>
    </cfRule>
  </conditionalFormatting>
  <conditionalFormatting sqref="AG196">
    <cfRule type="dataBar" priority="149">
      <dataBar>
        <cfvo type="min"/>
        <cfvo type="max"/>
        <color rgb="FF63C384"/>
      </dataBar>
      <extLst>
        <ext xmlns:x14="http://schemas.microsoft.com/office/spreadsheetml/2009/9/main" uri="{B025F937-C7B1-47D3-B67F-A62EFF666E3E}">
          <x14:id>{7D6D3353-F676-45C8-A305-60674C824415}</x14:id>
        </ext>
      </extLst>
    </cfRule>
  </conditionalFormatting>
  <conditionalFormatting sqref="Q197">
    <cfRule type="cellIs" dxfId="2101" priority="148" operator="equal">
      <formula>"ja"</formula>
    </cfRule>
  </conditionalFormatting>
  <conditionalFormatting sqref="AA197">
    <cfRule type="expression" dxfId="2100" priority="147">
      <formula>AND(AND($W197&lt;TODAY(),$W197&lt;&gt;""),$X197="")</formula>
    </cfRule>
  </conditionalFormatting>
  <conditionalFormatting sqref="AG197">
    <cfRule type="dataBar" priority="146">
      <dataBar>
        <cfvo type="min"/>
        <cfvo type="max"/>
        <color rgb="FF63C384"/>
      </dataBar>
      <extLst>
        <ext xmlns:x14="http://schemas.microsoft.com/office/spreadsheetml/2009/9/main" uri="{B025F937-C7B1-47D3-B67F-A62EFF666E3E}">
          <x14:id>{491CF909-7951-40BA-9F81-9DB992149427}</x14:id>
        </ext>
      </extLst>
    </cfRule>
  </conditionalFormatting>
  <conditionalFormatting sqref="AG197">
    <cfRule type="dataBar" priority="145">
      <dataBar>
        <cfvo type="min"/>
        <cfvo type="max"/>
        <color rgb="FF63C384"/>
      </dataBar>
      <extLst>
        <ext xmlns:x14="http://schemas.microsoft.com/office/spreadsheetml/2009/9/main" uri="{B025F937-C7B1-47D3-B67F-A62EFF666E3E}">
          <x14:id>{C0296885-1F51-47FE-BFDE-BB24BDC07CF2}</x14:id>
        </ext>
      </extLst>
    </cfRule>
  </conditionalFormatting>
  <conditionalFormatting sqref="AA198">
    <cfRule type="expression" dxfId="2099" priority="144">
      <formula>AND(AND($W198&lt;TODAY(),$W198&lt;&gt;""),$X198="")</formula>
    </cfRule>
  </conditionalFormatting>
  <conditionalFormatting sqref="AG198">
    <cfRule type="dataBar" priority="143">
      <dataBar>
        <cfvo type="min"/>
        <cfvo type="max"/>
        <color rgb="FF63C384"/>
      </dataBar>
      <extLst>
        <ext xmlns:x14="http://schemas.microsoft.com/office/spreadsheetml/2009/9/main" uri="{B025F937-C7B1-47D3-B67F-A62EFF666E3E}">
          <x14:id>{34D91807-B87E-4A68-A441-7B5AA5184ED0}</x14:id>
        </ext>
      </extLst>
    </cfRule>
  </conditionalFormatting>
  <conditionalFormatting sqref="AG198">
    <cfRule type="dataBar" priority="142">
      <dataBar>
        <cfvo type="min"/>
        <cfvo type="max"/>
        <color rgb="FF63C384"/>
      </dataBar>
      <extLst>
        <ext xmlns:x14="http://schemas.microsoft.com/office/spreadsheetml/2009/9/main" uri="{B025F937-C7B1-47D3-B67F-A62EFF666E3E}">
          <x14:id>{B5A389F0-628B-4069-A095-C6FD88FD7384}</x14:id>
        </ext>
      </extLst>
    </cfRule>
  </conditionalFormatting>
  <conditionalFormatting sqref="Q199">
    <cfRule type="cellIs" dxfId="2098" priority="141" operator="equal">
      <formula>"ja"</formula>
    </cfRule>
  </conditionalFormatting>
  <conditionalFormatting sqref="AA199">
    <cfRule type="expression" dxfId="2097" priority="140">
      <formula>AND(AND($W199&lt;TODAY(),$W199&lt;&gt;""),$X199="")</formula>
    </cfRule>
  </conditionalFormatting>
  <conditionalFormatting sqref="AG199">
    <cfRule type="dataBar" priority="139">
      <dataBar>
        <cfvo type="min"/>
        <cfvo type="max"/>
        <color rgb="FF63C384"/>
      </dataBar>
      <extLst>
        <ext xmlns:x14="http://schemas.microsoft.com/office/spreadsheetml/2009/9/main" uri="{B025F937-C7B1-47D3-B67F-A62EFF666E3E}">
          <x14:id>{88657D7D-4356-451D-8657-558182214AC4}</x14:id>
        </ext>
      </extLst>
    </cfRule>
  </conditionalFormatting>
  <conditionalFormatting sqref="AG199">
    <cfRule type="dataBar" priority="138">
      <dataBar>
        <cfvo type="min"/>
        <cfvo type="max"/>
        <color rgb="FF63C384"/>
      </dataBar>
      <extLst>
        <ext xmlns:x14="http://schemas.microsoft.com/office/spreadsheetml/2009/9/main" uri="{B025F937-C7B1-47D3-B67F-A62EFF666E3E}">
          <x14:id>{8585E6D1-3CF8-4BFD-8772-BD1E48B707F5}</x14:id>
        </ext>
      </extLst>
    </cfRule>
  </conditionalFormatting>
  <conditionalFormatting sqref="Q200">
    <cfRule type="cellIs" dxfId="2096" priority="137" operator="equal">
      <formula>"ja"</formula>
    </cfRule>
  </conditionalFormatting>
  <conditionalFormatting sqref="AA200">
    <cfRule type="expression" dxfId="2095" priority="136">
      <formula>AND(AND($W200&lt;TODAY(),$W200&lt;&gt;""),$X200="")</formula>
    </cfRule>
  </conditionalFormatting>
  <conditionalFormatting sqref="AG200">
    <cfRule type="dataBar" priority="135">
      <dataBar>
        <cfvo type="min"/>
        <cfvo type="max"/>
        <color rgb="FF63C384"/>
      </dataBar>
      <extLst>
        <ext xmlns:x14="http://schemas.microsoft.com/office/spreadsheetml/2009/9/main" uri="{B025F937-C7B1-47D3-B67F-A62EFF666E3E}">
          <x14:id>{1578D86F-329E-46DC-B1B9-A6908F7B8EBA}</x14:id>
        </ext>
      </extLst>
    </cfRule>
  </conditionalFormatting>
  <conditionalFormatting sqref="AG200">
    <cfRule type="dataBar" priority="134">
      <dataBar>
        <cfvo type="min"/>
        <cfvo type="max"/>
        <color rgb="FF63C384"/>
      </dataBar>
      <extLst>
        <ext xmlns:x14="http://schemas.microsoft.com/office/spreadsheetml/2009/9/main" uri="{B025F937-C7B1-47D3-B67F-A62EFF666E3E}">
          <x14:id>{57AAA68B-20BD-4705-9158-DC3AF2DFF78B}</x14:id>
        </ext>
      </extLst>
    </cfRule>
  </conditionalFormatting>
  <conditionalFormatting sqref="AA201">
    <cfRule type="expression" dxfId="2094" priority="133">
      <formula>AND(AND($W201&lt;TODAY(),$W201&lt;&gt;""),$X201="")</formula>
    </cfRule>
  </conditionalFormatting>
  <conditionalFormatting sqref="AG201">
    <cfRule type="dataBar" priority="132">
      <dataBar>
        <cfvo type="min"/>
        <cfvo type="max"/>
        <color rgb="FF63C384"/>
      </dataBar>
      <extLst>
        <ext xmlns:x14="http://schemas.microsoft.com/office/spreadsheetml/2009/9/main" uri="{B025F937-C7B1-47D3-B67F-A62EFF666E3E}">
          <x14:id>{FCB9050D-4744-4DB0-ABA5-15A9D88E42DC}</x14:id>
        </ext>
      </extLst>
    </cfRule>
  </conditionalFormatting>
  <conditionalFormatting sqref="AG201">
    <cfRule type="dataBar" priority="131">
      <dataBar>
        <cfvo type="min"/>
        <cfvo type="max"/>
        <color rgb="FF63C384"/>
      </dataBar>
      <extLst>
        <ext xmlns:x14="http://schemas.microsoft.com/office/spreadsheetml/2009/9/main" uri="{B025F937-C7B1-47D3-B67F-A62EFF666E3E}">
          <x14:id>{E3D76CFD-5771-4B4D-984D-AD544AA131A4}</x14:id>
        </ext>
      </extLst>
    </cfRule>
  </conditionalFormatting>
  <conditionalFormatting sqref="Q201">
    <cfRule type="cellIs" dxfId="2093" priority="130" operator="equal">
      <formula>"ja"</formula>
    </cfRule>
  </conditionalFormatting>
  <conditionalFormatting sqref="Q202">
    <cfRule type="cellIs" dxfId="2092" priority="129" operator="equal">
      <formula>"ja"</formula>
    </cfRule>
  </conditionalFormatting>
  <conditionalFormatting sqref="AA202">
    <cfRule type="expression" dxfId="2091" priority="128">
      <formula>AND(AND($W202&lt;TODAY(),$W202&lt;&gt;""),$X202="")</formula>
    </cfRule>
  </conditionalFormatting>
  <conditionalFormatting sqref="AG202">
    <cfRule type="dataBar" priority="127">
      <dataBar>
        <cfvo type="min"/>
        <cfvo type="max"/>
        <color rgb="FF63C384"/>
      </dataBar>
      <extLst>
        <ext xmlns:x14="http://schemas.microsoft.com/office/spreadsheetml/2009/9/main" uri="{B025F937-C7B1-47D3-B67F-A62EFF666E3E}">
          <x14:id>{7C6A6212-F22C-41C0-9A39-FCDB9E0830EA}</x14:id>
        </ext>
      </extLst>
    </cfRule>
  </conditionalFormatting>
  <conditionalFormatting sqref="AG202">
    <cfRule type="dataBar" priority="126">
      <dataBar>
        <cfvo type="min"/>
        <cfvo type="max"/>
        <color rgb="FF63C384"/>
      </dataBar>
      <extLst>
        <ext xmlns:x14="http://schemas.microsoft.com/office/spreadsheetml/2009/9/main" uri="{B025F937-C7B1-47D3-B67F-A62EFF666E3E}">
          <x14:id>{D49093FA-159F-44FF-BD6B-EABAAC23F11B}</x14:id>
        </ext>
      </extLst>
    </cfRule>
  </conditionalFormatting>
  <conditionalFormatting sqref="AA203">
    <cfRule type="expression" dxfId="2090" priority="125">
      <formula>AND(AND($W203&lt;TODAY(),$W203&lt;&gt;""),$X203="")</formula>
    </cfRule>
  </conditionalFormatting>
  <conditionalFormatting sqref="Q203">
    <cfRule type="cellIs" dxfId="2089" priority="124" operator="equal">
      <formula>"ja"</formula>
    </cfRule>
  </conditionalFormatting>
  <conditionalFormatting sqref="AG203">
    <cfRule type="dataBar" priority="123">
      <dataBar>
        <cfvo type="min"/>
        <cfvo type="max"/>
        <color rgb="FF63C384"/>
      </dataBar>
      <extLst>
        <ext xmlns:x14="http://schemas.microsoft.com/office/spreadsheetml/2009/9/main" uri="{B025F937-C7B1-47D3-B67F-A62EFF666E3E}">
          <x14:id>{88317484-0B55-4605-A80B-3563916B95BF}</x14:id>
        </ext>
      </extLst>
    </cfRule>
  </conditionalFormatting>
  <conditionalFormatting sqref="AG203">
    <cfRule type="dataBar" priority="122">
      <dataBar>
        <cfvo type="min"/>
        <cfvo type="max"/>
        <color rgb="FF63C384"/>
      </dataBar>
      <extLst>
        <ext xmlns:x14="http://schemas.microsoft.com/office/spreadsheetml/2009/9/main" uri="{B025F937-C7B1-47D3-B67F-A62EFF666E3E}">
          <x14:id>{203F8665-1B0C-45D9-9510-3ABD825AE0B3}</x14:id>
        </ext>
      </extLst>
    </cfRule>
  </conditionalFormatting>
  <conditionalFormatting sqref="Q204">
    <cfRule type="cellIs" dxfId="2088" priority="121" operator="equal">
      <formula>"ja"</formula>
    </cfRule>
  </conditionalFormatting>
  <conditionalFormatting sqref="AA204">
    <cfRule type="expression" dxfId="2087" priority="120">
      <formula>AND(AND($W204&lt;TODAY(),$W204&lt;&gt;""),$X204="")</formula>
    </cfRule>
  </conditionalFormatting>
  <conditionalFormatting sqref="AG204">
    <cfRule type="dataBar" priority="119">
      <dataBar>
        <cfvo type="min"/>
        <cfvo type="max"/>
        <color rgb="FF63C384"/>
      </dataBar>
      <extLst>
        <ext xmlns:x14="http://schemas.microsoft.com/office/spreadsheetml/2009/9/main" uri="{B025F937-C7B1-47D3-B67F-A62EFF666E3E}">
          <x14:id>{38A3AFC8-E919-4C17-B752-BD6C2C697C78}</x14:id>
        </ext>
      </extLst>
    </cfRule>
  </conditionalFormatting>
  <conditionalFormatting sqref="AG204">
    <cfRule type="dataBar" priority="118">
      <dataBar>
        <cfvo type="min"/>
        <cfvo type="max"/>
        <color rgb="FF63C384"/>
      </dataBar>
      <extLst>
        <ext xmlns:x14="http://schemas.microsoft.com/office/spreadsheetml/2009/9/main" uri="{B025F937-C7B1-47D3-B67F-A62EFF666E3E}">
          <x14:id>{3050917D-9FA9-4091-B9BC-7AB36F9193A2}</x14:id>
        </ext>
      </extLst>
    </cfRule>
  </conditionalFormatting>
  <conditionalFormatting sqref="Q205">
    <cfRule type="cellIs" dxfId="2086" priority="117" operator="equal">
      <formula>"ja"</formula>
    </cfRule>
  </conditionalFormatting>
  <conditionalFormatting sqref="AA205">
    <cfRule type="expression" dxfId="2085" priority="116">
      <formula>AND(AND($W205&lt;TODAY(),$W205&lt;&gt;""),$X205="")</formula>
    </cfRule>
  </conditionalFormatting>
  <conditionalFormatting sqref="AG205">
    <cfRule type="dataBar" priority="115">
      <dataBar>
        <cfvo type="min"/>
        <cfvo type="max"/>
        <color rgb="FF63C384"/>
      </dataBar>
      <extLst>
        <ext xmlns:x14="http://schemas.microsoft.com/office/spreadsheetml/2009/9/main" uri="{B025F937-C7B1-47D3-B67F-A62EFF666E3E}">
          <x14:id>{8E7E9233-5F07-4B38-9DC5-BB9596FBFB91}</x14:id>
        </ext>
      </extLst>
    </cfRule>
  </conditionalFormatting>
  <conditionalFormatting sqref="AG205">
    <cfRule type="dataBar" priority="114">
      <dataBar>
        <cfvo type="min"/>
        <cfvo type="max"/>
        <color rgb="FF63C384"/>
      </dataBar>
      <extLst>
        <ext xmlns:x14="http://schemas.microsoft.com/office/spreadsheetml/2009/9/main" uri="{B025F937-C7B1-47D3-B67F-A62EFF666E3E}">
          <x14:id>{E5C876C4-A5D6-4FCC-B881-791C2C7F4639}</x14:id>
        </ext>
      </extLst>
    </cfRule>
  </conditionalFormatting>
  <conditionalFormatting sqref="AA206">
    <cfRule type="expression" dxfId="2084" priority="113">
      <formula>AND(AND($W206&lt;TODAY(),$W206&lt;&gt;""),$X206="")</formula>
    </cfRule>
  </conditionalFormatting>
  <conditionalFormatting sqref="Q206">
    <cfRule type="cellIs" dxfId="2083" priority="112" operator="equal">
      <formula>"ja"</formula>
    </cfRule>
  </conditionalFormatting>
  <conditionalFormatting sqref="AG206">
    <cfRule type="dataBar" priority="111">
      <dataBar>
        <cfvo type="min"/>
        <cfvo type="max"/>
        <color rgb="FF63C384"/>
      </dataBar>
      <extLst>
        <ext xmlns:x14="http://schemas.microsoft.com/office/spreadsheetml/2009/9/main" uri="{B025F937-C7B1-47D3-B67F-A62EFF666E3E}">
          <x14:id>{71211111-7B85-4559-BC3F-B1046F97C902}</x14:id>
        </ext>
      </extLst>
    </cfRule>
  </conditionalFormatting>
  <conditionalFormatting sqref="AG206">
    <cfRule type="dataBar" priority="110">
      <dataBar>
        <cfvo type="min"/>
        <cfvo type="max"/>
        <color rgb="FF63C384"/>
      </dataBar>
      <extLst>
        <ext xmlns:x14="http://schemas.microsoft.com/office/spreadsheetml/2009/9/main" uri="{B025F937-C7B1-47D3-B67F-A62EFF666E3E}">
          <x14:id>{3532B01C-B409-4C7E-9742-FFA963D53AF1}</x14:id>
        </ext>
      </extLst>
    </cfRule>
  </conditionalFormatting>
  <conditionalFormatting sqref="Q207">
    <cfRule type="cellIs" dxfId="2082" priority="109" operator="equal">
      <formula>"ja"</formula>
    </cfRule>
  </conditionalFormatting>
  <conditionalFormatting sqref="AA207">
    <cfRule type="expression" dxfId="2081" priority="108">
      <formula>AND(AND($W207&lt;TODAY(),$W207&lt;&gt;""),$X207="")</formula>
    </cfRule>
  </conditionalFormatting>
  <conditionalFormatting sqref="AG207">
    <cfRule type="dataBar" priority="107">
      <dataBar>
        <cfvo type="min"/>
        <cfvo type="max"/>
        <color rgb="FF63C384"/>
      </dataBar>
      <extLst>
        <ext xmlns:x14="http://schemas.microsoft.com/office/spreadsheetml/2009/9/main" uri="{B025F937-C7B1-47D3-B67F-A62EFF666E3E}">
          <x14:id>{4EC54553-7D2D-42A0-A7B3-49395220A6E3}</x14:id>
        </ext>
      </extLst>
    </cfRule>
  </conditionalFormatting>
  <conditionalFormatting sqref="AG207">
    <cfRule type="dataBar" priority="106">
      <dataBar>
        <cfvo type="min"/>
        <cfvo type="max"/>
        <color rgb="FF63C384"/>
      </dataBar>
      <extLst>
        <ext xmlns:x14="http://schemas.microsoft.com/office/spreadsheetml/2009/9/main" uri="{B025F937-C7B1-47D3-B67F-A62EFF666E3E}">
          <x14:id>{ECC0FB23-B22D-411F-A218-A14F191A6D9D}</x14:id>
        </ext>
      </extLst>
    </cfRule>
  </conditionalFormatting>
  <conditionalFormatting sqref="Q208">
    <cfRule type="cellIs" dxfId="2080" priority="105" operator="equal">
      <formula>"ja"</formula>
    </cfRule>
  </conditionalFormatting>
  <conditionalFormatting sqref="AA208">
    <cfRule type="expression" dxfId="2079" priority="104">
      <formula>AND(AND($W208&lt;TODAY(),$W208&lt;&gt;""),$X208="")</formula>
    </cfRule>
  </conditionalFormatting>
  <conditionalFormatting sqref="AG208">
    <cfRule type="dataBar" priority="103">
      <dataBar>
        <cfvo type="min"/>
        <cfvo type="max"/>
        <color rgb="FF63C384"/>
      </dataBar>
      <extLst>
        <ext xmlns:x14="http://schemas.microsoft.com/office/spreadsheetml/2009/9/main" uri="{B025F937-C7B1-47D3-B67F-A62EFF666E3E}">
          <x14:id>{4B0480C2-2D52-4372-B05E-B9656BF3F706}</x14:id>
        </ext>
      </extLst>
    </cfRule>
  </conditionalFormatting>
  <conditionalFormatting sqref="AG208">
    <cfRule type="dataBar" priority="102">
      <dataBar>
        <cfvo type="min"/>
        <cfvo type="max"/>
        <color rgb="FF63C384"/>
      </dataBar>
      <extLst>
        <ext xmlns:x14="http://schemas.microsoft.com/office/spreadsheetml/2009/9/main" uri="{B025F937-C7B1-47D3-B67F-A62EFF666E3E}">
          <x14:id>{2C860A22-6AF8-426D-A1DC-33056257B47B}</x14:id>
        </ext>
      </extLst>
    </cfRule>
  </conditionalFormatting>
  <conditionalFormatting sqref="Q209">
    <cfRule type="cellIs" dxfId="2078" priority="101" operator="equal">
      <formula>"ja"</formula>
    </cfRule>
  </conditionalFormatting>
  <conditionalFormatting sqref="AA209">
    <cfRule type="expression" dxfId="2077" priority="100">
      <formula>AND(AND($W209&lt;TODAY(),$W209&lt;&gt;""),$X209="")</formula>
    </cfRule>
  </conditionalFormatting>
  <conditionalFormatting sqref="AG209">
    <cfRule type="dataBar" priority="99">
      <dataBar>
        <cfvo type="min"/>
        <cfvo type="max"/>
        <color rgb="FF63C384"/>
      </dataBar>
      <extLst>
        <ext xmlns:x14="http://schemas.microsoft.com/office/spreadsheetml/2009/9/main" uri="{B025F937-C7B1-47D3-B67F-A62EFF666E3E}">
          <x14:id>{D0B96EBE-D290-4B1A-9C69-094F4ED38EF5}</x14:id>
        </ext>
      </extLst>
    </cfRule>
  </conditionalFormatting>
  <conditionalFormatting sqref="AG209">
    <cfRule type="dataBar" priority="98">
      <dataBar>
        <cfvo type="min"/>
        <cfvo type="max"/>
        <color rgb="FF63C384"/>
      </dataBar>
      <extLst>
        <ext xmlns:x14="http://schemas.microsoft.com/office/spreadsheetml/2009/9/main" uri="{B025F937-C7B1-47D3-B67F-A62EFF666E3E}">
          <x14:id>{61F45429-D066-492B-8832-162CEB6D08AF}</x14:id>
        </ext>
      </extLst>
    </cfRule>
  </conditionalFormatting>
  <conditionalFormatting sqref="Q210">
    <cfRule type="cellIs" dxfId="2076" priority="97" operator="equal">
      <formula>"ja"</formula>
    </cfRule>
  </conditionalFormatting>
  <conditionalFormatting sqref="AA210">
    <cfRule type="expression" dxfId="2075" priority="96">
      <formula>AND(AND($W210&lt;TODAY(),$W210&lt;&gt;""),$X210="")</formula>
    </cfRule>
  </conditionalFormatting>
  <conditionalFormatting sqref="AG210">
    <cfRule type="dataBar" priority="95">
      <dataBar>
        <cfvo type="min"/>
        <cfvo type="max"/>
        <color rgb="FF63C384"/>
      </dataBar>
      <extLst>
        <ext xmlns:x14="http://schemas.microsoft.com/office/spreadsheetml/2009/9/main" uri="{B025F937-C7B1-47D3-B67F-A62EFF666E3E}">
          <x14:id>{AB2824DB-7CB8-48E9-B9A1-E72E68F5FBC9}</x14:id>
        </ext>
      </extLst>
    </cfRule>
  </conditionalFormatting>
  <conditionalFormatting sqref="AG210">
    <cfRule type="dataBar" priority="94">
      <dataBar>
        <cfvo type="min"/>
        <cfvo type="max"/>
        <color rgb="FF63C384"/>
      </dataBar>
      <extLst>
        <ext xmlns:x14="http://schemas.microsoft.com/office/spreadsheetml/2009/9/main" uri="{B025F937-C7B1-47D3-B67F-A62EFF666E3E}">
          <x14:id>{B149DD51-B6EE-4B90-94DA-15B0EB631C68}</x14:id>
        </ext>
      </extLst>
    </cfRule>
  </conditionalFormatting>
  <conditionalFormatting sqref="AA211">
    <cfRule type="expression" dxfId="2074" priority="93">
      <formula>AND(AND($W211&lt;TODAY(),$W211&lt;&gt;""),$X211="")</formula>
    </cfRule>
  </conditionalFormatting>
  <conditionalFormatting sqref="Q211">
    <cfRule type="cellIs" dxfId="2073" priority="92" operator="equal">
      <formula>"ja"</formula>
    </cfRule>
  </conditionalFormatting>
  <conditionalFormatting sqref="AG211">
    <cfRule type="dataBar" priority="91">
      <dataBar>
        <cfvo type="min"/>
        <cfvo type="max"/>
        <color rgb="FF63C384"/>
      </dataBar>
      <extLst>
        <ext xmlns:x14="http://schemas.microsoft.com/office/spreadsheetml/2009/9/main" uri="{B025F937-C7B1-47D3-B67F-A62EFF666E3E}">
          <x14:id>{6DFB2A4D-9A9A-4B0A-838B-CE8800F2D279}</x14:id>
        </ext>
      </extLst>
    </cfRule>
  </conditionalFormatting>
  <conditionalFormatting sqref="AG211">
    <cfRule type="dataBar" priority="90">
      <dataBar>
        <cfvo type="min"/>
        <cfvo type="max"/>
        <color rgb="FF63C384"/>
      </dataBar>
      <extLst>
        <ext xmlns:x14="http://schemas.microsoft.com/office/spreadsheetml/2009/9/main" uri="{B025F937-C7B1-47D3-B67F-A62EFF666E3E}">
          <x14:id>{EE6DC014-95CB-46E2-A67D-35D02AE4DF1D}</x14:id>
        </ext>
      </extLst>
    </cfRule>
  </conditionalFormatting>
  <conditionalFormatting sqref="AA212">
    <cfRule type="expression" dxfId="2072" priority="89">
      <formula>AND(AND($W212&lt;TODAY(),$W212&lt;&gt;""),$X212="")</formula>
    </cfRule>
  </conditionalFormatting>
  <conditionalFormatting sqref="AG212">
    <cfRule type="dataBar" priority="88">
      <dataBar>
        <cfvo type="min"/>
        <cfvo type="max"/>
        <color rgb="FF63C384"/>
      </dataBar>
      <extLst>
        <ext xmlns:x14="http://schemas.microsoft.com/office/spreadsheetml/2009/9/main" uri="{B025F937-C7B1-47D3-B67F-A62EFF666E3E}">
          <x14:id>{901CF424-CF44-4BF2-BC15-15FE879C024B}</x14:id>
        </ext>
      </extLst>
    </cfRule>
  </conditionalFormatting>
  <conditionalFormatting sqref="AG212">
    <cfRule type="dataBar" priority="87">
      <dataBar>
        <cfvo type="min"/>
        <cfvo type="max"/>
        <color rgb="FF63C384"/>
      </dataBar>
      <extLst>
        <ext xmlns:x14="http://schemas.microsoft.com/office/spreadsheetml/2009/9/main" uri="{B025F937-C7B1-47D3-B67F-A62EFF666E3E}">
          <x14:id>{6DEF5E34-7DF2-47EA-A59F-3BE8BA784231}</x14:id>
        </ext>
      </extLst>
    </cfRule>
  </conditionalFormatting>
  <conditionalFormatting sqref="Q213">
    <cfRule type="cellIs" dxfId="2071" priority="86" operator="equal">
      <formula>"ja"</formula>
    </cfRule>
  </conditionalFormatting>
  <conditionalFormatting sqref="AA213">
    <cfRule type="expression" dxfId="2070" priority="85">
      <formula>AND(AND($W213&lt;TODAY(),$W213&lt;&gt;""),$X213="")</formula>
    </cfRule>
  </conditionalFormatting>
  <conditionalFormatting sqref="AG213">
    <cfRule type="dataBar" priority="84">
      <dataBar>
        <cfvo type="min"/>
        <cfvo type="max"/>
        <color rgb="FF63C384"/>
      </dataBar>
      <extLst>
        <ext xmlns:x14="http://schemas.microsoft.com/office/spreadsheetml/2009/9/main" uri="{B025F937-C7B1-47D3-B67F-A62EFF666E3E}">
          <x14:id>{EBC2B6B8-F85E-49BD-8A16-0EFFE4B7986F}</x14:id>
        </ext>
      </extLst>
    </cfRule>
  </conditionalFormatting>
  <conditionalFormatting sqref="AG213">
    <cfRule type="dataBar" priority="83">
      <dataBar>
        <cfvo type="min"/>
        <cfvo type="max"/>
        <color rgb="FF63C384"/>
      </dataBar>
      <extLst>
        <ext xmlns:x14="http://schemas.microsoft.com/office/spreadsheetml/2009/9/main" uri="{B025F937-C7B1-47D3-B67F-A62EFF666E3E}">
          <x14:id>{F887576B-39EF-4D21-9495-26C8E7B8296C}</x14:id>
        </ext>
      </extLst>
    </cfRule>
  </conditionalFormatting>
  <conditionalFormatting sqref="AA214">
    <cfRule type="expression" dxfId="2069" priority="82">
      <formula>AND(AND($W214&lt;TODAY(),$W214&lt;&gt;""),$X214="")</formula>
    </cfRule>
  </conditionalFormatting>
  <conditionalFormatting sqref="Q214">
    <cfRule type="cellIs" dxfId="2068" priority="81" operator="equal">
      <formula>"ja"</formula>
    </cfRule>
  </conditionalFormatting>
  <conditionalFormatting sqref="AG214">
    <cfRule type="dataBar" priority="80">
      <dataBar>
        <cfvo type="min"/>
        <cfvo type="max"/>
        <color rgb="FF63C384"/>
      </dataBar>
      <extLst>
        <ext xmlns:x14="http://schemas.microsoft.com/office/spreadsheetml/2009/9/main" uri="{B025F937-C7B1-47D3-B67F-A62EFF666E3E}">
          <x14:id>{0DCAA79A-DC3A-484E-8860-EC6932677870}</x14:id>
        </ext>
      </extLst>
    </cfRule>
  </conditionalFormatting>
  <conditionalFormatting sqref="AG214">
    <cfRule type="dataBar" priority="79">
      <dataBar>
        <cfvo type="min"/>
        <cfvo type="max"/>
        <color rgb="FF63C384"/>
      </dataBar>
      <extLst>
        <ext xmlns:x14="http://schemas.microsoft.com/office/spreadsheetml/2009/9/main" uri="{B025F937-C7B1-47D3-B67F-A62EFF666E3E}">
          <x14:id>{2F71E0A4-958F-4A37-80BD-CB9AE9B3B318}</x14:id>
        </ext>
      </extLst>
    </cfRule>
  </conditionalFormatting>
  <conditionalFormatting sqref="AA215">
    <cfRule type="expression" dxfId="2067" priority="78">
      <formula>AND(AND($W215&lt;TODAY(),$W215&lt;&gt;""),$X215="")</formula>
    </cfRule>
  </conditionalFormatting>
  <conditionalFormatting sqref="AG215">
    <cfRule type="dataBar" priority="77">
      <dataBar>
        <cfvo type="min"/>
        <cfvo type="max"/>
        <color rgb="FF63C384"/>
      </dataBar>
      <extLst>
        <ext xmlns:x14="http://schemas.microsoft.com/office/spreadsheetml/2009/9/main" uri="{B025F937-C7B1-47D3-B67F-A62EFF666E3E}">
          <x14:id>{CEFD24FA-467F-41FF-91A8-385B4B4AAA0E}</x14:id>
        </ext>
      </extLst>
    </cfRule>
  </conditionalFormatting>
  <conditionalFormatting sqref="AG215">
    <cfRule type="dataBar" priority="76">
      <dataBar>
        <cfvo type="min"/>
        <cfvo type="max"/>
        <color rgb="FF63C384"/>
      </dataBar>
      <extLst>
        <ext xmlns:x14="http://schemas.microsoft.com/office/spreadsheetml/2009/9/main" uri="{B025F937-C7B1-47D3-B67F-A62EFF666E3E}">
          <x14:id>{BFF4BF44-659F-42A7-8A5C-26EC6C4FEEB3}</x14:id>
        </ext>
      </extLst>
    </cfRule>
  </conditionalFormatting>
  <conditionalFormatting sqref="AA216">
    <cfRule type="expression" dxfId="2066" priority="75">
      <formula>AND(AND($W216&lt;TODAY(),$W216&lt;&gt;""),$X216="")</formula>
    </cfRule>
  </conditionalFormatting>
  <conditionalFormatting sqref="AG216">
    <cfRule type="dataBar" priority="74">
      <dataBar>
        <cfvo type="min"/>
        <cfvo type="max"/>
        <color rgb="FF63C384"/>
      </dataBar>
      <extLst>
        <ext xmlns:x14="http://schemas.microsoft.com/office/spreadsheetml/2009/9/main" uri="{B025F937-C7B1-47D3-B67F-A62EFF666E3E}">
          <x14:id>{BF4D5E49-1BF4-45E1-8267-32545825015D}</x14:id>
        </ext>
      </extLst>
    </cfRule>
  </conditionalFormatting>
  <conditionalFormatting sqref="AG216">
    <cfRule type="dataBar" priority="73">
      <dataBar>
        <cfvo type="min"/>
        <cfvo type="max"/>
        <color rgb="FF63C384"/>
      </dataBar>
      <extLst>
        <ext xmlns:x14="http://schemas.microsoft.com/office/spreadsheetml/2009/9/main" uri="{B025F937-C7B1-47D3-B67F-A62EFF666E3E}">
          <x14:id>{3758BEC5-A5B5-490B-B04E-FAE8164906BB}</x14:id>
        </ext>
      </extLst>
    </cfRule>
  </conditionalFormatting>
  <conditionalFormatting sqref="Q217">
    <cfRule type="cellIs" dxfId="2065" priority="72" operator="equal">
      <formula>"ja"</formula>
    </cfRule>
  </conditionalFormatting>
  <conditionalFormatting sqref="AA217">
    <cfRule type="expression" dxfId="2064" priority="71">
      <formula>AND(AND($W217&lt;TODAY(),$W217&lt;&gt;""),$X217="")</formula>
    </cfRule>
  </conditionalFormatting>
  <conditionalFormatting sqref="AG217">
    <cfRule type="dataBar" priority="70">
      <dataBar>
        <cfvo type="min"/>
        <cfvo type="max"/>
        <color rgb="FF63C384"/>
      </dataBar>
      <extLst>
        <ext xmlns:x14="http://schemas.microsoft.com/office/spreadsheetml/2009/9/main" uri="{B025F937-C7B1-47D3-B67F-A62EFF666E3E}">
          <x14:id>{4806B160-A720-46C7-9BD3-71A200BD2563}</x14:id>
        </ext>
      </extLst>
    </cfRule>
  </conditionalFormatting>
  <conditionalFormatting sqref="AG217">
    <cfRule type="dataBar" priority="69">
      <dataBar>
        <cfvo type="min"/>
        <cfvo type="max"/>
        <color rgb="FF63C384"/>
      </dataBar>
      <extLst>
        <ext xmlns:x14="http://schemas.microsoft.com/office/spreadsheetml/2009/9/main" uri="{B025F937-C7B1-47D3-B67F-A62EFF666E3E}">
          <x14:id>{DD000052-F797-4DE8-8BFD-4529CCD1DA29}</x14:id>
        </ext>
      </extLst>
    </cfRule>
  </conditionalFormatting>
  <conditionalFormatting sqref="AA218">
    <cfRule type="expression" dxfId="2063" priority="68">
      <formula>AND(AND($W218&lt;TODAY(),$W218&lt;&gt;""),$X218="")</formula>
    </cfRule>
  </conditionalFormatting>
  <conditionalFormatting sqref="AG218">
    <cfRule type="dataBar" priority="67">
      <dataBar>
        <cfvo type="min"/>
        <cfvo type="max"/>
        <color rgb="FF63C384"/>
      </dataBar>
      <extLst>
        <ext xmlns:x14="http://schemas.microsoft.com/office/spreadsheetml/2009/9/main" uri="{B025F937-C7B1-47D3-B67F-A62EFF666E3E}">
          <x14:id>{37DDE04F-4558-450F-B16B-053B5A724A9F}</x14:id>
        </ext>
      </extLst>
    </cfRule>
  </conditionalFormatting>
  <conditionalFormatting sqref="AG218">
    <cfRule type="dataBar" priority="66">
      <dataBar>
        <cfvo type="min"/>
        <cfvo type="max"/>
        <color rgb="FF63C384"/>
      </dataBar>
      <extLst>
        <ext xmlns:x14="http://schemas.microsoft.com/office/spreadsheetml/2009/9/main" uri="{B025F937-C7B1-47D3-B67F-A62EFF666E3E}">
          <x14:id>{AB15971D-6A32-43C9-A165-F62BE9AF3EA8}</x14:id>
        </ext>
      </extLst>
    </cfRule>
  </conditionalFormatting>
  <conditionalFormatting sqref="Q218">
    <cfRule type="cellIs" dxfId="2062" priority="65" operator="equal">
      <formula>"ja"</formula>
    </cfRule>
  </conditionalFormatting>
  <conditionalFormatting sqref="Q219">
    <cfRule type="cellIs" dxfId="2061" priority="64" operator="equal">
      <formula>"ja"</formula>
    </cfRule>
  </conditionalFormatting>
  <conditionalFormatting sqref="AA219">
    <cfRule type="expression" dxfId="2060" priority="63">
      <formula>AND(AND($W219&lt;TODAY(),$W219&lt;&gt;""),$X219="")</formula>
    </cfRule>
  </conditionalFormatting>
  <conditionalFormatting sqref="AG219">
    <cfRule type="dataBar" priority="62">
      <dataBar>
        <cfvo type="min"/>
        <cfvo type="max"/>
        <color rgb="FF63C384"/>
      </dataBar>
      <extLst>
        <ext xmlns:x14="http://schemas.microsoft.com/office/spreadsheetml/2009/9/main" uri="{B025F937-C7B1-47D3-B67F-A62EFF666E3E}">
          <x14:id>{1573AA53-E5BB-4A9E-A9BB-E67ACB00D862}</x14:id>
        </ext>
      </extLst>
    </cfRule>
  </conditionalFormatting>
  <conditionalFormatting sqref="AG219">
    <cfRule type="dataBar" priority="61">
      <dataBar>
        <cfvo type="min"/>
        <cfvo type="max"/>
        <color rgb="FF63C384"/>
      </dataBar>
      <extLst>
        <ext xmlns:x14="http://schemas.microsoft.com/office/spreadsheetml/2009/9/main" uri="{B025F937-C7B1-47D3-B67F-A62EFF666E3E}">
          <x14:id>{E67A0CFF-C138-4671-A965-AC19FC0BC043}</x14:id>
        </ext>
      </extLst>
    </cfRule>
  </conditionalFormatting>
  <conditionalFormatting sqref="Q220">
    <cfRule type="cellIs" dxfId="2059" priority="60" operator="equal">
      <formula>"ja"</formula>
    </cfRule>
  </conditionalFormatting>
  <conditionalFormatting sqref="AA220">
    <cfRule type="expression" dxfId="2058" priority="59">
      <formula>AND(AND($W220&lt;TODAY(),$W220&lt;&gt;""),$X220="")</formula>
    </cfRule>
  </conditionalFormatting>
  <conditionalFormatting sqref="AG220">
    <cfRule type="dataBar" priority="58">
      <dataBar>
        <cfvo type="min"/>
        <cfvo type="max"/>
        <color rgb="FF63C384"/>
      </dataBar>
      <extLst>
        <ext xmlns:x14="http://schemas.microsoft.com/office/spreadsheetml/2009/9/main" uri="{B025F937-C7B1-47D3-B67F-A62EFF666E3E}">
          <x14:id>{41A96448-3E12-4383-ABF9-6D91F6EA0D75}</x14:id>
        </ext>
      </extLst>
    </cfRule>
  </conditionalFormatting>
  <conditionalFormatting sqref="AG220">
    <cfRule type="dataBar" priority="57">
      <dataBar>
        <cfvo type="min"/>
        <cfvo type="max"/>
        <color rgb="FF63C384"/>
      </dataBar>
      <extLst>
        <ext xmlns:x14="http://schemas.microsoft.com/office/spreadsheetml/2009/9/main" uri="{B025F937-C7B1-47D3-B67F-A62EFF666E3E}">
          <x14:id>{C92CD40E-204A-4C17-91F9-8EAF077F11B8}</x14:id>
        </ext>
      </extLst>
    </cfRule>
  </conditionalFormatting>
  <conditionalFormatting sqref="AA221">
    <cfRule type="expression" dxfId="2057" priority="56">
      <formula>AND(AND($W221&lt;TODAY(),$W221&lt;&gt;""),$X221="")</formula>
    </cfRule>
  </conditionalFormatting>
  <conditionalFormatting sqref="Q221">
    <cfRule type="cellIs" dxfId="2056" priority="55" operator="equal">
      <formula>"ja"</formula>
    </cfRule>
  </conditionalFormatting>
  <conditionalFormatting sqref="AG221">
    <cfRule type="dataBar" priority="54">
      <dataBar>
        <cfvo type="min"/>
        <cfvo type="max"/>
        <color rgb="FF63C384"/>
      </dataBar>
      <extLst>
        <ext xmlns:x14="http://schemas.microsoft.com/office/spreadsheetml/2009/9/main" uri="{B025F937-C7B1-47D3-B67F-A62EFF666E3E}">
          <x14:id>{A9CA01CE-7818-4BE4-947F-2DB074106CB4}</x14:id>
        </ext>
      </extLst>
    </cfRule>
  </conditionalFormatting>
  <conditionalFormatting sqref="AG221">
    <cfRule type="dataBar" priority="53">
      <dataBar>
        <cfvo type="min"/>
        <cfvo type="max"/>
        <color rgb="FF63C384"/>
      </dataBar>
      <extLst>
        <ext xmlns:x14="http://schemas.microsoft.com/office/spreadsheetml/2009/9/main" uri="{B025F937-C7B1-47D3-B67F-A62EFF666E3E}">
          <x14:id>{89890CCF-8F05-4F9C-BEAC-09C43A95C8FB}</x14:id>
        </ext>
      </extLst>
    </cfRule>
  </conditionalFormatting>
  <conditionalFormatting sqref="Q222">
    <cfRule type="cellIs" dxfId="2055" priority="52" operator="equal">
      <formula>"ja"</formula>
    </cfRule>
  </conditionalFormatting>
  <conditionalFormatting sqref="AA222">
    <cfRule type="expression" dxfId="2054" priority="51">
      <formula>AND(AND($W222&lt;TODAY(),$W222&lt;&gt;""),$X222="")</formula>
    </cfRule>
  </conditionalFormatting>
  <conditionalFormatting sqref="AG222">
    <cfRule type="dataBar" priority="50">
      <dataBar>
        <cfvo type="min"/>
        <cfvo type="max"/>
        <color rgb="FF63C384"/>
      </dataBar>
      <extLst>
        <ext xmlns:x14="http://schemas.microsoft.com/office/spreadsheetml/2009/9/main" uri="{B025F937-C7B1-47D3-B67F-A62EFF666E3E}">
          <x14:id>{F5AB4F52-4C83-49F6-B0A4-A5ADA41706F5}</x14:id>
        </ext>
      </extLst>
    </cfRule>
  </conditionalFormatting>
  <conditionalFormatting sqref="AG222">
    <cfRule type="dataBar" priority="49">
      <dataBar>
        <cfvo type="min"/>
        <cfvo type="max"/>
        <color rgb="FF63C384"/>
      </dataBar>
      <extLst>
        <ext xmlns:x14="http://schemas.microsoft.com/office/spreadsheetml/2009/9/main" uri="{B025F937-C7B1-47D3-B67F-A62EFF666E3E}">
          <x14:id>{2322D1EA-FD24-4D72-BFDC-D95A1E948634}</x14:id>
        </ext>
      </extLst>
    </cfRule>
  </conditionalFormatting>
  <conditionalFormatting sqref="Q223">
    <cfRule type="cellIs" dxfId="2053" priority="48" operator="equal">
      <formula>"ja"</formula>
    </cfRule>
  </conditionalFormatting>
  <conditionalFormatting sqref="AA223">
    <cfRule type="expression" dxfId="2052" priority="47">
      <formula>AND(AND($W223&lt;TODAY(),$W223&lt;&gt;""),$X223="")</formula>
    </cfRule>
  </conditionalFormatting>
  <conditionalFormatting sqref="AG223">
    <cfRule type="dataBar" priority="46">
      <dataBar>
        <cfvo type="min"/>
        <cfvo type="max"/>
        <color rgb="FF63C384"/>
      </dataBar>
      <extLst>
        <ext xmlns:x14="http://schemas.microsoft.com/office/spreadsheetml/2009/9/main" uri="{B025F937-C7B1-47D3-B67F-A62EFF666E3E}">
          <x14:id>{03A8BAB5-05D6-4BE3-9B96-6A889A24FD07}</x14:id>
        </ext>
      </extLst>
    </cfRule>
  </conditionalFormatting>
  <conditionalFormatting sqref="AG223">
    <cfRule type="dataBar" priority="45">
      <dataBar>
        <cfvo type="min"/>
        <cfvo type="max"/>
        <color rgb="FF63C384"/>
      </dataBar>
      <extLst>
        <ext xmlns:x14="http://schemas.microsoft.com/office/spreadsheetml/2009/9/main" uri="{B025F937-C7B1-47D3-B67F-A62EFF666E3E}">
          <x14:id>{2F4A13DC-1854-4156-9EDF-99EA51FB529E}</x14:id>
        </ext>
      </extLst>
    </cfRule>
  </conditionalFormatting>
  <conditionalFormatting sqref="AA224">
    <cfRule type="expression" dxfId="2051" priority="44">
      <formula>AND(AND($W224&lt;TODAY(),$W224&lt;&gt;""),$X224="")</formula>
    </cfRule>
  </conditionalFormatting>
  <conditionalFormatting sqref="Q224">
    <cfRule type="cellIs" dxfId="2050" priority="43" operator="equal">
      <formula>"ja"</formula>
    </cfRule>
  </conditionalFormatting>
  <conditionalFormatting sqref="AG224">
    <cfRule type="dataBar" priority="42">
      <dataBar>
        <cfvo type="min"/>
        <cfvo type="max"/>
        <color rgb="FF63C384"/>
      </dataBar>
      <extLst>
        <ext xmlns:x14="http://schemas.microsoft.com/office/spreadsheetml/2009/9/main" uri="{B025F937-C7B1-47D3-B67F-A62EFF666E3E}">
          <x14:id>{42D9FE33-7394-4DF1-9DEC-9E79F12C741C}</x14:id>
        </ext>
      </extLst>
    </cfRule>
  </conditionalFormatting>
  <conditionalFormatting sqref="AG224">
    <cfRule type="dataBar" priority="41">
      <dataBar>
        <cfvo type="min"/>
        <cfvo type="max"/>
        <color rgb="FF63C384"/>
      </dataBar>
      <extLst>
        <ext xmlns:x14="http://schemas.microsoft.com/office/spreadsheetml/2009/9/main" uri="{B025F937-C7B1-47D3-B67F-A62EFF666E3E}">
          <x14:id>{47E0F88D-925C-4515-8A04-D8B4CCB39BEA}</x14:id>
        </ext>
      </extLst>
    </cfRule>
  </conditionalFormatting>
  <conditionalFormatting sqref="AA225">
    <cfRule type="expression" dxfId="2049" priority="40">
      <formula>AND(AND($W225&lt;TODAY(),$W225&lt;&gt;""),$X225="")</formula>
    </cfRule>
  </conditionalFormatting>
  <conditionalFormatting sqref="Q225">
    <cfRule type="cellIs" dxfId="2048" priority="39" operator="equal">
      <formula>"ja"</formula>
    </cfRule>
  </conditionalFormatting>
  <conditionalFormatting sqref="AG225">
    <cfRule type="dataBar" priority="38">
      <dataBar>
        <cfvo type="min"/>
        <cfvo type="max"/>
        <color rgb="FF63C384"/>
      </dataBar>
      <extLst>
        <ext xmlns:x14="http://schemas.microsoft.com/office/spreadsheetml/2009/9/main" uri="{B025F937-C7B1-47D3-B67F-A62EFF666E3E}">
          <x14:id>{790CBF77-A664-4EE3-A91F-E0ABFD12409E}</x14:id>
        </ext>
      </extLst>
    </cfRule>
  </conditionalFormatting>
  <conditionalFormatting sqref="AG225">
    <cfRule type="dataBar" priority="37">
      <dataBar>
        <cfvo type="min"/>
        <cfvo type="max"/>
        <color rgb="FF63C384"/>
      </dataBar>
      <extLst>
        <ext xmlns:x14="http://schemas.microsoft.com/office/spreadsheetml/2009/9/main" uri="{B025F937-C7B1-47D3-B67F-A62EFF666E3E}">
          <x14:id>{467A84FD-D0F9-41F1-9708-30457C5EA818}</x14:id>
        </ext>
      </extLst>
    </cfRule>
  </conditionalFormatting>
  <conditionalFormatting sqref="Q226">
    <cfRule type="cellIs" dxfId="2047" priority="36" operator="equal">
      <formula>"ja"</formula>
    </cfRule>
  </conditionalFormatting>
  <conditionalFormatting sqref="AA226">
    <cfRule type="expression" dxfId="2046" priority="35">
      <formula>AND(AND($W226&lt;TODAY(),$W226&lt;&gt;""),$X226="")</formula>
    </cfRule>
  </conditionalFormatting>
  <conditionalFormatting sqref="AG226">
    <cfRule type="dataBar" priority="34">
      <dataBar>
        <cfvo type="min"/>
        <cfvo type="max"/>
        <color rgb="FF63C384"/>
      </dataBar>
      <extLst>
        <ext xmlns:x14="http://schemas.microsoft.com/office/spreadsheetml/2009/9/main" uri="{B025F937-C7B1-47D3-B67F-A62EFF666E3E}">
          <x14:id>{3AF19211-85A1-4996-B820-82B206A9F486}</x14:id>
        </ext>
      </extLst>
    </cfRule>
  </conditionalFormatting>
  <conditionalFormatting sqref="AG226">
    <cfRule type="dataBar" priority="33">
      <dataBar>
        <cfvo type="min"/>
        <cfvo type="max"/>
        <color rgb="FF63C384"/>
      </dataBar>
      <extLst>
        <ext xmlns:x14="http://schemas.microsoft.com/office/spreadsheetml/2009/9/main" uri="{B025F937-C7B1-47D3-B67F-A62EFF666E3E}">
          <x14:id>{1C034D3C-9C9A-49DF-9EF6-26960D3C9184}</x14:id>
        </ext>
      </extLst>
    </cfRule>
  </conditionalFormatting>
  <conditionalFormatting sqref="Q227">
    <cfRule type="cellIs" dxfId="2045" priority="32" operator="equal">
      <formula>"ja"</formula>
    </cfRule>
  </conditionalFormatting>
  <conditionalFormatting sqref="AA227">
    <cfRule type="expression" dxfId="2044" priority="31">
      <formula>AND(AND($W227&lt;TODAY(),$W227&lt;&gt;""),$X227="")</formula>
    </cfRule>
  </conditionalFormatting>
  <conditionalFormatting sqref="AG227">
    <cfRule type="dataBar" priority="30">
      <dataBar>
        <cfvo type="min"/>
        <cfvo type="max"/>
        <color rgb="FF63C384"/>
      </dataBar>
      <extLst>
        <ext xmlns:x14="http://schemas.microsoft.com/office/spreadsheetml/2009/9/main" uri="{B025F937-C7B1-47D3-B67F-A62EFF666E3E}">
          <x14:id>{79E95684-B87D-4F88-BB44-CEDE17DBABAB}</x14:id>
        </ext>
      </extLst>
    </cfRule>
  </conditionalFormatting>
  <conditionalFormatting sqref="AG227">
    <cfRule type="dataBar" priority="29">
      <dataBar>
        <cfvo type="min"/>
        <cfvo type="max"/>
        <color rgb="FF63C384"/>
      </dataBar>
      <extLst>
        <ext xmlns:x14="http://schemas.microsoft.com/office/spreadsheetml/2009/9/main" uri="{B025F937-C7B1-47D3-B67F-A62EFF666E3E}">
          <x14:id>{E2DF3F2C-C153-42AB-9460-6348DCB5153B}</x14:id>
        </ext>
      </extLst>
    </cfRule>
  </conditionalFormatting>
  <conditionalFormatting sqref="Q228">
    <cfRule type="cellIs" dxfId="2043" priority="28" operator="equal">
      <formula>"ja"</formula>
    </cfRule>
  </conditionalFormatting>
  <conditionalFormatting sqref="AA228">
    <cfRule type="expression" dxfId="2042" priority="27">
      <formula>AND(AND($W228&lt;TODAY(),$W228&lt;&gt;""),$X228="")</formula>
    </cfRule>
  </conditionalFormatting>
  <conditionalFormatting sqref="AG228">
    <cfRule type="dataBar" priority="26">
      <dataBar>
        <cfvo type="min"/>
        <cfvo type="max"/>
        <color rgb="FF63C384"/>
      </dataBar>
      <extLst>
        <ext xmlns:x14="http://schemas.microsoft.com/office/spreadsheetml/2009/9/main" uri="{B025F937-C7B1-47D3-B67F-A62EFF666E3E}">
          <x14:id>{BCE1455D-340F-4759-8290-20117944CF80}</x14:id>
        </ext>
      </extLst>
    </cfRule>
  </conditionalFormatting>
  <conditionalFormatting sqref="Q229">
    <cfRule type="cellIs" dxfId="2041" priority="25" operator="equal">
      <formula>"ja"</formula>
    </cfRule>
  </conditionalFormatting>
  <conditionalFormatting sqref="AA229">
    <cfRule type="expression" dxfId="2040" priority="24">
      <formula>AND(AND($W229&lt;TODAY(),$W229&lt;&gt;""),$X229="")</formula>
    </cfRule>
  </conditionalFormatting>
  <conditionalFormatting sqref="AG229">
    <cfRule type="dataBar" priority="23">
      <dataBar>
        <cfvo type="min"/>
        <cfvo type="max"/>
        <color rgb="FF63C384"/>
      </dataBar>
      <extLst>
        <ext xmlns:x14="http://schemas.microsoft.com/office/spreadsheetml/2009/9/main" uri="{B025F937-C7B1-47D3-B67F-A62EFF666E3E}">
          <x14:id>{8711FDB6-6A2C-4DAA-B571-4E964A8D0267}</x14:id>
        </ext>
      </extLst>
    </cfRule>
  </conditionalFormatting>
  <conditionalFormatting sqref="AG229">
    <cfRule type="dataBar" priority="22">
      <dataBar>
        <cfvo type="min"/>
        <cfvo type="max"/>
        <color rgb="FF63C384"/>
      </dataBar>
      <extLst>
        <ext xmlns:x14="http://schemas.microsoft.com/office/spreadsheetml/2009/9/main" uri="{B025F937-C7B1-47D3-B67F-A62EFF666E3E}">
          <x14:id>{94331744-11B8-43C3-80E5-53F206036FEF}</x14:id>
        </ext>
      </extLst>
    </cfRule>
  </conditionalFormatting>
  <conditionalFormatting sqref="AA230">
    <cfRule type="expression" dxfId="2039" priority="21">
      <formula>AND(AND($W230&lt;TODAY(),$W230&lt;&gt;""),$X230="")</formula>
    </cfRule>
  </conditionalFormatting>
  <conditionalFormatting sqref="AG230">
    <cfRule type="dataBar" priority="20">
      <dataBar>
        <cfvo type="min"/>
        <cfvo type="max"/>
        <color rgb="FF63C384"/>
      </dataBar>
      <extLst>
        <ext xmlns:x14="http://schemas.microsoft.com/office/spreadsheetml/2009/9/main" uri="{B025F937-C7B1-47D3-B67F-A62EFF666E3E}">
          <x14:id>{3C4E7CA1-3DF0-41B6-B2A8-BF807553DDDF}</x14:id>
        </ext>
      </extLst>
    </cfRule>
  </conditionalFormatting>
  <conditionalFormatting sqref="AG230">
    <cfRule type="dataBar" priority="19">
      <dataBar>
        <cfvo type="min"/>
        <cfvo type="max"/>
        <color rgb="FF63C384"/>
      </dataBar>
      <extLst>
        <ext xmlns:x14="http://schemas.microsoft.com/office/spreadsheetml/2009/9/main" uri="{B025F937-C7B1-47D3-B67F-A62EFF666E3E}">
          <x14:id>{51D40DA6-E31E-4BE2-ADF0-13E676D132BC}</x14:id>
        </ext>
      </extLst>
    </cfRule>
  </conditionalFormatting>
  <conditionalFormatting sqref="AA231">
    <cfRule type="expression" dxfId="2038" priority="18">
      <formula>AND(AND($W231&lt;TODAY(),$W231&lt;&gt;""),$X231="")</formula>
    </cfRule>
  </conditionalFormatting>
  <conditionalFormatting sqref="Q231">
    <cfRule type="cellIs" dxfId="2037" priority="17" operator="equal">
      <formula>"ja"</formula>
    </cfRule>
  </conditionalFormatting>
  <conditionalFormatting sqref="AG231">
    <cfRule type="dataBar" priority="16">
      <dataBar>
        <cfvo type="min"/>
        <cfvo type="max"/>
        <color rgb="FF63C384"/>
      </dataBar>
      <extLst>
        <ext xmlns:x14="http://schemas.microsoft.com/office/spreadsheetml/2009/9/main" uri="{B025F937-C7B1-47D3-B67F-A62EFF666E3E}">
          <x14:id>{B39C8A84-C698-480A-BD34-738BE195ED04}</x14:id>
        </ext>
      </extLst>
    </cfRule>
  </conditionalFormatting>
  <conditionalFormatting sqref="AG231">
    <cfRule type="dataBar" priority="15">
      <dataBar>
        <cfvo type="min"/>
        <cfvo type="max"/>
        <color rgb="FF63C384"/>
      </dataBar>
      <extLst>
        <ext xmlns:x14="http://schemas.microsoft.com/office/spreadsheetml/2009/9/main" uri="{B025F937-C7B1-47D3-B67F-A62EFF666E3E}">
          <x14:id>{F83A4762-992F-4D22-B937-05397DFD2BEC}</x14:id>
        </ext>
      </extLst>
    </cfRule>
  </conditionalFormatting>
  <conditionalFormatting sqref="Q232:Q233">
    <cfRule type="cellIs" dxfId="2036" priority="14" operator="equal">
      <formula>"ja"</formula>
    </cfRule>
  </conditionalFormatting>
  <conditionalFormatting sqref="AA232">
    <cfRule type="expression" dxfId="2035" priority="13">
      <formula>AND(AND($W232&lt;TODAY(),$W232&lt;&gt;""),$X232="")</formula>
    </cfRule>
  </conditionalFormatting>
  <conditionalFormatting sqref="AG232">
    <cfRule type="dataBar" priority="12">
      <dataBar>
        <cfvo type="min"/>
        <cfvo type="max"/>
        <color rgb="FF63C384"/>
      </dataBar>
      <extLst>
        <ext xmlns:x14="http://schemas.microsoft.com/office/spreadsheetml/2009/9/main" uri="{B025F937-C7B1-47D3-B67F-A62EFF666E3E}">
          <x14:id>{CCE3DF24-2EC8-435E-84C9-1BBF80C5144A}</x14:id>
        </ext>
      </extLst>
    </cfRule>
  </conditionalFormatting>
  <conditionalFormatting sqref="AG232">
    <cfRule type="dataBar" priority="11">
      <dataBar>
        <cfvo type="min"/>
        <cfvo type="max"/>
        <color rgb="FF63C384"/>
      </dataBar>
      <extLst>
        <ext xmlns:x14="http://schemas.microsoft.com/office/spreadsheetml/2009/9/main" uri="{B025F937-C7B1-47D3-B67F-A62EFF666E3E}">
          <x14:id>{918BE901-C172-4B7F-BA22-A6F6E99D88D2}</x14:id>
        </ext>
      </extLst>
    </cfRule>
  </conditionalFormatting>
  <conditionalFormatting sqref="Q234:Q235">
    <cfRule type="cellIs" dxfId="2034" priority="10" operator="equal">
      <formula>"ja"</formula>
    </cfRule>
  </conditionalFormatting>
  <conditionalFormatting sqref="AA234">
    <cfRule type="expression" dxfId="2033" priority="9">
      <formula>AND(AND($W234&lt;TODAY(),$W234&lt;&gt;""),$X234="")</formula>
    </cfRule>
  </conditionalFormatting>
  <conditionalFormatting sqref="AG234">
    <cfRule type="dataBar" priority="8">
      <dataBar>
        <cfvo type="min"/>
        <cfvo type="max"/>
        <color rgb="FF63C384"/>
      </dataBar>
      <extLst>
        <ext xmlns:x14="http://schemas.microsoft.com/office/spreadsheetml/2009/9/main" uri="{B025F937-C7B1-47D3-B67F-A62EFF666E3E}">
          <x14:id>{9E59ACC1-8951-4244-A43E-2D07EA689471}</x14:id>
        </ext>
      </extLst>
    </cfRule>
  </conditionalFormatting>
  <conditionalFormatting sqref="AG234">
    <cfRule type="dataBar" priority="7">
      <dataBar>
        <cfvo type="min"/>
        <cfvo type="max"/>
        <color rgb="FF63C384"/>
      </dataBar>
      <extLst>
        <ext xmlns:x14="http://schemas.microsoft.com/office/spreadsheetml/2009/9/main" uri="{B025F937-C7B1-47D3-B67F-A62EFF666E3E}">
          <x14:id>{D2E0876D-3A51-409A-9FDB-D22A574EE5BA}</x14:id>
        </ext>
      </extLst>
    </cfRule>
  </conditionalFormatting>
  <conditionalFormatting sqref="AA233">
    <cfRule type="expression" dxfId="2032" priority="6">
      <formula>AND(AND($W233&lt;TODAY(),$W233&lt;&gt;""),$X233="")</formula>
    </cfRule>
  </conditionalFormatting>
  <conditionalFormatting sqref="AG233">
    <cfRule type="dataBar" priority="5">
      <dataBar>
        <cfvo type="min"/>
        <cfvo type="max"/>
        <color rgb="FF63C384"/>
      </dataBar>
      <extLst>
        <ext xmlns:x14="http://schemas.microsoft.com/office/spreadsheetml/2009/9/main" uri="{B025F937-C7B1-47D3-B67F-A62EFF666E3E}">
          <x14:id>{32B94D38-9ECB-4F0F-A698-A073E1D50795}</x14:id>
        </ext>
      </extLst>
    </cfRule>
  </conditionalFormatting>
  <conditionalFormatting sqref="AG233">
    <cfRule type="dataBar" priority="4">
      <dataBar>
        <cfvo type="min"/>
        <cfvo type="max"/>
        <color rgb="FF63C384"/>
      </dataBar>
      <extLst>
        <ext xmlns:x14="http://schemas.microsoft.com/office/spreadsheetml/2009/9/main" uri="{B025F937-C7B1-47D3-B67F-A62EFF666E3E}">
          <x14:id>{61C2F629-845D-4A0C-AAC1-E1C662AA779F}</x14:id>
        </ext>
      </extLst>
    </cfRule>
  </conditionalFormatting>
  <conditionalFormatting sqref="AA235">
    <cfRule type="expression" dxfId="2031" priority="3">
      <formula>AND(AND($W235&lt;TODAY(),$W235&lt;&gt;""),$X235="")</formula>
    </cfRule>
  </conditionalFormatting>
  <conditionalFormatting sqref="AG235">
    <cfRule type="dataBar" priority="2">
      <dataBar>
        <cfvo type="min"/>
        <cfvo type="max"/>
        <color rgb="FF63C384"/>
      </dataBar>
      <extLst>
        <ext xmlns:x14="http://schemas.microsoft.com/office/spreadsheetml/2009/9/main" uri="{B025F937-C7B1-47D3-B67F-A62EFF666E3E}">
          <x14:id>{D709EF66-13EB-494B-8270-D67E96C4E609}</x14:id>
        </ext>
      </extLst>
    </cfRule>
  </conditionalFormatting>
  <conditionalFormatting sqref="AG235">
    <cfRule type="dataBar" priority="1">
      <dataBar>
        <cfvo type="min"/>
        <cfvo type="max"/>
        <color rgb="FF63C384"/>
      </dataBar>
      <extLst>
        <ext xmlns:x14="http://schemas.microsoft.com/office/spreadsheetml/2009/9/main" uri="{B025F937-C7B1-47D3-B67F-A62EFF666E3E}">
          <x14:id>{BBFD80E7-80A5-4398-BD77-80EDB6E8E22A}</x14:id>
        </ext>
      </extLst>
    </cfRule>
  </conditionalFormatting>
  <dataValidations count="3">
    <dataValidation type="list" allowBlank="1" showInputMessage="1" showErrorMessage="1" sqref="L2:L235" xr:uid="{5917C50E-24F2-433B-B998-2209FFC5AD17}">
      <formula1>Spesenart</formula1>
    </dataValidation>
    <dataValidation type="list" allowBlank="1" showInputMessage="1" showErrorMessage="1" sqref="K109 K150 K148 K184 K162:K163 K199" xr:uid="{72DEA518-CE0E-4F3A-9310-975A5D938447}">
      <formula1>"Einnahmen,Ausgaben"</formula1>
    </dataValidation>
    <dataValidation type="list" allowBlank="1" showInputMessage="1" showErrorMessage="1" sqref="Q3 Q40 Q78 Q104 Q117 Q128 Q142 Q168 Q157 Q172 Q187 Q203 Q221" xr:uid="{03A3DD86-7E5B-459A-AB41-50ABE0BF371A}">
      <formula1>"Weiterverkauf,"</formula1>
    </dataValidation>
  </dataValidations>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11BB559F-6260-4116-B593-AE42FFAC6B6F}">
            <x14:dataBar minLength="0" maxLength="100" border="1" negativeBarBorderColorSameAsPositive="0">
              <x14:cfvo type="autoMin"/>
              <x14:cfvo type="autoMax"/>
              <x14:borderColor rgb="FF63C384"/>
              <x14:negativeFillColor rgb="FFFF0000"/>
              <x14:negativeBorderColor rgb="FFFF0000"/>
              <x14:axisColor rgb="FF000000"/>
            </x14:dataBar>
          </x14:cfRule>
          <xm:sqref>AG2</xm:sqref>
        </x14:conditionalFormatting>
        <x14:conditionalFormatting xmlns:xm="http://schemas.microsoft.com/office/excel/2006/main">
          <x14:cfRule type="dataBar" id="{AD006380-6290-42D1-B7C6-577A3A7EB350}">
            <x14:dataBar minLength="0" maxLength="100" border="1" negativeBarBorderColorSameAsPositive="0">
              <x14:cfvo type="autoMin"/>
              <x14:cfvo type="autoMax"/>
              <x14:borderColor rgb="FF63C384"/>
              <x14:negativeFillColor rgb="FFFF0000"/>
              <x14:negativeBorderColor rgb="FFFF0000"/>
              <x14:axisColor rgb="FF000000"/>
            </x14:dataBar>
          </x14:cfRule>
          <xm:sqref>AG2</xm:sqref>
        </x14:conditionalFormatting>
        <x14:conditionalFormatting xmlns:xm="http://schemas.microsoft.com/office/excel/2006/main">
          <x14:cfRule type="dataBar" id="{04531706-9BA4-4F8B-B362-450930025AA8}">
            <x14:dataBar minLength="0" maxLength="100" border="1" negativeBarBorderColorSameAsPositive="0">
              <x14:cfvo type="autoMin"/>
              <x14:cfvo type="autoMax"/>
              <x14:borderColor rgb="FF63C384"/>
              <x14:negativeFillColor rgb="FFFF0000"/>
              <x14:negativeBorderColor rgb="FFFF0000"/>
              <x14:axisColor rgb="FF000000"/>
            </x14:dataBar>
          </x14:cfRule>
          <xm:sqref>AG3:AG4</xm:sqref>
        </x14:conditionalFormatting>
        <x14:conditionalFormatting xmlns:xm="http://schemas.microsoft.com/office/excel/2006/main">
          <x14:cfRule type="dataBar" id="{DDACEE5C-D207-4BD2-8B7A-C95836301C26}">
            <x14:dataBar minLength="0" maxLength="100" border="1" negativeBarBorderColorSameAsPositive="0">
              <x14:cfvo type="autoMin"/>
              <x14:cfvo type="autoMax"/>
              <x14:borderColor rgb="FF63C384"/>
              <x14:negativeFillColor rgb="FFFF0000"/>
              <x14:negativeBorderColor rgb="FFFF0000"/>
              <x14:axisColor rgb="FF000000"/>
            </x14:dataBar>
          </x14:cfRule>
          <xm:sqref>AG3:AG4</xm:sqref>
        </x14:conditionalFormatting>
        <x14:conditionalFormatting xmlns:xm="http://schemas.microsoft.com/office/excel/2006/main">
          <x14:cfRule type="dataBar" id="{D83CA15C-2EBF-41F2-BD98-1ECFA263A865}">
            <x14:dataBar minLength="0" maxLength="100" border="1" negativeBarBorderColorSameAsPositive="0">
              <x14:cfvo type="autoMin"/>
              <x14:cfvo type="autoMax"/>
              <x14:borderColor rgb="FF63C384"/>
              <x14:negativeFillColor rgb="FFFF0000"/>
              <x14:negativeBorderColor rgb="FFFF0000"/>
              <x14:axisColor rgb="FF000000"/>
            </x14:dataBar>
          </x14:cfRule>
          <xm:sqref>AG5</xm:sqref>
        </x14:conditionalFormatting>
        <x14:conditionalFormatting xmlns:xm="http://schemas.microsoft.com/office/excel/2006/main">
          <x14:cfRule type="dataBar" id="{AC826091-05EA-409F-A5AE-4285B51D12A5}">
            <x14:dataBar minLength="0" maxLength="100" border="1" negativeBarBorderColorSameAsPositive="0">
              <x14:cfvo type="autoMin"/>
              <x14:cfvo type="autoMax"/>
              <x14:borderColor rgb="FF63C384"/>
              <x14:negativeFillColor rgb="FFFF0000"/>
              <x14:negativeBorderColor rgb="FFFF0000"/>
              <x14:axisColor rgb="FF000000"/>
            </x14:dataBar>
          </x14:cfRule>
          <xm:sqref>AG5</xm:sqref>
        </x14:conditionalFormatting>
        <x14:conditionalFormatting xmlns:xm="http://schemas.microsoft.com/office/excel/2006/main">
          <x14:cfRule type="dataBar" id="{E1280485-6258-408A-B1CF-4C64B571D92A}">
            <x14:dataBar minLength="0" maxLength="100" border="1" negativeBarBorderColorSameAsPositive="0">
              <x14:cfvo type="autoMin"/>
              <x14:cfvo type="autoMax"/>
              <x14:borderColor rgb="FF63C384"/>
              <x14:negativeFillColor rgb="FFFF0000"/>
              <x14:negativeBorderColor rgb="FFFF0000"/>
              <x14:axisColor rgb="FF000000"/>
            </x14:dataBar>
          </x14:cfRule>
          <xm:sqref>AG6</xm:sqref>
        </x14:conditionalFormatting>
        <x14:conditionalFormatting xmlns:xm="http://schemas.microsoft.com/office/excel/2006/main">
          <x14:cfRule type="dataBar" id="{66CC25DD-C4AE-4EB1-94D6-266ED80F34CB}">
            <x14:dataBar minLength="0" maxLength="100" border="1" negativeBarBorderColorSameAsPositive="0">
              <x14:cfvo type="autoMin"/>
              <x14:cfvo type="autoMax"/>
              <x14:borderColor rgb="FF63C384"/>
              <x14:negativeFillColor rgb="FFFF0000"/>
              <x14:negativeBorderColor rgb="FFFF0000"/>
              <x14:axisColor rgb="FF000000"/>
            </x14:dataBar>
          </x14:cfRule>
          <xm:sqref>AG6</xm:sqref>
        </x14:conditionalFormatting>
        <x14:conditionalFormatting xmlns:xm="http://schemas.microsoft.com/office/excel/2006/main">
          <x14:cfRule type="dataBar" id="{CD7B7F56-C7B9-4666-8273-07FA04887FE8}">
            <x14:dataBar minLength="0" maxLength="100" border="1" negativeBarBorderColorSameAsPositive="0">
              <x14:cfvo type="autoMin"/>
              <x14:cfvo type="autoMax"/>
              <x14:borderColor rgb="FF63C384"/>
              <x14:negativeFillColor rgb="FFFF0000"/>
              <x14:negativeBorderColor rgb="FFFF0000"/>
              <x14:axisColor rgb="FF000000"/>
            </x14:dataBar>
          </x14:cfRule>
          <xm:sqref>AG7</xm:sqref>
        </x14:conditionalFormatting>
        <x14:conditionalFormatting xmlns:xm="http://schemas.microsoft.com/office/excel/2006/main">
          <x14:cfRule type="dataBar" id="{3CA87134-AB8E-4157-BC9A-D7790F808C95}">
            <x14:dataBar minLength="0" maxLength="100" border="1" negativeBarBorderColorSameAsPositive="0">
              <x14:cfvo type="autoMin"/>
              <x14:cfvo type="autoMax"/>
              <x14:borderColor rgb="FF63C384"/>
              <x14:negativeFillColor rgb="FFFF0000"/>
              <x14:negativeBorderColor rgb="FFFF0000"/>
              <x14:axisColor rgb="FF000000"/>
            </x14:dataBar>
          </x14:cfRule>
          <xm:sqref>AG7</xm:sqref>
        </x14:conditionalFormatting>
        <x14:conditionalFormatting xmlns:xm="http://schemas.microsoft.com/office/excel/2006/main">
          <x14:cfRule type="dataBar" id="{205361BE-2D4B-41D0-A221-A0C11B9386B9}">
            <x14:dataBar minLength="0" maxLength="100" border="1" negativeBarBorderColorSameAsPositive="0">
              <x14:cfvo type="autoMin"/>
              <x14:cfvo type="autoMax"/>
              <x14:borderColor rgb="FF63C384"/>
              <x14:negativeFillColor rgb="FFFF0000"/>
              <x14:negativeBorderColor rgb="FFFF0000"/>
              <x14:axisColor rgb="FF000000"/>
            </x14:dataBar>
          </x14:cfRule>
          <xm:sqref>AG8</xm:sqref>
        </x14:conditionalFormatting>
        <x14:conditionalFormatting xmlns:xm="http://schemas.microsoft.com/office/excel/2006/main">
          <x14:cfRule type="dataBar" id="{EFB00967-508D-4F72-A6FE-44BA25B47D6C}">
            <x14:dataBar minLength="0" maxLength="100" border="1" negativeBarBorderColorSameAsPositive="0">
              <x14:cfvo type="autoMin"/>
              <x14:cfvo type="autoMax"/>
              <x14:borderColor rgb="FF63C384"/>
              <x14:negativeFillColor rgb="FFFF0000"/>
              <x14:negativeBorderColor rgb="FFFF0000"/>
              <x14:axisColor rgb="FF000000"/>
            </x14:dataBar>
          </x14:cfRule>
          <xm:sqref>AG8</xm:sqref>
        </x14:conditionalFormatting>
        <x14:conditionalFormatting xmlns:xm="http://schemas.microsoft.com/office/excel/2006/main">
          <x14:cfRule type="dataBar" id="{3A540930-5D2C-4D92-AC8E-F2D5618DBE48}">
            <x14:dataBar minLength="0" maxLength="100" border="1" negativeBarBorderColorSameAsPositive="0">
              <x14:cfvo type="autoMin"/>
              <x14:cfvo type="autoMax"/>
              <x14:borderColor rgb="FF63C384"/>
              <x14:negativeFillColor rgb="FFFF0000"/>
              <x14:negativeBorderColor rgb="FFFF0000"/>
              <x14:axisColor rgb="FF000000"/>
            </x14:dataBar>
          </x14:cfRule>
          <xm:sqref>AG9</xm:sqref>
        </x14:conditionalFormatting>
        <x14:conditionalFormatting xmlns:xm="http://schemas.microsoft.com/office/excel/2006/main">
          <x14:cfRule type="dataBar" id="{FBAE6F42-0DEC-4185-BFCD-2814202AE148}">
            <x14:dataBar minLength="0" maxLength="100" border="1" negativeBarBorderColorSameAsPositive="0">
              <x14:cfvo type="autoMin"/>
              <x14:cfvo type="autoMax"/>
              <x14:borderColor rgb="FF63C384"/>
              <x14:negativeFillColor rgb="FFFF0000"/>
              <x14:negativeBorderColor rgb="FFFF0000"/>
              <x14:axisColor rgb="FF000000"/>
            </x14:dataBar>
          </x14:cfRule>
          <xm:sqref>AG9</xm:sqref>
        </x14:conditionalFormatting>
        <x14:conditionalFormatting xmlns:xm="http://schemas.microsoft.com/office/excel/2006/main">
          <x14:cfRule type="dataBar" id="{00D24CFB-8159-49D3-9532-31033299BAF4}">
            <x14:dataBar minLength="0" maxLength="100" border="1" negativeBarBorderColorSameAsPositive="0">
              <x14:cfvo type="autoMin"/>
              <x14:cfvo type="autoMax"/>
              <x14:borderColor rgb="FF63C384"/>
              <x14:negativeFillColor rgb="FFFF0000"/>
              <x14:negativeBorderColor rgb="FFFF0000"/>
              <x14:axisColor rgb="FF000000"/>
            </x14:dataBar>
          </x14:cfRule>
          <xm:sqref>AG10:AG11</xm:sqref>
        </x14:conditionalFormatting>
        <x14:conditionalFormatting xmlns:xm="http://schemas.microsoft.com/office/excel/2006/main">
          <x14:cfRule type="dataBar" id="{535724FC-27EB-4C62-8A1A-97974DAF947D}">
            <x14:dataBar minLength="0" maxLength="100" border="1" negativeBarBorderColorSameAsPositive="0">
              <x14:cfvo type="autoMin"/>
              <x14:cfvo type="autoMax"/>
              <x14:borderColor rgb="FF63C384"/>
              <x14:negativeFillColor rgb="FFFF0000"/>
              <x14:negativeBorderColor rgb="FFFF0000"/>
              <x14:axisColor rgb="FF000000"/>
            </x14:dataBar>
          </x14:cfRule>
          <xm:sqref>AG10:AG11</xm:sqref>
        </x14:conditionalFormatting>
        <x14:conditionalFormatting xmlns:xm="http://schemas.microsoft.com/office/excel/2006/main">
          <x14:cfRule type="dataBar" id="{CE122AAE-DAF5-4AEF-B21B-9EDC00E72DDC}">
            <x14:dataBar minLength="0" maxLength="100" border="1" negativeBarBorderColorSameAsPositive="0">
              <x14:cfvo type="autoMin"/>
              <x14:cfvo type="autoMax"/>
              <x14:borderColor rgb="FF63C384"/>
              <x14:negativeFillColor rgb="FFFF0000"/>
              <x14:negativeBorderColor rgb="FFFF0000"/>
              <x14:axisColor rgb="FF000000"/>
            </x14:dataBar>
          </x14:cfRule>
          <xm:sqref>AG12</xm:sqref>
        </x14:conditionalFormatting>
        <x14:conditionalFormatting xmlns:xm="http://schemas.microsoft.com/office/excel/2006/main">
          <x14:cfRule type="dataBar" id="{F9CB0476-EBE5-4837-B410-0CBFDF630A1F}">
            <x14:dataBar minLength="0" maxLength="100" border="1" negativeBarBorderColorSameAsPositive="0">
              <x14:cfvo type="autoMin"/>
              <x14:cfvo type="autoMax"/>
              <x14:borderColor rgb="FF63C384"/>
              <x14:negativeFillColor rgb="FFFF0000"/>
              <x14:negativeBorderColor rgb="FFFF0000"/>
              <x14:axisColor rgb="FF000000"/>
            </x14:dataBar>
          </x14:cfRule>
          <xm:sqref>AG12</xm:sqref>
        </x14:conditionalFormatting>
        <x14:conditionalFormatting xmlns:xm="http://schemas.microsoft.com/office/excel/2006/main">
          <x14:cfRule type="dataBar" id="{545B1E3D-C7CA-4A31-AB5E-57F447781AE3}">
            <x14:dataBar minLength="0" maxLength="100" border="1" negativeBarBorderColorSameAsPositive="0">
              <x14:cfvo type="autoMin"/>
              <x14:cfvo type="autoMax"/>
              <x14:borderColor rgb="FF63C384"/>
              <x14:negativeFillColor rgb="FFFF0000"/>
              <x14:negativeBorderColor rgb="FFFF0000"/>
              <x14:axisColor rgb="FF000000"/>
            </x14:dataBar>
          </x14:cfRule>
          <xm:sqref>AG13</xm:sqref>
        </x14:conditionalFormatting>
        <x14:conditionalFormatting xmlns:xm="http://schemas.microsoft.com/office/excel/2006/main">
          <x14:cfRule type="dataBar" id="{1506C0D2-1116-4CE3-8D43-900398AA11CA}">
            <x14:dataBar minLength="0" maxLength="100" border="1" negativeBarBorderColorSameAsPositive="0">
              <x14:cfvo type="autoMin"/>
              <x14:cfvo type="autoMax"/>
              <x14:borderColor rgb="FF63C384"/>
              <x14:negativeFillColor rgb="FFFF0000"/>
              <x14:negativeBorderColor rgb="FFFF0000"/>
              <x14:axisColor rgb="FF000000"/>
            </x14:dataBar>
          </x14:cfRule>
          <xm:sqref>AG13</xm:sqref>
        </x14:conditionalFormatting>
        <x14:conditionalFormatting xmlns:xm="http://schemas.microsoft.com/office/excel/2006/main">
          <x14:cfRule type="dataBar" id="{DBCDE1DC-31B2-4A80-90A6-A8E1B2D1DD70}">
            <x14:dataBar minLength="0" maxLength="100" border="1" negativeBarBorderColorSameAsPositive="0">
              <x14:cfvo type="autoMin"/>
              <x14:cfvo type="autoMax"/>
              <x14:borderColor rgb="FF63C384"/>
              <x14:negativeFillColor rgb="FFFF0000"/>
              <x14:negativeBorderColor rgb="FFFF0000"/>
              <x14:axisColor rgb="FF000000"/>
            </x14:dataBar>
          </x14:cfRule>
          <xm:sqref>AG14</xm:sqref>
        </x14:conditionalFormatting>
        <x14:conditionalFormatting xmlns:xm="http://schemas.microsoft.com/office/excel/2006/main">
          <x14:cfRule type="dataBar" id="{C31D42ED-F7C7-451E-BAF2-C78D8E4A7D3B}">
            <x14:dataBar minLength="0" maxLength="100" border="1" negativeBarBorderColorSameAsPositive="0">
              <x14:cfvo type="autoMin"/>
              <x14:cfvo type="autoMax"/>
              <x14:borderColor rgb="FF63C384"/>
              <x14:negativeFillColor rgb="FFFF0000"/>
              <x14:negativeBorderColor rgb="FFFF0000"/>
              <x14:axisColor rgb="FF000000"/>
            </x14:dataBar>
          </x14:cfRule>
          <xm:sqref>AG14</xm:sqref>
        </x14:conditionalFormatting>
        <x14:conditionalFormatting xmlns:xm="http://schemas.microsoft.com/office/excel/2006/main">
          <x14:cfRule type="dataBar" id="{2B5244F3-643D-4E1D-A619-54633BC4089E}">
            <x14:dataBar minLength="0" maxLength="100" border="1" negativeBarBorderColorSameAsPositive="0">
              <x14:cfvo type="autoMin"/>
              <x14:cfvo type="autoMax"/>
              <x14:borderColor rgb="FF63C384"/>
              <x14:negativeFillColor rgb="FFFF0000"/>
              <x14:negativeBorderColor rgb="FFFF0000"/>
              <x14:axisColor rgb="FF000000"/>
            </x14:dataBar>
          </x14:cfRule>
          <xm:sqref>AG15</xm:sqref>
        </x14:conditionalFormatting>
        <x14:conditionalFormatting xmlns:xm="http://schemas.microsoft.com/office/excel/2006/main">
          <x14:cfRule type="dataBar" id="{8254C021-D792-4F8A-B236-A5EDF11A5A88}">
            <x14:dataBar minLength="0" maxLength="100" border="1" negativeBarBorderColorSameAsPositive="0">
              <x14:cfvo type="autoMin"/>
              <x14:cfvo type="autoMax"/>
              <x14:borderColor rgb="FF63C384"/>
              <x14:negativeFillColor rgb="FFFF0000"/>
              <x14:negativeBorderColor rgb="FFFF0000"/>
              <x14:axisColor rgb="FF000000"/>
            </x14:dataBar>
          </x14:cfRule>
          <xm:sqref>AG15</xm:sqref>
        </x14:conditionalFormatting>
        <x14:conditionalFormatting xmlns:xm="http://schemas.microsoft.com/office/excel/2006/main">
          <x14:cfRule type="dataBar" id="{D9E618D8-5062-47CE-8086-26F34DAE06A3}">
            <x14:dataBar minLength="0" maxLength="100" border="1" negativeBarBorderColorSameAsPositive="0">
              <x14:cfvo type="autoMin"/>
              <x14:cfvo type="autoMax"/>
              <x14:borderColor rgb="FF63C384"/>
              <x14:negativeFillColor rgb="FFFF0000"/>
              <x14:negativeBorderColor rgb="FFFF0000"/>
              <x14:axisColor rgb="FF000000"/>
            </x14:dataBar>
          </x14:cfRule>
          <xm:sqref>AG16</xm:sqref>
        </x14:conditionalFormatting>
        <x14:conditionalFormatting xmlns:xm="http://schemas.microsoft.com/office/excel/2006/main">
          <x14:cfRule type="dataBar" id="{74B77EF4-08CD-444D-9D1F-85C9B0F7A995}">
            <x14:dataBar minLength="0" maxLength="100" border="1" negativeBarBorderColorSameAsPositive="0">
              <x14:cfvo type="autoMin"/>
              <x14:cfvo type="autoMax"/>
              <x14:borderColor rgb="FF63C384"/>
              <x14:negativeFillColor rgb="FFFF0000"/>
              <x14:negativeBorderColor rgb="FFFF0000"/>
              <x14:axisColor rgb="FF000000"/>
            </x14:dataBar>
          </x14:cfRule>
          <xm:sqref>AG16</xm:sqref>
        </x14:conditionalFormatting>
        <x14:conditionalFormatting xmlns:xm="http://schemas.microsoft.com/office/excel/2006/main">
          <x14:cfRule type="dataBar" id="{248366F6-00C4-4BCC-BC82-F5FD5F151B42}">
            <x14:dataBar minLength="0" maxLength="100" border="1" negativeBarBorderColorSameAsPositive="0">
              <x14:cfvo type="autoMin"/>
              <x14:cfvo type="autoMax"/>
              <x14:borderColor rgb="FF63C384"/>
              <x14:negativeFillColor rgb="FFFF0000"/>
              <x14:negativeBorderColor rgb="FFFF0000"/>
              <x14:axisColor rgb="FF000000"/>
            </x14:dataBar>
          </x14:cfRule>
          <xm:sqref>AG17:AG18</xm:sqref>
        </x14:conditionalFormatting>
        <x14:conditionalFormatting xmlns:xm="http://schemas.microsoft.com/office/excel/2006/main">
          <x14:cfRule type="dataBar" id="{09AC8A07-D743-49B1-90CE-FD9D7ABF4384}">
            <x14:dataBar minLength="0" maxLength="100" border="1" negativeBarBorderColorSameAsPositive="0">
              <x14:cfvo type="autoMin"/>
              <x14:cfvo type="autoMax"/>
              <x14:borderColor rgb="FF63C384"/>
              <x14:negativeFillColor rgb="FFFF0000"/>
              <x14:negativeBorderColor rgb="FFFF0000"/>
              <x14:axisColor rgb="FF000000"/>
            </x14:dataBar>
          </x14:cfRule>
          <xm:sqref>AG17:AG18</xm:sqref>
        </x14:conditionalFormatting>
        <x14:conditionalFormatting xmlns:xm="http://schemas.microsoft.com/office/excel/2006/main">
          <x14:cfRule type="dataBar" id="{B022CF2B-9501-4071-80A9-1596728A3DFB}">
            <x14:dataBar minLength="0" maxLength="100" border="1" negativeBarBorderColorSameAsPositive="0">
              <x14:cfvo type="autoMin"/>
              <x14:cfvo type="autoMax"/>
              <x14:borderColor rgb="FF63C384"/>
              <x14:negativeFillColor rgb="FFFF0000"/>
              <x14:negativeBorderColor rgb="FFFF0000"/>
              <x14:axisColor rgb="FF000000"/>
            </x14:dataBar>
          </x14:cfRule>
          <xm:sqref>AG19</xm:sqref>
        </x14:conditionalFormatting>
        <x14:conditionalFormatting xmlns:xm="http://schemas.microsoft.com/office/excel/2006/main">
          <x14:cfRule type="dataBar" id="{DFFFB1F6-C2B9-4B09-8257-95DAC86E769D}">
            <x14:dataBar minLength="0" maxLength="100" border="1" negativeBarBorderColorSameAsPositive="0">
              <x14:cfvo type="autoMin"/>
              <x14:cfvo type="autoMax"/>
              <x14:borderColor rgb="FF63C384"/>
              <x14:negativeFillColor rgb="FFFF0000"/>
              <x14:negativeBorderColor rgb="FFFF0000"/>
              <x14:axisColor rgb="FF000000"/>
            </x14:dataBar>
          </x14:cfRule>
          <xm:sqref>AG19</xm:sqref>
        </x14:conditionalFormatting>
        <x14:conditionalFormatting xmlns:xm="http://schemas.microsoft.com/office/excel/2006/main">
          <x14:cfRule type="dataBar" id="{60CD247C-DF06-47AB-A8DC-21ACEC46AEF6}">
            <x14:dataBar minLength="0" maxLength="100" border="1" negativeBarBorderColorSameAsPositive="0">
              <x14:cfvo type="autoMin"/>
              <x14:cfvo type="autoMax"/>
              <x14:borderColor rgb="FF63C384"/>
              <x14:negativeFillColor rgb="FFFF0000"/>
              <x14:negativeBorderColor rgb="FFFF0000"/>
              <x14:axisColor rgb="FF000000"/>
            </x14:dataBar>
          </x14:cfRule>
          <xm:sqref>AG20</xm:sqref>
        </x14:conditionalFormatting>
        <x14:conditionalFormatting xmlns:xm="http://schemas.microsoft.com/office/excel/2006/main">
          <x14:cfRule type="dataBar" id="{62C4F98D-8C52-4333-BE1E-9009F1574D77}">
            <x14:dataBar minLength="0" maxLength="100" border="1" negativeBarBorderColorSameAsPositive="0">
              <x14:cfvo type="autoMin"/>
              <x14:cfvo type="autoMax"/>
              <x14:borderColor rgb="FF63C384"/>
              <x14:negativeFillColor rgb="FFFF0000"/>
              <x14:negativeBorderColor rgb="FFFF0000"/>
              <x14:axisColor rgb="FF000000"/>
            </x14:dataBar>
          </x14:cfRule>
          <xm:sqref>AG20</xm:sqref>
        </x14:conditionalFormatting>
        <x14:conditionalFormatting xmlns:xm="http://schemas.microsoft.com/office/excel/2006/main">
          <x14:cfRule type="dataBar" id="{E4729C58-904D-4BB9-9643-6A5FC27B6F63}">
            <x14:dataBar minLength="0" maxLength="100" border="1" negativeBarBorderColorSameAsPositive="0">
              <x14:cfvo type="autoMin"/>
              <x14:cfvo type="autoMax"/>
              <x14:borderColor rgb="FF63C384"/>
              <x14:negativeFillColor rgb="FFFF0000"/>
              <x14:negativeBorderColor rgb="FFFF0000"/>
              <x14:axisColor rgb="FF000000"/>
            </x14:dataBar>
          </x14:cfRule>
          <xm:sqref>AG21</xm:sqref>
        </x14:conditionalFormatting>
        <x14:conditionalFormatting xmlns:xm="http://schemas.microsoft.com/office/excel/2006/main">
          <x14:cfRule type="dataBar" id="{0F02C841-07C6-49F4-9ACC-D6039794AA10}">
            <x14:dataBar minLength="0" maxLength="100" border="1" negativeBarBorderColorSameAsPositive="0">
              <x14:cfvo type="autoMin"/>
              <x14:cfvo type="autoMax"/>
              <x14:borderColor rgb="FF63C384"/>
              <x14:negativeFillColor rgb="FFFF0000"/>
              <x14:negativeBorderColor rgb="FFFF0000"/>
              <x14:axisColor rgb="FF000000"/>
            </x14:dataBar>
          </x14:cfRule>
          <xm:sqref>AG21</xm:sqref>
        </x14:conditionalFormatting>
        <x14:conditionalFormatting xmlns:xm="http://schemas.microsoft.com/office/excel/2006/main">
          <x14:cfRule type="dataBar" id="{6C6E4D00-ED70-40F7-B07B-7A6541055927}">
            <x14:dataBar minLength="0" maxLength="100" border="1" negativeBarBorderColorSameAsPositive="0">
              <x14:cfvo type="autoMin"/>
              <x14:cfvo type="autoMax"/>
              <x14:borderColor rgb="FF63C384"/>
              <x14:negativeFillColor rgb="FFFF0000"/>
              <x14:negativeBorderColor rgb="FFFF0000"/>
              <x14:axisColor rgb="FF000000"/>
            </x14:dataBar>
          </x14:cfRule>
          <xm:sqref>AG22:AG23</xm:sqref>
        </x14:conditionalFormatting>
        <x14:conditionalFormatting xmlns:xm="http://schemas.microsoft.com/office/excel/2006/main">
          <x14:cfRule type="dataBar" id="{04704B82-00D9-49F4-A5BD-A62534B47D3C}">
            <x14:dataBar minLength="0" maxLength="100" border="1" negativeBarBorderColorSameAsPositive="0">
              <x14:cfvo type="autoMin"/>
              <x14:cfvo type="autoMax"/>
              <x14:borderColor rgb="FF63C384"/>
              <x14:negativeFillColor rgb="FFFF0000"/>
              <x14:negativeBorderColor rgb="FFFF0000"/>
              <x14:axisColor rgb="FF000000"/>
            </x14:dataBar>
          </x14:cfRule>
          <xm:sqref>AG22:AG23</xm:sqref>
        </x14:conditionalFormatting>
        <x14:conditionalFormatting xmlns:xm="http://schemas.microsoft.com/office/excel/2006/main">
          <x14:cfRule type="dataBar" id="{5A13EF30-E208-4957-8CA7-5D89C44A258F}">
            <x14:dataBar minLength="0" maxLength="100" border="1" negativeBarBorderColorSameAsPositive="0">
              <x14:cfvo type="autoMin"/>
              <x14:cfvo type="autoMax"/>
              <x14:borderColor rgb="FF63C384"/>
              <x14:negativeFillColor rgb="FFFF0000"/>
              <x14:negativeBorderColor rgb="FFFF0000"/>
              <x14:axisColor rgb="FF000000"/>
            </x14:dataBar>
          </x14:cfRule>
          <xm:sqref>AG24</xm:sqref>
        </x14:conditionalFormatting>
        <x14:conditionalFormatting xmlns:xm="http://schemas.microsoft.com/office/excel/2006/main">
          <x14:cfRule type="dataBar" id="{3BE51D16-8EC8-44A7-8E8F-B2A4A1E8265C}">
            <x14:dataBar minLength="0" maxLength="100" border="1" negativeBarBorderColorSameAsPositive="0">
              <x14:cfvo type="autoMin"/>
              <x14:cfvo type="autoMax"/>
              <x14:borderColor rgb="FF63C384"/>
              <x14:negativeFillColor rgb="FFFF0000"/>
              <x14:negativeBorderColor rgb="FFFF0000"/>
              <x14:axisColor rgb="FF000000"/>
            </x14:dataBar>
          </x14:cfRule>
          <xm:sqref>AG24</xm:sqref>
        </x14:conditionalFormatting>
        <x14:conditionalFormatting xmlns:xm="http://schemas.microsoft.com/office/excel/2006/main">
          <x14:cfRule type="dataBar" id="{6AFE4345-2686-4FC4-B870-CA42F57F3F40}">
            <x14:dataBar minLength="0" maxLength="100" border="1" negativeBarBorderColorSameAsPositive="0">
              <x14:cfvo type="autoMin"/>
              <x14:cfvo type="autoMax"/>
              <x14:borderColor rgb="FF63C384"/>
              <x14:negativeFillColor rgb="FFFF0000"/>
              <x14:negativeBorderColor rgb="FFFF0000"/>
              <x14:axisColor rgb="FF000000"/>
            </x14:dataBar>
          </x14:cfRule>
          <xm:sqref>AG25</xm:sqref>
        </x14:conditionalFormatting>
        <x14:conditionalFormatting xmlns:xm="http://schemas.microsoft.com/office/excel/2006/main">
          <x14:cfRule type="dataBar" id="{6AA174B5-5DCB-4701-9DAB-0B76CB7F1B77}">
            <x14:dataBar minLength="0" maxLength="100" border="1" negativeBarBorderColorSameAsPositive="0">
              <x14:cfvo type="autoMin"/>
              <x14:cfvo type="autoMax"/>
              <x14:borderColor rgb="FF63C384"/>
              <x14:negativeFillColor rgb="FFFF0000"/>
              <x14:negativeBorderColor rgb="FFFF0000"/>
              <x14:axisColor rgb="FF000000"/>
            </x14:dataBar>
          </x14:cfRule>
          <xm:sqref>AG25</xm:sqref>
        </x14:conditionalFormatting>
        <x14:conditionalFormatting xmlns:xm="http://schemas.microsoft.com/office/excel/2006/main">
          <x14:cfRule type="dataBar" id="{D9AB8B47-0F2B-455D-B966-F4C9432FDD30}">
            <x14:dataBar minLength="0" maxLength="100" border="1" negativeBarBorderColorSameAsPositive="0">
              <x14:cfvo type="autoMin"/>
              <x14:cfvo type="autoMax"/>
              <x14:borderColor rgb="FF63C384"/>
              <x14:negativeFillColor rgb="FFFF0000"/>
              <x14:negativeBorderColor rgb="FFFF0000"/>
              <x14:axisColor rgb="FF000000"/>
            </x14:dataBar>
          </x14:cfRule>
          <xm:sqref>AG26</xm:sqref>
        </x14:conditionalFormatting>
        <x14:conditionalFormatting xmlns:xm="http://schemas.microsoft.com/office/excel/2006/main">
          <x14:cfRule type="dataBar" id="{3D19F814-BFCF-4E87-B2A7-D6C6FB761367}">
            <x14:dataBar minLength="0" maxLength="100" border="1" negativeBarBorderColorSameAsPositive="0">
              <x14:cfvo type="autoMin"/>
              <x14:cfvo type="autoMax"/>
              <x14:borderColor rgb="FF63C384"/>
              <x14:negativeFillColor rgb="FFFF0000"/>
              <x14:negativeBorderColor rgb="FFFF0000"/>
              <x14:axisColor rgb="FF000000"/>
            </x14:dataBar>
          </x14:cfRule>
          <xm:sqref>AG26</xm:sqref>
        </x14:conditionalFormatting>
        <x14:conditionalFormatting xmlns:xm="http://schemas.microsoft.com/office/excel/2006/main">
          <x14:cfRule type="dataBar" id="{C0E995D0-9636-4B0D-A44F-C9F4F6AF54DF}">
            <x14:dataBar minLength="0" maxLength="100" border="1" negativeBarBorderColorSameAsPositive="0">
              <x14:cfvo type="autoMin"/>
              <x14:cfvo type="autoMax"/>
              <x14:borderColor rgb="FF63C384"/>
              <x14:negativeFillColor rgb="FFFF0000"/>
              <x14:negativeBorderColor rgb="FFFF0000"/>
              <x14:axisColor rgb="FF000000"/>
            </x14:dataBar>
          </x14:cfRule>
          <xm:sqref>AG27:AG30</xm:sqref>
        </x14:conditionalFormatting>
        <x14:conditionalFormatting xmlns:xm="http://schemas.microsoft.com/office/excel/2006/main">
          <x14:cfRule type="dataBar" id="{E28106AD-B2AA-48BC-B124-F200F919D562}">
            <x14:dataBar minLength="0" maxLength="100" border="1" negativeBarBorderColorSameAsPositive="0">
              <x14:cfvo type="autoMin"/>
              <x14:cfvo type="autoMax"/>
              <x14:borderColor rgb="FF63C384"/>
              <x14:negativeFillColor rgb="FFFF0000"/>
              <x14:negativeBorderColor rgb="FFFF0000"/>
              <x14:axisColor rgb="FF000000"/>
            </x14:dataBar>
          </x14:cfRule>
          <xm:sqref>AG27:AG30</xm:sqref>
        </x14:conditionalFormatting>
        <x14:conditionalFormatting xmlns:xm="http://schemas.microsoft.com/office/excel/2006/main">
          <x14:cfRule type="dataBar" id="{98FA08F0-7DE6-44E1-898C-59B20C668C55}">
            <x14:dataBar minLength="0" maxLength="100" border="1" negativeBarBorderColorSameAsPositive="0">
              <x14:cfvo type="autoMin"/>
              <x14:cfvo type="autoMax"/>
              <x14:borderColor rgb="FF63C384"/>
              <x14:negativeFillColor rgb="FFFF0000"/>
              <x14:negativeBorderColor rgb="FFFF0000"/>
              <x14:axisColor rgb="FF000000"/>
            </x14:dataBar>
          </x14:cfRule>
          <xm:sqref>AG31</xm:sqref>
        </x14:conditionalFormatting>
        <x14:conditionalFormatting xmlns:xm="http://schemas.microsoft.com/office/excel/2006/main">
          <x14:cfRule type="dataBar" id="{E4A9F49B-38A3-4BA8-8B41-242D6F7BDA58}">
            <x14:dataBar minLength="0" maxLength="100" border="1" negativeBarBorderColorSameAsPositive="0">
              <x14:cfvo type="autoMin"/>
              <x14:cfvo type="autoMax"/>
              <x14:borderColor rgb="FF63C384"/>
              <x14:negativeFillColor rgb="FFFF0000"/>
              <x14:negativeBorderColor rgb="FFFF0000"/>
              <x14:axisColor rgb="FF000000"/>
            </x14:dataBar>
          </x14:cfRule>
          <xm:sqref>AG31</xm:sqref>
        </x14:conditionalFormatting>
        <x14:conditionalFormatting xmlns:xm="http://schemas.microsoft.com/office/excel/2006/main">
          <x14:cfRule type="dataBar" id="{A537CAC9-1FB3-423C-AA81-145EB6DA8C68}">
            <x14:dataBar minLength="0" maxLength="100" border="1" negativeBarBorderColorSameAsPositive="0">
              <x14:cfvo type="autoMin"/>
              <x14:cfvo type="autoMax"/>
              <x14:borderColor rgb="FF63C384"/>
              <x14:negativeFillColor rgb="FFFF0000"/>
              <x14:negativeBorderColor rgb="FFFF0000"/>
              <x14:axisColor rgb="FF000000"/>
            </x14:dataBar>
          </x14:cfRule>
          <xm:sqref>AG32</xm:sqref>
        </x14:conditionalFormatting>
        <x14:conditionalFormatting xmlns:xm="http://schemas.microsoft.com/office/excel/2006/main">
          <x14:cfRule type="dataBar" id="{42063A15-CB93-473E-ABB5-EA2AAFCA5057}">
            <x14:dataBar minLength="0" maxLength="100" border="1" negativeBarBorderColorSameAsPositive="0">
              <x14:cfvo type="autoMin"/>
              <x14:cfvo type="autoMax"/>
              <x14:borderColor rgb="FF63C384"/>
              <x14:negativeFillColor rgb="FFFF0000"/>
              <x14:negativeBorderColor rgb="FFFF0000"/>
              <x14:axisColor rgb="FF000000"/>
            </x14:dataBar>
          </x14:cfRule>
          <xm:sqref>AG32</xm:sqref>
        </x14:conditionalFormatting>
        <x14:conditionalFormatting xmlns:xm="http://schemas.microsoft.com/office/excel/2006/main">
          <x14:cfRule type="dataBar" id="{676C0AEC-2B53-4463-8879-594C04EF5003}">
            <x14:dataBar minLength="0" maxLength="100" border="1" negativeBarBorderColorSameAsPositive="0">
              <x14:cfvo type="autoMin"/>
              <x14:cfvo type="autoMax"/>
              <x14:borderColor rgb="FF63C384"/>
              <x14:negativeFillColor rgb="FFFF0000"/>
              <x14:negativeBorderColor rgb="FFFF0000"/>
              <x14:axisColor rgb="FF000000"/>
            </x14:dataBar>
          </x14:cfRule>
          <xm:sqref>AG33</xm:sqref>
        </x14:conditionalFormatting>
        <x14:conditionalFormatting xmlns:xm="http://schemas.microsoft.com/office/excel/2006/main">
          <x14:cfRule type="dataBar" id="{EDF5E066-D931-459C-8270-1C19FA60EB5E}">
            <x14:dataBar minLength="0" maxLength="100" border="1" negativeBarBorderColorSameAsPositive="0">
              <x14:cfvo type="autoMin"/>
              <x14:cfvo type="autoMax"/>
              <x14:borderColor rgb="FF63C384"/>
              <x14:negativeFillColor rgb="FFFF0000"/>
              <x14:negativeBorderColor rgb="FFFF0000"/>
              <x14:axisColor rgb="FF000000"/>
            </x14:dataBar>
          </x14:cfRule>
          <xm:sqref>AG33</xm:sqref>
        </x14:conditionalFormatting>
        <x14:conditionalFormatting xmlns:xm="http://schemas.microsoft.com/office/excel/2006/main">
          <x14:cfRule type="dataBar" id="{25A71C78-7952-410D-B2B7-C239A538EF9D}">
            <x14:dataBar minLength="0" maxLength="100" border="1" negativeBarBorderColorSameAsPositive="0">
              <x14:cfvo type="autoMin"/>
              <x14:cfvo type="autoMax"/>
              <x14:borderColor rgb="FF63C384"/>
              <x14:negativeFillColor rgb="FFFF0000"/>
              <x14:negativeBorderColor rgb="FFFF0000"/>
              <x14:axisColor rgb="FF000000"/>
            </x14:dataBar>
          </x14:cfRule>
          <xm:sqref>AG34</xm:sqref>
        </x14:conditionalFormatting>
        <x14:conditionalFormatting xmlns:xm="http://schemas.microsoft.com/office/excel/2006/main">
          <x14:cfRule type="dataBar" id="{7661C7CF-9F62-4953-AB6F-7165F43B4409}">
            <x14:dataBar minLength="0" maxLength="100" border="1" negativeBarBorderColorSameAsPositive="0">
              <x14:cfvo type="autoMin"/>
              <x14:cfvo type="autoMax"/>
              <x14:borderColor rgb="FF63C384"/>
              <x14:negativeFillColor rgb="FFFF0000"/>
              <x14:negativeBorderColor rgb="FFFF0000"/>
              <x14:axisColor rgb="FF000000"/>
            </x14:dataBar>
          </x14:cfRule>
          <xm:sqref>AG34</xm:sqref>
        </x14:conditionalFormatting>
        <x14:conditionalFormatting xmlns:xm="http://schemas.microsoft.com/office/excel/2006/main">
          <x14:cfRule type="dataBar" id="{AA58CC1C-2AD9-45AB-9E44-81CD5D46EF11}">
            <x14:dataBar minLength="0" maxLength="100" border="1" negativeBarBorderColorSameAsPositive="0">
              <x14:cfvo type="autoMin"/>
              <x14:cfvo type="autoMax"/>
              <x14:borderColor rgb="FF63C384"/>
              <x14:negativeFillColor rgb="FFFF0000"/>
              <x14:negativeBorderColor rgb="FFFF0000"/>
              <x14:axisColor rgb="FF000000"/>
            </x14:dataBar>
          </x14:cfRule>
          <xm:sqref>AG37</xm:sqref>
        </x14:conditionalFormatting>
        <x14:conditionalFormatting xmlns:xm="http://schemas.microsoft.com/office/excel/2006/main">
          <x14:cfRule type="dataBar" id="{6C460E23-B835-4E73-B358-4DF61E9EE72F}">
            <x14:dataBar minLength="0" maxLength="100" border="1" negativeBarBorderColorSameAsPositive="0">
              <x14:cfvo type="autoMin"/>
              <x14:cfvo type="autoMax"/>
              <x14:borderColor rgb="FF63C384"/>
              <x14:negativeFillColor rgb="FFFF0000"/>
              <x14:negativeBorderColor rgb="FFFF0000"/>
              <x14:axisColor rgb="FF000000"/>
            </x14:dataBar>
          </x14:cfRule>
          <xm:sqref>AG37</xm:sqref>
        </x14:conditionalFormatting>
        <x14:conditionalFormatting xmlns:xm="http://schemas.microsoft.com/office/excel/2006/main">
          <x14:cfRule type="dataBar" id="{EFC975FC-AD2C-451D-9A46-2DB232206E35}">
            <x14:dataBar minLength="0" maxLength="100" border="1" negativeBarBorderColorSameAsPositive="0">
              <x14:cfvo type="autoMin"/>
              <x14:cfvo type="autoMax"/>
              <x14:borderColor rgb="FF63C384"/>
              <x14:negativeFillColor rgb="FFFF0000"/>
              <x14:negativeBorderColor rgb="FFFF0000"/>
              <x14:axisColor rgb="FF000000"/>
            </x14:dataBar>
          </x14:cfRule>
          <xm:sqref>AG38</xm:sqref>
        </x14:conditionalFormatting>
        <x14:conditionalFormatting xmlns:xm="http://schemas.microsoft.com/office/excel/2006/main">
          <x14:cfRule type="dataBar" id="{ACE021AE-74EE-42D6-B441-64EAE8CB7E38}">
            <x14:dataBar minLength="0" maxLength="100" border="1" negativeBarBorderColorSameAsPositive="0">
              <x14:cfvo type="autoMin"/>
              <x14:cfvo type="autoMax"/>
              <x14:borderColor rgb="FF63C384"/>
              <x14:negativeFillColor rgb="FFFF0000"/>
              <x14:negativeBorderColor rgb="FFFF0000"/>
              <x14:axisColor rgb="FF000000"/>
            </x14:dataBar>
          </x14:cfRule>
          <xm:sqref>AG38</xm:sqref>
        </x14:conditionalFormatting>
        <x14:conditionalFormatting xmlns:xm="http://schemas.microsoft.com/office/excel/2006/main">
          <x14:cfRule type="dataBar" id="{32CD1764-B64C-40DD-85C4-E7958F88B2E7}">
            <x14:dataBar minLength="0" maxLength="100" border="1" negativeBarBorderColorSameAsPositive="0">
              <x14:cfvo type="autoMin"/>
              <x14:cfvo type="autoMax"/>
              <x14:borderColor rgb="FF63C384"/>
              <x14:negativeFillColor rgb="FFFF0000"/>
              <x14:negativeBorderColor rgb="FFFF0000"/>
              <x14:axisColor rgb="FF000000"/>
            </x14:dataBar>
          </x14:cfRule>
          <xm:sqref>AG39</xm:sqref>
        </x14:conditionalFormatting>
        <x14:conditionalFormatting xmlns:xm="http://schemas.microsoft.com/office/excel/2006/main">
          <x14:cfRule type="dataBar" id="{9D5A2FF4-F3C9-4F22-AEE6-2D5256021DB2}">
            <x14:dataBar minLength="0" maxLength="100" border="1" negativeBarBorderColorSameAsPositive="0">
              <x14:cfvo type="autoMin"/>
              <x14:cfvo type="autoMax"/>
              <x14:borderColor rgb="FF63C384"/>
              <x14:negativeFillColor rgb="FFFF0000"/>
              <x14:negativeBorderColor rgb="FFFF0000"/>
              <x14:axisColor rgb="FF000000"/>
            </x14:dataBar>
          </x14:cfRule>
          <xm:sqref>AG39</xm:sqref>
        </x14:conditionalFormatting>
        <x14:conditionalFormatting xmlns:xm="http://schemas.microsoft.com/office/excel/2006/main">
          <x14:cfRule type="dataBar" id="{91DB4B8B-C4F1-4C80-B0BA-1D9691E214AD}">
            <x14:dataBar minLength="0" maxLength="100" border="1" negativeBarBorderColorSameAsPositive="0">
              <x14:cfvo type="autoMin"/>
              <x14:cfvo type="autoMax"/>
              <x14:borderColor rgb="FF63C384"/>
              <x14:negativeFillColor rgb="FFFF0000"/>
              <x14:negativeBorderColor rgb="FFFF0000"/>
              <x14:axisColor rgb="FF000000"/>
            </x14:dataBar>
          </x14:cfRule>
          <xm:sqref>AG40</xm:sqref>
        </x14:conditionalFormatting>
        <x14:conditionalFormatting xmlns:xm="http://schemas.microsoft.com/office/excel/2006/main">
          <x14:cfRule type="dataBar" id="{A18B9399-A640-429E-92A5-4A0F5E68C563}">
            <x14:dataBar minLength="0" maxLength="100" border="1" negativeBarBorderColorSameAsPositive="0">
              <x14:cfvo type="autoMin"/>
              <x14:cfvo type="autoMax"/>
              <x14:borderColor rgb="FF63C384"/>
              <x14:negativeFillColor rgb="FFFF0000"/>
              <x14:negativeBorderColor rgb="FFFF0000"/>
              <x14:axisColor rgb="FF000000"/>
            </x14:dataBar>
          </x14:cfRule>
          <xm:sqref>AG40</xm:sqref>
        </x14:conditionalFormatting>
        <x14:conditionalFormatting xmlns:xm="http://schemas.microsoft.com/office/excel/2006/main">
          <x14:cfRule type="dataBar" id="{076C8C21-E8C7-4604-A967-9F096385252A}">
            <x14:dataBar minLength="0" maxLength="100" border="1" negativeBarBorderColorSameAsPositive="0">
              <x14:cfvo type="autoMin"/>
              <x14:cfvo type="autoMax"/>
              <x14:borderColor rgb="FF63C384"/>
              <x14:negativeFillColor rgb="FFFF0000"/>
              <x14:negativeBorderColor rgb="FFFF0000"/>
              <x14:axisColor rgb="FF000000"/>
            </x14:dataBar>
          </x14:cfRule>
          <xm:sqref>AG42</xm:sqref>
        </x14:conditionalFormatting>
        <x14:conditionalFormatting xmlns:xm="http://schemas.microsoft.com/office/excel/2006/main">
          <x14:cfRule type="dataBar" id="{88B15591-3D9C-4CFD-9C3C-3643A5002567}">
            <x14:dataBar minLength="0" maxLength="100" border="1" negativeBarBorderColorSameAsPositive="0">
              <x14:cfvo type="autoMin"/>
              <x14:cfvo type="autoMax"/>
              <x14:borderColor rgb="FF63C384"/>
              <x14:negativeFillColor rgb="FFFF0000"/>
              <x14:negativeBorderColor rgb="FFFF0000"/>
              <x14:axisColor rgb="FF000000"/>
            </x14:dataBar>
          </x14:cfRule>
          <xm:sqref>AG42</xm:sqref>
        </x14:conditionalFormatting>
        <x14:conditionalFormatting xmlns:xm="http://schemas.microsoft.com/office/excel/2006/main">
          <x14:cfRule type="dataBar" id="{BE66977B-1D88-40E6-80B8-DB145073C8B4}">
            <x14:dataBar minLength="0" maxLength="100" border="1" negativeBarBorderColorSameAsPositive="0">
              <x14:cfvo type="autoMin"/>
              <x14:cfvo type="autoMax"/>
              <x14:borderColor rgb="FF63C384"/>
              <x14:negativeFillColor rgb="FFFF0000"/>
              <x14:negativeBorderColor rgb="FFFF0000"/>
              <x14:axisColor rgb="FF000000"/>
            </x14:dataBar>
          </x14:cfRule>
          <xm:sqref>AG45</xm:sqref>
        </x14:conditionalFormatting>
        <x14:conditionalFormatting xmlns:xm="http://schemas.microsoft.com/office/excel/2006/main">
          <x14:cfRule type="dataBar" id="{B4C48C52-1467-4C30-9439-2172C9175F85}">
            <x14:dataBar minLength="0" maxLength="100" border="1" negativeBarBorderColorSameAsPositive="0">
              <x14:cfvo type="autoMin"/>
              <x14:cfvo type="autoMax"/>
              <x14:borderColor rgb="FF63C384"/>
              <x14:negativeFillColor rgb="FFFF0000"/>
              <x14:negativeBorderColor rgb="FFFF0000"/>
              <x14:axisColor rgb="FF000000"/>
            </x14:dataBar>
          </x14:cfRule>
          <xm:sqref>AG45</xm:sqref>
        </x14:conditionalFormatting>
        <x14:conditionalFormatting xmlns:xm="http://schemas.microsoft.com/office/excel/2006/main">
          <x14:cfRule type="dataBar" id="{DE07CFE5-CEA9-4DDC-8F1D-41F6256DB5F8}">
            <x14:dataBar minLength="0" maxLength="100" border="1" negativeBarBorderColorSameAsPositive="0">
              <x14:cfvo type="autoMin"/>
              <x14:cfvo type="autoMax"/>
              <x14:borderColor rgb="FF63C384"/>
              <x14:negativeFillColor rgb="FFFF0000"/>
              <x14:negativeBorderColor rgb="FFFF0000"/>
              <x14:axisColor rgb="FF000000"/>
            </x14:dataBar>
          </x14:cfRule>
          <xm:sqref>AG43</xm:sqref>
        </x14:conditionalFormatting>
        <x14:conditionalFormatting xmlns:xm="http://schemas.microsoft.com/office/excel/2006/main">
          <x14:cfRule type="dataBar" id="{6123E653-F312-4AC5-8AF0-AA85E9837F4F}">
            <x14:dataBar minLength="0" maxLength="100" border="1" negativeBarBorderColorSameAsPositive="0">
              <x14:cfvo type="autoMin"/>
              <x14:cfvo type="autoMax"/>
              <x14:borderColor rgb="FF63C384"/>
              <x14:negativeFillColor rgb="FFFF0000"/>
              <x14:negativeBorderColor rgb="FFFF0000"/>
              <x14:axisColor rgb="FF000000"/>
            </x14:dataBar>
          </x14:cfRule>
          <xm:sqref>AG43</xm:sqref>
        </x14:conditionalFormatting>
        <x14:conditionalFormatting xmlns:xm="http://schemas.microsoft.com/office/excel/2006/main">
          <x14:cfRule type="dataBar" id="{29E4A622-9C1B-4382-8EB5-813AEC1BB8F7}">
            <x14:dataBar minLength="0" maxLength="100" border="1" negativeBarBorderColorSameAsPositive="0">
              <x14:cfvo type="autoMin"/>
              <x14:cfvo type="autoMax"/>
              <x14:borderColor rgb="FF63C384"/>
              <x14:negativeFillColor rgb="FFFF0000"/>
              <x14:negativeBorderColor rgb="FFFF0000"/>
              <x14:axisColor rgb="FF000000"/>
            </x14:dataBar>
          </x14:cfRule>
          <xm:sqref>AG44</xm:sqref>
        </x14:conditionalFormatting>
        <x14:conditionalFormatting xmlns:xm="http://schemas.microsoft.com/office/excel/2006/main">
          <x14:cfRule type="dataBar" id="{E8E489ED-C0F0-400E-AE45-A6007EC56F06}">
            <x14:dataBar minLength="0" maxLength="100" border="1" negativeBarBorderColorSameAsPositive="0">
              <x14:cfvo type="autoMin"/>
              <x14:cfvo type="autoMax"/>
              <x14:borderColor rgb="FF63C384"/>
              <x14:negativeFillColor rgb="FFFF0000"/>
              <x14:negativeBorderColor rgb="FFFF0000"/>
              <x14:axisColor rgb="FF000000"/>
            </x14:dataBar>
          </x14:cfRule>
          <xm:sqref>AG44</xm:sqref>
        </x14:conditionalFormatting>
        <x14:conditionalFormatting xmlns:xm="http://schemas.microsoft.com/office/excel/2006/main">
          <x14:cfRule type="dataBar" id="{05D5E077-8E68-4B15-BF6A-76F50DC41821}">
            <x14:dataBar minLength="0" maxLength="100" border="1" negativeBarBorderColorSameAsPositive="0">
              <x14:cfvo type="autoMin"/>
              <x14:cfvo type="autoMax"/>
              <x14:borderColor rgb="FF63C384"/>
              <x14:negativeFillColor rgb="FFFF0000"/>
              <x14:negativeBorderColor rgb="FFFF0000"/>
              <x14:axisColor rgb="FF000000"/>
            </x14:dataBar>
          </x14:cfRule>
          <xm:sqref>AG47</xm:sqref>
        </x14:conditionalFormatting>
        <x14:conditionalFormatting xmlns:xm="http://schemas.microsoft.com/office/excel/2006/main">
          <x14:cfRule type="dataBar" id="{86ABD301-50FA-43BE-A498-90D0AAC225E0}">
            <x14:dataBar minLength="0" maxLength="100" border="1" negativeBarBorderColorSameAsPositive="0">
              <x14:cfvo type="autoMin"/>
              <x14:cfvo type="autoMax"/>
              <x14:borderColor rgb="FF63C384"/>
              <x14:negativeFillColor rgb="FFFF0000"/>
              <x14:negativeBorderColor rgb="FFFF0000"/>
              <x14:axisColor rgb="FF000000"/>
            </x14:dataBar>
          </x14:cfRule>
          <xm:sqref>AG47</xm:sqref>
        </x14:conditionalFormatting>
        <x14:conditionalFormatting xmlns:xm="http://schemas.microsoft.com/office/excel/2006/main">
          <x14:cfRule type="dataBar" id="{11368872-96A9-409F-897D-AB80BD1B4887}">
            <x14:dataBar minLength="0" maxLength="100" border="1" negativeBarBorderColorSameAsPositive="0">
              <x14:cfvo type="autoMin"/>
              <x14:cfvo type="autoMax"/>
              <x14:borderColor rgb="FF63C384"/>
              <x14:negativeFillColor rgb="FFFF0000"/>
              <x14:negativeBorderColor rgb="FFFF0000"/>
              <x14:axisColor rgb="FF000000"/>
            </x14:dataBar>
          </x14:cfRule>
          <xm:sqref>AG51</xm:sqref>
        </x14:conditionalFormatting>
        <x14:conditionalFormatting xmlns:xm="http://schemas.microsoft.com/office/excel/2006/main">
          <x14:cfRule type="dataBar" id="{F2FCB50E-F9FD-4F54-A319-8190F52B5663}">
            <x14:dataBar minLength="0" maxLength="100" border="1" negativeBarBorderColorSameAsPositive="0">
              <x14:cfvo type="autoMin"/>
              <x14:cfvo type="autoMax"/>
              <x14:borderColor rgb="FF63C384"/>
              <x14:negativeFillColor rgb="FFFF0000"/>
              <x14:negativeBorderColor rgb="FFFF0000"/>
              <x14:axisColor rgb="FF000000"/>
            </x14:dataBar>
          </x14:cfRule>
          <xm:sqref>AG51</xm:sqref>
        </x14:conditionalFormatting>
        <x14:conditionalFormatting xmlns:xm="http://schemas.microsoft.com/office/excel/2006/main">
          <x14:cfRule type="dataBar" id="{813506AF-427A-47C1-8C29-C0EC23A3FA43}">
            <x14:dataBar minLength="0" maxLength="100" border="1" negativeBarBorderColorSameAsPositive="0">
              <x14:cfvo type="autoMin"/>
              <x14:cfvo type="autoMax"/>
              <x14:borderColor rgb="FF63C384"/>
              <x14:negativeFillColor rgb="FFFF0000"/>
              <x14:negativeBorderColor rgb="FFFF0000"/>
              <x14:axisColor rgb="FF000000"/>
            </x14:dataBar>
          </x14:cfRule>
          <xm:sqref>AG52</xm:sqref>
        </x14:conditionalFormatting>
        <x14:conditionalFormatting xmlns:xm="http://schemas.microsoft.com/office/excel/2006/main">
          <x14:cfRule type="dataBar" id="{FA6D81E3-4035-43BE-B7EE-8ACBB13E5BB3}">
            <x14:dataBar minLength="0" maxLength="100" border="1" negativeBarBorderColorSameAsPositive="0">
              <x14:cfvo type="autoMin"/>
              <x14:cfvo type="autoMax"/>
              <x14:borderColor rgb="FF63C384"/>
              <x14:negativeFillColor rgb="FFFF0000"/>
              <x14:negativeBorderColor rgb="FFFF0000"/>
              <x14:axisColor rgb="FF000000"/>
            </x14:dataBar>
          </x14:cfRule>
          <xm:sqref>AG52</xm:sqref>
        </x14:conditionalFormatting>
        <x14:conditionalFormatting xmlns:xm="http://schemas.microsoft.com/office/excel/2006/main">
          <x14:cfRule type="dataBar" id="{4C0272C3-1775-434B-A46A-9EB23160691F}">
            <x14:dataBar minLength="0" maxLength="100" border="1" negativeBarBorderColorSameAsPositive="0">
              <x14:cfvo type="autoMin"/>
              <x14:cfvo type="autoMax"/>
              <x14:borderColor rgb="FF63C384"/>
              <x14:negativeFillColor rgb="FFFF0000"/>
              <x14:negativeBorderColor rgb="FFFF0000"/>
              <x14:axisColor rgb="FF000000"/>
            </x14:dataBar>
          </x14:cfRule>
          <xm:sqref>AG54</xm:sqref>
        </x14:conditionalFormatting>
        <x14:conditionalFormatting xmlns:xm="http://schemas.microsoft.com/office/excel/2006/main">
          <x14:cfRule type="dataBar" id="{51090A33-6198-4EBA-A796-930079DEF3C8}">
            <x14:dataBar minLength="0" maxLength="100" border="1" negativeBarBorderColorSameAsPositive="0">
              <x14:cfvo type="autoMin"/>
              <x14:cfvo type="autoMax"/>
              <x14:borderColor rgb="FF63C384"/>
              <x14:negativeFillColor rgb="FFFF0000"/>
              <x14:negativeBorderColor rgb="FFFF0000"/>
              <x14:axisColor rgb="FF000000"/>
            </x14:dataBar>
          </x14:cfRule>
          <xm:sqref>AG54</xm:sqref>
        </x14:conditionalFormatting>
        <x14:conditionalFormatting xmlns:xm="http://schemas.microsoft.com/office/excel/2006/main">
          <x14:cfRule type="dataBar" id="{AD1C1063-2680-494D-BBB5-22FB09096FA0}">
            <x14:dataBar minLength="0" maxLength="100" border="1" negativeBarBorderColorSameAsPositive="0">
              <x14:cfvo type="autoMin"/>
              <x14:cfvo type="autoMax"/>
              <x14:borderColor rgb="FF63C384"/>
              <x14:negativeFillColor rgb="FFFF0000"/>
              <x14:negativeBorderColor rgb="FFFF0000"/>
              <x14:axisColor rgb="FF000000"/>
            </x14:dataBar>
          </x14:cfRule>
          <xm:sqref>AG55</xm:sqref>
        </x14:conditionalFormatting>
        <x14:conditionalFormatting xmlns:xm="http://schemas.microsoft.com/office/excel/2006/main">
          <x14:cfRule type="dataBar" id="{8E89BA78-0167-4513-A1F8-DD57710F4619}">
            <x14:dataBar minLength="0" maxLength="100" border="1" negativeBarBorderColorSameAsPositive="0">
              <x14:cfvo type="autoMin"/>
              <x14:cfvo type="autoMax"/>
              <x14:borderColor rgb="FF63C384"/>
              <x14:negativeFillColor rgb="FFFF0000"/>
              <x14:negativeBorderColor rgb="FFFF0000"/>
              <x14:axisColor rgb="FF000000"/>
            </x14:dataBar>
          </x14:cfRule>
          <xm:sqref>AG55</xm:sqref>
        </x14:conditionalFormatting>
        <x14:conditionalFormatting xmlns:xm="http://schemas.microsoft.com/office/excel/2006/main">
          <x14:cfRule type="dataBar" id="{9A92AF8C-9911-421C-AF62-55620CB64E42}">
            <x14:dataBar minLength="0" maxLength="100" border="1" negativeBarBorderColorSameAsPositive="0">
              <x14:cfvo type="autoMin"/>
              <x14:cfvo type="autoMax"/>
              <x14:borderColor rgb="FF63C384"/>
              <x14:negativeFillColor rgb="FFFF0000"/>
              <x14:negativeBorderColor rgb="FFFF0000"/>
              <x14:axisColor rgb="FF000000"/>
            </x14:dataBar>
          </x14:cfRule>
          <xm:sqref>AG57</xm:sqref>
        </x14:conditionalFormatting>
        <x14:conditionalFormatting xmlns:xm="http://schemas.microsoft.com/office/excel/2006/main">
          <x14:cfRule type="dataBar" id="{D282CA76-7FA0-4A94-BDE4-F73714D3D4E1}">
            <x14:dataBar minLength="0" maxLength="100" border="1" negativeBarBorderColorSameAsPositive="0">
              <x14:cfvo type="autoMin"/>
              <x14:cfvo type="autoMax"/>
              <x14:borderColor rgb="FF63C384"/>
              <x14:negativeFillColor rgb="FFFF0000"/>
              <x14:negativeBorderColor rgb="FFFF0000"/>
              <x14:axisColor rgb="FF000000"/>
            </x14:dataBar>
          </x14:cfRule>
          <xm:sqref>AG57</xm:sqref>
        </x14:conditionalFormatting>
        <x14:conditionalFormatting xmlns:xm="http://schemas.microsoft.com/office/excel/2006/main">
          <x14:cfRule type="dataBar" id="{F8A44B07-39AB-4059-81C0-46A6979CAF19}">
            <x14:dataBar minLength="0" maxLength="100" border="1" negativeBarBorderColorSameAsPositive="0">
              <x14:cfvo type="autoMin"/>
              <x14:cfvo type="autoMax"/>
              <x14:borderColor rgb="FF63C384"/>
              <x14:negativeFillColor rgb="FFFF0000"/>
              <x14:negativeBorderColor rgb="FFFF0000"/>
              <x14:axisColor rgb="FF000000"/>
            </x14:dataBar>
          </x14:cfRule>
          <xm:sqref>AG58</xm:sqref>
        </x14:conditionalFormatting>
        <x14:conditionalFormatting xmlns:xm="http://schemas.microsoft.com/office/excel/2006/main">
          <x14:cfRule type="dataBar" id="{C389CC30-563B-4D3F-B769-0451AFBC977F}">
            <x14:dataBar minLength="0" maxLength="100" border="1" negativeBarBorderColorSameAsPositive="0">
              <x14:cfvo type="autoMin"/>
              <x14:cfvo type="autoMax"/>
              <x14:borderColor rgb="FF63C384"/>
              <x14:negativeFillColor rgb="FFFF0000"/>
              <x14:negativeBorderColor rgb="FFFF0000"/>
              <x14:axisColor rgb="FF000000"/>
            </x14:dataBar>
          </x14:cfRule>
          <xm:sqref>AG58</xm:sqref>
        </x14:conditionalFormatting>
        <x14:conditionalFormatting xmlns:xm="http://schemas.microsoft.com/office/excel/2006/main">
          <x14:cfRule type="dataBar" id="{6845E9EE-8921-45C7-B9D1-692697973C95}">
            <x14:dataBar minLength="0" maxLength="100" border="1" negativeBarBorderColorSameAsPositive="0">
              <x14:cfvo type="autoMin"/>
              <x14:cfvo type="autoMax"/>
              <x14:borderColor rgb="FF63C384"/>
              <x14:negativeFillColor rgb="FFFF0000"/>
              <x14:negativeBorderColor rgb="FFFF0000"/>
              <x14:axisColor rgb="FF000000"/>
            </x14:dataBar>
          </x14:cfRule>
          <xm:sqref>AG59</xm:sqref>
        </x14:conditionalFormatting>
        <x14:conditionalFormatting xmlns:xm="http://schemas.microsoft.com/office/excel/2006/main">
          <x14:cfRule type="dataBar" id="{6B31774A-5635-4B91-AC24-788BE3B792E6}">
            <x14:dataBar minLength="0" maxLength="100" border="1" negativeBarBorderColorSameAsPositive="0">
              <x14:cfvo type="autoMin"/>
              <x14:cfvo type="autoMax"/>
              <x14:borderColor rgb="FF63C384"/>
              <x14:negativeFillColor rgb="FFFF0000"/>
              <x14:negativeBorderColor rgb="FFFF0000"/>
              <x14:axisColor rgb="FF000000"/>
            </x14:dataBar>
          </x14:cfRule>
          <xm:sqref>AG59</xm:sqref>
        </x14:conditionalFormatting>
        <x14:conditionalFormatting xmlns:xm="http://schemas.microsoft.com/office/excel/2006/main">
          <x14:cfRule type="dataBar" id="{291905A3-F4B3-4D18-A103-4584D80B4138}">
            <x14:dataBar minLength="0" maxLength="100" border="1" negativeBarBorderColorSameAsPositive="0">
              <x14:cfvo type="autoMin"/>
              <x14:cfvo type="autoMax"/>
              <x14:borderColor rgb="FF63C384"/>
              <x14:negativeFillColor rgb="FFFF0000"/>
              <x14:negativeBorderColor rgb="FFFF0000"/>
              <x14:axisColor rgb="FF000000"/>
            </x14:dataBar>
          </x14:cfRule>
          <xm:sqref>AG60</xm:sqref>
        </x14:conditionalFormatting>
        <x14:conditionalFormatting xmlns:xm="http://schemas.microsoft.com/office/excel/2006/main">
          <x14:cfRule type="dataBar" id="{92237D45-A8D5-4880-83D4-D0CFA16D5FC0}">
            <x14:dataBar minLength="0" maxLength="100" border="1" negativeBarBorderColorSameAsPositive="0">
              <x14:cfvo type="autoMin"/>
              <x14:cfvo type="autoMax"/>
              <x14:borderColor rgb="FF63C384"/>
              <x14:negativeFillColor rgb="FFFF0000"/>
              <x14:negativeBorderColor rgb="FFFF0000"/>
              <x14:axisColor rgb="FF000000"/>
            </x14:dataBar>
          </x14:cfRule>
          <xm:sqref>AG60</xm:sqref>
        </x14:conditionalFormatting>
        <x14:conditionalFormatting xmlns:xm="http://schemas.microsoft.com/office/excel/2006/main">
          <x14:cfRule type="dataBar" id="{8B45D5E8-DF40-441C-B5FE-E275E6C6A4E5}">
            <x14:dataBar minLength="0" maxLength="100" border="1" negativeBarBorderColorSameAsPositive="0">
              <x14:cfvo type="autoMin"/>
              <x14:cfvo type="autoMax"/>
              <x14:borderColor rgb="FF63C384"/>
              <x14:negativeFillColor rgb="FFFF0000"/>
              <x14:negativeBorderColor rgb="FFFF0000"/>
              <x14:axisColor rgb="FF000000"/>
            </x14:dataBar>
          </x14:cfRule>
          <xm:sqref>AG61</xm:sqref>
        </x14:conditionalFormatting>
        <x14:conditionalFormatting xmlns:xm="http://schemas.microsoft.com/office/excel/2006/main">
          <x14:cfRule type="dataBar" id="{BC36A9DA-194E-44C9-AE28-BB2FCFE006C3}">
            <x14:dataBar minLength="0" maxLength="100" border="1" negativeBarBorderColorSameAsPositive="0">
              <x14:cfvo type="autoMin"/>
              <x14:cfvo type="autoMax"/>
              <x14:borderColor rgb="FF63C384"/>
              <x14:negativeFillColor rgb="FFFF0000"/>
              <x14:negativeBorderColor rgb="FFFF0000"/>
              <x14:axisColor rgb="FF000000"/>
            </x14:dataBar>
          </x14:cfRule>
          <xm:sqref>AG61</xm:sqref>
        </x14:conditionalFormatting>
        <x14:conditionalFormatting xmlns:xm="http://schemas.microsoft.com/office/excel/2006/main">
          <x14:cfRule type="dataBar" id="{FAF943C3-9868-4890-8B03-90D9966EFAFE}">
            <x14:dataBar minLength="0" maxLength="100" border="1" negativeBarBorderColorSameAsPositive="0">
              <x14:cfvo type="autoMin"/>
              <x14:cfvo type="autoMax"/>
              <x14:borderColor rgb="FF63C384"/>
              <x14:negativeFillColor rgb="FFFF0000"/>
              <x14:negativeBorderColor rgb="FFFF0000"/>
              <x14:axisColor rgb="FF000000"/>
            </x14:dataBar>
          </x14:cfRule>
          <xm:sqref>AG62</xm:sqref>
        </x14:conditionalFormatting>
        <x14:conditionalFormatting xmlns:xm="http://schemas.microsoft.com/office/excel/2006/main">
          <x14:cfRule type="dataBar" id="{D878CB41-DDB4-4918-B4BF-16D890B28941}">
            <x14:dataBar minLength="0" maxLength="100" border="1" negativeBarBorderColorSameAsPositive="0">
              <x14:cfvo type="autoMin"/>
              <x14:cfvo type="autoMax"/>
              <x14:borderColor rgb="FF63C384"/>
              <x14:negativeFillColor rgb="FFFF0000"/>
              <x14:negativeBorderColor rgb="FFFF0000"/>
              <x14:axisColor rgb="FF000000"/>
            </x14:dataBar>
          </x14:cfRule>
          <xm:sqref>AG35</xm:sqref>
        </x14:conditionalFormatting>
        <x14:conditionalFormatting xmlns:xm="http://schemas.microsoft.com/office/excel/2006/main">
          <x14:cfRule type="dataBar" id="{F2899B57-32A9-4B1B-81F7-3F8144577A11}">
            <x14:dataBar minLength="0" maxLength="100" border="1" negativeBarBorderColorSameAsPositive="0">
              <x14:cfvo type="autoMin"/>
              <x14:cfvo type="autoMax"/>
              <x14:borderColor rgb="FF63C384"/>
              <x14:negativeFillColor rgb="FFFF0000"/>
              <x14:negativeBorderColor rgb="FFFF0000"/>
              <x14:axisColor rgb="FF000000"/>
            </x14:dataBar>
          </x14:cfRule>
          <xm:sqref>AG35</xm:sqref>
        </x14:conditionalFormatting>
        <x14:conditionalFormatting xmlns:xm="http://schemas.microsoft.com/office/excel/2006/main">
          <x14:cfRule type="dataBar" id="{B3E9A391-5F66-47D3-AC75-5E52B0EEABED}">
            <x14:dataBar minLength="0" maxLength="100" border="1" negativeBarBorderColorSameAsPositive="0">
              <x14:cfvo type="autoMin"/>
              <x14:cfvo type="autoMax"/>
              <x14:borderColor rgb="FF63C384"/>
              <x14:negativeFillColor rgb="FFFF0000"/>
              <x14:negativeBorderColor rgb="FFFF0000"/>
              <x14:axisColor rgb="FF000000"/>
            </x14:dataBar>
          </x14:cfRule>
          <xm:sqref>AG36</xm:sqref>
        </x14:conditionalFormatting>
        <x14:conditionalFormatting xmlns:xm="http://schemas.microsoft.com/office/excel/2006/main">
          <x14:cfRule type="dataBar" id="{E568F19F-659E-4BFB-B653-8DDCCCDF5855}">
            <x14:dataBar minLength="0" maxLength="100" border="1" negativeBarBorderColorSameAsPositive="0">
              <x14:cfvo type="autoMin"/>
              <x14:cfvo type="autoMax"/>
              <x14:borderColor rgb="FF63C384"/>
              <x14:negativeFillColor rgb="FFFF0000"/>
              <x14:negativeBorderColor rgb="FFFF0000"/>
              <x14:axisColor rgb="FF000000"/>
            </x14:dataBar>
          </x14:cfRule>
          <xm:sqref>AG36</xm:sqref>
        </x14:conditionalFormatting>
        <x14:conditionalFormatting xmlns:xm="http://schemas.microsoft.com/office/excel/2006/main">
          <x14:cfRule type="dataBar" id="{D3CCADC8-5917-4CBD-8834-BE502EF0C662}">
            <x14:dataBar minLength="0" maxLength="100" border="1" negativeBarBorderColorSameAsPositive="0">
              <x14:cfvo type="autoMin"/>
              <x14:cfvo type="autoMax"/>
              <x14:borderColor rgb="FF63C384"/>
              <x14:negativeFillColor rgb="FFFF0000"/>
              <x14:negativeBorderColor rgb="FFFF0000"/>
              <x14:axisColor rgb="FF000000"/>
            </x14:dataBar>
          </x14:cfRule>
          <xm:sqref>AG41</xm:sqref>
        </x14:conditionalFormatting>
        <x14:conditionalFormatting xmlns:xm="http://schemas.microsoft.com/office/excel/2006/main">
          <x14:cfRule type="dataBar" id="{D16F009A-C017-4DC5-897A-A5BDC836EC8E}">
            <x14:dataBar minLength="0" maxLength="100" border="1" negativeBarBorderColorSameAsPositive="0">
              <x14:cfvo type="autoMin"/>
              <x14:cfvo type="autoMax"/>
              <x14:borderColor rgb="FF63C384"/>
              <x14:negativeFillColor rgb="FFFF0000"/>
              <x14:negativeBorderColor rgb="FFFF0000"/>
              <x14:axisColor rgb="FF000000"/>
            </x14:dataBar>
          </x14:cfRule>
          <xm:sqref>AG41</xm:sqref>
        </x14:conditionalFormatting>
        <x14:conditionalFormatting xmlns:xm="http://schemas.microsoft.com/office/excel/2006/main">
          <x14:cfRule type="dataBar" id="{DEF77A13-E7D4-49E6-BB51-2DAF789CD11D}">
            <x14:dataBar minLength="0" maxLength="100" border="1" negativeBarBorderColorSameAsPositive="0">
              <x14:cfvo type="autoMin"/>
              <x14:cfvo type="autoMax"/>
              <x14:borderColor rgb="FF63C384"/>
              <x14:negativeFillColor rgb="FFFF0000"/>
              <x14:negativeBorderColor rgb="FFFF0000"/>
              <x14:axisColor rgb="FF000000"/>
            </x14:dataBar>
          </x14:cfRule>
          <xm:sqref>AG46</xm:sqref>
        </x14:conditionalFormatting>
        <x14:conditionalFormatting xmlns:xm="http://schemas.microsoft.com/office/excel/2006/main">
          <x14:cfRule type="dataBar" id="{7C6A824C-0787-4E78-9F26-6474BC65877C}">
            <x14:dataBar minLength="0" maxLength="100" border="1" negativeBarBorderColorSameAsPositive="0">
              <x14:cfvo type="autoMin"/>
              <x14:cfvo type="autoMax"/>
              <x14:borderColor rgb="FF63C384"/>
              <x14:negativeFillColor rgb="FFFF0000"/>
              <x14:negativeBorderColor rgb="FFFF0000"/>
              <x14:axisColor rgb="FF000000"/>
            </x14:dataBar>
          </x14:cfRule>
          <xm:sqref>AG46</xm:sqref>
        </x14:conditionalFormatting>
        <x14:conditionalFormatting xmlns:xm="http://schemas.microsoft.com/office/excel/2006/main">
          <x14:cfRule type="dataBar" id="{DD153F36-1A37-4648-A1E2-35142EAE0912}">
            <x14:dataBar minLength="0" maxLength="100" border="1" negativeBarBorderColorSameAsPositive="0">
              <x14:cfvo type="autoMin"/>
              <x14:cfvo type="autoMax"/>
              <x14:borderColor rgb="FF63C384"/>
              <x14:negativeFillColor rgb="FFFF0000"/>
              <x14:negativeBorderColor rgb="FFFF0000"/>
              <x14:axisColor rgb="FF000000"/>
            </x14:dataBar>
          </x14:cfRule>
          <xm:sqref>AG48</xm:sqref>
        </x14:conditionalFormatting>
        <x14:conditionalFormatting xmlns:xm="http://schemas.microsoft.com/office/excel/2006/main">
          <x14:cfRule type="dataBar" id="{09D3CEE6-455E-4A3E-A74F-A4CCA48A1F97}">
            <x14:dataBar minLength="0" maxLength="100" border="1" negativeBarBorderColorSameAsPositive="0">
              <x14:cfvo type="autoMin"/>
              <x14:cfvo type="autoMax"/>
              <x14:borderColor rgb="FF63C384"/>
              <x14:negativeFillColor rgb="FFFF0000"/>
              <x14:negativeBorderColor rgb="FFFF0000"/>
              <x14:axisColor rgb="FF000000"/>
            </x14:dataBar>
          </x14:cfRule>
          <xm:sqref>AG48</xm:sqref>
        </x14:conditionalFormatting>
        <x14:conditionalFormatting xmlns:xm="http://schemas.microsoft.com/office/excel/2006/main">
          <x14:cfRule type="dataBar" id="{B2A0E923-0DBA-4062-801D-29E653DB4E05}">
            <x14:dataBar minLength="0" maxLength="100" border="1" negativeBarBorderColorSameAsPositive="0">
              <x14:cfvo type="autoMin"/>
              <x14:cfvo type="autoMax"/>
              <x14:borderColor rgb="FF63C384"/>
              <x14:negativeFillColor rgb="FFFF0000"/>
              <x14:negativeBorderColor rgb="FFFF0000"/>
              <x14:axisColor rgb="FF000000"/>
            </x14:dataBar>
          </x14:cfRule>
          <xm:sqref>AG49</xm:sqref>
        </x14:conditionalFormatting>
        <x14:conditionalFormatting xmlns:xm="http://schemas.microsoft.com/office/excel/2006/main">
          <x14:cfRule type="dataBar" id="{F354A788-6D4A-480B-9CFA-67C7668444A3}">
            <x14:dataBar minLength="0" maxLength="100" border="1" negativeBarBorderColorSameAsPositive="0">
              <x14:cfvo type="autoMin"/>
              <x14:cfvo type="autoMax"/>
              <x14:borderColor rgb="FF63C384"/>
              <x14:negativeFillColor rgb="FFFF0000"/>
              <x14:negativeBorderColor rgb="FFFF0000"/>
              <x14:axisColor rgb="FF000000"/>
            </x14:dataBar>
          </x14:cfRule>
          <xm:sqref>AG49</xm:sqref>
        </x14:conditionalFormatting>
        <x14:conditionalFormatting xmlns:xm="http://schemas.microsoft.com/office/excel/2006/main">
          <x14:cfRule type="dataBar" id="{559C3C7E-B6B5-4021-8594-19261F36732D}">
            <x14:dataBar minLength="0" maxLength="100" border="1" negativeBarBorderColorSameAsPositive="0">
              <x14:cfvo type="autoMin"/>
              <x14:cfvo type="autoMax"/>
              <x14:borderColor rgb="FF63C384"/>
              <x14:negativeFillColor rgb="FFFF0000"/>
              <x14:negativeBorderColor rgb="FFFF0000"/>
              <x14:axisColor rgb="FF000000"/>
            </x14:dataBar>
          </x14:cfRule>
          <xm:sqref>AG50</xm:sqref>
        </x14:conditionalFormatting>
        <x14:conditionalFormatting xmlns:xm="http://schemas.microsoft.com/office/excel/2006/main">
          <x14:cfRule type="dataBar" id="{4F0B7B81-38E7-4691-9070-B23FB6DE9714}">
            <x14:dataBar minLength="0" maxLength="100" border="1" negativeBarBorderColorSameAsPositive="0">
              <x14:cfvo type="autoMin"/>
              <x14:cfvo type="autoMax"/>
              <x14:borderColor rgb="FF63C384"/>
              <x14:negativeFillColor rgb="FFFF0000"/>
              <x14:negativeBorderColor rgb="FFFF0000"/>
              <x14:axisColor rgb="FF000000"/>
            </x14:dataBar>
          </x14:cfRule>
          <xm:sqref>AG50</xm:sqref>
        </x14:conditionalFormatting>
        <x14:conditionalFormatting xmlns:xm="http://schemas.microsoft.com/office/excel/2006/main">
          <x14:cfRule type="dataBar" id="{8866BEC3-A7E1-446A-8594-68A2E285624A}">
            <x14:dataBar minLength="0" maxLength="100" border="1" negativeBarBorderColorSameAsPositive="0">
              <x14:cfvo type="autoMin"/>
              <x14:cfvo type="autoMax"/>
              <x14:borderColor rgb="FF63C384"/>
              <x14:negativeFillColor rgb="FFFF0000"/>
              <x14:negativeBorderColor rgb="FFFF0000"/>
              <x14:axisColor rgb="FF000000"/>
            </x14:dataBar>
          </x14:cfRule>
          <xm:sqref>AG53</xm:sqref>
        </x14:conditionalFormatting>
        <x14:conditionalFormatting xmlns:xm="http://schemas.microsoft.com/office/excel/2006/main">
          <x14:cfRule type="dataBar" id="{FA83EDF1-FB2D-4644-B8B1-650578E60F88}">
            <x14:dataBar minLength="0" maxLength="100" border="1" negativeBarBorderColorSameAsPositive="0">
              <x14:cfvo type="autoMin"/>
              <x14:cfvo type="autoMax"/>
              <x14:borderColor rgb="FF63C384"/>
              <x14:negativeFillColor rgb="FFFF0000"/>
              <x14:negativeBorderColor rgb="FFFF0000"/>
              <x14:axisColor rgb="FF000000"/>
            </x14:dataBar>
          </x14:cfRule>
          <xm:sqref>AG53</xm:sqref>
        </x14:conditionalFormatting>
        <x14:conditionalFormatting xmlns:xm="http://schemas.microsoft.com/office/excel/2006/main">
          <x14:cfRule type="dataBar" id="{9EE97E74-E3DA-436D-B442-4D6508BEB561}">
            <x14:dataBar minLength="0" maxLength="100" border="1" negativeBarBorderColorSameAsPositive="0">
              <x14:cfvo type="autoMin"/>
              <x14:cfvo type="autoMax"/>
              <x14:borderColor rgb="FF63C384"/>
              <x14:negativeFillColor rgb="FFFF0000"/>
              <x14:negativeBorderColor rgb="FFFF0000"/>
              <x14:axisColor rgb="FF000000"/>
            </x14:dataBar>
          </x14:cfRule>
          <xm:sqref>AG56</xm:sqref>
        </x14:conditionalFormatting>
        <x14:conditionalFormatting xmlns:xm="http://schemas.microsoft.com/office/excel/2006/main">
          <x14:cfRule type="dataBar" id="{A8BD8C16-63F4-4358-A79D-31AD1D38AF4E}">
            <x14:dataBar minLength="0" maxLength="100" border="1" negativeBarBorderColorSameAsPositive="0">
              <x14:cfvo type="autoMin"/>
              <x14:cfvo type="autoMax"/>
              <x14:borderColor rgb="FF63C384"/>
              <x14:negativeFillColor rgb="FFFF0000"/>
              <x14:negativeBorderColor rgb="FFFF0000"/>
              <x14:axisColor rgb="FF000000"/>
            </x14:dataBar>
          </x14:cfRule>
          <xm:sqref>AG56</xm:sqref>
        </x14:conditionalFormatting>
        <x14:conditionalFormatting xmlns:xm="http://schemas.microsoft.com/office/excel/2006/main">
          <x14:cfRule type="dataBar" id="{815660CB-B065-40FE-9834-42D5614D960B}">
            <x14:dataBar minLength="0" maxLength="100" border="1" negativeBarBorderColorSameAsPositive="0">
              <x14:cfvo type="autoMin"/>
              <x14:cfvo type="autoMax"/>
              <x14:borderColor rgb="FF63C384"/>
              <x14:negativeFillColor rgb="FFFF0000"/>
              <x14:negativeBorderColor rgb="FFFF0000"/>
              <x14:axisColor rgb="FF000000"/>
            </x14:dataBar>
          </x14:cfRule>
          <xm:sqref>AG65</xm:sqref>
        </x14:conditionalFormatting>
        <x14:conditionalFormatting xmlns:xm="http://schemas.microsoft.com/office/excel/2006/main">
          <x14:cfRule type="dataBar" id="{278A92DE-9190-4BC2-9777-65DF79059972}">
            <x14:dataBar minLength="0" maxLength="100" border="1" negativeBarBorderColorSameAsPositive="0">
              <x14:cfvo type="autoMin"/>
              <x14:cfvo type="autoMax"/>
              <x14:borderColor rgb="FF63C384"/>
              <x14:negativeFillColor rgb="FFFF0000"/>
              <x14:negativeBorderColor rgb="FFFF0000"/>
              <x14:axisColor rgb="FF000000"/>
            </x14:dataBar>
          </x14:cfRule>
          <xm:sqref>AG65</xm:sqref>
        </x14:conditionalFormatting>
        <x14:conditionalFormatting xmlns:xm="http://schemas.microsoft.com/office/excel/2006/main">
          <x14:cfRule type="dataBar" id="{D0BA3555-2BFD-4998-8A0A-3B7524C07F23}">
            <x14:dataBar minLength="0" maxLength="100" border="1" negativeBarBorderColorSameAsPositive="0">
              <x14:cfvo type="autoMin"/>
              <x14:cfvo type="autoMax"/>
              <x14:borderColor rgb="FF63C384"/>
              <x14:negativeFillColor rgb="FFFF0000"/>
              <x14:negativeBorderColor rgb="FFFF0000"/>
              <x14:axisColor rgb="FF000000"/>
            </x14:dataBar>
          </x14:cfRule>
          <xm:sqref>AG66</xm:sqref>
        </x14:conditionalFormatting>
        <x14:conditionalFormatting xmlns:xm="http://schemas.microsoft.com/office/excel/2006/main">
          <x14:cfRule type="dataBar" id="{6BAE99B3-7206-4065-A17B-E66E000AB7E8}">
            <x14:dataBar minLength="0" maxLength="100" border="1" negativeBarBorderColorSameAsPositive="0">
              <x14:cfvo type="autoMin"/>
              <x14:cfvo type="autoMax"/>
              <x14:borderColor rgb="FF63C384"/>
              <x14:negativeFillColor rgb="FFFF0000"/>
              <x14:negativeBorderColor rgb="FFFF0000"/>
              <x14:axisColor rgb="FF000000"/>
            </x14:dataBar>
          </x14:cfRule>
          <xm:sqref>AG66</xm:sqref>
        </x14:conditionalFormatting>
        <x14:conditionalFormatting xmlns:xm="http://schemas.microsoft.com/office/excel/2006/main">
          <x14:cfRule type="dataBar" id="{76104E8A-96C4-4211-B904-4D31EAA93740}">
            <x14:dataBar minLength="0" maxLength="100" border="1" negativeBarBorderColorSameAsPositive="0">
              <x14:cfvo type="autoMin"/>
              <x14:cfvo type="autoMax"/>
              <x14:borderColor rgb="FF63C384"/>
              <x14:negativeFillColor rgb="FFFF0000"/>
              <x14:negativeBorderColor rgb="FFFF0000"/>
              <x14:axisColor rgb="FF000000"/>
            </x14:dataBar>
          </x14:cfRule>
          <xm:sqref>AG63</xm:sqref>
        </x14:conditionalFormatting>
        <x14:conditionalFormatting xmlns:xm="http://schemas.microsoft.com/office/excel/2006/main">
          <x14:cfRule type="dataBar" id="{046E5B7C-D048-4257-A319-F8F5E5DB8845}">
            <x14:dataBar minLength="0" maxLength="100" border="1" negativeBarBorderColorSameAsPositive="0">
              <x14:cfvo type="autoMin"/>
              <x14:cfvo type="autoMax"/>
              <x14:borderColor rgb="FF63C384"/>
              <x14:negativeFillColor rgb="FFFF0000"/>
              <x14:negativeBorderColor rgb="FFFF0000"/>
              <x14:axisColor rgb="FF000000"/>
            </x14:dataBar>
          </x14:cfRule>
          <xm:sqref>AG63</xm:sqref>
        </x14:conditionalFormatting>
        <x14:conditionalFormatting xmlns:xm="http://schemas.microsoft.com/office/excel/2006/main">
          <x14:cfRule type="dataBar" id="{C03ACAD1-B4BB-429E-8E3D-30FE31877F95}">
            <x14:dataBar minLength="0" maxLength="100" border="1" negativeBarBorderColorSameAsPositive="0">
              <x14:cfvo type="autoMin"/>
              <x14:cfvo type="autoMax"/>
              <x14:borderColor rgb="FF63C384"/>
              <x14:negativeFillColor rgb="FFFF0000"/>
              <x14:negativeBorderColor rgb="FFFF0000"/>
              <x14:axisColor rgb="FF000000"/>
            </x14:dataBar>
          </x14:cfRule>
          <xm:sqref>AG64</xm:sqref>
        </x14:conditionalFormatting>
        <x14:conditionalFormatting xmlns:xm="http://schemas.microsoft.com/office/excel/2006/main">
          <x14:cfRule type="dataBar" id="{45D8E6C8-2BC4-4D33-823D-0B19CE86CF04}">
            <x14:dataBar minLength="0" maxLength="100" border="1" negativeBarBorderColorSameAsPositive="0">
              <x14:cfvo type="autoMin"/>
              <x14:cfvo type="autoMax"/>
              <x14:borderColor rgb="FF63C384"/>
              <x14:negativeFillColor rgb="FFFF0000"/>
              <x14:negativeBorderColor rgb="FFFF0000"/>
              <x14:axisColor rgb="FF000000"/>
            </x14:dataBar>
          </x14:cfRule>
          <xm:sqref>AG64</xm:sqref>
        </x14:conditionalFormatting>
        <x14:conditionalFormatting xmlns:xm="http://schemas.microsoft.com/office/excel/2006/main">
          <x14:cfRule type="dataBar" id="{F681FAE7-2E84-424F-A8A9-8B5E9C0B8D62}">
            <x14:dataBar minLength="0" maxLength="100" border="1" negativeBarBorderColorSameAsPositive="0">
              <x14:cfvo type="autoMin"/>
              <x14:cfvo type="autoMax"/>
              <x14:borderColor rgb="FF63C384"/>
              <x14:negativeFillColor rgb="FFFF0000"/>
              <x14:negativeBorderColor rgb="FFFF0000"/>
              <x14:axisColor rgb="FF000000"/>
            </x14:dataBar>
          </x14:cfRule>
          <xm:sqref>AG67</xm:sqref>
        </x14:conditionalFormatting>
        <x14:conditionalFormatting xmlns:xm="http://schemas.microsoft.com/office/excel/2006/main">
          <x14:cfRule type="dataBar" id="{A8F7F2F9-96E8-4603-B6C8-562B310B9673}">
            <x14:dataBar minLength="0" maxLength="100" border="1" negativeBarBorderColorSameAsPositive="0">
              <x14:cfvo type="autoMin"/>
              <x14:cfvo type="autoMax"/>
              <x14:borderColor rgb="FF63C384"/>
              <x14:negativeFillColor rgb="FFFF0000"/>
              <x14:negativeBorderColor rgb="FFFF0000"/>
              <x14:axisColor rgb="FF000000"/>
            </x14:dataBar>
          </x14:cfRule>
          <xm:sqref>AG67</xm:sqref>
        </x14:conditionalFormatting>
        <x14:conditionalFormatting xmlns:xm="http://schemas.microsoft.com/office/excel/2006/main">
          <x14:cfRule type="dataBar" id="{4D64BBDA-1D54-4492-B11C-ACC6CD2D5A46}">
            <x14:dataBar minLength="0" maxLength="100" border="1" negativeBarBorderColorSameAsPositive="0">
              <x14:cfvo type="autoMin"/>
              <x14:cfvo type="autoMax"/>
              <x14:borderColor rgb="FF63C384"/>
              <x14:negativeFillColor rgb="FFFF0000"/>
              <x14:negativeBorderColor rgb="FFFF0000"/>
              <x14:axisColor rgb="FF000000"/>
            </x14:dataBar>
          </x14:cfRule>
          <xm:sqref>AG68</xm:sqref>
        </x14:conditionalFormatting>
        <x14:conditionalFormatting xmlns:xm="http://schemas.microsoft.com/office/excel/2006/main">
          <x14:cfRule type="dataBar" id="{A06A8DB1-A800-4EEC-A463-05C5DEACBFFA}">
            <x14:dataBar minLength="0" maxLength="100" border="1" negativeBarBorderColorSameAsPositive="0">
              <x14:cfvo type="autoMin"/>
              <x14:cfvo type="autoMax"/>
              <x14:borderColor rgb="FF63C384"/>
              <x14:negativeFillColor rgb="FFFF0000"/>
              <x14:negativeBorderColor rgb="FFFF0000"/>
              <x14:axisColor rgb="FF000000"/>
            </x14:dataBar>
          </x14:cfRule>
          <xm:sqref>AG68</xm:sqref>
        </x14:conditionalFormatting>
        <x14:conditionalFormatting xmlns:xm="http://schemas.microsoft.com/office/excel/2006/main">
          <x14:cfRule type="dataBar" id="{DC183C30-8AC9-4DCA-AE76-AC6355C953E2}">
            <x14:dataBar minLength="0" maxLength="100" border="1" negativeBarBorderColorSameAsPositive="0">
              <x14:cfvo type="autoMin"/>
              <x14:cfvo type="autoMax"/>
              <x14:borderColor rgb="FF63C384"/>
              <x14:negativeFillColor rgb="FFFF0000"/>
              <x14:negativeBorderColor rgb="FFFF0000"/>
              <x14:axisColor rgb="FF000000"/>
            </x14:dataBar>
          </x14:cfRule>
          <xm:sqref>AG69</xm:sqref>
        </x14:conditionalFormatting>
        <x14:conditionalFormatting xmlns:xm="http://schemas.microsoft.com/office/excel/2006/main">
          <x14:cfRule type="dataBar" id="{43F91801-3FAB-490D-96EC-47D918CE8DA3}">
            <x14:dataBar minLength="0" maxLength="100" border="1" negativeBarBorderColorSameAsPositive="0">
              <x14:cfvo type="autoMin"/>
              <x14:cfvo type="autoMax"/>
              <x14:borderColor rgb="FF63C384"/>
              <x14:negativeFillColor rgb="FFFF0000"/>
              <x14:negativeBorderColor rgb="FFFF0000"/>
              <x14:axisColor rgb="FF000000"/>
            </x14:dataBar>
          </x14:cfRule>
          <xm:sqref>AG69</xm:sqref>
        </x14:conditionalFormatting>
        <x14:conditionalFormatting xmlns:xm="http://schemas.microsoft.com/office/excel/2006/main">
          <x14:cfRule type="dataBar" id="{37661954-A436-4815-B324-9ACF0EE1928C}">
            <x14:dataBar minLength="0" maxLength="100" border="1" negativeBarBorderColorSameAsPositive="0">
              <x14:cfvo type="autoMin"/>
              <x14:cfvo type="autoMax"/>
              <x14:borderColor rgb="FF63C384"/>
              <x14:negativeFillColor rgb="FFFF0000"/>
              <x14:negativeBorderColor rgb="FFFF0000"/>
              <x14:axisColor rgb="FF000000"/>
            </x14:dataBar>
          </x14:cfRule>
          <xm:sqref>AG70</xm:sqref>
        </x14:conditionalFormatting>
        <x14:conditionalFormatting xmlns:xm="http://schemas.microsoft.com/office/excel/2006/main">
          <x14:cfRule type="dataBar" id="{48DAF6D9-34D8-4977-8819-7E378A94524F}">
            <x14:dataBar minLength="0" maxLength="100" border="1" negativeBarBorderColorSameAsPositive="0">
              <x14:cfvo type="autoMin"/>
              <x14:cfvo type="autoMax"/>
              <x14:borderColor rgb="FF63C384"/>
              <x14:negativeFillColor rgb="FFFF0000"/>
              <x14:negativeBorderColor rgb="FFFF0000"/>
              <x14:axisColor rgb="FF000000"/>
            </x14:dataBar>
          </x14:cfRule>
          <xm:sqref>AG70</xm:sqref>
        </x14:conditionalFormatting>
        <x14:conditionalFormatting xmlns:xm="http://schemas.microsoft.com/office/excel/2006/main">
          <x14:cfRule type="dataBar" id="{E138A9A5-D5FC-442B-849E-5314AFD171C3}">
            <x14:dataBar minLength="0" maxLength="100" border="1" negativeBarBorderColorSameAsPositive="0">
              <x14:cfvo type="autoMin"/>
              <x14:cfvo type="autoMax"/>
              <x14:borderColor rgb="FF63C384"/>
              <x14:negativeFillColor rgb="FFFF0000"/>
              <x14:negativeBorderColor rgb="FFFF0000"/>
              <x14:axisColor rgb="FF000000"/>
            </x14:dataBar>
          </x14:cfRule>
          <xm:sqref>AG71</xm:sqref>
        </x14:conditionalFormatting>
        <x14:conditionalFormatting xmlns:xm="http://schemas.microsoft.com/office/excel/2006/main">
          <x14:cfRule type="dataBar" id="{87A83D1E-6B2A-40F4-B0DE-879D9BFA8249}">
            <x14:dataBar minLength="0" maxLength="100" border="1" negativeBarBorderColorSameAsPositive="0">
              <x14:cfvo type="autoMin"/>
              <x14:cfvo type="autoMax"/>
              <x14:borderColor rgb="FF63C384"/>
              <x14:negativeFillColor rgb="FFFF0000"/>
              <x14:negativeBorderColor rgb="FFFF0000"/>
              <x14:axisColor rgb="FF000000"/>
            </x14:dataBar>
          </x14:cfRule>
          <xm:sqref>AG71</xm:sqref>
        </x14:conditionalFormatting>
        <x14:conditionalFormatting xmlns:xm="http://schemas.microsoft.com/office/excel/2006/main">
          <x14:cfRule type="dataBar" id="{435CEC11-0E9C-4D9C-A19D-2F989EEFE690}">
            <x14:dataBar minLength="0" maxLength="100" border="1" negativeBarBorderColorSameAsPositive="0">
              <x14:cfvo type="autoMin"/>
              <x14:cfvo type="autoMax"/>
              <x14:borderColor rgb="FF63C384"/>
              <x14:negativeFillColor rgb="FFFF0000"/>
              <x14:negativeBorderColor rgb="FFFF0000"/>
              <x14:axisColor rgb="FF000000"/>
            </x14:dataBar>
          </x14:cfRule>
          <xm:sqref>AG72</xm:sqref>
        </x14:conditionalFormatting>
        <x14:conditionalFormatting xmlns:xm="http://schemas.microsoft.com/office/excel/2006/main">
          <x14:cfRule type="dataBar" id="{A223365C-2B14-43C2-BC06-827A67473466}">
            <x14:dataBar minLength="0" maxLength="100" border="1" negativeBarBorderColorSameAsPositive="0">
              <x14:cfvo type="autoMin"/>
              <x14:cfvo type="autoMax"/>
              <x14:borderColor rgb="FF63C384"/>
              <x14:negativeFillColor rgb="FFFF0000"/>
              <x14:negativeBorderColor rgb="FFFF0000"/>
              <x14:axisColor rgb="FF000000"/>
            </x14:dataBar>
          </x14:cfRule>
          <xm:sqref>AG72</xm:sqref>
        </x14:conditionalFormatting>
        <x14:conditionalFormatting xmlns:xm="http://schemas.microsoft.com/office/excel/2006/main">
          <x14:cfRule type="dataBar" id="{25D94314-EEE4-4DFD-BE21-1E7EB6FE3A5A}">
            <x14:dataBar minLength="0" maxLength="100" border="1" negativeBarBorderColorSameAsPositive="0">
              <x14:cfvo type="autoMin"/>
              <x14:cfvo type="autoMax"/>
              <x14:borderColor rgb="FF63C384"/>
              <x14:negativeFillColor rgb="FFFF0000"/>
              <x14:negativeBorderColor rgb="FFFF0000"/>
              <x14:axisColor rgb="FF000000"/>
            </x14:dataBar>
          </x14:cfRule>
          <xm:sqref>AG73</xm:sqref>
        </x14:conditionalFormatting>
        <x14:conditionalFormatting xmlns:xm="http://schemas.microsoft.com/office/excel/2006/main">
          <x14:cfRule type="dataBar" id="{C1A9B879-ECC7-4943-B699-219E8C211DEA}">
            <x14:dataBar minLength="0" maxLength="100" border="1" negativeBarBorderColorSameAsPositive="0">
              <x14:cfvo type="autoMin"/>
              <x14:cfvo type="autoMax"/>
              <x14:borderColor rgb="FF63C384"/>
              <x14:negativeFillColor rgb="FFFF0000"/>
              <x14:negativeBorderColor rgb="FFFF0000"/>
              <x14:axisColor rgb="FF000000"/>
            </x14:dataBar>
          </x14:cfRule>
          <xm:sqref>AG73</xm:sqref>
        </x14:conditionalFormatting>
        <x14:conditionalFormatting xmlns:xm="http://schemas.microsoft.com/office/excel/2006/main">
          <x14:cfRule type="dataBar" id="{7BFB5F5B-FB04-40D8-9D8A-277399B6483B}">
            <x14:dataBar minLength="0" maxLength="100" border="1" negativeBarBorderColorSameAsPositive="0">
              <x14:cfvo type="autoMin"/>
              <x14:cfvo type="autoMax"/>
              <x14:borderColor rgb="FF63C384"/>
              <x14:negativeFillColor rgb="FFFF0000"/>
              <x14:negativeBorderColor rgb="FFFF0000"/>
              <x14:axisColor rgb="FF000000"/>
            </x14:dataBar>
          </x14:cfRule>
          <xm:sqref>AG74</xm:sqref>
        </x14:conditionalFormatting>
        <x14:conditionalFormatting xmlns:xm="http://schemas.microsoft.com/office/excel/2006/main">
          <x14:cfRule type="dataBar" id="{C3901654-5C91-405D-9E85-3C6331C30367}">
            <x14:dataBar minLength="0" maxLength="100" border="1" negativeBarBorderColorSameAsPositive="0">
              <x14:cfvo type="autoMin"/>
              <x14:cfvo type="autoMax"/>
              <x14:borderColor rgb="FF63C384"/>
              <x14:negativeFillColor rgb="FFFF0000"/>
              <x14:negativeBorderColor rgb="FFFF0000"/>
              <x14:axisColor rgb="FF000000"/>
            </x14:dataBar>
          </x14:cfRule>
          <xm:sqref>AG74</xm:sqref>
        </x14:conditionalFormatting>
        <x14:conditionalFormatting xmlns:xm="http://schemas.microsoft.com/office/excel/2006/main">
          <x14:cfRule type="dataBar" id="{8A55F896-5E88-4746-AA90-D240337EE757}">
            <x14:dataBar minLength="0" maxLength="100" border="1" negativeBarBorderColorSameAsPositive="0">
              <x14:cfvo type="autoMin"/>
              <x14:cfvo type="autoMax"/>
              <x14:borderColor rgb="FF63C384"/>
              <x14:negativeFillColor rgb="FFFF0000"/>
              <x14:negativeBorderColor rgb="FFFF0000"/>
              <x14:axisColor rgb="FF000000"/>
            </x14:dataBar>
          </x14:cfRule>
          <xm:sqref>AG75</xm:sqref>
        </x14:conditionalFormatting>
        <x14:conditionalFormatting xmlns:xm="http://schemas.microsoft.com/office/excel/2006/main">
          <x14:cfRule type="dataBar" id="{3A76BAC0-F749-4D51-A213-8080FBC3C287}">
            <x14:dataBar minLength="0" maxLength="100" border="1" negativeBarBorderColorSameAsPositive="0">
              <x14:cfvo type="autoMin"/>
              <x14:cfvo type="autoMax"/>
              <x14:borderColor rgb="FF63C384"/>
              <x14:negativeFillColor rgb="FFFF0000"/>
              <x14:negativeBorderColor rgb="FFFF0000"/>
              <x14:axisColor rgb="FF000000"/>
            </x14:dataBar>
          </x14:cfRule>
          <xm:sqref>AG75</xm:sqref>
        </x14:conditionalFormatting>
        <x14:conditionalFormatting xmlns:xm="http://schemas.microsoft.com/office/excel/2006/main">
          <x14:cfRule type="dataBar" id="{E332958E-9EB0-467E-97AF-7E4B22832D5E}">
            <x14:dataBar minLength="0" maxLength="100" border="1" negativeBarBorderColorSameAsPositive="0">
              <x14:cfvo type="autoMin"/>
              <x14:cfvo type="autoMax"/>
              <x14:borderColor rgb="FF63C384"/>
              <x14:negativeFillColor rgb="FFFF0000"/>
              <x14:negativeBorderColor rgb="FFFF0000"/>
              <x14:axisColor rgb="FF000000"/>
            </x14:dataBar>
          </x14:cfRule>
          <xm:sqref>AG76</xm:sqref>
        </x14:conditionalFormatting>
        <x14:conditionalFormatting xmlns:xm="http://schemas.microsoft.com/office/excel/2006/main">
          <x14:cfRule type="dataBar" id="{EBC8832B-64DF-4046-A7BC-7C8993AED51E}">
            <x14:dataBar minLength="0" maxLength="100" border="1" negativeBarBorderColorSameAsPositive="0">
              <x14:cfvo type="autoMin"/>
              <x14:cfvo type="autoMax"/>
              <x14:borderColor rgb="FF63C384"/>
              <x14:negativeFillColor rgb="FFFF0000"/>
              <x14:negativeBorderColor rgb="FFFF0000"/>
              <x14:axisColor rgb="FF000000"/>
            </x14:dataBar>
          </x14:cfRule>
          <xm:sqref>AG76</xm:sqref>
        </x14:conditionalFormatting>
        <x14:conditionalFormatting xmlns:xm="http://schemas.microsoft.com/office/excel/2006/main">
          <x14:cfRule type="dataBar" id="{83F1B11B-D376-47F3-BDCB-3C0E29F3A721}">
            <x14:dataBar minLength="0" maxLength="100" border="1" negativeBarBorderColorSameAsPositive="0">
              <x14:cfvo type="autoMin"/>
              <x14:cfvo type="autoMax"/>
              <x14:borderColor rgb="FF63C384"/>
              <x14:negativeFillColor rgb="FFFF0000"/>
              <x14:negativeBorderColor rgb="FFFF0000"/>
              <x14:axisColor rgb="FF000000"/>
            </x14:dataBar>
          </x14:cfRule>
          <xm:sqref>AG77</xm:sqref>
        </x14:conditionalFormatting>
        <x14:conditionalFormatting xmlns:xm="http://schemas.microsoft.com/office/excel/2006/main">
          <x14:cfRule type="dataBar" id="{CBFAFD06-BFBE-4576-8CEE-1872E44D12E3}">
            <x14:dataBar minLength="0" maxLength="100" border="1" negativeBarBorderColorSameAsPositive="0">
              <x14:cfvo type="autoMin"/>
              <x14:cfvo type="autoMax"/>
              <x14:borderColor rgb="FF63C384"/>
              <x14:negativeFillColor rgb="FFFF0000"/>
              <x14:negativeBorderColor rgb="FFFF0000"/>
              <x14:axisColor rgb="FF000000"/>
            </x14:dataBar>
          </x14:cfRule>
          <xm:sqref>AG77</xm:sqref>
        </x14:conditionalFormatting>
        <x14:conditionalFormatting xmlns:xm="http://schemas.microsoft.com/office/excel/2006/main">
          <x14:cfRule type="dataBar" id="{A71FD2EA-F462-4A47-96DC-E3604925F9BF}">
            <x14:dataBar minLength="0" maxLength="100" border="1" negativeBarBorderColorSameAsPositive="0">
              <x14:cfvo type="autoMin"/>
              <x14:cfvo type="autoMax"/>
              <x14:borderColor rgb="FF63C384"/>
              <x14:negativeFillColor rgb="FFFF0000"/>
              <x14:negativeBorderColor rgb="FFFF0000"/>
              <x14:axisColor rgb="FF000000"/>
            </x14:dataBar>
          </x14:cfRule>
          <xm:sqref>AG78</xm:sqref>
        </x14:conditionalFormatting>
        <x14:conditionalFormatting xmlns:xm="http://schemas.microsoft.com/office/excel/2006/main">
          <x14:cfRule type="dataBar" id="{500D891D-D43F-4CCA-AE10-FD868A6E37E6}">
            <x14:dataBar minLength="0" maxLength="100" border="1" negativeBarBorderColorSameAsPositive="0">
              <x14:cfvo type="autoMin"/>
              <x14:cfvo type="autoMax"/>
              <x14:borderColor rgb="FF63C384"/>
              <x14:negativeFillColor rgb="FFFF0000"/>
              <x14:negativeBorderColor rgb="FFFF0000"/>
              <x14:axisColor rgb="FF000000"/>
            </x14:dataBar>
          </x14:cfRule>
          <xm:sqref>AG78</xm:sqref>
        </x14:conditionalFormatting>
        <x14:conditionalFormatting xmlns:xm="http://schemas.microsoft.com/office/excel/2006/main">
          <x14:cfRule type="dataBar" id="{F6F892B8-C5C7-440E-8E73-3FCBA3FA67BF}">
            <x14:dataBar minLength="0" maxLength="100" border="1" negativeBarBorderColorSameAsPositive="0">
              <x14:cfvo type="autoMin"/>
              <x14:cfvo type="autoMax"/>
              <x14:borderColor rgb="FF63C384"/>
              <x14:negativeFillColor rgb="FFFF0000"/>
              <x14:negativeBorderColor rgb="FFFF0000"/>
              <x14:axisColor rgb="FF000000"/>
            </x14:dataBar>
          </x14:cfRule>
          <xm:sqref>AG79</xm:sqref>
        </x14:conditionalFormatting>
        <x14:conditionalFormatting xmlns:xm="http://schemas.microsoft.com/office/excel/2006/main">
          <x14:cfRule type="dataBar" id="{2608DA3F-2400-42A1-AEFE-AB41582CB0D7}">
            <x14:dataBar minLength="0" maxLength="100" border="1" negativeBarBorderColorSameAsPositive="0">
              <x14:cfvo type="autoMin"/>
              <x14:cfvo type="autoMax"/>
              <x14:borderColor rgb="FF63C384"/>
              <x14:negativeFillColor rgb="FFFF0000"/>
              <x14:negativeBorderColor rgb="FFFF0000"/>
              <x14:axisColor rgb="FF000000"/>
            </x14:dataBar>
          </x14:cfRule>
          <xm:sqref>AG79</xm:sqref>
        </x14:conditionalFormatting>
        <x14:conditionalFormatting xmlns:xm="http://schemas.microsoft.com/office/excel/2006/main">
          <x14:cfRule type="dataBar" id="{8E218161-8F00-4EC7-B835-4EE2B356204A}">
            <x14:dataBar minLength="0" maxLength="100" border="1" negativeBarBorderColorSameAsPositive="0">
              <x14:cfvo type="autoMin"/>
              <x14:cfvo type="autoMax"/>
              <x14:borderColor rgb="FF63C384"/>
              <x14:negativeFillColor rgb="FFFF0000"/>
              <x14:negativeBorderColor rgb="FFFF0000"/>
              <x14:axisColor rgb="FF000000"/>
            </x14:dataBar>
          </x14:cfRule>
          <xm:sqref>AG80</xm:sqref>
        </x14:conditionalFormatting>
        <x14:conditionalFormatting xmlns:xm="http://schemas.microsoft.com/office/excel/2006/main">
          <x14:cfRule type="dataBar" id="{122ABAEB-6233-453C-BAF4-D3CBDCB9A081}">
            <x14:dataBar minLength="0" maxLength="100" border="1" negativeBarBorderColorSameAsPositive="0">
              <x14:cfvo type="autoMin"/>
              <x14:cfvo type="autoMax"/>
              <x14:borderColor rgb="FF63C384"/>
              <x14:negativeFillColor rgb="FFFF0000"/>
              <x14:negativeBorderColor rgb="FFFF0000"/>
              <x14:axisColor rgb="FF000000"/>
            </x14:dataBar>
          </x14:cfRule>
          <xm:sqref>AG80</xm:sqref>
        </x14:conditionalFormatting>
        <x14:conditionalFormatting xmlns:xm="http://schemas.microsoft.com/office/excel/2006/main">
          <x14:cfRule type="dataBar" id="{84AF1282-D06C-46DB-AE74-1638ECAB6EAA}">
            <x14:dataBar minLength="0" maxLength="100" border="1" negativeBarBorderColorSameAsPositive="0">
              <x14:cfvo type="autoMin"/>
              <x14:cfvo type="autoMax"/>
              <x14:borderColor rgb="FF63C384"/>
              <x14:negativeFillColor rgb="FFFF0000"/>
              <x14:negativeBorderColor rgb="FFFF0000"/>
              <x14:axisColor rgb="FF000000"/>
            </x14:dataBar>
          </x14:cfRule>
          <xm:sqref>AG81</xm:sqref>
        </x14:conditionalFormatting>
        <x14:conditionalFormatting xmlns:xm="http://schemas.microsoft.com/office/excel/2006/main">
          <x14:cfRule type="dataBar" id="{791A1496-0F05-4BF2-9F90-CDA170211347}">
            <x14:dataBar minLength="0" maxLength="100" border="1" negativeBarBorderColorSameAsPositive="0">
              <x14:cfvo type="autoMin"/>
              <x14:cfvo type="autoMax"/>
              <x14:borderColor rgb="FF63C384"/>
              <x14:negativeFillColor rgb="FFFF0000"/>
              <x14:negativeBorderColor rgb="FFFF0000"/>
              <x14:axisColor rgb="FF000000"/>
            </x14:dataBar>
          </x14:cfRule>
          <xm:sqref>AG81</xm:sqref>
        </x14:conditionalFormatting>
        <x14:conditionalFormatting xmlns:xm="http://schemas.microsoft.com/office/excel/2006/main">
          <x14:cfRule type="dataBar" id="{A51C2479-6F66-4321-80E0-59CAF91FA049}">
            <x14:dataBar minLength="0" maxLength="100" border="1" negativeBarBorderColorSameAsPositive="0">
              <x14:cfvo type="autoMin"/>
              <x14:cfvo type="autoMax"/>
              <x14:borderColor rgb="FF63C384"/>
              <x14:negativeFillColor rgb="FFFF0000"/>
              <x14:negativeBorderColor rgb="FFFF0000"/>
              <x14:axisColor rgb="FF000000"/>
            </x14:dataBar>
          </x14:cfRule>
          <xm:sqref>AG82</xm:sqref>
        </x14:conditionalFormatting>
        <x14:conditionalFormatting xmlns:xm="http://schemas.microsoft.com/office/excel/2006/main">
          <x14:cfRule type="dataBar" id="{CB496475-1EBC-4A9E-8584-6D634EDB5E9F}">
            <x14:dataBar minLength="0" maxLength="100" border="1" negativeBarBorderColorSameAsPositive="0">
              <x14:cfvo type="autoMin"/>
              <x14:cfvo type="autoMax"/>
              <x14:borderColor rgb="FF63C384"/>
              <x14:negativeFillColor rgb="FFFF0000"/>
              <x14:negativeBorderColor rgb="FFFF0000"/>
              <x14:axisColor rgb="FF000000"/>
            </x14:dataBar>
          </x14:cfRule>
          <xm:sqref>AG82</xm:sqref>
        </x14:conditionalFormatting>
        <x14:conditionalFormatting xmlns:xm="http://schemas.microsoft.com/office/excel/2006/main">
          <x14:cfRule type="dataBar" id="{03993A35-61D9-4409-BF08-3707B93E39BB}">
            <x14:dataBar minLength="0" maxLength="100" border="1" negativeBarBorderColorSameAsPositive="0">
              <x14:cfvo type="autoMin"/>
              <x14:cfvo type="autoMax"/>
              <x14:borderColor rgb="FF63C384"/>
              <x14:negativeFillColor rgb="FFFF0000"/>
              <x14:negativeBorderColor rgb="FFFF0000"/>
              <x14:axisColor rgb="FF000000"/>
            </x14:dataBar>
          </x14:cfRule>
          <xm:sqref>AG83</xm:sqref>
        </x14:conditionalFormatting>
        <x14:conditionalFormatting xmlns:xm="http://schemas.microsoft.com/office/excel/2006/main">
          <x14:cfRule type="dataBar" id="{17E2EAFF-F9CF-4A2C-9C41-74EC1E18005F}">
            <x14:dataBar minLength="0" maxLength="100" border="1" negativeBarBorderColorSameAsPositive="0">
              <x14:cfvo type="autoMin"/>
              <x14:cfvo type="autoMax"/>
              <x14:borderColor rgb="FF63C384"/>
              <x14:negativeFillColor rgb="FFFF0000"/>
              <x14:negativeBorderColor rgb="FFFF0000"/>
              <x14:axisColor rgb="FF000000"/>
            </x14:dataBar>
          </x14:cfRule>
          <xm:sqref>AG83</xm:sqref>
        </x14:conditionalFormatting>
        <x14:conditionalFormatting xmlns:xm="http://schemas.microsoft.com/office/excel/2006/main">
          <x14:cfRule type="dataBar" id="{10D32B24-9EB9-48B5-88B6-BF14552CA1E0}">
            <x14:dataBar minLength="0" maxLength="100" border="1" negativeBarBorderColorSameAsPositive="0">
              <x14:cfvo type="autoMin"/>
              <x14:cfvo type="autoMax"/>
              <x14:borderColor rgb="FF63C384"/>
              <x14:negativeFillColor rgb="FFFF0000"/>
              <x14:negativeBorderColor rgb="FFFF0000"/>
              <x14:axisColor rgb="FF000000"/>
            </x14:dataBar>
          </x14:cfRule>
          <xm:sqref>AG84</xm:sqref>
        </x14:conditionalFormatting>
        <x14:conditionalFormatting xmlns:xm="http://schemas.microsoft.com/office/excel/2006/main">
          <x14:cfRule type="dataBar" id="{F585F0CE-914D-4A54-9128-C4E0AB82ADFC}">
            <x14:dataBar minLength="0" maxLength="100" border="1" negativeBarBorderColorSameAsPositive="0">
              <x14:cfvo type="autoMin"/>
              <x14:cfvo type="autoMax"/>
              <x14:borderColor rgb="FF63C384"/>
              <x14:negativeFillColor rgb="FFFF0000"/>
              <x14:negativeBorderColor rgb="FFFF0000"/>
              <x14:axisColor rgb="FF000000"/>
            </x14:dataBar>
          </x14:cfRule>
          <xm:sqref>AG84</xm:sqref>
        </x14:conditionalFormatting>
        <x14:conditionalFormatting xmlns:xm="http://schemas.microsoft.com/office/excel/2006/main">
          <x14:cfRule type="dataBar" id="{83FFBB16-687A-4D0D-9172-655DAFEFA4B3}">
            <x14:dataBar minLength="0" maxLength="100" border="1" negativeBarBorderColorSameAsPositive="0">
              <x14:cfvo type="autoMin"/>
              <x14:cfvo type="autoMax"/>
              <x14:borderColor rgb="FF63C384"/>
              <x14:negativeFillColor rgb="FFFF0000"/>
              <x14:negativeBorderColor rgb="FFFF0000"/>
              <x14:axisColor rgb="FF000000"/>
            </x14:dataBar>
          </x14:cfRule>
          <xm:sqref>AG85:AG86</xm:sqref>
        </x14:conditionalFormatting>
        <x14:conditionalFormatting xmlns:xm="http://schemas.microsoft.com/office/excel/2006/main">
          <x14:cfRule type="dataBar" id="{0052162E-BB15-48C6-9381-6AFAEC4EF58D}">
            <x14:dataBar minLength="0" maxLength="100" border="1" negativeBarBorderColorSameAsPositive="0">
              <x14:cfvo type="autoMin"/>
              <x14:cfvo type="autoMax"/>
              <x14:borderColor rgb="FF63C384"/>
              <x14:negativeFillColor rgb="FFFF0000"/>
              <x14:negativeBorderColor rgb="FFFF0000"/>
              <x14:axisColor rgb="FF000000"/>
            </x14:dataBar>
          </x14:cfRule>
          <xm:sqref>AG85:AG86</xm:sqref>
        </x14:conditionalFormatting>
        <x14:conditionalFormatting xmlns:xm="http://schemas.microsoft.com/office/excel/2006/main">
          <x14:cfRule type="dataBar" id="{A2A08287-EECC-426C-8AEB-2B40044509DC}">
            <x14:dataBar minLength="0" maxLength="100" border="1" negativeBarBorderColorSameAsPositive="0">
              <x14:cfvo type="autoMin"/>
              <x14:cfvo type="autoMax"/>
              <x14:borderColor rgb="FF63C384"/>
              <x14:negativeFillColor rgb="FFFF0000"/>
              <x14:negativeBorderColor rgb="FFFF0000"/>
              <x14:axisColor rgb="FF000000"/>
            </x14:dataBar>
          </x14:cfRule>
          <xm:sqref>AG87</xm:sqref>
        </x14:conditionalFormatting>
        <x14:conditionalFormatting xmlns:xm="http://schemas.microsoft.com/office/excel/2006/main">
          <x14:cfRule type="dataBar" id="{187C0F80-21F9-438B-A0EF-364449F58E5A}">
            <x14:dataBar minLength="0" maxLength="100" border="1" negativeBarBorderColorSameAsPositive="0">
              <x14:cfvo type="autoMin"/>
              <x14:cfvo type="autoMax"/>
              <x14:borderColor rgb="FF63C384"/>
              <x14:negativeFillColor rgb="FFFF0000"/>
              <x14:negativeBorderColor rgb="FFFF0000"/>
              <x14:axisColor rgb="FF000000"/>
            </x14:dataBar>
          </x14:cfRule>
          <xm:sqref>AG87</xm:sqref>
        </x14:conditionalFormatting>
        <x14:conditionalFormatting xmlns:xm="http://schemas.microsoft.com/office/excel/2006/main">
          <x14:cfRule type="dataBar" id="{D8512629-FB77-4316-8872-E0D49BB68BDE}">
            <x14:dataBar minLength="0" maxLength="100" border="1" negativeBarBorderColorSameAsPositive="0">
              <x14:cfvo type="autoMin"/>
              <x14:cfvo type="autoMax"/>
              <x14:borderColor rgb="FF63C384"/>
              <x14:negativeFillColor rgb="FFFF0000"/>
              <x14:negativeBorderColor rgb="FFFF0000"/>
              <x14:axisColor rgb="FF000000"/>
            </x14:dataBar>
          </x14:cfRule>
          <xm:sqref>AG88</xm:sqref>
        </x14:conditionalFormatting>
        <x14:conditionalFormatting xmlns:xm="http://schemas.microsoft.com/office/excel/2006/main">
          <x14:cfRule type="dataBar" id="{E2379C0C-8317-40FD-9C3B-7E7E5B1C7519}">
            <x14:dataBar minLength="0" maxLength="100" border="1" negativeBarBorderColorSameAsPositive="0">
              <x14:cfvo type="autoMin"/>
              <x14:cfvo type="autoMax"/>
              <x14:borderColor rgb="FF63C384"/>
              <x14:negativeFillColor rgb="FFFF0000"/>
              <x14:negativeBorderColor rgb="FFFF0000"/>
              <x14:axisColor rgb="FF000000"/>
            </x14:dataBar>
          </x14:cfRule>
          <xm:sqref>AG88</xm:sqref>
        </x14:conditionalFormatting>
        <x14:conditionalFormatting xmlns:xm="http://schemas.microsoft.com/office/excel/2006/main">
          <x14:cfRule type="dataBar" id="{CF3759F0-83F9-4D17-BFCC-140C1E788858}">
            <x14:dataBar minLength="0" maxLength="100" border="1" negativeBarBorderColorSameAsPositive="0">
              <x14:cfvo type="autoMin"/>
              <x14:cfvo type="autoMax"/>
              <x14:borderColor rgb="FF63C384"/>
              <x14:negativeFillColor rgb="FFFF0000"/>
              <x14:negativeBorderColor rgb="FFFF0000"/>
              <x14:axisColor rgb="FF000000"/>
            </x14:dataBar>
          </x14:cfRule>
          <xm:sqref>AG89</xm:sqref>
        </x14:conditionalFormatting>
        <x14:conditionalFormatting xmlns:xm="http://schemas.microsoft.com/office/excel/2006/main">
          <x14:cfRule type="dataBar" id="{8A3B9D7C-4F04-476E-8EE5-27F1BBDF1758}">
            <x14:dataBar minLength="0" maxLength="100" border="1" negativeBarBorderColorSameAsPositive="0">
              <x14:cfvo type="autoMin"/>
              <x14:cfvo type="autoMax"/>
              <x14:borderColor rgb="FF63C384"/>
              <x14:negativeFillColor rgb="FFFF0000"/>
              <x14:negativeBorderColor rgb="FFFF0000"/>
              <x14:axisColor rgb="FF000000"/>
            </x14:dataBar>
          </x14:cfRule>
          <xm:sqref>AG89</xm:sqref>
        </x14:conditionalFormatting>
        <x14:conditionalFormatting xmlns:xm="http://schemas.microsoft.com/office/excel/2006/main">
          <x14:cfRule type="dataBar" id="{F67D1DED-463A-419D-9AF3-5C937B7AF2D9}">
            <x14:dataBar minLength="0" maxLength="100" border="1" negativeBarBorderColorSameAsPositive="0">
              <x14:cfvo type="autoMin"/>
              <x14:cfvo type="autoMax"/>
              <x14:borderColor rgb="FF63C384"/>
              <x14:negativeFillColor rgb="FFFF0000"/>
              <x14:negativeBorderColor rgb="FFFF0000"/>
              <x14:axisColor rgb="FF000000"/>
            </x14:dataBar>
          </x14:cfRule>
          <xm:sqref>AG90</xm:sqref>
        </x14:conditionalFormatting>
        <x14:conditionalFormatting xmlns:xm="http://schemas.microsoft.com/office/excel/2006/main">
          <x14:cfRule type="dataBar" id="{C547EEEA-7AD4-4CA2-B73F-F3BBB44DF7CE}">
            <x14:dataBar minLength="0" maxLength="100" border="1" negativeBarBorderColorSameAsPositive="0">
              <x14:cfvo type="autoMin"/>
              <x14:cfvo type="autoMax"/>
              <x14:borderColor rgb="FF63C384"/>
              <x14:negativeFillColor rgb="FFFF0000"/>
              <x14:negativeBorderColor rgb="FFFF0000"/>
              <x14:axisColor rgb="FF000000"/>
            </x14:dataBar>
          </x14:cfRule>
          <xm:sqref>AG90</xm:sqref>
        </x14:conditionalFormatting>
        <x14:conditionalFormatting xmlns:xm="http://schemas.microsoft.com/office/excel/2006/main">
          <x14:cfRule type="dataBar" id="{5D45401C-36F1-42D2-8E4E-1E65BBEEC918}">
            <x14:dataBar minLength="0" maxLength="100" border="1" negativeBarBorderColorSameAsPositive="0">
              <x14:cfvo type="autoMin"/>
              <x14:cfvo type="autoMax"/>
              <x14:borderColor rgb="FF63C384"/>
              <x14:negativeFillColor rgb="FFFF0000"/>
              <x14:negativeBorderColor rgb="FFFF0000"/>
              <x14:axisColor rgb="FF000000"/>
            </x14:dataBar>
          </x14:cfRule>
          <xm:sqref>AG91</xm:sqref>
        </x14:conditionalFormatting>
        <x14:conditionalFormatting xmlns:xm="http://schemas.microsoft.com/office/excel/2006/main">
          <x14:cfRule type="dataBar" id="{32E865E2-CC57-4330-9AB7-55C2D277CCA3}">
            <x14:dataBar minLength="0" maxLength="100" border="1" negativeBarBorderColorSameAsPositive="0">
              <x14:cfvo type="autoMin"/>
              <x14:cfvo type="autoMax"/>
              <x14:borderColor rgb="FF63C384"/>
              <x14:negativeFillColor rgb="FFFF0000"/>
              <x14:negativeBorderColor rgb="FFFF0000"/>
              <x14:axisColor rgb="FF000000"/>
            </x14:dataBar>
          </x14:cfRule>
          <xm:sqref>AG91</xm:sqref>
        </x14:conditionalFormatting>
        <x14:conditionalFormatting xmlns:xm="http://schemas.microsoft.com/office/excel/2006/main">
          <x14:cfRule type="dataBar" id="{DF0D21D3-1D40-4BE7-BD64-99D741B55F99}">
            <x14:dataBar minLength="0" maxLength="100" border="1" negativeBarBorderColorSameAsPositive="0">
              <x14:cfvo type="autoMin"/>
              <x14:cfvo type="autoMax"/>
              <x14:borderColor rgb="FF63C384"/>
              <x14:negativeFillColor rgb="FFFF0000"/>
              <x14:negativeBorderColor rgb="FFFF0000"/>
              <x14:axisColor rgb="FF000000"/>
            </x14:dataBar>
          </x14:cfRule>
          <xm:sqref>AG92</xm:sqref>
        </x14:conditionalFormatting>
        <x14:conditionalFormatting xmlns:xm="http://schemas.microsoft.com/office/excel/2006/main">
          <x14:cfRule type="dataBar" id="{298056CB-09F7-438E-87C9-67F14537182B}">
            <x14:dataBar minLength="0" maxLength="100" border="1" negativeBarBorderColorSameAsPositive="0">
              <x14:cfvo type="autoMin"/>
              <x14:cfvo type="autoMax"/>
              <x14:borderColor rgb="FF63C384"/>
              <x14:negativeFillColor rgb="FFFF0000"/>
              <x14:negativeBorderColor rgb="FFFF0000"/>
              <x14:axisColor rgb="FF000000"/>
            </x14:dataBar>
          </x14:cfRule>
          <xm:sqref>AG92</xm:sqref>
        </x14:conditionalFormatting>
        <x14:conditionalFormatting xmlns:xm="http://schemas.microsoft.com/office/excel/2006/main">
          <x14:cfRule type="dataBar" id="{771A1AC1-1108-44E2-9A46-91A800745526}">
            <x14:dataBar minLength="0" maxLength="100" border="1" negativeBarBorderColorSameAsPositive="0">
              <x14:cfvo type="autoMin"/>
              <x14:cfvo type="autoMax"/>
              <x14:borderColor rgb="FF63C384"/>
              <x14:negativeFillColor rgb="FFFF0000"/>
              <x14:negativeBorderColor rgb="FFFF0000"/>
              <x14:axisColor rgb="FF000000"/>
            </x14:dataBar>
          </x14:cfRule>
          <xm:sqref>AG93</xm:sqref>
        </x14:conditionalFormatting>
        <x14:conditionalFormatting xmlns:xm="http://schemas.microsoft.com/office/excel/2006/main">
          <x14:cfRule type="dataBar" id="{D9E070E9-923F-49B2-91E9-5C8C93331D32}">
            <x14:dataBar minLength="0" maxLength="100" border="1" negativeBarBorderColorSameAsPositive="0">
              <x14:cfvo type="autoMin"/>
              <x14:cfvo type="autoMax"/>
              <x14:borderColor rgb="FF63C384"/>
              <x14:negativeFillColor rgb="FFFF0000"/>
              <x14:negativeBorderColor rgb="FFFF0000"/>
              <x14:axisColor rgb="FF000000"/>
            </x14:dataBar>
          </x14:cfRule>
          <xm:sqref>AG93</xm:sqref>
        </x14:conditionalFormatting>
        <x14:conditionalFormatting xmlns:xm="http://schemas.microsoft.com/office/excel/2006/main">
          <x14:cfRule type="dataBar" id="{991EF882-0E54-4198-B47F-16EAE62BEF0A}">
            <x14:dataBar minLength="0" maxLength="100" border="1" negativeBarBorderColorSameAsPositive="0">
              <x14:cfvo type="autoMin"/>
              <x14:cfvo type="autoMax"/>
              <x14:borderColor rgb="FF63C384"/>
              <x14:negativeFillColor rgb="FFFF0000"/>
              <x14:negativeBorderColor rgb="FFFF0000"/>
              <x14:axisColor rgb="FF000000"/>
            </x14:dataBar>
          </x14:cfRule>
          <xm:sqref>AG94</xm:sqref>
        </x14:conditionalFormatting>
        <x14:conditionalFormatting xmlns:xm="http://schemas.microsoft.com/office/excel/2006/main">
          <x14:cfRule type="dataBar" id="{5E44D809-0712-4A6D-A1D0-DB3EDD66F231}">
            <x14:dataBar minLength="0" maxLength="100" border="1" negativeBarBorderColorSameAsPositive="0">
              <x14:cfvo type="autoMin"/>
              <x14:cfvo type="autoMax"/>
              <x14:borderColor rgb="FF63C384"/>
              <x14:negativeFillColor rgb="FFFF0000"/>
              <x14:negativeBorderColor rgb="FFFF0000"/>
              <x14:axisColor rgb="FF000000"/>
            </x14:dataBar>
          </x14:cfRule>
          <xm:sqref>AG94</xm:sqref>
        </x14:conditionalFormatting>
        <x14:conditionalFormatting xmlns:xm="http://schemas.microsoft.com/office/excel/2006/main">
          <x14:cfRule type="dataBar" id="{8662C10F-048A-445F-87E2-0A0A82C99ADA}">
            <x14:dataBar minLength="0" maxLength="100" border="1" negativeBarBorderColorSameAsPositive="0">
              <x14:cfvo type="autoMin"/>
              <x14:cfvo type="autoMax"/>
              <x14:borderColor rgb="FF63C384"/>
              <x14:negativeFillColor rgb="FFFF0000"/>
              <x14:negativeBorderColor rgb="FFFF0000"/>
              <x14:axisColor rgb="FF000000"/>
            </x14:dataBar>
          </x14:cfRule>
          <xm:sqref>AG95</xm:sqref>
        </x14:conditionalFormatting>
        <x14:conditionalFormatting xmlns:xm="http://schemas.microsoft.com/office/excel/2006/main">
          <x14:cfRule type="dataBar" id="{8329DA8D-8C31-4AB7-98E7-AC24FF07693D}">
            <x14:dataBar minLength="0" maxLength="100" border="1" negativeBarBorderColorSameAsPositive="0">
              <x14:cfvo type="autoMin"/>
              <x14:cfvo type="autoMax"/>
              <x14:borderColor rgb="FF63C384"/>
              <x14:negativeFillColor rgb="FFFF0000"/>
              <x14:negativeBorderColor rgb="FFFF0000"/>
              <x14:axisColor rgb="FF000000"/>
            </x14:dataBar>
          </x14:cfRule>
          <xm:sqref>AG95</xm:sqref>
        </x14:conditionalFormatting>
        <x14:conditionalFormatting xmlns:xm="http://schemas.microsoft.com/office/excel/2006/main">
          <x14:cfRule type="dataBar" id="{195EB052-2848-4EDD-842F-00767CB46AA9}">
            <x14:dataBar minLength="0" maxLength="100" border="1" negativeBarBorderColorSameAsPositive="0">
              <x14:cfvo type="autoMin"/>
              <x14:cfvo type="autoMax"/>
              <x14:borderColor rgb="FF63C384"/>
              <x14:negativeFillColor rgb="FFFF0000"/>
              <x14:negativeBorderColor rgb="FFFF0000"/>
              <x14:axisColor rgb="FF000000"/>
            </x14:dataBar>
          </x14:cfRule>
          <xm:sqref>AG96</xm:sqref>
        </x14:conditionalFormatting>
        <x14:conditionalFormatting xmlns:xm="http://schemas.microsoft.com/office/excel/2006/main">
          <x14:cfRule type="dataBar" id="{1B66ED30-CC74-402D-9178-EB3B71CE4F45}">
            <x14:dataBar minLength="0" maxLength="100" border="1" negativeBarBorderColorSameAsPositive="0">
              <x14:cfvo type="autoMin"/>
              <x14:cfvo type="autoMax"/>
              <x14:borderColor rgb="FF63C384"/>
              <x14:negativeFillColor rgb="FFFF0000"/>
              <x14:negativeBorderColor rgb="FFFF0000"/>
              <x14:axisColor rgb="FF000000"/>
            </x14:dataBar>
          </x14:cfRule>
          <xm:sqref>AG96</xm:sqref>
        </x14:conditionalFormatting>
        <x14:conditionalFormatting xmlns:xm="http://schemas.microsoft.com/office/excel/2006/main">
          <x14:cfRule type="dataBar" id="{F0B24BA2-B384-4866-9BD5-9C18B487F01D}">
            <x14:dataBar minLength="0" maxLength="100" border="1" negativeBarBorderColorSameAsPositive="0">
              <x14:cfvo type="autoMin"/>
              <x14:cfvo type="autoMax"/>
              <x14:borderColor rgb="FF63C384"/>
              <x14:negativeFillColor rgb="FFFF0000"/>
              <x14:negativeBorderColor rgb="FFFF0000"/>
              <x14:axisColor rgb="FF000000"/>
            </x14:dataBar>
          </x14:cfRule>
          <xm:sqref>AG97</xm:sqref>
        </x14:conditionalFormatting>
        <x14:conditionalFormatting xmlns:xm="http://schemas.microsoft.com/office/excel/2006/main">
          <x14:cfRule type="dataBar" id="{5BE87DFB-2E69-4511-8E7E-43AD8F903EDF}">
            <x14:dataBar minLength="0" maxLength="100" border="1" negativeBarBorderColorSameAsPositive="0">
              <x14:cfvo type="autoMin"/>
              <x14:cfvo type="autoMax"/>
              <x14:borderColor rgb="FF63C384"/>
              <x14:negativeFillColor rgb="FFFF0000"/>
              <x14:negativeBorderColor rgb="FFFF0000"/>
              <x14:axisColor rgb="FF000000"/>
            </x14:dataBar>
          </x14:cfRule>
          <xm:sqref>AG97</xm:sqref>
        </x14:conditionalFormatting>
        <x14:conditionalFormatting xmlns:xm="http://schemas.microsoft.com/office/excel/2006/main">
          <x14:cfRule type="dataBar" id="{FB8BF17B-52E1-47EF-8F92-A7415F8F8058}">
            <x14:dataBar minLength="0" maxLength="100" border="1" negativeBarBorderColorSameAsPositive="0">
              <x14:cfvo type="autoMin"/>
              <x14:cfvo type="autoMax"/>
              <x14:borderColor rgb="FF63C384"/>
              <x14:negativeFillColor rgb="FFFF0000"/>
              <x14:negativeBorderColor rgb="FFFF0000"/>
              <x14:axisColor rgb="FF000000"/>
            </x14:dataBar>
          </x14:cfRule>
          <xm:sqref>AG98</xm:sqref>
        </x14:conditionalFormatting>
        <x14:conditionalFormatting xmlns:xm="http://schemas.microsoft.com/office/excel/2006/main">
          <x14:cfRule type="dataBar" id="{1A1D8FC3-4DA3-4F94-99F2-A24CA687F39E}">
            <x14:dataBar minLength="0" maxLength="100" border="1" negativeBarBorderColorSameAsPositive="0">
              <x14:cfvo type="autoMin"/>
              <x14:cfvo type="autoMax"/>
              <x14:borderColor rgb="FF63C384"/>
              <x14:negativeFillColor rgb="FFFF0000"/>
              <x14:negativeBorderColor rgb="FFFF0000"/>
              <x14:axisColor rgb="FF000000"/>
            </x14:dataBar>
          </x14:cfRule>
          <xm:sqref>AG98</xm:sqref>
        </x14:conditionalFormatting>
        <x14:conditionalFormatting xmlns:xm="http://schemas.microsoft.com/office/excel/2006/main">
          <x14:cfRule type="dataBar" id="{25E6CC77-DF8F-446C-89C2-7EFC0BB44C13}">
            <x14:dataBar minLength="0" maxLength="100" border="1" negativeBarBorderColorSameAsPositive="0">
              <x14:cfvo type="autoMin"/>
              <x14:cfvo type="autoMax"/>
              <x14:borderColor rgb="FF63C384"/>
              <x14:negativeFillColor rgb="FFFF0000"/>
              <x14:negativeBorderColor rgb="FFFF0000"/>
              <x14:axisColor rgb="FF000000"/>
            </x14:dataBar>
          </x14:cfRule>
          <xm:sqref>AG99</xm:sqref>
        </x14:conditionalFormatting>
        <x14:conditionalFormatting xmlns:xm="http://schemas.microsoft.com/office/excel/2006/main">
          <x14:cfRule type="dataBar" id="{645C188C-0995-4337-AD71-C0071425EA84}">
            <x14:dataBar minLength="0" maxLength="100" border="1" negativeBarBorderColorSameAsPositive="0">
              <x14:cfvo type="autoMin"/>
              <x14:cfvo type="autoMax"/>
              <x14:borderColor rgb="FF63C384"/>
              <x14:negativeFillColor rgb="FFFF0000"/>
              <x14:negativeBorderColor rgb="FFFF0000"/>
              <x14:axisColor rgb="FF000000"/>
            </x14:dataBar>
          </x14:cfRule>
          <xm:sqref>AG99</xm:sqref>
        </x14:conditionalFormatting>
        <x14:conditionalFormatting xmlns:xm="http://schemas.microsoft.com/office/excel/2006/main">
          <x14:cfRule type="dataBar" id="{1B8D95FD-3A7D-4D38-99DE-D682E535ED13}">
            <x14:dataBar minLength="0" maxLength="100" border="1" negativeBarBorderColorSameAsPositive="0">
              <x14:cfvo type="autoMin"/>
              <x14:cfvo type="autoMax"/>
              <x14:borderColor rgb="FF63C384"/>
              <x14:negativeFillColor rgb="FFFF0000"/>
              <x14:negativeBorderColor rgb="FFFF0000"/>
              <x14:axisColor rgb="FF000000"/>
            </x14:dataBar>
          </x14:cfRule>
          <xm:sqref>AG100</xm:sqref>
        </x14:conditionalFormatting>
        <x14:conditionalFormatting xmlns:xm="http://schemas.microsoft.com/office/excel/2006/main">
          <x14:cfRule type="dataBar" id="{FA0DEC98-9C2C-4823-8F9E-12EA257DA98E}">
            <x14:dataBar minLength="0" maxLength="100" border="1" negativeBarBorderColorSameAsPositive="0">
              <x14:cfvo type="autoMin"/>
              <x14:cfvo type="autoMax"/>
              <x14:borderColor rgb="FF63C384"/>
              <x14:negativeFillColor rgb="FFFF0000"/>
              <x14:negativeBorderColor rgb="FFFF0000"/>
              <x14:axisColor rgb="FF000000"/>
            </x14:dataBar>
          </x14:cfRule>
          <xm:sqref>AG100</xm:sqref>
        </x14:conditionalFormatting>
        <x14:conditionalFormatting xmlns:xm="http://schemas.microsoft.com/office/excel/2006/main">
          <x14:cfRule type="dataBar" id="{C6DBA153-B911-471C-8410-4FEB9816A468}">
            <x14:dataBar minLength="0" maxLength="100" border="1" negativeBarBorderColorSameAsPositive="0">
              <x14:cfvo type="autoMin"/>
              <x14:cfvo type="autoMax"/>
              <x14:borderColor rgb="FF63C384"/>
              <x14:negativeFillColor rgb="FFFF0000"/>
              <x14:negativeBorderColor rgb="FFFF0000"/>
              <x14:axisColor rgb="FF000000"/>
            </x14:dataBar>
          </x14:cfRule>
          <xm:sqref>AG101</xm:sqref>
        </x14:conditionalFormatting>
        <x14:conditionalFormatting xmlns:xm="http://schemas.microsoft.com/office/excel/2006/main">
          <x14:cfRule type="dataBar" id="{A1D1AD68-81D3-4AF7-ADEB-B1D7EF5BA3DA}">
            <x14:dataBar minLength="0" maxLength="100" border="1" negativeBarBorderColorSameAsPositive="0">
              <x14:cfvo type="autoMin"/>
              <x14:cfvo type="autoMax"/>
              <x14:borderColor rgb="FF63C384"/>
              <x14:negativeFillColor rgb="FFFF0000"/>
              <x14:negativeBorderColor rgb="FFFF0000"/>
              <x14:axisColor rgb="FF000000"/>
            </x14:dataBar>
          </x14:cfRule>
          <xm:sqref>AG101</xm:sqref>
        </x14:conditionalFormatting>
        <x14:conditionalFormatting xmlns:xm="http://schemas.microsoft.com/office/excel/2006/main">
          <x14:cfRule type="dataBar" id="{3B25FFB7-4DE3-41CD-A6F8-CA0F4A60FF3B}">
            <x14:dataBar minLength="0" maxLength="100" border="1" negativeBarBorderColorSameAsPositive="0">
              <x14:cfvo type="autoMin"/>
              <x14:cfvo type="autoMax"/>
              <x14:borderColor rgb="FF63C384"/>
              <x14:negativeFillColor rgb="FFFF0000"/>
              <x14:negativeBorderColor rgb="FFFF0000"/>
              <x14:axisColor rgb="FF000000"/>
            </x14:dataBar>
          </x14:cfRule>
          <xm:sqref>AG102</xm:sqref>
        </x14:conditionalFormatting>
        <x14:conditionalFormatting xmlns:xm="http://schemas.microsoft.com/office/excel/2006/main">
          <x14:cfRule type="dataBar" id="{53E92983-3CB3-471C-AFF3-E1E3D820DDF7}">
            <x14:dataBar minLength="0" maxLength="100" border="1" negativeBarBorderColorSameAsPositive="0">
              <x14:cfvo type="autoMin"/>
              <x14:cfvo type="autoMax"/>
              <x14:borderColor rgb="FF63C384"/>
              <x14:negativeFillColor rgb="FFFF0000"/>
              <x14:negativeBorderColor rgb="FFFF0000"/>
              <x14:axisColor rgb="FF000000"/>
            </x14:dataBar>
          </x14:cfRule>
          <xm:sqref>AG102</xm:sqref>
        </x14:conditionalFormatting>
        <x14:conditionalFormatting xmlns:xm="http://schemas.microsoft.com/office/excel/2006/main">
          <x14:cfRule type="dataBar" id="{8A5231F1-867C-45BD-A53E-61263E954964}">
            <x14:dataBar minLength="0" maxLength="100" border="1" negativeBarBorderColorSameAsPositive="0">
              <x14:cfvo type="autoMin"/>
              <x14:cfvo type="autoMax"/>
              <x14:borderColor rgb="FF63C384"/>
              <x14:negativeFillColor rgb="FFFF0000"/>
              <x14:negativeBorderColor rgb="FFFF0000"/>
              <x14:axisColor rgb="FF000000"/>
            </x14:dataBar>
          </x14:cfRule>
          <xm:sqref>AG103</xm:sqref>
        </x14:conditionalFormatting>
        <x14:conditionalFormatting xmlns:xm="http://schemas.microsoft.com/office/excel/2006/main">
          <x14:cfRule type="dataBar" id="{2D58C48B-FAFA-4FEA-ABF3-29D2CD29906B}">
            <x14:dataBar minLength="0" maxLength="100" border="1" negativeBarBorderColorSameAsPositive="0">
              <x14:cfvo type="autoMin"/>
              <x14:cfvo type="autoMax"/>
              <x14:borderColor rgb="FF63C384"/>
              <x14:negativeFillColor rgb="FFFF0000"/>
              <x14:negativeBorderColor rgb="FFFF0000"/>
              <x14:axisColor rgb="FF000000"/>
            </x14:dataBar>
          </x14:cfRule>
          <xm:sqref>AG103</xm:sqref>
        </x14:conditionalFormatting>
        <x14:conditionalFormatting xmlns:xm="http://schemas.microsoft.com/office/excel/2006/main">
          <x14:cfRule type="dataBar" id="{2F08C12B-7BFD-489E-85D8-95D10D8C77E0}">
            <x14:dataBar minLength="0" maxLength="100" border="1" negativeBarBorderColorSameAsPositive="0">
              <x14:cfvo type="autoMin"/>
              <x14:cfvo type="autoMax"/>
              <x14:borderColor rgb="FF63C384"/>
              <x14:negativeFillColor rgb="FFFF0000"/>
              <x14:negativeBorderColor rgb="FFFF0000"/>
              <x14:axisColor rgb="FF000000"/>
            </x14:dataBar>
          </x14:cfRule>
          <xm:sqref>AG104</xm:sqref>
        </x14:conditionalFormatting>
        <x14:conditionalFormatting xmlns:xm="http://schemas.microsoft.com/office/excel/2006/main">
          <x14:cfRule type="dataBar" id="{7CDD95EF-8F08-4842-83FB-7B847AB46090}">
            <x14:dataBar minLength="0" maxLength="100" border="1" negativeBarBorderColorSameAsPositive="0">
              <x14:cfvo type="autoMin"/>
              <x14:cfvo type="autoMax"/>
              <x14:borderColor rgb="FF63C384"/>
              <x14:negativeFillColor rgb="FFFF0000"/>
              <x14:negativeBorderColor rgb="FFFF0000"/>
              <x14:axisColor rgb="FF000000"/>
            </x14:dataBar>
          </x14:cfRule>
          <xm:sqref>AG104</xm:sqref>
        </x14:conditionalFormatting>
        <x14:conditionalFormatting xmlns:xm="http://schemas.microsoft.com/office/excel/2006/main">
          <x14:cfRule type="dataBar" id="{1CB1BBDE-1F6F-4832-8D4D-9318FF677868}">
            <x14:dataBar minLength="0" maxLength="100" border="1" negativeBarBorderColorSameAsPositive="0">
              <x14:cfvo type="autoMin"/>
              <x14:cfvo type="autoMax"/>
              <x14:borderColor rgb="FF63C384"/>
              <x14:negativeFillColor rgb="FFFF0000"/>
              <x14:negativeBorderColor rgb="FFFF0000"/>
              <x14:axisColor rgb="FF000000"/>
            </x14:dataBar>
          </x14:cfRule>
          <xm:sqref>AG105</xm:sqref>
        </x14:conditionalFormatting>
        <x14:conditionalFormatting xmlns:xm="http://schemas.microsoft.com/office/excel/2006/main">
          <x14:cfRule type="dataBar" id="{12F714FB-0E7B-4C17-852B-24DAE0C59046}">
            <x14:dataBar minLength="0" maxLength="100" border="1" negativeBarBorderColorSameAsPositive="0">
              <x14:cfvo type="autoMin"/>
              <x14:cfvo type="autoMax"/>
              <x14:borderColor rgb="FF63C384"/>
              <x14:negativeFillColor rgb="FFFF0000"/>
              <x14:negativeBorderColor rgb="FFFF0000"/>
              <x14:axisColor rgb="FF000000"/>
            </x14:dataBar>
          </x14:cfRule>
          <xm:sqref>AG105</xm:sqref>
        </x14:conditionalFormatting>
        <x14:conditionalFormatting xmlns:xm="http://schemas.microsoft.com/office/excel/2006/main">
          <x14:cfRule type="dataBar" id="{8446474B-AC02-4BF0-9160-D57E75E4A4EE}">
            <x14:dataBar minLength="0" maxLength="100" border="1" negativeBarBorderColorSameAsPositive="0">
              <x14:cfvo type="autoMin"/>
              <x14:cfvo type="autoMax"/>
              <x14:borderColor rgb="FF63C384"/>
              <x14:negativeFillColor rgb="FFFF0000"/>
              <x14:negativeBorderColor rgb="FFFF0000"/>
              <x14:axisColor rgb="FF000000"/>
            </x14:dataBar>
          </x14:cfRule>
          <xm:sqref>AG106</xm:sqref>
        </x14:conditionalFormatting>
        <x14:conditionalFormatting xmlns:xm="http://schemas.microsoft.com/office/excel/2006/main">
          <x14:cfRule type="dataBar" id="{C9267750-D9B5-45CF-B15F-F601EFDC0DAC}">
            <x14:dataBar minLength="0" maxLength="100" border="1" negativeBarBorderColorSameAsPositive="0">
              <x14:cfvo type="autoMin"/>
              <x14:cfvo type="autoMax"/>
              <x14:borderColor rgb="FF63C384"/>
              <x14:negativeFillColor rgb="FFFF0000"/>
              <x14:negativeBorderColor rgb="FFFF0000"/>
              <x14:axisColor rgb="FF000000"/>
            </x14:dataBar>
          </x14:cfRule>
          <xm:sqref>AG106</xm:sqref>
        </x14:conditionalFormatting>
        <x14:conditionalFormatting xmlns:xm="http://schemas.microsoft.com/office/excel/2006/main">
          <x14:cfRule type="dataBar" id="{F2F94E12-514D-4E0C-A53F-36422EC83079}">
            <x14:dataBar minLength="0" maxLength="100" border="1" negativeBarBorderColorSameAsPositive="0">
              <x14:cfvo type="autoMin"/>
              <x14:cfvo type="autoMax"/>
              <x14:borderColor rgb="FF63C384"/>
              <x14:negativeFillColor rgb="FFFF0000"/>
              <x14:negativeBorderColor rgb="FFFF0000"/>
              <x14:axisColor rgb="FF000000"/>
            </x14:dataBar>
          </x14:cfRule>
          <xm:sqref>AG107</xm:sqref>
        </x14:conditionalFormatting>
        <x14:conditionalFormatting xmlns:xm="http://schemas.microsoft.com/office/excel/2006/main">
          <x14:cfRule type="dataBar" id="{E8ABC355-3E1C-470F-BFCA-8238F2A1C045}">
            <x14:dataBar minLength="0" maxLength="100" border="1" negativeBarBorderColorSameAsPositive="0">
              <x14:cfvo type="autoMin"/>
              <x14:cfvo type="autoMax"/>
              <x14:borderColor rgb="FF63C384"/>
              <x14:negativeFillColor rgb="FFFF0000"/>
              <x14:negativeBorderColor rgb="FFFF0000"/>
              <x14:axisColor rgb="FF000000"/>
            </x14:dataBar>
          </x14:cfRule>
          <xm:sqref>AG107</xm:sqref>
        </x14:conditionalFormatting>
        <x14:conditionalFormatting xmlns:xm="http://schemas.microsoft.com/office/excel/2006/main">
          <x14:cfRule type="dataBar" id="{548ECDFE-7E0B-4CCE-9D41-4916111F4CBC}">
            <x14:dataBar minLength="0" maxLength="100" border="1" negativeBarBorderColorSameAsPositive="0">
              <x14:cfvo type="autoMin"/>
              <x14:cfvo type="autoMax"/>
              <x14:borderColor rgb="FF63C384"/>
              <x14:negativeFillColor rgb="FFFF0000"/>
              <x14:negativeBorderColor rgb="FFFF0000"/>
              <x14:axisColor rgb="FF000000"/>
            </x14:dataBar>
          </x14:cfRule>
          <xm:sqref>AG108</xm:sqref>
        </x14:conditionalFormatting>
        <x14:conditionalFormatting xmlns:xm="http://schemas.microsoft.com/office/excel/2006/main">
          <x14:cfRule type="dataBar" id="{0CE5A07A-8DA0-4B71-BC32-2E340847E223}">
            <x14:dataBar minLength="0" maxLength="100" border="1" negativeBarBorderColorSameAsPositive="0">
              <x14:cfvo type="autoMin"/>
              <x14:cfvo type="autoMax"/>
              <x14:borderColor rgb="FF63C384"/>
              <x14:negativeFillColor rgb="FFFF0000"/>
              <x14:negativeBorderColor rgb="FFFF0000"/>
              <x14:axisColor rgb="FF000000"/>
            </x14:dataBar>
          </x14:cfRule>
          <xm:sqref>AG108</xm:sqref>
        </x14:conditionalFormatting>
        <x14:conditionalFormatting xmlns:xm="http://schemas.microsoft.com/office/excel/2006/main">
          <x14:cfRule type="dataBar" id="{499281DB-8693-4ACF-B191-CD5C5CABAA30}">
            <x14:dataBar minLength="0" maxLength="100" border="1" negativeBarBorderColorSameAsPositive="0">
              <x14:cfvo type="autoMin"/>
              <x14:cfvo type="autoMax"/>
              <x14:borderColor rgb="FF63C384"/>
              <x14:negativeFillColor rgb="FFFF0000"/>
              <x14:negativeBorderColor rgb="FFFF0000"/>
              <x14:axisColor rgb="FF000000"/>
            </x14:dataBar>
          </x14:cfRule>
          <xm:sqref>AG109</xm:sqref>
        </x14:conditionalFormatting>
        <x14:conditionalFormatting xmlns:xm="http://schemas.microsoft.com/office/excel/2006/main">
          <x14:cfRule type="dataBar" id="{4929E15F-DDBC-42D0-8A85-61DA0203AB45}">
            <x14:dataBar minLength="0" maxLength="100" border="1" negativeBarBorderColorSameAsPositive="0">
              <x14:cfvo type="autoMin"/>
              <x14:cfvo type="autoMax"/>
              <x14:borderColor rgb="FF63C384"/>
              <x14:negativeFillColor rgb="FFFF0000"/>
              <x14:negativeBorderColor rgb="FFFF0000"/>
              <x14:axisColor rgb="FF000000"/>
            </x14:dataBar>
          </x14:cfRule>
          <xm:sqref>AG109</xm:sqref>
        </x14:conditionalFormatting>
        <x14:conditionalFormatting xmlns:xm="http://schemas.microsoft.com/office/excel/2006/main">
          <x14:cfRule type="dataBar" id="{FBD9F564-3EA3-4721-814E-B399FE60B226}">
            <x14:dataBar minLength="0" maxLength="100" border="1" negativeBarBorderColorSameAsPositive="0">
              <x14:cfvo type="autoMin"/>
              <x14:cfvo type="autoMax"/>
              <x14:borderColor rgb="FF63C384"/>
              <x14:negativeFillColor rgb="FFFF0000"/>
              <x14:negativeBorderColor rgb="FFFF0000"/>
              <x14:axisColor rgb="FF000000"/>
            </x14:dataBar>
          </x14:cfRule>
          <xm:sqref>AG110</xm:sqref>
        </x14:conditionalFormatting>
        <x14:conditionalFormatting xmlns:xm="http://schemas.microsoft.com/office/excel/2006/main">
          <x14:cfRule type="dataBar" id="{C88A4120-82D9-4C3D-99B5-4EFDB5D26844}">
            <x14:dataBar minLength="0" maxLength="100" border="1" negativeBarBorderColorSameAsPositive="0">
              <x14:cfvo type="autoMin"/>
              <x14:cfvo type="autoMax"/>
              <x14:borderColor rgb="FF63C384"/>
              <x14:negativeFillColor rgb="FFFF0000"/>
              <x14:negativeBorderColor rgb="FFFF0000"/>
              <x14:axisColor rgb="FF000000"/>
            </x14:dataBar>
          </x14:cfRule>
          <xm:sqref>AG110</xm:sqref>
        </x14:conditionalFormatting>
        <x14:conditionalFormatting xmlns:xm="http://schemas.microsoft.com/office/excel/2006/main">
          <x14:cfRule type="dataBar" id="{C9E883CB-F693-4F70-B879-60780FB1D890}">
            <x14:dataBar minLength="0" maxLength="100" border="1" negativeBarBorderColorSameAsPositive="0">
              <x14:cfvo type="autoMin"/>
              <x14:cfvo type="autoMax"/>
              <x14:borderColor rgb="FF63C384"/>
              <x14:negativeFillColor rgb="FFFF0000"/>
              <x14:negativeBorderColor rgb="FFFF0000"/>
              <x14:axisColor rgb="FF000000"/>
            </x14:dataBar>
          </x14:cfRule>
          <xm:sqref>AG111</xm:sqref>
        </x14:conditionalFormatting>
        <x14:conditionalFormatting xmlns:xm="http://schemas.microsoft.com/office/excel/2006/main">
          <x14:cfRule type="dataBar" id="{1F1B3D8E-3A92-42F0-89B2-153074A8F4D6}">
            <x14:dataBar minLength="0" maxLength="100" border="1" negativeBarBorderColorSameAsPositive="0">
              <x14:cfvo type="autoMin"/>
              <x14:cfvo type="autoMax"/>
              <x14:borderColor rgb="FF63C384"/>
              <x14:negativeFillColor rgb="FFFF0000"/>
              <x14:negativeBorderColor rgb="FFFF0000"/>
              <x14:axisColor rgb="FF000000"/>
            </x14:dataBar>
          </x14:cfRule>
          <xm:sqref>AG111</xm:sqref>
        </x14:conditionalFormatting>
        <x14:conditionalFormatting xmlns:xm="http://schemas.microsoft.com/office/excel/2006/main">
          <x14:cfRule type="dataBar" id="{82BC0436-079B-4B84-8D14-B06994F91058}">
            <x14:dataBar minLength="0" maxLength="100" border="1" negativeBarBorderColorSameAsPositive="0">
              <x14:cfvo type="autoMin"/>
              <x14:cfvo type="autoMax"/>
              <x14:borderColor rgb="FF63C384"/>
              <x14:negativeFillColor rgb="FFFF0000"/>
              <x14:negativeBorderColor rgb="FFFF0000"/>
              <x14:axisColor rgb="FF000000"/>
            </x14:dataBar>
          </x14:cfRule>
          <xm:sqref>AG112</xm:sqref>
        </x14:conditionalFormatting>
        <x14:conditionalFormatting xmlns:xm="http://schemas.microsoft.com/office/excel/2006/main">
          <x14:cfRule type="dataBar" id="{3DA8A47D-A453-484A-9C03-B80F8A33A09D}">
            <x14:dataBar minLength="0" maxLength="100" border="1" negativeBarBorderColorSameAsPositive="0">
              <x14:cfvo type="autoMin"/>
              <x14:cfvo type="autoMax"/>
              <x14:borderColor rgb="FF63C384"/>
              <x14:negativeFillColor rgb="FFFF0000"/>
              <x14:negativeBorderColor rgb="FFFF0000"/>
              <x14:axisColor rgb="FF000000"/>
            </x14:dataBar>
          </x14:cfRule>
          <xm:sqref>AG112</xm:sqref>
        </x14:conditionalFormatting>
        <x14:conditionalFormatting xmlns:xm="http://schemas.microsoft.com/office/excel/2006/main">
          <x14:cfRule type="dataBar" id="{CF4AB431-8D98-4954-A349-349056FA0758}">
            <x14:dataBar minLength="0" maxLength="100" border="1" negativeBarBorderColorSameAsPositive="0">
              <x14:cfvo type="autoMin"/>
              <x14:cfvo type="autoMax"/>
              <x14:borderColor rgb="FF63C384"/>
              <x14:negativeFillColor rgb="FFFF0000"/>
              <x14:negativeBorderColor rgb="FFFF0000"/>
              <x14:axisColor rgb="FF000000"/>
            </x14:dataBar>
          </x14:cfRule>
          <xm:sqref>AG113</xm:sqref>
        </x14:conditionalFormatting>
        <x14:conditionalFormatting xmlns:xm="http://schemas.microsoft.com/office/excel/2006/main">
          <x14:cfRule type="dataBar" id="{73D63559-F820-40ED-8980-A143AB22152C}">
            <x14:dataBar minLength="0" maxLength="100" border="1" negativeBarBorderColorSameAsPositive="0">
              <x14:cfvo type="autoMin"/>
              <x14:cfvo type="autoMax"/>
              <x14:borderColor rgb="FF63C384"/>
              <x14:negativeFillColor rgb="FFFF0000"/>
              <x14:negativeBorderColor rgb="FFFF0000"/>
              <x14:axisColor rgb="FF000000"/>
            </x14:dataBar>
          </x14:cfRule>
          <xm:sqref>AG113</xm:sqref>
        </x14:conditionalFormatting>
        <x14:conditionalFormatting xmlns:xm="http://schemas.microsoft.com/office/excel/2006/main">
          <x14:cfRule type="dataBar" id="{593FA3F9-4B53-43FA-8A06-273D8EC43C55}">
            <x14:dataBar minLength="0" maxLength="100" border="1" negativeBarBorderColorSameAsPositive="0">
              <x14:cfvo type="autoMin"/>
              <x14:cfvo type="autoMax"/>
              <x14:borderColor rgb="FF63C384"/>
              <x14:negativeFillColor rgb="FFFF0000"/>
              <x14:negativeBorderColor rgb="FFFF0000"/>
              <x14:axisColor rgb="FF000000"/>
            </x14:dataBar>
          </x14:cfRule>
          <xm:sqref>AG114</xm:sqref>
        </x14:conditionalFormatting>
        <x14:conditionalFormatting xmlns:xm="http://schemas.microsoft.com/office/excel/2006/main">
          <x14:cfRule type="dataBar" id="{0F6CDCBD-0A44-4DE1-8095-2FD3D1D41361}">
            <x14:dataBar minLength="0" maxLength="100" border="1" negativeBarBorderColorSameAsPositive="0">
              <x14:cfvo type="autoMin"/>
              <x14:cfvo type="autoMax"/>
              <x14:borderColor rgb="FF63C384"/>
              <x14:negativeFillColor rgb="FFFF0000"/>
              <x14:negativeBorderColor rgb="FFFF0000"/>
              <x14:axisColor rgb="FF000000"/>
            </x14:dataBar>
          </x14:cfRule>
          <xm:sqref>AG114</xm:sqref>
        </x14:conditionalFormatting>
        <x14:conditionalFormatting xmlns:xm="http://schemas.microsoft.com/office/excel/2006/main">
          <x14:cfRule type="dataBar" id="{CF48D17D-312C-4F28-A69D-FB1772B50C1B}">
            <x14:dataBar minLength="0" maxLength="100" border="1" negativeBarBorderColorSameAsPositive="0">
              <x14:cfvo type="autoMin"/>
              <x14:cfvo type="autoMax"/>
              <x14:borderColor rgb="FF63C384"/>
              <x14:negativeFillColor rgb="FFFF0000"/>
              <x14:negativeBorderColor rgb="FFFF0000"/>
              <x14:axisColor rgb="FF000000"/>
            </x14:dataBar>
          </x14:cfRule>
          <xm:sqref>AG115</xm:sqref>
        </x14:conditionalFormatting>
        <x14:conditionalFormatting xmlns:xm="http://schemas.microsoft.com/office/excel/2006/main">
          <x14:cfRule type="dataBar" id="{2D775385-86F0-4534-872E-FAD43619B7C5}">
            <x14:dataBar minLength="0" maxLength="100" border="1" negativeBarBorderColorSameAsPositive="0">
              <x14:cfvo type="autoMin"/>
              <x14:cfvo type="autoMax"/>
              <x14:borderColor rgb="FF63C384"/>
              <x14:negativeFillColor rgb="FFFF0000"/>
              <x14:negativeBorderColor rgb="FFFF0000"/>
              <x14:axisColor rgb="FF000000"/>
            </x14:dataBar>
          </x14:cfRule>
          <xm:sqref>AG115</xm:sqref>
        </x14:conditionalFormatting>
        <x14:conditionalFormatting xmlns:xm="http://schemas.microsoft.com/office/excel/2006/main">
          <x14:cfRule type="dataBar" id="{E336213C-CD8D-48A2-B820-E1A6F970A911}">
            <x14:dataBar minLength="0" maxLength="100" border="1" negativeBarBorderColorSameAsPositive="0">
              <x14:cfvo type="autoMin"/>
              <x14:cfvo type="autoMax"/>
              <x14:borderColor rgb="FF63C384"/>
              <x14:negativeFillColor rgb="FFFF0000"/>
              <x14:negativeBorderColor rgb="FFFF0000"/>
              <x14:axisColor rgb="FF000000"/>
            </x14:dataBar>
          </x14:cfRule>
          <xm:sqref>AG116</xm:sqref>
        </x14:conditionalFormatting>
        <x14:conditionalFormatting xmlns:xm="http://schemas.microsoft.com/office/excel/2006/main">
          <x14:cfRule type="dataBar" id="{63EB7DDE-E2F3-40D0-A92D-371E1489561E}">
            <x14:dataBar minLength="0" maxLength="100" border="1" negativeBarBorderColorSameAsPositive="0">
              <x14:cfvo type="autoMin"/>
              <x14:cfvo type="autoMax"/>
              <x14:borderColor rgb="FF63C384"/>
              <x14:negativeFillColor rgb="FFFF0000"/>
              <x14:negativeBorderColor rgb="FFFF0000"/>
              <x14:axisColor rgb="FF000000"/>
            </x14:dataBar>
          </x14:cfRule>
          <xm:sqref>AG116</xm:sqref>
        </x14:conditionalFormatting>
        <x14:conditionalFormatting xmlns:xm="http://schemas.microsoft.com/office/excel/2006/main">
          <x14:cfRule type="dataBar" id="{618F291E-77DE-45B2-96C3-64BFC5F31810}">
            <x14:dataBar minLength="0" maxLength="100" border="1" negativeBarBorderColorSameAsPositive="0">
              <x14:cfvo type="autoMin"/>
              <x14:cfvo type="autoMax"/>
              <x14:borderColor rgb="FF63C384"/>
              <x14:negativeFillColor rgb="FFFF0000"/>
              <x14:negativeBorderColor rgb="FFFF0000"/>
              <x14:axisColor rgb="FF000000"/>
            </x14:dataBar>
          </x14:cfRule>
          <xm:sqref>AG117</xm:sqref>
        </x14:conditionalFormatting>
        <x14:conditionalFormatting xmlns:xm="http://schemas.microsoft.com/office/excel/2006/main">
          <x14:cfRule type="dataBar" id="{91757B14-5EC2-4EB3-9CEF-D5B18D381BD8}">
            <x14:dataBar minLength="0" maxLength="100" border="1" negativeBarBorderColorSameAsPositive="0">
              <x14:cfvo type="autoMin"/>
              <x14:cfvo type="autoMax"/>
              <x14:borderColor rgb="FF63C384"/>
              <x14:negativeFillColor rgb="FFFF0000"/>
              <x14:negativeBorderColor rgb="FFFF0000"/>
              <x14:axisColor rgb="FF000000"/>
            </x14:dataBar>
          </x14:cfRule>
          <xm:sqref>AG117</xm:sqref>
        </x14:conditionalFormatting>
        <x14:conditionalFormatting xmlns:xm="http://schemas.microsoft.com/office/excel/2006/main">
          <x14:cfRule type="dataBar" id="{0E1E6B08-866B-4DE8-AC7F-9BC7D2B85D9C}">
            <x14:dataBar minLength="0" maxLength="100" border="1" negativeBarBorderColorSameAsPositive="0">
              <x14:cfvo type="autoMin"/>
              <x14:cfvo type="autoMax"/>
              <x14:borderColor rgb="FF63C384"/>
              <x14:negativeFillColor rgb="FFFF0000"/>
              <x14:negativeBorderColor rgb="FFFF0000"/>
              <x14:axisColor rgb="FF000000"/>
            </x14:dataBar>
          </x14:cfRule>
          <xm:sqref>AG118</xm:sqref>
        </x14:conditionalFormatting>
        <x14:conditionalFormatting xmlns:xm="http://schemas.microsoft.com/office/excel/2006/main">
          <x14:cfRule type="dataBar" id="{49859003-38E1-40B1-AF99-9FE484FD03B9}">
            <x14:dataBar minLength="0" maxLength="100" border="1" negativeBarBorderColorSameAsPositive="0">
              <x14:cfvo type="autoMin"/>
              <x14:cfvo type="autoMax"/>
              <x14:borderColor rgb="FF63C384"/>
              <x14:negativeFillColor rgb="FFFF0000"/>
              <x14:negativeBorderColor rgb="FFFF0000"/>
              <x14:axisColor rgb="FF000000"/>
            </x14:dataBar>
          </x14:cfRule>
          <xm:sqref>AG119</xm:sqref>
        </x14:conditionalFormatting>
        <x14:conditionalFormatting xmlns:xm="http://schemas.microsoft.com/office/excel/2006/main">
          <x14:cfRule type="dataBar" id="{10F12765-B2B7-4647-A192-3264F14644F4}">
            <x14:dataBar minLength="0" maxLength="100" border="1" negativeBarBorderColorSameAsPositive="0">
              <x14:cfvo type="autoMin"/>
              <x14:cfvo type="autoMax"/>
              <x14:borderColor rgb="FF63C384"/>
              <x14:negativeFillColor rgb="FFFF0000"/>
              <x14:negativeBorderColor rgb="FFFF0000"/>
              <x14:axisColor rgb="FF000000"/>
            </x14:dataBar>
          </x14:cfRule>
          <xm:sqref>AG119</xm:sqref>
        </x14:conditionalFormatting>
        <x14:conditionalFormatting xmlns:xm="http://schemas.microsoft.com/office/excel/2006/main">
          <x14:cfRule type="dataBar" id="{6ADBA278-EF55-4352-8A5D-56E5F8614157}">
            <x14:dataBar minLength="0" maxLength="100" border="1" negativeBarBorderColorSameAsPositive="0">
              <x14:cfvo type="autoMin"/>
              <x14:cfvo type="autoMax"/>
              <x14:borderColor rgb="FF63C384"/>
              <x14:negativeFillColor rgb="FFFF0000"/>
              <x14:negativeBorderColor rgb="FFFF0000"/>
              <x14:axisColor rgb="FF000000"/>
            </x14:dataBar>
          </x14:cfRule>
          <xm:sqref>AG120</xm:sqref>
        </x14:conditionalFormatting>
        <x14:conditionalFormatting xmlns:xm="http://schemas.microsoft.com/office/excel/2006/main">
          <x14:cfRule type="dataBar" id="{3765C35E-2E5C-4F4E-9BC6-D660B6F86524}">
            <x14:dataBar minLength="0" maxLength="100" border="1" negativeBarBorderColorSameAsPositive="0">
              <x14:cfvo type="autoMin"/>
              <x14:cfvo type="autoMax"/>
              <x14:borderColor rgb="FF63C384"/>
              <x14:negativeFillColor rgb="FFFF0000"/>
              <x14:negativeBorderColor rgb="FFFF0000"/>
              <x14:axisColor rgb="FF000000"/>
            </x14:dataBar>
          </x14:cfRule>
          <xm:sqref>AG120</xm:sqref>
        </x14:conditionalFormatting>
        <x14:conditionalFormatting xmlns:xm="http://schemas.microsoft.com/office/excel/2006/main">
          <x14:cfRule type="dataBar" id="{BBF778C6-A219-4ADE-97CE-43521E8EE23E}">
            <x14:dataBar minLength="0" maxLength="100" border="1" negativeBarBorderColorSameAsPositive="0">
              <x14:cfvo type="autoMin"/>
              <x14:cfvo type="autoMax"/>
              <x14:borderColor rgb="FF63C384"/>
              <x14:negativeFillColor rgb="FFFF0000"/>
              <x14:negativeBorderColor rgb="FFFF0000"/>
              <x14:axisColor rgb="FF000000"/>
            </x14:dataBar>
          </x14:cfRule>
          <xm:sqref>AG121</xm:sqref>
        </x14:conditionalFormatting>
        <x14:conditionalFormatting xmlns:xm="http://schemas.microsoft.com/office/excel/2006/main">
          <x14:cfRule type="dataBar" id="{2F8BA4BA-B516-4BB1-A551-1B47B63CFB6D}">
            <x14:dataBar minLength="0" maxLength="100" border="1" negativeBarBorderColorSameAsPositive="0">
              <x14:cfvo type="autoMin"/>
              <x14:cfvo type="autoMax"/>
              <x14:borderColor rgb="FF63C384"/>
              <x14:negativeFillColor rgb="FFFF0000"/>
              <x14:negativeBorderColor rgb="FFFF0000"/>
              <x14:axisColor rgb="FF000000"/>
            </x14:dataBar>
          </x14:cfRule>
          <xm:sqref>AG121</xm:sqref>
        </x14:conditionalFormatting>
        <x14:conditionalFormatting xmlns:xm="http://schemas.microsoft.com/office/excel/2006/main">
          <x14:cfRule type="dataBar" id="{E66703AB-CFC0-4F13-AA27-1BFFDC91625F}">
            <x14:dataBar minLength="0" maxLength="100" border="1" negativeBarBorderColorSameAsPositive="0">
              <x14:cfvo type="autoMin"/>
              <x14:cfvo type="autoMax"/>
              <x14:borderColor rgb="FF63C384"/>
              <x14:negativeFillColor rgb="FFFF0000"/>
              <x14:negativeBorderColor rgb="FFFF0000"/>
              <x14:axisColor rgb="FF000000"/>
            </x14:dataBar>
          </x14:cfRule>
          <xm:sqref>AG122</xm:sqref>
        </x14:conditionalFormatting>
        <x14:conditionalFormatting xmlns:xm="http://schemas.microsoft.com/office/excel/2006/main">
          <x14:cfRule type="dataBar" id="{C7A93D23-50F1-46DF-94B3-7A4E8A0180E9}">
            <x14:dataBar minLength="0" maxLength="100" border="1" negativeBarBorderColorSameAsPositive="0">
              <x14:cfvo type="autoMin"/>
              <x14:cfvo type="autoMax"/>
              <x14:borderColor rgb="FF63C384"/>
              <x14:negativeFillColor rgb="FFFF0000"/>
              <x14:negativeBorderColor rgb="FFFF0000"/>
              <x14:axisColor rgb="FF000000"/>
            </x14:dataBar>
          </x14:cfRule>
          <xm:sqref>AG122</xm:sqref>
        </x14:conditionalFormatting>
        <x14:conditionalFormatting xmlns:xm="http://schemas.microsoft.com/office/excel/2006/main">
          <x14:cfRule type="dataBar" id="{7AD21341-50C9-49D1-9207-C48CCB848BEA}">
            <x14:dataBar minLength="0" maxLength="100" border="1" negativeBarBorderColorSameAsPositive="0">
              <x14:cfvo type="autoMin"/>
              <x14:cfvo type="autoMax"/>
              <x14:borderColor rgb="FF63C384"/>
              <x14:negativeFillColor rgb="FFFF0000"/>
              <x14:negativeBorderColor rgb="FFFF0000"/>
              <x14:axisColor rgb="FF000000"/>
            </x14:dataBar>
          </x14:cfRule>
          <xm:sqref>AG124</xm:sqref>
        </x14:conditionalFormatting>
        <x14:conditionalFormatting xmlns:xm="http://schemas.microsoft.com/office/excel/2006/main">
          <x14:cfRule type="dataBar" id="{C6C61C9C-5F81-4542-BAF7-1990A2CA0EE4}">
            <x14:dataBar minLength="0" maxLength="100" border="1" negativeBarBorderColorSameAsPositive="0">
              <x14:cfvo type="autoMin"/>
              <x14:cfvo type="autoMax"/>
              <x14:borderColor rgb="FF63C384"/>
              <x14:negativeFillColor rgb="FFFF0000"/>
              <x14:negativeBorderColor rgb="FFFF0000"/>
              <x14:axisColor rgb="FF000000"/>
            </x14:dataBar>
          </x14:cfRule>
          <xm:sqref>AG124</xm:sqref>
        </x14:conditionalFormatting>
        <x14:conditionalFormatting xmlns:xm="http://schemas.microsoft.com/office/excel/2006/main">
          <x14:cfRule type="dataBar" id="{2DBF4C4A-2ECE-4740-BF8B-CC25E6AE35F0}">
            <x14:dataBar minLength="0" maxLength="100" border="1" negativeBarBorderColorSameAsPositive="0">
              <x14:cfvo type="autoMin"/>
              <x14:cfvo type="autoMax"/>
              <x14:borderColor rgb="FF63C384"/>
              <x14:negativeFillColor rgb="FFFF0000"/>
              <x14:negativeBorderColor rgb="FFFF0000"/>
              <x14:axisColor rgb="FF000000"/>
            </x14:dataBar>
          </x14:cfRule>
          <xm:sqref>AG123</xm:sqref>
        </x14:conditionalFormatting>
        <x14:conditionalFormatting xmlns:xm="http://schemas.microsoft.com/office/excel/2006/main">
          <x14:cfRule type="dataBar" id="{1A07BDE1-EC0A-4580-A2B8-C89E16EA054F}">
            <x14:dataBar minLength="0" maxLength="100" border="1" negativeBarBorderColorSameAsPositive="0">
              <x14:cfvo type="autoMin"/>
              <x14:cfvo type="autoMax"/>
              <x14:borderColor rgb="FF63C384"/>
              <x14:negativeFillColor rgb="FFFF0000"/>
              <x14:negativeBorderColor rgb="FFFF0000"/>
              <x14:axisColor rgb="FF000000"/>
            </x14:dataBar>
          </x14:cfRule>
          <xm:sqref>AG123</xm:sqref>
        </x14:conditionalFormatting>
        <x14:conditionalFormatting xmlns:xm="http://schemas.microsoft.com/office/excel/2006/main">
          <x14:cfRule type="dataBar" id="{07C6BBC3-1411-4872-9F5E-4B3F6EE0CD7E}">
            <x14:dataBar minLength="0" maxLength="100" border="1" negativeBarBorderColorSameAsPositive="0">
              <x14:cfvo type="autoMin"/>
              <x14:cfvo type="autoMax"/>
              <x14:borderColor rgb="FF63C384"/>
              <x14:negativeFillColor rgb="FFFF0000"/>
              <x14:negativeBorderColor rgb="FFFF0000"/>
              <x14:axisColor rgb="FF000000"/>
            </x14:dataBar>
          </x14:cfRule>
          <xm:sqref>AG125</xm:sqref>
        </x14:conditionalFormatting>
        <x14:conditionalFormatting xmlns:xm="http://schemas.microsoft.com/office/excel/2006/main">
          <x14:cfRule type="dataBar" id="{89673846-2B10-403B-9414-2B830E8DD2C4}">
            <x14:dataBar minLength="0" maxLength="100" border="1" negativeBarBorderColorSameAsPositive="0">
              <x14:cfvo type="autoMin"/>
              <x14:cfvo type="autoMax"/>
              <x14:borderColor rgb="FF63C384"/>
              <x14:negativeFillColor rgb="FFFF0000"/>
              <x14:negativeBorderColor rgb="FFFF0000"/>
              <x14:axisColor rgb="FF000000"/>
            </x14:dataBar>
          </x14:cfRule>
          <xm:sqref>AG125</xm:sqref>
        </x14:conditionalFormatting>
        <x14:conditionalFormatting xmlns:xm="http://schemas.microsoft.com/office/excel/2006/main">
          <x14:cfRule type="dataBar" id="{F81F51B8-1E1B-45F1-96BB-1D87B4F2DF5D}">
            <x14:dataBar minLength="0" maxLength="100" border="1" negativeBarBorderColorSameAsPositive="0">
              <x14:cfvo type="autoMin"/>
              <x14:cfvo type="autoMax"/>
              <x14:borderColor rgb="FF63C384"/>
              <x14:negativeFillColor rgb="FFFF0000"/>
              <x14:negativeBorderColor rgb="FFFF0000"/>
              <x14:axisColor rgb="FF000000"/>
            </x14:dataBar>
          </x14:cfRule>
          <xm:sqref>AG126</xm:sqref>
        </x14:conditionalFormatting>
        <x14:conditionalFormatting xmlns:xm="http://schemas.microsoft.com/office/excel/2006/main">
          <x14:cfRule type="dataBar" id="{DAEEAB6F-C70D-4A33-B032-8627F398B9A6}">
            <x14:dataBar minLength="0" maxLength="100" border="1" negativeBarBorderColorSameAsPositive="0">
              <x14:cfvo type="autoMin"/>
              <x14:cfvo type="autoMax"/>
              <x14:borderColor rgb="FF63C384"/>
              <x14:negativeFillColor rgb="FFFF0000"/>
              <x14:negativeBorderColor rgb="FFFF0000"/>
              <x14:axisColor rgb="FF000000"/>
            </x14:dataBar>
          </x14:cfRule>
          <xm:sqref>AG126</xm:sqref>
        </x14:conditionalFormatting>
        <x14:conditionalFormatting xmlns:xm="http://schemas.microsoft.com/office/excel/2006/main">
          <x14:cfRule type="dataBar" id="{3B1385F8-815E-4BA2-9F5F-FE606E4ED340}">
            <x14:dataBar minLength="0" maxLength="100" border="1" negativeBarBorderColorSameAsPositive="0">
              <x14:cfvo type="autoMin"/>
              <x14:cfvo type="autoMax"/>
              <x14:borderColor rgb="FF63C384"/>
              <x14:negativeFillColor rgb="FFFF0000"/>
              <x14:negativeBorderColor rgb="FFFF0000"/>
              <x14:axisColor rgb="FF000000"/>
            </x14:dataBar>
          </x14:cfRule>
          <xm:sqref>AG127</xm:sqref>
        </x14:conditionalFormatting>
        <x14:conditionalFormatting xmlns:xm="http://schemas.microsoft.com/office/excel/2006/main">
          <x14:cfRule type="dataBar" id="{ACA2B5B4-60A7-4AFB-A430-B0E4D663DA1A}">
            <x14:dataBar minLength="0" maxLength="100" border="1" negativeBarBorderColorSameAsPositive="0">
              <x14:cfvo type="autoMin"/>
              <x14:cfvo type="autoMax"/>
              <x14:borderColor rgb="FF63C384"/>
              <x14:negativeFillColor rgb="FFFF0000"/>
              <x14:negativeBorderColor rgb="FFFF0000"/>
              <x14:axisColor rgb="FF000000"/>
            </x14:dataBar>
          </x14:cfRule>
          <xm:sqref>AG127</xm:sqref>
        </x14:conditionalFormatting>
        <x14:conditionalFormatting xmlns:xm="http://schemas.microsoft.com/office/excel/2006/main">
          <x14:cfRule type="dataBar" id="{D23C1338-E78C-4B47-BE41-782F2AD84423}">
            <x14:dataBar minLength="0" maxLength="100" border="1" negativeBarBorderColorSameAsPositive="0">
              <x14:cfvo type="autoMin"/>
              <x14:cfvo type="autoMax"/>
              <x14:borderColor rgb="FF63C384"/>
              <x14:negativeFillColor rgb="FFFF0000"/>
              <x14:negativeBorderColor rgb="FFFF0000"/>
              <x14:axisColor rgb="FF000000"/>
            </x14:dataBar>
          </x14:cfRule>
          <xm:sqref>AG128</xm:sqref>
        </x14:conditionalFormatting>
        <x14:conditionalFormatting xmlns:xm="http://schemas.microsoft.com/office/excel/2006/main">
          <x14:cfRule type="dataBar" id="{75008A31-9C4F-4942-A29D-02603DD616B9}">
            <x14:dataBar minLength="0" maxLength="100" border="1" negativeBarBorderColorSameAsPositive="0">
              <x14:cfvo type="autoMin"/>
              <x14:cfvo type="autoMax"/>
              <x14:borderColor rgb="FF63C384"/>
              <x14:negativeFillColor rgb="FFFF0000"/>
              <x14:negativeBorderColor rgb="FFFF0000"/>
              <x14:axisColor rgb="FF000000"/>
            </x14:dataBar>
          </x14:cfRule>
          <xm:sqref>AG128</xm:sqref>
        </x14:conditionalFormatting>
        <x14:conditionalFormatting xmlns:xm="http://schemas.microsoft.com/office/excel/2006/main">
          <x14:cfRule type="dataBar" id="{B309D967-1C78-42A0-B356-B233183DB892}">
            <x14:dataBar minLength="0" maxLength="100" border="1" negativeBarBorderColorSameAsPositive="0">
              <x14:cfvo type="autoMin"/>
              <x14:cfvo type="autoMax"/>
              <x14:borderColor rgb="FF63C384"/>
              <x14:negativeFillColor rgb="FFFF0000"/>
              <x14:negativeBorderColor rgb="FFFF0000"/>
              <x14:axisColor rgb="FF000000"/>
            </x14:dataBar>
          </x14:cfRule>
          <xm:sqref>AG129</xm:sqref>
        </x14:conditionalFormatting>
        <x14:conditionalFormatting xmlns:xm="http://schemas.microsoft.com/office/excel/2006/main">
          <x14:cfRule type="dataBar" id="{74960E7A-400F-42BA-9908-C41517E62806}">
            <x14:dataBar minLength="0" maxLength="100" border="1" negativeBarBorderColorSameAsPositive="0">
              <x14:cfvo type="autoMin"/>
              <x14:cfvo type="autoMax"/>
              <x14:borderColor rgb="FF63C384"/>
              <x14:negativeFillColor rgb="FFFF0000"/>
              <x14:negativeBorderColor rgb="FFFF0000"/>
              <x14:axisColor rgb="FF000000"/>
            </x14:dataBar>
          </x14:cfRule>
          <xm:sqref>AG129</xm:sqref>
        </x14:conditionalFormatting>
        <x14:conditionalFormatting xmlns:xm="http://schemas.microsoft.com/office/excel/2006/main">
          <x14:cfRule type="dataBar" id="{10262294-ECF7-4CE0-BE7A-65BFE1E8521C}">
            <x14:dataBar minLength="0" maxLength="100" border="1" negativeBarBorderColorSameAsPositive="0">
              <x14:cfvo type="autoMin"/>
              <x14:cfvo type="autoMax"/>
              <x14:borderColor rgb="FF63C384"/>
              <x14:negativeFillColor rgb="FFFF0000"/>
              <x14:negativeBorderColor rgb="FFFF0000"/>
              <x14:axisColor rgb="FF000000"/>
            </x14:dataBar>
          </x14:cfRule>
          <xm:sqref>AG130</xm:sqref>
        </x14:conditionalFormatting>
        <x14:conditionalFormatting xmlns:xm="http://schemas.microsoft.com/office/excel/2006/main">
          <x14:cfRule type="dataBar" id="{1B4269AD-13A1-45D7-B56D-F47C3BD297C6}">
            <x14:dataBar minLength="0" maxLength="100" border="1" negativeBarBorderColorSameAsPositive="0">
              <x14:cfvo type="autoMin"/>
              <x14:cfvo type="autoMax"/>
              <x14:borderColor rgb="FF63C384"/>
              <x14:negativeFillColor rgb="FFFF0000"/>
              <x14:negativeBorderColor rgb="FFFF0000"/>
              <x14:axisColor rgb="FF000000"/>
            </x14:dataBar>
          </x14:cfRule>
          <xm:sqref>AG130</xm:sqref>
        </x14:conditionalFormatting>
        <x14:conditionalFormatting xmlns:xm="http://schemas.microsoft.com/office/excel/2006/main">
          <x14:cfRule type="dataBar" id="{F299E123-5CDE-405D-8171-F7237F3AE58B}">
            <x14:dataBar minLength="0" maxLength="100" border="1" negativeBarBorderColorSameAsPositive="0">
              <x14:cfvo type="autoMin"/>
              <x14:cfvo type="autoMax"/>
              <x14:borderColor rgb="FF63C384"/>
              <x14:negativeFillColor rgb="FFFF0000"/>
              <x14:negativeBorderColor rgb="FFFF0000"/>
              <x14:axisColor rgb="FF000000"/>
            </x14:dataBar>
          </x14:cfRule>
          <xm:sqref>AG131</xm:sqref>
        </x14:conditionalFormatting>
        <x14:conditionalFormatting xmlns:xm="http://schemas.microsoft.com/office/excel/2006/main">
          <x14:cfRule type="dataBar" id="{58DC8416-95EE-4878-BC07-3E36E434C7CC}">
            <x14:dataBar minLength="0" maxLength="100" border="1" negativeBarBorderColorSameAsPositive="0">
              <x14:cfvo type="autoMin"/>
              <x14:cfvo type="autoMax"/>
              <x14:borderColor rgb="FF63C384"/>
              <x14:negativeFillColor rgb="FFFF0000"/>
              <x14:negativeBorderColor rgb="FFFF0000"/>
              <x14:axisColor rgb="FF000000"/>
            </x14:dataBar>
          </x14:cfRule>
          <xm:sqref>AG131</xm:sqref>
        </x14:conditionalFormatting>
        <x14:conditionalFormatting xmlns:xm="http://schemas.microsoft.com/office/excel/2006/main">
          <x14:cfRule type="dataBar" id="{A4DAC749-3D1A-4AB2-BFA8-A64E527D2452}">
            <x14:dataBar minLength="0" maxLength="100" border="1" negativeBarBorderColorSameAsPositive="0">
              <x14:cfvo type="autoMin"/>
              <x14:cfvo type="autoMax"/>
              <x14:borderColor rgb="FF63C384"/>
              <x14:negativeFillColor rgb="FFFF0000"/>
              <x14:negativeBorderColor rgb="FFFF0000"/>
              <x14:axisColor rgb="FF000000"/>
            </x14:dataBar>
          </x14:cfRule>
          <xm:sqref>AG132</xm:sqref>
        </x14:conditionalFormatting>
        <x14:conditionalFormatting xmlns:xm="http://schemas.microsoft.com/office/excel/2006/main">
          <x14:cfRule type="dataBar" id="{678B85DD-5362-4480-8E45-0074D3FD56DB}">
            <x14:dataBar minLength="0" maxLength="100" border="1" negativeBarBorderColorSameAsPositive="0">
              <x14:cfvo type="autoMin"/>
              <x14:cfvo type="autoMax"/>
              <x14:borderColor rgb="FF63C384"/>
              <x14:negativeFillColor rgb="FFFF0000"/>
              <x14:negativeBorderColor rgb="FFFF0000"/>
              <x14:axisColor rgb="FF000000"/>
            </x14:dataBar>
          </x14:cfRule>
          <xm:sqref>AG132</xm:sqref>
        </x14:conditionalFormatting>
        <x14:conditionalFormatting xmlns:xm="http://schemas.microsoft.com/office/excel/2006/main">
          <x14:cfRule type="dataBar" id="{22E4B830-5F8A-40C7-98B3-67CB9355CCFF}">
            <x14:dataBar minLength="0" maxLength="100" border="1" negativeBarBorderColorSameAsPositive="0">
              <x14:cfvo type="autoMin"/>
              <x14:cfvo type="autoMax"/>
              <x14:borderColor rgb="FF63C384"/>
              <x14:negativeFillColor rgb="FFFF0000"/>
              <x14:negativeBorderColor rgb="FFFF0000"/>
              <x14:axisColor rgb="FF000000"/>
            </x14:dataBar>
          </x14:cfRule>
          <xm:sqref>AG136</xm:sqref>
        </x14:conditionalFormatting>
        <x14:conditionalFormatting xmlns:xm="http://schemas.microsoft.com/office/excel/2006/main">
          <x14:cfRule type="dataBar" id="{03F4C410-F557-4F0C-9725-368CFE1A36EC}">
            <x14:dataBar minLength="0" maxLength="100" border="1" negativeBarBorderColorSameAsPositive="0">
              <x14:cfvo type="autoMin"/>
              <x14:cfvo type="autoMax"/>
              <x14:borderColor rgb="FF63C384"/>
              <x14:negativeFillColor rgb="FFFF0000"/>
              <x14:negativeBorderColor rgb="FFFF0000"/>
              <x14:axisColor rgb="FF000000"/>
            </x14:dataBar>
          </x14:cfRule>
          <xm:sqref>AG136</xm:sqref>
        </x14:conditionalFormatting>
        <x14:conditionalFormatting xmlns:xm="http://schemas.microsoft.com/office/excel/2006/main">
          <x14:cfRule type="dataBar" id="{2F99DE22-DC95-46E3-8407-B4AF277235A7}">
            <x14:dataBar minLength="0" maxLength="100" border="1" negativeBarBorderColorSameAsPositive="0">
              <x14:cfvo type="autoMin"/>
              <x14:cfvo type="autoMax"/>
              <x14:borderColor rgb="FF63C384"/>
              <x14:negativeFillColor rgb="FFFF0000"/>
              <x14:negativeBorderColor rgb="FFFF0000"/>
              <x14:axisColor rgb="FF000000"/>
            </x14:dataBar>
          </x14:cfRule>
          <xm:sqref>AG133</xm:sqref>
        </x14:conditionalFormatting>
        <x14:conditionalFormatting xmlns:xm="http://schemas.microsoft.com/office/excel/2006/main">
          <x14:cfRule type="dataBar" id="{B8A3A41D-D351-4ED7-AC8C-43CF9C33E511}">
            <x14:dataBar minLength="0" maxLength="100" border="1" negativeBarBorderColorSameAsPositive="0">
              <x14:cfvo type="autoMin"/>
              <x14:cfvo type="autoMax"/>
              <x14:borderColor rgb="FF63C384"/>
              <x14:negativeFillColor rgb="FFFF0000"/>
              <x14:negativeBorderColor rgb="FFFF0000"/>
              <x14:axisColor rgb="FF000000"/>
            </x14:dataBar>
          </x14:cfRule>
          <xm:sqref>AG133</xm:sqref>
        </x14:conditionalFormatting>
        <x14:conditionalFormatting xmlns:xm="http://schemas.microsoft.com/office/excel/2006/main">
          <x14:cfRule type="dataBar" id="{9330DCA6-27E1-40C0-A85E-12D6E6D12DB7}">
            <x14:dataBar minLength="0" maxLength="100" border="1" negativeBarBorderColorSameAsPositive="0">
              <x14:cfvo type="autoMin"/>
              <x14:cfvo type="autoMax"/>
              <x14:borderColor rgb="FF63C384"/>
              <x14:negativeFillColor rgb="FFFF0000"/>
              <x14:negativeBorderColor rgb="FFFF0000"/>
              <x14:axisColor rgb="FF000000"/>
            </x14:dataBar>
          </x14:cfRule>
          <xm:sqref>AG134</xm:sqref>
        </x14:conditionalFormatting>
        <x14:conditionalFormatting xmlns:xm="http://schemas.microsoft.com/office/excel/2006/main">
          <x14:cfRule type="dataBar" id="{3C82AFFF-0BA5-4128-A041-D727F7B8D2EC}">
            <x14:dataBar minLength="0" maxLength="100" border="1" negativeBarBorderColorSameAsPositive="0">
              <x14:cfvo type="autoMin"/>
              <x14:cfvo type="autoMax"/>
              <x14:borderColor rgb="FF63C384"/>
              <x14:negativeFillColor rgb="FFFF0000"/>
              <x14:negativeBorderColor rgb="FFFF0000"/>
              <x14:axisColor rgb="FF000000"/>
            </x14:dataBar>
          </x14:cfRule>
          <xm:sqref>AG134</xm:sqref>
        </x14:conditionalFormatting>
        <x14:conditionalFormatting xmlns:xm="http://schemas.microsoft.com/office/excel/2006/main">
          <x14:cfRule type="dataBar" id="{42D636BF-0B14-42B8-A30A-1710B64734A7}">
            <x14:dataBar minLength="0" maxLength="100" border="1" negativeBarBorderColorSameAsPositive="0">
              <x14:cfvo type="autoMin"/>
              <x14:cfvo type="autoMax"/>
              <x14:borderColor rgb="FF63C384"/>
              <x14:negativeFillColor rgb="FFFF0000"/>
              <x14:negativeBorderColor rgb="FFFF0000"/>
              <x14:axisColor rgb="FF000000"/>
            </x14:dataBar>
          </x14:cfRule>
          <xm:sqref>AG135</xm:sqref>
        </x14:conditionalFormatting>
        <x14:conditionalFormatting xmlns:xm="http://schemas.microsoft.com/office/excel/2006/main">
          <x14:cfRule type="dataBar" id="{189DB2A9-84B9-4825-B05C-89FDFACBF492}">
            <x14:dataBar minLength="0" maxLength="100" border="1" negativeBarBorderColorSameAsPositive="0">
              <x14:cfvo type="autoMin"/>
              <x14:cfvo type="autoMax"/>
              <x14:borderColor rgb="FF63C384"/>
              <x14:negativeFillColor rgb="FFFF0000"/>
              <x14:negativeBorderColor rgb="FFFF0000"/>
              <x14:axisColor rgb="FF000000"/>
            </x14:dataBar>
          </x14:cfRule>
          <xm:sqref>AG135</xm:sqref>
        </x14:conditionalFormatting>
        <x14:conditionalFormatting xmlns:xm="http://schemas.microsoft.com/office/excel/2006/main">
          <x14:cfRule type="dataBar" id="{9DA217DF-65BB-4336-A9D0-86CB165B7BD6}">
            <x14:dataBar minLength="0" maxLength="100" border="1" negativeBarBorderColorSameAsPositive="0">
              <x14:cfvo type="autoMin"/>
              <x14:cfvo type="autoMax"/>
              <x14:borderColor rgb="FF63C384"/>
              <x14:negativeFillColor rgb="FFFF0000"/>
              <x14:negativeBorderColor rgb="FFFF0000"/>
              <x14:axisColor rgb="FF000000"/>
            </x14:dataBar>
          </x14:cfRule>
          <xm:sqref>AG137</xm:sqref>
        </x14:conditionalFormatting>
        <x14:conditionalFormatting xmlns:xm="http://schemas.microsoft.com/office/excel/2006/main">
          <x14:cfRule type="dataBar" id="{C0004F8A-298F-4992-B8DB-667DD39CD731}">
            <x14:dataBar minLength="0" maxLength="100" border="1" negativeBarBorderColorSameAsPositive="0">
              <x14:cfvo type="autoMin"/>
              <x14:cfvo type="autoMax"/>
              <x14:borderColor rgb="FF63C384"/>
              <x14:negativeFillColor rgb="FFFF0000"/>
              <x14:negativeBorderColor rgb="FFFF0000"/>
              <x14:axisColor rgb="FF000000"/>
            </x14:dataBar>
          </x14:cfRule>
          <xm:sqref>AG137</xm:sqref>
        </x14:conditionalFormatting>
        <x14:conditionalFormatting xmlns:xm="http://schemas.microsoft.com/office/excel/2006/main">
          <x14:cfRule type="dataBar" id="{76E7630D-BF25-4C5D-A431-346CB70EE621}">
            <x14:dataBar minLength="0" maxLength="100" border="1" negativeBarBorderColorSameAsPositive="0">
              <x14:cfvo type="autoMin"/>
              <x14:cfvo type="autoMax"/>
              <x14:borderColor rgb="FF63C384"/>
              <x14:negativeFillColor rgb="FFFF0000"/>
              <x14:negativeBorderColor rgb="FFFF0000"/>
              <x14:axisColor rgb="FF000000"/>
            </x14:dataBar>
          </x14:cfRule>
          <xm:sqref>AG138</xm:sqref>
        </x14:conditionalFormatting>
        <x14:conditionalFormatting xmlns:xm="http://schemas.microsoft.com/office/excel/2006/main">
          <x14:cfRule type="dataBar" id="{E6051748-6D6E-4B5F-8EC9-9D4B287EED67}">
            <x14:dataBar minLength="0" maxLength="100" border="1" negativeBarBorderColorSameAsPositive="0">
              <x14:cfvo type="autoMin"/>
              <x14:cfvo type="autoMax"/>
              <x14:borderColor rgb="FF63C384"/>
              <x14:negativeFillColor rgb="FFFF0000"/>
              <x14:negativeBorderColor rgb="FFFF0000"/>
              <x14:axisColor rgb="FF000000"/>
            </x14:dataBar>
          </x14:cfRule>
          <xm:sqref>AG138</xm:sqref>
        </x14:conditionalFormatting>
        <x14:conditionalFormatting xmlns:xm="http://schemas.microsoft.com/office/excel/2006/main">
          <x14:cfRule type="dataBar" id="{21A83951-6BBE-4AA0-9F04-2E305634D75B}">
            <x14:dataBar minLength="0" maxLength="100" border="1" negativeBarBorderColorSameAsPositive="0">
              <x14:cfvo type="autoMin"/>
              <x14:cfvo type="autoMax"/>
              <x14:borderColor rgb="FF63C384"/>
              <x14:negativeFillColor rgb="FFFF0000"/>
              <x14:negativeBorderColor rgb="FFFF0000"/>
              <x14:axisColor rgb="FF000000"/>
            </x14:dataBar>
          </x14:cfRule>
          <xm:sqref>AG139</xm:sqref>
        </x14:conditionalFormatting>
        <x14:conditionalFormatting xmlns:xm="http://schemas.microsoft.com/office/excel/2006/main">
          <x14:cfRule type="dataBar" id="{BD901474-E86B-4CFF-9FD0-1583C4597CFD}">
            <x14:dataBar minLength="0" maxLength="100" border="1" negativeBarBorderColorSameAsPositive="0">
              <x14:cfvo type="autoMin"/>
              <x14:cfvo type="autoMax"/>
              <x14:borderColor rgb="FF63C384"/>
              <x14:negativeFillColor rgb="FFFF0000"/>
              <x14:negativeBorderColor rgb="FFFF0000"/>
              <x14:axisColor rgb="FF000000"/>
            </x14:dataBar>
          </x14:cfRule>
          <xm:sqref>AG139</xm:sqref>
        </x14:conditionalFormatting>
        <x14:conditionalFormatting xmlns:xm="http://schemas.microsoft.com/office/excel/2006/main">
          <x14:cfRule type="dataBar" id="{B2BB7E4E-8C50-4688-BC01-DD6F1D394181}">
            <x14:dataBar minLength="0" maxLength="100" border="1" negativeBarBorderColorSameAsPositive="0">
              <x14:cfvo type="autoMin"/>
              <x14:cfvo type="autoMax"/>
              <x14:borderColor rgb="FF63C384"/>
              <x14:negativeFillColor rgb="FFFF0000"/>
              <x14:negativeBorderColor rgb="FFFF0000"/>
              <x14:axisColor rgb="FF000000"/>
            </x14:dataBar>
          </x14:cfRule>
          <xm:sqref>AG140</xm:sqref>
        </x14:conditionalFormatting>
        <x14:conditionalFormatting xmlns:xm="http://schemas.microsoft.com/office/excel/2006/main">
          <x14:cfRule type="dataBar" id="{0B7043CC-44EC-4899-862C-A40999210F43}">
            <x14:dataBar minLength="0" maxLength="100" border="1" negativeBarBorderColorSameAsPositive="0">
              <x14:cfvo type="autoMin"/>
              <x14:cfvo type="autoMax"/>
              <x14:borderColor rgb="FF63C384"/>
              <x14:negativeFillColor rgb="FFFF0000"/>
              <x14:negativeBorderColor rgb="FFFF0000"/>
              <x14:axisColor rgb="FF000000"/>
            </x14:dataBar>
          </x14:cfRule>
          <xm:sqref>AG140</xm:sqref>
        </x14:conditionalFormatting>
        <x14:conditionalFormatting xmlns:xm="http://schemas.microsoft.com/office/excel/2006/main">
          <x14:cfRule type="dataBar" id="{DD607E77-BB28-4CF2-8D2A-A5BF8737C207}">
            <x14:dataBar minLength="0" maxLength="100" border="1" negativeBarBorderColorSameAsPositive="0">
              <x14:cfvo type="autoMin"/>
              <x14:cfvo type="autoMax"/>
              <x14:borderColor rgb="FF63C384"/>
              <x14:negativeFillColor rgb="FFFF0000"/>
              <x14:negativeBorderColor rgb="FFFF0000"/>
              <x14:axisColor rgb="FF000000"/>
            </x14:dataBar>
          </x14:cfRule>
          <xm:sqref>AG141</xm:sqref>
        </x14:conditionalFormatting>
        <x14:conditionalFormatting xmlns:xm="http://schemas.microsoft.com/office/excel/2006/main">
          <x14:cfRule type="dataBar" id="{BF766A07-8CD7-47F2-8072-73C1E2D913C9}">
            <x14:dataBar minLength="0" maxLength="100" border="1" negativeBarBorderColorSameAsPositive="0">
              <x14:cfvo type="autoMin"/>
              <x14:cfvo type="autoMax"/>
              <x14:borderColor rgb="FF63C384"/>
              <x14:negativeFillColor rgb="FFFF0000"/>
              <x14:negativeBorderColor rgb="FFFF0000"/>
              <x14:axisColor rgb="FF000000"/>
            </x14:dataBar>
          </x14:cfRule>
          <xm:sqref>AG141</xm:sqref>
        </x14:conditionalFormatting>
        <x14:conditionalFormatting xmlns:xm="http://schemas.microsoft.com/office/excel/2006/main">
          <x14:cfRule type="dataBar" id="{EE9E1684-C4E7-4523-A1BB-1EC85040AB60}">
            <x14:dataBar minLength="0" maxLength="100" border="1" negativeBarBorderColorSameAsPositive="0">
              <x14:cfvo type="autoMin"/>
              <x14:cfvo type="autoMax"/>
              <x14:borderColor rgb="FF63C384"/>
              <x14:negativeFillColor rgb="FFFF0000"/>
              <x14:negativeBorderColor rgb="FFFF0000"/>
              <x14:axisColor rgb="FF000000"/>
            </x14:dataBar>
          </x14:cfRule>
          <xm:sqref>AG142</xm:sqref>
        </x14:conditionalFormatting>
        <x14:conditionalFormatting xmlns:xm="http://schemas.microsoft.com/office/excel/2006/main">
          <x14:cfRule type="dataBar" id="{46551FA0-3757-494E-965E-10D7F394B5CA}">
            <x14:dataBar minLength="0" maxLength="100" border="1" negativeBarBorderColorSameAsPositive="0">
              <x14:cfvo type="autoMin"/>
              <x14:cfvo type="autoMax"/>
              <x14:borderColor rgb="FF63C384"/>
              <x14:negativeFillColor rgb="FFFF0000"/>
              <x14:negativeBorderColor rgb="FFFF0000"/>
              <x14:axisColor rgb="FF000000"/>
            </x14:dataBar>
          </x14:cfRule>
          <xm:sqref>AG142</xm:sqref>
        </x14:conditionalFormatting>
        <x14:conditionalFormatting xmlns:xm="http://schemas.microsoft.com/office/excel/2006/main">
          <x14:cfRule type="dataBar" id="{E25D6F94-24BB-44AA-85A4-79FB5D312512}">
            <x14:dataBar minLength="0" maxLength="100" border="1" negativeBarBorderColorSameAsPositive="0">
              <x14:cfvo type="autoMin"/>
              <x14:cfvo type="autoMax"/>
              <x14:borderColor rgb="FF63C384"/>
              <x14:negativeFillColor rgb="FFFF0000"/>
              <x14:negativeBorderColor rgb="FFFF0000"/>
              <x14:axisColor rgb="FF000000"/>
            </x14:dataBar>
          </x14:cfRule>
          <xm:sqref>AG143</xm:sqref>
        </x14:conditionalFormatting>
        <x14:conditionalFormatting xmlns:xm="http://schemas.microsoft.com/office/excel/2006/main">
          <x14:cfRule type="dataBar" id="{44A9A18E-3883-4ACC-A0A1-FF9D330D9DAE}">
            <x14:dataBar minLength="0" maxLength="100" border="1" negativeBarBorderColorSameAsPositive="0">
              <x14:cfvo type="autoMin"/>
              <x14:cfvo type="autoMax"/>
              <x14:borderColor rgb="FF63C384"/>
              <x14:negativeFillColor rgb="FFFF0000"/>
              <x14:negativeBorderColor rgb="FFFF0000"/>
              <x14:axisColor rgb="FF000000"/>
            </x14:dataBar>
          </x14:cfRule>
          <xm:sqref>AG143</xm:sqref>
        </x14:conditionalFormatting>
        <x14:conditionalFormatting xmlns:xm="http://schemas.microsoft.com/office/excel/2006/main">
          <x14:cfRule type="dataBar" id="{278A635F-00DE-4069-B90A-481E43320F4E}">
            <x14:dataBar minLength="0" maxLength="100" border="1" negativeBarBorderColorSameAsPositive="0">
              <x14:cfvo type="autoMin"/>
              <x14:cfvo type="autoMax"/>
              <x14:borderColor rgb="FF63C384"/>
              <x14:negativeFillColor rgb="FFFF0000"/>
              <x14:negativeBorderColor rgb="FFFF0000"/>
              <x14:axisColor rgb="FF000000"/>
            </x14:dataBar>
          </x14:cfRule>
          <xm:sqref>AG145</xm:sqref>
        </x14:conditionalFormatting>
        <x14:conditionalFormatting xmlns:xm="http://schemas.microsoft.com/office/excel/2006/main">
          <x14:cfRule type="dataBar" id="{4899BB8C-DCA1-44C4-AA1F-D6557627CF2D}">
            <x14:dataBar minLength="0" maxLength="100" border="1" negativeBarBorderColorSameAsPositive="0">
              <x14:cfvo type="autoMin"/>
              <x14:cfvo type="autoMax"/>
              <x14:borderColor rgb="FF63C384"/>
              <x14:negativeFillColor rgb="FFFF0000"/>
              <x14:negativeBorderColor rgb="FFFF0000"/>
              <x14:axisColor rgb="FF000000"/>
            </x14:dataBar>
          </x14:cfRule>
          <xm:sqref>AG145</xm:sqref>
        </x14:conditionalFormatting>
        <x14:conditionalFormatting xmlns:xm="http://schemas.microsoft.com/office/excel/2006/main">
          <x14:cfRule type="dataBar" id="{81C19D04-060C-4754-B057-90EA0722C319}">
            <x14:dataBar minLength="0" maxLength="100" border="1" negativeBarBorderColorSameAsPositive="0">
              <x14:cfvo type="autoMin"/>
              <x14:cfvo type="autoMax"/>
              <x14:borderColor rgb="FF63C384"/>
              <x14:negativeFillColor rgb="FFFF0000"/>
              <x14:negativeBorderColor rgb="FFFF0000"/>
              <x14:axisColor rgb="FF000000"/>
            </x14:dataBar>
          </x14:cfRule>
          <xm:sqref>AG146</xm:sqref>
        </x14:conditionalFormatting>
        <x14:conditionalFormatting xmlns:xm="http://schemas.microsoft.com/office/excel/2006/main">
          <x14:cfRule type="dataBar" id="{D9EDD50A-03A9-4A4B-B3B5-000C1A843426}">
            <x14:dataBar minLength="0" maxLength="100" border="1" negativeBarBorderColorSameAsPositive="0">
              <x14:cfvo type="autoMin"/>
              <x14:cfvo type="autoMax"/>
              <x14:borderColor rgb="FF63C384"/>
              <x14:negativeFillColor rgb="FFFF0000"/>
              <x14:negativeBorderColor rgb="FFFF0000"/>
              <x14:axisColor rgb="FF000000"/>
            </x14:dataBar>
          </x14:cfRule>
          <xm:sqref>AG146</xm:sqref>
        </x14:conditionalFormatting>
        <x14:conditionalFormatting xmlns:xm="http://schemas.microsoft.com/office/excel/2006/main">
          <x14:cfRule type="dataBar" id="{1DADAFCC-60B6-44A8-9310-41382822238B}">
            <x14:dataBar minLength="0" maxLength="100" border="1" negativeBarBorderColorSameAsPositive="0">
              <x14:cfvo type="autoMin"/>
              <x14:cfvo type="autoMax"/>
              <x14:borderColor rgb="FF63C384"/>
              <x14:negativeFillColor rgb="FFFF0000"/>
              <x14:negativeBorderColor rgb="FFFF0000"/>
              <x14:axisColor rgb="FF000000"/>
            </x14:dataBar>
          </x14:cfRule>
          <xm:sqref>AG147</xm:sqref>
        </x14:conditionalFormatting>
        <x14:conditionalFormatting xmlns:xm="http://schemas.microsoft.com/office/excel/2006/main">
          <x14:cfRule type="dataBar" id="{C11BE253-CAEA-474F-A344-F91CAD1154D0}">
            <x14:dataBar minLength="0" maxLength="100" border="1" negativeBarBorderColorSameAsPositive="0">
              <x14:cfvo type="autoMin"/>
              <x14:cfvo type="autoMax"/>
              <x14:borderColor rgb="FF63C384"/>
              <x14:negativeFillColor rgb="FFFF0000"/>
              <x14:negativeBorderColor rgb="FFFF0000"/>
              <x14:axisColor rgb="FF000000"/>
            </x14:dataBar>
          </x14:cfRule>
          <xm:sqref>AG147</xm:sqref>
        </x14:conditionalFormatting>
        <x14:conditionalFormatting xmlns:xm="http://schemas.microsoft.com/office/excel/2006/main">
          <x14:cfRule type="dataBar" id="{A8E10098-1803-4B72-AF37-335B6C038006}">
            <x14:dataBar minLength="0" maxLength="100" border="1" negativeBarBorderColorSameAsPositive="0">
              <x14:cfvo type="autoMin"/>
              <x14:cfvo type="autoMax"/>
              <x14:borderColor rgb="FF63C384"/>
              <x14:negativeFillColor rgb="FFFF0000"/>
              <x14:negativeBorderColor rgb="FFFF0000"/>
              <x14:axisColor rgb="FF000000"/>
            </x14:dataBar>
          </x14:cfRule>
          <xm:sqref>AG148</xm:sqref>
        </x14:conditionalFormatting>
        <x14:conditionalFormatting xmlns:xm="http://schemas.microsoft.com/office/excel/2006/main">
          <x14:cfRule type="dataBar" id="{FE01369D-DD18-4A41-A59D-069A9ED38BEE}">
            <x14:dataBar minLength="0" maxLength="100" border="1" negativeBarBorderColorSameAsPositive="0">
              <x14:cfvo type="autoMin"/>
              <x14:cfvo type="autoMax"/>
              <x14:borderColor rgb="FF63C384"/>
              <x14:negativeFillColor rgb="FFFF0000"/>
              <x14:negativeBorderColor rgb="FFFF0000"/>
              <x14:axisColor rgb="FF000000"/>
            </x14:dataBar>
          </x14:cfRule>
          <xm:sqref>AG148</xm:sqref>
        </x14:conditionalFormatting>
        <x14:conditionalFormatting xmlns:xm="http://schemas.microsoft.com/office/excel/2006/main">
          <x14:cfRule type="dataBar" id="{A9530334-8E92-4DCA-9E1D-64EB3155C56B}">
            <x14:dataBar minLength="0" maxLength="100" border="1" negativeBarBorderColorSameAsPositive="0">
              <x14:cfvo type="autoMin"/>
              <x14:cfvo type="autoMax"/>
              <x14:borderColor rgb="FF63C384"/>
              <x14:negativeFillColor rgb="FFFF0000"/>
              <x14:negativeBorderColor rgb="FFFF0000"/>
              <x14:axisColor rgb="FF000000"/>
            </x14:dataBar>
          </x14:cfRule>
          <xm:sqref>AG149</xm:sqref>
        </x14:conditionalFormatting>
        <x14:conditionalFormatting xmlns:xm="http://schemas.microsoft.com/office/excel/2006/main">
          <x14:cfRule type="dataBar" id="{8F219FD5-410A-4860-9B63-27CA03EB4096}">
            <x14:dataBar minLength="0" maxLength="100" border="1" negativeBarBorderColorSameAsPositive="0">
              <x14:cfvo type="autoMin"/>
              <x14:cfvo type="autoMax"/>
              <x14:borderColor rgb="FF63C384"/>
              <x14:negativeFillColor rgb="FFFF0000"/>
              <x14:negativeBorderColor rgb="FFFF0000"/>
              <x14:axisColor rgb="FF000000"/>
            </x14:dataBar>
          </x14:cfRule>
          <xm:sqref>AG149</xm:sqref>
        </x14:conditionalFormatting>
        <x14:conditionalFormatting xmlns:xm="http://schemas.microsoft.com/office/excel/2006/main">
          <x14:cfRule type="dataBar" id="{8CD93350-EAA7-4209-8770-50EDF984ABF3}">
            <x14:dataBar minLength="0" maxLength="100" border="1" negativeBarBorderColorSameAsPositive="0">
              <x14:cfvo type="autoMin"/>
              <x14:cfvo type="autoMax"/>
              <x14:borderColor rgb="FF63C384"/>
              <x14:negativeFillColor rgb="FFFF0000"/>
              <x14:negativeBorderColor rgb="FFFF0000"/>
              <x14:axisColor rgb="FF000000"/>
            </x14:dataBar>
          </x14:cfRule>
          <xm:sqref>AG150</xm:sqref>
        </x14:conditionalFormatting>
        <x14:conditionalFormatting xmlns:xm="http://schemas.microsoft.com/office/excel/2006/main">
          <x14:cfRule type="dataBar" id="{31CE1617-ECFC-4CB1-A2B7-C8DD2B2732D1}">
            <x14:dataBar minLength="0" maxLength="100" border="1" negativeBarBorderColorSameAsPositive="0">
              <x14:cfvo type="autoMin"/>
              <x14:cfvo type="autoMax"/>
              <x14:borderColor rgb="FF63C384"/>
              <x14:negativeFillColor rgb="FFFF0000"/>
              <x14:negativeBorderColor rgb="FFFF0000"/>
              <x14:axisColor rgb="FF000000"/>
            </x14:dataBar>
          </x14:cfRule>
          <xm:sqref>AG150</xm:sqref>
        </x14:conditionalFormatting>
        <x14:conditionalFormatting xmlns:xm="http://schemas.microsoft.com/office/excel/2006/main">
          <x14:cfRule type="dataBar" id="{5491768A-6C45-43CE-8A84-08A97EBAA5D9}">
            <x14:dataBar minLength="0" maxLength="100" border="1" negativeBarBorderColorSameAsPositive="0">
              <x14:cfvo type="autoMin"/>
              <x14:cfvo type="autoMax"/>
              <x14:borderColor rgb="FF63C384"/>
              <x14:negativeFillColor rgb="FFFF0000"/>
              <x14:negativeBorderColor rgb="FFFF0000"/>
              <x14:axisColor rgb="FF000000"/>
            </x14:dataBar>
          </x14:cfRule>
          <xm:sqref>AG144</xm:sqref>
        </x14:conditionalFormatting>
        <x14:conditionalFormatting xmlns:xm="http://schemas.microsoft.com/office/excel/2006/main">
          <x14:cfRule type="dataBar" id="{56401191-1564-47C6-86C3-FE40654AC4A7}">
            <x14:dataBar minLength="0" maxLength="100" border="1" negativeBarBorderColorSameAsPositive="0">
              <x14:cfvo type="autoMin"/>
              <x14:cfvo type="autoMax"/>
              <x14:borderColor rgb="FF63C384"/>
              <x14:negativeFillColor rgb="FFFF0000"/>
              <x14:negativeBorderColor rgb="FFFF0000"/>
              <x14:axisColor rgb="FF000000"/>
            </x14:dataBar>
          </x14:cfRule>
          <xm:sqref>AG144</xm:sqref>
        </x14:conditionalFormatting>
        <x14:conditionalFormatting xmlns:xm="http://schemas.microsoft.com/office/excel/2006/main">
          <x14:cfRule type="dataBar" id="{094F5417-953D-49E2-AAC4-814EC3DDB21A}">
            <x14:dataBar minLength="0" maxLength="100" border="1" negativeBarBorderColorSameAsPositive="0">
              <x14:cfvo type="autoMin"/>
              <x14:cfvo type="autoMax"/>
              <x14:borderColor rgb="FF63C384"/>
              <x14:negativeFillColor rgb="FFFF0000"/>
              <x14:negativeBorderColor rgb="FFFF0000"/>
              <x14:axisColor rgb="FF000000"/>
            </x14:dataBar>
          </x14:cfRule>
          <xm:sqref>AG151</xm:sqref>
        </x14:conditionalFormatting>
        <x14:conditionalFormatting xmlns:xm="http://schemas.microsoft.com/office/excel/2006/main">
          <x14:cfRule type="dataBar" id="{06612EFA-45D9-4647-87B4-BFDE2AF6EE4B}">
            <x14:dataBar minLength="0" maxLength="100" border="1" negativeBarBorderColorSameAsPositive="0">
              <x14:cfvo type="autoMin"/>
              <x14:cfvo type="autoMax"/>
              <x14:borderColor rgb="FF63C384"/>
              <x14:negativeFillColor rgb="FFFF0000"/>
              <x14:negativeBorderColor rgb="FFFF0000"/>
              <x14:axisColor rgb="FF000000"/>
            </x14:dataBar>
          </x14:cfRule>
          <xm:sqref>AG151</xm:sqref>
        </x14:conditionalFormatting>
        <x14:conditionalFormatting xmlns:xm="http://schemas.microsoft.com/office/excel/2006/main">
          <x14:cfRule type="dataBar" id="{CC7D85E0-CEF3-459E-9BBD-3D2FF7954128}">
            <x14:dataBar minLength="0" maxLength="100" border="1" negativeBarBorderColorSameAsPositive="0">
              <x14:cfvo type="autoMin"/>
              <x14:cfvo type="autoMax"/>
              <x14:borderColor rgb="FF63C384"/>
              <x14:negativeFillColor rgb="FFFF0000"/>
              <x14:negativeBorderColor rgb="FFFF0000"/>
              <x14:axisColor rgb="FF000000"/>
            </x14:dataBar>
          </x14:cfRule>
          <xm:sqref>AG152</xm:sqref>
        </x14:conditionalFormatting>
        <x14:conditionalFormatting xmlns:xm="http://schemas.microsoft.com/office/excel/2006/main">
          <x14:cfRule type="dataBar" id="{D50B6469-BE38-4B0E-BE16-F1AE603221DA}">
            <x14:dataBar minLength="0" maxLength="100" border="1" negativeBarBorderColorSameAsPositive="0">
              <x14:cfvo type="autoMin"/>
              <x14:cfvo type="autoMax"/>
              <x14:borderColor rgb="FF63C384"/>
              <x14:negativeFillColor rgb="FFFF0000"/>
              <x14:negativeBorderColor rgb="FFFF0000"/>
              <x14:axisColor rgb="FF000000"/>
            </x14:dataBar>
          </x14:cfRule>
          <xm:sqref>AG152</xm:sqref>
        </x14:conditionalFormatting>
        <x14:conditionalFormatting xmlns:xm="http://schemas.microsoft.com/office/excel/2006/main">
          <x14:cfRule type="dataBar" id="{76044529-3B6A-4F21-AD0C-4E2260DA45DB}">
            <x14:dataBar minLength="0" maxLength="100" border="1" negativeBarBorderColorSameAsPositive="0">
              <x14:cfvo type="autoMin"/>
              <x14:cfvo type="autoMax"/>
              <x14:borderColor rgb="FF63C384"/>
              <x14:negativeFillColor rgb="FFFF0000"/>
              <x14:negativeBorderColor rgb="FFFF0000"/>
              <x14:axisColor rgb="FF000000"/>
            </x14:dataBar>
          </x14:cfRule>
          <xm:sqref>AG153</xm:sqref>
        </x14:conditionalFormatting>
        <x14:conditionalFormatting xmlns:xm="http://schemas.microsoft.com/office/excel/2006/main">
          <x14:cfRule type="dataBar" id="{6F707617-013E-4C59-B754-B931DFA2D44C}">
            <x14:dataBar minLength="0" maxLength="100" border="1" negativeBarBorderColorSameAsPositive="0">
              <x14:cfvo type="autoMin"/>
              <x14:cfvo type="autoMax"/>
              <x14:borderColor rgb="FF63C384"/>
              <x14:negativeFillColor rgb="FFFF0000"/>
              <x14:negativeBorderColor rgb="FFFF0000"/>
              <x14:axisColor rgb="FF000000"/>
            </x14:dataBar>
          </x14:cfRule>
          <xm:sqref>AG153</xm:sqref>
        </x14:conditionalFormatting>
        <x14:conditionalFormatting xmlns:xm="http://schemas.microsoft.com/office/excel/2006/main">
          <x14:cfRule type="dataBar" id="{794CF9F7-AB12-48BE-B5ED-97610DC9E06A}">
            <x14:dataBar minLength="0" maxLength="100" border="1" negativeBarBorderColorSameAsPositive="0">
              <x14:cfvo type="autoMin"/>
              <x14:cfvo type="autoMax"/>
              <x14:borderColor rgb="FF63C384"/>
              <x14:negativeFillColor rgb="FFFF0000"/>
              <x14:negativeBorderColor rgb="FFFF0000"/>
              <x14:axisColor rgb="FF000000"/>
            </x14:dataBar>
          </x14:cfRule>
          <xm:sqref>AG154</xm:sqref>
        </x14:conditionalFormatting>
        <x14:conditionalFormatting xmlns:xm="http://schemas.microsoft.com/office/excel/2006/main">
          <x14:cfRule type="dataBar" id="{68FBFA8F-88A8-43E8-BF21-FAA5964EB009}">
            <x14:dataBar minLength="0" maxLength="100" border="1" negativeBarBorderColorSameAsPositive="0">
              <x14:cfvo type="autoMin"/>
              <x14:cfvo type="autoMax"/>
              <x14:borderColor rgb="FF63C384"/>
              <x14:negativeFillColor rgb="FFFF0000"/>
              <x14:negativeBorderColor rgb="FFFF0000"/>
              <x14:axisColor rgb="FF000000"/>
            </x14:dataBar>
          </x14:cfRule>
          <xm:sqref>AG154</xm:sqref>
        </x14:conditionalFormatting>
        <x14:conditionalFormatting xmlns:xm="http://schemas.microsoft.com/office/excel/2006/main">
          <x14:cfRule type="dataBar" id="{B3DFD3C6-26E6-429F-85A2-DEDA65456911}">
            <x14:dataBar minLength="0" maxLength="100" border="1" negativeBarBorderColorSameAsPositive="0">
              <x14:cfvo type="autoMin"/>
              <x14:cfvo type="autoMax"/>
              <x14:borderColor rgb="FF63C384"/>
              <x14:negativeFillColor rgb="FFFF0000"/>
              <x14:negativeBorderColor rgb="FFFF0000"/>
              <x14:axisColor rgb="FF000000"/>
            </x14:dataBar>
          </x14:cfRule>
          <xm:sqref>AG155</xm:sqref>
        </x14:conditionalFormatting>
        <x14:conditionalFormatting xmlns:xm="http://schemas.microsoft.com/office/excel/2006/main">
          <x14:cfRule type="dataBar" id="{E322AA8A-4483-4DA0-B1EA-EE6C3315D782}">
            <x14:dataBar minLength="0" maxLength="100" border="1" negativeBarBorderColorSameAsPositive="0">
              <x14:cfvo type="autoMin"/>
              <x14:cfvo type="autoMax"/>
              <x14:borderColor rgb="FF63C384"/>
              <x14:negativeFillColor rgb="FFFF0000"/>
              <x14:negativeBorderColor rgb="FFFF0000"/>
              <x14:axisColor rgb="FF000000"/>
            </x14:dataBar>
          </x14:cfRule>
          <xm:sqref>AG155</xm:sqref>
        </x14:conditionalFormatting>
        <x14:conditionalFormatting xmlns:xm="http://schemas.microsoft.com/office/excel/2006/main">
          <x14:cfRule type="dataBar" id="{E9A45B58-3989-49FB-99D7-2EDEB1AC0DAC}">
            <x14:dataBar minLength="0" maxLength="100" border="1" negativeBarBorderColorSameAsPositive="0">
              <x14:cfvo type="autoMin"/>
              <x14:cfvo type="autoMax"/>
              <x14:borderColor rgb="FF63C384"/>
              <x14:negativeFillColor rgb="FFFF0000"/>
              <x14:negativeBorderColor rgb="FFFF0000"/>
              <x14:axisColor rgb="FF000000"/>
            </x14:dataBar>
          </x14:cfRule>
          <xm:sqref>AG158</xm:sqref>
        </x14:conditionalFormatting>
        <x14:conditionalFormatting xmlns:xm="http://schemas.microsoft.com/office/excel/2006/main">
          <x14:cfRule type="dataBar" id="{EF3B8685-E3B6-4660-934B-39D00EF9020B}">
            <x14:dataBar minLength="0" maxLength="100" border="1" negativeBarBorderColorSameAsPositive="0">
              <x14:cfvo type="autoMin"/>
              <x14:cfvo type="autoMax"/>
              <x14:borderColor rgb="FF63C384"/>
              <x14:negativeFillColor rgb="FFFF0000"/>
              <x14:negativeBorderColor rgb="FFFF0000"/>
              <x14:axisColor rgb="FF000000"/>
            </x14:dataBar>
          </x14:cfRule>
          <xm:sqref>AG158</xm:sqref>
        </x14:conditionalFormatting>
        <x14:conditionalFormatting xmlns:xm="http://schemas.microsoft.com/office/excel/2006/main">
          <x14:cfRule type="dataBar" id="{6816A3D4-5FD9-4AB6-A3A0-33CEF8C5AA58}">
            <x14:dataBar minLength="0" maxLength="100" border="1" negativeBarBorderColorSameAsPositive="0">
              <x14:cfvo type="autoMin"/>
              <x14:cfvo type="autoMax"/>
              <x14:borderColor rgb="FF63C384"/>
              <x14:negativeFillColor rgb="FFFF0000"/>
              <x14:negativeBorderColor rgb="FFFF0000"/>
              <x14:axisColor rgb="FF000000"/>
            </x14:dataBar>
          </x14:cfRule>
          <xm:sqref>AG159</xm:sqref>
        </x14:conditionalFormatting>
        <x14:conditionalFormatting xmlns:xm="http://schemas.microsoft.com/office/excel/2006/main">
          <x14:cfRule type="dataBar" id="{1A1D037B-9E83-4B51-BE47-FF11622D515B}">
            <x14:dataBar minLength="0" maxLength="100" border="1" negativeBarBorderColorSameAsPositive="0">
              <x14:cfvo type="autoMin"/>
              <x14:cfvo type="autoMax"/>
              <x14:borderColor rgb="FF63C384"/>
              <x14:negativeFillColor rgb="FFFF0000"/>
              <x14:negativeBorderColor rgb="FFFF0000"/>
              <x14:axisColor rgb="FF000000"/>
            </x14:dataBar>
          </x14:cfRule>
          <xm:sqref>AG159</xm:sqref>
        </x14:conditionalFormatting>
        <x14:conditionalFormatting xmlns:xm="http://schemas.microsoft.com/office/excel/2006/main">
          <x14:cfRule type="dataBar" id="{A31D2164-8CD5-434C-80FC-EEAA588C7525}">
            <x14:dataBar minLength="0" maxLength="100" border="1" negativeBarBorderColorSameAsPositive="0">
              <x14:cfvo type="autoMin"/>
              <x14:cfvo type="autoMax"/>
              <x14:borderColor rgb="FF63C384"/>
              <x14:negativeFillColor rgb="FFFF0000"/>
              <x14:negativeBorderColor rgb="FFFF0000"/>
              <x14:axisColor rgb="FF000000"/>
            </x14:dataBar>
          </x14:cfRule>
          <xm:sqref>AG160</xm:sqref>
        </x14:conditionalFormatting>
        <x14:conditionalFormatting xmlns:xm="http://schemas.microsoft.com/office/excel/2006/main">
          <x14:cfRule type="dataBar" id="{0518FE2F-DCCB-4BF6-AF7E-7B9440A0B86D}">
            <x14:dataBar minLength="0" maxLength="100" border="1" negativeBarBorderColorSameAsPositive="0">
              <x14:cfvo type="autoMin"/>
              <x14:cfvo type="autoMax"/>
              <x14:borderColor rgb="FF63C384"/>
              <x14:negativeFillColor rgb="FFFF0000"/>
              <x14:negativeBorderColor rgb="FFFF0000"/>
              <x14:axisColor rgb="FF000000"/>
            </x14:dataBar>
          </x14:cfRule>
          <xm:sqref>AG160</xm:sqref>
        </x14:conditionalFormatting>
        <x14:conditionalFormatting xmlns:xm="http://schemas.microsoft.com/office/excel/2006/main">
          <x14:cfRule type="dataBar" id="{83233C83-90E2-4B53-9722-F9C939E24560}">
            <x14:dataBar minLength="0" maxLength="100" border="1" negativeBarBorderColorSameAsPositive="0">
              <x14:cfvo type="autoMin"/>
              <x14:cfvo type="autoMax"/>
              <x14:borderColor rgb="FF63C384"/>
              <x14:negativeFillColor rgb="FFFF0000"/>
              <x14:negativeBorderColor rgb="FFFF0000"/>
              <x14:axisColor rgb="FF000000"/>
            </x14:dataBar>
          </x14:cfRule>
          <xm:sqref>AG161</xm:sqref>
        </x14:conditionalFormatting>
        <x14:conditionalFormatting xmlns:xm="http://schemas.microsoft.com/office/excel/2006/main">
          <x14:cfRule type="dataBar" id="{0B83A23A-1D91-4108-AF98-851A8C2C9158}">
            <x14:dataBar minLength="0" maxLength="100" border="1" negativeBarBorderColorSameAsPositive="0">
              <x14:cfvo type="autoMin"/>
              <x14:cfvo type="autoMax"/>
              <x14:borderColor rgb="FF63C384"/>
              <x14:negativeFillColor rgb="FFFF0000"/>
              <x14:negativeBorderColor rgb="FFFF0000"/>
              <x14:axisColor rgb="FF000000"/>
            </x14:dataBar>
          </x14:cfRule>
          <xm:sqref>AG161</xm:sqref>
        </x14:conditionalFormatting>
        <x14:conditionalFormatting xmlns:xm="http://schemas.microsoft.com/office/excel/2006/main">
          <x14:cfRule type="dataBar" id="{32A77051-B9C0-49DB-90C7-02EC9AC8B3EB}">
            <x14:dataBar minLength="0" maxLength="100" border="1" negativeBarBorderColorSameAsPositive="0">
              <x14:cfvo type="autoMin"/>
              <x14:cfvo type="autoMax"/>
              <x14:borderColor rgb="FF63C384"/>
              <x14:negativeFillColor rgb="FFFF0000"/>
              <x14:negativeBorderColor rgb="FFFF0000"/>
              <x14:axisColor rgb="FF000000"/>
            </x14:dataBar>
          </x14:cfRule>
          <xm:sqref>AG162</xm:sqref>
        </x14:conditionalFormatting>
        <x14:conditionalFormatting xmlns:xm="http://schemas.microsoft.com/office/excel/2006/main">
          <x14:cfRule type="dataBar" id="{B8E3C382-5D22-4D2D-B351-342D6B4724CA}">
            <x14:dataBar minLength="0" maxLength="100" border="1" negativeBarBorderColorSameAsPositive="0">
              <x14:cfvo type="autoMin"/>
              <x14:cfvo type="autoMax"/>
              <x14:borderColor rgb="FF63C384"/>
              <x14:negativeFillColor rgb="FFFF0000"/>
              <x14:negativeBorderColor rgb="FFFF0000"/>
              <x14:axisColor rgb="FF000000"/>
            </x14:dataBar>
          </x14:cfRule>
          <xm:sqref>AG162</xm:sqref>
        </x14:conditionalFormatting>
        <x14:conditionalFormatting xmlns:xm="http://schemas.microsoft.com/office/excel/2006/main">
          <x14:cfRule type="dataBar" id="{B71084B3-B0FD-416F-B16A-F362865E3B0C}">
            <x14:dataBar minLength="0" maxLength="100" border="1" negativeBarBorderColorSameAsPositive="0">
              <x14:cfvo type="autoMin"/>
              <x14:cfvo type="autoMax"/>
              <x14:borderColor rgb="FF63C384"/>
              <x14:negativeFillColor rgb="FFFF0000"/>
              <x14:negativeBorderColor rgb="FFFF0000"/>
              <x14:axisColor rgb="FF000000"/>
            </x14:dataBar>
          </x14:cfRule>
          <xm:sqref>AG163</xm:sqref>
        </x14:conditionalFormatting>
        <x14:conditionalFormatting xmlns:xm="http://schemas.microsoft.com/office/excel/2006/main">
          <x14:cfRule type="dataBar" id="{D5723DC2-130E-4737-B6CD-5028CF9978C7}">
            <x14:dataBar minLength="0" maxLength="100" border="1" negativeBarBorderColorSameAsPositive="0">
              <x14:cfvo type="autoMin"/>
              <x14:cfvo type="autoMax"/>
              <x14:borderColor rgb="FF63C384"/>
              <x14:negativeFillColor rgb="FFFF0000"/>
              <x14:negativeBorderColor rgb="FFFF0000"/>
              <x14:axisColor rgb="FF000000"/>
            </x14:dataBar>
          </x14:cfRule>
          <xm:sqref>AG163</xm:sqref>
        </x14:conditionalFormatting>
        <x14:conditionalFormatting xmlns:xm="http://schemas.microsoft.com/office/excel/2006/main">
          <x14:cfRule type="dataBar" id="{CE7D86C5-96F1-47BF-9DD9-1833DCFF48E3}">
            <x14:dataBar minLength="0" maxLength="100" border="1" negativeBarBorderColorSameAsPositive="0">
              <x14:cfvo type="autoMin"/>
              <x14:cfvo type="autoMax"/>
              <x14:borderColor rgb="FF63C384"/>
              <x14:negativeFillColor rgb="FFFF0000"/>
              <x14:negativeBorderColor rgb="FFFF0000"/>
              <x14:axisColor rgb="FF000000"/>
            </x14:dataBar>
          </x14:cfRule>
          <xm:sqref>AG156</xm:sqref>
        </x14:conditionalFormatting>
        <x14:conditionalFormatting xmlns:xm="http://schemas.microsoft.com/office/excel/2006/main">
          <x14:cfRule type="dataBar" id="{4C3A9141-B373-408B-AED7-C0862B055E31}">
            <x14:dataBar minLength="0" maxLength="100" border="1" negativeBarBorderColorSameAsPositive="0">
              <x14:cfvo type="autoMin"/>
              <x14:cfvo type="autoMax"/>
              <x14:borderColor rgb="FF63C384"/>
              <x14:negativeFillColor rgb="FFFF0000"/>
              <x14:negativeBorderColor rgb="FFFF0000"/>
              <x14:axisColor rgb="FF000000"/>
            </x14:dataBar>
          </x14:cfRule>
          <xm:sqref>AG156</xm:sqref>
        </x14:conditionalFormatting>
        <x14:conditionalFormatting xmlns:xm="http://schemas.microsoft.com/office/excel/2006/main">
          <x14:cfRule type="dataBar" id="{97D0FA1A-8EC4-47A7-B867-BEC7A466F654}">
            <x14:dataBar minLength="0" maxLength="100" border="1" negativeBarBorderColorSameAsPositive="0">
              <x14:cfvo type="autoMin"/>
              <x14:cfvo type="autoMax"/>
              <x14:borderColor rgb="FF63C384"/>
              <x14:negativeFillColor rgb="FFFF0000"/>
              <x14:negativeBorderColor rgb="FFFF0000"/>
              <x14:axisColor rgb="FF000000"/>
            </x14:dataBar>
          </x14:cfRule>
          <xm:sqref>AG157</xm:sqref>
        </x14:conditionalFormatting>
        <x14:conditionalFormatting xmlns:xm="http://schemas.microsoft.com/office/excel/2006/main">
          <x14:cfRule type="dataBar" id="{37BB5FE0-11B0-4A1D-930B-449EDC7F0B07}">
            <x14:dataBar minLength="0" maxLength="100" border="1" negativeBarBorderColorSameAsPositive="0">
              <x14:cfvo type="autoMin"/>
              <x14:cfvo type="autoMax"/>
              <x14:borderColor rgb="FF63C384"/>
              <x14:negativeFillColor rgb="FFFF0000"/>
              <x14:negativeBorderColor rgb="FFFF0000"/>
              <x14:axisColor rgb="FF000000"/>
            </x14:dataBar>
          </x14:cfRule>
          <xm:sqref>AG157</xm:sqref>
        </x14:conditionalFormatting>
        <x14:conditionalFormatting xmlns:xm="http://schemas.microsoft.com/office/excel/2006/main">
          <x14:cfRule type="dataBar" id="{16BB8ED9-CB95-47F7-8906-8698C9AF696E}">
            <x14:dataBar minLength="0" maxLength="100" border="1" negativeBarBorderColorSameAsPositive="0">
              <x14:cfvo type="autoMin"/>
              <x14:cfvo type="autoMax"/>
              <x14:borderColor rgb="FF63C384"/>
              <x14:negativeFillColor rgb="FFFF0000"/>
              <x14:negativeBorderColor rgb="FFFF0000"/>
              <x14:axisColor rgb="FF000000"/>
            </x14:dataBar>
          </x14:cfRule>
          <xm:sqref>AG164</xm:sqref>
        </x14:conditionalFormatting>
        <x14:conditionalFormatting xmlns:xm="http://schemas.microsoft.com/office/excel/2006/main">
          <x14:cfRule type="dataBar" id="{16CC5A4F-CD2A-4BA8-A7E7-7447B710011D}">
            <x14:dataBar minLength="0" maxLength="100" border="1" negativeBarBorderColorSameAsPositive="0">
              <x14:cfvo type="autoMin"/>
              <x14:cfvo type="autoMax"/>
              <x14:borderColor rgb="FF63C384"/>
              <x14:negativeFillColor rgb="FFFF0000"/>
              <x14:negativeBorderColor rgb="FFFF0000"/>
              <x14:axisColor rgb="FF000000"/>
            </x14:dataBar>
          </x14:cfRule>
          <xm:sqref>AG165</xm:sqref>
        </x14:conditionalFormatting>
        <x14:conditionalFormatting xmlns:xm="http://schemas.microsoft.com/office/excel/2006/main">
          <x14:cfRule type="dataBar" id="{627B5BCA-D147-42D0-83B6-DE677EA2F3C8}">
            <x14:dataBar minLength="0" maxLength="100" border="1" negativeBarBorderColorSameAsPositive="0">
              <x14:cfvo type="autoMin"/>
              <x14:cfvo type="autoMax"/>
              <x14:borderColor rgb="FF63C384"/>
              <x14:negativeFillColor rgb="FFFF0000"/>
              <x14:negativeBorderColor rgb="FFFF0000"/>
              <x14:axisColor rgb="FF000000"/>
            </x14:dataBar>
          </x14:cfRule>
          <xm:sqref>AG165</xm:sqref>
        </x14:conditionalFormatting>
        <x14:conditionalFormatting xmlns:xm="http://schemas.microsoft.com/office/excel/2006/main">
          <x14:cfRule type="dataBar" id="{BFEF9B95-3B2C-49AE-8CF1-86A14F1ED329}">
            <x14:dataBar minLength="0" maxLength="100" border="1" negativeBarBorderColorSameAsPositive="0">
              <x14:cfvo type="autoMin"/>
              <x14:cfvo type="autoMax"/>
              <x14:borderColor rgb="FF63C384"/>
              <x14:negativeFillColor rgb="FFFF0000"/>
              <x14:negativeBorderColor rgb="FFFF0000"/>
              <x14:axisColor rgb="FF000000"/>
            </x14:dataBar>
          </x14:cfRule>
          <xm:sqref>AG166</xm:sqref>
        </x14:conditionalFormatting>
        <x14:conditionalFormatting xmlns:xm="http://schemas.microsoft.com/office/excel/2006/main">
          <x14:cfRule type="dataBar" id="{875ACD6D-1D7B-40F9-9539-FE3B15B3473E}">
            <x14:dataBar minLength="0" maxLength="100" border="1" negativeBarBorderColorSameAsPositive="0">
              <x14:cfvo type="autoMin"/>
              <x14:cfvo type="autoMax"/>
              <x14:borderColor rgb="FF63C384"/>
              <x14:negativeFillColor rgb="FFFF0000"/>
              <x14:negativeBorderColor rgb="FFFF0000"/>
              <x14:axisColor rgb="FF000000"/>
            </x14:dataBar>
          </x14:cfRule>
          <xm:sqref>AG166</xm:sqref>
        </x14:conditionalFormatting>
        <x14:conditionalFormatting xmlns:xm="http://schemas.microsoft.com/office/excel/2006/main">
          <x14:cfRule type="dataBar" id="{243099A7-6309-49FE-94B6-42960E0C79B1}">
            <x14:dataBar minLength="0" maxLength="100" border="1" negativeBarBorderColorSameAsPositive="0">
              <x14:cfvo type="autoMin"/>
              <x14:cfvo type="autoMax"/>
              <x14:borderColor rgb="FF63C384"/>
              <x14:negativeFillColor rgb="FFFF0000"/>
              <x14:negativeBorderColor rgb="FFFF0000"/>
              <x14:axisColor rgb="FF000000"/>
            </x14:dataBar>
          </x14:cfRule>
          <xm:sqref>AG167</xm:sqref>
        </x14:conditionalFormatting>
        <x14:conditionalFormatting xmlns:xm="http://schemas.microsoft.com/office/excel/2006/main">
          <x14:cfRule type="dataBar" id="{9E01AF57-D53B-4566-8238-9F5F21F03573}">
            <x14:dataBar minLength="0" maxLength="100" border="1" negativeBarBorderColorSameAsPositive="0">
              <x14:cfvo type="autoMin"/>
              <x14:cfvo type="autoMax"/>
              <x14:borderColor rgb="FF63C384"/>
              <x14:negativeFillColor rgb="FFFF0000"/>
              <x14:negativeBorderColor rgb="FFFF0000"/>
              <x14:axisColor rgb="FF000000"/>
            </x14:dataBar>
          </x14:cfRule>
          <xm:sqref>AG167</xm:sqref>
        </x14:conditionalFormatting>
        <x14:conditionalFormatting xmlns:xm="http://schemas.microsoft.com/office/excel/2006/main">
          <x14:cfRule type="dataBar" id="{A951543F-4E69-40BF-9A4F-0A22F30D220D}">
            <x14:dataBar minLength="0" maxLength="100" border="1" negativeBarBorderColorSameAsPositive="0">
              <x14:cfvo type="autoMin"/>
              <x14:cfvo type="autoMax"/>
              <x14:borderColor rgb="FF63C384"/>
              <x14:negativeFillColor rgb="FFFF0000"/>
              <x14:negativeBorderColor rgb="FFFF0000"/>
              <x14:axisColor rgb="FF000000"/>
            </x14:dataBar>
          </x14:cfRule>
          <xm:sqref>AG168</xm:sqref>
        </x14:conditionalFormatting>
        <x14:conditionalFormatting xmlns:xm="http://schemas.microsoft.com/office/excel/2006/main">
          <x14:cfRule type="dataBar" id="{5B28F3F4-3E67-4685-BDC2-86F7617C2314}">
            <x14:dataBar minLength="0" maxLength="100" border="1" negativeBarBorderColorSameAsPositive="0">
              <x14:cfvo type="autoMin"/>
              <x14:cfvo type="autoMax"/>
              <x14:borderColor rgb="FF63C384"/>
              <x14:negativeFillColor rgb="FFFF0000"/>
              <x14:negativeBorderColor rgb="FFFF0000"/>
              <x14:axisColor rgb="FF000000"/>
            </x14:dataBar>
          </x14:cfRule>
          <xm:sqref>AG168</xm:sqref>
        </x14:conditionalFormatting>
        <x14:conditionalFormatting xmlns:xm="http://schemas.microsoft.com/office/excel/2006/main">
          <x14:cfRule type="dataBar" id="{0CBC8809-31EA-4DEB-8CE1-645354EB5367}">
            <x14:dataBar minLength="0" maxLength="100" border="1" negativeBarBorderColorSameAsPositive="0">
              <x14:cfvo type="autoMin"/>
              <x14:cfvo type="autoMax"/>
              <x14:borderColor rgb="FF63C384"/>
              <x14:negativeFillColor rgb="FFFF0000"/>
              <x14:negativeBorderColor rgb="FFFF0000"/>
              <x14:axisColor rgb="FF000000"/>
            </x14:dataBar>
          </x14:cfRule>
          <xm:sqref>AG169</xm:sqref>
        </x14:conditionalFormatting>
        <x14:conditionalFormatting xmlns:xm="http://schemas.microsoft.com/office/excel/2006/main">
          <x14:cfRule type="dataBar" id="{6A4AEDB4-2628-46F2-A21C-72A56F78939B}">
            <x14:dataBar minLength="0" maxLength="100" border="1" negativeBarBorderColorSameAsPositive="0">
              <x14:cfvo type="autoMin"/>
              <x14:cfvo type="autoMax"/>
              <x14:borderColor rgb="FF63C384"/>
              <x14:negativeFillColor rgb="FFFF0000"/>
              <x14:negativeBorderColor rgb="FFFF0000"/>
              <x14:axisColor rgb="FF000000"/>
            </x14:dataBar>
          </x14:cfRule>
          <xm:sqref>AG169</xm:sqref>
        </x14:conditionalFormatting>
        <x14:conditionalFormatting xmlns:xm="http://schemas.microsoft.com/office/excel/2006/main">
          <x14:cfRule type="dataBar" id="{6F9E57E2-F8A3-41F3-A728-2757D75100A1}">
            <x14:dataBar minLength="0" maxLength="100" border="1" negativeBarBorderColorSameAsPositive="0">
              <x14:cfvo type="autoMin"/>
              <x14:cfvo type="autoMax"/>
              <x14:borderColor rgb="FF63C384"/>
              <x14:negativeFillColor rgb="FFFF0000"/>
              <x14:negativeBorderColor rgb="FFFF0000"/>
              <x14:axisColor rgb="FF000000"/>
            </x14:dataBar>
          </x14:cfRule>
          <xm:sqref>AG170</xm:sqref>
        </x14:conditionalFormatting>
        <x14:conditionalFormatting xmlns:xm="http://schemas.microsoft.com/office/excel/2006/main">
          <x14:cfRule type="dataBar" id="{D2440597-37A7-41DE-9E73-F7C9AE46B9C2}">
            <x14:dataBar minLength="0" maxLength="100" border="1" negativeBarBorderColorSameAsPositive="0">
              <x14:cfvo type="autoMin"/>
              <x14:cfvo type="autoMax"/>
              <x14:borderColor rgb="FF63C384"/>
              <x14:negativeFillColor rgb="FFFF0000"/>
              <x14:negativeBorderColor rgb="FFFF0000"/>
              <x14:axisColor rgb="FF000000"/>
            </x14:dataBar>
          </x14:cfRule>
          <xm:sqref>AG170</xm:sqref>
        </x14:conditionalFormatting>
        <x14:conditionalFormatting xmlns:xm="http://schemas.microsoft.com/office/excel/2006/main">
          <x14:cfRule type="dataBar" id="{B672CB17-E047-4243-9A3F-72A8709F8899}">
            <x14:dataBar minLength="0" maxLength="100" border="1" negativeBarBorderColorSameAsPositive="0">
              <x14:cfvo type="autoMin"/>
              <x14:cfvo type="autoMax"/>
              <x14:borderColor rgb="FF63C384"/>
              <x14:negativeFillColor rgb="FFFF0000"/>
              <x14:negativeBorderColor rgb="FFFF0000"/>
              <x14:axisColor rgb="FF000000"/>
            </x14:dataBar>
          </x14:cfRule>
          <xm:sqref>AG171</xm:sqref>
        </x14:conditionalFormatting>
        <x14:conditionalFormatting xmlns:xm="http://schemas.microsoft.com/office/excel/2006/main">
          <x14:cfRule type="dataBar" id="{C898E76E-1E4C-41FF-9946-273720106B8F}">
            <x14:dataBar minLength="0" maxLength="100" border="1" negativeBarBorderColorSameAsPositive="0">
              <x14:cfvo type="autoMin"/>
              <x14:cfvo type="autoMax"/>
              <x14:borderColor rgb="FF63C384"/>
              <x14:negativeFillColor rgb="FFFF0000"/>
              <x14:negativeBorderColor rgb="FFFF0000"/>
              <x14:axisColor rgb="FF000000"/>
            </x14:dataBar>
          </x14:cfRule>
          <xm:sqref>AG171</xm:sqref>
        </x14:conditionalFormatting>
        <x14:conditionalFormatting xmlns:xm="http://schemas.microsoft.com/office/excel/2006/main">
          <x14:cfRule type="dataBar" id="{8DC446B5-10CC-4DC8-9815-3546EB1D37D4}">
            <x14:dataBar minLength="0" maxLength="100" border="1" negativeBarBorderColorSameAsPositive="0">
              <x14:cfvo type="autoMin"/>
              <x14:cfvo type="autoMax"/>
              <x14:borderColor rgb="FF63C384"/>
              <x14:negativeFillColor rgb="FFFF0000"/>
              <x14:negativeBorderColor rgb="FFFF0000"/>
              <x14:axisColor rgb="FF000000"/>
            </x14:dataBar>
          </x14:cfRule>
          <xm:sqref>AG172</xm:sqref>
        </x14:conditionalFormatting>
        <x14:conditionalFormatting xmlns:xm="http://schemas.microsoft.com/office/excel/2006/main">
          <x14:cfRule type="dataBar" id="{C992D39E-3FE1-4D4F-B328-2575132E8903}">
            <x14:dataBar minLength="0" maxLength="100" border="1" negativeBarBorderColorSameAsPositive="0">
              <x14:cfvo type="autoMin"/>
              <x14:cfvo type="autoMax"/>
              <x14:borderColor rgb="FF63C384"/>
              <x14:negativeFillColor rgb="FFFF0000"/>
              <x14:negativeBorderColor rgb="FFFF0000"/>
              <x14:axisColor rgb="FF000000"/>
            </x14:dataBar>
          </x14:cfRule>
          <xm:sqref>AG172</xm:sqref>
        </x14:conditionalFormatting>
        <x14:conditionalFormatting xmlns:xm="http://schemas.microsoft.com/office/excel/2006/main">
          <x14:cfRule type="dataBar" id="{37E526DB-6A04-4627-984A-93AB94677A91}">
            <x14:dataBar minLength="0" maxLength="100" border="1" negativeBarBorderColorSameAsPositive="0">
              <x14:cfvo type="autoMin"/>
              <x14:cfvo type="autoMax"/>
              <x14:borderColor rgb="FF63C384"/>
              <x14:negativeFillColor rgb="FFFF0000"/>
              <x14:negativeBorderColor rgb="FFFF0000"/>
              <x14:axisColor rgb="FF000000"/>
            </x14:dataBar>
          </x14:cfRule>
          <xm:sqref>AG173</xm:sqref>
        </x14:conditionalFormatting>
        <x14:conditionalFormatting xmlns:xm="http://schemas.microsoft.com/office/excel/2006/main">
          <x14:cfRule type="dataBar" id="{8DAF25F3-359D-43B7-AC80-A56537499AF3}">
            <x14:dataBar minLength="0" maxLength="100" border="1" negativeBarBorderColorSameAsPositive="0">
              <x14:cfvo type="autoMin"/>
              <x14:cfvo type="autoMax"/>
              <x14:borderColor rgb="FF63C384"/>
              <x14:negativeFillColor rgb="FFFF0000"/>
              <x14:negativeBorderColor rgb="FFFF0000"/>
              <x14:axisColor rgb="FF000000"/>
            </x14:dataBar>
          </x14:cfRule>
          <xm:sqref>AG173</xm:sqref>
        </x14:conditionalFormatting>
        <x14:conditionalFormatting xmlns:xm="http://schemas.microsoft.com/office/excel/2006/main">
          <x14:cfRule type="dataBar" id="{89640A8A-A13A-4E5C-8173-4CC15EFD43D5}">
            <x14:dataBar minLength="0" maxLength="100" border="1" negativeBarBorderColorSameAsPositive="0">
              <x14:cfvo type="autoMin"/>
              <x14:cfvo type="autoMax"/>
              <x14:borderColor rgb="FF63C384"/>
              <x14:negativeFillColor rgb="FFFF0000"/>
              <x14:negativeBorderColor rgb="FFFF0000"/>
              <x14:axisColor rgb="FF000000"/>
            </x14:dataBar>
          </x14:cfRule>
          <xm:sqref>AG174</xm:sqref>
        </x14:conditionalFormatting>
        <x14:conditionalFormatting xmlns:xm="http://schemas.microsoft.com/office/excel/2006/main">
          <x14:cfRule type="dataBar" id="{96A0B4BD-4860-4EDD-A275-F60B29A74E5E}">
            <x14:dataBar minLength="0" maxLength="100" border="1" negativeBarBorderColorSameAsPositive="0">
              <x14:cfvo type="autoMin"/>
              <x14:cfvo type="autoMax"/>
              <x14:borderColor rgb="FF63C384"/>
              <x14:negativeFillColor rgb="FFFF0000"/>
              <x14:negativeBorderColor rgb="FFFF0000"/>
              <x14:axisColor rgb="FF000000"/>
            </x14:dataBar>
          </x14:cfRule>
          <xm:sqref>AG174</xm:sqref>
        </x14:conditionalFormatting>
        <x14:conditionalFormatting xmlns:xm="http://schemas.microsoft.com/office/excel/2006/main">
          <x14:cfRule type="dataBar" id="{FC331263-670F-4A83-A6C5-CCB2E26EB210}">
            <x14:dataBar minLength="0" maxLength="100" border="1" negativeBarBorderColorSameAsPositive="0">
              <x14:cfvo type="autoMin"/>
              <x14:cfvo type="autoMax"/>
              <x14:borderColor rgb="FF63C384"/>
              <x14:negativeFillColor rgb="FFFF0000"/>
              <x14:negativeBorderColor rgb="FFFF0000"/>
              <x14:axisColor rgb="FF000000"/>
            </x14:dataBar>
          </x14:cfRule>
          <xm:sqref>AG175</xm:sqref>
        </x14:conditionalFormatting>
        <x14:conditionalFormatting xmlns:xm="http://schemas.microsoft.com/office/excel/2006/main">
          <x14:cfRule type="dataBar" id="{F8744FEE-0710-4CBF-B1C7-467B7A3B8C01}">
            <x14:dataBar minLength="0" maxLength="100" border="1" negativeBarBorderColorSameAsPositive="0">
              <x14:cfvo type="autoMin"/>
              <x14:cfvo type="autoMax"/>
              <x14:borderColor rgb="FF63C384"/>
              <x14:negativeFillColor rgb="FFFF0000"/>
              <x14:negativeBorderColor rgb="FFFF0000"/>
              <x14:axisColor rgb="FF000000"/>
            </x14:dataBar>
          </x14:cfRule>
          <xm:sqref>AG175</xm:sqref>
        </x14:conditionalFormatting>
        <x14:conditionalFormatting xmlns:xm="http://schemas.microsoft.com/office/excel/2006/main">
          <x14:cfRule type="dataBar" id="{70992BE4-5D92-40D9-8705-8A70F6DAC988}">
            <x14:dataBar minLength="0" maxLength="100" border="1" negativeBarBorderColorSameAsPositive="0">
              <x14:cfvo type="autoMin"/>
              <x14:cfvo type="autoMax"/>
              <x14:borderColor rgb="FF63C384"/>
              <x14:negativeFillColor rgb="FFFF0000"/>
              <x14:negativeBorderColor rgb="FFFF0000"/>
              <x14:axisColor rgb="FF000000"/>
            </x14:dataBar>
          </x14:cfRule>
          <xm:sqref>AG176</xm:sqref>
        </x14:conditionalFormatting>
        <x14:conditionalFormatting xmlns:xm="http://schemas.microsoft.com/office/excel/2006/main">
          <x14:cfRule type="dataBar" id="{3CD950FA-F61E-4332-A568-168755FCD71D}">
            <x14:dataBar minLength="0" maxLength="100" border="1" negativeBarBorderColorSameAsPositive="0">
              <x14:cfvo type="autoMin"/>
              <x14:cfvo type="autoMax"/>
              <x14:borderColor rgb="FF63C384"/>
              <x14:negativeFillColor rgb="FFFF0000"/>
              <x14:negativeBorderColor rgb="FFFF0000"/>
              <x14:axisColor rgb="FF000000"/>
            </x14:dataBar>
          </x14:cfRule>
          <xm:sqref>AG176</xm:sqref>
        </x14:conditionalFormatting>
        <x14:conditionalFormatting xmlns:xm="http://schemas.microsoft.com/office/excel/2006/main">
          <x14:cfRule type="dataBar" id="{D085F05E-22C6-47EB-952B-B73C77744E46}">
            <x14:dataBar minLength="0" maxLength="100" border="1" negativeBarBorderColorSameAsPositive="0">
              <x14:cfvo type="autoMin"/>
              <x14:cfvo type="autoMax"/>
              <x14:borderColor rgb="FF63C384"/>
              <x14:negativeFillColor rgb="FFFF0000"/>
              <x14:negativeBorderColor rgb="FFFF0000"/>
              <x14:axisColor rgb="FF000000"/>
            </x14:dataBar>
          </x14:cfRule>
          <xm:sqref>AG177</xm:sqref>
        </x14:conditionalFormatting>
        <x14:conditionalFormatting xmlns:xm="http://schemas.microsoft.com/office/excel/2006/main">
          <x14:cfRule type="dataBar" id="{E61C3EB7-CDA0-40AB-AD0A-685D7BAD7F11}">
            <x14:dataBar minLength="0" maxLength="100" border="1" negativeBarBorderColorSameAsPositive="0">
              <x14:cfvo type="autoMin"/>
              <x14:cfvo type="autoMax"/>
              <x14:borderColor rgb="FF63C384"/>
              <x14:negativeFillColor rgb="FFFF0000"/>
              <x14:negativeBorderColor rgb="FFFF0000"/>
              <x14:axisColor rgb="FF000000"/>
            </x14:dataBar>
          </x14:cfRule>
          <xm:sqref>AG177</xm:sqref>
        </x14:conditionalFormatting>
        <x14:conditionalFormatting xmlns:xm="http://schemas.microsoft.com/office/excel/2006/main">
          <x14:cfRule type="dataBar" id="{A14F38C5-78A6-48C5-B6FB-F0FE75B6B181}">
            <x14:dataBar minLength="0" maxLength="100" border="1" negativeBarBorderColorSameAsPositive="0">
              <x14:cfvo type="autoMin"/>
              <x14:cfvo type="autoMax"/>
              <x14:borderColor rgb="FF63C384"/>
              <x14:negativeFillColor rgb="FFFF0000"/>
              <x14:negativeBorderColor rgb="FFFF0000"/>
              <x14:axisColor rgb="FF000000"/>
            </x14:dataBar>
          </x14:cfRule>
          <xm:sqref>AG178</xm:sqref>
        </x14:conditionalFormatting>
        <x14:conditionalFormatting xmlns:xm="http://schemas.microsoft.com/office/excel/2006/main">
          <x14:cfRule type="dataBar" id="{C4324920-841D-409C-8385-3F57A5F33D08}">
            <x14:dataBar minLength="0" maxLength="100" border="1" negativeBarBorderColorSameAsPositive="0">
              <x14:cfvo type="autoMin"/>
              <x14:cfvo type="autoMax"/>
              <x14:borderColor rgb="FF63C384"/>
              <x14:negativeFillColor rgb="FFFF0000"/>
              <x14:negativeBorderColor rgb="FFFF0000"/>
              <x14:axisColor rgb="FF000000"/>
            </x14:dataBar>
          </x14:cfRule>
          <xm:sqref>AG178</xm:sqref>
        </x14:conditionalFormatting>
        <x14:conditionalFormatting xmlns:xm="http://schemas.microsoft.com/office/excel/2006/main">
          <x14:cfRule type="dataBar" id="{7F84D124-FD98-4ADB-818E-D7918A452EE0}">
            <x14:dataBar minLength="0" maxLength="100" border="1" negativeBarBorderColorSameAsPositive="0">
              <x14:cfvo type="autoMin"/>
              <x14:cfvo type="autoMax"/>
              <x14:borderColor rgb="FF63C384"/>
              <x14:negativeFillColor rgb="FFFF0000"/>
              <x14:negativeBorderColor rgb="FFFF0000"/>
              <x14:axisColor rgb="FF000000"/>
            </x14:dataBar>
          </x14:cfRule>
          <xm:sqref>AG179</xm:sqref>
        </x14:conditionalFormatting>
        <x14:conditionalFormatting xmlns:xm="http://schemas.microsoft.com/office/excel/2006/main">
          <x14:cfRule type="dataBar" id="{50775010-6F40-47B5-9488-8805386BB57F}">
            <x14:dataBar minLength="0" maxLength="100" border="1" negativeBarBorderColorSameAsPositive="0">
              <x14:cfvo type="autoMin"/>
              <x14:cfvo type="autoMax"/>
              <x14:borderColor rgb="FF63C384"/>
              <x14:negativeFillColor rgb="FFFF0000"/>
              <x14:negativeBorderColor rgb="FFFF0000"/>
              <x14:axisColor rgb="FF000000"/>
            </x14:dataBar>
          </x14:cfRule>
          <xm:sqref>AG179</xm:sqref>
        </x14:conditionalFormatting>
        <x14:conditionalFormatting xmlns:xm="http://schemas.microsoft.com/office/excel/2006/main">
          <x14:cfRule type="dataBar" id="{98A300F0-5830-4453-A0B7-4C27B35196BB}">
            <x14:dataBar minLength="0" maxLength="100" border="1" negativeBarBorderColorSameAsPositive="0">
              <x14:cfvo type="autoMin"/>
              <x14:cfvo type="autoMax"/>
              <x14:borderColor rgb="FF63C384"/>
              <x14:negativeFillColor rgb="FFFF0000"/>
              <x14:negativeBorderColor rgb="FFFF0000"/>
              <x14:axisColor rgb="FF000000"/>
            </x14:dataBar>
          </x14:cfRule>
          <xm:sqref>AG180</xm:sqref>
        </x14:conditionalFormatting>
        <x14:conditionalFormatting xmlns:xm="http://schemas.microsoft.com/office/excel/2006/main">
          <x14:cfRule type="dataBar" id="{78C6C8C7-1529-4E8C-87E7-12080899C7CA}">
            <x14:dataBar minLength="0" maxLength="100" border="1" negativeBarBorderColorSameAsPositive="0">
              <x14:cfvo type="autoMin"/>
              <x14:cfvo type="autoMax"/>
              <x14:borderColor rgb="FF63C384"/>
              <x14:negativeFillColor rgb="FFFF0000"/>
              <x14:negativeBorderColor rgb="FFFF0000"/>
              <x14:axisColor rgb="FF000000"/>
            </x14:dataBar>
          </x14:cfRule>
          <xm:sqref>AG180</xm:sqref>
        </x14:conditionalFormatting>
        <x14:conditionalFormatting xmlns:xm="http://schemas.microsoft.com/office/excel/2006/main">
          <x14:cfRule type="dataBar" id="{9E45B2E7-D378-415D-A770-AAC092A3CBBC}">
            <x14:dataBar minLength="0" maxLength="100" border="1" negativeBarBorderColorSameAsPositive="0">
              <x14:cfvo type="autoMin"/>
              <x14:cfvo type="autoMax"/>
              <x14:borderColor rgb="FF63C384"/>
              <x14:negativeFillColor rgb="FFFF0000"/>
              <x14:negativeBorderColor rgb="FFFF0000"/>
              <x14:axisColor rgb="FF000000"/>
            </x14:dataBar>
          </x14:cfRule>
          <xm:sqref>AG181</xm:sqref>
        </x14:conditionalFormatting>
        <x14:conditionalFormatting xmlns:xm="http://schemas.microsoft.com/office/excel/2006/main">
          <x14:cfRule type="dataBar" id="{C572D108-874E-4FA9-BE0C-1EDFC82FC34C}">
            <x14:dataBar minLength="0" maxLength="100" border="1" negativeBarBorderColorSameAsPositive="0">
              <x14:cfvo type="autoMin"/>
              <x14:cfvo type="autoMax"/>
              <x14:borderColor rgb="FF63C384"/>
              <x14:negativeFillColor rgb="FFFF0000"/>
              <x14:negativeBorderColor rgb="FFFF0000"/>
              <x14:axisColor rgb="FF000000"/>
            </x14:dataBar>
          </x14:cfRule>
          <xm:sqref>AG181</xm:sqref>
        </x14:conditionalFormatting>
        <x14:conditionalFormatting xmlns:xm="http://schemas.microsoft.com/office/excel/2006/main">
          <x14:cfRule type="dataBar" id="{C3EECA87-D0E2-4122-A115-08D4E28A35D5}">
            <x14:dataBar minLength="0" maxLength="100" border="1" negativeBarBorderColorSameAsPositive="0">
              <x14:cfvo type="autoMin"/>
              <x14:cfvo type="autoMax"/>
              <x14:borderColor rgb="FF63C384"/>
              <x14:negativeFillColor rgb="FFFF0000"/>
              <x14:negativeBorderColor rgb="FFFF0000"/>
              <x14:axisColor rgb="FF000000"/>
            </x14:dataBar>
          </x14:cfRule>
          <xm:sqref>AG182</xm:sqref>
        </x14:conditionalFormatting>
        <x14:conditionalFormatting xmlns:xm="http://schemas.microsoft.com/office/excel/2006/main">
          <x14:cfRule type="dataBar" id="{72B0F2C0-FCEE-4D63-BB08-89C7A645B092}">
            <x14:dataBar minLength="0" maxLength="100" border="1" negativeBarBorderColorSameAsPositive="0">
              <x14:cfvo type="autoMin"/>
              <x14:cfvo type="autoMax"/>
              <x14:borderColor rgb="FF63C384"/>
              <x14:negativeFillColor rgb="FFFF0000"/>
              <x14:negativeBorderColor rgb="FFFF0000"/>
              <x14:axisColor rgb="FF000000"/>
            </x14:dataBar>
          </x14:cfRule>
          <xm:sqref>AG182</xm:sqref>
        </x14:conditionalFormatting>
        <x14:conditionalFormatting xmlns:xm="http://schemas.microsoft.com/office/excel/2006/main">
          <x14:cfRule type="dataBar" id="{2A410060-06EF-4026-AE73-C2B0F2362347}">
            <x14:dataBar minLength="0" maxLength="100" border="1" negativeBarBorderColorSameAsPositive="0">
              <x14:cfvo type="autoMin"/>
              <x14:cfvo type="autoMax"/>
              <x14:borderColor rgb="FF63C384"/>
              <x14:negativeFillColor rgb="FFFF0000"/>
              <x14:negativeBorderColor rgb="FFFF0000"/>
              <x14:axisColor rgb="FF000000"/>
            </x14:dataBar>
          </x14:cfRule>
          <xm:sqref>AG183</xm:sqref>
        </x14:conditionalFormatting>
        <x14:conditionalFormatting xmlns:xm="http://schemas.microsoft.com/office/excel/2006/main">
          <x14:cfRule type="dataBar" id="{976C6064-C8B3-4460-8765-80F27A45B58E}">
            <x14:dataBar minLength="0" maxLength="100" border="1" negativeBarBorderColorSameAsPositive="0">
              <x14:cfvo type="autoMin"/>
              <x14:cfvo type="autoMax"/>
              <x14:borderColor rgb="FF63C384"/>
              <x14:negativeFillColor rgb="FFFF0000"/>
              <x14:negativeBorderColor rgb="FFFF0000"/>
              <x14:axisColor rgb="FF000000"/>
            </x14:dataBar>
          </x14:cfRule>
          <xm:sqref>AG183</xm:sqref>
        </x14:conditionalFormatting>
        <x14:conditionalFormatting xmlns:xm="http://schemas.microsoft.com/office/excel/2006/main">
          <x14:cfRule type="dataBar" id="{2D4FA550-CC9F-4D73-8C58-DA729AA1CEAF}">
            <x14:dataBar minLength="0" maxLength="100" border="1" negativeBarBorderColorSameAsPositive="0">
              <x14:cfvo type="autoMin"/>
              <x14:cfvo type="autoMax"/>
              <x14:borderColor rgb="FF63C384"/>
              <x14:negativeFillColor rgb="FFFF0000"/>
              <x14:negativeBorderColor rgb="FFFF0000"/>
              <x14:axisColor rgb="FF000000"/>
            </x14:dataBar>
          </x14:cfRule>
          <xm:sqref>AG184</xm:sqref>
        </x14:conditionalFormatting>
        <x14:conditionalFormatting xmlns:xm="http://schemas.microsoft.com/office/excel/2006/main">
          <x14:cfRule type="dataBar" id="{CAF34597-BEB9-4F96-998C-C9E17AC9F18A}">
            <x14:dataBar minLength="0" maxLength="100" border="1" negativeBarBorderColorSameAsPositive="0">
              <x14:cfvo type="autoMin"/>
              <x14:cfvo type="autoMax"/>
              <x14:borderColor rgb="FF63C384"/>
              <x14:negativeFillColor rgb="FFFF0000"/>
              <x14:negativeBorderColor rgb="FFFF0000"/>
              <x14:axisColor rgb="FF000000"/>
            </x14:dataBar>
          </x14:cfRule>
          <xm:sqref>AG184</xm:sqref>
        </x14:conditionalFormatting>
        <x14:conditionalFormatting xmlns:xm="http://schemas.microsoft.com/office/excel/2006/main">
          <x14:cfRule type="dataBar" id="{90058351-0EF7-4667-9CC6-C7E602684887}">
            <x14:dataBar minLength="0" maxLength="100" border="1" negativeBarBorderColorSameAsPositive="0">
              <x14:cfvo type="autoMin"/>
              <x14:cfvo type="autoMax"/>
              <x14:borderColor rgb="FF63C384"/>
              <x14:negativeFillColor rgb="FFFF0000"/>
              <x14:negativeBorderColor rgb="FFFF0000"/>
              <x14:axisColor rgb="FF000000"/>
            </x14:dataBar>
          </x14:cfRule>
          <xm:sqref>AG185</xm:sqref>
        </x14:conditionalFormatting>
        <x14:conditionalFormatting xmlns:xm="http://schemas.microsoft.com/office/excel/2006/main">
          <x14:cfRule type="dataBar" id="{5EB7C289-C4D9-4B22-8077-2A5693E13F75}">
            <x14:dataBar minLength="0" maxLength="100" border="1" negativeBarBorderColorSameAsPositive="0">
              <x14:cfvo type="autoMin"/>
              <x14:cfvo type="autoMax"/>
              <x14:borderColor rgb="FF63C384"/>
              <x14:negativeFillColor rgb="FFFF0000"/>
              <x14:negativeBorderColor rgb="FFFF0000"/>
              <x14:axisColor rgb="FF000000"/>
            </x14:dataBar>
          </x14:cfRule>
          <xm:sqref>AG185</xm:sqref>
        </x14:conditionalFormatting>
        <x14:conditionalFormatting xmlns:xm="http://schemas.microsoft.com/office/excel/2006/main">
          <x14:cfRule type="dataBar" id="{9CDAA69F-F19B-4B2B-9247-FFE2266F057E}">
            <x14:dataBar minLength="0" maxLength="100" border="1" negativeBarBorderColorSameAsPositive="0">
              <x14:cfvo type="autoMin"/>
              <x14:cfvo type="autoMax"/>
              <x14:borderColor rgb="FF63C384"/>
              <x14:negativeFillColor rgb="FFFF0000"/>
              <x14:negativeBorderColor rgb="FFFF0000"/>
              <x14:axisColor rgb="FF000000"/>
            </x14:dataBar>
          </x14:cfRule>
          <xm:sqref>AG186</xm:sqref>
        </x14:conditionalFormatting>
        <x14:conditionalFormatting xmlns:xm="http://schemas.microsoft.com/office/excel/2006/main">
          <x14:cfRule type="dataBar" id="{1BA320A2-F599-42DA-88A7-AD512FEC1E52}">
            <x14:dataBar minLength="0" maxLength="100" border="1" negativeBarBorderColorSameAsPositive="0">
              <x14:cfvo type="autoMin"/>
              <x14:cfvo type="autoMax"/>
              <x14:borderColor rgb="FF63C384"/>
              <x14:negativeFillColor rgb="FFFF0000"/>
              <x14:negativeBorderColor rgb="FFFF0000"/>
              <x14:axisColor rgb="FF000000"/>
            </x14:dataBar>
          </x14:cfRule>
          <xm:sqref>AG186</xm:sqref>
        </x14:conditionalFormatting>
        <x14:conditionalFormatting xmlns:xm="http://schemas.microsoft.com/office/excel/2006/main">
          <x14:cfRule type="dataBar" id="{C5E77D8D-0B39-4DBE-8B14-B658092C8A01}">
            <x14:dataBar minLength="0" maxLength="100" border="1" negativeBarBorderColorSameAsPositive="0">
              <x14:cfvo type="autoMin"/>
              <x14:cfvo type="autoMax"/>
              <x14:borderColor rgb="FF63C384"/>
              <x14:negativeFillColor rgb="FFFF0000"/>
              <x14:negativeBorderColor rgb="FFFF0000"/>
              <x14:axisColor rgb="FF000000"/>
            </x14:dataBar>
          </x14:cfRule>
          <xm:sqref>AG187</xm:sqref>
        </x14:conditionalFormatting>
        <x14:conditionalFormatting xmlns:xm="http://schemas.microsoft.com/office/excel/2006/main">
          <x14:cfRule type="dataBar" id="{210A47AE-B330-4FB4-A732-E61EB8BC117D}">
            <x14:dataBar minLength="0" maxLength="100" border="1" negativeBarBorderColorSameAsPositive="0">
              <x14:cfvo type="autoMin"/>
              <x14:cfvo type="autoMax"/>
              <x14:borderColor rgb="FF63C384"/>
              <x14:negativeFillColor rgb="FFFF0000"/>
              <x14:negativeBorderColor rgb="FFFF0000"/>
              <x14:axisColor rgb="FF000000"/>
            </x14:dataBar>
          </x14:cfRule>
          <xm:sqref>AG187</xm:sqref>
        </x14:conditionalFormatting>
        <x14:conditionalFormatting xmlns:xm="http://schemas.microsoft.com/office/excel/2006/main">
          <x14:cfRule type="dataBar" id="{CCC5118E-352F-4475-B1C3-CB5754578765}">
            <x14:dataBar minLength="0" maxLength="100" border="1" negativeBarBorderColorSameAsPositive="0">
              <x14:cfvo type="autoMin"/>
              <x14:cfvo type="autoMax"/>
              <x14:borderColor rgb="FF63C384"/>
              <x14:negativeFillColor rgb="FFFF0000"/>
              <x14:negativeBorderColor rgb="FFFF0000"/>
              <x14:axisColor rgb="FF000000"/>
            </x14:dataBar>
          </x14:cfRule>
          <xm:sqref>AG188</xm:sqref>
        </x14:conditionalFormatting>
        <x14:conditionalFormatting xmlns:xm="http://schemas.microsoft.com/office/excel/2006/main">
          <x14:cfRule type="dataBar" id="{0ABDB9EE-1B32-430C-A8E9-B68A9793DFB8}">
            <x14:dataBar minLength="0" maxLength="100" border="1" negativeBarBorderColorSameAsPositive="0">
              <x14:cfvo type="autoMin"/>
              <x14:cfvo type="autoMax"/>
              <x14:borderColor rgb="FF63C384"/>
              <x14:negativeFillColor rgb="FFFF0000"/>
              <x14:negativeBorderColor rgb="FFFF0000"/>
              <x14:axisColor rgb="FF000000"/>
            </x14:dataBar>
          </x14:cfRule>
          <xm:sqref>AG188</xm:sqref>
        </x14:conditionalFormatting>
        <x14:conditionalFormatting xmlns:xm="http://schemas.microsoft.com/office/excel/2006/main">
          <x14:cfRule type="dataBar" id="{D66A8566-D235-4F08-8369-B94C2A0AB249}">
            <x14:dataBar minLength="0" maxLength="100" border="1" negativeBarBorderColorSameAsPositive="0">
              <x14:cfvo type="autoMin"/>
              <x14:cfvo type="autoMax"/>
              <x14:borderColor rgb="FF63C384"/>
              <x14:negativeFillColor rgb="FFFF0000"/>
              <x14:negativeBorderColor rgb="FFFF0000"/>
              <x14:axisColor rgb="FF000000"/>
            </x14:dataBar>
          </x14:cfRule>
          <xm:sqref>AG189</xm:sqref>
        </x14:conditionalFormatting>
        <x14:conditionalFormatting xmlns:xm="http://schemas.microsoft.com/office/excel/2006/main">
          <x14:cfRule type="dataBar" id="{1A78C68E-DD22-4DE9-960D-92E60A0752A5}">
            <x14:dataBar minLength="0" maxLength="100" border="1" negativeBarBorderColorSameAsPositive="0">
              <x14:cfvo type="autoMin"/>
              <x14:cfvo type="autoMax"/>
              <x14:borderColor rgb="FF63C384"/>
              <x14:negativeFillColor rgb="FFFF0000"/>
              <x14:negativeBorderColor rgb="FFFF0000"/>
              <x14:axisColor rgb="FF000000"/>
            </x14:dataBar>
          </x14:cfRule>
          <xm:sqref>AG189</xm:sqref>
        </x14:conditionalFormatting>
        <x14:conditionalFormatting xmlns:xm="http://schemas.microsoft.com/office/excel/2006/main">
          <x14:cfRule type="dataBar" id="{5A54265D-9F73-47EB-9DF3-85AF0ABC1FBF}">
            <x14:dataBar minLength="0" maxLength="100" border="1" negativeBarBorderColorSameAsPositive="0">
              <x14:cfvo type="autoMin"/>
              <x14:cfvo type="autoMax"/>
              <x14:borderColor rgb="FF63C384"/>
              <x14:negativeFillColor rgb="FFFF0000"/>
              <x14:negativeBorderColor rgb="FFFF0000"/>
              <x14:axisColor rgb="FF000000"/>
            </x14:dataBar>
          </x14:cfRule>
          <xm:sqref>AG190</xm:sqref>
        </x14:conditionalFormatting>
        <x14:conditionalFormatting xmlns:xm="http://schemas.microsoft.com/office/excel/2006/main">
          <x14:cfRule type="dataBar" id="{B9B9E0A2-7448-4466-A678-6F739E46E638}">
            <x14:dataBar minLength="0" maxLength="100" border="1" negativeBarBorderColorSameAsPositive="0">
              <x14:cfvo type="autoMin"/>
              <x14:cfvo type="autoMax"/>
              <x14:borderColor rgb="FF63C384"/>
              <x14:negativeFillColor rgb="FFFF0000"/>
              <x14:negativeBorderColor rgb="FFFF0000"/>
              <x14:axisColor rgb="FF000000"/>
            </x14:dataBar>
          </x14:cfRule>
          <xm:sqref>AG190</xm:sqref>
        </x14:conditionalFormatting>
        <x14:conditionalFormatting xmlns:xm="http://schemas.microsoft.com/office/excel/2006/main">
          <x14:cfRule type="dataBar" id="{345B59BE-68E5-4F4B-98C0-7EFD5D665FB0}">
            <x14:dataBar minLength="0" maxLength="100" border="1" negativeBarBorderColorSameAsPositive="0">
              <x14:cfvo type="autoMin"/>
              <x14:cfvo type="autoMax"/>
              <x14:borderColor rgb="FF63C384"/>
              <x14:negativeFillColor rgb="FFFF0000"/>
              <x14:negativeBorderColor rgb="FFFF0000"/>
              <x14:axisColor rgb="FF000000"/>
            </x14:dataBar>
          </x14:cfRule>
          <xm:sqref>AG191</xm:sqref>
        </x14:conditionalFormatting>
        <x14:conditionalFormatting xmlns:xm="http://schemas.microsoft.com/office/excel/2006/main">
          <x14:cfRule type="dataBar" id="{42058A04-9A64-4372-8756-7EA1AA12DE26}">
            <x14:dataBar minLength="0" maxLength="100" border="1" negativeBarBorderColorSameAsPositive="0">
              <x14:cfvo type="autoMin"/>
              <x14:cfvo type="autoMax"/>
              <x14:borderColor rgb="FF63C384"/>
              <x14:negativeFillColor rgb="FFFF0000"/>
              <x14:negativeBorderColor rgb="FFFF0000"/>
              <x14:axisColor rgb="FF000000"/>
            </x14:dataBar>
          </x14:cfRule>
          <xm:sqref>AG191</xm:sqref>
        </x14:conditionalFormatting>
        <x14:conditionalFormatting xmlns:xm="http://schemas.microsoft.com/office/excel/2006/main">
          <x14:cfRule type="dataBar" id="{28188702-5077-4303-ADD1-46125549F98C}">
            <x14:dataBar minLength="0" maxLength="100" border="1" negativeBarBorderColorSameAsPositive="0">
              <x14:cfvo type="autoMin"/>
              <x14:cfvo type="autoMax"/>
              <x14:borderColor rgb="FF63C384"/>
              <x14:negativeFillColor rgb="FFFF0000"/>
              <x14:negativeBorderColor rgb="FFFF0000"/>
              <x14:axisColor rgb="FF000000"/>
            </x14:dataBar>
          </x14:cfRule>
          <xm:sqref>AG192</xm:sqref>
        </x14:conditionalFormatting>
        <x14:conditionalFormatting xmlns:xm="http://schemas.microsoft.com/office/excel/2006/main">
          <x14:cfRule type="dataBar" id="{F97F771D-9BFC-42DD-80BD-21C1476FBBCE}">
            <x14:dataBar minLength="0" maxLength="100" border="1" negativeBarBorderColorSameAsPositive="0">
              <x14:cfvo type="autoMin"/>
              <x14:cfvo type="autoMax"/>
              <x14:borderColor rgb="FF63C384"/>
              <x14:negativeFillColor rgb="FFFF0000"/>
              <x14:negativeBorderColor rgb="FFFF0000"/>
              <x14:axisColor rgb="FF000000"/>
            </x14:dataBar>
          </x14:cfRule>
          <xm:sqref>AG192</xm:sqref>
        </x14:conditionalFormatting>
        <x14:conditionalFormatting xmlns:xm="http://schemas.microsoft.com/office/excel/2006/main">
          <x14:cfRule type="dataBar" id="{EFAC12CC-A87B-4E18-AD44-BD41864162C4}">
            <x14:dataBar minLength="0" maxLength="100" border="1" negativeBarBorderColorSameAsPositive="0">
              <x14:cfvo type="autoMin"/>
              <x14:cfvo type="autoMax"/>
              <x14:borderColor rgb="FF63C384"/>
              <x14:negativeFillColor rgb="FFFF0000"/>
              <x14:negativeBorderColor rgb="FFFF0000"/>
              <x14:axisColor rgb="FF000000"/>
            </x14:dataBar>
          </x14:cfRule>
          <xm:sqref>AG193</xm:sqref>
        </x14:conditionalFormatting>
        <x14:conditionalFormatting xmlns:xm="http://schemas.microsoft.com/office/excel/2006/main">
          <x14:cfRule type="dataBar" id="{08DD1394-0102-419A-9B66-63DBF633FD20}">
            <x14:dataBar minLength="0" maxLength="100" border="1" negativeBarBorderColorSameAsPositive="0">
              <x14:cfvo type="autoMin"/>
              <x14:cfvo type="autoMax"/>
              <x14:borderColor rgb="FF63C384"/>
              <x14:negativeFillColor rgb="FFFF0000"/>
              <x14:negativeBorderColor rgb="FFFF0000"/>
              <x14:axisColor rgb="FF000000"/>
            </x14:dataBar>
          </x14:cfRule>
          <xm:sqref>AG193</xm:sqref>
        </x14:conditionalFormatting>
        <x14:conditionalFormatting xmlns:xm="http://schemas.microsoft.com/office/excel/2006/main">
          <x14:cfRule type="dataBar" id="{861BA116-CF0E-40D7-877B-C28004288175}">
            <x14:dataBar minLength="0" maxLength="100" border="1" negativeBarBorderColorSameAsPositive="0">
              <x14:cfvo type="autoMin"/>
              <x14:cfvo type="autoMax"/>
              <x14:borderColor rgb="FF63C384"/>
              <x14:negativeFillColor rgb="FFFF0000"/>
              <x14:negativeBorderColor rgb="FFFF0000"/>
              <x14:axisColor rgb="FF000000"/>
            </x14:dataBar>
          </x14:cfRule>
          <xm:sqref>AG194</xm:sqref>
        </x14:conditionalFormatting>
        <x14:conditionalFormatting xmlns:xm="http://schemas.microsoft.com/office/excel/2006/main">
          <x14:cfRule type="dataBar" id="{B895EC5C-F306-4064-A11D-1622FFF27767}">
            <x14:dataBar minLength="0" maxLength="100" border="1" negativeBarBorderColorSameAsPositive="0">
              <x14:cfvo type="autoMin"/>
              <x14:cfvo type="autoMax"/>
              <x14:borderColor rgb="FF63C384"/>
              <x14:negativeFillColor rgb="FFFF0000"/>
              <x14:negativeBorderColor rgb="FFFF0000"/>
              <x14:axisColor rgb="FF000000"/>
            </x14:dataBar>
          </x14:cfRule>
          <xm:sqref>AG194</xm:sqref>
        </x14:conditionalFormatting>
        <x14:conditionalFormatting xmlns:xm="http://schemas.microsoft.com/office/excel/2006/main">
          <x14:cfRule type="dataBar" id="{1DB41411-8C21-43E3-9496-11F2F8F35427}">
            <x14:dataBar minLength="0" maxLength="100" border="1" negativeBarBorderColorSameAsPositive="0">
              <x14:cfvo type="autoMin"/>
              <x14:cfvo type="autoMax"/>
              <x14:borderColor rgb="FF63C384"/>
              <x14:negativeFillColor rgb="FFFF0000"/>
              <x14:negativeBorderColor rgb="FFFF0000"/>
              <x14:axisColor rgb="FF000000"/>
            </x14:dataBar>
          </x14:cfRule>
          <xm:sqref>AG195</xm:sqref>
        </x14:conditionalFormatting>
        <x14:conditionalFormatting xmlns:xm="http://schemas.microsoft.com/office/excel/2006/main">
          <x14:cfRule type="dataBar" id="{F0C86864-176A-407A-BF80-745DE19DE4AE}">
            <x14:dataBar minLength="0" maxLength="100" border="1" negativeBarBorderColorSameAsPositive="0">
              <x14:cfvo type="autoMin"/>
              <x14:cfvo type="autoMax"/>
              <x14:borderColor rgb="FF63C384"/>
              <x14:negativeFillColor rgb="FFFF0000"/>
              <x14:negativeBorderColor rgb="FFFF0000"/>
              <x14:axisColor rgb="FF000000"/>
            </x14:dataBar>
          </x14:cfRule>
          <xm:sqref>AG195</xm:sqref>
        </x14:conditionalFormatting>
        <x14:conditionalFormatting xmlns:xm="http://schemas.microsoft.com/office/excel/2006/main">
          <x14:cfRule type="dataBar" id="{F750CBFA-276B-4E18-B71B-4C6790910DEE}">
            <x14:dataBar minLength="0" maxLength="100" border="1" negativeBarBorderColorSameAsPositive="0">
              <x14:cfvo type="autoMin"/>
              <x14:cfvo type="autoMax"/>
              <x14:borderColor rgb="FF63C384"/>
              <x14:negativeFillColor rgb="FFFF0000"/>
              <x14:negativeBorderColor rgb="FFFF0000"/>
              <x14:axisColor rgb="FF000000"/>
            </x14:dataBar>
          </x14:cfRule>
          <xm:sqref>AG196</xm:sqref>
        </x14:conditionalFormatting>
        <x14:conditionalFormatting xmlns:xm="http://schemas.microsoft.com/office/excel/2006/main">
          <x14:cfRule type="dataBar" id="{7D6D3353-F676-45C8-A305-60674C824415}">
            <x14:dataBar minLength="0" maxLength="100" border="1" negativeBarBorderColorSameAsPositive="0">
              <x14:cfvo type="autoMin"/>
              <x14:cfvo type="autoMax"/>
              <x14:borderColor rgb="FF63C384"/>
              <x14:negativeFillColor rgb="FFFF0000"/>
              <x14:negativeBorderColor rgb="FFFF0000"/>
              <x14:axisColor rgb="FF000000"/>
            </x14:dataBar>
          </x14:cfRule>
          <xm:sqref>AG196</xm:sqref>
        </x14:conditionalFormatting>
        <x14:conditionalFormatting xmlns:xm="http://schemas.microsoft.com/office/excel/2006/main">
          <x14:cfRule type="dataBar" id="{491CF909-7951-40BA-9F81-9DB992149427}">
            <x14:dataBar minLength="0" maxLength="100" border="1" negativeBarBorderColorSameAsPositive="0">
              <x14:cfvo type="autoMin"/>
              <x14:cfvo type="autoMax"/>
              <x14:borderColor rgb="FF63C384"/>
              <x14:negativeFillColor rgb="FFFF0000"/>
              <x14:negativeBorderColor rgb="FFFF0000"/>
              <x14:axisColor rgb="FF000000"/>
            </x14:dataBar>
          </x14:cfRule>
          <xm:sqref>AG197</xm:sqref>
        </x14:conditionalFormatting>
        <x14:conditionalFormatting xmlns:xm="http://schemas.microsoft.com/office/excel/2006/main">
          <x14:cfRule type="dataBar" id="{C0296885-1F51-47FE-BFDE-BB24BDC07CF2}">
            <x14:dataBar minLength="0" maxLength="100" border="1" negativeBarBorderColorSameAsPositive="0">
              <x14:cfvo type="autoMin"/>
              <x14:cfvo type="autoMax"/>
              <x14:borderColor rgb="FF63C384"/>
              <x14:negativeFillColor rgb="FFFF0000"/>
              <x14:negativeBorderColor rgb="FFFF0000"/>
              <x14:axisColor rgb="FF000000"/>
            </x14:dataBar>
          </x14:cfRule>
          <xm:sqref>AG197</xm:sqref>
        </x14:conditionalFormatting>
        <x14:conditionalFormatting xmlns:xm="http://schemas.microsoft.com/office/excel/2006/main">
          <x14:cfRule type="dataBar" id="{34D91807-B87E-4A68-A441-7B5AA5184ED0}">
            <x14:dataBar minLength="0" maxLength="100" border="1" negativeBarBorderColorSameAsPositive="0">
              <x14:cfvo type="autoMin"/>
              <x14:cfvo type="autoMax"/>
              <x14:borderColor rgb="FF63C384"/>
              <x14:negativeFillColor rgb="FFFF0000"/>
              <x14:negativeBorderColor rgb="FFFF0000"/>
              <x14:axisColor rgb="FF000000"/>
            </x14:dataBar>
          </x14:cfRule>
          <xm:sqref>AG198</xm:sqref>
        </x14:conditionalFormatting>
        <x14:conditionalFormatting xmlns:xm="http://schemas.microsoft.com/office/excel/2006/main">
          <x14:cfRule type="dataBar" id="{B5A389F0-628B-4069-A095-C6FD88FD7384}">
            <x14:dataBar minLength="0" maxLength="100" border="1" negativeBarBorderColorSameAsPositive="0">
              <x14:cfvo type="autoMin"/>
              <x14:cfvo type="autoMax"/>
              <x14:borderColor rgb="FF63C384"/>
              <x14:negativeFillColor rgb="FFFF0000"/>
              <x14:negativeBorderColor rgb="FFFF0000"/>
              <x14:axisColor rgb="FF000000"/>
            </x14:dataBar>
          </x14:cfRule>
          <xm:sqref>AG198</xm:sqref>
        </x14:conditionalFormatting>
        <x14:conditionalFormatting xmlns:xm="http://schemas.microsoft.com/office/excel/2006/main">
          <x14:cfRule type="dataBar" id="{88657D7D-4356-451D-8657-558182214AC4}">
            <x14:dataBar minLength="0" maxLength="100" border="1" negativeBarBorderColorSameAsPositive="0">
              <x14:cfvo type="autoMin"/>
              <x14:cfvo type="autoMax"/>
              <x14:borderColor rgb="FF63C384"/>
              <x14:negativeFillColor rgb="FFFF0000"/>
              <x14:negativeBorderColor rgb="FFFF0000"/>
              <x14:axisColor rgb="FF000000"/>
            </x14:dataBar>
          </x14:cfRule>
          <xm:sqref>AG199</xm:sqref>
        </x14:conditionalFormatting>
        <x14:conditionalFormatting xmlns:xm="http://schemas.microsoft.com/office/excel/2006/main">
          <x14:cfRule type="dataBar" id="{8585E6D1-3CF8-4BFD-8772-BD1E48B707F5}">
            <x14:dataBar minLength="0" maxLength="100" border="1" negativeBarBorderColorSameAsPositive="0">
              <x14:cfvo type="autoMin"/>
              <x14:cfvo type="autoMax"/>
              <x14:borderColor rgb="FF63C384"/>
              <x14:negativeFillColor rgb="FFFF0000"/>
              <x14:negativeBorderColor rgb="FFFF0000"/>
              <x14:axisColor rgb="FF000000"/>
            </x14:dataBar>
          </x14:cfRule>
          <xm:sqref>AG199</xm:sqref>
        </x14:conditionalFormatting>
        <x14:conditionalFormatting xmlns:xm="http://schemas.microsoft.com/office/excel/2006/main">
          <x14:cfRule type="dataBar" id="{1578D86F-329E-46DC-B1B9-A6908F7B8EBA}">
            <x14:dataBar minLength="0" maxLength="100" border="1" negativeBarBorderColorSameAsPositive="0">
              <x14:cfvo type="autoMin"/>
              <x14:cfvo type="autoMax"/>
              <x14:borderColor rgb="FF63C384"/>
              <x14:negativeFillColor rgb="FFFF0000"/>
              <x14:negativeBorderColor rgb="FFFF0000"/>
              <x14:axisColor rgb="FF000000"/>
            </x14:dataBar>
          </x14:cfRule>
          <xm:sqref>AG200</xm:sqref>
        </x14:conditionalFormatting>
        <x14:conditionalFormatting xmlns:xm="http://schemas.microsoft.com/office/excel/2006/main">
          <x14:cfRule type="dataBar" id="{57AAA68B-20BD-4705-9158-DC3AF2DFF78B}">
            <x14:dataBar minLength="0" maxLength="100" border="1" negativeBarBorderColorSameAsPositive="0">
              <x14:cfvo type="autoMin"/>
              <x14:cfvo type="autoMax"/>
              <x14:borderColor rgb="FF63C384"/>
              <x14:negativeFillColor rgb="FFFF0000"/>
              <x14:negativeBorderColor rgb="FFFF0000"/>
              <x14:axisColor rgb="FF000000"/>
            </x14:dataBar>
          </x14:cfRule>
          <xm:sqref>AG200</xm:sqref>
        </x14:conditionalFormatting>
        <x14:conditionalFormatting xmlns:xm="http://schemas.microsoft.com/office/excel/2006/main">
          <x14:cfRule type="dataBar" id="{FCB9050D-4744-4DB0-ABA5-15A9D88E42DC}">
            <x14:dataBar minLength="0" maxLength="100" border="1" negativeBarBorderColorSameAsPositive="0">
              <x14:cfvo type="autoMin"/>
              <x14:cfvo type="autoMax"/>
              <x14:borderColor rgb="FF63C384"/>
              <x14:negativeFillColor rgb="FFFF0000"/>
              <x14:negativeBorderColor rgb="FFFF0000"/>
              <x14:axisColor rgb="FF000000"/>
            </x14:dataBar>
          </x14:cfRule>
          <xm:sqref>AG201</xm:sqref>
        </x14:conditionalFormatting>
        <x14:conditionalFormatting xmlns:xm="http://schemas.microsoft.com/office/excel/2006/main">
          <x14:cfRule type="dataBar" id="{E3D76CFD-5771-4B4D-984D-AD544AA131A4}">
            <x14:dataBar minLength="0" maxLength="100" border="1" negativeBarBorderColorSameAsPositive="0">
              <x14:cfvo type="autoMin"/>
              <x14:cfvo type="autoMax"/>
              <x14:borderColor rgb="FF63C384"/>
              <x14:negativeFillColor rgb="FFFF0000"/>
              <x14:negativeBorderColor rgb="FFFF0000"/>
              <x14:axisColor rgb="FF000000"/>
            </x14:dataBar>
          </x14:cfRule>
          <xm:sqref>AG201</xm:sqref>
        </x14:conditionalFormatting>
        <x14:conditionalFormatting xmlns:xm="http://schemas.microsoft.com/office/excel/2006/main">
          <x14:cfRule type="dataBar" id="{7C6A6212-F22C-41C0-9A39-FCDB9E0830EA}">
            <x14:dataBar minLength="0" maxLength="100" border="1" negativeBarBorderColorSameAsPositive="0">
              <x14:cfvo type="autoMin"/>
              <x14:cfvo type="autoMax"/>
              <x14:borderColor rgb="FF63C384"/>
              <x14:negativeFillColor rgb="FFFF0000"/>
              <x14:negativeBorderColor rgb="FFFF0000"/>
              <x14:axisColor rgb="FF000000"/>
            </x14:dataBar>
          </x14:cfRule>
          <xm:sqref>AG202</xm:sqref>
        </x14:conditionalFormatting>
        <x14:conditionalFormatting xmlns:xm="http://schemas.microsoft.com/office/excel/2006/main">
          <x14:cfRule type="dataBar" id="{D49093FA-159F-44FF-BD6B-EABAAC23F11B}">
            <x14:dataBar minLength="0" maxLength="100" border="1" negativeBarBorderColorSameAsPositive="0">
              <x14:cfvo type="autoMin"/>
              <x14:cfvo type="autoMax"/>
              <x14:borderColor rgb="FF63C384"/>
              <x14:negativeFillColor rgb="FFFF0000"/>
              <x14:negativeBorderColor rgb="FFFF0000"/>
              <x14:axisColor rgb="FF000000"/>
            </x14:dataBar>
          </x14:cfRule>
          <xm:sqref>AG202</xm:sqref>
        </x14:conditionalFormatting>
        <x14:conditionalFormatting xmlns:xm="http://schemas.microsoft.com/office/excel/2006/main">
          <x14:cfRule type="dataBar" id="{88317484-0B55-4605-A80B-3563916B95BF}">
            <x14:dataBar minLength="0" maxLength="100" border="1" negativeBarBorderColorSameAsPositive="0">
              <x14:cfvo type="autoMin"/>
              <x14:cfvo type="autoMax"/>
              <x14:borderColor rgb="FF63C384"/>
              <x14:negativeFillColor rgb="FFFF0000"/>
              <x14:negativeBorderColor rgb="FFFF0000"/>
              <x14:axisColor rgb="FF000000"/>
            </x14:dataBar>
          </x14:cfRule>
          <xm:sqref>AG203</xm:sqref>
        </x14:conditionalFormatting>
        <x14:conditionalFormatting xmlns:xm="http://schemas.microsoft.com/office/excel/2006/main">
          <x14:cfRule type="dataBar" id="{203F8665-1B0C-45D9-9510-3ABD825AE0B3}">
            <x14:dataBar minLength="0" maxLength="100" border="1" negativeBarBorderColorSameAsPositive="0">
              <x14:cfvo type="autoMin"/>
              <x14:cfvo type="autoMax"/>
              <x14:borderColor rgb="FF63C384"/>
              <x14:negativeFillColor rgb="FFFF0000"/>
              <x14:negativeBorderColor rgb="FFFF0000"/>
              <x14:axisColor rgb="FF000000"/>
            </x14:dataBar>
          </x14:cfRule>
          <xm:sqref>AG203</xm:sqref>
        </x14:conditionalFormatting>
        <x14:conditionalFormatting xmlns:xm="http://schemas.microsoft.com/office/excel/2006/main">
          <x14:cfRule type="dataBar" id="{38A3AFC8-E919-4C17-B752-BD6C2C697C78}">
            <x14:dataBar minLength="0" maxLength="100" border="1" negativeBarBorderColorSameAsPositive="0">
              <x14:cfvo type="autoMin"/>
              <x14:cfvo type="autoMax"/>
              <x14:borderColor rgb="FF63C384"/>
              <x14:negativeFillColor rgb="FFFF0000"/>
              <x14:negativeBorderColor rgb="FFFF0000"/>
              <x14:axisColor rgb="FF000000"/>
            </x14:dataBar>
          </x14:cfRule>
          <xm:sqref>AG204</xm:sqref>
        </x14:conditionalFormatting>
        <x14:conditionalFormatting xmlns:xm="http://schemas.microsoft.com/office/excel/2006/main">
          <x14:cfRule type="dataBar" id="{3050917D-9FA9-4091-B9BC-7AB36F9193A2}">
            <x14:dataBar minLength="0" maxLength="100" border="1" negativeBarBorderColorSameAsPositive="0">
              <x14:cfvo type="autoMin"/>
              <x14:cfvo type="autoMax"/>
              <x14:borderColor rgb="FF63C384"/>
              <x14:negativeFillColor rgb="FFFF0000"/>
              <x14:negativeBorderColor rgb="FFFF0000"/>
              <x14:axisColor rgb="FF000000"/>
            </x14:dataBar>
          </x14:cfRule>
          <xm:sqref>AG204</xm:sqref>
        </x14:conditionalFormatting>
        <x14:conditionalFormatting xmlns:xm="http://schemas.microsoft.com/office/excel/2006/main">
          <x14:cfRule type="dataBar" id="{8E7E9233-5F07-4B38-9DC5-BB9596FBFB91}">
            <x14:dataBar minLength="0" maxLength="100" border="1" negativeBarBorderColorSameAsPositive="0">
              <x14:cfvo type="autoMin"/>
              <x14:cfvo type="autoMax"/>
              <x14:borderColor rgb="FF63C384"/>
              <x14:negativeFillColor rgb="FFFF0000"/>
              <x14:negativeBorderColor rgb="FFFF0000"/>
              <x14:axisColor rgb="FF000000"/>
            </x14:dataBar>
          </x14:cfRule>
          <xm:sqref>AG205</xm:sqref>
        </x14:conditionalFormatting>
        <x14:conditionalFormatting xmlns:xm="http://schemas.microsoft.com/office/excel/2006/main">
          <x14:cfRule type="dataBar" id="{E5C876C4-A5D6-4FCC-B881-791C2C7F4639}">
            <x14:dataBar minLength="0" maxLength="100" border="1" negativeBarBorderColorSameAsPositive="0">
              <x14:cfvo type="autoMin"/>
              <x14:cfvo type="autoMax"/>
              <x14:borderColor rgb="FF63C384"/>
              <x14:negativeFillColor rgb="FFFF0000"/>
              <x14:negativeBorderColor rgb="FFFF0000"/>
              <x14:axisColor rgb="FF000000"/>
            </x14:dataBar>
          </x14:cfRule>
          <xm:sqref>AG205</xm:sqref>
        </x14:conditionalFormatting>
        <x14:conditionalFormatting xmlns:xm="http://schemas.microsoft.com/office/excel/2006/main">
          <x14:cfRule type="dataBar" id="{71211111-7B85-4559-BC3F-B1046F97C902}">
            <x14:dataBar minLength="0" maxLength="100" border="1" negativeBarBorderColorSameAsPositive="0">
              <x14:cfvo type="autoMin"/>
              <x14:cfvo type="autoMax"/>
              <x14:borderColor rgb="FF63C384"/>
              <x14:negativeFillColor rgb="FFFF0000"/>
              <x14:negativeBorderColor rgb="FFFF0000"/>
              <x14:axisColor rgb="FF000000"/>
            </x14:dataBar>
          </x14:cfRule>
          <xm:sqref>AG206</xm:sqref>
        </x14:conditionalFormatting>
        <x14:conditionalFormatting xmlns:xm="http://schemas.microsoft.com/office/excel/2006/main">
          <x14:cfRule type="dataBar" id="{3532B01C-B409-4C7E-9742-FFA963D53AF1}">
            <x14:dataBar minLength="0" maxLength="100" border="1" negativeBarBorderColorSameAsPositive="0">
              <x14:cfvo type="autoMin"/>
              <x14:cfvo type="autoMax"/>
              <x14:borderColor rgb="FF63C384"/>
              <x14:negativeFillColor rgb="FFFF0000"/>
              <x14:negativeBorderColor rgb="FFFF0000"/>
              <x14:axisColor rgb="FF000000"/>
            </x14:dataBar>
          </x14:cfRule>
          <xm:sqref>AG206</xm:sqref>
        </x14:conditionalFormatting>
        <x14:conditionalFormatting xmlns:xm="http://schemas.microsoft.com/office/excel/2006/main">
          <x14:cfRule type="dataBar" id="{4EC54553-7D2D-42A0-A7B3-49395220A6E3}">
            <x14:dataBar minLength="0" maxLength="100" border="1" negativeBarBorderColorSameAsPositive="0">
              <x14:cfvo type="autoMin"/>
              <x14:cfvo type="autoMax"/>
              <x14:borderColor rgb="FF63C384"/>
              <x14:negativeFillColor rgb="FFFF0000"/>
              <x14:negativeBorderColor rgb="FFFF0000"/>
              <x14:axisColor rgb="FF000000"/>
            </x14:dataBar>
          </x14:cfRule>
          <xm:sqref>AG207</xm:sqref>
        </x14:conditionalFormatting>
        <x14:conditionalFormatting xmlns:xm="http://schemas.microsoft.com/office/excel/2006/main">
          <x14:cfRule type="dataBar" id="{ECC0FB23-B22D-411F-A218-A14F191A6D9D}">
            <x14:dataBar minLength="0" maxLength="100" border="1" negativeBarBorderColorSameAsPositive="0">
              <x14:cfvo type="autoMin"/>
              <x14:cfvo type="autoMax"/>
              <x14:borderColor rgb="FF63C384"/>
              <x14:negativeFillColor rgb="FFFF0000"/>
              <x14:negativeBorderColor rgb="FFFF0000"/>
              <x14:axisColor rgb="FF000000"/>
            </x14:dataBar>
          </x14:cfRule>
          <xm:sqref>AG207</xm:sqref>
        </x14:conditionalFormatting>
        <x14:conditionalFormatting xmlns:xm="http://schemas.microsoft.com/office/excel/2006/main">
          <x14:cfRule type="dataBar" id="{4B0480C2-2D52-4372-B05E-B9656BF3F706}">
            <x14:dataBar minLength="0" maxLength="100" border="1" negativeBarBorderColorSameAsPositive="0">
              <x14:cfvo type="autoMin"/>
              <x14:cfvo type="autoMax"/>
              <x14:borderColor rgb="FF63C384"/>
              <x14:negativeFillColor rgb="FFFF0000"/>
              <x14:negativeBorderColor rgb="FFFF0000"/>
              <x14:axisColor rgb="FF000000"/>
            </x14:dataBar>
          </x14:cfRule>
          <xm:sqref>AG208</xm:sqref>
        </x14:conditionalFormatting>
        <x14:conditionalFormatting xmlns:xm="http://schemas.microsoft.com/office/excel/2006/main">
          <x14:cfRule type="dataBar" id="{2C860A22-6AF8-426D-A1DC-33056257B47B}">
            <x14:dataBar minLength="0" maxLength="100" border="1" negativeBarBorderColorSameAsPositive="0">
              <x14:cfvo type="autoMin"/>
              <x14:cfvo type="autoMax"/>
              <x14:borderColor rgb="FF63C384"/>
              <x14:negativeFillColor rgb="FFFF0000"/>
              <x14:negativeBorderColor rgb="FFFF0000"/>
              <x14:axisColor rgb="FF000000"/>
            </x14:dataBar>
          </x14:cfRule>
          <xm:sqref>AG208</xm:sqref>
        </x14:conditionalFormatting>
        <x14:conditionalFormatting xmlns:xm="http://schemas.microsoft.com/office/excel/2006/main">
          <x14:cfRule type="dataBar" id="{D0B96EBE-D290-4B1A-9C69-094F4ED38EF5}">
            <x14:dataBar minLength="0" maxLength="100" border="1" negativeBarBorderColorSameAsPositive="0">
              <x14:cfvo type="autoMin"/>
              <x14:cfvo type="autoMax"/>
              <x14:borderColor rgb="FF63C384"/>
              <x14:negativeFillColor rgb="FFFF0000"/>
              <x14:negativeBorderColor rgb="FFFF0000"/>
              <x14:axisColor rgb="FF000000"/>
            </x14:dataBar>
          </x14:cfRule>
          <xm:sqref>AG209</xm:sqref>
        </x14:conditionalFormatting>
        <x14:conditionalFormatting xmlns:xm="http://schemas.microsoft.com/office/excel/2006/main">
          <x14:cfRule type="dataBar" id="{61F45429-D066-492B-8832-162CEB6D08AF}">
            <x14:dataBar minLength="0" maxLength="100" border="1" negativeBarBorderColorSameAsPositive="0">
              <x14:cfvo type="autoMin"/>
              <x14:cfvo type="autoMax"/>
              <x14:borderColor rgb="FF63C384"/>
              <x14:negativeFillColor rgb="FFFF0000"/>
              <x14:negativeBorderColor rgb="FFFF0000"/>
              <x14:axisColor rgb="FF000000"/>
            </x14:dataBar>
          </x14:cfRule>
          <xm:sqref>AG209</xm:sqref>
        </x14:conditionalFormatting>
        <x14:conditionalFormatting xmlns:xm="http://schemas.microsoft.com/office/excel/2006/main">
          <x14:cfRule type="dataBar" id="{AB2824DB-7CB8-48E9-B9A1-E72E68F5FBC9}">
            <x14:dataBar minLength="0" maxLength="100" border="1" negativeBarBorderColorSameAsPositive="0">
              <x14:cfvo type="autoMin"/>
              <x14:cfvo type="autoMax"/>
              <x14:borderColor rgb="FF63C384"/>
              <x14:negativeFillColor rgb="FFFF0000"/>
              <x14:negativeBorderColor rgb="FFFF0000"/>
              <x14:axisColor rgb="FF000000"/>
            </x14:dataBar>
          </x14:cfRule>
          <xm:sqref>AG210</xm:sqref>
        </x14:conditionalFormatting>
        <x14:conditionalFormatting xmlns:xm="http://schemas.microsoft.com/office/excel/2006/main">
          <x14:cfRule type="dataBar" id="{B149DD51-B6EE-4B90-94DA-15B0EB631C68}">
            <x14:dataBar minLength="0" maxLength="100" border="1" negativeBarBorderColorSameAsPositive="0">
              <x14:cfvo type="autoMin"/>
              <x14:cfvo type="autoMax"/>
              <x14:borderColor rgb="FF63C384"/>
              <x14:negativeFillColor rgb="FFFF0000"/>
              <x14:negativeBorderColor rgb="FFFF0000"/>
              <x14:axisColor rgb="FF000000"/>
            </x14:dataBar>
          </x14:cfRule>
          <xm:sqref>AG210</xm:sqref>
        </x14:conditionalFormatting>
        <x14:conditionalFormatting xmlns:xm="http://schemas.microsoft.com/office/excel/2006/main">
          <x14:cfRule type="dataBar" id="{6DFB2A4D-9A9A-4B0A-838B-CE8800F2D279}">
            <x14:dataBar minLength="0" maxLength="100" border="1" negativeBarBorderColorSameAsPositive="0">
              <x14:cfvo type="autoMin"/>
              <x14:cfvo type="autoMax"/>
              <x14:borderColor rgb="FF63C384"/>
              <x14:negativeFillColor rgb="FFFF0000"/>
              <x14:negativeBorderColor rgb="FFFF0000"/>
              <x14:axisColor rgb="FF000000"/>
            </x14:dataBar>
          </x14:cfRule>
          <xm:sqref>AG211</xm:sqref>
        </x14:conditionalFormatting>
        <x14:conditionalFormatting xmlns:xm="http://schemas.microsoft.com/office/excel/2006/main">
          <x14:cfRule type="dataBar" id="{EE6DC014-95CB-46E2-A67D-35D02AE4DF1D}">
            <x14:dataBar minLength="0" maxLength="100" border="1" negativeBarBorderColorSameAsPositive="0">
              <x14:cfvo type="autoMin"/>
              <x14:cfvo type="autoMax"/>
              <x14:borderColor rgb="FF63C384"/>
              <x14:negativeFillColor rgb="FFFF0000"/>
              <x14:negativeBorderColor rgb="FFFF0000"/>
              <x14:axisColor rgb="FF000000"/>
            </x14:dataBar>
          </x14:cfRule>
          <xm:sqref>AG211</xm:sqref>
        </x14:conditionalFormatting>
        <x14:conditionalFormatting xmlns:xm="http://schemas.microsoft.com/office/excel/2006/main">
          <x14:cfRule type="dataBar" id="{901CF424-CF44-4BF2-BC15-15FE879C024B}">
            <x14:dataBar minLength="0" maxLength="100" border="1" negativeBarBorderColorSameAsPositive="0">
              <x14:cfvo type="autoMin"/>
              <x14:cfvo type="autoMax"/>
              <x14:borderColor rgb="FF63C384"/>
              <x14:negativeFillColor rgb="FFFF0000"/>
              <x14:negativeBorderColor rgb="FFFF0000"/>
              <x14:axisColor rgb="FF000000"/>
            </x14:dataBar>
          </x14:cfRule>
          <xm:sqref>AG212</xm:sqref>
        </x14:conditionalFormatting>
        <x14:conditionalFormatting xmlns:xm="http://schemas.microsoft.com/office/excel/2006/main">
          <x14:cfRule type="dataBar" id="{6DEF5E34-7DF2-47EA-A59F-3BE8BA784231}">
            <x14:dataBar minLength="0" maxLength="100" border="1" negativeBarBorderColorSameAsPositive="0">
              <x14:cfvo type="autoMin"/>
              <x14:cfvo type="autoMax"/>
              <x14:borderColor rgb="FF63C384"/>
              <x14:negativeFillColor rgb="FFFF0000"/>
              <x14:negativeBorderColor rgb="FFFF0000"/>
              <x14:axisColor rgb="FF000000"/>
            </x14:dataBar>
          </x14:cfRule>
          <xm:sqref>AG212</xm:sqref>
        </x14:conditionalFormatting>
        <x14:conditionalFormatting xmlns:xm="http://schemas.microsoft.com/office/excel/2006/main">
          <x14:cfRule type="dataBar" id="{EBC2B6B8-F85E-49BD-8A16-0EFFE4B7986F}">
            <x14:dataBar minLength="0" maxLength="100" border="1" negativeBarBorderColorSameAsPositive="0">
              <x14:cfvo type="autoMin"/>
              <x14:cfvo type="autoMax"/>
              <x14:borderColor rgb="FF63C384"/>
              <x14:negativeFillColor rgb="FFFF0000"/>
              <x14:negativeBorderColor rgb="FFFF0000"/>
              <x14:axisColor rgb="FF000000"/>
            </x14:dataBar>
          </x14:cfRule>
          <xm:sqref>AG213</xm:sqref>
        </x14:conditionalFormatting>
        <x14:conditionalFormatting xmlns:xm="http://schemas.microsoft.com/office/excel/2006/main">
          <x14:cfRule type="dataBar" id="{F887576B-39EF-4D21-9495-26C8E7B8296C}">
            <x14:dataBar minLength="0" maxLength="100" border="1" negativeBarBorderColorSameAsPositive="0">
              <x14:cfvo type="autoMin"/>
              <x14:cfvo type="autoMax"/>
              <x14:borderColor rgb="FF63C384"/>
              <x14:negativeFillColor rgb="FFFF0000"/>
              <x14:negativeBorderColor rgb="FFFF0000"/>
              <x14:axisColor rgb="FF000000"/>
            </x14:dataBar>
          </x14:cfRule>
          <xm:sqref>AG213</xm:sqref>
        </x14:conditionalFormatting>
        <x14:conditionalFormatting xmlns:xm="http://schemas.microsoft.com/office/excel/2006/main">
          <x14:cfRule type="dataBar" id="{0DCAA79A-DC3A-484E-8860-EC6932677870}">
            <x14:dataBar minLength="0" maxLength="100" border="1" negativeBarBorderColorSameAsPositive="0">
              <x14:cfvo type="autoMin"/>
              <x14:cfvo type="autoMax"/>
              <x14:borderColor rgb="FF63C384"/>
              <x14:negativeFillColor rgb="FFFF0000"/>
              <x14:negativeBorderColor rgb="FFFF0000"/>
              <x14:axisColor rgb="FF000000"/>
            </x14:dataBar>
          </x14:cfRule>
          <xm:sqref>AG214</xm:sqref>
        </x14:conditionalFormatting>
        <x14:conditionalFormatting xmlns:xm="http://schemas.microsoft.com/office/excel/2006/main">
          <x14:cfRule type="dataBar" id="{2F71E0A4-958F-4A37-80BD-CB9AE9B3B318}">
            <x14:dataBar minLength="0" maxLength="100" border="1" negativeBarBorderColorSameAsPositive="0">
              <x14:cfvo type="autoMin"/>
              <x14:cfvo type="autoMax"/>
              <x14:borderColor rgb="FF63C384"/>
              <x14:negativeFillColor rgb="FFFF0000"/>
              <x14:negativeBorderColor rgb="FFFF0000"/>
              <x14:axisColor rgb="FF000000"/>
            </x14:dataBar>
          </x14:cfRule>
          <xm:sqref>AG214</xm:sqref>
        </x14:conditionalFormatting>
        <x14:conditionalFormatting xmlns:xm="http://schemas.microsoft.com/office/excel/2006/main">
          <x14:cfRule type="dataBar" id="{CEFD24FA-467F-41FF-91A8-385B4B4AAA0E}">
            <x14:dataBar minLength="0" maxLength="100" border="1" negativeBarBorderColorSameAsPositive="0">
              <x14:cfvo type="autoMin"/>
              <x14:cfvo type="autoMax"/>
              <x14:borderColor rgb="FF63C384"/>
              <x14:negativeFillColor rgb="FFFF0000"/>
              <x14:negativeBorderColor rgb="FFFF0000"/>
              <x14:axisColor rgb="FF000000"/>
            </x14:dataBar>
          </x14:cfRule>
          <xm:sqref>AG215</xm:sqref>
        </x14:conditionalFormatting>
        <x14:conditionalFormatting xmlns:xm="http://schemas.microsoft.com/office/excel/2006/main">
          <x14:cfRule type="dataBar" id="{BFF4BF44-659F-42A7-8A5C-26EC6C4FEEB3}">
            <x14:dataBar minLength="0" maxLength="100" border="1" negativeBarBorderColorSameAsPositive="0">
              <x14:cfvo type="autoMin"/>
              <x14:cfvo type="autoMax"/>
              <x14:borderColor rgb="FF63C384"/>
              <x14:negativeFillColor rgb="FFFF0000"/>
              <x14:negativeBorderColor rgb="FFFF0000"/>
              <x14:axisColor rgb="FF000000"/>
            </x14:dataBar>
          </x14:cfRule>
          <xm:sqref>AG215</xm:sqref>
        </x14:conditionalFormatting>
        <x14:conditionalFormatting xmlns:xm="http://schemas.microsoft.com/office/excel/2006/main">
          <x14:cfRule type="dataBar" id="{BF4D5E49-1BF4-45E1-8267-32545825015D}">
            <x14:dataBar minLength="0" maxLength="100" border="1" negativeBarBorderColorSameAsPositive="0">
              <x14:cfvo type="autoMin"/>
              <x14:cfvo type="autoMax"/>
              <x14:borderColor rgb="FF63C384"/>
              <x14:negativeFillColor rgb="FFFF0000"/>
              <x14:negativeBorderColor rgb="FFFF0000"/>
              <x14:axisColor rgb="FF000000"/>
            </x14:dataBar>
          </x14:cfRule>
          <xm:sqref>AG216</xm:sqref>
        </x14:conditionalFormatting>
        <x14:conditionalFormatting xmlns:xm="http://schemas.microsoft.com/office/excel/2006/main">
          <x14:cfRule type="dataBar" id="{3758BEC5-A5B5-490B-B04E-FAE8164906BB}">
            <x14:dataBar minLength="0" maxLength="100" border="1" negativeBarBorderColorSameAsPositive="0">
              <x14:cfvo type="autoMin"/>
              <x14:cfvo type="autoMax"/>
              <x14:borderColor rgb="FF63C384"/>
              <x14:negativeFillColor rgb="FFFF0000"/>
              <x14:negativeBorderColor rgb="FFFF0000"/>
              <x14:axisColor rgb="FF000000"/>
            </x14:dataBar>
          </x14:cfRule>
          <xm:sqref>AG216</xm:sqref>
        </x14:conditionalFormatting>
        <x14:conditionalFormatting xmlns:xm="http://schemas.microsoft.com/office/excel/2006/main">
          <x14:cfRule type="dataBar" id="{4806B160-A720-46C7-9BD3-71A200BD2563}">
            <x14:dataBar minLength="0" maxLength="100" border="1" negativeBarBorderColorSameAsPositive="0">
              <x14:cfvo type="autoMin"/>
              <x14:cfvo type="autoMax"/>
              <x14:borderColor rgb="FF63C384"/>
              <x14:negativeFillColor rgb="FFFF0000"/>
              <x14:negativeBorderColor rgb="FFFF0000"/>
              <x14:axisColor rgb="FF000000"/>
            </x14:dataBar>
          </x14:cfRule>
          <xm:sqref>AG217</xm:sqref>
        </x14:conditionalFormatting>
        <x14:conditionalFormatting xmlns:xm="http://schemas.microsoft.com/office/excel/2006/main">
          <x14:cfRule type="dataBar" id="{DD000052-F797-4DE8-8BFD-4529CCD1DA29}">
            <x14:dataBar minLength="0" maxLength="100" border="1" negativeBarBorderColorSameAsPositive="0">
              <x14:cfvo type="autoMin"/>
              <x14:cfvo type="autoMax"/>
              <x14:borderColor rgb="FF63C384"/>
              <x14:negativeFillColor rgb="FFFF0000"/>
              <x14:negativeBorderColor rgb="FFFF0000"/>
              <x14:axisColor rgb="FF000000"/>
            </x14:dataBar>
          </x14:cfRule>
          <xm:sqref>AG217</xm:sqref>
        </x14:conditionalFormatting>
        <x14:conditionalFormatting xmlns:xm="http://schemas.microsoft.com/office/excel/2006/main">
          <x14:cfRule type="dataBar" id="{37DDE04F-4558-450F-B16B-053B5A724A9F}">
            <x14:dataBar minLength="0" maxLength="100" border="1" negativeBarBorderColorSameAsPositive="0">
              <x14:cfvo type="autoMin"/>
              <x14:cfvo type="autoMax"/>
              <x14:borderColor rgb="FF63C384"/>
              <x14:negativeFillColor rgb="FFFF0000"/>
              <x14:negativeBorderColor rgb="FFFF0000"/>
              <x14:axisColor rgb="FF000000"/>
            </x14:dataBar>
          </x14:cfRule>
          <xm:sqref>AG218</xm:sqref>
        </x14:conditionalFormatting>
        <x14:conditionalFormatting xmlns:xm="http://schemas.microsoft.com/office/excel/2006/main">
          <x14:cfRule type="dataBar" id="{AB15971D-6A32-43C9-A165-F62BE9AF3EA8}">
            <x14:dataBar minLength="0" maxLength="100" border="1" negativeBarBorderColorSameAsPositive="0">
              <x14:cfvo type="autoMin"/>
              <x14:cfvo type="autoMax"/>
              <x14:borderColor rgb="FF63C384"/>
              <x14:negativeFillColor rgb="FFFF0000"/>
              <x14:negativeBorderColor rgb="FFFF0000"/>
              <x14:axisColor rgb="FF000000"/>
            </x14:dataBar>
          </x14:cfRule>
          <xm:sqref>AG218</xm:sqref>
        </x14:conditionalFormatting>
        <x14:conditionalFormatting xmlns:xm="http://schemas.microsoft.com/office/excel/2006/main">
          <x14:cfRule type="dataBar" id="{1573AA53-E5BB-4A9E-A9BB-E67ACB00D862}">
            <x14:dataBar minLength="0" maxLength="100" border="1" negativeBarBorderColorSameAsPositive="0">
              <x14:cfvo type="autoMin"/>
              <x14:cfvo type="autoMax"/>
              <x14:borderColor rgb="FF63C384"/>
              <x14:negativeFillColor rgb="FFFF0000"/>
              <x14:negativeBorderColor rgb="FFFF0000"/>
              <x14:axisColor rgb="FF000000"/>
            </x14:dataBar>
          </x14:cfRule>
          <xm:sqref>AG219</xm:sqref>
        </x14:conditionalFormatting>
        <x14:conditionalFormatting xmlns:xm="http://schemas.microsoft.com/office/excel/2006/main">
          <x14:cfRule type="dataBar" id="{E67A0CFF-C138-4671-A965-AC19FC0BC043}">
            <x14:dataBar minLength="0" maxLength="100" border="1" negativeBarBorderColorSameAsPositive="0">
              <x14:cfvo type="autoMin"/>
              <x14:cfvo type="autoMax"/>
              <x14:borderColor rgb="FF63C384"/>
              <x14:negativeFillColor rgb="FFFF0000"/>
              <x14:negativeBorderColor rgb="FFFF0000"/>
              <x14:axisColor rgb="FF000000"/>
            </x14:dataBar>
          </x14:cfRule>
          <xm:sqref>AG219</xm:sqref>
        </x14:conditionalFormatting>
        <x14:conditionalFormatting xmlns:xm="http://schemas.microsoft.com/office/excel/2006/main">
          <x14:cfRule type="dataBar" id="{41A96448-3E12-4383-ABF9-6D91F6EA0D75}">
            <x14:dataBar minLength="0" maxLength="100" border="1" negativeBarBorderColorSameAsPositive="0">
              <x14:cfvo type="autoMin"/>
              <x14:cfvo type="autoMax"/>
              <x14:borderColor rgb="FF63C384"/>
              <x14:negativeFillColor rgb="FFFF0000"/>
              <x14:negativeBorderColor rgb="FFFF0000"/>
              <x14:axisColor rgb="FF000000"/>
            </x14:dataBar>
          </x14:cfRule>
          <xm:sqref>AG220</xm:sqref>
        </x14:conditionalFormatting>
        <x14:conditionalFormatting xmlns:xm="http://schemas.microsoft.com/office/excel/2006/main">
          <x14:cfRule type="dataBar" id="{C92CD40E-204A-4C17-91F9-8EAF077F11B8}">
            <x14:dataBar minLength="0" maxLength="100" border="1" negativeBarBorderColorSameAsPositive="0">
              <x14:cfvo type="autoMin"/>
              <x14:cfvo type="autoMax"/>
              <x14:borderColor rgb="FF63C384"/>
              <x14:negativeFillColor rgb="FFFF0000"/>
              <x14:negativeBorderColor rgb="FFFF0000"/>
              <x14:axisColor rgb="FF000000"/>
            </x14:dataBar>
          </x14:cfRule>
          <xm:sqref>AG220</xm:sqref>
        </x14:conditionalFormatting>
        <x14:conditionalFormatting xmlns:xm="http://schemas.microsoft.com/office/excel/2006/main">
          <x14:cfRule type="dataBar" id="{A9CA01CE-7818-4BE4-947F-2DB074106CB4}">
            <x14:dataBar minLength="0" maxLength="100" border="1" negativeBarBorderColorSameAsPositive="0">
              <x14:cfvo type="autoMin"/>
              <x14:cfvo type="autoMax"/>
              <x14:borderColor rgb="FF63C384"/>
              <x14:negativeFillColor rgb="FFFF0000"/>
              <x14:negativeBorderColor rgb="FFFF0000"/>
              <x14:axisColor rgb="FF000000"/>
            </x14:dataBar>
          </x14:cfRule>
          <xm:sqref>AG221</xm:sqref>
        </x14:conditionalFormatting>
        <x14:conditionalFormatting xmlns:xm="http://schemas.microsoft.com/office/excel/2006/main">
          <x14:cfRule type="dataBar" id="{89890CCF-8F05-4F9C-BEAC-09C43A95C8FB}">
            <x14:dataBar minLength="0" maxLength="100" border="1" negativeBarBorderColorSameAsPositive="0">
              <x14:cfvo type="autoMin"/>
              <x14:cfvo type="autoMax"/>
              <x14:borderColor rgb="FF63C384"/>
              <x14:negativeFillColor rgb="FFFF0000"/>
              <x14:negativeBorderColor rgb="FFFF0000"/>
              <x14:axisColor rgb="FF000000"/>
            </x14:dataBar>
          </x14:cfRule>
          <xm:sqref>AG221</xm:sqref>
        </x14:conditionalFormatting>
        <x14:conditionalFormatting xmlns:xm="http://schemas.microsoft.com/office/excel/2006/main">
          <x14:cfRule type="dataBar" id="{F5AB4F52-4C83-49F6-B0A4-A5ADA41706F5}">
            <x14:dataBar minLength="0" maxLength="100" border="1" negativeBarBorderColorSameAsPositive="0">
              <x14:cfvo type="autoMin"/>
              <x14:cfvo type="autoMax"/>
              <x14:borderColor rgb="FF63C384"/>
              <x14:negativeFillColor rgb="FFFF0000"/>
              <x14:negativeBorderColor rgb="FFFF0000"/>
              <x14:axisColor rgb="FF000000"/>
            </x14:dataBar>
          </x14:cfRule>
          <xm:sqref>AG222</xm:sqref>
        </x14:conditionalFormatting>
        <x14:conditionalFormatting xmlns:xm="http://schemas.microsoft.com/office/excel/2006/main">
          <x14:cfRule type="dataBar" id="{2322D1EA-FD24-4D72-BFDC-D95A1E948634}">
            <x14:dataBar minLength="0" maxLength="100" border="1" negativeBarBorderColorSameAsPositive="0">
              <x14:cfvo type="autoMin"/>
              <x14:cfvo type="autoMax"/>
              <x14:borderColor rgb="FF63C384"/>
              <x14:negativeFillColor rgb="FFFF0000"/>
              <x14:negativeBorderColor rgb="FFFF0000"/>
              <x14:axisColor rgb="FF000000"/>
            </x14:dataBar>
          </x14:cfRule>
          <xm:sqref>AG222</xm:sqref>
        </x14:conditionalFormatting>
        <x14:conditionalFormatting xmlns:xm="http://schemas.microsoft.com/office/excel/2006/main">
          <x14:cfRule type="dataBar" id="{03A8BAB5-05D6-4BE3-9B96-6A889A24FD07}">
            <x14:dataBar minLength="0" maxLength="100" border="1" negativeBarBorderColorSameAsPositive="0">
              <x14:cfvo type="autoMin"/>
              <x14:cfvo type="autoMax"/>
              <x14:borderColor rgb="FF63C384"/>
              <x14:negativeFillColor rgb="FFFF0000"/>
              <x14:negativeBorderColor rgb="FFFF0000"/>
              <x14:axisColor rgb="FF000000"/>
            </x14:dataBar>
          </x14:cfRule>
          <xm:sqref>AG223</xm:sqref>
        </x14:conditionalFormatting>
        <x14:conditionalFormatting xmlns:xm="http://schemas.microsoft.com/office/excel/2006/main">
          <x14:cfRule type="dataBar" id="{2F4A13DC-1854-4156-9EDF-99EA51FB529E}">
            <x14:dataBar minLength="0" maxLength="100" border="1" negativeBarBorderColorSameAsPositive="0">
              <x14:cfvo type="autoMin"/>
              <x14:cfvo type="autoMax"/>
              <x14:borderColor rgb="FF63C384"/>
              <x14:negativeFillColor rgb="FFFF0000"/>
              <x14:negativeBorderColor rgb="FFFF0000"/>
              <x14:axisColor rgb="FF000000"/>
            </x14:dataBar>
          </x14:cfRule>
          <xm:sqref>AG223</xm:sqref>
        </x14:conditionalFormatting>
        <x14:conditionalFormatting xmlns:xm="http://schemas.microsoft.com/office/excel/2006/main">
          <x14:cfRule type="dataBar" id="{42D9FE33-7394-4DF1-9DEC-9E79F12C741C}">
            <x14:dataBar minLength="0" maxLength="100" border="1" negativeBarBorderColorSameAsPositive="0">
              <x14:cfvo type="autoMin"/>
              <x14:cfvo type="autoMax"/>
              <x14:borderColor rgb="FF63C384"/>
              <x14:negativeFillColor rgb="FFFF0000"/>
              <x14:negativeBorderColor rgb="FFFF0000"/>
              <x14:axisColor rgb="FF000000"/>
            </x14:dataBar>
          </x14:cfRule>
          <xm:sqref>AG224</xm:sqref>
        </x14:conditionalFormatting>
        <x14:conditionalFormatting xmlns:xm="http://schemas.microsoft.com/office/excel/2006/main">
          <x14:cfRule type="dataBar" id="{47E0F88D-925C-4515-8A04-D8B4CCB39BEA}">
            <x14:dataBar minLength="0" maxLength="100" border="1" negativeBarBorderColorSameAsPositive="0">
              <x14:cfvo type="autoMin"/>
              <x14:cfvo type="autoMax"/>
              <x14:borderColor rgb="FF63C384"/>
              <x14:negativeFillColor rgb="FFFF0000"/>
              <x14:negativeBorderColor rgb="FFFF0000"/>
              <x14:axisColor rgb="FF000000"/>
            </x14:dataBar>
          </x14:cfRule>
          <xm:sqref>AG224</xm:sqref>
        </x14:conditionalFormatting>
        <x14:conditionalFormatting xmlns:xm="http://schemas.microsoft.com/office/excel/2006/main">
          <x14:cfRule type="dataBar" id="{790CBF77-A664-4EE3-A91F-E0ABFD12409E}">
            <x14:dataBar minLength="0" maxLength="100" border="1" negativeBarBorderColorSameAsPositive="0">
              <x14:cfvo type="autoMin"/>
              <x14:cfvo type="autoMax"/>
              <x14:borderColor rgb="FF63C384"/>
              <x14:negativeFillColor rgb="FFFF0000"/>
              <x14:negativeBorderColor rgb="FFFF0000"/>
              <x14:axisColor rgb="FF000000"/>
            </x14:dataBar>
          </x14:cfRule>
          <xm:sqref>AG225</xm:sqref>
        </x14:conditionalFormatting>
        <x14:conditionalFormatting xmlns:xm="http://schemas.microsoft.com/office/excel/2006/main">
          <x14:cfRule type="dataBar" id="{467A84FD-D0F9-41F1-9708-30457C5EA818}">
            <x14:dataBar minLength="0" maxLength="100" border="1" negativeBarBorderColorSameAsPositive="0">
              <x14:cfvo type="autoMin"/>
              <x14:cfvo type="autoMax"/>
              <x14:borderColor rgb="FF63C384"/>
              <x14:negativeFillColor rgb="FFFF0000"/>
              <x14:negativeBorderColor rgb="FFFF0000"/>
              <x14:axisColor rgb="FF000000"/>
            </x14:dataBar>
          </x14:cfRule>
          <xm:sqref>AG225</xm:sqref>
        </x14:conditionalFormatting>
        <x14:conditionalFormatting xmlns:xm="http://schemas.microsoft.com/office/excel/2006/main">
          <x14:cfRule type="dataBar" id="{3AF19211-85A1-4996-B820-82B206A9F486}">
            <x14:dataBar minLength="0" maxLength="100" border="1" negativeBarBorderColorSameAsPositive="0">
              <x14:cfvo type="autoMin"/>
              <x14:cfvo type="autoMax"/>
              <x14:borderColor rgb="FF63C384"/>
              <x14:negativeFillColor rgb="FFFF0000"/>
              <x14:negativeBorderColor rgb="FFFF0000"/>
              <x14:axisColor rgb="FF000000"/>
            </x14:dataBar>
          </x14:cfRule>
          <xm:sqref>AG226</xm:sqref>
        </x14:conditionalFormatting>
        <x14:conditionalFormatting xmlns:xm="http://schemas.microsoft.com/office/excel/2006/main">
          <x14:cfRule type="dataBar" id="{1C034D3C-9C9A-49DF-9EF6-26960D3C9184}">
            <x14:dataBar minLength="0" maxLength="100" border="1" negativeBarBorderColorSameAsPositive="0">
              <x14:cfvo type="autoMin"/>
              <x14:cfvo type="autoMax"/>
              <x14:borderColor rgb="FF63C384"/>
              <x14:negativeFillColor rgb="FFFF0000"/>
              <x14:negativeBorderColor rgb="FFFF0000"/>
              <x14:axisColor rgb="FF000000"/>
            </x14:dataBar>
          </x14:cfRule>
          <xm:sqref>AG226</xm:sqref>
        </x14:conditionalFormatting>
        <x14:conditionalFormatting xmlns:xm="http://schemas.microsoft.com/office/excel/2006/main">
          <x14:cfRule type="dataBar" id="{79E95684-B87D-4F88-BB44-CEDE17DBABAB}">
            <x14:dataBar minLength="0" maxLength="100" border="1" negativeBarBorderColorSameAsPositive="0">
              <x14:cfvo type="autoMin"/>
              <x14:cfvo type="autoMax"/>
              <x14:borderColor rgb="FF63C384"/>
              <x14:negativeFillColor rgb="FFFF0000"/>
              <x14:negativeBorderColor rgb="FFFF0000"/>
              <x14:axisColor rgb="FF000000"/>
            </x14:dataBar>
          </x14:cfRule>
          <xm:sqref>AG227</xm:sqref>
        </x14:conditionalFormatting>
        <x14:conditionalFormatting xmlns:xm="http://schemas.microsoft.com/office/excel/2006/main">
          <x14:cfRule type="dataBar" id="{E2DF3F2C-C153-42AB-9460-6348DCB5153B}">
            <x14:dataBar minLength="0" maxLength="100" border="1" negativeBarBorderColorSameAsPositive="0">
              <x14:cfvo type="autoMin"/>
              <x14:cfvo type="autoMax"/>
              <x14:borderColor rgb="FF63C384"/>
              <x14:negativeFillColor rgb="FFFF0000"/>
              <x14:negativeBorderColor rgb="FFFF0000"/>
              <x14:axisColor rgb="FF000000"/>
            </x14:dataBar>
          </x14:cfRule>
          <xm:sqref>AG227</xm:sqref>
        </x14:conditionalFormatting>
        <x14:conditionalFormatting xmlns:xm="http://schemas.microsoft.com/office/excel/2006/main">
          <x14:cfRule type="dataBar" id="{BCE1455D-340F-4759-8290-20117944CF80}">
            <x14:dataBar minLength="0" maxLength="100" border="1" negativeBarBorderColorSameAsPositive="0">
              <x14:cfvo type="autoMin"/>
              <x14:cfvo type="autoMax"/>
              <x14:borderColor rgb="FF63C384"/>
              <x14:negativeFillColor rgb="FFFF0000"/>
              <x14:negativeBorderColor rgb="FFFF0000"/>
              <x14:axisColor rgb="FF000000"/>
            </x14:dataBar>
          </x14:cfRule>
          <xm:sqref>AG228</xm:sqref>
        </x14:conditionalFormatting>
        <x14:conditionalFormatting xmlns:xm="http://schemas.microsoft.com/office/excel/2006/main">
          <x14:cfRule type="dataBar" id="{8711FDB6-6A2C-4DAA-B571-4E964A8D0267}">
            <x14:dataBar minLength="0" maxLength="100" border="1" negativeBarBorderColorSameAsPositive="0">
              <x14:cfvo type="autoMin"/>
              <x14:cfvo type="autoMax"/>
              <x14:borderColor rgb="FF63C384"/>
              <x14:negativeFillColor rgb="FFFF0000"/>
              <x14:negativeBorderColor rgb="FFFF0000"/>
              <x14:axisColor rgb="FF000000"/>
            </x14:dataBar>
          </x14:cfRule>
          <xm:sqref>AG229</xm:sqref>
        </x14:conditionalFormatting>
        <x14:conditionalFormatting xmlns:xm="http://schemas.microsoft.com/office/excel/2006/main">
          <x14:cfRule type="dataBar" id="{94331744-11B8-43C3-80E5-53F206036FEF}">
            <x14:dataBar minLength="0" maxLength="100" border="1" negativeBarBorderColorSameAsPositive="0">
              <x14:cfvo type="autoMin"/>
              <x14:cfvo type="autoMax"/>
              <x14:borderColor rgb="FF63C384"/>
              <x14:negativeFillColor rgb="FFFF0000"/>
              <x14:negativeBorderColor rgb="FFFF0000"/>
              <x14:axisColor rgb="FF000000"/>
            </x14:dataBar>
          </x14:cfRule>
          <xm:sqref>AG229</xm:sqref>
        </x14:conditionalFormatting>
        <x14:conditionalFormatting xmlns:xm="http://schemas.microsoft.com/office/excel/2006/main">
          <x14:cfRule type="dataBar" id="{3C4E7CA1-3DF0-41B6-B2A8-BF807553DDDF}">
            <x14:dataBar minLength="0" maxLength="100" border="1" negativeBarBorderColorSameAsPositive="0">
              <x14:cfvo type="autoMin"/>
              <x14:cfvo type="autoMax"/>
              <x14:borderColor rgb="FF63C384"/>
              <x14:negativeFillColor rgb="FFFF0000"/>
              <x14:negativeBorderColor rgb="FFFF0000"/>
              <x14:axisColor rgb="FF000000"/>
            </x14:dataBar>
          </x14:cfRule>
          <xm:sqref>AG230</xm:sqref>
        </x14:conditionalFormatting>
        <x14:conditionalFormatting xmlns:xm="http://schemas.microsoft.com/office/excel/2006/main">
          <x14:cfRule type="dataBar" id="{51D40DA6-E31E-4BE2-ADF0-13E676D132BC}">
            <x14:dataBar minLength="0" maxLength="100" border="1" negativeBarBorderColorSameAsPositive="0">
              <x14:cfvo type="autoMin"/>
              <x14:cfvo type="autoMax"/>
              <x14:borderColor rgb="FF63C384"/>
              <x14:negativeFillColor rgb="FFFF0000"/>
              <x14:negativeBorderColor rgb="FFFF0000"/>
              <x14:axisColor rgb="FF000000"/>
            </x14:dataBar>
          </x14:cfRule>
          <xm:sqref>AG230</xm:sqref>
        </x14:conditionalFormatting>
        <x14:conditionalFormatting xmlns:xm="http://schemas.microsoft.com/office/excel/2006/main">
          <x14:cfRule type="dataBar" id="{B39C8A84-C698-480A-BD34-738BE195ED04}">
            <x14:dataBar minLength="0" maxLength="100" border="1" negativeBarBorderColorSameAsPositive="0">
              <x14:cfvo type="autoMin"/>
              <x14:cfvo type="autoMax"/>
              <x14:borderColor rgb="FF63C384"/>
              <x14:negativeFillColor rgb="FFFF0000"/>
              <x14:negativeBorderColor rgb="FFFF0000"/>
              <x14:axisColor rgb="FF000000"/>
            </x14:dataBar>
          </x14:cfRule>
          <xm:sqref>AG231</xm:sqref>
        </x14:conditionalFormatting>
        <x14:conditionalFormatting xmlns:xm="http://schemas.microsoft.com/office/excel/2006/main">
          <x14:cfRule type="dataBar" id="{F83A4762-992F-4D22-B937-05397DFD2BEC}">
            <x14:dataBar minLength="0" maxLength="100" border="1" negativeBarBorderColorSameAsPositive="0">
              <x14:cfvo type="autoMin"/>
              <x14:cfvo type="autoMax"/>
              <x14:borderColor rgb="FF63C384"/>
              <x14:negativeFillColor rgb="FFFF0000"/>
              <x14:negativeBorderColor rgb="FFFF0000"/>
              <x14:axisColor rgb="FF000000"/>
            </x14:dataBar>
          </x14:cfRule>
          <xm:sqref>AG231</xm:sqref>
        </x14:conditionalFormatting>
        <x14:conditionalFormatting xmlns:xm="http://schemas.microsoft.com/office/excel/2006/main">
          <x14:cfRule type="dataBar" id="{CCE3DF24-2EC8-435E-84C9-1BBF80C5144A}">
            <x14:dataBar minLength="0" maxLength="100" border="1" negativeBarBorderColorSameAsPositive="0">
              <x14:cfvo type="autoMin"/>
              <x14:cfvo type="autoMax"/>
              <x14:borderColor rgb="FF63C384"/>
              <x14:negativeFillColor rgb="FFFF0000"/>
              <x14:negativeBorderColor rgb="FFFF0000"/>
              <x14:axisColor rgb="FF000000"/>
            </x14:dataBar>
          </x14:cfRule>
          <xm:sqref>AG232</xm:sqref>
        </x14:conditionalFormatting>
        <x14:conditionalFormatting xmlns:xm="http://schemas.microsoft.com/office/excel/2006/main">
          <x14:cfRule type="dataBar" id="{918BE901-C172-4B7F-BA22-A6F6E99D88D2}">
            <x14:dataBar minLength="0" maxLength="100" border="1" negativeBarBorderColorSameAsPositive="0">
              <x14:cfvo type="autoMin"/>
              <x14:cfvo type="autoMax"/>
              <x14:borderColor rgb="FF63C384"/>
              <x14:negativeFillColor rgb="FFFF0000"/>
              <x14:negativeBorderColor rgb="FFFF0000"/>
              <x14:axisColor rgb="FF000000"/>
            </x14:dataBar>
          </x14:cfRule>
          <xm:sqref>AG232</xm:sqref>
        </x14:conditionalFormatting>
        <x14:conditionalFormatting xmlns:xm="http://schemas.microsoft.com/office/excel/2006/main">
          <x14:cfRule type="dataBar" id="{9E59ACC1-8951-4244-A43E-2D07EA689471}">
            <x14:dataBar minLength="0" maxLength="100" border="1" negativeBarBorderColorSameAsPositive="0">
              <x14:cfvo type="autoMin"/>
              <x14:cfvo type="autoMax"/>
              <x14:borderColor rgb="FF63C384"/>
              <x14:negativeFillColor rgb="FFFF0000"/>
              <x14:negativeBorderColor rgb="FFFF0000"/>
              <x14:axisColor rgb="FF000000"/>
            </x14:dataBar>
          </x14:cfRule>
          <xm:sqref>AG234</xm:sqref>
        </x14:conditionalFormatting>
        <x14:conditionalFormatting xmlns:xm="http://schemas.microsoft.com/office/excel/2006/main">
          <x14:cfRule type="dataBar" id="{D2E0876D-3A51-409A-9FDB-D22A574EE5BA}">
            <x14:dataBar minLength="0" maxLength="100" border="1" negativeBarBorderColorSameAsPositive="0">
              <x14:cfvo type="autoMin"/>
              <x14:cfvo type="autoMax"/>
              <x14:borderColor rgb="FF63C384"/>
              <x14:negativeFillColor rgb="FFFF0000"/>
              <x14:negativeBorderColor rgb="FFFF0000"/>
              <x14:axisColor rgb="FF000000"/>
            </x14:dataBar>
          </x14:cfRule>
          <xm:sqref>AG234</xm:sqref>
        </x14:conditionalFormatting>
        <x14:conditionalFormatting xmlns:xm="http://schemas.microsoft.com/office/excel/2006/main">
          <x14:cfRule type="dataBar" id="{32B94D38-9ECB-4F0F-A698-A073E1D50795}">
            <x14:dataBar minLength="0" maxLength="100" border="1" negativeBarBorderColorSameAsPositive="0">
              <x14:cfvo type="autoMin"/>
              <x14:cfvo type="autoMax"/>
              <x14:borderColor rgb="FF63C384"/>
              <x14:negativeFillColor rgb="FFFF0000"/>
              <x14:negativeBorderColor rgb="FFFF0000"/>
              <x14:axisColor rgb="FF000000"/>
            </x14:dataBar>
          </x14:cfRule>
          <xm:sqref>AG233</xm:sqref>
        </x14:conditionalFormatting>
        <x14:conditionalFormatting xmlns:xm="http://schemas.microsoft.com/office/excel/2006/main">
          <x14:cfRule type="dataBar" id="{61C2F629-845D-4A0C-AAC1-E1C662AA779F}">
            <x14:dataBar minLength="0" maxLength="100" border="1" negativeBarBorderColorSameAsPositive="0">
              <x14:cfvo type="autoMin"/>
              <x14:cfvo type="autoMax"/>
              <x14:borderColor rgb="FF63C384"/>
              <x14:negativeFillColor rgb="FFFF0000"/>
              <x14:negativeBorderColor rgb="FFFF0000"/>
              <x14:axisColor rgb="FF000000"/>
            </x14:dataBar>
          </x14:cfRule>
          <xm:sqref>AG233</xm:sqref>
        </x14:conditionalFormatting>
        <x14:conditionalFormatting xmlns:xm="http://schemas.microsoft.com/office/excel/2006/main">
          <x14:cfRule type="dataBar" id="{D709EF66-13EB-494B-8270-D67E96C4E609}">
            <x14:dataBar minLength="0" maxLength="100" border="1" negativeBarBorderColorSameAsPositive="0">
              <x14:cfvo type="autoMin"/>
              <x14:cfvo type="autoMax"/>
              <x14:borderColor rgb="FF63C384"/>
              <x14:negativeFillColor rgb="FFFF0000"/>
              <x14:negativeBorderColor rgb="FFFF0000"/>
              <x14:axisColor rgb="FF000000"/>
            </x14:dataBar>
          </x14:cfRule>
          <xm:sqref>AG235</xm:sqref>
        </x14:conditionalFormatting>
        <x14:conditionalFormatting xmlns:xm="http://schemas.microsoft.com/office/excel/2006/main">
          <x14:cfRule type="dataBar" id="{BBFD80E7-80A5-4398-BD77-80EDB6E8E22A}">
            <x14:dataBar minLength="0" maxLength="100" border="1" negativeBarBorderColorSameAsPositive="0">
              <x14:cfvo type="autoMin"/>
              <x14:cfvo type="autoMax"/>
              <x14:borderColor rgb="FF63C384"/>
              <x14:negativeFillColor rgb="FFFF0000"/>
              <x14:negativeBorderColor rgb="FFFF0000"/>
              <x14:axisColor rgb="FF000000"/>
            </x14:dataBar>
          </x14:cfRule>
          <xm:sqref>AG235</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CFAFE-DA41-4612-8E1E-F8B078D2F190}">
  <sheetPr codeName="Tabelle21" filterMode="1"/>
  <dimension ref="A1:XEK239"/>
  <sheetViews>
    <sheetView workbookViewId="0">
      <selection sqref="A1:XEK239"/>
    </sheetView>
  </sheetViews>
  <sheetFormatPr baseColWidth="10" defaultRowHeight="15" x14ac:dyDescent="0.25"/>
  <cols>
    <col min="2" max="2" width="11.42578125" style="1"/>
    <col min="6" max="6" width="11.42578125" style="48"/>
  </cols>
  <sheetData>
    <row r="1" spans="1:16365" x14ac:dyDescent="0.25">
      <c r="A1" s="63" t="s">
        <v>845</v>
      </c>
      <c r="B1" s="96" t="s">
        <v>846</v>
      </c>
      <c r="C1" s="63" t="s">
        <v>847</v>
      </c>
      <c r="D1" s="63" t="s">
        <v>706</v>
      </c>
      <c r="E1" s="63" t="s">
        <v>682</v>
      </c>
      <c r="F1" s="95" t="s">
        <v>848</v>
      </c>
      <c r="G1" s="63" t="s">
        <v>844</v>
      </c>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87"/>
      <c r="BLW1" s="87"/>
      <c r="BLX1" s="87"/>
      <c r="BLY1" s="87"/>
      <c r="BLZ1" s="87"/>
      <c r="BMA1" s="87"/>
      <c r="BMB1" s="87"/>
      <c r="BMC1" s="87"/>
      <c r="BMD1" s="87"/>
      <c r="BME1" s="87"/>
      <c r="BMF1" s="87"/>
      <c r="BMG1" s="87"/>
      <c r="BMH1" s="87"/>
      <c r="BMI1" s="87"/>
      <c r="BMJ1" s="87"/>
      <c r="BMK1" s="87"/>
      <c r="BML1" s="87"/>
      <c r="BMM1" s="87"/>
      <c r="BMN1" s="87"/>
      <c r="BMO1" s="87"/>
      <c r="BMP1" s="87"/>
      <c r="BMQ1" s="87"/>
      <c r="BMR1" s="87"/>
      <c r="BMS1" s="87"/>
      <c r="BMT1" s="87"/>
      <c r="BMU1" s="87"/>
      <c r="BMV1" s="87"/>
      <c r="BMW1" s="87"/>
      <c r="BMX1" s="87"/>
      <c r="BMY1" s="87"/>
      <c r="BMZ1" s="87"/>
      <c r="BNA1" s="87"/>
      <c r="BNB1" s="87"/>
      <c r="BNC1" s="87"/>
      <c r="BND1" s="87"/>
      <c r="BNE1" s="87"/>
      <c r="BNF1" s="87"/>
      <c r="BNG1" s="87"/>
      <c r="BNH1" s="87"/>
      <c r="BNI1" s="87"/>
      <c r="BNJ1" s="87"/>
      <c r="BNK1" s="87"/>
      <c r="BNL1" s="87"/>
      <c r="BNM1" s="87"/>
      <c r="BNN1" s="87"/>
      <c r="BNO1" s="87"/>
      <c r="BNP1" s="87"/>
      <c r="BNQ1" s="87"/>
      <c r="BNR1" s="87"/>
      <c r="BNS1" s="87"/>
      <c r="BNT1" s="87"/>
      <c r="BNU1" s="87"/>
      <c r="BNV1" s="87"/>
      <c r="BNW1" s="87"/>
      <c r="BNX1" s="87"/>
      <c r="BNY1" s="87"/>
      <c r="BNZ1" s="87"/>
      <c r="BOA1" s="87"/>
      <c r="BOB1" s="87"/>
      <c r="BOC1" s="87"/>
      <c r="BOD1" s="87"/>
      <c r="BOE1" s="87"/>
      <c r="BOF1" s="87"/>
      <c r="BOG1" s="87"/>
      <c r="BOH1" s="87"/>
      <c r="BOI1" s="87"/>
      <c r="BOJ1" s="87"/>
      <c r="BOK1" s="87"/>
      <c r="BOL1" s="87"/>
      <c r="BOM1" s="87"/>
      <c r="BON1" s="87"/>
      <c r="BOO1" s="87"/>
      <c r="BOP1" s="87"/>
      <c r="BOQ1" s="87"/>
      <c r="BOR1" s="87"/>
      <c r="BOS1" s="87"/>
      <c r="BOT1" s="87"/>
      <c r="BOU1" s="87"/>
      <c r="BOV1" s="87"/>
      <c r="BOW1" s="87"/>
      <c r="BOX1" s="87"/>
      <c r="BOY1" s="87"/>
      <c r="BOZ1" s="87"/>
      <c r="BPA1" s="87"/>
      <c r="BPB1" s="87"/>
      <c r="BPC1" s="87"/>
      <c r="BPD1" s="87"/>
      <c r="BPE1" s="87"/>
      <c r="BPF1" s="87"/>
      <c r="BPG1" s="87"/>
      <c r="BPH1" s="87"/>
      <c r="BPI1" s="87"/>
      <c r="BPJ1" s="87"/>
      <c r="BPK1" s="87"/>
      <c r="BPL1" s="87"/>
      <c r="BPM1" s="87"/>
      <c r="BPN1" s="87"/>
      <c r="BPO1" s="87"/>
      <c r="BPP1" s="87"/>
      <c r="BPQ1" s="87"/>
      <c r="BPR1" s="87"/>
      <c r="BPS1" s="87"/>
      <c r="BPT1" s="87"/>
      <c r="BPU1" s="87"/>
      <c r="BPV1" s="87"/>
      <c r="BPW1" s="87"/>
      <c r="BPX1" s="87"/>
      <c r="BPY1" s="87"/>
      <c r="BPZ1" s="87"/>
      <c r="BQA1" s="87"/>
      <c r="BQB1" s="87"/>
      <c r="BQC1" s="87"/>
      <c r="BQD1" s="87"/>
      <c r="BQE1" s="87"/>
      <c r="BQF1" s="87"/>
      <c r="BQG1" s="87"/>
      <c r="BQH1" s="87"/>
      <c r="BQI1" s="87"/>
      <c r="BQJ1" s="87"/>
      <c r="BQK1" s="87"/>
      <c r="BQL1" s="87"/>
      <c r="BQM1" s="87"/>
      <c r="BQN1" s="87"/>
      <c r="BQO1" s="87"/>
      <c r="BQP1" s="87"/>
      <c r="BQQ1" s="87"/>
      <c r="BQR1" s="87"/>
      <c r="BQS1" s="87"/>
      <c r="BQT1" s="87"/>
      <c r="BQU1" s="87"/>
      <c r="BQV1" s="87"/>
      <c r="BQW1" s="87"/>
      <c r="BQX1" s="87"/>
      <c r="BQY1" s="87"/>
      <c r="BQZ1" s="87"/>
      <c r="BRA1" s="87"/>
      <c r="BRB1" s="87"/>
      <c r="BRC1" s="87"/>
      <c r="BRD1" s="87"/>
      <c r="BRE1" s="87"/>
      <c r="BRF1" s="87"/>
      <c r="BRG1" s="87"/>
      <c r="BRH1" s="87"/>
      <c r="BRI1" s="87"/>
      <c r="BRJ1" s="87"/>
      <c r="BRK1" s="87"/>
      <c r="BRL1" s="87"/>
      <c r="BRM1" s="87"/>
      <c r="BRN1" s="87"/>
      <c r="BRO1" s="87"/>
      <c r="BRP1" s="87"/>
      <c r="BRQ1" s="87"/>
      <c r="BRR1" s="87"/>
      <c r="BRS1" s="87"/>
      <c r="BRT1" s="87"/>
      <c r="BRU1" s="87"/>
      <c r="BRV1" s="87"/>
      <c r="BRW1" s="87"/>
      <c r="BRX1" s="87"/>
      <c r="BRY1" s="87"/>
      <c r="BRZ1" s="87"/>
      <c r="BSA1" s="87"/>
      <c r="BSB1" s="87"/>
      <c r="BSC1" s="87"/>
      <c r="BSD1" s="87"/>
      <c r="BSE1" s="87"/>
      <c r="BSF1" s="87"/>
      <c r="BSG1" s="87"/>
      <c r="BSH1" s="87"/>
      <c r="BSI1" s="87"/>
      <c r="BSJ1" s="87"/>
      <c r="BSK1" s="87"/>
      <c r="BSL1" s="87"/>
      <c r="BSM1" s="87"/>
      <c r="BSN1" s="87"/>
      <c r="BSO1" s="87"/>
      <c r="BSP1" s="87"/>
      <c r="BSQ1" s="87"/>
      <c r="BSR1" s="87"/>
      <c r="BSS1" s="87"/>
      <c r="BST1" s="87"/>
      <c r="BSU1" s="87"/>
      <c r="BSV1" s="87"/>
      <c r="BSW1" s="87"/>
      <c r="BSX1" s="87"/>
      <c r="BSY1" s="87"/>
      <c r="BSZ1" s="87"/>
      <c r="BTA1" s="87"/>
      <c r="BTB1" s="87"/>
      <c r="BTC1" s="87"/>
      <c r="BTD1" s="87"/>
      <c r="BTE1" s="87"/>
      <c r="BTF1" s="87"/>
      <c r="BTG1" s="87"/>
      <c r="BTH1" s="87"/>
      <c r="BTI1" s="87"/>
      <c r="BTJ1" s="87"/>
      <c r="BTK1" s="87"/>
      <c r="BTL1" s="87"/>
      <c r="BTM1" s="87"/>
      <c r="BTN1" s="87"/>
      <c r="BTO1" s="87"/>
      <c r="BTP1" s="87"/>
      <c r="BTQ1" s="87"/>
      <c r="BTR1" s="87"/>
      <c r="BTS1" s="87"/>
      <c r="BTT1" s="87"/>
      <c r="BTU1" s="87"/>
      <c r="BTV1" s="87"/>
      <c r="BTW1" s="87"/>
      <c r="BTX1" s="87"/>
      <c r="BTY1" s="87"/>
      <c r="BTZ1" s="87"/>
      <c r="BUA1" s="87"/>
      <c r="BUB1" s="87"/>
      <c r="BUC1" s="87"/>
      <c r="BUD1" s="87"/>
      <c r="BUE1" s="87"/>
      <c r="BUF1" s="87"/>
      <c r="BUG1" s="87"/>
      <c r="BUH1" s="87"/>
      <c r="BUI1" s="87"/>
      <c r="BUJ1" s="87"/>
      <c r="BUK1" s="87"/>
      <c r="BUL1" s="87"/>
      <c r="BUM1" s="87"/>
      <c r="BUN1" s="87"/>
      <c r="BUO1" s="87"/>
      <c r="BUP1" s="87"/>
      <c r="BUQ1" s="87"/>
      <c r="BUR1" s="87"/>
      <c r="BUS1" s="87"/>
      <c r="BUT1" s="87"/>
      <c r="BUU1" s="87"/>
      <c r="BUV1" s="87"/>
      <c r="BUW1" s="87"/>
      <c r="BUX1" s="87"/>
      <c r="BUY1" s="87"/>
      <c r="BUZ1" s="87"/>
      <c r="BVA1" s="87"/>
      <c r="BVB1" s="87"/>
      <c r="BVC1" s="87"/>
      <c r="BVD1" s="87"/>
      <c r="BVE1" s="87"/>
      <c r="BVF1" s="87"/>
      <c r="BVG1" s="87"/>
      <c r="BVH1" s="87"/>
      <c r="BVI1" s="87"/>
      <c r="BVJ1" s="87"/>
      <c r="BVK1" s="87"/>
      <c r="BVL1" s="87"/>
      <c r="BVM1" s="87"/>
      <c r="BVN1" s="87"/>
      <c r="BVO1" s="87"/>
      <c r="BVP1" s="87"/>
      <c r="BVQ1" s="87"/>
      <c r="BVR1" s="87"/>
      <c r="BVS1" s="87"/>
      <c r="BVT1" s="87"/>
      <c r="BVU1" s="87"/>
      <c r="BVV1" s="87"/>
      <c r="BVW1" s="87"/>
      <c r="BVX1" s="87"/>
      <c r="BVY1" s="87"/>
      <c r="BVZ1" s="87"/>
      <c r="BWA1" s="87"/>
      <c r="BWB1" s="87"/>
      <c r="BWC1" s="87"/>
      <c r="BWD1" s="87"/>
      <c r="BWE1" s="87"/>
      <c r="BWF1" s="87"/>
      <c r="BWG1" s="87"/>
      <c r="BWH1" s="87"/>
      <c r="BWI1" s="87"/>
      <c r="BWJ1" s="87"/>
      <c r="BWK1" s="87"/>
      <c r="BWL1" s="87"/>
      <c r="BWM1" s="87"/>
      <c r="BWN1" s="87"/>
      <c r="BWO1" s="87"/>
      <c r="BWP1" s="87"/>
      <c r="BWQ1" s="87"/>
      <c r="BWR1" s="87"/>
      <c r="BWS1" s="87"/>
      <c r="BWT1" s="87"/>
      <c r="BWU1" s="87"/>
      <c r="BWV1" s="87"/>
      <c r="BWW1" s="87"/>
      <c r="BWX1" s="87"/>
      <c r="BWY1" s="87"/>
      <c r="BWZ1" s="87"/>
      <c r="BXA1" s="87"/>
      <c r="BXB1" s="87"/>
      <c r="BXC1" s="87"/>
      <c r="BXD1" s="87"/>
      <c r="BXE1" s="87"/>
      <c r="BXF1" s="87"/>
      <c r="BXG1" s="87"/>
      <c r="BXH1" s="87"/>
      <c r="BXI1" s="87"/>
      <c r="BXJ1" s="87"/>
      <c r="BXK1" s="87"/>
      <c r="BXL1" s="87"/>
      <c r="BXM1" s="87"/>
      <c r="BXN1" s="87"/>
      <c r="BXO1" s="87"/>
      <c r="BXP1" s="87"/>
      <c r="BXQ1" s="87"/>
      <c r="BXR1" s="87"/>
      <c r="BXS1" s="87"/>
      <c r="BXT1" s="87"/>
      <c r="BXU1" s="87"/>
      <c r="BXV1" s="87"/>
      <c r="BXW1" s="87"/>
      <c r="BXX1" s="87"/>
      <c r="BXY1" s="87"/>
      <c r="BXZ1" s="87"/>
      <c r="BYA1" s="87"/>
      <c r="BYB1" s="87"/>
      <c r="BYC1" s="87"/>
      <c r="BYD1" s="87"/>
      <c r="BYE1" s="87"/>
      <c r="BYF1" s="87"/>
      <c r="BYG1" s="87"/>
      <c r="BYH1" s="87"/>
      <c r="BYI1" s="87"/>
      <c r="BYJ1" s="87"/>
      <c r="BYK1" s="87"/>
      <c r="BYL1" s="87"/>
      <c r="BYM1" s="87"/>
      <c r="BYN1" s="87"/>
      <c r="BYO1" s="87"/>
      <c r="BYP1" s="87"/>
      <c r="BYQ1" s="87"/>
      <c r="BYR1" s="87"/>
      <c r="BYS1" s="87"/>
      <c r="BYT1" s="87"/>
      <c r="BYU1" s="87"/>
      <c r="BYV1" s="87"/>
      <c r="BYW1" s="87"/>
      <c r="BYX1" s="87"/>
      <c r="BYY1" s="87"/>
      <c r="BYZ1" s="87"/>
      <c r="BZA1" s="87"/>
      <c r="BZB1" s="87"/>
      <c r="BZC1" s="87"/>
      <c r="BZD1" s="87"/>
      <c r="BZE1" s="87"/>
      <c r="BZF1" s="87"/>
      <c r="BZG1" s="87"/>
      <c r="BZH1" s="87"/>
      <c r="BZI1" s="87"/>
      <c r="BZJ1" s="87"/>
      <c r="BZK1" s="87"/>
      <c r="BZL1" s="87"/>
      <c r="BZM1" s="87"/>
      <c r="BZN1" s="87"/>
      <c r="BZO1" s="87"/>
      <c r="BZP1" s="87"/>
      <c r="BZQ1" s="87"/>
      <c r="BZR1" s="87"/>
      <c r="BZS1" s="87"/>
      <c r="BZT1" s="87"/>
      <c r="BZU1" s="87"/>
      <c r="BZV1" s="87"/>
      <c r="BZW1" s="87"/>
      <c r="BZX1" s="87"/>
      <c r="BZY1" s="87"/>
      <c r="BZZ1" s="87"/>
      <c r="CAA1" s="87"/>
      <c r="CAB1" s="87"/>
      <c r="CAC1" s="87"/>
      <c r="CAD1" s="87"/>
      <c r="CAE1" s="87"/>
      <c r="CAF1" s="87"/>
      <c r="CAG1" s="87"/>
      <c r="CAH1" s="87"/>
      <c r="CAI1" s="87"/>
      <c r="CAJ1" s="87"/>
      <c r="CAK1" s="87"/>
      <c r="CAL1" s="87"/>
      <c r="CAM1" s="87"/>
      <c r="CAN1" s="87"/>
      <c r="CAO1" s="87"/>
      <c r="CAP1" s="87"/>
      <c r="CAQ1" s="87"/>
      <c r="CAR1" s="87"/>
      <c r="CAS1" s="87"/>
      <c r="CAT1" s="87"/>
      <c r="CAU1" s="87"/>
      <c r="CAV1" s="87"/>
      <c r="CAW1" s="87"/>
      <c r="CAX1" s="87"/>
      <c r="CAY1" s="87"/>
      <c r="CAZ1" s="87"/>
      <c r="CBA1" s="87"/>
      <c r="CBB1" s="87"/>
      <c r="CBC1" s="87"/>
      <c r="CBD1" s="87"/>
      <c r="CBE1" s="87"/>
      <c r="CBF1" s="87"/>
      <c r="CBG1" s="87"/>
      <c r="CBH1" s="87"/>
      <c r="CBI1" s="87"/>
      <c r="CBJ1" s="87"/>
      <c r="CBK1" s="87"/>
      <c r="CBL1" s="87"/>
      <c r="CBM1" s="87"/>
      <c r="CBN1" s="87"/>
      <c r="CBO1" s="87"/>
      <c r="CBP1" s="87"/>
      <c r="CBQ1" s="87"/>
      <c r="CBR1" s="87"/>
      <c r="CBS1" s="87"/>
      <c r="CBT1" s="87"/>
      <c r="CBU1" s="87"/>
      <c r="CBV1" s="87"/>
      <c r="CBW1" s="87"/>
      <c r="CBX1" s="87"/>
      <c r="CBY1" s="87"/>
      <c r="CBZ1" s="87"/>
      <c r="CCA1" s="87"/>
      <c r="CCB1" s="87"/>
      <c r="CCC1" s="87"/>
      <c r="CCD1" s="87"/>
      <c r="CCE1" s="87"/>
      <c r="CCF1" s="87"/>
      <c r="CCG1" s="87"/>
      <c r="CCH1" s="87"/>
      <c r="CCI1" s="87"/>
      <c r="CCJ1" s="87"/>
      <c r="CCK1" s="87"/>
      <c r="CCL1" s="87"/>
      <c r="CCM1" s="87"/>
      <c r="CCN1" s="87"/>
      <c r="CCO1" s="87"/>
      <c r="CCP1" s="87"/>
      <c r="CCQ1" s="87"/>
      <c r="CCR1" s="87"/>
      <c r="CCS1" s="87"/>
      <c r="CCT1" s="87"/>
      <c r="CCU1" s="87"/>
      <c r="CCV1" s="87"/>
      <c r="CCW1" s="87"/>
      <c r="CCX1" s="87"/>
      <c r="CCY1" s="87"/>
      <c r="CCZ1" s="87"/>
      <c r="CDA1" s="87"/>
      <c r="CDB1" s="87"/>
      <c r="CDC1" s="87"/>
      <c r="CDD1" s="87"/>
      <c r="CDE1" s="87"/>
      <c r="CDF1" s="87"/>
      <c r="CDG1" s="87"/>
      <c r="CDH1" s="87"/>
      <c r="CDI1" s="87"/>
      <c r="CDJ1" s="87"/>
      <c r="CDK1" s="87"/>
      <c r="CDL1" s="87"/>
      <c r="CDM1" s="87"/>
      <c r="CDN1" s="87"/>
      <c r="CDO1" s="87"/>
      <c r="CDP1" s="87"/>
      <c r="CDQ1" s="87"/>
      <c r="CDR1" s="87"/>
      <c r="CDS1" s="87"/>
      <c r="CDT1" s="87"/>
      <c r="CDU1" s="87"/>
      <c r="CDV1" s="87"/>
      <c r="CDW1" s="87"/>
      <c r="CDX1" s="87"/>
      <c r="CDY1" s="87"/>
      <c r="CDZ1" s="87"/>
      <c r="CEA1" s="87"/>
      <c r="CEB1" s="87"/>
      <c r="CEC1" s="87"/>
      <c r="CED1" s="87"/>
      <c r="CEE1" s="87"/>
      <c r="CEF1" s="87"/>
      <c r="CEG1" s="87"/>
      <c r="CEH1" s="87"/>
      <c r="CEI1" s="87"/>
      <c r="CEJ1" s="87"/>
      <c r="CEK1" s="87"/>
      <c r="CEL1" s="87"/>
      <c r="CEM1" s="87"/>
      <c r="CEN1" s="87"/>
      <c r="CEO1" s="87"/>
      <c r="CEP1" s="87"/>
      <c r="CEQ1" s="87"/>
      <c r="CER1" s="87"/>
      <c r="CES1" s="87"/>
      <c r="CET1" s="87"/>
      <c r="CEU1" s="87"/>
      <c r="CEV1" s="87"/>
      <c r="CEW1" s="87"/>
      <c r="CEX1" s="87"/>
      <c r="CEY1" s="87"/>
      <c r="CEZ1" s="87"/>
      <c r="CFA1" s="87"/>
      <c r="CFB1" s="87"/>
      <c r="CFC1" s="87"/>
      <c r="CFD1" s="87"/>
      <c r="CFE1" s="87"/>
      <c r="CFF1" s="87"/>
      <c r="CFG1" s="87"/>
      <c r="CFH1" s="87"/>
      <c r="CFI1" s="87"/>
      <c r="CFJ1" s="87"/>
      <c r="CFK1" s="87"/>
      <c r="CFL1" s="87"/>
      <c r="CFM1" s="87"/>
      <c r="CFN1" s="87"/>
      <c r="CFO1" s="87"/>
      <c r="CFP1" s="87"/>
      <c r="CFQ1" s="87"/>
      <c r="CFR1" s="87"/>
      <c r="CFS1" s="87"/>
      <c r="CFT1" s="87"/>
      <c r="CFU1" s="87"/>
      <c r="CFV1" s="87"/>
      <c r="CFW1" s="87"/>
      <c r="CFX1" s="87"/>
      <c r="CFY1" s="87"/>
      <c r="CFZ1" s="87"/>
      <c r="CGA1" s="87"/>
      <c r="CGB1" s="87"/>
      <c r="CGC1" s="87"/>
      <c r="CGD1" s="87"/>
      <c r="CGE1" s="87"/>
      <c r="CGF1" s="87"/>
      <c r="CGG1" s="87"/>
      <c r="CGH1" s="87"/>
      <c r="CGI1" s="87"/>
      <c r="CGJ1" s="87"/>
      <c r="CGK1" s="87"/>
      <c r="CGL1" s="87"/>
      <c r="CGM1" s="87"/>
      <c r="CGN1" s="87"/>
      <c r="CGO1" s="87"/>
      <c r="CGP1" s="87"/>
      <c r="CGQ1" s="87"/>
      <c r="CGR1" s="87"/>
      <c r="CGS1" s="87"/>
      <c r="CGT1" s="87"/>
      <c r="CGU1" s="87"/>
      <c r="CGV1" s="87"/>
      <c r="CGW1" s="87"/>
      <c r="CGX1" s="87"/>
      <c r="CGY1" s="87"/>
      <c r="CGZ1" s="87"/>
      <c r="CHA1" s="87"/>
      <c r="CHB1" s="87"/>
      <c r="CHC1" s="87"/>
      <c r="CHD1" s="87"/>
      <c r="CHE1" s="87"/>
      <c r="CHF1" s="87"/>
      <c r="CHG1" s="87"/>
      <c r="CHH1" s="87"/>
      <c r="CHI1" s="87"/>
      <c r="CHJ1" s="87"/>
      <c r="CHK1" s="87"/>
      <c r="CHL1" s="87"/>
      <c r="CHM1" s="87"/>
      <c r="CHN1" s="87"/>
      <c r="CHO1" s="87"/>
      <c r="CHP1" s="87"/>
      <c r="CHQ1" s="87"/>
      <c r="CHR1" s="87"/>
      <c r="CHS1" s="87"/>
      <c r="CHT1" s="87"/>
      <c r="CHU1" s="87"/>
      <c r="CHV1" s="87"/>
      <c r="CHW1" s="87"/>
      <c r="CHX1" s="87"/>
      <c r="CHY1" s="87"/>
      <c r="CHZ1" s="87"/>
      <c r="CIA1" s="87"/>
      <c r="CIB1" s="87"/>
      <c r="CIC1" s="87"/>
      <c r="CID1" s="87"/>
      <c r="CIE1" s="87"/>
      <c r="CIF1" s="87"/>
      <c r="CIG1" s="87"/>
      <c r="CIH1" s="87"/>
      <c r="CII1" s="87"/>
      <c r="CIJ1" s="87"/>
      <c r="CIK1" s="87"/>
      <c r="CIL1" s="87"/>
      <c r="CIM1" s="87"/>
      <c r="CIN1" s="87"/>
      <c r="CIO1" s="87"/>
      <c r="CIP1" s="87"/>
      <c r="CIQ1" s="87"/>
      <c r="CIR1" s="87"/>
      <c r="CIS1" s="87"/>
      <c r="CIT1" s="87"/>
      <c r="CIU1" s="87"/>
      <c r="CIV1" s="87"/>
      <c r="CIW1" s="87"/>
      <c r="CIX1" s="87"/>
      <c r="CIY1" s="87"/>
      <c r="CIZ1" s="87"/>
      <c r="CJA1" s="87"/>
      <c r="CJB1" s="87"/>
      <c r="CJC1" s="87"/>
      <c r="CJD1" s="87"/>
      <c r="CJE1" s="87"/>
      <c r="CJF1" s="87"/>
      <c r="CJG1" s="87"/>
      <c r="CJH1" s="87"/>
      <c r="CJI1" s="87"/>
      <c r="CJJ1" s="87"/>
      <c r="CJK1" s="87"/>
      <c r="CJL1" s="87"/>
      <c r="CJM1" s="87"/>
      <c r="CJN1" s="87"/>
      <c r="CJO1" s="87"/>
      <c r="CJP1" s="87"/>
      <c r="CJQ1" s="87"/>
      <c r="CJR1" s="87"/>
      <c r="CJS1" s="87"/>
      <c r="CJT1" s="87"/>
      <c r="CJU1" s="87"/>
      <c r="CJV1" s="87"/>
      <c r="CJW1" s="87"/>
      <c r="CJX1" s="87"/>
      <c r="CJY1" s="87"/>
      <c r="CJZ1" s="87"/>
      <c r="CKA1" s="87"/>
      <c r="CKB1" s="87"/>
      <c r="CKC1" s="87"/>
      <c r="CKD1" s="87"/>
      <c r="CKE1" s="87"/>
      <c r="CKF1" s="87"/>
      <c r="CKG1" s="87"/>
      <c r="CKH1" s="87"/>
      <c r="CKI1" s="87"/>
      <c r="CKJ1" s="87"/>
      <c r="CKK1" s="87"/>
      <c r="CKL1" s="87"/>
      <c r="CKM1" s="87"/>
      <c r="CKN1" s="87"/>
      <c r="CKO1" s="87"/>
      <c r="CKP1" s="87"/>
      <c r="CKQ1" s="87"/>
      <c r="CKR1" s="87"/>
      <c r="CKS1" s="87"/>
      <c r="CKT1" s="87"/>
      <c r="CKU1" s="87"/>
      <c r="CKV1" s="87"/>
      <c r="CKW1" s="87"/>
      <c r="CKX1" s="87"/>
      <c r="CKY1" s="87"/>
      <c r="CKZ1" s="87"/>
      <c r="CLA1" s="87"/>
      <c r="CLB1" s="87"/>
      <c r="CLC1" s="87"/>
      <c r="CLD1" s="87"/>
      <c r="CLE1" s="87"/>
      <c r="CLF1" s="87"/>
      <c r="CLG1" s="87"/>
      <c r="CLH1" s="87"/>
      <c r="CLI1" s="87"/>
      <c r="CLJ1" s="87"/>
      <c r="CLK1" s="87"/>
      <c r="CLL1" s="87"/>
      <c r="CLM1" s="87"/>
      <c r="CLN1" s="87"/>
      <c r="CLO1" s="87"/>
      <c r="CLP1" s="87"/>
      <c r="CLQ1" s="87"/>
      <c r="CLR1" s="87"/>
      <c r="CLS1" s="87"/>
      <c r="CLT1" s="87"/>
      <c r="CLU1" s="87"/>
      <c r="CLV1" s="87"/>
      <c r="CLW1" s="87"/>
      <c r="CLX1" s="87"/>
      <c r="CLY1" s="87"/>
      <c r="CLZ1" s="87"/>
      <c r="CMA1" s="87"/>
      <c r="CMB1" s="87"/>
      <c r="CMC1" s="87"/>
      <c r="CMD1" s="87"/>
      <c r="CME1" s="87"/>
      <c r="CMF1" s="87"/>
      <c r="CMG1" s="87"/>
      <c r="CMH1" s="87"/>
      <c r="CMI1" s="87"/>
      <c r="CMJ1" s="87"/>
      <c r="CMK1" s="87"/>
      <c r="CML1" s="87"/>
      <c r="CMM1" s="87"/>
      <c r="CMN1" s="87"/>
      <c r="CMO1" s="87"/>
      <c r="CMP1" s="87"/>
      <c r="CMQ1" s="87"/>
      <c r="CMR1" s="87"/>
      <c r="CMS1" s="87"/>
      <c r="CMT1" s="87"/>
      <c r="CMU1" s="87"/>
      <c r="CMV1" s="87"/>
      <c r="CMW1" s="87"/>
      <c r="CMX1" s="87"/>
      <c r="CMY1" s="87"/>
      <c r="CMZ1" s="87"/>
      <c r="CNA1" s="87"/>
      <c r="CNB1" s="87"/>
      <c r="CNC1" s="87"/>
      <c r="CND1" s="87"/>
      <c r="CNE1" s="87"/>
      <c r="CNF1" s="87"/>
      <c r="CNG1" s="87"/>
      <c r="CNH1" s="87"/>
      <c r="CNI1" s="87"/>
      <c r="CNJ1" s="87"/>
      <c r="CNK1" s="87"/>
      <c r="CNL1" s="87"/>
      <c r="CNM1" s="87"/>
      <c r="CNN1" s="87"/>
      <c r="CNO1" s="87"/>
      <c r="CNP1" s="87"/>
      <c r="CNQ1" s="87"/>
      <c r="CNR1" s="87"/>
      <c r="CNS1" s="87"/>
      <c r="CNT1" s="87"/>
      <c r="CNU1" s="87"/>
      <c r="CNV1" s="87"/>
      <c r="CNW1" s="87"/>
      <c r="CNX1" s="87"/>
      <c r="CNY1" s="87"/>
      <c r="CNZ1" s="87"/>
      <c r="COA1" s="87"/>
      <c r="COB1" s="87"/>
      <c r="COC1" s="87"/>
      <c r="COD1" s="87"/>
      <c r="COE1" s="87"/>
      <c r="COF1" s="87"/>
      <c r="COG1" s="87"/>
      <c r="COH1" s="87"/>
      <c r="COI1" s="87"/>
      <c r="COJ1" s="87"/>
      <c r="COK1" s="87"/>
      <c r="COL1" s="87"/>
      <c r="COM1" s="87"/>
      <c r="CON1" s="87"/>
      <c r="COO1" s="87"/>
      <c r="COP1" s="87"/>
      <c r="COQ1" s="87"/>
      <c r="COR1" s="87"/>
      <c r="COS1" s="87"/>
      <c r="COT1" s="87"/>
      <c r="COU1" s="87"/>
      <c r="COV1" s="87"/>
      <c r="COW1" s="87"/>
      <c r="COX1" s="87"/>
      <c r="COY1" s="87"/>
      <c r="COZ1" s="87"/>
      <c r="CPA1" s="87"/>
      <c r="CPB1" s="87"/>
      <c r="CPC1" s="87"/>
      <c r="CPD1" s="87"/>
      <c r="CPE1" s="87"/>
      <c r="CPF1" s="87"/>
      <c r="CPG1" s="87"/>
      <c r="CPH1" s="87"/>
      <c r="CPI1" s="87"/>
      <c r="CPJ1" s="87"/>
      <c r="CPK1" s="87"/>
      <c r="CPL1" s="87"/>
      <c r="CPM1" s="87"/>
      <c r="CPN1" s="87"/>
      <c r="CPO1" s="87"/>
      <c r="CPP1" s="87"/>
      <c r="CPQ1" s="87"/>
      <c r="CPR1" s="87"/>
      <c r="CPS1" s="87"/>
      <c r="CPT1" s="87"/>
      <c r="CPU1" s="87"/>
      <c r="CPV1" s="87"/>
      <c r="CPW1" s="87"/>
      <c r="CPX1" s="87"/>
      <c r="CPY1" s="87"/>
      <c r="CPZ1" s="87"/>
      <c r="CQA1" s="87"/>
      <c r="CQB1" s="87"/>
      <c r="CQC1" s="87"/>
      <c r="CQD1" s="87"/>
      <c r="CQE1" s="87"/>
      <c r="CQF1" s="87"/>
      <c r="CQG1" s="87"/>
      <c r="CQH1" s="87"/>
      <c r="CQI1" s="87"/>
      <c r="CQJ1" s="87"/>
      <c r="CQK1" s="87"/>
      <c r="CQL1" s="87"/>
      <c r="CQM1" s="87"/>
      <c r="CQN1" s="87"/>
      <c r="CQO1" s="87"/>
      <c r="CQP1" s="87"/>
      <c r="CQQ1" s="87"/>
      <c r="CQR1" s="87"/>
      <c r="CQS1" s="87"/>
      <c r="CQT1" s="87"/>
      <c r="CQU1" s="87"/>
      <c r="CQV1" s="87"/>
      <c r="CQW1" s="87"/>
      <c r="CQX1" s="87"/>
      <c r="CQY1" s="87"/>
      <c r="CQZ1" s="87"/>
      <c r="CRA1" s="87"/>
      <c r="CRB1" s="87"/>
      <c r="CRC1" s="87"/>
      <c r="CRD1" s="87"/>
      <c r="CRE1" s="87"/>
      <c r="CRF1" s="87"/>
      <c r="CRG1" s="87"/>
      <c r="CRH1" s="87"/>
      <c r="CRI1" s="87"/>
      <c r="CRJ1" s="87"/>
      <c r="CRK1" s="87"/>
      <c r="CRL1" s="87"/>
      <c r="CRM1" s="87"/>
      <c r="CRN1" s="87"/>
      <c r="CRO1" s="87"/>
      <c r="CRP1" s="87"/>
      <c r="CRQ1" s="87"/>
      <c r="CRR1" s="87"/>
      <c r="CRS1" s="87"/>
      <c r="CRT1" s="87"/>
      <c r="CRU1" s="87"/>
      <c r="CRV1" s="87"/>
      <c r="CRW1" s="87"/>
      <c r="CRX1" s="87"/>
      <c r="CRY1" s="87"/>
      <c r="CRZ1" s="87"/>
      <c r="CSA1" s="87"/>
      <c r="CSB1" s="87"/>
      <c r="CSC1" s="87"/>
      <c r="CSD1" s="87"/>
      <c r="CSE1" s="87"/>
      <c r="CSF1" s="87"/>
      <c r="CSG1" s="87"/>
      <c r="CSH1" s="87"/>
      <c r="CSI1" s="87"/>
      <c r="CSJ1" s="87"/>
      <c r="CSK1" s="87"/>
      <c r="CSL1" s="87"/>
      <c r="CSM1" s="87"/>
      <c r="CSN1" s="87"/>
      <c r="CSO1" s="87"/>
      <c r="CSP1" s="87"/>
      <c r="CSQ1" s="87"/>
      <c r="CSR1" s="87"/>
      <c r="CSS1" s="87"/>
      <c r="CST1" s="87"/>
      <c r="CSU1" s="87"/>
      <c r="CSV1" s="87"/>
      <c r="CSW1" s="87"/>
      <c r="CSX1" s="87"/>
      <c r="CSY1" s="87"/>
      <c r="CSZ1" s="87"/>
      <c r="CTA1" s="87"/>
      <c r="CTB1" s="87"/>
      <c r="CTC1" s="87"/>
      <c r="CTD1" s="87"/>
      <c r="CTE1" s="87"/>
      <c r="CTF1" s="87"/>
      <c r="CTG1" s="87"/>
      <c r="CTH1" s="87"/>
      <c r="CTI1" s="87"/>
      <c r="CTJ1" s="87"/>
      <c r="CTK1" s="87"/>
      <c r="CTL1" s="87"/>
      <c r="CTM1" s="87"/>
      <c r="CTN1" s="87"/>
      <c r="CTO1" s="87"/>
      <c r="CTP1" s="87"/>
      <c r="CTQ1" s="87"/>
      <c r="CTR1" s="87"/>
      <c r="CTS1" s="87"/>
      <c r="CTT1" s="87"/>
      <c r="CTU1" s="87"/>
      <c r="CTV1" s="87"/>
      <c r="CTW1" s="87"/>
      <c r="CTX1" s="87"/>
      <c r="CTY1" s="87"/>
      <c r="CTZ1" s="87"/>
      <c r="CUA1" s="87"/>
      <c r="CUB1" s="87"/>
      <c r="CUC1" s="87"/>
      <c r="CUD1" s="87"/>
      <c r="CUE1" s="87"/>
      <c r="CUF1" s="87"/>
      <c r="CUG1" s="87"/>
      <c r="CUH1" s="87"/>
      <c r="CUI1" s="87"/>
      <c r="CUJ1" s="87"/>
      <c r="CUK1" s="87"/>
      <c r="CUL1" s="87"/>
      <c r="CUM1" s="87"/>
      <c r="CUN1" s="87"/>
      <c r="CUO1" s="87"/>
      <c r="CUP1" s="87"/>
      <c r="CUQ1" s="87"/>
      <c r="CUR1" s="87"/>
      <c r="CUS1" s="87"/>
      <c r="CUT1" s="87"/>
      <c r="CUU1" s="87"/>
      <c r="CUV1" s="87"/>
      <c r="CUW1" s="87"/>
      <c r="CUX1" s="87"/>
      <c r="CUY1" s="87"/>
      <c r="CUZ1" s="87"/>
      <c r="CVA1" s="87"/>
      <c r="CVB1" s="87"/>
      <c r="CVC1" s="87"/>
      <c r="CVD1" s="87"/>
      <c r="CVE1" s="87"/>
      <c r="CVF1" s="87"/>
      <c r="CVG1" s="87"/>
      <c r="CVH1" s="87"/>
      <c r="CVI1" s="87"/>
      <c r="CVJ1" s="87"/>
      <c r="CVK1" s="87"/>
      <c r="CVL1" s="87"/>
      <c r="CVM1" s="87"/>
      <c r="CVN1" s="87"/>
      <c r="CVO1" s="87"/>
      <c r="CVP1" s="87"/>
      <c r="CVQ1" s="87"/>
      <c r="CVR1" s="87"/>
      <c r="CVS1" s="87"/>
      <c r="CVT1" s="87"/>
      <c r="CVU1" s="87"/>
      <c r="CVV1" s="87"/>
      <c r="CVW1" s="87"/>
      <c r="CVX1" s="87"/>
      <c r="CVY1" s="87"/>
      <c r="CVZ1" s="87"/>
      <c r="CWA1" s="87"/>
      <c r="CWB1" s="87"/>
      <c r="CWC1" s="87"/>
      <c r="CWD1" s="87"/>
      <c r="CWE1" s="87"/>
      <c r="CWF1" s="87"/>
      <c r="CWG1" s="87"/>
      <c r="CWH1" s="87"/>
      <c r="CWI1" s="87"/>
      <c r="CWJ1" s="87"/>
      <c r="CWK1" s="87"/>
      <c r="CWL1" s="87"/>
      <c r="CWM1" s="87"/>
      <c r="CWN1" s="87"/>
      <c r="CWO1" s="87"/>
      <c r="CWP1" s="87"/>
      <c r="CWQ1" s="87"/>
      <c r="CWR1" s="87"/>
      <c r="CWS1" s="87"/>
      <c r="CWT1" s="87"/>
      <c r="CWU1" s="87"/>
      <c r="CWV1" s="87"/>
      <c r="CWW1" s="87"/>
      <c r="CWX1" s="87"/>
      <c r="CWY1" s="87"/>
      <c r="CWZ1" s="87"/>
      <c r="CXA1" s="87"/>
      <c r="CXB1" s="87"/>
      <c r="CXC1" s="87"/>
      <c r="CXD1" s="87"/>
      <c r="CXE1" s="87"/>
      <c r="CXF1" s="87"/>
      <c r="CXG1" s="87"/>
      <c r="CXH1" s="87"/>
      <c r="CXI1" s="87"/>
      <c r="CXJ1" s="87"/>
      <c r="CXK1" s="87"/>
      <c r="CXL1" s="87"/>
      <c r="CXM1" s="87"/>
      <c r="CXN1" s="87"/>
      <c r="CXO1" s="87"/>
      <c r="CXP1" s="87"/>
      <c r="CXQ1" s="87"/>
      <c r="CXR1" s="87"/>
      <c r="CXS1" s="87"/>
      <c r="CXT1" s="87"/>
      <c r="CXU1" s="87"/>
      <c r="CXV1" s="87"/>
      <c r="CXW1" s="87"/>
      <c r="CXX1" s="87"/>
      <c r="CXY1" s="87"/>
      <c r="CXZ1" s="87"/>
      <c r="CYA1" s="87"/>
      <c r="CYB1" s="87"/>
      <c r="CYC1" s="87"/>
      <c r="CYD1" s="87"/>
      <c r="CYE1" s="87"/>
      <c r="CYF1" s="87"/>
      <c r="CYG1" s="87"/>
      <c r="CYH1" s="87"/>
      <c r="CYI1" s="87"/>
      <c r="CYJ1" s="87"/>
      <c r="CYK1" s="87"/>
      <c r="CYL1" s="87"/>
      <c r="CYM1" s="87"/>
      <c r="CYN1" s="87"/>
      <c r="CYO1" s="87"/>
      <c r="CYP1" s="87"/>
      <c r="CYQ1" s="87"/>
      <c r="CYR1" s="87"/>
      <c r="CYS1" s="87"/>
      <c r="CYT1" s="87"/>
      <c r="CYU1" s="87"/>
      <c r="CYV1" s="87"/>
      <c r="CYW1" s="87"/>
      <c r="CYX1" s="87"/>
      <c r="CYY1" s="87"/>
      <c r="CYZ1" s="87"/>
      <c r="CZA1" s="87"/>
      <c r="CZB1" s="87"/>
      <c r="CZC1" s="87"/>
      <c r="CZD1" s="87"/>
      <c r="CZE1" s="87"/>
      <c r="CZF1" s="87"/>
      <c r="CZG1" s="87"/>
      <c r="CZH1" s="87"/>
      <c r="CZI1" s="87"/>
      <c r="CZJ1" s="87"/>
      <c r="CZK1" s="87"/>
      <c r="CZL1" s="87"/>
      <c r="CZM1" s="87"/>
      <c r="CZN1" s="87"/>
      <c r="CZO1" s="87"/>
      <c r="CZP1" s="87"/>
      <c r="CZQ1" s="87"/>
      <c r="CZR1" s="87"/>
      <c r="CZS1" s="87"/>
      <c r="CZT1" s="87"/>
      <c r="CZU1" s="87"/>
      <c r="CZV1" s="87"/>
      <c r="CZW1" s="87"/>
      <c r="CZX1" s="87"/>
      <c r="CZY1" s="87"/>
      <c r="CZZ1" s="87"/>
      <c r="DAA1" s="87"/>
      <c r="DAB1" s="87"/>
      <c r="DAC1" s="87"/>
      <c r="DAD1" s="87"/>
      <c r="DAE1" s="87"/>
      <c r="DAF1" s="87"/>
      <c r="DAG1" s="87"/>
      <c r="DAH1" s="87"/>
      <c r="DAI1" s="87"/>
      <c r="DAJ1" s="87"/>
      <c r="DAK1" s="87"/>
      <c r="DAL1" s="87"/>
      <c r="DAM1" s="87"/>
      <c r="DAN1" s="87"/>
      <c r="DAO1" s="87"/>
      <c r="DAP1" s="87"/>
      <c r="DAQ1" s="87"/>
      <c r="DAR1" s="87"/>
      <c r="DAS1" s="87"/>
      <c r="DAT1" s="87"/>
      <c r="DAU1" s="87"/>
      <c r="DAV1" s="87"/>
      <c r="DAW1" s="87"/>
      <c r="DAX1" s="87"/>
      <c r="DAY1" s="87"/>
      <c r="DAZ1" s="87"/>
      <c r="DBA1" s="87"/>
      <c r="DBB1" s="87"/>
      <c r="DBC1" s="87"/>
      <c r="DBD1" s="87"/>
      <c r="DBE1" s="87"/>
      <c r="DBF1" s="87"/>
      <c r="DBG1" s="87"/>
      <c r="DBH1" s="87"/>
      <c r="DBI1" s="87"/>
      <c r="DBJ1" s="87"/>
      <c r="DBK1" s="87"/>
      <c r="DBL1" s="87"/>
      <c r="DBM1" s="87"/>
      <c r="DBN1" s="87"/>
      <c r="DBO1" s="87"/>
      <c r="DBP1" s="87"/>
      <c r="DBQ1" s="87"/>
      <c r="DBR1" s="87"/>
      <c r="DBS1" s="87"/>
      <c r="DBT1" s="87"/>
      <c r="DBU1" s="87"/>
      <c r="DBV1" s="87"/>
      <c r="DBW1" s="87"/>
      <c r="DBX1" s="87"/>
      <c r="DBY1" s="87"/>
      <c r="DBZ1" s="87"/>
      <c r="DCA1" s="87"/>
      <c r="DCB1" s="87"/>
      <c r="DCC1" s="87"/>
      <c r="DCD1" s="87"/>
      <c r="DCE1" s="87"/>
      <c r="DCF1" s="87"/>
      <c r="DCG1" s="87"/>
      <c r="DCH1" s="87"/>
      <c r="DCI1" s="87"/>
      <c r="DCJ1" s="87"/>
      <c r="DCK1" s="87"/>
      <c r="DCL1" s="87"/>
      <c r="DCM1" s="87"/>
      <c r="DCN1" s="87"/>
      <c r="DCO1" s="87"/>
      <c r="DCP1" s="87"/>
      <c r="DCQ1" s="87"/>
      <c r="DCR1" s="87"/>
      <c r="DCS1" s="87"/>
      <c r="DCT1" s="87"/>
      <c r="DCU1" s="87"/>
      <c r="DCV1" s="87"/>
      <c r="DCW1" s="87"/>
      <c r="DCX1" s="87"/>
      <c r="DCY1" s="87"/>
      <c r="DCZ1" s="87"/>
      <c r="DDA1" s="87"/>
      <c r="DDB1" s="87"/>
      <c r="DDC1" s="87"/>
      <c r="DDD1" s="87"/>
      <c r="DDE1" s="87"/>
      <c r="DDF1" s="87"/>
      <c r="DDG1" s="87"/>
      <c r="DDH1" s="87"/>
      <c r="DDI1" s="87"/>
      <c r="DDJ1" s="87"/>
      <c r="DDK1" s="87"/>
      <c r="DDL1" s="87"/>
      <c r="DDM1" s="87"/>
      <c r="DDN1" s="87"/>
      <c r="DDO1" s="87"/>
      <c r="DDP1" s="87"/>
      <c r="DDQ1" s="87"/>
      <c r="DDR1" s="87"/>
      <c r="DDS1" s="87"/>
      <c r="DDT1" s="87"/>
      <c r="DDU1" s="87"/>
      <c r="DDV1" s="87"/>
      <c r="DDW1" s="87"/>
      <c r="DDX1" s="87"/>
      <c r="DDY1" s="87"/>
      <c r="DDZ1" s="87"/>
      <c r="DEA1" s="87"/>
      <c r="DEB1" s="87"/>
      <c r="DEC1" s="87"/>
      <c r="DED1" s="87"/>
      <c r="DEE1" s="87"/>
      <c r="DEF1" s="87"/>
      <c r="DEG1" s="87"/>
      <c r="DEH1" s="87"/>
      <c r="DEI1" s="87"/>
      <c r="DEJ1" s="87"/>
      <c r="DEK1" s="87"/>
      <c r="DEL1" s="87"/>
      <c r="DEM1" s="87"/>
      <c r="DEN1" s="87"/>
      <c r="DEO1" s="87"/>
      <c r="DEP1" s="87"/>
      <c r="DEQ1" s="87"/>
      <c r="DER1" s="87"/>
      <c r="DES1" s="87"/>
      <c r="DET1" s="87"/>
      <c r="DEU1" s="87"/>
      <c r="DEV1" s="87"/>
      <c r="DEW1" s="87"/>
      <c r="DEX1" s="87"/>
      <c r="DEY1" s="87"/>
      <c r="DEZ1" s="87"/>
      <c r="DFA1" s="87"/>
      <c r="DFB1" s="87"/>
      <c r="DFC1" s="87"/>
      <c r="DFD1" s="87"/>
      <c r="DFE1" s="87"/>
      <c r="DFF1" s="87"/>
      <c r="DFG1" s="87"/>
      <c r="DFH1" s="87"/>
      <c r="DFI1" s="87"/>
      <c r="DFJ1" s="87"/>
      <c r="DFK1" s="87"/>
      <c r="DFL1" s="87"/>
      <c r="DFM1" s="87"/>
      <c r="DFN1" s="87"/>
      <c r="DFO1" s="87"/>
      <c r="DFP1" s="87"/>
      <c r="DFQ1" s="87"/>
      <c r="DFR1" s="87"/>
      <c r="DFS1" s="87"/>
      <c r="DFT1" s="87"/>
      <c r="DFU1" s="87"/>
      <c r="DFV1" s="87"/>
      <c r="DFW1" s="87"/>
      <c r="DFX1" s="87"/>
      <c r="DFY1" s="87"/>
      <c r="DFZ1" s="87"/>
      <c r="DGA1" s="87"/>
      <c r="DGB1" s="87"/>
      <c r="DGC1" s="87"/>
      <c r="DGD1" s="87"/>
      <c r="DGE1" s="87"/>
      <c r="DGF1" s="87"/>
      <c r="DGG1" s="87"/>
      <c r="DGH1" s="87"/>
      <c r="DGI1" s="87"/>
      <c r="DGJ1" s="87"/>
      <c r="DGK1" s="87"/>
      <c r="DGL1" s="87"/>
      <c r="DGM1" s="87"/>
      <c r="DGN1" s="87"/>
      <c r="DGO1" s="87"/>
      <c r="DGP1" s="87"/>
      <c r="DGQ1" s="87"/>
      <c r="DGR1" s="87"/>
      <c r="DGS1" s="87"/>
      <c r="DGT1" s="87"/>
      <c r="DGU1" s="87"/>
      <c r="DGV1" s="87"/>
      <c r="DGW1" s="87"/>
      <c r="DGX1" s="87"/>
      <c r="DGY1" s="87"/>
      <c r="DGZ1" s="87"/>
      <c r="DHA1" s="87"/>
      <c r="DHB1" s="87"/>
      <c r="DHC1" s="87"/>
      <c r="DHD1" s="87"/>
      <c r="DHE1" s="87"/>
      <c r="DHF1" s="87"/>
      <c r="DHG1" s="87"/>
      <c r="DHH1" s="87"/>
      <c r="DHI1" s="87"/>
      <c r="DHJ1" s="87"/>
      <c r="DHK1" s="87"/>
      <c r="DHL1" s="87"/>
      <c r="DHM1" s="87"/>
      <c r="DHN1" s="87"/>
      <c r="DHO1" s="87"/>
      <c r="DHP1" s="87"/>
      <c r="DHQ1" s="87"/>
      <c r="DHR1" s="87"/>
      <c r="DHS1" s="87"/>
      <c r="DHT1" s="87"/>
      <c r="DHU1" s="87"/>
      <c r="DHV1" s="87"/>
      <c r="DHW1" s="87"/>
      <c r="DHX1" s="87"/>
      <c r="DHY1" s="87"/>
      <c r="DHZ1" s="87"/>
      <c r="DIA1" s="87"/>
      <c r="DIB1" s="87"/>
      <c r="DIC1" s="87"/>
      <c r="DID1" s="87"/>
      <c r="DIE1" s="87"/>
      <c r="DIF1" s="87"/>
      <c r="DIG1" s="87"/>
      <c r="DIH1" s="87"/>
      <c r="DII1" s="87"/>
      <c r="DIJ1" s="87"/>
      <c r="DIK1" s="87"/>
      <c r="DIL1" s="87"/>
      <c r="DIM1" s="87"/>
      <c r="DIN1" s="87"/>
      <c r="DIO1" s="87"/>
      <c r="DIP1" s="87"/>
      <c r="DIQ1" s="87"/>
      <c r="DIR1" s="87"/>
      <c r="DIS1" s="87"/>
      <c r="DIT1" s="87"/>
      <c r="DIU1" s="87"/>
      <c r="DIV1" s="87"/>
      <c r="DIW1" s="87"/>
      <c r="DIX1" s="87"/>
      <c r="DIY1" s="87"/>
      <c r="DIZ1" s="87"/>
      <c r="DJA1" s="87"/>
      <c r="DJB1" s="87"/>
      <c r="DJC1" s="87"/>
      <c r="DJD1" s="87"/>
      <c r="DJE1" s="87"/>
      <c r="DJF1" s="87"/>
      <c r="DJG1" s="87"/>
      <c r="DJH1" s="87"/>
      <c r="DJI1" s="87"/>
      <c r="DJJ1" s="87"/>
      <c r="DJK1" s="87"/>
      <c r="DJL1" s="87"/>
      <c r="DJM1" s="87"/>
      <c r="DJN1" s="87"/>
      <c r="DJO1" s="87"/>
      <c r="DJP1" s="87"/>
      <c r="DJQ1" s="87"/>
      <c r="DJR1" s="87"/>
      <c r="DJS1" s="87"/>
      <c r="DJT1" s="87"/>
      <c r="DJU1" s="87"/>
      <c r="DJV1" s="87"/>
      <c r="DJW1" s="87"/>
      <c r="DJX1" s="87"/>
      <c r="DJY1" s="87"/>
      <c r="DJZ1" s="87"/>
      <c r="DKA1" s="87"/>
      <c r="DKB1" s="87"/>
      <c r="DKC1" s="87"/>
      <c r="DKD1" s="87"/>
      <c r="DKE1" s="87"/>
      <c r="DKF1" s="87"/>
      <c r="DKG1" s="87"/>
      <c r="DKH1" s="87"/>
      <c r="DKI1" s="87"/>
      <c r="DKJ1" s="87"/>
      <c r="DKK1" s="87"/>
      <c r="DKL1" s="87"/>
      <c r="DKM1" s="87"/>
      <c r="DKN1" s="87"/>
      <c r="DKO1" s="87"/>
      <c r="DKP1" s="87"/>
      <c r="DKQ1" s="87"/>
      <c r="DKR1" s="87"/>
      <c r="DKS1" s="87"/>
      <c r="DKT1" s="87"/>
      <c r="DKU1" s="87"/>
      <c r="DKV1" s="87"/>
      <c r="DKW1" s="87"/>
      <c r="DKX1" s="87"/>
      <c r="DKY1" s="87"/>
      <c r="DKZ1" s="87"/>
      <c r="DLA1" s="87"/>
      <c r="DLB1" s="87"/>
      <c r="DLC1" s="87"/>
      <c r="DLD1" s="87"/>
      <c r="DLE1" s="87"/>
      <c r="DLF1" s="87"/>
      <c r="DLG1" s="87"/>
      <c r="DLH1" s="87"/>
      <c r="DLI1" s="87"/>
      <c r="DLJ1" s="87"/>
      <c r="DLK1" s="87"/>
      <c r="DLL1" s="87"/>
      <c r="DLM1" s="87"/>
      <c r="DLN1" s="87"/>
      <c r="DLO1" s="87"/>
      <c r="DLP1" s="87"/>
      <c r="DLQ1" s="87"/>
      <c r="DLR1" s="87"/>
      <c r="DLS1" s="87"/>
      <c r="DLT1" s="87"/>
      <c r="DLU1" s="87"/>
      <c r="DLV1" s="87"/>
      <c r="DLW1" s="87"/>
      <c r="DLX1" s="87"/>
      <c r="DLY1" s="87"/>
      <c r="DLZ1" s="87"/>
      <c r="DMA1" s="87"/>
      <c r="DMB1" s="87"/>
      <c r="DMC1" s="87"/>
      <c r="DMD1" s="87"/>
      <c r="DME1" s="87"/>
      <c r="DMF1" s="87"/>
      <c r="DMG1" s="87"/>
      <c r="DMH1" s="87"/>
      <c r="DMI1" s="87"/>
      <c r="DMJ1" s="87"/>
      <c r="DMK1" s="87"/>
      <c r="DML1" s="87"/>
      <c r="DMM1" s="87"/>
      <c r="DMN1" s="87"/>
      <c r="DMO1" s="87"/>
      <c r="DMP1" s="87"/>
      <c r="DMQ1" s="87"/>
      <c r="DMR1" s="87"/>
      <c r="DMS1" s="87"/>
      <c r="DMT1" s="87"/>
      <c r="DMU1" s="87"/>
      <c r="DMV1" s="87"/>
      <c r="DMW1" s="87"/>
      <c r="DMX1" s="87"/>
      <c r="DMY1" s="87"/>
      <c r="DMZ1" s="87"/>
      <c r="DNA1" s="87"/>
      <c r="DNB1" s="87"/>
      <c r="DNC1" s="87"/>
      <c r="DND1" s="87"/>
      <c r="DNE1" s="87"/>
      <c r="DNF1" s="87"/>
      <c r="DNG1" s="87"/>
      <c r="DNH1" s="87"/>
      <c r="DNI1" s="87"/>
      <c r="DNJ1" s="87"/>
      <c r="DNK1" s="87"/>
      <c r="DNL1" s="87"/>
      <c r="DNM1" s="87"/>
      <c r="DNN1" s="87"/>
      <c r="DNO1" s="87"/>
      <c r="DNP1" s="87"/>
      <c r="DNQ1" s="87"/>
      <c r="DNR1" s="87"/>
      <c r="DNS1" s="87"/>
      <c r="DNT1" s="87"/>
      <c r="DNU1" s="87"/>
      <c r="DNV1" s="87"/>
      <c r="DNW1" s="87"/>
      <c r="DNX1" s="87"/>
      <c r="DNY1" s="87"/>
      <c r="DNZ1" s="87"/>
      <c r="DOA1" s="87"/>
      <c r="DOB1" s="87"/>
      <c r="DOC1" s="87"/>
      <c r="DOD1" s="87"/>
      <c r="DOE1" s="87"/>
      <c r="DOF1" s="87"/>
      <c r="DOG1" s="87"/>
      <c r="DOH1" s="87"/>
      <c r="DOI1" s="87"/>
      <c r="DOJ1" s="87"/>
      <c r="DOK1" s="87"/>
      <c r="DOL1" s="87"/>
      <c r="DOM1" s="87"/>
      <c r="DON1" s="87"/>
      <c r="DOO1" s="87"/>
      <c r="DOP1" s="87"/>
      <c r="DOQ1" s="87"/>
      <c r="DOR1" s="87"/>
      <c r="DOS1" s="87"/>
      <c r="DOT1" s="87"/>
      <c r="DOU1" s="87"/>
      <c r="DOV1" s="87"/>
      <c r="DOW1" s="87"/>
      <c r="DOX1" s="87"/>
      <c r="DOY1" s="87"/>
      <c r="DOZ1" s="87"/>
      <c r="DPA1" s="87"/>
      <c r="DPB1" s="87"/>
      <c r="DPC1" s="87"/>
      <c r="DPD1" s="87"/>
      <c r="DPE1" s="87"/>
      <c r="DPF1" s="87"/>
      <c r="DPG1" s="87"/>
      <c r="DPH1" s="87"/>
      <c r="DPI1" s="87"/>
      <c r="DPJ1" s="87"/>
      <c r="DPK1" s="87"/>
      <c r="DPL1" s="87"/>
      <c r="DPM1" s="87"/>
      <c r="DPN1" s="87"/>
      <c r="DPO1" s="87"/>
      <c r="DPP1" s="87"/>
      <c r="DPQ1" s="87"/>
      <c r="DPR1" s="87"/>
      <c r="DPS1" s="87"/>
      <c r="DPT1" s="87"/>
      <c r="DPU1" s="87"/>
      <c r="DPV1" s="87"/>
      <c r="DPW1" s="87"/>
      <c r="DPX1" s="87"/>
      <c r="DPY1" s="87"/>
      <c r="DPZ1" s="87"/>
      <c r="DQA1" s="87"/>
      <c r="DQB1" s="87"/>
      <c r="DQC1" s="87"/>
      <c r="DQD1" s="87"/>
      <c r="DQE1" s="87"/>
      <c r="DQF1" s="87"/>
      <c r="DQG1" s="87"/>
      <c r="DQH1" s="87"/>
      <c r="DQI1" s="87"/>
      <c r="DQJ1" s="87"/>
      <c r="DQK1" s="87"/>
      <c r="DQL1" s="87"/>
      <c r="DQM1" s="87"/>
      <c r="DQN1" s="87"/>
      <c r="DQO1" s="87"/>
      <c r="DQP1" s="87"/>
      <c r="DQQ1" s="87"/>
      <c r="DQR1" s="87"/>
      <c r="DQS1" s="87"/>
      <c r="DQT1" s="87"/>
      <c r="DQU1" s="87"/>
      <c r="DQV1" s="87"/>
      <c r="DQW1" s="87"/>
      <c r="DQX1" s="87"/>
      <c r="DQY1" s="87"/>
      <c r="DQZ1" s="87"/>
      <c r="DRA1" s="87"/>
      <c r="DRB1" s="87"/>
      <c r="DRC1" s="87"/>
      <c r="DRD1" s="87"/>
      <c r="DRE1" s="87"/>
      <c r="DRF1" s="87"/>
      <c r="DRG1" s="87"/>
      <c r="DRH1" s="87"/>
      <c r="DRI1" s="87"/>
      <c r="DRJ1" s="87"/>
      <c r="DRK1" s="87"/>
      <c r="DRL1" s="87"/>
      <c r="DRM1" s="87"/>
      <c r="DRN1" s="87"/>
      <c r="DRO1" s="87"/>
      <c r="DRP1" s="87"/>
      <c r="DRQ1" s="87"/>
      <c r="DRR1" s="87"/>
      <c r="DRS1" s="87"/>
      <c r="DRT1" s="87"/>
      <c r="DRU1" s="87"/>
      <c r="DRV1" s="87"/>
      <c r="DRW1" s="87"/>
      <c r="DRX1" s="87"/>
      <c r="DRY1" s="87"/>
      <c r="DRZ1" s="87"/>
      <c r="DSA1" s="87"/>
      <c r="DSB1" s="87"/>
      <c r="DSC1" s="87"/>
      <c r="DSD1" s="87"/>
      <c r="DSE1" s="87"/>
      <c r="DSF1" s="87"/>
      <c r="DSG1" s="87"/>
      <c r="DSH1" s="87"/>
      <c r="DSI1" s="87"/>
      <c r="DSJ1" s="87"/>
      <c r="DSK1" s="87"/>
      <c r="DSL1" s="87"/>
      <c r="DSM1" s="87"/>
      <c r="DSN1" s="87"/>
      <c r="DSO1" s="87"/>
      <c r="DSP1" s="87"/>
      <c r="DSQ1" s="87"/>
      <c r="DSR1" s="87"/>
      <c r="DSS1" s="87"/>
      <c r="DST1" s="87"/>
      <c r="DSU1" s="87"/>
      <c r="DSV1" s="87"/>
      <c r="DSW1" s="87"/>
      <c r="DSX1" s="87"/>
      <c r="DSY1" s="87"/>
      <c r="DSZ1" s="87"/>
      <c r="DTA1" s="87"/>
      <c r="DTB1" s="87"/>
      <c r="DTC1" s="87"/>
      <c r="DTD1" s="87"/>
      <c r="DTE1" s="87"/>
      <c r="DTF1" s="87"/>
      <c r="DTG1" s="87"/>
      <c r="DTH1" s="87"/>
      <c r="DTI1" s="87"/>
      <c r="DTJ1" s="87"/>
      <c r="DTK1" s="87"/>
      <c r="DTL1" s="87"/>
      <c r="DTM1" s="87"/>
      <c r="DTN1" s="87"/>
      <c r="DTO1" s="87"/>
      <c r="DTP1" s="87"/>
      <c r="DTQ1" s="87"/>
      <c r="DTR1" s="87"/>
      <c r="DTS1" s="87"/>
      <c r="DTT1" s="87"/>
      <c r="DTU1" s="87"/>
      <c r="DTV1" s="87"/>
      <c r="DTW1" s="87"/>
      <c r="DTX1" s="87"/>
      <c r="DTY1" s="87"/>
      <c r="DTZ1" s="87"/>
      <c r="DUA1" s="87"/>
      <c r="DUB1" s="87"/>
      <c r="DUC1" s="87"/>
      <c r="DUD1" s="87"/>
      <c r="DUE1" s="87"/>
      <c r="DUF1" s="87"/>
      <c r="DUG1" s="87"/>
      <c r="DUH1" s="87"/>
      <c r="DUI1" s="87"/>
      <c r="DUJ1" s="87"/>
      <c r="DUK1" s="87"/>
      <c r="DUL1" s="87"/>
      <c r="DUM1" s="87"/>
      <c r="DUN1" s="87"/>
      <c r="DUO1" s="87"/>
      <c r="DUP1" s="87"/>
      <c r="DUQ1" s="87"/>
      <c r="DUR1" s="87"/>
      <c r="DUS1" s="87"/>
      <c r="DUT1" s="87"/>
      <c r="DUU1" s="87"/>
      <c r="DUV1" s="87"/>
      <c r="DUW1" s="87"/>
      <c r="DUX1" s="87"/>
      <c r="DUY1" s="87"/>
      <c r="DUZ1" s="87"/>
      <c r="DVA1" s="87"/>
      <c r="DVB1" s="87"/>
      <c r="DVC1" s="87"/>
      <c r="DVD1" s="87"/>
      <c r="DVE1" s="87"/>
      <c r="DVF1" s="87"/>
      <c r="DVG1" s="87"/>
      <c r="DVH1" s="87"/>
      <c r="DVI1" s="87"/>
      <c r="DVJ1" s="87"/>
      <c r="DVK1" s="87"/>
      <c r="DVL1" s="87"/>
      <c r="DVM1" s="87"/>
      <c r="DVN1" s="87"/>
      <c r="DVO1" s="87"/>
      <c r="DVP1" s="87"/>
      <c r="DVQ1" s="87"/>
      <c r="DVR1" s="87"/>
      <c r="DVS1" s="87"/>
      <c r="DVT1" s="87"/>
      <c r="DVU1" s="87"/>
      <c r="DVV1" s="87"/>
      <c r="DVW1" s="87"/>
      <c r="DVX1" s="87"/>
      <c r="DVY1" s="87"/>
      <c r="DVZ1" s="87"/>
      <c r="DWA1" s="87"/>
      <c r="DWB1" s="87"/>
      <c r="DWC1" s="87"/>
      <c r="DWD1" s="87"/>
      <c r="DWE1" s="87"/>
      <c r="DWF1" s="87"/>
      <c r="DWG1" s="87"/>
      <c r="DWH1" s="87"/>
      <c r="DWI1" s="87"/>
      <c r="DWJ1" s="87"/>
      <c r="DWK1" s="87"/>
      <c r="DWL1" s="87"/>
      <c r="DWM1" s="87"/>
      <c r="DWN1" s="87"/>
      <c r="DWO1" s="87"/>
      <c r="DWP1" s="87"/>
      <c r="DWQ1" s="87"/>
      <c r="DWR1" s="87"/>
      <c r="DWS1" s="87"/>
      <c r="DWT1" s="87"/>
      <c r="DWU1" s="87"/>
      <c r="DWV1" s="87"/>
      <c r="DWW1" s="87"/>
      <c r="DWX1" s="87"/>
      <c r="DWY1" s="87"/>
      <c r="DWZ1" s="87"/>
      <c r="DXA1" s="87"/>
      <c r="DXB1" s="87"/>
      <c r="DXC1" s="87"/>
      <c r="DXD1" s="87"/>
      <c r="DXE1" s="87"/>
      <c r="DXF1" s="87"/>
      <c r="DXG1" s="87"/>
      <c r="DXH1" s="87"/>
      <c r="DXI1" s="87"/>
      <c r="DXJ1" s="87"/>
      <c r="DXK1" s="87"/>
      <c r="DXL1" s="87"/>
      <c r="DXM1" s="87"/>
      <c r="DXN1" s="87"/>
      <c r="DXO1" s="87"/>
      <c r="DXP1" s="87"/>
      <c r="DXQ1" s="87"/>
      <c r="DXR1" s="87"/>
      <c r="DXS1" s="87"/>
      <c r="DXT1" s="87"/>
      <c r="DXU1" s="87"/>
      <c r="DXV1" s="87"/>
      <c r="DXW1" s="87"/>
      <c r="DXX1" s="87"/>
      <c r="DXY1" s="87"/>
      <c r="DXZ1" s="87"/>
      <c r="DYA1" s="87"/>
      <c r="DYB1" s="87"/>
      <c r="DYC1" s="87"/>
      <c r="DYD1" s="87"/>
      <c r="DYE1" s="87"/>
      <c r="DYF1" s="87"/>
      <c r="DYG1" s="87"/>
      <c r="DYH1" s="87"/>
      <c r="DYI1" s="87"/>
      <c r="DYJ1" s="87"/>
      <c r="DYK1" s="87"/>
      <c r="DYL1" s="87"/>
      <c r="DYM1" s="87"/>
      <c r="DYN1" s="87"/>
      <c r="DYO1" s="87"/>
      <c r="DYP1" s="87"/>
      <c r="DYQ1" s="87"/>
      <c r="DYR1" s="87"/>
      <c r="DYS1" s="87"/>
      <c r="DYT1" s="87"/>
      <c r="DYU1" s="87"/>
      <c r="DYV1" s="87"/>
      <c r="DYW1" s="87"/>
      <c r="DYX1" s="87"/>
      <c r="DYY1" s="87"/>
      <c r="DYZ1" s="87"/>
      <c r="DZA1" s="87"/>
      <c r="DZB1" s="87"/>
      <c r="DZC1" s="87"/>
      <c r="DZD1" s="87"/>
      <c r="DZE1" s="87"/>
      <c r="DZF1" s="87"/>
      <c r="DZG1" s="87"/>
      <c r="DZH1" s="87"/>
      <c r="DZI1" s="87"/>
      <c r="DZJ1" s="87"/>
      <c r="DZK1" s="87"/>
      <c r="DZL1" s="87"/>
      <c r="DZM1" s="87"/>
      <c r="DZN1" s="87"/>
      <c r="DZO1" s="87"/>
      <c r="DZP1" s="87"/>
      <c r="DZQ1" s="87"/>
      <c r="DZR1" s="87"/>
      <c r="DZS1" s="87"/>
      <c r="DZT1" s="87"/>
      <c r="DZU1" s="87"/>
      <c r="DZV1" s="87"/>
      <c r="DZW1" s="87"/>
      <c r="DZX1" s="87"/>
      <c r="DZY1" s="87"/>
      <c r="DZZ1" s="87"/>
      <c r="EAA1" s="87"/>
      <c r="EAB1" s="87"/>
      <c r="EAC1" s="87"/>
      <c r="EAD1" s="87"/>
      <c r="EAE1" s="87"/>
      <c r="EAF1" s="87"/>
      <c r="EAG1" s="87"/>
      <c r="EAH1" s="87"/>
      <c r="EAI1" s="87"/>
      <c r="EAJ1" s="87"/>
      <c r="EAK1" s="87"/>
      <c r="EAL1" s="87"/>
      <c r="EAM1" s="87"/>
      <c r="EAN1" s="87"/>
      <c r="EAO1" s="87"/>
      <c r="EAP1" s="87"/>
      <c r="EAQ1" s="87"/>
      <c r="EAR1" s="87"/>
      <c r="EAS1" s="87"/>
      <c r="EAT1" s="87"/>
      <c r="EAU1" s="87"/>
      <c r="EAV1" s="87"/>
      <c r="EAW1" s="87"/>
      <c r="EAX1" s="87"/>
      <c r="EAY1" s="87"/>
      <c r="EAZ1" s="87"/>
      <c r="EBA1" s="87"/>
      <c r="EBB1" s="87"/>
      <c r="EBC1" s="87"/>
      <c r="EBD1" s="87"/>
      <c r="EBE1" s="87"/>
      <c r="EBF1" s="87"/>
      <c r="EBG1" s="87"/>
      <c r="EBH1" s="87"/>
      <c r="EBI1" s="87"/>
      <c r="EBJ1" s="87"/>
      <c r="EBK1" s="87"/>
      <c r="EBL1" s="87"/>
      <c r="EBM1" s="87"/>
      <c r="EBN1" s="87"/>
      <c r="EBO1" s="87"/>
      <c r="EBP1" s="87"/>
      <c r="EBQ1" s="87"/>
      <c r="EBR1" s="87"/>
      <c r="EBS1" s="87"/>
      <c r="EBT1" s="87"/>
      <c r="EBU1" s="87"/>
      <c r="EBV1" s="87"/>
      <c r="EBW1" s="87"/>
      <c r="EBX1" s="87"/>
      <c r="EBY1" s="87"/>
      <c r="EBZ1" s="87"/>
      <c r="ECA1" s="87"/>
      <c r="ECB1" s="87"/>
      <c r="ECC1" s="87"/>
      <c r="ECD1" s="87"/>
      <c r="ECE1" s="87"/>
      <c r="ECF1" s="87"/>
      <c r="ECG1" s="87"/>
      <c r="ECH1" s="87"/>
      <c r="ECI1" s="87"/>
      <c r="ECJ1" s="87"/>
      <c r="ECK1" s="87"/>
      <c r="ECL1" s="87"/>
      <c r="ECM1" s="87"/>
      <c r="ECN1" s="87"/>
      <c r="ECO1" s="87"/>
      <c r="ECP1" s="87"/>
      <c r="ECQ1" s="87"/>
      <c r="ECR1" s="87"/>
      <c r="ECS1" s="87"/>
      <c r="ECT1" s="87"/>
      <c r="ECU1" s="87"/>
      <c r="ECV1" s="87"/>
      <c r="ECW1" s="87"/>
      <c r="ECX1" s="87"/>
      <c r="ECY1" s="87"/>
      <c r="ECZ1" s="87"/>
      <c r="EDA1" s="87"/>
      <c r="EDB1" s="87"/>
      <c r="EDC1" s="87"/>
      <c r="EDD1" s="87"/>
      <c r="EDE1" s="87"/>
      <c r="EDF1" s="87"/>
      <c r="EDG1" s="87"/>
      <c r="EDH1" s="87"/>
      <c r="EDI1" s="87"/>
      <c r="EDJ1" s="87"/>
      <c r="EDK1" s="87"/>
      <c r="EDL1" s="87"/>
      <c r="EDM1" s="87"/>
      <c r="EDN1" s="87"/>
      <c r="EDO1" s="87"/>
      <c r="EDP1" s="87"/>
      <c r="EDQ1" s="87"/>
      <c r="EDR1" s="87"/>
      <c r="EDS1" s="87"/>
      <c r="EDT1" s="87"/>
      <c r="EDU1" s="87"/>
      <c r="EDV1" s="87"/>
      <c r="EDW1" s="87"/>
      <c r="EDX1" s="87"/>
      <c r="EDY1" s="87"/>
      <c r="EDZ1" s="87"/>
      <c r="EEA1" s="87"/>
      <c r="EEB1" s="87"/>
      <c r="EEC1" s="87"/>
      <c r="EED1" s="87"/>
      <c r="EEE1" s="87"/>
      <c r="EEF1" s="87"/>
      <c r="EEG1" s="87"/>
      <c r="EEH1" s="87"/>
      <c r="EEI1" s="87"/>
      <c r="EEJ1" s="87"/>
      <c r="EEK1" s="87"/>
      <c r="EEL1" s="87"/>
      <c r="EEM1" s="87"/>
      <c r="EEN1" s="87"/>
      <c r="EEO1" s="87"/>
      <c r="EEP1" s="87"/>
      <c r="EEQ1" s="87"/>
      <c r="EER1" s="87"/>
      <c r="EES1" s="87"/>
      <c r="EET1" s="87"/>
      <c r="EEU1" s="87"/>
      <c r="EEV1" s="87"/>
      <c r="EEW1" s="87"/>
      <c r="EEX1" s="87"/>
      <c r="EEY1" s="87"/>
      <c r="EEZ1" s="87"/>
      <c r="EFA1" s="87"/>
      <c r="EFB1" s="87"/>
      <c r="EFC1" s="87"/>
      <c r="EFD1" s="87"/>
      <c r="EFE1" s="87"/>
      <c r="EFF1" s="87"/>
      <c r="EFG1" s="87"/>
      <c r="EFH1" s="87"/>
      <c r="EFI1" s="87"/>
      <c r="EFJ1" s="87"/>
      <c r="EFK1" s="87"/>
      <c r="EFL1" s="87"/>
      <c r="EFM1" s="87"/>
      <c r="EFN1" s="87"/>
      <c r="EFO1" s="87"/>
      <c r="EFP1" s="87"/>
      <c r="EFQ1" s="87"/>
      <c r="EFR1" s="87"/>
      <c r="EFS1" s="87"/>
      <c r="EFT1" s="87"/>
      <c r="EFU1" s="87"/>
      <c r="EFV1" s="87"/>
      <c r="EFW1" s="87"/>
      <c r="EFX1" s="87"/>
      <c r="EFY1" s="87"/>
      <c r="EFZ1" s="87"/>
      <c r="EGA1" s="87"/>
      <c r="EGB1" s="87"/>
      <c r="EGC1" s="87"/>
      <c r="EGD1" s="87"/>
      <c r="EGE1" s="87"/>
      <c r="EGF1" s="87"/>
      <c r="EGG1" s="87"/>
      <c r="EGH1" s="87"/>
      <c r="EGI1" s="87"/>
      <c r="EGJ1" s="87"/>
      <c r="EGK1" s="87"/>
      <c r="EGL1" s="87"/>
      <c r="EGM1" s="87"/>
      <c r="EGN1" s="87"/>
      <c r="EGO1" s="87"/>
      <c r="EGP1" s="87"/>
      <c r="EGQ1" s="87"/>
      <c r="EGR1" s="87"/>
      <c r="EGS1" s="87"/>
      <c r="EGT1" s="87"/>
      <c r="EGU1" s="87"/>
      <c r="EGV1" s="87"/>
      <c r="EGW1" s="87"/>
      <c r="EGX1" s="87"/>
      <c r="EGY1" s="87"/>
      <c r="EGZ1" s="87"/>
      <c r="EHA1" s="87"/>
      <c r="EHB1" s="87"/>
      <c r="EHC1" s="87"/>
      <c r="EHD1" s="87"/>
      <c r="EHE1" s="87"/>
      <c r="EHF1" s="87"/>
      <c r="EHG1" s="87"/>
      <c r="EHH1" s="87"/>
      <c r="EHI1" s="87"/>
      <c r="EHJ1" s="87"/>
      <c r="EHK1" s="87"/>
      <c r="EHL1" s="87"/>
      <c r="EHM1" s="87"/>
      <c r="EHN1" s="87"/>
      <c r="EHO1" s="87"/>
      <c r="EHP1" s="87"/>
      <c r="EHQ1" s="87"/>
      <c r="EHR1" s="87"/>
      <c r="EHS1" s="87"/>
      <c r="EHT1" s="87"/>
      <c r="EHU1" s="87"/>
      <c r="EHV1" s="87"/>
      <c r="EHW1" s="87"/>
      <c r="EHX1" s="87"/>
      <c r="EHY1" s="87"/>
      <c r="EHZ1" s="87"/>
      <c r="EIA1" s="87"/>
      <c r="EIB1" s="87"/>
      <c r="EIC1" s="87"/>
      <c r="EID1" s="87"/>
      <c r="EIE1" s="87"/>
      <c r="EIF1" s="87"/>
      <c r="EIG1" s="87"/>
      <c r="EIH1" s="87"/>
      <c r="EII1" s="87"/>
      <c r="EIJ1" s="87"/>
      <c r="EIK1" s="87"/>
      <c r="EIL1" s="87"/>
      <c r="EIM1" s="87"/>
      <c r="EIN1" s="87"/>
      <c r="EIO1" s="87"/>
      <c r="EIP1" s="87"/>
      <c r="EIQ1" s="87"/>
      <c r="EIR1" s="87"/>
      <c r="EIS1" s="87"/>
      <c r="EIT1" s="87"/>
      <c r="EIU1" s="87"/>
      <c r="EIV1" s="87"/>
      <c r="EIW1" s="87"/>
      <c r="EIX1" s="87"/>
      <c r="EIY1" s="87"/>
      <c r="EIZ1" s="87"/>
      <c r="EJA1" s="87"/>
      <c r="EJB1" s="87"/>
      <c r="EJC1" s="87"/>
      <c r="EJD1" s="87"/>
      <c r="EJE1" s="87"/>
      <c r="EJF1" s="87"/>
      <c r="EJG1" s="87"/>
      <c r="EJH1" s="87"/>
      <c r="EJI1" s="87"/>
      <c r="EJJ1" s="87"/>
      <c r="EJK1" s="87"/>
      <c r="EJL1" s="87"/>
      <c r="EJM1" s="87"/>
      <c r="EJN1" s="87"/>
      <c r="EJO1" s="87"/>
      <c r="EJP1" s="87"/>
      <c r="EJQ1" s="87"/>
      <c r="EJR1" s="87"/>
      <c r="EJS1" s="87"/>
      <c r="EJT1" s="87"/>
      <c r="EJU1" s="87"/>
      <c r="EJV1" s="87"/>
      <c r="EJW1" s="87"/>
      <c r="EJX1" s="87"/>
      <c r="EJY1" s="87"/>
      <c r="EJZ1" s="87"/>
      <c r="EKA1" s="87"/>
      <c r="EKB1" s="87"/>
      <c r="EKC1" s="87"/>
      <c r="EKD1" s="87"/>
      <c r="EKE1" s="87"/>
      <c r="EKF1" s="87"/>
      <c r="EKG1" s="87"/>
      <c r="EKH1" s="87"/>
      <c r="EKI1" s="87"/>
      <c r="EKJ1" s="87"/>
      <c r="EKK1" s="87"/>
      <c r="EKL1" s="87"/>
      <c r="EKM1" s="87"/>
      <c r="EKN1" s="87"/>
      <c r="EKO1" s="87"/>
      <c r="EKP1" s="87"/>
      <c r="EKQ1" s="87"/>
      <c r="EKR1" s="87"/>
      <c r="EKS1" s="87"/>
      <c r="EKT1" s="87"/>
      <c r="EKU1" s="87"/>
      <c r="EKV1" s="87"/>
      <c r="EKW1" s="87"/>
      <c r="EKX1" s="87"/>
      <c r="EKY1" s="87"/>
      <c r="EKZ1" s="87"/>
      <c r="ELA1" s="87"/>
      <c r="ELB1" s="87"/>
      <c r="ELC1" s="87"/>
      <c r="ELD1" s="87"/>
      <c r="ELE1" s="87"/>
      <c r="ELF1" s="87"/>
      <c r="ELG1" s="87"/>
      <c r="ELH1" s="87"/>
      <c r="ELI1" s="87"/>
      <c r="ELJ1" s="87"/>
      <c r="ELK1" s="87"/>
      <c r="ELL1" s="87"/>
      <c r="ELM1" s="87"/>
      <c r="ELN1" s="87"/>
      <c r="ELO1" s="87"/>
      <c r="ELP1" s="87"/>
      <c r="ELQ1" s="87"/>
      <c r="ELR1" s="87"/>
      <c r="ELS1" s="87"/>
      <c r="ELT1" s="87"/>
      <c r="ELU1" s="87"/>
      <c r="ELV1" s="87"/>
      <c r="ELW1" s="87"/>
      <c r="ELX1" s="87"/>
      <c r="ELY1" s="87"/>
      <c r="ELZ1" s="87"/>
      <c r="EMA1" s="87"/>
      <c r="EMB1" s="87"/>
      <c r="EMC1" s="87"/>
      <c r="EMD1" s="87"/>
      <c r="EME1" s="87"/>
      <c r="EMF1" s="87"/>
      <c r="EMG1" s="87"/>
      <c r="EMH1" s="87"/>
      <c r="EMI1" s="87"/>
      <c r="EMJ1" s="87"/>
      <c r="EMK1" s="87"/>
      <c r="EML1" s="87"/>
      <c r="EMM1" s="87"/>
      <c r="EMN1" s="87"/>
      <c r="EMO1" s="87"/>
      <c r="EMP1" s="87"/>
      <c r="EMQ1" s="87"/>
      <c r="EMR1" s="87"/>
      <c r="EMS1" s="87"/>
      <c r="EMT1" s="87"/>
      <c r="EMU1" s="87"/>
      <c r="EMV1" s="87"/>
      <c r="EMW1" s="87"/>
      <c r="EMX1" s="87"/>
      <c r="EMY1" s="87"/>
      <c r="EMZ1" s="87"/>
      <c r="ENA1" s="87"/>
      <c r="ENB1" s="87"/>
      <c r="ENC1" s="87"/>
      <c r="END1" s="87"/>
      <c r="ENE1" s="87"/>
      <c r="ENF1" s="87"/>
      <c r="ENG1" s="87"/>
      <c r="ENH1" s="87"/>
      <c r="ENI1" s="87"/>
      <c r="ENJ1" s="87"/>
      <c r="ENK1" s="87"/>
      <c r="ENL1" s="87"/>
      <c r="ENM1" s="87"/>
      <c r="ENN1" s="87"/>
      <c r="ENO1" s="87"/>
      <c r="ENP1" s="87"/>
      <c r="ENQ1" s="87"/>
      <c r="ENR1" s="87"/>
      <c r="ENS1" s="87"/>
      <c r="ENT1" s="87"/>
      <c r="ENU1" s="87"/>
      <c r="ENV1" s="87"/>
      <c r="ENW1" s="87"/>
      <c r="ENX1" s="87"/>
      <c r="ENY1" s="87"/>
      <c r="ENZ1" s="87"/>
      <c r="EOA1" s="87"/>
      <c r="EOB1" s="87"/>
      <c r="EOC1" s="87"/>
      <c r="EOD1" s="87"/>
      <c r="EOE1" s="87"/>
      <c r="EOF1" s="87"/>
      <c r="EOG1" s="87"/>
      <c r="EOH1" s="87"/>
      <c r="EOI1" s="87"/>
      <c r="EOJ1" s="87"/>
      <c r="EOK1" s="87"/>
      <c r="EOL1" s="87"/>
      <c r="EOM1" s="87"/>
      <c r="EON1" s="87"/>
      <c r="EOO1" s="87"/>
      <c r="EOP1" s="87"/>
      <c r="EOQ1" s="87"/>
      <c r="EOR1" s="87"/>
      <c r="EOS1" s="87"/>
      <c r="EOT1" s="87"/>
      <c r="EOU1" s="87"/>
      <c r="EOV1" s="87"/>
      <c r="EOW1" s="87"/>
      <c r="EOX1" s="87"/>
      <c r="EOY1" s="87"/>
      <c r="EOZ1" s="87"/>
      <c r="EPA1" s="87"/>
      <c r="EPB1" s="87"/>
      <c r="EPC1" s="87"/>
      <c r="EPD1" s="87"/>
      <c r="EPE1" s="87"/>
      <c r="EPF1" s="87"/>
      <c r="EPG1" s="87"/>
      <c r="EPH1" s="87"/>
      <c r="EPI1" s="87"/>
      <c r="EPJ1" s="87"/>
      <c r="EPK1" s="87"/>
      <c r="EPL1" s="87"/>
      <c r="EPM1" s="87"/>
      <c r="EPN1" s="87"/>
      <c r="EPO1" s="87"/>
      <c r="EPP1" s="87"/>
      <c r="EPQ1" s="87"/>
      <c r="EPR1" s="87"/>
      <c r="EPS1" s="87"/>
      <c r="EPT1" s="87"/>
      <c r="EPU1" s="87"/>
      <c r="EPV1" s="87"/>
      <c r="EPW1" s="87"/>
      <c r="EPX1" s="87"/>
      <c r="EPY1" s="87"/>
      <c r="EPZ1" s="87"/>
      <c r="EQA1" s="87"/>
      <c r="EQB1" s="87"/>
      <c r="EQC1" s="87"/>
      <c r="EQD1" s="87"/>
      <c r="EQE1" s="87"/>
      <c r="EQF1" s="87"/>
      <c r="EQG1" s="87"/>
      <c r="EQH1" s="87"/>
      <c r="EQI1" s="87"/>
      <c r="EQJ1" s="87"/>
      <c r="EQK1" s="87"/>
      <c r="EQL1" s="87"/>
      <c r="EQM1" s="87"/>
      <c r="EQN1" s="87"/>
      <c r="EQO1" s="87"/>
      <c r="EQP1" s="87"/>
      <c r="EQQ1" s="87"/>
      <c r="EQR1" s="87"/>
      <c r="EQS1" s="87"/>
      <c r="EQT1" s="87"/>
      <c r="EQU1" s="87"/>
      <c r="EQV1" s="87"/>
      <c r="EQW1" s="87"/>
      <c r="EQX1" s="87"/>
      <c r="EQY1" s="87"/>
      <c r="EQZ1" s="87"/>
      <c r="ERA1" s="87"/>
      <c r="ERB1" s="87"/>
      <c r="ERC1" s="87"/>
      <c r="ERD1" s="87"/>
      <c r="ERE1" s="87"/>
      <c r="ERF1" s="87"/>
      <c r="ERG1" s="87"/>
      <c r="ERH1" s="87"/>
      <c r="ERI1" s="87"/>
      <c r="ERJ1" s="87"/>
      <c r="ERK1" s="87"/>
      <c r="ERL1" s="87"/>
      <c r="ERM1" s="87"/>
      <c r="ERN1" s="87"/>
      <c r="ERO1" s="87"/>
      <c r="ERP1" s="87"/>
      <c r="ERQ1" s="87"/>
      <c r="ERR1" s="87"/>
      <c r="ERS1" s="87"/>
      <c r="ERT1" s="87"/>
      <c r="ERU1" s="87"/>
      <c r="ERV1" s="87"/>
      <c r="ERW1" s="87"/>
      <c r="ERX1" s="87"/>
      <c r="ERY1" s="87"/>
      <c r="ERZ1" s="87"/>
      <c r="ESA1" s="87"/>
      <c r="ESB1" s="87"/>
      <c r="ESC1" s="87"/>
      <c r="ESD1" s="87"/>
      <c r="ESE1" s="87"/>
      <c r="ESF1" s="87"/>
      <c r="ESG1" s="87"/>
      <c r="ESH1" s="87"/>
      <c r="ESI1" s="87"/>
      <c r="ESJ1" s="87"/>
      <c r="ESK1" s="87"/>
      <c r="ESL1" s="87"/>
      <c r="ESM1" s="87"/>
      <c r="ESN1" s="87"/>
      <c r="ESO1" s="87"/>
      <c r="ESP1" s="87"/>
      <c r="ESQ1" s="87"/>
      <c r="ESR1" s="87"/>
      <c r="ESS1" s="87"/>
      <c r="EST1" s="87"/>
      <c r="ESU1" s="87"/>
      <c r="ESV1" s="87"/>
      <c r="ESW1" s="87"/>
      <c r="ESX1" s="87"/>
      <c r="ESY1" s="87"/>
      <c r="ESZ1" s="87"/>
      <c r="ETA1" s="87"/>
      <c r="ETB1" s="87"/>
      <c r="ETC1" s="87"/>
      <c r="ETD1" s="87"/>
      <c r="ETE1" s="87"/>
      <c r="ETF1" s="87"/>
      <c r="ETG1" s="87"/>
      <c r="ETH1" s="87"/>
      <c r="ETI1" s="87"/>
      <c r="ETJ1" s="87"/>
      <c r="ETK1" s="87"/>
      <c r="ETL1" s="87"/>
      <c r="ETM1" s="87"/>
      <c r="ETN1" s="87"/>
      <c r="ETO1" s="87"/>
      <c r="ETP1" s="87"/>
      <c r="ETQ1" s="87"/>
      <c r="ETR1" s="87"/>
      <c r="ETS1" s="87"/>
      <c r="ETT1" s="87"/>
      <c r="ETU1" s="87"/>
      <c r="ETV1" s="87"/>
      <c r="ETW1" s="87"/>
      <c r="ETX1" s="87"/>
      <c r="ETY1" s="87"/>
      <c r="ETZ1" s="87"/>
      <c r="EUA1" s="87"/>
      <c r="EUB1" s="87"/>
      <c r="EUC1" s="87"/>
      <c r="EUD1" s="87"/>
      <c r="EUE1" s="87"/>
      <c r="EUF1" s="87"/>
      <c r="EUG1" s="87"/>
      <c r="EUH1" s="87"/>
      <c r="EUI1" s="87"/>
      <c r="EUJ1" s="87"/>
      <c r="EUK1" s="87"/>
      <c r="EUL1" s="87"/>
      <c r="EUM1" s="87"/>
      <c r="EUN1" s="87"/>
      <c r="EUO1" s="87"/>
      <c r="EUP1" s="87"/>
      <c r="EUQ1" s="87"/>
      <c r="EUR1" s="87"/>
      <c r="EUS1" s="87"/>
      <c r="EUT1" s="87"/>
      <c r="EUU1" s="87"/>
      <c r="EUV1" s="87"/>
      <c r="EUW1" s="87"/>
      <c r="EUX1" s="87"/>
      <c r="EUY1" s="87"/>
      <c r="EUZ1" s="87"/>
      <c r="EVA1" s="87"/>
      <c r="EVB1" s="87"/>
      <c r="EVC1" s="87"/>
      <c r="EVD1" s="87"/>
      <c r="EVE1" s="87"/>
      <c r="EVF1" s="87"/>
      <c r="EVG1" s="87"/>
      <c r="EVH1" s="87"/>
      <c r="EVI1" s="87"/>
      <c r="EVJ1" s="87"/>
      <c r="EVK1" s="87"/>
      <c r="EVL1" s="87"/>
      <c r="EVM1" s="87"/>
      <c r="EVN1" s="87"/>
      <c r="EVO1" s="87"/>
      <c r="EVP1" s="87"/>
      <c r="EVQ1" s="87"/>
      <c r="EVR1" s="87"/>
      <c r="EVS1" s="87"/>
      <c r="EVT1" s="87"/>
      <c r="EVU1" s="87"/>
      <c r="EVV1" s="87"/>
      <c r="EVW1" s="87"/>
      <c r="EVX1" s="87"/>
      <c r="EVY1" s="87"/>
      <c r="EVZ1" s="87"/>
      <c r="EWA1" s="87"/>
      <c r="EWB1" s="87"/>
      <c r="EWC1" s="87"/>
      <c r="EWD1" s="87"/>
      <c r="EWE1" s="87"/>
      <c r="EWF1" s="87"/>
      <c r="EWG1" s="87"/>
      <c r="EWH1" s="87"/>
      <c r="EWI1" s="87"/>
      <c r="EWJ1" s="87"/>
      <c r="EWK1" s="87"/>
      <c r="EWL1" s="87"/>
      <c r="EWM1" s="87"/>
      <c r="EWN1" s="87"/>
      <c r="EWO1" s="87"/>
      <c r="EWP1" s="87"/>
      <c r="EWQ1" s="87"/>
      <c r="EWR1" s="87"/>
      <c r="EWS1" s="87"/>
      <c r="EWT1" s="87"/>
      <c r="EWU1" s="87"/>
      <c r="EWV1" s="87"/>
      <c r="EWW1" s="87"/>
      <c r="EWX1" s="87"/>
      <c r="EWY1" s="87"/>
      <c r="EWZ1" s="87"/>
      <c r="EXA1" s="87"/>
      <c r="EXB1" s="87"/>
      <c r="EXC1" s="87"/>
      <c r="EXD1" s="87"/>
      <c r="EXE1" s="87"/>
      <c r="EXF1" s="87"/>
      <c r="EXG1" s="87"/>
      <c r="EXH1" s="87"/>
      <c r="EXI1" s="87"/>
      <c r="EXJ1" s="87"/>
      <c r="EXK1" s="87"/>
      <c r="EXL1" s="87"/>
      <c r="EXM1" s="87"/>
      <c r="EXN1" s="87"/>
      <c r="EXO1" s="87"/>
      <c r="EXP1" s="87"/>
      <c r="EXQ1" s="87"/>
      <c r="EXR1" s="87"/>
      <c r="EXS1" s="87"/>
      <c r="EXT1" s="87"/>
      <c r="EXU1" s="87"/>
      <c r="EXV1" s="87"/>
      <c r="EXW1" s="87"/>
      <c r="EXX1" s="87"/>
      <c r="EXY1" s="87"/>
      <c r="EXZ1" s="87"/>
      <c r="EYA1" s="87"/>
      <c r="EYB1" s="87"/>
      <c r="EYC1" s="87"/>
      <c r="EYD1" s="87"/>
      <c r="EYE1" s="87"/>
      <c r="EYF1" s="87"/>
      <c r="EYG1" s="87"/>
      <c r="EYH1" s="87"/>
      <c r="EYI1" s="87"/>
      <c r="EYJ1" s="87"/>
      <c r="EYK1" s="87"/>
      <c r="EYL1" s="87"/>
      <c r="EYM1" s="87"/>
      <c r="EYN1" s="87"/>
      <c r="EYO1" s="87"/>
      <c r="EYP1" s="87"/>
      <c r="EYQ1" s="87"/>
      <c r="EYR1" s="87"/>
      <c r="EYS1" s="87"/>
      <c r="EYT1" s="87"/>
      <c r="EYU1" s="87"/>
      <c r="EYV1" s="87"/>
      <c r="EYW1" s="87"/>
      <c r="EYX1" s="87"/>
      <c r="EYY1" s="87"/>
      <c r="EYZ1" s="87"/>
      <c r="EZA1" s="87"/>
      <c r="EZB1" s="87"/>
      <c r="EZC1" s="87"/>
      <c r="EZD1" s="87"/>
      <c r="EZE1" s="87"/>
      <c r="EZF1" s="87"/>
      <c r="EZG1" s="87"/>
      <c r="EZH1" s="87"/>
      <c r="EZI1" s="87"/>
      <c r="EZJ1" s="87"/>
      <c r="EZK1" s="87"/>
      <c r="EZL1" s="87"/>
      <c r="EZM1" s="87"/>
      <c r="EZN1" s="87"/>
      <c r="EZO1" s="87"/>
      <c r="EZP1" s="87"/>
      <c r="EZQ1" s="87"/>
      <c r="EZR1" s="87"/>
      <c r="EZS1" s="87"/>
      <c r="EZT1" s="87"/>
      <c r="EZU1" s="87"/>
      <c r="EZV1" s="87"/>
      <c r="EZW1" s="87"/>
      <c r="EZX1" s="87"/>
      <c r="EZY1" s="87"/>
      <c r="EZZ1" s="87"/>
      <c r="FAA1" s="87"/>
      <c r="FAB1" s="87"/>
      <c r="FAC1" s="87"/>
      <c r="FAD1" s="87"/>
      <c r="FAE1" s="87"/>
      <c r="FAF1" s="87"/>
      <c r="FAG1" s="87"/>
      <c r="FAH1" s="87"/>
      <c r="FAI1" s="87"/>
      <c r="FAJ1" s="87"/>
      <c r="FAK1" s="87"/>
      <c r="FAL1" s="87"/>
      <c r="FAM1" s="87"/>
      <c r="FAN1" s="87"/>
      <c r="FAO1" s="87"/>
      <c r="FAP1" s="87"/>
      <c r="FAQ1" s="87"/>
      <c r="FAR1" s="87"/>
      <c r="FAS1" s="87"/>
      <c r="FAT1" s="87"/>
      <c r="FAU1" s="87"/>
      <c r="FAV1" s="87"/>
      <c r="FAW1" s="87"/>
      <c r="FAX1" s="87"/>
      <c r="FAY1" s="87"/>
      <c r="FAZ1" s="87"/>
      <c r="FBA1" s="87"/>
      <c r="FBB1" s="87"/>
      <c r="FBC1" s="87"/>
      <c r="FBD1" s="87"/>
      <c r="FBE1" s="87"/>
      <c r="FBF1" s="87"/>
      <c r="FBG1" s="87"/>
      <c r="FBH1" s="87"/>
      <c r="FBI1" s="87"/>
      <c r="FBJ1" s="87"/>
      <c r="FBK1" s="87"/>
      <c r="FBL1" s="87"/>
      <c r="FBM1" s="87"/>
      <c r="FBN1" s="87"/>
      <c r="FBO1" s="87"/>
      <c r="FBP1" s="87"/>
      <c r="FBQ1" s="87"/>
      <c r="FBR1" s="87"/>
      <c r="FBS1" s="87"/>
      <c r="FBT1" s="87"/>
      <c r="FBU1" s="87"/>
      <c r="FBV1" s="87"/>
      <c r="FBW1" s="87"/>
      <c r="FBX1" s="87"/>
      <c r="FBY1" s="87"/>
      <c r="FBZ1" s="87"/>
      <c r="FCA1" s="87"/>
      <c r="FCB1" s="87"/>
      <c r="FCC1" s="87"/>
      <c r="FCD1" s="87"/>
      <c r="FCE1" s="87"/>
      <c r="FCF1" s="87"/>
      <c r="FCG1" s="87"/>
      <c r="FCH1" s="87"/>
      <c r="FCI1" s="87"/>
      <c r="FCJ1" s="87"/>
      <c r="FCK1" s="87"/>
      <c r="FCL1" s="87"/>
      <c r="FCM1" s="87"/>
      <c r="FCN1" s="87"/>
      <c r="FCO1" s="87"/>
      <c r="FCP1" s="87"/>
      <c r="FCQ1" s="87"/>
      <c r="FCR1" s="87"/>
      <c r="FCS1" s="87"/>
      <c r="FCT1" s="87"/>
      <c r="FCU1" s="87"/>
      <c r="FCV1" s="87"/>
      <c r="FCW1" s="87"/>
      <c r="FCX1" s="87"/>
      <c r="FCY1" s="87"/>
      <c r="FCZ1" s="87"/>
      <c r="FDA1" s="87"/>
      <c r="FDB1" s="87"/>
      <c r="FDC1" s="87"/>
      <c r="FDD1" s="87"/>
      <c r="FDE1" s="87"/>
      <c r="FDF1" s="87"/>
      <c r="FDG1" s="87"/>
      <c r="FDH1" s="87"/>
      <c r="FDI1" s="87"/>
      <c r="FDJ1" s="87"/>
      <c r="FDK1" s="87"/>
      <c r="FDL1" s="87"/>
      <c r="FDM1" s="87"/>
      <c r="FDN1" s="87"/>
      <c r="FDO1" s="87"/>
      <c r="FDP1" s="87"/>
      <c r="FDQ1" s="87"/>
      <c r="FDR1" s="87"/>
      <c r="FDS1" s="87"/>
      <c r="FDT1" s="87"/>
      <c r="FDU1" s="87"/>
      <c r="FDV1" s="87"/>
      <c r="FDW1" s="87"/>
      <c r="FDX1" s="87"/>
      <c r="FDY1" s="87"/>
      <c r="FDZ1" s="87"/>
      <c r="FEA1" s="87"/>
      <c r="FEB1" s="87"/>
      <c r="FEC1" s="87"/>
      <c r="FED1" s="87"/>
      <c r="FEE1" s="87"/>
      <c r="FEF1" s="87"/>
      <c r="FEG1" s="87"/>
      <c r="FEH1" s="87"/>
      <c r="FEI1" s="87"/>
      <c r="FEJ1" s="87"/>
      <c r="FEK1" s="87"/>
      <c r="FEL1" s="87"/>
      <c r="FEM1" s="87"/>
      <c r="FEN1" s="87"/>
      <c r="FEO1" s="87"/>
      <c r="FEP1" s="87"/>
      <c r="FEQ1" s="87"/>
      <c r="FER1" s="87"/>
      <c r="FES1" s="87"/>
      <c r="FET1" s="87"/>
      <c r="FEU1" s="87"/>
      <c r="FEV1" s="87"/>
      <c r="FEW1" s="87"/>
      <c r="FEX1" s="87"/>
      <c r="FEY1" s="87"/>
      <c r="FEZ1" s="87"/>
      <c r="FFA1" s="87"/>
      <c r="FFB1" s="87"/>
      <c r="FFC1" s="87"/>
      <c r="FFD1" s="87"/>
      <c r="FFE1" s="87"/>
      <c r="FFF1" s="87"/>
      <c r="FFG1" s="87"/>
      <c r="FFH1" s="87"/>
      <c r="FFI1" s="87"/>
      <c r="FFJ1" s="87"/>
      <c r="FFK1" s="87"/>
      <c r="FFL1" s="87"/>
      <c r="FFM1" s="87"/>
      <c r="FFN1" s="87"/>
      <c r="FFO1" s="87"/>
      <c r="FFP1" s="87"/>
      <c r="FFQ1" s="87"/>
      <c r="FFR1" s="87"/>
      <c r="FFS1" s="87"/>
      <c r="FFT1" s="87"/>
      <c r="FFU1" s="87"/>
      <c r="FFV1" s="87"/>
      <c r="FFW1" s="87"/>
      <c r="FFX1" s="87"/>
      <c r="FFY1" s="87"/>
      <c r="FFZ1" s="87"/>
      <c r="FGA1" s="87"/>
      <c r="FGB1" s="87"/>
      <c r="FGC1" s="87"/>
      <c r="FGD1" s="87"/>
      <c r="FGE1" s="87"/>
      <c r="FGF1" s="87"/>
      <c r="FGG1" s="87"/>
      <c r="FGH1" s="87"/>
      <c r="FGI1" s="87"/>
      <c r="FGJ1" s="87"/>
      <c r="FGK1" s="87"/>
      <c r="FGL1" s="87"/>
      <c r="FGM1" s="87"/>
      <c r="FGN1" s="87"/>
      <c r="FGO1" s="87"/>
      <c r="FGP1" s="87"/>
      <c r="FGQ1" s="87"/>
      <c r="FGR1" s="87"/>
      <c r="FGS1" s="87"/>
      <c r="FGT1" s="87"/>
      <c r="FGU1" s="87"/>
      <c r="FGV1" s="87"/>
      <c r="FGW1" s="87"/>
      <c r="FGX1" s="87"/>
      <c r="FGY1" s="87"/>
      <c r="FGZ1" s="87"/>
      <c r="FHA1" s="87"/>
      <c r="FHB1" s="87"/>
      <c r="FHC1" s="87"/>
      <c r="FHD1" s="87"/>
      <c r="FHE1" s="87"/>
      <c r="FHF1" s="87"/>
      <c r="FHG1" s="87"/>
      <c r="FHH1" s="87"/>
      <c r="FHI1" s="87"/>
      <c r="FHJ1" s="87"/>
      <c r="FHK1" s="87"/>
      <c r="FHL1" s="87"/>
      <c r="FHM1" s="87"/>
      <c r="FHN1" s="87"/>
      <c r="FHO1" s="87"/>
      <c r="FHP1" s="87"/>
      <c r="FHQ1" s="87"/>
      <c r="FHR1" s="87"/>
      <c r="FHS1" s="87"/>
      <c r="FHT1" s="87"/>
      <c r="FHU1" s="87"/>
      <c r="FHV1" s="87"/>
      <c r="FHW1" s="87"/>
      <c r="FHX1" s="87"/>
      <c r="FHY1" s="87"/>
      <c r="FHZ1" s="87"/>
      <c r="FIA1" s="87"/>
      <c r="FIB1" s="87"/>
      <c r="FIC1" s="87"/>
      <c r="FID1" s="87"/>
      <c r="FIE1" s="87"/>
      <c r="FIF1" s="87"/>
      <c r="FIG1" s="87"/>
      <c r="FIH1" s="87"/>
      <c r="FII1" s="87"/>
      <c r="FIJ1" s="87"/>
      <c r="FIK1" s="87"/>
      <c r="FIL1" s="87"/>
      <c r="FIM1" s="87"/>
      <c r="FIN1" s="87"/>
      <c r="FIO1" s="87"/>
      <c r="FIP1" s="87"/>
      <c r="FIQ1" s="87"/>
      <c r="FIR1" s="87"/>
      <c r="FIS1" s="87"/>
      <c r="FIT1" s="87"/>
      <c r="FIU1" s="87"/>
      <c r="FIV1" s="87"/>
      <c r="FIW1" s="87"/>
      <c r="FIX1" s="87"/>
      <c r="FIY1" s="87"/>
      <c r="FIZ1" s="87"/>
      <c r="FJA1" s="87"/>
      <c r="FJB1" s="87"/>
      <c r="FJC1" s="87"/>
      <c r="FJD1" s="87"/>
      <c r="FJE1" s="87"/>
      <c r="FJF1" s="87"/>
      <c r="FJG1" s="87"/>
      <c r="FJH1" s="87"/>
      <c r="FJI1" s="87"/>
      <c r="FJJ1" s="87"/>
      <c r="FJK1" s="87"/>
      <c r="FJL1" s="87"/>
      <c r="FJM1" s="87"/>
      <c r="FJN1" s="87"/>
      <c r="FJO1" s="87"/>
      <c r="FJP1" s="87"/>
      <c r="FJQ1" s="87"/>
      <c r="FJR1" s="87"/>
      <c r="FJS1" s="87"/>
      <c r="FJT1" s="87"/>
      <c r="FJU1" s="87"/>
      <c r="FJV1" s="87"/>
      <c r="FJW1" s="87"/>
      <c r="FJX1" s="87"/>
      <c r="FJY1" s="87"/>
      <c r="FJZ1" s="87"/>
      <c r="FKA1" s="87"/>
      <c r="FKB1" s="87"/>
      <c r="FKC1" s="87"/>
      <c r="FKD1" s="87"/>
      <c r="FKE1" s="87"/>
      <c r="FKF1" s="87"/>
      <c r="FKG1" s="87"/>
      <c r="FKH1" s="87"/>
      <c r="FKI1" s="87"/>
      <c r="FKJ1" s="87"/>
      <c r="FKK1" s="87"/>
      <c r="FKL1" s="87"/>
      <c r="FKM1" s="87"/>
      <c r="FKN1" s="87"/>
      <c r="FKO1" s="87"/>
      <c r="FKP1" s="87"/>
      <c r="FKQ1" s="87"/>
      <c r="FKR1" s="87"/>
      <c r="FKS1" s="87"/>
      <c r="FKT1" s="87"/>
      <c r="FKU1" s="87"/>
      <c r="FKV1" s="87"/>
      <c r="FKW1" s="87"/>
      <c r="FKX1" s="87"/>
      <c r="FKY1" s="87"/>
      <c r="FKZ1" s="87"/>
      <c r="FLA1" s="87"/>
      <c r="FLB1" s="87"/>
      <c r="FLC1" s="87"/>
      <c r="FLD1" s="87"/>
      <c r="FLE1" s="87"/>
      <c r="FLF1" s="87"/>
      <c r="FLG1" s="87"/>
      <c r="FLH1" s="87"/>
      <c r="FLI1" s="87"/>
      <c r="FLJ1" s="87"/>
      <c r="FLK1" s="87"/>
      <c r="FLL1" s="87"/>
      <c r="FLM1" s="87"/>
      <c r="FLN1" s="87"/>
      <c r="FLO1" s="87"/>
      <c r="FLP1" s="87"/>
      <c r="FLQ1" s="87"/>
      <c r="FLR1" s="87"/>
      <c r="FLS1" s="87"/>
      <c r="FLT1" s="87"/>
      <c r="FLU1" s="87"/>
      <c r="FLV1" s="87"/>
      <c r="FLW1" s="87"/>
      <c r="FLX1" s="87"/>
      <c r="FLY1" s="87"/>
      <c r="FLZ1" s="87"/>
      <c r="FMA1" s="87"/>
      <c r="FMB1" s="87"/>
      <c r="FMC1" s="87"/>
      <c r="FMD1" s="87"/>
      <c r="FME1" s="87"/>
      <c r="FMF1" s="87"/>
      <c r="FMG1" s="87"/>
      <c r="FMH1" s="87"/>
      <c r="FMI1" s="87"/>
      <c r="FMJ1" s="87"/>
      <c r="FMK1" s="87"/>
      <c r="FML1" s="87"/>
      <c r="FMM1" s="87"/>
      <c r="FMN1" s="87"/>
      <c r="FMO1" s="87"/>
      <c r="FMP1" s="87"/>
      <c r="FMQ1" s="87"/>
      <c r="FMR1" s="87"/>
      <c r="FMS1" s="87"/>
      <c r="FMT1" s="87"/>
      <c r="FMU1" s="87"/>
      <c r="FMV1" s="87"/>
      <c r="FMW1" s="87"/>
      <c r="FMX1" s="87"/>
      <c r="FMY1" s="87"/>
      <c r="FMZ1" s="87"/>
      <c r="FNA1" s="87"/>
      <c r="FNB1" s="87"/>
      <c r="FNC1" s="87"/>
      <c r="FND1" s="87"/>
      <c r="FNE1" s="87"/>
      <c r="FNF1" s="87"/>
      <c r="FNG1" s="87"/>
      <c r="FNH1" s="87"/>
      <c r="FNI1" s="87"/>
      <c r="FNJ1" s="87"/>
      <c r="FNK1" s="87"/>
      <c r="FNL1" s="87"/>
      <c r="FNM1" s="87"/>
      <c r="FNN1" s="87"/>
      <c r="FNO1" s="87"/>
      <c r="FNP1" s="87"/>
      <c r="FNQ1" s="87"/>
      <c r="FNR1" s="87"/>
      <c r="FNS1" s="87"/>
      <c r="FNT1" s="87"/>
      <c r="FNU1" s="87"/>
      <c r="FNV1" s="87"/>
      <c r="FNW1" s="87"/>
      <c r="FNX1" s="87"/>
      <c r="FNY1" s="87"/>
      <c r="FNZ1" s="87"/>
      <c r="FOA1" s="87"/>
      <c r="FOB1" s="87"/>
      <c r="FOC1" s="87"/>
      <c r="FOD1" s="87"/>
      <c r="FOE1" s="87"/>
      <c r="FOF1" s="87"/>
      <c r="FOG1" s="87"/>
      <c r="FOH1" s="87"/>
      <c r="FOI1" s="87"/>
      <c r="FOJ1" s="87"/>
      <c r="FOK1" s="87"/>
      <c r="FOL1" s="87"/>
      <c r="FOM1" s="87"/>
      <c r="FON1" s="87"/>
      <c r="FOO1" s="87"/>
      <c r="FOP1" s="87"/>
      <c r="FOQ1" s="87"/>
      <c r="FOR1" s="87"/>
      <c r="FOS1" s="87"/>
      <c r="FOT1" s="87"/>
      <c r="FOU1" s="87"/>
      <c r="FOV1" s="87"/>
      <c r="FOW1" s="87"/>
      <c r="FOX1" s="87"/>
      <c r="FOY1" s="87"/>
      <c r="FOZ1" s="87"/>
      <c r="FPA1" s="87"/>
      <c r="FPB1" s="87"/>
      <c r="FPC1" s="87"/>
      <c r="FPD1" s="87"/>
      <c r="FPE1" s="87"/>
      <c r="FPF1" s="87"/>
      <c r="FPG1" s="87"/>
      <c r="FPH1" s="87"/>
      <c r="FPI1" s="87"/>
      <c r="FPJ1" s="87"/>
      <c r="FPK1" s="87"/>
      <c r="FPL1" s="87"/>
      <c r="FPM1" s="87"/>
      <c r="FPN1" s="87"/>
      <c r="FPO1" s="87"/>
      <c r="FPP1" s="87"/>
      <c r="FPQ1" s="87"/>
      <c r="FPR1" s="87"/>
      <c r="FPS1" s="87"/>
      <c r="FPT1" s="87"/>
      <c r="FPU1" s="87"/>
      <c r="FPV1" s="87"/>
      <c r="FPW1" s="87"/>
      <c r="FPX1" s="87"/>
      <c r="FPY1" s="87"/>
      <c r="FPZ1" s="87"/>
      <c r="FQA1" s="87"/>
      <c r="FQB1" s="87"/>
      <c r="FQC1" s="87"/>
      <c r="FQD1" s="87"/>
      <c r="FQE1" s="87"/>
      <c r="FQF1" s="87"/>
      <c r="FQG1" s="87"/>
      <c r="FQH1" s="87"/>
      <c r="FQI1" s="87"/>
      <c r="FQJ1" s="87"/>
      <c r="FQK1" s="87"/>
      <c r="FQL1" s="87"/>
      <c r="FQM1" s="87"/>
      <c r="FQN1" s="87"/>
      <c r="FQO1" s="87"/>
      <c r="FQP1" s="87"/>
      <c r="FQQ1" s="87"/>
      <c r="FQR1" s="87"/>
      <c r="FQS1" s="87"/>
      <c r="FQT1" s="87"/>
      <c r="FQU1" s="87"/>
      <c r="FQV1" s="87"/>
      <c r="FQW1" s="87"/>
      <c r="FQX1" s="87"/>
      <c r="FQY1" s="87"/>
      <c r="FQZ1" s="87"/>
      <c r="FRA1" s="87"/>
      <c r="FRB1" s="87"/>
      <c r="FRC1" s="87"/>
      <c r="FRD1" s="87"/>
      <c r="FRE1" s="87"/>
      <c r="FRF1" s="87"/>
      <c r="FRG1" s="87"/>
      <c r="FRH1" s="87"/>
      <c r="FRI1" s="87"/>
      <c r="FRJ1" s="87"/>
      <c r="FRK1" s="87"/>
      <c r="FRL1" s="87"/>
      <c r="FRM1" s="87"/>
      <c r="FRN1" s="87"/>
      <c r="FRO1" s="87"/>
      <c r="FRP1" s="87"/>
      <c r="FRQ1" s="87"/>
      <c r="FRR1" s="87"/>
      <c r="FRS1" s="87"/>
      <c r="FRT1" s="87"/>
      <c r="FRU1" s="87"/>
      <c r="FRV1" s="87"/>
      <c r="FRW1" s="87"/>
      <c r="FRX1" s="87"/>
      <c r="FRY1" s="87"/>
      <c r="FRZ1" s="87"/>
      <c r="FSA1" s="87"/>
      <c r="FSB1" s="87"/>
      <c r="FSC1" s="87"/>
      <c r="FSD1" s="87"/>
      <c r="FSE1" s="87"/>
      <c r="FSF1" s="87"/>
      <c r="FSG1" s="87"/>
      <c r="FSH1" s="87"/>
      <c r="FSI1" s="87"/>
      <c r="FSJ1" s="87"/>
      <c r="FSK1" s="87"/>
      <c r="FSL1" s="87"/>
      <c r="FSM1" s="87"/>
      <c r="FSN1" s="87"/>
      <c r="FSO1" s="87"/>
      <c r="FSP1" s="87"/>
      <c r="FSQ1" s="87"/>
      <c r="FSR1" s="87"/>
      <c r="FSS1" s="87"/>
      <c r="FST1" s="87"/>
      <c r="FSU1" s="87"/>
      <c r="FSV1" s="87"/>
      <c r="FSW1" s="87"/>
      <c r="FSX1" s="87"/>
      <c r="FSY1" s="87"/>
      <c r="FSZ1" s="87"/>
      <c r="FTA1" s="87"/>
      <c r="FTB1" s="87"/>
      <c r="FTC1" s="87"/>
      <c r="FTD1" s="87"/>
      <c r="FTE1" s="87"/>
      <c r="FTF1" s="87"/>
      <c r="FTG1" s="87"/>
      <c r="FTH1" s="87"/>
      <c r="FTI1" s="87"/>
      <c r="FTJ1" s="87"/>
      <c r="FTK1" s="87"/>
      <c r="FTL1" s="87"/>
      <c r="FTM1" s="87"/>
      <c r="FTN1" s="87"/>
      <c r="FTO1" s="87"/>
      <c r="FTP1" s="87"/>
      <c r="FTQ1" s="87"/>
      <c r="FTR1" s="87"/>
      <c r="FTS1" s="87"/>
      <c r="FTT1" s="87"/>
      <c r="FTU1" s="87"/>
      <c r="FTV1" s="87"/>
      <c r="FTW1" s="87"/>
      <c r="FTX1" s="87"/>
      <c r="FTY1" s="87"/>
      <c r="FTZ1" s="87"/>
      <c r="FUA1" s="87"/>
      <c r="FUB1" s="87"/>
      <c r="FUC1" s="87"/>
      <c r="FUD1" s="87"/>
      <c r="FUE1" s="87"/>
      <c r="FUF1" s="87"/>
      <c r="FUG1" s="87"/>
      <c r="FUH1" s="87"/>
      <c r="FUI1" s="87"/>
      <c r="FUJ1" s="87"/>
      <c r="FUK1" s="87"/>
      <c r="FUL1" s="87"/>
      <c r="FUM1" s="87"/>
      <c r="FUN1" s="87"/>
      <c r="FUO1" s="87"/>
      <c r="FUP1" s="87"/>
      <c r="FUQ1" s="87"/>
      <c r="FUR1" s="87"/>
      <c r="FUS1" s="87"/>
      <c r="FUT1" s="87"/>
      <c r="FUU1" s="87"/>
      <c r="FUV1" s="87"/>
      <c r="FUW1" s="87"/>
      <c r="FUX1" s="87"/>
      <c r="FUY1" s="87"/>
      <c r="FUZ1" s="87"/>
      <c r="FVA1" s="87"/>
      <c r="FVB1" s="87"/>
      <c r="FVC1" s="87"/>
      <c r="FVD1" s="87"/>
      <c r="FVE1" s="87"/>
      <c r="FVF1" s="87"/>
      <c r="FVG1" s="87"/>
      <c r="FVH1" s="87"/>
      <c r="FVI1" s="87"/>
      <c r="FVJ1" s="87"/>
      <c r="FVK1" s="87"/>
      <c r="FVL1" s="87"/>
      <c r="FVM1" s="87"/>
      <c r="FVN1" s="87"/>
      <c r="FVO1" s="87"/>
      <c r="FVP1" s="87"/>
      <c r="FVQ1" s="87"/>
      <c r="FVR1" s="87"/>
      <c r="FVS1" s="87"/>
      <c r="FVT1" s="87"/>
      <c r="FVU1" s="87"/>
      <c r="FVV1" s="87"/>
      <c r="FVW1" s="87"/>
      <c r="FVX1" s="87"/>
      <c r="FVY1" s="87"/>
      <c r="FVZ1" s="87"/>
      <c r="FWA1" s="87"/>
      <c r="FWB1" s="87"/>
      <c r="FWC1" s="87"/>
      <c r="FWD1" s="87"/>
      <c r="FWE1" s="87"/>
      <c r="FWF1" s="87"/>
      <c r="FWG1" s="87"/>
      <c r="FWH1" s="87"/>
      <c r="FWI1" s="87"/>
      <c r="FWJ1" s="87"/>
      <c r="FWK1" s="87"/>
      <c r="FWL1" s="87"/>
      <c r="FWM1" s="87"/>
      <c r="FWN1" s="87"/>
      <c r="FWO1" s="87"/>
      <c r="FWP1" s="87"/>
      <c r="FWQ1" s="87"/>
      <c r="FWR1" s="87"/>
      <c r="FWS1" s="87"/>
      <c r="FWT1" s="87"/>
      <c r="FWU1" s="87"/>
      <c r="FWV1" s="87"/>
      <c r="FWW1" s="87"/>
      <c r="FWX1" s="87"/>
      <c r="FWY1" s="87"/>
      <c r="FWZ1" s="87"/>
      <c r="FXA1" s="87"/>
      <c r="FXB1" s="87"/>
      <c r="FXC1" s="87"/>
      <c r="FXD1" s="87"/>
      <c r="FXE1" s="87"/>
      <c r="FXF1" s="87"/>
      <c r="FXG1" s="87"/>
      <c r="FXH1" s="87"/>
      <c r="FXI1" s="87"/>
      <c r="FXJ1" s="87"/>
      <c r="FXK1" s="87"/>
      <c r="FXL1" s="87"/>
      <c r="FXM1" s="87"/>
      <c r="FXN1" s="87"/>
      <c r="FXO1" s="87"/>
      <c r="FXP1" s="87"/>
      <c r="FXQ1" s="87"/>
      <c r="FXR1" s="87"/>
      <c r="FXS1" s="87"/>
      <c r="FXT1" s="87"/>
      <c r="FXU1" s="87"/>
      <c r="FXV1" s="87"/>
      <c r="FXW1" s="87"/>
      <c r="FXX1" s="87"/>
      <c r="FXY1" s="87"/>
      <c r="FXZ1" s="87"/>
      <c r="FYA1" s="87"/>
      <c r="FYB1" s="87"/>
      <c r="FYC1" s="87"/>
      <c r="FYD1" s="87"/>
      <c r="FYE1" s="87"/>
      <c r="FYF1" s="87"/>
      <c r="FYG1" s="87"/>
      <c r="FYH1" s="87"/>
      <c r="FYI1" s="87"/>
      <c r="FYJ1" s="87"/>
      <c r="FYK1" s="87"/>
      <c r="FYL1" s="87"/>
      <c r="FYM1" s="87"/>
      <c r="FYN1" s="87"/>
      <c r="FYO1" s="87"/>
      <c r="FYP1" s="87"/>
      <c r="FYQ1" s="87"/>
      <c r="FYR1" s="87"/>
      <c r="FYS1" s="87"/>
      <c r="FYT1" s="87"/>
      <c r="FYU1" s="87"/>
      <c r="FYV1" s="87"/>
      <c r="FYW1" s="87"/>
      <c r="FYX1" s="87"/>
      <c r="FYY1" s="87"/>
      <c r="FYZ1" s="87"/>
      <c r="FZA1" s="87"/>
      <c r="FZB1" s="87"/>
      <c r="FZC1" s="87"/>
      <c r="FZD1" s="87"/>
      <c r="FZE1" s="87"/>
      <c r="FZF1" s="87"/>
      <c r="FZG1" s="87"/>
      <c r="FZH1" s="87"/>
      <c r="FZI1" s="87"/>
      <c r="FZJ1" s="87"/>
      <c r="FZK1" s="87"/>
      <c r="FZL1" s="87"/>
      <c r="FZM1" s="87"/>
      <c r="FZN1" s="87"/>
      <c r="FZO1" s="87"/>
      <c r="FZP1" s="87"/>
      <c r="FZQ1" s="87"/>
      <c r="FZR1" s="87"/>
      <c r="FZS1" s="87"/>
      <c r="FZT1" s="87"/>
      <c r="FZU1" s="87"/>
      <c r="FZV1" s="87"/>
      <c r="FZW1" s="87"/>
      <c r="FZX1" s="87"/>
      <c r="FZY1" s="87"/>
      <c r="FZZ1" s="87"/>
      <c r="GAA1" s="87"/>
      <c r="GAB1" s="87"/>
      <c r="GAC1" s="87"/>
      <c r="GAD1" s="87"/>
      <c r="GAE1" s="87"/>
      <c r="GAF1" s="87"/>
      <c r="GAG1" s="87"/>
      <c r="GAH1" s="87"/>
      <c r="GAI1" s="87"/>
      <c r="GAJ1" s="87"/>
      <c r="GAK1" s="87"/>
      <c r="GAL1" s="87"/>
      <c r="GAM1" s="87"/>
      <c r="GAN1" s="87"/>
      <c r="GAO1" s="87"/>
      <c r="GAP1" s="87"/>
      <c r="GAQ1" s="87"/>
      <c r="GAR1" s="87"/>
      <c r="GAS1" s="87"/>
      <c r="GAT1" s="87"/>
      <c r="GAU1" s="87"/>
      <c r="GAV1" s="87"/>
      <c r="GAW1" s="87"/>
      <c r="GAX1" s="87"/>
      <c r="GAY1" s="87"/>
      <c r="GAZ1" s="87"/>
      <c r="GBA1" s="87"/>
      <c r="GBB1" s="87"/>
      <c r="GBC1" s="87"/>
      <c r="GBD1" s="87"/>
      <c r="GBE1" s="87"/>
      <c r="GBF1" s="87"/>
      <c r="GBG1" s="87"/>
      <c r="GBH1" s="87"/>
      <c r="GBI1" s="87"/>
      <c r="GBJ1" s="87"/>
      <c r="GBK1" s="87"/>
      <c r="GBL1" s="87"/>
      <c r="GBM1" s="87"/>
      <c r="GBN1" s="87"/>
      <c r="GBO1" s="87"/>
      <c r="GBP1" s="87"/>
      <c r="GBQ1" s="87"/>
      <c r="GBR1" s="87"/>
      <c r="GBS1" s="87"/>
      <c r="GBT1" s="87"/>
      <c r="GBU1" s="87"/>
      <c r="GBV1" s="87"/>
      <c r="GBW1" s="87"/>
      <c r="GBX1" s="87"/>
      <c r="GBY1" s="87"/>
      <c r="GBZ1" s="87"/>
      <c r="GCA1" s="87"/>
      <c r="GCB1" s="87"/>
      <c r="GCC1" s="87"/>
      <c r="GCD1" s="87"/>
      <c r="GCE1" s="87"/>
      <c r="GCF1" s="87"/>
      <c r="GCG1" s="87"/>
      <c r="GCH1" s="87"/>
      <c r="GCI1" s="87"/>
      <c r="GCJ1" s="87"/>
      <c r="GCK1" s="87"/>
      <c r="GCL1" s="87"/>
      <c r="GCM1" s="87"/>
      <c r="GCN1" s="87"/>
      <c r="GCO1" s="87"/>
      <c r="GCP1" s="87"/>
      <c r="GCQ1" s="87"/>
      <c r="GCR1" s="87"/>
      <c r="GCS1" s="87"/>
      <c r="GCT1" s="87"/>
      <c r="GCU1" s="87"/>
      <c r="GCV1" s="87"/>
      <c r="GCW1" s="87"/>
      <c r="GCX1" s="87"/>
      <c r="GCY1" s="87"/>
      <c r="GCZ1" s="87"/>
      <c r="GDA1" s="87"/>
      <c r="GDB1" s="87"/>
      <c r="GDC1" s="87"/>
      <c r="GDD1" s="87"/>
      <c r="GDE1" s="87"/>
      <c r="GDF1" s="87"/>
      <c r="GDG1" s="87"/>
      <c r="GDH1" s="87"/>
      <c r="GDI1" s="87"/>
      <c r="GDJ1" s="87"/>
      <c r="GDK1" s="87"/>
      <c r="GDL1" s="87"/>
      <c r="GDM1" s="87"/>
      <c r="GDN1" s="87"/>
      <c r="GDO1" s="87"/>
      <c r="GDP1" s="87"/>
      <c r="GDQ1" s="87"/>
      <c r="GDR1" s="87"/>
      <c r="GDS1" s="87"/>
      <c r="GDT1" s="87"/>
      <c r="GDU1" s="87"/>
      <c r="GDV1" s="87"/>
      <c r="GDW1" s="87"/>
      <c r="GDX1" s="87"/>
      <c r="GDY1" s="87"/>
      <c r="GDZ1" s="87"/>
      <c r="GEA1" s="87"/>
      <c r="GEB1" s="87"/>
      <c r="GEC1" s="87"/>
      <c r="GED1" s="87"/>
      <c r="GEE1" s="87"/>
      <c r="GEF1" s="87"/>
      <c r="GEG1" s="87"/>
      <c r="GEH1" s="87"/>
      <c r="GEI1" s="87"/>
      <c r="GEJ1" s="87"/>
      <c r="GEK1" s="87"/>
      <c r="GEL1" s="87"/>
      <c r="GEM1" s="87"/>
      <c r="GEN1" s="87"/>
      <c r="GEO1" s="87"/>
      <c r="GEP1" s="87"/>
      <c r="GEQ1" s="87"/>
      <c r="GER1" s="87"/>
      <c r="GES1" s="87"/>
      <c r="GET1" s="87"/>
      <c r="GEU1" s="87"/>
      <c r="GEV1" s="87"/>
      <c r="GEW1" s="87"/>
      <c r="GEX1" s="87"/>
      <c r="GEY1" s="87"/>
      <c r="GEZ1" s="87"/>
      <c r="GFA1" s="87"/>
      <c r="GFB1" s="87"/>
      <c r="GFC1" s="87"/>
      <c r="GFD1" s="87"/>
      <c r="GFE1" s="87"/>
      <c r="GFF1" s="87"/>
      <c r="GFG1" s="87"/>
      <c r="GFH1" s="87"/>
      <c r="GFI1" s="87"/>
      <c r="GFJ1" s="87"/>
      <c r="GFK1" s="87"/>
      <c r="GFL1" s="87"/>
      <c r="GFM1" s="87"/>
      <c r="GFN1" s="87"/>
      <c r="GFO1" s="87"/>
      <c r="GFP1" s="87"/>
      <c r="GFQ1" s="87"/>
      <c r="GFR1" s="87"/>
      <c r="GFS1" s="87"/>
      <c r="GFT1" s="87"/>
      <c r="GFU1" s="87"/>
      <c r="GFV1" s="87"/>
      <c r="GFW1" s="87"/>
      <c r="GFX1" s="87"/>
      <c r="GFY1" s="87"/>
      <c r="GFZ1" s="87"/>
      <c r="GGA1" s="87"/>
      <c r="GGB1" s="87"/>
      <c r="GGC1" s="87"/>
      <c r="GGD1" s="87"/>
      <c r="GGE1" s="87"/>
      <c r="GGF1" s="87"/>
      <c r="GGG1" s="87"/>
      <c r="GGH1" s="87"/>
      <c r="GGI1" s="87"/>
      <c r="GGJ1" s="87"/>
      <c r="GGK1" s="87"/>
      <c r="GGL1" s="87"/>
      <c r="GGM1" s="87"/>
      <c r="GGN1" s="87"/>
      <c r="GGO1" s="87"/>
      <c r="GGP1" s="87"/>
      <c r="GGQ1" s="87"/>
      <c r="GGR1" s="87"/>
      <c r="GGS1" s="87"/>
      <c r="GGT1" s="87"/>
      <c r="GGU1" s="87"/>
      <c r="GGV1" s="87"/>
      <c r="GGW1" s="87"/>
      <c r="GGX1" s="87"/>
      <c r="GGY1" s="87"/>
      <c r="GGZ1" s="87"/>
      <c r="GHA1" s="87"/>
      <c r="GHB1" s="87"/>
      <c r="GHC1" s="87"/>
      <c r="GHD1" s="87"/>
      <c r="GHE1" s="87"/>
      <c r="GHF1" s="87"/>
      <c r="GHG1" s="87"/>
      <c r="GHH1" s="87"/>
      <c r="GHI1" s="87"/>
      <c r="GHJ1" s="87"/>
      <c r="GHK1" s="87"/>
      <c r="GHL1" s="87"/>
      <c r="GHM1" s="87"/>
      <c r="GHN1" s="87"/>
      <c r="GHO1" s="87"/>
      <c r="GHP1" s="87"/>
      <c r="GHQ1" s="87"/>
      <c r="GHR1" s="87"/>
      <c r="GHS1" s="87"/>
      <c r="GHT1" s="87"/>
      <c r="GHU1" s="87"/>
      <c r="GHV1" s="87"/>
      <c r="GHW1" s="87"/>
      <c r="GHX1" s="87"/>
      <c r="GHY1" s="87"/>
      <c r="GHZ1" s="87"/>
      <c r="GIA1" s="87"/>
      <c r="GIB1" s="87"/>
      <c r="GIC1" s="87"/>
      <c r="GID1" s="87"/>
      <c r="GIE1" s="87"/>
      <c r="GIF1" s="87"/>
      <c r="GIG1" s="87"/>
      <c r="GIH1" s="87"/>
      <c r="GII1" s="87"/>
      <c r="GIJ1" s="87"/>
      <c r="GIK1" s="87"/>
      <c r="GIL1" s="87"/>
      <c r="GIM1" s="87"/>
      <c r="GIN1" s="87"/>
      <c r="GIO1" s="87"/>
      <c r="GIP1" s="87"/>
      <c r="GIQ1" s="87"/>
      <c r="GIR1" s="87"/>
      <c r="GIS1" s="87"/>
      <c r="GIT1" s="87"/>
      <c r="GIU1" s="87"/>
      <c r="GIV1" s="87"/>
      <c r="GIW1" s="87"/>
      <c r="GIX1" s="87"/>
      <c r="GIY1" s="87"/>
      <c r="GIZ1" s="87"/>
      <c r="GJA1" s="87"/>
      <c r="GJB1" s="87"/>
      <c r="GJC1" s="87"/>
      <c r="GJD1" s="87"/>
      <c r="GJE1" s="87"/>
      <c r="GJF1" s="87"/>
      <c r="GJG1" s="87"/>
      <c r="GJH1" s="87"/>
      <c r="GJI1" s="87"/>
      <c r="GJJ1" s="87"/>
      <c r="GJK1" s="87"/>
      <c r="GJL1" s="87"/>
      <c r="GJM1" s="87"/>
      <c r="GJN1" s="87"/>
      <c r="GJO1" s="87"/>
      <c r="GJP1" s="87"/>
      <c r="GJQ1" s="87"/>
      <c r="GJR1" s="87"/>
      <c r="GJS1" s="87"/>
      <c r="GJT1" s="87"/>
      <c r="GJU1" s="87"/>
      <c r="GJV1" s="87"/>
      <c r="GJW1" s="87"/>
      <c r="GJX1" s="87"/>
      <c r="GJY1" s="87"/>
      <c r="GJZ1" s="87"/>
      <c r="GKA1" s="87"/>
      <c r="GKB1" s="87"/>
      <c r="GKC1" s="87"/>
      <c r="GKD1" s="87"/>
      <c r="GKE1" s="87"/>
      <c r="GKF1" s="87"/>
      <c r="GKG1" s="87"/>
      <c r="GKH1" s="87"/>
      <c r="GKI1" s="87"/>
      <c r="GKJ1" s="87"/>
      <c r="GKK1" s="87"/>
      <c r="GKL1" s="87"/>
      <c r="GKM1" s="87"/>
      <c r="GKN1" s="87"/>
      <c r="GKO1" s="87"/>
      <c r="GKP1" s="87"/>
      <c r="GKQ1" s="87"/>
      <c r="GKR1" s="87"/>
      <c r="GKS1" s="87"/>
      <c r="GKT1" s="87"/>
      <c r="GKU1" s="87"/>
      <c r="GKV1" s="87"/>
      <c r="GKW1" s="87"/>
      <c r="GKX1" s="87"/>
      <c r="GKY1" s="87"/>
      <c r="GKZ1" s="87"/>
      <c r="GLA1" s="87"/>
      <c r="GLB1" s="87"/>
      <c r="GLC1" s="87"/>
      <c r="GLD1" s="87"/>
      <c r="GLE1" s="87"/>
      <c r="GLF1" s="87"/>
      <c r="GLG1" s="87"/>
      <c r="GLH1" s="87"/>
      <c r="GLI1" s="87"/>
      <c r="GLJ1" s="87"/>
      <c r="GLK1" s="87"/>
      <c r="GLL1" s="87"/>
      <c r="GLM1" s="87"/>
      <c r="GLN1" s="87"/>
      <c r="GLO1" s="87"/>
      <c r="GLP1" s="87"/>
      <c r="GLQ1" s="87"/>
      <c r="GLR1" s="87"/>
      <c r="GLS1" s="87"/>
      <c r="GLT1" s="87"/>
      <c r="GLU1" s="87"/>
      <c r="GLV1" s="87"/>
      <c r="GLW1" s="87"/>
      <c r="GLX1" s="87"/>
      <c r="GLY1" s="87"/>
      <c r="GLZ1" s="87"/>
      <c r="GMA1" s="87"/>
      <c r="GMB1" s="87"/>
      <c r="GMC1" s="87"/>
      <c r="GMD1" s="87"/>
      <c r="GME1" s="87"/>
      <c r="GMF1" s="87"/>
      <c r="GMG1" s="87"/>
      <c r="GMH1" s="87"/>
      <c r="GMI1" s="87"/>
      <c r="GMJ1" s="87"/>
      <c r="GMK1" s="87"/>
      <c r="GML1" s="87"/>
      <c r="GMM1" s="87"/>
      <c r="GMN1" s="87"/>
      <c r="GMO1" s="87"/>
      <c r="GMP1" s="87"/>
      <c r="GMQ1" s="87"/>
      <c r="GMR1" s="87"/>
      <c r="GMS1" s="87"/>
      <c r="GMT1" s="87"/>
      <c r="GMU1" s="87"/>
      <c r="GMV1" s="87"/>
      <c r="GMW1" s="87"/>
      <c r="GMX1" s="87"/>
      <c r="GMY1" s="87"/>
      <c r="GMZ1" s="87"/>
      <c r="GNA1" s="87"/>
      <c r="GNB1" s="87"/>
      <c r="GNC1" s="87"/>
      <c r="GND1" s="87"/>
      <c r="GNE1" s="87"/>
      <c r="GNF1" s="87"/>
      <c r="GNG1" s="87"/>
      <c r="GNH1" s="87"/>
      <c r="GNI1" s="87"/>
      <c r="GNJ1" s="87"/>
      <c r="GNK1" s="87"/>
      <c r="GNL1" s="87"/>
      <c r="GNM1" s="87"/>
      <c r="GNN1" s="87"/>
      <c r="GNO1" s="87"/>
      <c r="GNP1" s="87"/>
      <c r="GNQ1" s="87"/>
      <c r="GNR1" s="87"/>
      <c r="GNS1" s="87"/>
      <c r="GNT1" s="87"/>
      <c r="GNU1" s="87"/>
      <c r="GNV1" s="87"/>
      <c r="GNW1" s="87"/>
      <c r="GNX1" s="87"/>
      <c r="GNY1" s="87"/>
      <c r="GNZ1" s="87"/>
      <c r="GOA1" s="87"/>
      <c r="GOB1" s="87"/>
      <c r="GOC1" s="87"/>
      <c r="GOD1" s="87"/>
      <c r="GOE1" s="87"/>
      <c r="GOF1" s="87"/>
      <c r="GOG1" s="87"/>
      <c r="GOH1" s="87"/>
      <c r="GOI1" s="87"/>
      <c r="GOJ1" s="87"/>
      <c r="GOK1" s="87"/>
      <c r="GOL1" s="87"/>
      <c r="GOM1" s="87"/>
      <c r="GON1" s="87"/>
      <c r="GOO1" s="87"/>
      <c r="GOP1" s="87"/>
      <c r="GOQ1" s="87"/>
      <c r="GOR1" s="87"/>
      <c r="GOS1" s="87"/>
      <c r="GOT1" s="87"/>
      <c r="GOU1" s="87"/>
      <c r="GOV1" s="87"/>
      <c r="GOW1" s="87"/>
      <c r="GOX1" s="87"/>
      <c r="GOY1" s="87"/>
      <c r="GOZ1" s="87"/>
      <c r="GPA1" s="87"/>
      <c r="GPB1" s="87"/>
      <c r="GPC1" s="87"/>
      <c r="GPD1" s="87"/>
      <c r="GPE1" s="87"/>
      <c r="GPF1" s="87"/>
      <c r="GPG1" s="87"/>
      <c r="GPH1" s="87"/>
      <c r="GPI1" s="87"/>
      <c r="GPJ1" s="87"/>
      <c r="GPK1" s="87"/>
      <c r="GPL1" s="87"/>
      <c r="GPM1" s="87"/>
      <c r="GPN1" s="87"/>
      <c r="GPO1" s="87"/>
      <c r="GPP1" s="87"/>
      <c r="GPQ1" s="87"/>
      <c r="GPR1" s="87"/>
      <c r="GPS1" s="87"/>
      <c r="GPT1" s="87"/>
      <c r="GPU1" s="87"/>
      <c r="GPV1" s="87"/>
      <c r="GPW1" s="87"/>
      <c r="GPX1" s="87"/>
      <c r="GPY1" s="87"/>
      <c r="GPZ1" s="87"/>
      <c r="GQA1" s="87"/>
      <c r="GQB1" s="87"/>
      <c r="GQC1" s="87"/>
      <c r="GQD1" s="87"/>
      <c r="GQE1" s="87"/>
      <c r="GQF1" s="87"/>
      <c r="GQG1" s="87"/>
      <c r="GQH1" s="87"/>
      <c r="GQI1" s="87"/>
      <c r="GQJ1" s="87"/>
      <c r="GQK1" s="87"/>
      <c r="GQL1" s="87"/>
      <c r="GQM1" s="87"/>
      <c r="GQN1" s="87"/>
      <c r="GQO1" s="87"/>
      <c r="GQP1" s="87"/>
      <c r="GQQ1" s="87"/>
      <c r="GQR1" s="87"/>
      <c r="GQS1" s="87"/>
      <c r="GQT1" s="87"/>
      <c r="GQU1" s="87"/>
      <c r="GQV1" s="87"/>
      <c r="GQW1" s="87"/>
      <c r="GQX1" s="87"/>
      <c r="GQY1" s="87"/>
      <c r="GQZ1" s="87"/>
      <c r="GRA1" s="87"/>
      <c r="GRB1" s="87"/>
      <c r="GRC1" s="87"/>
      <c r="GRD1" s="87"/>
      <c r="GRE1" s="87"/>
      <c r="GRF1" s="87"/>
      <c r="GRG1" s="87"/>
      <c r="GRH1" s="87"/>
      <c r="GRI1" s="87"/>
      <c r="GRJ1" s="87"/>
      <c r="GRK1" s="87"/>
      <c r="GRL1" s="87"/>
      <c r="GRM1" s="87"/>
      <c r="GRN1" s="87"/>
      <c r="GRO1" s="87"/>
      <c r="GRP1" s="87"/>
      <c r="GRQ1" s="87"/>
      <c r="GRR1" s="87"/>
      <c r="GRS1" s="87"/>
      <c r="GRT1" s="87"/>
      <c r="GRU1" s="87"/>
      <c r="GRV1" s="87"/>
      <c r="GRW1" s="87"/>
      <c r="GRX1" s="87"/>
      <c r="GRY1" s="87"/>
      <c r="GRZ1" s="87"/>
      <c r="GSA1" s="87"/>
      <c r="GSB1" s="87"/>
      <c r="GSC1" s="87"/>
      <c r="GSD1" s="87"/>
      <c r="GSE1" s="87"/>
      <c r="GSF1" s="87"/>
      <c r="GSG1" s="87"/>
      <c r="GSH1" s="87"/>
      <c r="GSI1" s="87"/>
      <c r="GSJ1" s="87"/>
      <c r="GSK1" s="87"/>
      <c r="GSL1" s="87"/>
      <c r="GSM1" s="87"/>
      <c r="GSN1" s="87"/>
      <c r="GSO1" s="87"/>
      <c r="GSP1" s="87"/>
      <c r="GSQ1" s="87"/>
      <c r="GSR1" s="87"/>
      <c r="GSS1" s="87"/>
      <c r="GST1" s="87"/>
      <c r="GSU1" s="87"/>
      <c r="GSV1" s="87"/>
      <c r="GSW1" s="87"/>
      <c r="GSX1" s="87"/>
      <c r="GSY1" s="87"/>
      <c r="GSZ1" s="87"/>
      <c r="GTA1" s="87"/>
      <c r="GTB1" s="87"/>
      <c r="GTC1" s="87"/>
      <c r="GTD1" s="87"/>
      <c r="GTE1" s="87"/>
      <c r="GTF1" s="87"/>
      <c r="GTG1" s="87"/>
      <c r="GTH1" s="87"/>
      <c r="GTI1" s="87"/>
      <c r="GTJ1" s="87"/>
      <c r="GTK1" s="87"/>
      <c r="GTL1" s="87"/>
      <c r="GTM1" s="87"/>
      <c r="GTN1" s="87"/>
      <c r="GTO1" s="87"/>
      <c r="GTP1" s="87"/>
      <c r="GTQ1" s="87"/>
      <c r="GTR1" s="87"/>
      <c r="GTS1" s="87"/>
      <c r="GTT1" s="87"/>
      <c r="GTU1" s="87"/>
      <c r="GTV1" s="87"/>
      <c r="GTW1" s="87"/>
      <c r="GTX1" s="87"/>
      <c r="GTY1" s="87"/>
      <c r="GTZ1" s="87"/>
      <c r="GUA1" s="87"/>
      <c r="GUB1" s="87"/>
      <c r="GUC1" s="87"/>
      <c r="GUD1" s="87"/>
      <c r="GUE1" s="87"/>
      <c r="GUF1" s="87"/>
      <c r="GUG1" s="87"/>
      <c r="GUH1" s="87"/>
      <c r="GUI1" s="87"/>
      <c r="GUJ1" s="87"/>
      <c r="GUK1" s="87"/>
      <c r="GUL1" s="87"/>
      <c r="GUM1" s="87"/>
      <c r="GUN1" s="87"/>
      <c r="GUO1" s="87"/>
      <c r="GUP1" s="87"/>
      <c r="GUQ1" s="87"/>
      <c r="GUR1" s="87"/>
      <c r="GUS1" s="87"/>
      <c r="GUT1" s="87"/>
      <c r="GUU1" s="87"/>
      <c r="GUV1" s="87"/>
      <c r="GUW1" s="87"/>
      <c r="GUX1" s="87"/>
      <c r="GUY1" s="87"/>
      <c r="GUZ1" s="87"/>
      <c r="GVA1" s="87"/>
      <c r="GVB1" s="87"/>
      <c r="GVC1" s="87"/>
      <c r="GVD1" s="87"/>
      <c r="GVE1" s="87"/>
      <c r="GVF1" s="87"/>
      <c r="GVG1" s="87"/>
      <c r="GVH1" s="87"/>
      <c r="GVI1" s="87"/>
      <c r="GVJ1" s="87"/>
      <c r="GVK1" s="87"/>
      <c r="GVL1" s="87"/>
      <c r="GVM1" s="87"/>
      <c r="GVN1" s="87"/>
      <c r="GVO1" s="87"/>
      <c r="GVP1" s="87"/>
      <c r="GVQ1" s="87"/>
      <c r="GVR1" s="87"/>
      <c r="GVS1" s="87"/>
      <c r="GVT1" s="87"/>
      <c r="GVU1" s="87"/>
      <c r="GVV1" s="87"/>
      <c r="GVW1" s="87"/>
      <c r="GVX1" s="87"/>
      <c r="GVY1" s="87"/>
      <c r="GVZ1" s="87"/>
      <c r="GWA1" s="87"/>
      <c r="GWB1" s="87"/>
      <c r="GWC1" s="87"/>
      <c r="GWD1" s="87"/>
      <c r="GWE1" s="87"/>
      <c r="GWF1" s="87"/>
      <c r="GWG1" s="87"/>
      <c r="GWH1" s="87"/>
      <c r="GWI1" s="87"/>
      <c r="GWJ1" s="87"/>
      <c r="GWK1" s="87"/>
      <c r="GWL1" s="87"/>
      <c r="GWM1" s="87"/>
      <c r="GWN1" s="87"/>
      <c r="GWO1" s="87"/>
      <c r="GWP1" s="87"/>
      <c r="GWQ1" s="87"/>
      <c r="GWR1" s="87"/>
      <c r="GWS1" s="87"/>
      <c r="GWT1" s="87"/>
      <c r="GWU1" s="87"/>
      <c r="GWV1" s="87"/>
      <c r="GWW1" s="87"/>
      <c r="GWX1" s="87"/>
      <c r="GWY1" s="87"/>
      <c r="GWZ1" s="87"/>
      <c r="GXA1" s="87"/>
      <c r="GXB1" s="87"/>
      <c r="GXC1" s="87"/>
      <c r="GXD1" s="87"/>
      <c r="GXE1" s="87"/>
      <c r="GXF1" s="87"/>
      <c r="GXG1" s="87"/>
      <c r="GXH1" s="87"/>
      <c r="GXI1" s="87"/>
      <c r="GXJ1" s="87"/>
      <c r="GXK1" s="87"/>
      <c r="GXL1" s="87"/>
      <c r="GXM1" s="87"/>
      <c r="GXN1" s="87"/>
      <c r="GXO1" s="87"/>
      <c r="GXP1" s="87"/>
      <c r="GXQ1" s="87"/>
      <c r="GXR1" s="87"/>
      <c r="GXS1" s="87"/>
      <c r="GXT1" s="87"/>
      <c r="GXU1" s="87"/>
      <c r="GXV1" s="87"/>
      <c r="GXW1" s="87"/>
      <c r="GXX1" s="87"/>
      <c r="GXY1" s="87"/>
      <c r="GXZ1" s="87"/>
      <c r="GYA1" s="87"/>
      <c r="GYB1" s="87"/>
      <c r="GYC1" s="87"/>
      <c r="GYD1" s="87"/>
      <c r="GYE1" s="87"/>
      <c r="GYF1" s="87"/>
      <c r="GYG1" s="87"/>
      <c r="GYH1" s="87"/>
      <c r="GYI1" s="87"/>
      <c r="GYJ1" s="87"/>
      <c r="GYK1" s="87"/>
      <c r="GYL1" s="87"/>
      <c r="GYM1" s="87"/>
      <c r="GYN1" s="87"/>
      <c r="GYO1" s="87"/>
      <c r="GYP1" s="87"/>
      <c r="GYQ1" s="87"/>
      <c r="GYR1" s="87"/>
      <c r="GYS1" s="87"/>
      <c r="GYT1" s="87"/>
      <c r="GYU1" s="87"/>
      <c r="GYV1" s="87"/>
      <c r="GYW1" s="87"/>
      <c r="GYX1" s="87"/>
      <c r="GYY1" s="87"/>
      <c r="GYZ1" s="87"/>
      <c r="GZA1" s="87"/>
      <c r="GZB1" s="87"/>
      <c r="GZC1" s="87"/>
      <c r="GZD1" s="87"/>
      <c r="GZE1" s="87"/>
      <c r="GZF1" s="87"/>
      <c r="GZG1" s="87"/>
      <c r="GZH1" s="87"/>
      <c r="GZI1" s="87"/>
      <c r="GZJ1" s="87"/>
      <c r="GZK1" s="87"/>
      <c r="GZL1" s="87"/>
      <c r="GZM1" s="87"/>
      <c r="GZN1" s="87"/>
      <c r="GZO1" s="87"/>
      <c r="GZP1" s="87"/>
      <c r="GZQ1" s="87"/>
      <c r="GZR1" s="87"/>
      <c r="GZS1" s="87"/>
      <c r="GZT1" s="87"/>
      <c r="GZU1" s="87"/>
      <c r="GZV1" s="87"/>
      <c r="GZW1" s="87"/>
      <c r="GZX1" s="87"/>
      <c r="GZY1" s="87"/>
      <c r="GZZ1" s="87"/>
      <c r="HAA1" s="87"/>
      <c r="HAB1" s="87"/>
      <c r="HAC1" s="87"/>
      <c r="HAD1" s="87"/>
      <c r="HAE1" s="87"/>
      <c r="HAF1" s="87"/>
      <c r="HAG1" s="87"/>
      <c r="HAH1" s="87"/>
      <c r="HAI1" s="87"/>
      <c r="HAJ1" s="87"/>
      <c r="HAK1" s="87"/>
      <c r="HAL1" s="87"/>
      <c r="HAM1" s="87"/>
      <c r="HAN1" s="87"/>
      <c r="HAO1" s="87"/>
      <c r="HAP1" s="87"/>
      <c r="HAQ1" s="87"/>
      <c r="HAR1" s="87"/>
      <c r="HAS1" s="87"/>
      <c r="HAT1" s="87"/>
      <c r="HAU1" s="87"/>
      <c r="HAV1" s="87"/>
      <c r="HAW1" s="87"/>
      <c r="HAX1" s="87"/>
      <c r="HAY1" s="87"/>
      <c r="HAZ1" s="87"/>
      <c r="HBA1" s="87"/>
      <c r="HBB1" s="87"/>
      <c r="HBC1" s="87"/>
      <c r="HBD1" s="87"/>
      <c r="HBE1" s="87"/>
      <c r="HBF1" s="87"/>
      <c r="HBG1" s="87"/>
      <c r="HBH1" s="87"/>
      <c r="HBI1" s="87"/>
      <c r="HBJ1" s="87"/>
      <c r="HBK1" s="87"/>
      <c r="HBL1" s="87"/>
      <c r="HBM1" s="87"/>
      <c r="HBN1" s="87"/>
      <c r="HBO1" s="87"/>
      <c r="HBP1" s="87"/>
      <c r="HBQ1" s="87"/>
      <c r="HBR1" s="87"/>
      <c r="HBS1" s="87"/>
      <c r="HBT1" s="87"/>
      <c r="HBU1" s="87"/>
      <c r="HBV1" s="87"/>
      <c r="HBW1" s="87"/>
      <c r="HBX1" s="87"/>
      <c r="HBY1" s="87"/>
      <c r="HBZ1" s="87"/>
      <c r="HCA1" s="87"/>
      <c r="HCB1" s="87"/>
      <c r="HCC1" s="87"/>
      <c r="HCD1" s="87"/>
      <c r="HCE1" s="87"/>
      <c r="HCF1" s="87"/>
      <c r="HCG1" s="87"/>
      <c r="HCH1" s="87"/>
      <c r="HCI1" s="87"/>
      <c r="HCJ1" s="87"/>
      <c r="HCK1" s="87"/>
      <c r="HCL1" s="87"/>
      <c r="HCM1" s="87"/>
      <c r="HCN1" s="87"/>
      <c r="HCO1" s="87"/>
      <c r="HCP1" s="87"/>
      <c r="HCQ1" s="87"/>
      <c r="HCR1" s="87"/>
      <c r="HCS1" s="87"/>
      <c r="HCT1" s="87"/>
      <c r="HCU1" s="87"/>
      <c r="HCV1" s="87"/>
      <c r="HCW1" s="87"/>
      <c r="HCX1" s="87"/>
      <c r="HCY1" s="87"/>
      <c r="HCZ1" s="87"/>
      <c r="HDA1" s="87"/>
      <c r="HDB1" s="87"/>
      <c r="HDC1" s="87"/>
      <c r="HDD1" s="87"/>
      <c r="HDE1" s="87"/>
      <c r="HDF1" s="87"/>
      <c r="HDG1" s="87"/>
      <c r="HDH1" s="87"/>
      <c r="HDI1" s="87"/>
      <c r="HDJ1" s="87"/>
      <c r="HDK1" s="87"/>
      <c r="HDL1" s="87"/>
      <c r="HDM1" s="87"/>
      <c r="HDN1" s="87"/>
      <c r="HDO1" s="87"/>
      <c r="HDP1" s="87"/>
      <c r="HDQ1" s="87"/>
      <c r="HDR1" s="87"/>
      <c r="HDS1" s="87"/>
      <c r="HDT1" s="87"/>
      <c r="HDU1" s="87"/>
      <c r="HDV1" s="87"/>
      <c r="HDW1" s="87"/>
      <c r="HDX1" s="87"/>
      <c r="HDY1" s="87"/>
      <c r="HDZ1" s="87"/>
      <c r="HEA1" s="87"/>
      <c r="HEB1" s="87"/>
      <c r="HEC1" s="87"/>
      <c r="HED1" s="87"/>
      <c r="HEE1" s="87"/>
      <c r="HEF1" s="87"/>
      <c r="HEG1" s="87"/>
      <c r="HEH1" s="87"/>
      <c r="HEI1" s="87"/>
      <c r="HEJ1" s="87"/>
      <c r="HEK1" s="87"/>
      <c r="HEL1" s="87"/>
      <c r="HEM1" s="87"/>
      <c r="HEN1" s="87"/>
      <c r="HEO1" s="87"/>
      <c r="HEP1" s="87"/>
      <c r="HEQ1" s="87"/>
      <c r="HER1" s="87"/>
      <c r="HES1" s="87"/>
      <c r="HET1" s="87"/>
      <c r="HEU1" s="87"/>
      <c r="HEV1" s="87"/>
      <c r="HEW1" s="87"/>
      <c r="HEX1" s="87"/>
      <c r="HEY1" s="87"/>
      <c r="HEZ1" s="87"/>
      <c r="HFA1" s="87"/>
      <c r="HFB1" s="87"/>
      <c r="HFC1" s="87"/>
      <c r="HFD1" s="87"/>
      <c r="HFE1" s="87"/>
      <c r="HFF1" s="87"/>
      <c r="HFG1" s="87"/>
      <c r="HFH1" s="87"/>
      <c r="HFI1" s="87"/>
      <c r="HFJ1" s="87"/>
      <c r="HFK1" s="87"/>
      <c r="HFL1" s="87"/>
      <c r="HFM1" s="87"/>
      <c r="HFN1" s="87"/>
      <c r="HFO1" s="87"/>
      <c r="HFP1" s="87"/>
      <c r="HFQ1" s="87"/>
      <c r="HFR1" s="87"/>
      <c r="HFS1" s="87"/>
      <c r="HFT1" s="87"/>
      <c r="HFU1" s="87"/>
      <c r="HFV1" s="87"/>
      <c r="HFW1" s="87"/>
      <c r="HFX1" s="87"/>
      <c r="HFY1" s="87"/>
      <c r="HFZ1" s="87"/>
      <c r="HGA1" s="87"/>
      <c r="HGB1" s="87"/>
      <c r="HGC1" s="87"/>
      <c r="HGD1" s="87"/>
      <c r="HGE1" s="87"/>
      <c r="HGF1" s="87"/>
      <c r="HGG1" s="87"/>
      <c r="HGH1" s="87"/>
      <c r="HGI1" s="87"/>
      <c r="HGJ1" s="87"/>
      <c r="HGK1" s="87"/>
      <c r="HGL1" s="87"/>
      <c r="HGM1" s="87"/>
      <c r="HGN1" s="87"/>
      <c r="HGO1" s="87"/>
      <c r="HGP1" s="87"/>
      <c r="HGQ1" s="87"/>
      <c r="HGR1" s="87"/>
      <c r="HGS1" s="87"/>
      <c r="HGT1" s="87"/>
      <c r="HGU1" s="87"/>
      <c r="HGV1" s="87"/>
      <c r="HGW1" s="87"/>
      <c r="HGX1" s="87"/>
      <c r="HGY1" s="87"/>
      <c r="HGZ1" s="87"/>
      <c r="HHA1" s="87"/>
      <c r="HHB1" s="87"/>
      <c r="HHC1" s="87"/>
      <c r="HHD1" s="87"/>
      <c r="HHE1" s="87"/>
      <c r="HHF1" s="87"/>
      <c r="HHG1" s="87"/>
      <c r="HHH1" s="87"/>
      <c r="HHI1" s="87"/>
      <c r="HHJ1" s="87"/>
      <c r="HHK1" s="87"/>
      <c r="HHL1" s="87"/>
      <c r="HHM1" s="87"/>
      <c r="HHN1" s="87"/>
      <c r="HHO1" s="87"/>
      <c r="HHP1" s="87"/>
      <c r="HHQ1" s="87"/>
      <c r="HHR1" s="87"/>
      <c r="HHS1" s="87"/>
      <c r="HHT1" s="87"/>
      <c r="HHU1" s="87"/>
      <c r="HHV1" s="87"/>
      <c r="HHW1" s="87"/>
      <c r="HHX1" s="87"/>
      <c r="HHY1" s="87"/>
      <c r="HHZ1" s="87"/>
      <c r="HIA1" s="87"/>
      <c r="HIB1" s="87"/>
      <c r="HIC1" s="87"/>
      <c r="HID1" s="87"/>
      <c r="HIE1" s="87"/>
      <c r="HIF1" s="87"/>
      <c r="HIG1" s="87"/>
      <c r="HIH1" s="87"/>
      <c r="HII1" s="87"/>
      <c r="HIJ1" s="87"/>
      <c r="HIK1" s="87"/>
      <c r="HIL1" s="87"/>
      <c r="HIM1" s="87"/>
      <c r="HIN1" s="87"/>
      <c r="HIO1" s="87"/>
      <c r="HIP1" s="87"/>
      <c r="HIQ1" s="87"/>
      <c r="HIR1" s="87"/>
      <c r="HIS1" s="87"/>
      <c r="HIT1" s="87"/>
      <c r="HIU1" s="87"/>
      <c r="HIV1" s="87"/>
      <c r="HIW1" s="87"/>
      <c r="HIX1" s="87"/>
      <c r="HIY1" s="87"/>
      <c r="HIZ1" s="87"/>
      <c r="HJA1" s="87"/>
      <c r="HJB1" s="87"/>
      <c r="HJC1" s="87"/>
      <c r="HJD1" s="87"/>
      <c r="HJE1" s="87"/>
      <c r="HJF1" s="87"/>
      <c r="HJG1" s="87"/>
      <c r="HJH1" s="87"/>
      <c r="HJI1" s="87"/>
      <c r="HJJ1" s="87"/>
      <c r="HJK1" s="87"/>
      <c r="HJL1" s="87"/>
      <c r="HJM1" s="87"/>
      <c r="HJN1" s="87"/>
      <c r="HJO1" s="87"/>
      <c r="HJP1" s="87"/>
      <c r="HJQ1" s="87"/>
      <c r="HJR1" s="87"/>
      <c r="HJS1" s="87"/>
      <c r="HJT1" s="87"/>
      <c r="HJU1" s="87"/>
      <c r="HJV1" s="87"/>
      <c r="HJW1" s="87"/>
      <c r="HJX1" s="87"/>
      <c r="HJY1" s="87"/>
      <c r="HJZ1" s="87"/>
      <c r="HKA1" s="87"/>
      <c r="HKB1" s="87"/>
      <c r="HKC1" s="87"/>
      <c r="HKD1" s="87"/>
      <c r="HKE1" s="87"/>
      <c r="HKF1" s="87"/>
      <c r="HKG1" s="87"/>
      <c r="HKH1" s="87"/>
      <c r="HKI1" s="87"/>
      <c r="HKJ1" s="87"/>
      <c r="HKK1" s="87"/>
      <c r="HKL1" s="87"/>
      <c r="HKM1" s="87"/>
      <c r="HKN1" s="87"/>
      <c r="HKO1" s="87"/>
      <c r="HKP1" s="87"/>
      <c r="HKQ1" s="87"/>
      <c r="HKR1" s="87"/>
      <c r="HKS1" s="87"/>
      <c r="HKT1" s="87"/>
      <c r="HKU1" s="87"/>
      <c r="HKV1" s="87"/>
      <c r="HKW1" s="87"/>
      <c r="HKX1" s="87"/>
      <c r="HKY1" s="87"/>
      <c r="HKZ1" s="87"/>
      <c r="HLA1" s="87"/>
      <c r="HLB1" s="87"/>
      <c r="HLC1" s="87"/>
      <c r="HLD1" s="87"/>
      <c r="HLE1" s="87"/>
      <c r="HLF1" s="87"/>
      <c r="HLG1" s="87"/>
      <c r="HLH1" s="87"/>
      <c r="HLI1" s="87"/>
      <c r="HLJ1" s="87"/>
      <c r="HLK1" s="87"/>
      <c r="HLL1" s="87"/>
      <c r="HLM1" s="87"/>
      <c r="HLN1" s="87"/>
      <c r="HLO1" s="87"/>
      <c r="HLP1" s="87"/>
      <c r="HLQ1" s="87"/>
      <c r="HLR1" s="87"/>
      <c r="HLS1" s="87"/>
      <c r="HLT1" s="87"/>
      <c r="HLU1" s="87"/>
      <c r="HLV1" s="87"/>
      <c r="HLW1" s="87"/>
      <c r="HLX1" s="87"/>
      <c r="HLY1" s="87"/>
      <c r="HLZ1" s="87"/>
      <c r="HMA1" s="87"/>
      <c r="HMB1" s="87"/>
      <c r="HMC1" s="87"/>
      <c r="HMD1" s="87"/>
      <c r="HME1" s="87"/>
      <c r="HMF1" s="87"/>
      <c r="HMG1" s="87"/>
      <c r="HMH1" s="87"/>
      <c r="HMI1" s="87"/>
      <c r="HMJ1" s="87"/>
      <c r="HMK1" s="87"/>
      <c r="HML1" s="87"/>
      <c r="HMM1" s="87"/>
      <c r="HMN1" s="87"/>
      <c r="HMO1" s="87"/>
      <c r="HMP1" s="87"/>
      <c r="HMQ1" s="87"/>
      <c r="HMR1" s="87"/>
      <c r="HMS1" s="87"/>
      <c r="HMT1" s="87"/>
      <c r="HMU1" s="87"/>
      <c r="HMV1" s="87"/>
      <c r="HMW1" s="87"/>
      <c r="HMX1" s="87"/>
      <c r="HMY1" s="87"/>
      <c r="HMZ1" s="87"/>
      <c r="HNA1" s="87"/>
      <c r="HNB1" s="87"/>
      <c r="HNC1" s="87"/>
      <c r="HND1" s="87"/>
      <c r="HNE1" s="87"/>
      <c r="HNF1" s="87"/>
      <c r="HNG1" s="87"/>
      <c r="HNH1" s="87"/>
      <c r="HNI1" s="87"/>
      <c r="HNJ1" s="87"/>
      <c r="HNK1" s="87"/>
      <c r="HNL1" s="87"/>
      <c r="HNM1" s="87"/>
      <c r="HNN1" s="87"/>
      <c r="HNO1" s="87"/>
      <c r="HNP1" s="87"/>
      <c r="HNQ1" s="87"/>
      <c r="HNR1" s="87"/>
      <c r="HNS1" s="87"/>
      <c r="HNT1" s="87"/>
      <c r="HNU1" s="87"/>
      <c r="HNV1" s="87"/>
      <c r="HNW1" s="87"/>
      <c r="HNX1" s="87"/>
      <c r="HNY1" s="87"/>
      <c r="HNZ1" s="87"/>
      <c r="HOA1" s="87"/>
      <c r="HOB1" s="87"/>
      <c r="HOC1" s="87"/>
      <c r="HOD1" s="87"/>
      <c r="HOE1" s="87"/>
      <c r="HOF1" s="87"/>
      <c r="HOG1" s="87"/>
      <c r="HOH1" s="87"/>
      <c r="HOI1" s="87"/>
      <c r="HOJ1" s="87"/>
      <c r="HOK1" s="87"/>
      <c r="HOL1" s="87"/>
      <c r="HOM1" s="87"/>
      <c r="HON1" s="87"/>
      <c r="HOO1" s="87"/>
      <c r="HOP1" s="87"/>
      <c r="HOQ1" s="87"/>
      <c r="HOR1" s="87"/>
      <c r="HOS1" s="87"/>
      <c r="HOT1" s="87"/>
      <c r="HOU1" s="87"/>
      <c r="HOV1" s="87"/>
      <c r="HOW1" s="87"/>
      <c r="HOX1" s="87"/>
      <c r="HOY1" s="87"/>
      <c r="HOZ1" s="87"/>
      <c r="HPA1" s="87"/>
      <c r="HPB1" s="87"/>
      <c r="HPC1" s="87"/>
      <c r="HPD1" s="87"/>
      <c r="HPE1" s="87"/>
      <c r="HPF1" s="87"/>
      <c r="HPG1" s="87"/>
      <c r="HPH1" s="87"/>
      <c r="HPI1" s="87"/>
      <c r="HPJ1" s="87"/>
      <c r="HPK1" s="87"/>
      <c r="HPL1" s="87"/>
      <c r="HPM1" s="87"/>
      <c r="HPN1" s="87"/>
      <c r="HPO1" s="87"/>
      <c r="HPP1" s="87"/>
      <c r="HPQ1" s="87"/>
      <c r="HPR1" s="87"/>
      <c r="HPS1" s="87"/>
      <c r="HPT1" s="87"/>
      <c r="HPU1" s="87"/>
      <c r="HPV1" s="87"/>
      <c r="HPW1" s="87"/>
      <c r="HPX1" s="87"/>
      <c r="HPY1" s="87"/>
      <c r="HPZ1" s="87"/>
      <c r="HQA1" s="87"/>
      <c r="HQB1" s="87"/>
      <c r="HQC1" s="87"/>
      <c r="HQD1" s="87"/>
      <c r="HQE1" s="87"/>
      <c r="HQF1" s="87"/>
      <c r="HQG1" s="87"/>
      <c r="HQH1" s="87"/>
      <c r="HQI1" s="87"/>
      <c r="HQJ1" s="87"/>
      <c r="HQK1" s="87"/>
      <c r="HQL1" s="87"/>
      <c r="HQM1" s="87"/>
      <c r="HQN1" s="87"/>
      <c r="HQO1" s="87"/>
      <c r="HQP1" s="87"/>
      <c r="HQQ1" s="87"/>
      <c r="HQR1" s="87"/>
      <c r="HQS1" s="87"/>
      <c r="HQT1" s="87"/>
      <c r="HQU1" s="87"/>
      <c r="HQV1" s="87"/>
      <c r="HQW1" s="87"/>
      <c r="HQX1" s="87"/>
      <c r="HQY1" s="87"/>
      <c r="HQZ1" s="87"/>
      <c r="HRA1" s="87"/>
      <c r="HRB1" s="87"/>
      <c r="HRC1" s="87"/>
      <c r="HRD1" s="87"/>
      <c r="HRE1" s="87"/>
      <c r="HRF1" s="87"/>
      <c r="HRG1" s="87"/>
      <c r="HRH1" s="87"/>
      <c r="HRI1" s="87"/>
      <c r="HRJ1" s="87"/>
      <c r="HRK1" s="87"/>
      <c r="HRL1" s="87"/>
      <c r="HRM1" s="87"/>
      <c r="HRN1" s="87"/>
      <c r="HRO1" s="87"/>
      <c r="HRP1" s="87"/>
      <c r="HRQ1" s="87"/>
      <c r="HRR1" s="87"/>
      <c r="HRS1" s="87"/>
      <c r="HRT1" s="87"/>
      <c r="HRU1" s="87"/>
      <c r="HRV1" s="87"/>
      <c r="HRW1" s="87"/>
      <c r="HRX1" s="87"/>
      <c r="HRY1" s="87"/>
      <c r="HRZ1" s="87"/>
      <c r="HSA1" s="87"/>
      <c r="HSB1" s="87"/>
      <c r="HSC1" s="87"/>
      <c r="HSD1" s="87"/>
      <c r="HSE1" s="87"/>
      <c r="HSF1" s="87"/>
      <c r="HSG1" s="87"/>
      <c r="HSH1" s="87"/>
      <c r="HSI1" s="87"/>
      <c r="HSJ1" s="87"/>
      <c r="HSK1" s="87"/>
      <c r="HSL1" s="87"/>
      <c r="HSM1" s="87"/>
      <c r="HSN1" s="87"/>
      <c r="HSO1" s="87"/>
      <c r="HSP1" s="87"/>
      <c r="HSQ1" s="87"/>
      <c r="HSR1" s="87"/>
      <c r="HSS1" s="87"/>
      <c r="HST1" s="87"/>
      <c r="HSU1" s="87"/>
      <c r="HSV1" s="87"/>
      <c r="HSW1" s="87"/>
      <c r="HSX1" s="87"/>
      <c r="HSY1" s="87"/>
      <c r="HSZ1" s="87"/>
      <c r="HTA1" s="87"/>
      <c r="HTB1" s="87"/>
      <c r="HTC1" s="87"/>
      <c r="HTD1" s="87"/>
      <c r="HTE1" s="87"/>
      <c r="HTF1" s="87"/>
      <c r="HTG1" s="87"/>
      <c r="HTH1" s="87"/>
      <c r="HTI1" s="87"/>
      <c r="HTJ1" s="87"/>
      <c r="HTK1" s="87"/>
      <c r="HTL1" s="87"/>
      <c r="HTM1" s="87"/>
      <c r="HTN1" s="87"/>
      <c r="HTO1" s="87"/>
      <c r="HTP1" s="87"/>
      <c r="HTQ1" s="87"/>
      <c r="HTR1" s="87"/>
      <c r="HTS1" s="87"/>
      <c r="HTT1" s="87"/>
      <c r="HTU1" s="87"/>
      <c r="HTV1" s="87"/>
      <c r="HTW1" s="87"/>
      <c r="HTX1" s="87"/>
      <c r="HTY1" s="87"/>
      <c r="HTZ1" s="87"/>
      <c r="HUA1" s="87"/>
      <c r="HUB1" s="87"/>
      <c r="HUC1" s="87"/>
      <c r="HUD1" s="87"/>
      <c r="HUE1" s="87"/>
      <c r="HUF1" s="87"/>
      <c r="HUG1" s="87"/>
      <c r="HUH1" s="87"/>
      <c r="HUI1" s="87"/>
      <c r="HUJ1" s="87"/>
      <c r="HUK1" s="87"/>
      <c r="HUL1" s="87"/>
      <c r="HUM1" s="87"/>
      <c r="HUN1" s="87"/>
      <c r="HUO1" s="87"/>
      <c r="HUP1" s="87"/>
      <c r="HUQ1" s="87"/>
      <c r="HUR1" s="87"/>
      <c r="HUS1" s="87"/>
      <c r="HUT1" s="87"/>
      <c r="HUU1" s="87"/>
      <c r="HUV1" s="87"/>
      <c r="HUW1" s="87"/>
      <c r="HUX1" s="87"/>
      <c r="HUY1" s="87"/>
      <c r="HUZ1" s="87"/>
      <c r="HVA1" s="87"/>
      <c r="HVB1" s="87"/>
      <c r="HVC1" s="87"/>
      <c r="HVD1" s="87"/>
      <c r="HVE1" s="87"/>
      <c r="HVF1" s="87"/>
      <c r="HVG1" s="87"/>
      <c r="HVH1" s="87"/>
      <c r="HVI1" s="87"/>
      <c r="HVJ1" s="87"/>
      <c r="HVK1" s="87"/>
      <c r="HVL1" s="87"/>
      <c r="HVM1" s="87"/>
      <c r="HVN1" s="87"/>
      <c r="HVO1" s="87"/>
      <c r="HVP1" s="87"/>
      <c r="HVQ1" s="87"/>
      <c r="HVR1" s="87"/>
      <c r="HVS1" s="87"/>
      <c r="HVT1" s="87"/>
      <c r="HVU1" s="87"/>
      <c r="HVV1" s="87"/>
      <c r="HVW1" s="87"/>
      <c r="HVX1" s="87"/>
      <c r="HVY1" s="87"/>
      <c r="HVZ1" s="87"/>
      <c r="HWA1" s="87"/>
      <c r="HWB1" s="87"/>
      <c r="HWC1" s="87"/>
      <c r="HWD1" s="87"/>
      <c r="HWE1" s="87"/>
      <c r="HWF1" s="87"/>
      <c r="HWG1" s="87"/>
      <c r="HWH1" s="87"/>
      <c r="HWI1" s="87"/>
      <c r="HWJ1" s="87"/>
      <c r="HWK1" s="87"/>
      <c r="HWL1" s="87"/>
      <c r="HWM1" s="87"/>
      <c r="HWN1" s="87"/>
      <c r="HWO1" s="87"/>
      <c r="HWP1" s="87"/>
      <c r="HWQ1" s="87"/>
      <c r="HWR1" s="87"/>
      <c r="HWS1" s="87"/>
      <c r="HWT1" s="87"/>
      <c r="HWU1" s="87"/>
      <c r="HWV1" s="87"/>
      <c r="HWW1" s="87"/>
      <c r="HWX1" s="87"/>
      <c r="HWY1" s="87"/>
      <c r="HWZ1" s="87"/>
      <c r="HXA1" s="87"/>
      <c r="HXB1" s="87"/>
      <c r="HXC1" s="87"/>
      <c r="HXD1" s="87"/>
      <c r="HXE1" s="87"/>
      <c r="HXF1" s="87"/>
      <c r="HXG1" s="87"/>
      <c r="HXH1" s="87"/>
      <c r="HXI1" s="87"/>
      <c r="HXJ1" s="87"/>
      <c r="HXK1" s="87"/>
      <c r="HXL1" s="87"/>
      <c r="HXM1" s="87"/>
      <c r="HXN1" s="87"/>
      <c r="HXO1" s="87"/>
      <c r="HXP1" s="87"/>
      <c r="HXQ1" s="87"/>
      <c r="HXR1" s="87"/>
      <c r="HXS1" s="87"/>
      <c r="HXT1" s="87"/>
      <c r="HXU1" s="87"/>
      <c r="HXV1" s="87"/>
      <c r="HXW1" s="87"/>
      <c r="HXX1" s="87"/>
      <c r="HXY1" s="87"/>
      <c r="HXZ1" s="87"/>
      <c r="HYA1" s="87"/>
      <c r="HYB1" s="87"/>
      <c r="HYC1" s="87"/>
      <c r="HYD1" s="87"/>
      <c r="HYE1" s="87"/>
      <c r="HYF1" s="87"/>
      <c r="HYG1" s="87"/>
      <c r="HYH1" s="87"/>
      <c r="HYI1" s="87"/>
      <c r="HYJ1" s="87"/>
      <c r="HYK1" s="87"/>
      <c r="HYL1" s="87"/>
      <c r="HYM1" s="87"/>
      <c r="HYN1" s="87"/>
      <c r="HYO1" s="87"/>
      <c r="HYP1" s="87"/>
      <c r="HYQ1" s="87"/>
      <c r="HYR1" s="87"/>
      <c r="HYS1" s="87"/>
      <c r="HYT1" s="87"/>
      <c r="HYU1" s="87"/>
      <c r="HYV1" s="87"/>
      <c r="HYW1" s="87"/>
      <c r="HYX1" s="87"/>
      <c r="HYY1" s="87"/>
      <c r="HYZ1" s="87"/>
      <c r="HZA1" s="87"/>
      <c r="HZB1" s="87"/>
      <c r="HZC1" s="87"/>
      <c r="HZD1" s="87"/>
      <c r="HZE1" s="87"/>
      <c r="HZF1" s="87"/>
      <c r="HZG1" s="87"/>
      <c r="HZH1" s="87"/>
      <c r="HZI1" s="87"/>
      <c r="HZJ1" s="87"/>
      <c r="HZK1" s="87"/>
      <c r="HZL1" s="87"/>
      <c r="HZM1" s="87"/>
      <c r="HZN1" s="87"/>
      <c r="HZO1" s="87"/>
      <c r="HZP1" s="87"/>
      <c r="HZQ1" s="87"/>
      <c r="HZR1" s="87"/>
      <c r="HZS1" s="87"/>
      <c r="HZT1" s="87"/>
      <c r="HZU1" s="87"/>
      <c r="HZV1" s="87"/>
      <c r="HZW1" s="87"/>
      <c r="HZX1" s="87"/>
      <c r="HZY1" s="87"/>
      <c r="HZZ1" s="87"/>
      <c r="IAA1" s="87"/>
      <c r="IAB1" s="87"/>
      <c r="IAC1" s="87"/>
      <c r="IAD1" s="87"/>
      <c r="IAE1" s="87"/>
      <c r="IAF1" s="87"/>
      <c r="IAG1" s="87"/>
      <c r="IAH1" s="87"/>
      <c r="IAI1" s="87"/>
      <c r="IAJ1" s="87"/>
      <c r="IAK1" s="87"/>
      <c r="IAL1" s="87"/>
      <c r="IAM1" s="87"/>
      <c r="IAN1" s="87"/>
      <c r="IAO1" s="87"/>
      <c r="IAP1" s="87"/>
      <c r="IAQ1" s="87"/>
      <c r="IAR1" s="87"/>
      <c r="IAS1" s="87"/>
      <c r="IAT1" s="87"/>
      <c r="IAU1" s="87"/>
      <c r="IAV1" s="87"/>
      <c r="IAW1" s="87"/>
      <c r="IAX1" s="87"/>
      <c r="IAY1" s="87"/>
      <c r="IAZ1" s="87"/>
      <c r="IBA1" s="87"/>
      <c r="IBB1" s="87"/>
      <c r="IBC1" s="87"/>
      <c r="IBD1" s="87"/>
      <c r="IBE1" s="87"/>
      <c r="IBF1" s="87"/>
      <c r="IBG1" s="87"/>
      <c r="IBH1" s="87"/>
      <c r="IBI1" s="87"/>
      <c r="IBJ1" s="87"/>
      <c r="IBK1" s="87"/>
      <c r="IBL1" s="87"/>
      <c r="IBM1" s="87"/>
      <c r="IBN1" s="87"/>
      <c r="IBO1" s="87"/>
      <c r="IBP1" s="87"/>
      <c r="IBQ1" s="87"/>
      <c r="IBR1" s="87"/>
      <c r="IBS1" s="87"/>
      <c r="IBT1" s="87"/>
      <c r="IBU1" s="87"/>
      <c r="IBV1" s="87"/>
      <c r="IBW1" s="87"/>
      <c r="IBX1" s="87"/>
      <c r="IBY1" s="87"/>
      <c r="IBZ1" s="87"/>
      <c r="ICA1" s="87"/>
      <c r="ICB1" s="87"/>
      <c r="ICC1" s="87"/>
      <c r="ICD1" s="87"/>
      <c r="ICE1" s="87"/>
      <c r="ICF1" s="87"/>
      <c r="ICG1" s="87"/>
      <c r="ICH1" s="87"/>
      <c r="ICI1" s="87"/>
      <c r="ICJ1" s="87"/>
      <c r="ICK1" s="87"/>
      <c r="ICL1" s="87"/>
      <c r="ICM1" s="87"/>
      <c r="ICN1" s="87"/>
      <c r="ICO1" s="87"/>
      <c r="ICP1" s="87"/>
      <c r="ICQ1" s="87"/>
      <c r="ICR1" s="87"/>
      <c r="ICS1" s="87"/>
      <c r="ICT1" s="87"/>
      <c r="ICU1" s="87"/>
      <c r="ICV1" s="87"/>
      <c r="ICW1" s="87"/>
      <c r="ICX1" s="87"/>
      <c r="ICY1" s="87"/>
      <c r="ICZ1" s="87"/>
      <c r="IDA1" s="87"/>
      <c r="IDB1" s="87"/>
      <c r="IDC1" s="87"/>
      <c r="IDD1" s="87"/>
      <c r="IDE1" s="87"/>
      <c r="IDF1" s="87"/>
      <c r="IDG1" s="87"/>
      <c r="IDH1" s="87"/>
      <c r="IDI1" s="87"/>
      <c r="IDJ1" s="87"/>
      <c r="IDK1" s="87"/>
      <c r="IDL1" s="87"/>
      <c r="IDM1" s="87"/>
      <c r="IDN1" s="87"/>
      <c r="IDO1" s="87"/>
      <c r="IDP1" s="87"/>
      <c r="IDQ1" s="87"/>
      <c r="IDR1" s="87"/>
      <c r="IDS1" s="87"/>
      <c r="IDT1" s="87"/>
      <c r="IDU1" s="87"/>
      <c r="IDV1" s="87"/>
      <c r="IDW1" s="87"/>
      <c r="IDX1" s="87"/>
      <c r="IDY1" s="87"/>
      <c r="IDZ1" s="87"/>
      <c r="IEA1" s="87"/>
      <c r="IEB1" s="87"/>
      <c r="IEC1" s="87"/>
      <c r="IED1" s="87"/>
      <c r="IEE1" s="87"/>
      <c r="IEF1" s="87"/>
      <c r="IEG1" s="87"/>
      <c r="IEH1" s="87"/>
      <c r="IEI1" s="87"/>
      <c r="IEJ1" s="87"/>
      <c r="IEK1" s="87"/>
      <c r="IEL1" s="87"/>
      <c r="IEM1" s="87"/>
      <c r="IEN1" s="87"/>
      <c r="IEO1" s="87"/>
      <c r="IEP1" s="87"/>
      <c r="IEQ1" s="87"/>
      <c r="IER1" s="87"/>
      <c r="IES1" s="87"/>
      <c r="IET1" s="87"/>
      <c r="IEU1" s="87"/>
      <c r="IEV1" s="87"/>
      <c r="IEW1" s="87"/>
      <c r="IEX1" s="87"/>
      <c r="IEY1" s="87"/>
      <c r="IEZ1" s="87"/>
      <c r="IFA1" s="87"/>
      <c r="IFB1" s="87"/>
      <c r="IFC1" s="87"/>
      <c r="IFD1" s="87"/>
      <c r="IFE1" s="87"/>
      <c r="IFF1" s="87"/>
      <c r="IFG1" s="87"/>
      <c r="IFH1" s="87"/>
      <c r="IFI1" s="87"/>
      <c r="IFJ1" s="87"/>
      <c r="IFK1" s="87"/>
      <c r="IFL1" s="87"/>
      <c r="IFM1" s="87"/>
      <c r="IFN1" s="87"/>
      <c r="IFO1" s="87"/>
      <c r="IFP1" s="87"/>
      <c r="IFQ1" s="87"/>
      <c r="IFR1" s="87"/>
      <c r="IFS1" s="87"/>
      <c r="IFT1" s="87"/>
      <c r="IFU1" s="87"/>
      <c r="IFV1" s="87"/>
      <c r="IFW1" s="87"/>
      <c r="IFX1" s="87"/>
      <c r="IFY1" s="87"/>
      <c r="IFZ1" s="87"/>
      <c r="IGA1" s="87"/>
      <c r="IGB1" s="87"/>
      <c r="IGC1" s="87"/>
      <c r="IGD1" s="87"/>
      <c r="IGE1" s="87"/>
      <c r="IGF1" s="87"/>
      <c r="IGG1" s="87"/>
      <c r="IGH1" s="87"/>
      <c r="IGI1" s="87"/>
      <c r="IGJ1" s="87"/>
      <c r="IGK1" s="87"/>
      <c r="IGL1" s="87"/>
      <c r="IGM1" s="87"/>
      <c r="IGN1" s="87"/>
      <c r="IGO1" s="87"/>
      <c r="IGP1" s="87"/>
      <c r="IGQ1" s="87"/>
      <c r="IGR1" s="87"/>
      <c r="IGS1" s="87"/>
      <c r="IGT1" s="87"/>
      <c r="IGU1" s="87"/>
      <c r="IGV1" s="87"/>
      <c r="IGW1" s="87"/>
      <c r="IGX1" s="87"/>
      <c r="IGY1" s="87"/>
      <c r="IGZ1" s="87"/>
      <c r="IHA1" s="87"/>
      <c r="IHB1" s="87"/>
      <c r="IHC1" s="87"/>
      <c r="IHD1" s="87"/>
      <c r="IHE1" s="87"/>
      <c r="IHF1" s="87"/>
      <c r="IHG1" s="87"/>
      <c r="IHH1" s="87"/>
      <c r="IHI1" s="87"/>
      <c r="IHJ1" s="87"/>
      <c r="IHK1" s="87"/>
      <c r="IHL1" s="87"/>
      <c r="IHM1" s="87"/>
      <c r="IHN1" s="87"/>
      <c r="IHO1" s="87"/>
      <c r="IHP1" s="87"/>
      <c r="IHQ1" s="87"/>
      <c r="IHR1" s="87"/>
      <c r="IHS1" s="87"/>
      <c r="IHT1" s="87"/>
      <c r="IHU1" s="87"/>
      <c r="IHV1" s="87"/>
      <c r="IHW1" s="87"/>
      <c r="IHX1" s="87"/>
      <c r="IHY1" s="87"/>
      <c r="IHZ1" s="87"/>
      <c r="IIA1" s="87"/>
      <c r="IIB1" s="87"/>
      <c r="IIC1" s="87"/>
      <c r="IID1" s="87"/>
      <c r="IIE1" s="87"/>
      <c r="IIF1" s="87"/>
      <c r="IIG1" s="87"/>
      <c r="IIH1" s="87"/>
      <c r="III1" s="87"/>
      <c r="IIJ1" s="87"/>
      <c r="IIK1" s="87"/>
      <c r="IIL1" s="87"/>
      <c r="IIM1" s="87"/>
      <c r="IIN1" s="87"/>
      <c r="IIO1" s="87"/>
      <c r="IIP1" s="87"/>
      <c r="IIQ1" s="87"/>
      <c r="IIR1" s="87"/>
      <c r="IIS1" s="87"/>
      <c r="IIT1" s="87"/>
      <c r="IIU1" s="87"/>
      <c r="IIV1" s="87"/>
      <c r="IIW1" s="87"/>
      <c r="IIX1" s="87"/>
      <c r="IIY1" s="87"/>
      <c r="IIZ1" s="87"/>
      <c r="IJA1" s="87"/>
      <c r="IJB1" s="87"/>
      <c r="IJC1" s="87"/>
      <c r="IJD1" s="87"/>
      <c r="IJE1" s="87"/>
      <c r="IJF1" s="87"/>
      <c r="IJG1" s="87"/>
      <c r="IJH1" s="87"/>
      <c r="IJI1" s="87"/>
      <c r="IJJ1" s="87"/>
      <c r="IJK1" s="87"/>
      <c r="IJL1" s="87"/>
      <c r="IJM1" s="87"/>
      <c r="IJN1" s="87"/>
      <c r="IJO1" s="87"/>
      <c r="IJP1" s="87"/>
      <c r="IJQ1" s="87"/>
      <c r="IJR1" s="87"/>
      <c r="IJS1" s="87"/>
      <c r="IJT1" s="87"/>
      <c r="IJU1" s="87"/>
      <c r="IJV1" s="87"/>
      <c r="IJW1" s="87"/>
      <c r="IJX1" s="87"/>
      <c r="IJY1" s="87"/>
      <c r="IJZ1" s="87"/>
      <c r="IKA1" s="87"/>
      <c r="IKB1" s="87"/>
      <c r="IKC1" s="87"/>
      <c r="IKD1" s="87"/>
      <c r="IKE1" s="87"/>
      <c r="IKF1" s="87"/>
      <c r="IKG1" s="87"/>
      <c r="IKH1" s="87"/>
      <c r="IKI1" s="87"/>
      <c r="IKJ1" s="87"/>
      <c r="IKK1" s="87"/>
      <c r="IKL1" s="87"/>
      <c r="IKM1" s="87"/>
      <c r="IKN1" s="87"/>
      <c r="IKO1" s="87"/>
      <c r="IKP1" s="87"/>
      <c r="IKQ1" s="87"/>
      <c r="IKR1" s="87"/>
      <c r="IKS1" s="87"/>
      <c r="IKT1" s="87"/>
      <c r="IKU1" s="87"/>
      <c r="IKV1" s="87"/>
      <c r="IKW1" s="87"/>
      <c r="IKX1" s="87"/>
      <c r="IKY1" s="87"/>
      <c r="IKZ1" s="87"/>
      <c r="ILA1" s="87"/>
      <c r="ILB1" s="87"/>
      <c r="ILC1" s="87"/>
      <c r="ILD1" s="87"/>
      <c r="ILE1" s="87"/>
      <c r="ILF1" s="87"/>
      <c r="ILG1" s="87"/>
      <c r="ILH1" s="87"/>
      <c r="ILI1" s="87"/>
      <c r="ILJ1" s="87"/>
      <c r="ILK1" s="87"/>
      <c r="ILL1" s="87"/>
      <c r="ILM1" s="87"/>
      <c r="ILN1" s="87"/>
      <c r="ILO1" s="87"/>
      <c r="ILP1" s="87"/>
      <c r="ILQ1" s="87"/>
      <c r="ILR1" s="87"/>
      <c r="ILS1" s="87"/>
      <c r="ILT1" s="87"/>
      <c r="ILU1" s="87"/>
      <c r="ILV1" s="87"/>
      <c r="ILW1" s="87"/>
      <c r="ILX1" s="87"/>
      <c r="ILY1" s="87"/>
      <c r="ILZ1" s="87"/>
      <c r="IMA1" s="87"/>
      <c r="IMB1" s="87"/>
      <c r="IMC1" s="87"/>
      <c r="IMD1" s="87"/>
      <c r="IME1" s="87"/>
      <c r="IMF1" s="87"/>
      <c r="IMG1" s="87"/>
      <c r="IMH1" s="87"/>
      <c r="IMI1" s="87"/>
      <c r="IMJ1" s="87"/>
      <c r="IMK1" s="87"/>
      <c r="IML1" s="87"/>
      <c r="IMM1" s="87"/>
      <c r="IMN1" s="87"/>
      <c r="IMO1" s="87"/>
      <c r="IMP1" s="87"/>
      <c r="IMQ1" s="87"/>
      <c r="IMR1" s="87"/>
      <c r="IMS1" s="87"/>
      <c r="IMT1" s="87"/>
      <c r="IMU1" s="87"/>
      <c r="IMV1" s="87"/>
      <c r="IMW1" s="87"/>
      <c r="IMX1" s="87"/>
      <c r="IMY1" s="87"/>
      <c r="IMZ1" s="87"/>
      <c r="INA1" s="87"/>
      <c r="INB1" s="87"/>
      <c r="INC1" s="87"/>
      <c r="IND1" s="87"/>
      <c r="INE1" s="87"/>
      <c r="INF1" s="87"/>
      <c r="ING1" s="87"/>
      <c r="INH1" s="87"/>
      <c r="INI1" s="87"/>
      <c r="INJ1" s="87"/>
      <c r="INK1" s="87"/>
      <c r="INL1" s="87"/>
      <c r="INM1" s="87"/>
      <c r="INN1" s="87"/>
      <c r="INO1" s="87"/>
      <c r="INP1" s="87"/>
      <c r="INQ1" s="87"/>
      <c r="INR1" s="87"/>
      <c r="INS1" s="87"/>
      <c r="INT1" s="87"/>
      <c r="INU1" s="87"/>
      <c r="INV1" s="87"/>
      <c r="INW1" s="87"/>
      <c r="INX1" s="87"/>
      <c r="INY1" s="87"/>
      <c r="INZ1" s="87"/>
      <c r="IOA1" s="87"/>
      <c r="IOB1" s="87"/>
      <c r="IOC1" s="87"/>
      <c r="IOD1" s="87"/>
      <c r="IOE1" s="87"/>
      <c r="IOF1" s="87"/>
      <c r="IOG1" s="87"/>
      <c r="IOH1" s="87"/>
      <c r="IOI1" s="87"/>
      <c r="IOJ1" s="87"/>
      <c r="IOK1" s="87"/>
      <c r="IOL1" s="87"/>
      <c r="IOM1" s="87"/>
      <c r="ION1" s="87"/>
      <c r="IOO1" s="87"/>
      <c r="IOP1" s="87"/>
      <c r="IOQ1" s="87"/>
      <c r="IOR1" s="87"/>
      <c r="IOS1" s="87"/>
      <c r="IOT1" s="87"/>
      <c r="IOU1" s="87"/>
      <c r="IOV1" s="87"/>
      <c r="IOW1" s="87"/>
      <c r="IOX1" s="87"/>
      <c r="IOY1" s="87"/>
      <c r="IOZ1" s="87"/>
      <c r="IPA1" s="87"/>
      <c r="IPB1" s="87"/>
      <c r="IPC1" s="87"/>
      <c r="IPD1" s="87"/>
      <c r="IPE1" s="87"/>
      <c r="IPF1" s="87"/>
      <c r="IPG1" s="87"/>
      <c r="IPH1" s="87"/>
      <c r="IPI1" s="87"/>
      <c r="IPJ1" s="87"/>
      <c r="IPK1" s="87"/>
      <c r="IPL1" s="87"/>
      <c r="IPM1" s="87"/>
      <c r="IPN1" s="87"/>
      <c r="IPO1" s="87"/>
      <c r="IPP1" s="87"/>
      <c r="IPQ1" s="87"/>
      <c r="IPR1" s="87"/>
      <c r="IPS1" s="87"/>
      <c r="IPT1" s="87"/>
      <c r="IPU1" s="87"/>
      <c r="IPV1" s="87"/>
      <c r="IPW1" s="87"/>
      <c r="IPX1" s="87"/>
      <c r="IPY1" s="87"/>
      <c r="IPZ1" s="87"/>
      <c r="IQA1" s="87"/>
      <c r="IQB1" s="87"/>
      <c r="IQC1" s="87"/>
      <c r="IQD1" s="87"/>
      <c r="IQE1" s="87"/>
      <c r="IQF1" s="87"/>
      <c r="IQG1" s="87"/>
      <c r="IQH1" s="87"/>
      <c r="IQI1" s="87"/>
      <c r="IQJ1" s="87"/>
      <c r="IQK1" s="87"/>
      <c r="IQL1" s="87"/>
      <c r="IQM1" s="87"/>
      <c r="IQN1" s="87"/>
      <c r="IQO1" s="87"/>
      <c r="IQP1" s="87"/>
      <c r="IQQ1" s="87"/>
      <c r="IQR1" s="87"/>
      <c r="IQS1" s="87"/>
      <c r="IQT1" s="87"/>
      <c r="IQU1" s="87"/>
      <c r="IQV1" s="87"/>
      <c r="IQW1" s="87"/>
      <c r="IQX1" s="87"/>
      <c r="IQY1" s="87"/>
      <c r="IQZ1" s="87"/>
      <c r="IRA1" s="87"/>
      <c r="IRB1" s="87"/>
      <c r="IRC1" s="87"/>
      <c r="IRD1" s="87"/>
      <c r="IRE1" s="87"/>
      <c r="IRF1" s="87"/>
      <c r="IRG1" s="87"/>
      <c r="IRH1" s="87"/>
      <c r="IRI1" s="87"/>
      <c r="IRJ1" s="87"/>
      <c r="IRK1" s="87"/>
      <c r="IRL1" s="87"/>
      <c r="IRM1" s="87"/>
      <c r="IRN1" s="87"/>
      <c r="IRO1" s="87"/>
      <c r="IRP1" s="87"/>
      <c r="IRQ1" s="87"/>
      <c r="IRR1" s="87"/>
      <c r="IRS1" s="87"/>
      <c r="IRT1" s="87"/>
      <c r="IRU1" s="87"/>
      <c r="IRV1" s="87"/>
      <c r="IRW1" s="87"/>
      <c r="IRX1" s="87"/>
      <c r="IRY1" s="87"/>
      <c r="IRZ1" s="87"/>
      <c r="ISA1" s="87"/>
      <c r="ISB1" s="87"/>
      <c r="ISC1" s="87"/>
      <c r="ISD1" s="87"/>
      <c r="ISE1" s="87"/>
      <c r="ISF1" s="87"/>
      <c r="ISG1" s="87"/>
      <c r="ISH1" s="87"/>
      <c r="ISI1" s="87"/>
      <c r="ISJ1" s="87"/>
      <c r="ISK1" s="87"/>
      <c r="ISL1" s="87"/>
      <c r="ISM1" s="87"/>
      <c r="ISN1" s="87"/>
      <c r="ISO1" s="87"/>
      <c r="ISP1" s="87"/>
      <c r="ISQ1" s="87"/>
      <c r="ISR1" s="87"/>
      <c r="ISS1" s="87"/>
      <c r="IST1" s="87"/>
      <c r="ISU1" s="87"/>
      <c r="ISV1" s="87"/>
      <c r="ISW1" s="87"/>
      <c r="ISX1" s="87"/>
      <c r="ISY1" s="87"/>
      <c r="ISZ1" s="87"/>
      <c r="ITA1" s="87"/>
      <c r="ITB1" s="87"/>
      <c r="ITC1" s="87"/>
      <c r="ITD1" s="87"/>
      <c r="ITE1" s="87"/>
      <c r="ITF1" s="87"/>
      <c r="ITG1" s="87"/>
      <c r="ITH1" s="87"/>
      <c r="ITI1" s="87"/>
      <c r="ITJ1" s="87"/>
      <c r="ITK1" s="87"/>
      <c r="ITL1" s="87"/>
      <c r="ITM1" s="87"/>
      <c r="ITN1" s="87"/>
      <c r="ITO1" s="87"/>
      <c r="ITP1" s="87"/>
      <c r="ITQ1" s="87"/>
      <c r="ITR1" s="87"/>
      <c r="ITS1" s="87"/>
      <c r="ITT1" s="87"/>
      <c r="ITU1" s="87"/>
      <c r="ITV1" s="87"/>
      <c r="ITW1" s="87"/>
      <c r="ITX1" s="87"/>
      <c r="ITY1" s="87"/>
      <c r="ITZ1" s="87"/>
      <c r="IUA1" s="87"/>
      <c r="IUB1" s="87"/>
      <c r="IUC1" s="87"/>
      <c r="IUD1" s="87"/>
      <c r="IUE1" s="87"/>
      <c r="IUF1" s="87"/>
      <c r="IUG1" s="87"/>
      <c r="IUH1" s="87"/>
      <c r="IUI1" s="87"/>
      <c r="IUJ1" s="87"/>
      <c r="IUK1" s="87"/>
      <c r="IUL1" s="87"/>
      <c r="IUM1" s="87"/>
      <c r="IUN1" s="87"/>
      <c r="IUO1" s="87"/>
      <c r="IUP1" s="87"/>
      <c r="IUQ1" s="87"/>
      <c r="IUR1" s="87"/>
      <c r="IUS1" s="87"/>
      <c r="IUT1" s="87"/>
      <c r="IUU1" s="87"/>
      <c r="IUV1" s="87"/>
      <c r="IUW1" s="87"/>
      <c r="IUX1" s="87"/>
      <c r="IUY1" s="87"/>
      <c r="IUZ1" s="87"/>
      <c r="IVA1" s="87"/>
      <c r="IVB1" s="87"/>
      <c r="IVC1" s="87"/>
      <c r="IVD1" s="87"/>
      <c r="IVE1" s="87"/>
      <c r="IVF1" s="87"/>
      <c r="IVG1" s="87"/>
      <c r="IVH1" s="87"/>
      <c r="IVI1" s="87"/>
      <c r="IVJ1" s="87"/>
      <c r="IVK1" s="87"/>
      <c r="IVL1" s="87"/>
      <c r="IVM1" s="87"/>
      <c r="IVN1" s="87"/>
      <c r="IVO1" s="87"/>
      <c r="IVP1" s="87"/>
      <c r="IVQ1" s="87"/>
      <c r="IVR1" s="87"/>
      <c r="IVS1" s="87"/>
      <c r="IVT1" s="87"/>
      <c r="IVU1" s="87"/>
      <c r="IVV1" s="87"/>
      <c r="IVW1" s="87"/>
      <c r="IVX1" s="87"/>
      <c r="IVY1" s="87"/>
      <c r="IVZ1" s="87"/>
      <c r="IWA1" s="87"/>
      <c r="IWB1" s="87"/>
      <c r="IWC1" s="87"/>
      <c r="IWD1" s="87"/>
      <c r="IWE1" s="87"/>
      <c r="IWF1" s="87"/>
      <c r="IWG1" s="87"/>
      <c r="IWH1" s="87"/>
      <c r="IWI1" s="87"/>
      <c r="IWJ1" s="87"/>
      <c r="IWK1" s="87"/>
      <c r="IWL1" s="87"/>
      <c r="IWM1" s="87"/>
      <c r="IWN1" s="87"/>
      <c r="IWO1" s="87"/>
      <c r="IWP1" s="87"/>
      <c r="IWQ1" s="87"/>
      <c r="IWR1" s="87"/>
      <c r="IWS1" s="87"/>
      <c r="IWT1" s="87"/>
      <c r="IWU1" s="87"/>
      <c r="IWV1" s="87"/>
      <c r="IWW1" s="87"/>
      <c r="IWX1" s="87"/>
      <c r="IWY1" s="87"/>
      <c r="IWZ1" s="87"/>
      <c r="IXA1" s="87"/>
      <c r="IXB1" s="87"/>
      <c r="IXC1" s="87"/>
      <c r="IXD1" s="87"/>
      <c r="IXE1" s="87"/>
      <c r="IXF1" s="87"/>
      <c r="IXG1" s="87"/>
      <c r="IXH1" s="87"/>
      <c r="IXI1" s="87"/>
      <c r="IXJ1" s="87"/>
      <c r="IXK1" s="87"/>
      <c r="IXL1" s="87"/>
      <c r="IXM1" s="87"/>
      <c r="IXN1" s="87"/>
      <c r="IXO1" s="87"/>
      <c r="IXP1" s="87"/>
      <c r="IXQ1" s="87"/>
      <c r="IXR1" s="87"/>
      <c r="IXS1" s="87"/>
      <c r="IXT1" s="87"/>
      <c r="IXU1" s="87"/>
      <c r="IXV1" s="87"/>
      <c r="IXW1" s="87"/>
      <c r="IXX1" s="87"/>
      <c r="IXY1" s="87"/>
      <c r="IXZ1" s="87"/>
      <c r="IYA1" s="87"/>
      <c r="IYB1" s="87"/>
      <c r="IYC1" s="87"/>
      <c r="IYD1" s="87"/>
      <c r="IYE1" s="87"/>
      <c r="IYF1" s="87"/>
      <c r="IYG1" s="87"/>
      <c r="IYH1" s="87"/>
      <c r="IYI1" s="87"/>
      <c r="IYJ1" s="87"/>
      <c r="IYK1" s="87"/>
      <c r="IYL1" s="87"/>
      <c r="IYM1" s="87"/>
      <c r="IYN1" s="87"/>
      <c r="IYO1" s="87"/>
      <c r="IYP1" s="87"/>
      <c r="IYQ1" s="87"/>
      <c r="IYR1" s="87"/>
      <c r="IYS1" s="87"/>
      <c r="IYT1" s="87"/>
      <c r="IYU1" s="87"/>
      <c r="IYV1" s="87"/>
      <c r="IYW1" s="87"/>
      <c r="IYX1" s="87"/>
      <c r="IYY1" s="87"/>
      <c r="IYZ1" s="87"/>
      <c r="IZA1" s="87"/>
      <c r="IZB1" s="87"/>
      <c r="IZC1" s="87"/>
      <c r="IZD1" s="87"/>
      <c r="IZE1" s="87"/>
      <c r="IZF1" s="87"/>
      <c r="IZG1" s="87"/>
      <c r="IZH1" s="87"/>
      <c r="IZI1" s="87"/>
      <c r="IZJ1" s="87"/>
      <c r="IZK1" s="87"/>
      <c r="IZL1" s="87"/>
      <c r="IZM1" s="87"/>
      <c r="IZN1" s="87"/>
      <c r="IZO1" s="87"/>
      <c r="IZP1" s="87"/>
      <c r="IZQ1" s="87"/>
      <c r="IZR1" s="87"/>
      <c r="IZS1" s="87"/>
      <c r="IZT1" s="87"/>
      <c r="IZU1" s="87"/>
      <c r="IZV1" s="87"/>
      <c r="IZW1" s="87"/>
      <c r="IZX1" s="87"/>
      <c r="IZY1" s="87"/>
      <c r="IZZ1" s="87"/>
      <c r="JAA1" s="87"/>
      <c r="JAB1" s="87"/>
      <c r="JAC1" s="87"/>
      <c r="JAD1" s="87"/>
      <c r="JAE1" s="87"/>
      <c r="JAF1" s="87"/>
      <c r="JAG1" s="87"/>
      <c r="JAH1" s="87"/>
      <c r="JAI1" s="87"/>
      <c r="JAJ1" s="87"/>
      <c r="JAK1" s="87"/>
      <c r="JAL1" s="87"/>
      <c r="JAM1" s="87"/>
      <c r="JAN1" s="87"/>
      <c r="JAO1" s="87"/>
      <c r="JAP1" s="87"/>
      <c r="JAQ1" s="87"/>
      <c r="JAR1" s="87"/>
      <c r="JAS1" s="87"/>
      <c r="JAT1" s="87"/>
      <c r="JAU1" s="87"/>
      <c r="JAV1" s="87"/>
      <c r="JAW1" s="87"/>
      <c r="JAX1" s="87"/>
      <c r="JAY1" s="87"/>
      <c r="JAZ1" s="87"/>
      <c r="JBA1" s="87"/>
      <c r="JBB1" s="87"/>
      <c r="JBC1" s="87"/>
      <c r="JBD1" s="87"/>
      <c r="JBE1" s="87"/>
      <c r="JBF1" s="87"/>
      <c r="JBG1" s="87"/>
      <c r="JBH1" s="87"/>
      <c r="JBI1" s="87"/>
      <c r="JBJ1" s="87"/>
      <c r="JBK1" s="87"/>
      <c r="JBL1" s="87"/>
      <c r="JBM1" s="87"/>
      <c r="JBN1" s="87"/>
      <c r="JBO1" s="87"/>
      <c r="JBP1" s="87"/>
      <c r="JBQ1" s="87"/>
      <c r="JBR1" s="87"/>
      <c r="JBS1" s="87"/>
      <c r="JBT1" s="87"/>
      <c r="JBU1" s="87"/>
      <c r="JBV1" s="87"/>
      <c r="JBW1" s="87"/>
      <c r="JBX1" s="87"/>
      <c r="JBY1" s="87"/>
      <c r="JBZ1" s="87"/>
      <c r="JCA1" s="87"/>
      <c r="JCB1" s="87"/>
      <c r="JCC1" s="87"/>
      <c r="JCD1" s="87"/>
      <c r="JCE1" s="87"/>
      <c r="JCF1" s="87"/>
      <c r="JCG1" s="87"/>
      <c r="JCH1" s="87"/>
      <c r="JCI1" s="87"/>
      <c r="JCJ1" s="87"/>
      <c r="JCK1" s="87"/>
      <c r="JCL1" s="87"/>
      <c r="JCM1" s="87"/>
      <c r="JCN1" s="87"/>
      <c r="JCO1" s="87"/>
      <c r="JCP1" s="87"/>
      <c r="JCQ1" s="87"/>
      <c r="JCR1" s="87"/>
      <c r="JCS1" s="87"/>
      <c r="JCT1" s="87"/>
      <c r="JCU1" s="87"/>
      <c r="JCV1" s="87"/>
      <c r="JCW1" s="87"/>
      <c r="JCX1" s="87"/>
      <c r="JCY1" s="87"/>
      <c r="JCZ1" s="87"/>
      <c r="JDA1" s="87"/>
      <c r="JDB1" s="87"/>
      <c r="JDC1" s="87"/>
      <c r="JDD1" s="87"/>
      <c r="JDE1" s="87"/>
      <c r="JDF1" s="87"/>
      <c r="JDG1" s="87"/>
      <c r="JDH1" s="87"/>
      <c r="JDI1" s="87"/>
      <c r="JDJ1" s="87"/>
      <c r="JDK1" s="87"/>
      <c r="JDL1" s="87"/>
      <c r="JDM1" s="87"/>
      <c r="JDN1" s="87"/>
      <c r="JDO1" s="87"/>
      <c r="JDP1" s="87"/>
      <c r="JDQ1" s="87"/>
      <c r="JDR1" s="87"/>
      <c r="JDS1" s="87"/>
      <c r="JDT1" s="87"/>
      <c r="JDU1" s="87"/>
      <c r="JDV1" s="87"/>
      <c r="JDW1" s="87"/>
      <c r="JDX1" s="87"/>
      <c r="JDY1" s="87"/>
      <c r="JDZ1" s="87"/>
      <c r="JEA1" s="87"/>
      <c r="JEB1" s="87"/>
      <c r="JEC1" s="87"/>
      <c r="JED1" s="87"/>
      <c r="JEE1" s="87"/>
      <c r="JEF1" s="87"/>
      <c r="JEG1" s="87"/>
      <c r="JEH1" s="87"/>
      <c r="JEI1" s="87"/>
      <c r="JEJ1" s="87"/>
      <c r="JEK1" s="87"/>
      <c r="JEL1" s="87"/>
      <c r="JEM1" s="87"/>
      <c r="JEN1" s="87"/>
      <c r="JEO1" s="87"/>
      <c r="JEP1" s="87"/>
      <c r="JEQ1" s="87"/>
      <c r="JER1" s="87"/>
      <c r="JES1" s="87"/>
      <c r="JET1" s="87"/>
      <c r="JEU1" s="87"/>
      <c r="JEV1" s="87"/>
      <c r="JEW1" s="87"/>
      <c r="JEX1" s="87"/>
      <c r="JEY1" s="87"/>
      <c r="JEZ1" s="87"/>
      <c r="JFA1" s="87"/>
      <c r="JFB1" s="87"/>
      <c r="JFC1" s="87"/>
      <c r="JFD1" s="87"/>
      <c r="JFE1" s="87"/>
      <c r="JFF1" s="87"/>
      <c r="JFG1" s="87"/>
      <c r="JFH1" s="87"/>
      <c r="JFI1" s="87"/>
      <c r="JFJ1" s="87"/>
      <c r="JFK1" s="87"/>
      <c r="JFL1" s="87"/>
      <c r="JFM1" s="87"/>
      <c r="JFN1" s="87"/>
      <c r="JFO1" s="87"/>
      <c r="JFP1" s="87"/>
      <c r="JFQ1" s="87"/>
      <c r="JFR1" s="87"/>
      <c r="JFS1" s="87"/>
      <c r="JFT1" s="87"/>
      <c r="JFU1" s="87"/>
      <c r="JFV1" s="87"/>
      <c r="JFW1" s="87"/>
      <c r="JFX1" s="87"/>
      <c r="JFY1" s="87"/>
      <c r="JFZ1" s="87"/>
      <c r="JGA1" s="87"/>
      <c r="JGB1" s="87"/>
      <c r="JGC1" s="87"/>
      <c r="JGD1" s="87"/>
      <c r="JGE1" s="87"/>
      <c r="JGF1" s="87"/>
      <c r="JGG1" s="87"/>
      <c r="JGH1" s="87"/>
      <c r="JGI1" s="87"/>
      <c r="JGJ1" s="87"/>
      <c r="JGK1" s="87"/>
      <c r="JGL1" s="87"/>
      <c r="JGM1" s="87"/>
      <c r="JGN1" s="87"/>
      <c r="JGO1" s="87"/>
      <c r="JGP1" s="87"/>
      <c r="JGQ1" s="87"/>
      <c r="JGR1" s="87"/>
      <c r="JGS1" s="87"/>
      <c r="JGT1" s="87"/>
      <c r="JGU1" s="87"/>
      <c r="JGV1" s="87"/>
      <c r="JGW1" s="87"/>
      <c r="JGX1" s="87"/>
      <c r="JGY1" s="87"/>
      <c r="JGZ1" s="87"/>
      <c r="JHA1" s="87"/>
      <c r="JHB1" s="87"/>
      <c r="JHC1" s="87"/>
      <c r="JHD1" s="87"/>
      <c r="JHE1" s="87"/>
      <c r="JHF1" s="87"/>
      <c r="JHG1" s="87"/>
      <c r="JHH1" s="87"/>
      <c r="JHI1" s="87"/>
      <c r="JHJ1" s="87"/>
      <c r="JHK1" s="87"/>
      <c r="JHL1" s="87"/>
      <c r="JHM1" s="87"/>
      <c r="JHN1" s="87"/>
      <c r="JHO1" s="87"/>
      <c r="JHP1" s="87"/>
      <c r="JHQ1" s="87"/>
      <c r="JHR1" s="87"/>
      <c r="JHS1" s="87"/>
      <c r="JHT1" s="87"/>
      <c r="JHU1" s="87"/>
      <c r="JHV1" s="87"/>
      <c r="JHW1" s="87"/>
      <c r="JHX1" s="87"/>
      <c r="JHY1" s="87"/>
      <c r="JHZ1" s="87"/>
      <c r="JIA1" s="87"/>
      <c r="JIB1" s="87"/>
      <c r="JIC1" s="87"/>
      <c r="JID1" s="87"/>
      <c r="JIE1" s="87"/>
      <c r="JIF1" s="87"/>
      <c r="JIG1" s="87"/>
      <c r="JIH1" s="87"/>
      <c r="JII1" s="87"/>
      <c r="JIJ1" s="87"/>
      <c r="JIK1" s="87"/>
      <c r="JIL1" s="87"/>
      <c r="JIM1" s="87"/>
      <c r="JIN1" s="87"/>
      <c r="JIO1" s="87"/>
      <c r="JIP1" s="87"/>
      <c r="JIQ1" s="87"/>
      <c r="JIR1" s="87"/>
      <c r="JIS1" s="87"/>
      <c r="JIT1" s="87"/>
      <c r="JIU1" s="87"/>
      <c r="JIV1" s="87"/>
      <c r="JIW1" s="87"/>
      <c r="JIX1" s="87"/>
      <c r="JIY1" s="87"/>
      <c r="JIZ1" s="87"/>
      <c r="JJA1" s="87"/>
      <c r="JJB1" s="87"/>
      <c r="JJC1" s="87"/>
      <c r="JJD1" s="87"/>
      <c r="JJE1" s="87"/>
      <c r="JJF1" s="87"/>
      <c r="JJG1" s="87"/>
      <c r="JJH1" s="87"/>
      <c r="JJI1" s="87"/>
      <c r="JJJ1" s="87"/>
      <c r="JJK1" s="87"/>
      <c r="JJL1" s="87"/>
      <c r="JJM1" s="87"/>
      <c r="JJN1" s="87"/>
      <c r="JJO1" s="87"/>
      <c r="JJP1" s="87"/>
      <c r="JJQ1" s="87"/>
      <c r="JJR1" s="87"/>
      <c r="JJS1" s="87"/>
      <c r="JJT1" s="87"/>
      <c r="JJU1" s="87"/>
      <c r="JJV1" s="87"/>
      <c r="JJW1" s="87"/>
      <c r="JJX1" s="87"/>
      <c r="JJY1" s="87"/>
      <c r="JJZ1" s="87"/>
      <c r="JKA1" s="87"/>
      <c r="JKB1" s="87"/>
      <c r="JKC1" s="87"/>
      <c r="JKD1" s="87"/>
      <c r="JKE1" s="87"/>
      <c r="JKF1" s="87"/>
      <c r="JKG1" s="87"/>
      <c r="JKH1" s="87"/>
      <c r="JKI1" s="87"/>
      <c r="JKJ1" s="87"/>
      <c r="JKK1" s="87"/>
      <c r="JKL1" s="87"/>
      <c r="JKM1" s="87"/>
      <c r="JKN1" s="87"/>
      <c r="JKO1" s="87"/>
      <c r="JKP1" s="87"/>
      <c r="JKQ1" s="87"/>
      <c r="JKR1" s="87"/>
      <c r="JKS1" s="87"/>
      <c r="JKT1" s="87"/>
      <c r="JKU1" s="87"/>
      <c r="JKV1" s="87"/>
      <c r="JKW1" s="87"/>
      <c r="JKX1" s="87"/>
      <c r="JKY1" s="87"/>
      <c r="JKZ1" s="87"/>
      <c r="JLA1" s="87"/>
      <c r="JLB1" s="87"/>
      <c r="JLC1" s="87"/>
      <c r="JLD1" s="87"/>
      <c r="JLE1" s="87"/>
      <c r="JLF1" s="87"/>
      <c r="JLG1" s="87"/>
      <c r="JLH1" s="87"/>
      <c r="JLI1" s="87"/>
      <c r="JLJ1" s="87"/>
      <c r="JLK1" s="87"/>
      <c r="JLL1" s="87"/>
      <c r="JLM1" s="87"/>
      <c r="JLN1" s="87"/>
      <c r="JLO1" s="87"/>
      <c r="JLP1" s="87"/>
      <c r="JLQ1" s="87"/>
      <c r="JLR1" s="87"/>
      <c r="JLS1" s="87"/>
      <c r="JLT1" s="87"/>
      <c r="JLU1" s="87"/>
      <c r="JLV1" s="87"/>
      <c r="JLW1" s="87"/>
      <c r="JLX1" s="87"/>
      <c r="JLY1" s="87"/>
      <c r="JLZ1" s="87"/>
      <c r="JMA1" s="87"/>
      <c r="JMB1" s="87"/>
      <c r="JMC1" s="87"/>
      <c r="JMD1" s="87"/>
      <c r="JME1" s="87"/>
      <c r="JMF1" s="87"/>
      <c r="JMG1" s="87"/>
      <c r="JMH1" s="87"/>
      <c r="JMI1" s="87"/>
      <c r="JMJ1" s="87"/>
      <c r="JMK1" s="87"/>
      <c r="JML1" s="87"/>
      <c r="JMM1" s="87"/>
      <c r="JMN1" s="87"/>
      <c r="JMO1" s="87"/>
      <c r="JMP1" s="87"/>
      <c r="JMQ1" s="87"/>
      <c r="JMR1" s="87"/>
      <c r="JMS1" s="87"/>
      <c r="JMT1" s="87"/>
      <c r="JMU1" s="87"/>
      <c r="JMV1" s="87"/>
      <c r="JMW1" s="87"/>
      <c r="JMX1" s="87"/>
      <c r="JMY1" s="87"/>
      <c r="JMZ1" s="87"/>
      <c r="JNA1" s="87"/>
      <c r="JNB1" s="87"/>
      <c r="JNC1" s="87"/>
      <c r="JND1" s="87"/>
      <c r="JNE1" s="87"/>
      <c r="JNF1" s="87"/>
      <c r="JNG1" s="87"/>
      <c r="JNH1" s="87"/>
      <c r="JNI1" s="87"/>
      <c r="JNJ1" s="87"/>
      <c r="JNK1" s="87"/>
      <c r="JNL1" s="87"/>
      <c r="JNM1" s="87"/>
      <c r="JNN1" s="87"/>
      <c r="JNO1" s="87"/>
      <c r="JNP1" s="87"/>
      <c r="JNQ1" s="87"/>
      <c r="JNR1" s="87"/>
      <c r="JNS1" s="87"/>
      <c r="JNT1" s="87"/>
      <c r="JNU1" s="87"/>
      <c r="JNV1" s="87"/>
      <c r="JNW1" s="87"/>
      <c r="JNX1" s="87"/>
      <c r="JNY1" s="87"/>
      <c r="JNZ1" s="87"/>
      <c r="JOA1" s="87"/>
      <c r="JOB1" s="87"/>
      <c r="JOC1" s="87"/>
      <c r="JOD1" s="87"/>
      <c r="JOE1" s="87"/>
      <c r="JOF1" s="87"/>
      <c r="JOG1" s="87"/>
      <c r="JOH1" s="87"/>
      <c r="JOI1" s="87"/>
      <c r="JOJ1" s="87"/>
      <c r="JOK1" s="87"/>
      <c r="JOL1" s="87"/>
      <c r="JOM1" s="87"/>
      <c r="JON1" s="87"/>
      <c r="JOO1" s="87"/>
      <c r="JOP1" s="87"/>
      <c r="JOQ1" s="87"/>
      <c r="JOR1" s="87"/>
      <c r="JOS1" s="87"/>
      <c r="JOT1" s="87"/>
      <c r="JOU1" s="87"/>
      <c r="JOV1" s="87"/>
      <c r="JOW1" s="87"/>
      <c r="JOX1" s="87"/>
      <c r="JOY1" s="87"/>
      <c r="JOZ1" s="87"/>
      <c r="JPA1" s="87"/>
      <c r="JPB1" s="87"/>
      <c r="JPC1" s="87"/>
      <c r="JPD1" s="87"/>
      <c r="JPE1" s="87"/>
      <c r="JPF1" s="87"/>
      <c r="JPG1" s="87"/>
      <c r="JPH1" s="87"/>
      <c r="JPI1" s="87"/>
      <c r="JPJ1" s="87"/>
      <c r="JPK1" s="87"/>
      <c r="JPL1" s="87"/>
      <c r="JPM1" s="87"/>
      <c r="JPN1" s="87"/>
      <c r="JPO1" s="87"/>
      <c r="JPP1" s="87"/>
      <c r="JPQ1" s="87"/>
      <c r="JPR1" s="87"/>
      <c r="JPS1" s="87"/>
      <c r="JPT1" s="87"/>
      <c r="JPU1" s="87"/>
      <c r="JPV1" s="87"/>
      <c r="JPW1" s="87"/>
      <c r="JPX1" s="87"/>
      <c r="JPY1" s="87"/>
      <c r="JPZ1" s="87"/>
      <c r="JQA1" s="87"/>
      <c r="JQB1" s="87"/>
      <c r="JQC1" s="87"/>
      <c r="JQD1" s="87"/>
      <c r="JQE1" s="87"/>
      <c r="JQF1" s="87"/>
      <c r="JQG1" s="87"/>
      <c r="JQH1" s="87"/>
      <c r="JQI1" s="87"/>
      <c r="JQJ1" s="87"/>
      <c r="JQK1" s="87"/>
      <c r="JQL1" s="87"/>
      <c r="JQM1" s="87"/>
      <c r="JQN1" s="87"/>
      <c r="JQO1" s="87"/>
      <c r="JQP1" s="87"/>
      <c r="JQQ1" s="87"/>
      <c r="JQR1" s="87"/>
      <c r="JQS1" s="87"/>
      <c r="JQT1" s="87"/>
      <c r="JQU1" s="87"/>
      <c r="JQV1" s="87"/>
      <c r="JQW1" s="87"/>
      <c r="JQX1" s="87"/>
      <c r="JQY1" s="87"/>
      <c r="JQZ1" s="87"/>
      <c r="JRA1" s="87"/>
      <c r="JRB1" s="87"/>
      <c r="JRC1" s="87"/>
      <c r="JRD1" s="87"/>
      <c r="JRE1" s="87"/>
      <c r="JRF1" s="87"/>
      <c r="JRG1" s="87"/>
      <c r="JRH1" s="87"/>
      <c r="JRI1" s="87"/>
      <c r="JRJ1" s="87"/>
      <c r="JRK1" s="87"/>
      <c r="JRL1" s="87"/>
      <c r="JRM1" s="87"/>
      <c r="JRN1" s="87"/>
      <c r="JRO1" s="87"/>
      <c r="JRP1" s="87"/>
      <c r="JRQ1" s="87"/>
      <c r="JRR1" s="87"/>
      <c r="JRS1" s="87"/>
      <c r="JRT1" s="87"/>
      <c r="JRU1" s="87"/>
      <c r="JRV1" s="87"/>
      <c r="JRW1" s="87"/>
      <c r="JRX1" s="87"/>
      <c r="JRY1" s="87"/>
      <c r="JRZ1" s="87"/>
      <c r="JSA1" s="87"/>
      <c r="JSB1" s="87"/>
      <c r="JSC1" s="87"/>
      <c r="JSD1" s="87"/>
      <c r="JSE1" s="87"/>
      <c r="JSF1" s="87"/>
      <c r="JSG1" s="87"/>
      <c r="JSH1" s="87"/>
      <c r="JSI1" s="87"/>
      <c r="JSJ1" s="87"/>
      <c r="JSK1" s="87"/>
      <c r="JSL1" s="87"/>
      <c r="JSM1" s="87"/>
      <c r="JSN1" s="87"/>
      <c r="JSO1" s="87"/>
      <c r="JSP1" s="87"/>
      <c r="JSQ1" s="87"/>
      <c r="JSR1" s="87"/>
      <c r="JSS1" s="87"/>
      <c r="JST1" s="87"/>
      <c r="JSU1" s="87"/>
      <c r="JSV1" s="87"/>
      <c r="JSW1" s="87"/>
      <c r="JSX1" s="87"/>
      <c r="JSY1" s="87"/>
      <c r="JSZ1" s="87"/>
      <c r="JTA1" s="87"/>
      <c r="JTB1" s="87"/>
      <c r="JTC1" s="87"/>
      <c r="JTD1" s="87"/>
      <c r="JTE1" s="87"/>
      <c r="JTF1" s="87"/>
      <c r="JTG1" s="87"/>
      <c r="JTH1" s="87"/>
      <c r="JTI1" s="87"/>
      <c r="JTJ1" s="87"/>
      <c r="JTK1" s="87"/>
      <c r="JTL1" s="87"/>
      <c r="JTM1" s="87"/>
      <c r="JTN1" s="87"/>
      <c r="JTO1" s="87"/>
      <c r="JTP1" s="87"/>
      <c r="JTQ1" s="87"/>
      <c r="JTR1" s="87"/>
      <c r="JTS1" s="87"/>
      <c r="JTT1" s="87"/>
      <c r="JTU1" s="87"/>
      <c r="JTV1" s="87"/>
      <c r="JTW1" s="87"/>
      <c r="JTX1" s="87"/>
      <c r="JTY1" s="87"/>
      <c r="JTZ1" s="87"/>
      <c r="JUA1" s="87"/>
      <c r="JUB1" s="87"/>
      <c r="JUC1" s="87"/>
      <c r="JUD1" s="87"/>
      <c r="JUE1" s="87"/>
      <c r="JUF1" s="87"/>
      <c r="JUG1" s="87"/>
      <c r="JUH1" s="87"/>
      <c r="JUI1" s="87"/>
      <c r="JUJ1" s="87"/>
      <c r="JUK1" s="87"/>
      <c r="JUL1" s="87"/>
      <c r="JUM1" s="87"/>
      <c r="JUN1" s="87"/>
      <c r="JUO1" s="87"/>
      <c r="JUP1" s="87"/>
      <c r="JUQ1" s="87"/>
      <c r="JUR1" s="87"/>
      <c r="JUS1" s="87"/>
      <c r="JUT1" s="87"/>
      <c r="JUU1" s="87"/>
      <c r="JUV1" s="87"/>
      <c r="JUW1" s="87"/>
      <c r="JUX1" s="87"/>
      <c r="JUY1" s="87"/>
      <c r="JUZ1" s="87"/>
      <c r="JVA1" s="87"/>
      <c r="JVB1" s="87"/>
      <c r="JVC1" s="87"/>
      <c r="JVD1" s="87"/>
      <c r="JVE1" s="87"/>
      <c r="JVF1" s="87"/>
      <c r="JVG1" s="87"/>
      <c r="JVH1" s="87"/>
      <c r="JVI1" s="87"/>
      <c r="JVJ1" s="87"/>
      <c r="JVK1" s="87"/>
      <c r="JVL1" s="87"/>
      <c r="JVM1" s="87"/>
      <c r="JVN1" s="87"/>
      <c r="JVO1" s="87"/>
      <c r="JVP1" s="87"/>
      <c r="JVQ1" s="87"/>
      <c r="JVR1" s="87"/>
      <c r="JVS1" s="87"/>
      <c r="JVT1" s="87"/>
      <c r="JVU1" s="87"/>
      <c r="JVV1" s="87"/>
      <c r="JVW1" s="87"/>
      <c r="JVX1" s="87"/>
      <c r="JVY1" s="87"/>
      <c r="JVZ1" s="87"/>
      <c r="JWA1" s="87"/>
      <c r="JWB1" s="87"/>
      <c r="JWC1" s="87"/>
      <c r="JWD1" s="87"/>
      <c r="JWE1" s="87"/>
      <c r="JWF1" s="87"/>
      <c r="JWG1" s="87"/>
      <c r="JWH1" s="87"/>
      <c r="JWI1" s="87"/>
      <c r="JWJ1" s="87"/>
      <c r="JWK1" s="87"/>
      <c r="JWL1" s="87"/>
      <c r="JWM1" s="87"/>
      <c r="JWN1" s="87"/>
      <c r="JWO1" s="87"/>
      <c r="JWP1" s="87"/>
      <c r="JWQ1" s="87"/>
      <c r="JWR1" s="87"/>
      <c r="JWS1" s="87"/>
      <c r="JWT1" s="87"/>
      <c r="JWU1" s="87"/>
      <c r="JWV1" s="87"/>
      <c r="JWW1" s="87"/>
      <c r="JWX1" s="87"/>
      <c r="JWY1" s="87"/>
      <c r="JWZ1" s="87"/>
      <c r="JXA1" s="87"/>
      <c r="JXB1" s="87"/>
      <c r="JXC1" s="87"/>
      <c r="JXD1" s="87"/>
      <c r="JXE1" s="87"/>
      <c r="JXF1" s="87"/>
      <c r="JXG1" s="87"/>
      <c r="JXH1" s="87"/>
      <c r="JXI1" s="87"/>
      <c r="JXJ1" s="87"/>
      <c r="JXK1" s="87"/>
      <c r="JXL1" s="87"/>
      <c r="JXM1" s="87"/>
      <c r="JXN1" s="87"/>
      <c r="JXO1" s="87"/>
      <c r="JXP1" s="87"/>
      <c r="JXQ1" s="87"/>
      <c r="JXR1" s="87"/>
      <c r="JXS1" s="87"/>
      <c r="JXT1" s="87"/>
      <c r="JXU1" s="87"/>
      <c r="JXV1" s="87"/>
      <c r="JXW1" s="87"/>
      <c r="JXX1" s="87"/>
      <c r="JXY1" s="87"/>
      <c r="JXZ1" s="87"/>
      <c r="JYA1" s="87"/>
      <c r="JYB1" s="87"/>
      <c r="JYC1" s="87"/>
      <c r="JYD1" s="87"/>
      <c r="JYE1" s="87"/>
      <c r="JYF1" s="87"/>
      <c r="JYG1" s="87"/>
      <c r="JYH1" s="87"/>
      <c r="JYI1" s="87"/>
      <c r="JYJ1" s="87"/>
      <c r="JYK1" s="87"/>
      <c r="JYL1" s="87"/>
      <c r="JYM1" s="87"/>
      <c r="JYN1" s="87"/>
      <c r="JYO1" s="87"/>
      <c r="JYP1" s="87"/>
      <c r="JYQ1" s="87"/>
      <c r="JYR1" s="87"/>
      <c r="JYS1" s="87"/>
      <c r="JYT1" s="87"/>
      <c r="JYU1" s="87"/>
      <c r="JYV1" s="87"/>
      <c r="JYW1" s="87"/>
      <c r="JYX1" s="87"/>
      <c r="JYY1" s="87"/>
      <c r="JYZ1" s="87"/>
      <c r="JZA1" s="87"/>
      <c r="JZB1" s="87"/>
      <c r="JZC1" s="87"/>
      <c r="JZD1" s="87"/>
      <c r="JZE1" s="87"/>
      <c r="JZF1" s="87"/>
      <c r="JZG1" s="87"/>
      <c r="JZH1" s="87"/>
      <c r="JZI1" s="87"/>
      <c r="JZJ1" s="87"/>
      <c r="JZK1" s="87"/>
      <c r="JZL1" s="87"/>
      <c r="JZM1" s="87"/>
      <c r="JZN1" s="87"/>
      <c r="JZO1" s="87"/>
      <c r="JZP1" s="87"/>
      <c r="JZQ1" s="87"/>
      <c r="JZR1" s="87"/>
      <c r="JZS1" s="87"/>
      <c r="JZT1" s="87"/>
      <c r="JZU1" s="87"/>
      <c r="JZV1" s="87"/>
      <c r="JZW1" s="87"/>
      <c r="JZX1" s="87"/>
      <c r="JZY1" s="87"/>
      <c r="JZZ1" s="87"/>
      <c r="KAA1" s="87"/>
      <c r="KAB1" s="87"/>
      <c r="KAC1" s="87"/>
      <c r="KAD1" s="87"/>
      <c r="KAE1" s="87"/>
      <c r="KAF1" s="87"/>
      <c r="KAG1" s="87"/>
      <c r="KAH1" s="87"/>
      <c r="KAI1" s="87"/>
      <c r="KAJ1" s="87"/>
      <c r="KAK1" s="87"/>
      <c r="KAL1" s="87"/>
      <c r="KAM1" s="87"/>
      <c r="KAN1" s="87"/>
      <c r="KAO1" s="87"/>
      <c r="KAP1" s="87"/>
      <c r="KAQ1" s="87"/>
      <c r="KAR1" s="87"/>
      <c r="KAS1" s="87"/>
      <c r="KAT1" s="87"/>
      <c r="KAU1" s="87"/>
      <c r="KAV1" s="87"/>
      <c r="KAW1" s="87"/>
      <c r="KAX1" s="87"/>
      <c r="KAY1" s="87"/>
      <c r="KAZ1" s="87"/>
      <c r="KBA1" s="87"/>
      <c r="KBB1" s="87"/>
      <c r="KBC1" s="87"/>
      <c r="KBD1" s="87"/>
      <c r="KBE1" s="87"/>
      <c r="KBF1" s="87"/>
      <c r="KBG1" s="87"/>
      <c r="KBH1" s="87"/>
      <c r="KBI1" s="87"/>
      <c r="KBJ1" s="87"/>
      <c r="KBK1" s="87"/>
      <c r="KBL1" s="87"/>
      <c r="KBM1" s="87"/>
      <c r="KBN1" s="87"/>
      <c r="KBO1" s="87"/>
      <c r="KBP1" s="87"/>
      <c r="KBQ1" s="87"/>
      <c r="KBR1" s="87"/>
      <c r="KBS1" s="87"/>
      <c r="KBT1" s="87"/>
      <c r="KBU1" s="87"/>
      <c r="KBV1" s="87"/>
      <c r="KBW1" s="87"/>
      <c r="KBX1" s="87"/>
      <c r="KBY1" s="87"/>
      <c r="KBZ1" s="87"/>
      <c r="KCA1" s="87"/>
      <c r="KCB1" s="87"/>
      <c r="KCC1" s="87"/>
      <c r="KCD1" s="87"/>
      <c r="KCE1" s="87"/>
      <c r="KCF1" s="87"/>
      <c r="KCG1" s="87"/>
      <c r="KCH1" s="87"/>
      <c r="KCI1" s="87"/>
      <c r="KCJ1" s="87"/>
      <c r="KCK1" s="87"/>
      <c r="KCL1" s="87"/>
      <c r="KCM1" s="87"/>
      <c r="KCN1" s="87"/>
      <c r="KCO1" s="87"/>
      <c r="KCP1" s="87"/>
      <c r="KCQ1" s="87"/>
      <c r="KCR1" s="87"/>
      <c r="KCS1" s="87"/>
      <c r="KCT1" s="87"/>
      <c r="KCU1" s="87"/>
      <c r="KCV1" s="87"/>
      <c r="KCW1" s="87"/>
      <c r="KCX1" s="87"/>
      <c r="KCY1" s="87"/>
      <c r="KCZ1" s="87"/>
      <c r="KDA1" s="87"/>
      <c r="KDB1" s="87"/>
      <c r="KDC1" s="87"/>
      <c r="KDD1" s="87"/>
      <c r="KDE1" s="87"/>
      <c r="KDF1" s="87"/>
      <c r="KDG1" s="87"/>
      <c r="KDH1" s="87"/>
      <c r="KDI1" s="87"/>
      <c r="KDJ1" s="87"/>
      <c r="KDK1" s="87"/>
      <c r="KDL1" s="87"/>
      <c r="KDM1" s="87"/>
      <c r="KDN1" s="87"/>
      <c r="KDO1" s="87"/>
      <c r="KDP1" s="87"/>
      <c r="KDQ1" s="87"/>
      <c r="KDR1" s="87"/>
      <c r="KDS1" s="87"/>
      <c r="KDT1" s="87"/>
      <c r="KDU1" s="87"/>
      <c r="KDV1" s="87"/>
      <c r="KDW1" s="87"/>
      <c r="KDX1" s="87"/>
      <c r="KDY1" s="87"/>
      <c r="KDZ1" s="87"/>
      <c r="KEA1" s="87"/>
      <c r="KEB1" s="87"/>
      <c r="KEC1" s="87"/>
      <c r="KED1" s="87"/>
      <c r="KEE1" s="87"/>
      <c r="KEF1" s="87"/>
      <c r="KEG1" s="87"/>
      <c r="KEH1" s="87"/>
      <c r="KEI1" s="87"/>
      <c r="KEJ1" s="87"/>
      <c r="KEK1" s="87"/>
      <c r="KEL1" s="87"/>
      <c r="KEM1" s="87"/>
      <c r="KEN1" s="87"/>
      <c r="KEO1" s="87"/>
      <c r="KEP1" s="87"/>
      <c r="KEQ1" s="87"/>
      <c r="KER1" s="87"/>
      <c r="KES1" s="87"/>
      <c r="KET1" s="87"/>
      <c r="KEU1" s="87"/>
      <c r="KEV1" s="87"/>
      <c r="KEW1" s="87"/>
      <c r="KEX1" s="87"/>
      <c r="KEY1" s="87"/>
      <c r="KEZ1" s="87"/>
      <c r="KFA1" s="87"/>
      <c r="KFB1" s="87"/>
      <c r="KFC1" s="87"/>
      <c r="KFD1" s="87"/>
      <c r="KFE1" s="87"/>
      <c r="KFF1" s="87"/>
      <c r="KFG1" s="87"/>
      <c r="KFH1" s="87"/>
      <c r="KFI1" s="87"/>
      <c r="KFJ1" s="87"/>
      <c r="KFK1" s="87"/>
      <c r="KFL1" s="87"/>
      <c r="KFM1" s="87"/>
      <c r="KFN1" s="87"/>
      <c r="KFO1" s="87"/>
      <c r="KFP1" s="87"/>
      <c r="KFQ1" s="87"/>
      <c r="KFR1" s="87"/>
      <c r="KFS1" s="87"/>
      <c r="KFT1" s="87"/>
      <c r="KFU1" s="87"/>
      <c r="KFV1" s="87"/>
      <c r="KFW1" s="87"/>
      <c r="KFX1" s="87"/>
      <c r="KFY1" s="87"/>
      <c r="KFZ1" s="87"/>
      <c r="KGA1" s="87"/>
      <c r="KGB1" s="87"/>
      <c r="KGC1" s="87"/>
      <c r="KGD1" s="87"/>
      <c r="KGE1" s="87"/>
      <c r="KGF1" s="87"/>
      <c r="KGG1" s="87"/>
      <c r="KGH1" s="87"/>
      <c r="KGI1" s="87"/>
      <c r="KGJ1" s="87"/>
      <c r="KGK1" s="87"/>
      <c r="KGL1" s="87"/>
      <c r="KGM1" s="87"/>
      <c r="KGN1" s="87"/>
      <c r="KGO1" s="87"/>
      <c r="KGP1" s="87"/>
      <c r="KGQ1" s="87"/>
      <c r="KGR1" s="87"/>
      <c r="KGS1" s="87"/>
      <c r="KGT1" s="87"/>
      <c r="KGU1" s="87"/>
      <c r="KGV1" s="87"/>
      <c r="KGW1" s="87"/>
      <c r="KGX1" s="87"/>
      <c r="KGY1" s="87"/>
      <c r="KGZ1" s="87"/>
      <c r="KHA1" s="87"/>
      <c r="KHB1" s="87"/>
      <c r="KHC1" s="87"/>
      <c r="KHD1" s="87"/>
      <c r="KHE1" s="87"/>
      <c r="KHF1" s="87"/>
      <c r="KHG1" s="87"/>
      <c r="KHH1" s="87"/>
      <c r="KHI1" s="87"/>
      <c r="KHJ1" s="87"/>
      <c r="KHK1" s="87"/>
      <c r="KHL1" s="87"/>
      <c r="KHM1" s="87"/>
      <c r="KHN1" s="87"/>
      <c r="KHO1" s="87"/>
      <c r="KHP1" s="87"/>
      <c r="KHQ1" s="87"/>
      <c r="KHR1" s="87"/>
      <c r="KHS1" s="87"/>
      <c r="KHT1" s="87"/>
      <c r="KHU1" s="87"/>
      <c r="KHV1" s="87"/>
      <c r="KHW1" s="87"/>
      <c r="KHX1" s="87"/>
      <c r="KHY1" s="87"/>
      <c r="KHZ1" s="87"/>
      <c r="KIA1" s="87"/>
      <c r="KIB1" s="87"/>
      <c r="KIC1" s="87"/>
      <c r="KID1" s="87"/>
      <c r="KIE1" s="87"/>
      <c r="KIF1" s="87"/>
      <c r="KIG1" s="87"/>
      <c r="KIH1" s="87"/>
      <c r="KII1" s="87"/>
      <c r="KIJ1" s="87"/>
      <c r="KIK1" s="87"/>
      <c r="KIL1" s="87"/>
      <c r="KIM1" s="87"/>
      <c r="KIN1" s="87"/>
      <c r="KIO1" s="87"/>
      <c r="KIP1" s="87"/>
      <c r="KIQ1" s="87"/>
      <c r="KIR1" s="87"/>
      <c r="KIS1" s="87"/>
      <c r="KIT1" s="87"/>
      <c r="KIU1" s="87"/>
      <c r="KIV1" s="87"/>
      <c r="KIW1" s="87"/>
      <c r="KIX1" s="87"/>
      <c r="KIY1" s="87"/>
      <c r="KIZ1" s="87"/>
      <c r="KJA1" s="87"/>
      <c r="KJB1" s="87"/>
      <c r="KJC1" s="87"/>
      <c r="KJD1" s="87"/>
      <c r="KJE1" s="87"/>
      <c r="KJF1" s="87"/>
      <c r="KJG1" s="87"/>
      <c r="KJH1" s="87"/>
      <c r="KJI1" s="87"/>
      <c r="KJJ1" s="87"/>
      <c r="KJK1" s="87"/>
      <c r="KJL1" s="87"/>
      <c r="KJM1" s="87"/>
      <c r="KJN1" s="87"/>
      <c r="KJO1" s="87"/>
      <c r="KJP1" s="87"/>
      <c r="KJQ1" s="87"/>
      <c r="KJR1" s="87"/>
      <c r="KJS1" s="87"/>
      <c r="KJT1" s="87"/>
      <c r="KJU1" s="87"/>
      <c r="KJV1" s="87"/>
      <c r="KJW1" s="87"/>
      <c r="KJX1" s="87"/>
      <c r="KJY1" s="87"/>
      <c r="KJZ1" s="87"/>
      <c r="KKA1" s="87"/>
      <c r="KKB1" s="87"/>
      <c r="KKC1" s="87"/>
      <c r="KKD1" s="87"/>
      <c r="KKE1" s="87"/>
      <c r="KKF1" s="87"/>
      <c r="KKG1" s="87"/>
      <c r="KKH1" s="87"/>
      <c r="KKI1" s="87"/>
      <c r="KKJ1" s="87"/>
      <c r="KKK1" s="87"/>
      <c r="KKL1" s="87"/>
      <c r="KKM1" s="87"/>
      <c r="KKN1" s="87"/>
      <c r="KKO1" s="87"/>
      <c r="KKP1" s="87"/>
      <c r="KKQ1" s="87"/>
      <c r="KKR1" s="87"/>
      <c r="KKS1" s="87"/>
      <c r="KKT1" s="87"/>
      <c r="KKU1" s="87"/>
      <c r="KKV1" s="87"/>
      <c r="KKW1" s="87"/>
      <c r="KKX1" s="87"/>
      <c r="KKY1" s="87"/>
      <c r="KKZ1" s="87"/>
      <c r="KLA1" s="87"/>
      <c r="KLB1" s="87"/>
      <c r="KLC1" s="87"/>
      <c r="KLD1" s="87"/>
      <c r="KLE1" s="87"/>
      <c r="KLF1" s="87"/>
      <c r="KLG1" s="87"/>
      <c r="KLH1" s="87"/>
      <c r="KLI1" s="87"/>
      <c r="KLJ1" s="87"/>
      <c r="KLK1" s="87"/>
      <c r="KLL1" s="87"/>
      <c r="KLM1" s="87"/>
      <c r="KLN1" s="87"/>
      <c r="KLO1" s="87"/>
      <c r="KLP1" s="87"/>
      <c r="KLQ1" s="87"/>
      <c r="KLR1" s="87"/>
      <c r="KLS1" s="87"/>
      <c r="KLT1" s="87"/>
      <c r="KLU1" s="87"/>
      <c r="KLV1" s="87"/>
      <c r="KLW1" s="87"/>
      <c r="KLX1" s="87"/>
      <c r="KLY1" s="87"/>
      <c r="KLZ1" s="87"/>
      <c r="KMA1" s="87"/>
      <c r="KMB1" s="87"/>
      <c r="KMC1" s="87"/>
      <c r="KMD1" s="87"/>
      <c r="KME1" s="87"/>
      <c r="KMF1" s="87"/>
      <c r="KMG1" s="87"/>
      <c r="KMH1" s="87"/>
      <c r="KMI1" s="87"/>
      <c r="KMJ1" s="87"/>
      <c r="KMK1" s="87"/>
      <c r="KML1" s="87"/>
      <c r="KMM1" s="87"/>
      <c r="KMN1" s="87"/>
      <c r="KMO1" s="87"/>
      <c r="KMP1" s="87"/>
      <c r="KMQ1" s="87"/>
      <c r="KMR1" s="87"/>
      <c r="KMS1" s="87"/>
      <c r="KMT1" s="87"/>
      <c r="KMU1" s="87"/>
      <c r="KMV1" s="87"/>
      <c r="KMW1" s="87"/>
      <c r="KMX1" s="87"/>
      <c r="KMY1" s="87"/>
      <c r="KMZ1" s="87"/>
      <c r="KNA1" s="87"/>
      <c r="KNB1" s="87"/>
      <c r="KNC1" s="87"/>
      <c r="KND1" s="87"/>
      <c r="KNE1" s="87"/>
      <c r="KNF1" s="87"/>
      <c r="KNG1" s="87"/>
      <c r="KNH1" s="87"/>
      <c r="KNI1" s="87"/>
      <c r="KNJ1" s="87"/>
      <c r="KNK1" s="87"/>
      <c r="KNL1" s="87"/>
      <c r="KNM1" s="87"/>
      <c r="KNN1" s="87"/>
      <c r="KNO1" s="87"/>
      <c r="KNP1" s="87"/>
      <c r="KNQ1" s="87"/>
      <c r="KNR1" s="87"/>
      <c r="KNS1" s="87"/>
      <c r="KNT1" s="87"/>
      <c r="KNU1" s="87"/>
      <c r="KNV1" s="87"/>
      <c r="KNW1" s="87"/>
      <c r="KNX1" s="87"/>
      <c r="KNY1" s="87"/>
      <c r="KNZ1" s="87"/>
      <c r="KOA1" s="87"/>
      <c r="KOB1" s="87"/>
      <c r="KOC1" s="87"/>
      <c r="KOD1" s="87"/>
      <c r="KOE1" s="87"/>
      <c r="KOF1" s="87"/>
      <c r="KOG1" s="87"/>
      <c r="KOH1" s="87"/>
      <c r="KOI1" s="87"/>
      <c r="KOJ1" s="87"/>
      <c r="KOK1" s="87"/>
      <c r="KOL1" s="87"/>
      <c r="KOM1" s="87"/>
      <c r="KON1" s="87"/>
      <c r="KOO1" s="87"/>
      <c r="KOP1" s="87"/>
      <c r="KOQ1" s="87"/>
      <c r="KOR1" s="87"/>
      <c r="KOS1" s="87"/>
      <c r="KOT1" s="87"/>
      <c r="KOU1" s="87"/>
      <c r="KOV1" s="87"/>
      <c r="KOW1" s="87"/>
      <c r="KOX1" s="87"/>
      <c r="KOY1" s="87"/>
      <c r="KOZ1" s="87"/>
      <c r="KPA1" s="87"/>
      <c r="KPB1" s="87"/>
      <c r="KPC1" s="87"/>
      <c r="KPD1" s="87"/>
      <c r="KPE1" s="87"/>
      <c r="KPF1" s="87"/>
      <c r="KPG1" s="87"/>
      <c r="KPH1" s="87"/>
      <c r="KPI1" s="87"/>
      <c r="KPJ1" s="87"/>
      <c r="KPK1" s="87"/>
      <c r="KPL1" s="87"/>
      <c r="KPM1" s="87"/>
      <c r="KPN1" s="87"/>
      <c r="KPO1" s="87"/>
      <c r="KPP1" s="87"/>
      <c r="KPQ1" s="87"/>
      <c r="KPR1" s="87"/>
      <c r="KPS1" s="87"/>
      <c r="KPT1" s="87"/>
      <c r="KPU1" s="87"/>
      <c r="KPV1" s="87"/>
      <c r="KPW1" s="87"/>
      <c r="KPX1" s="87"/>
      <c r="KPY1" s="87"/>
      <c r="KPZ1" s="87"/>
      <c r="KQA1" s="87"/>
      <c r="KQB1" s="87"/>
      <c r="KQC1" s="87"/>
      <c r="KQD1" s="87"/>
      <c r="KQE1" s="87"/>
      <c r="KQF1" s="87"/>
      <c r="KQG1" s="87"/>
      <c r="KQH1" s="87"/>
      <c r="KQI1" s="87"/>
      <c r="KQJ1" s="87"/>
      <c r="KQK1" s="87"/>
      <c r="KQL1" s="87"/>
      <c r="KQM1" s="87"/>
      <c r="KQN1" s="87"/>
      <c r="KQO1" s="87"/>
      <c r="KQP1" s="87"/>
      <c r="KQQ1" s="87"/>
      <c r="KQR1" s="87"/>
      <c r="KQS1" s="87"/>
      <c r="KQT1" s="87"/>
      <c r="KQU1" s="87"/>
      <c r="KQV1" s="87"/>
      <c r="KQW1" s="87"/>
      <c r="KQX1" s="87"/>
      <c r="KQY1" s="87"/>
      <c r="KQZ1" s="87"/>
      <c r="KRA1" s="87"/>
      <c r="KRB1" s="87"/>
      <c r="KRC1" s="87"/>
      <c r="KRD1" s="87"/>
      <c r="KRE1" s="87"/>
      <c r="KRF1" s="87"/>
      <c r="KRG1" s="87"/>
      <c r="KRH1" s="87"/>
      <c r="KRI1" s="87"/>
      <c r="KRJ1" s="87"/>
      <c r="KRK1" s="87"/>
      <c r="KRL1" s="87"/>
      <c r="KRM1" s="87"/>
      <c r="KRN1" s="87"/>
      <c r="KRO1" s="87"/>
      <c r="KRP1" s="87"/>
      <c r="KRQ1" s="87"/>
      <c r="KRR1" s="87"/>
      <c r="KRS1" s="87"/>
      <c r="KRT1" s="87"/>
      <c r="KRU1" s="87"/>
      <c r="KRV1" s="87"/>
      <c r="KRW1" s="87"/>
      <c r="KRX1" s="87"/>
      <c r="KRY1" s="87"/>
      <c r="KRZ1" s="87"/>
      <c r="KSA1" s="87"/>
      <c r="KSB1" s="87"/>
      <c r="KSC1" s="87"/>
      <c r="KSD1" s="87"/>
      <c r="KSE1" s="87"/>
      <c r="KSF1" s="87"/>
      <c r="KSG1" s="87"/>
      <c r="KSH1" s="87"/>
      <c r="KSI1" s="87"/>
      <c r="KSJ1" s="87"/>
      <c r="KSK1" s="87"/>
      <c r="KSL1" s="87"/>
      <c r="KSM1" s="87"/>
      <c r="KSN1" s="87"/>
      <c r="KSO1" s="87"/>
      <c r="KSP1" s="87"/>
      <c r="KSQ1" s="87"/>
      <c r="KSR1" s="87"/>
      <c r="KSS1" s="87"/>
      <c r="KST1" s="87"/>
      <c r="KSU1" s="87"/>
      <c r="KSV1" s="87"/>
      <c r="KSW1" s="87"/>
      <c r="KSX1" s="87"/>
      <c r="KSY1" s="87"/>
      <c r="KSZ1" s="87"/>
      <c r="KTA1" s="87"/>
      <c r="KTB1" s="87"/>
      <c r="KTC1" s="87"/>
      <c r="KTD1" s="87"/>
      <c r="KTE1" s="87"/>
      <c r="KTF1" s="87"/>
      <c r="KTG1" s="87"/>
      <c r="KTH1" s="87"/>
      <c r="KTI1" s="87"/>
      <c r="KTJ1" s="87"/>
      <c r="KTK1" s="87"/>
      <c r="KTL1" s="87"/>
      <c r="KTM1" s="87"/>
      <c r="KTN1" s="87"/>
      <c r="KTO1" s="87"/>
      <c r="KTP1" s="87"/>
      <c r="KTQ1" s="87"/>
      <c r="KTR1" s="87"/>
      <c r="KTS1" s="87"/>
      <c r="KTT1" s="87"/>
      <c r="KTU1" s="87"/>
      <c r="KTV1" s="87"/>
      <c r="KTW1" s="87"/>
      <c r="KTX1" s="87"/>
      <c r="KTY1" s="87"/>
      <c r="KTZ1" s="87"/>
      <c r="KUA1" s="87"/>
      <c r="KUB1" s="87"/>
      <c r="KUC1" s="87"/>
      <c r="KUD1" s="87"/>
      <c r="KUE1" s="87"/>
      <c r="KUF1" s="87"/>
      <c r="KUG1" s="87"/>
      <c r="KUH1" s="87"/>
      <c r="KUI1" s="87"/>
      <c r="KUJ1" s="87"/>
      <c r="KUK1" s="87"/>
      <c r="KUL1" s="87"/>
      <c r="KUM1" s="87"/>
      <c r="KUN1" s="87"/>
      <c r="KUO1" s="87"/>
      <c r="KUP1" s="87"/>
      <c r="KUQ1" s="87"/>
      <c r="KUR1" s="87"/>
      <c r="KUS1" s="87"/>
      <c r="KUT1" s="87"/>
      <c r="KUU1" s="87"/>
      <c r="KUV1" s="87"/>
      <c r="KUW1" s="87"/>
      <c r="KUX1" s="87"/>
      <c r="KUY1" s="87"/>
      <c r="KUZ1" s="87"/>
      <c r="KVA1" s="87"/>
      <c r="KVB1" s="87"/>
      <c r="KVC1" s="87"/>
      <c r="KVD1" s="87"/>
      <c r="KVE1" s="87"/>
      <c r="KVF1" s="87"/>
      <c r="KVG1" s="87"/>
      <c r="KVH1" s="87"/>
      <c r="KVI1" s="87"/>
      <c r="KVJ1" s="87"/>
      <c r="KVK1" s="87"/>
      <c r="KVL1" s="87"/>
      <c r="KVM1" s="87"/>
      <c r="KVN1" s="87"/>
      <c r="KVO1" s="87"/>
      <c r="KVP1" s="87"/>
      <c r="KVQ1" s="87"/>
      <c r="KVR1" s="87"/>
      <c r="KVS1" s="87"/>
      <c r="KVT1" s="87"/>
      <c r="KVU1" s="87"/>
      <c r="KVV1" s="87"/>
      <c r="KVW1" s="87"/>
      <c r="KVX1" s="87"/>
      <c r="KVY1" s="87"/>
      <c r="KVZ1" s="87"/>
      <c r="KWA1" s="87"/>
      <c r="KWB1" s="87"/>
      <c r="KWC1" s="87"/>
      <c r="KWD1" s="87"/>
      <c r="KWE1" s="87"/>
      <c r="KWF1" s="87"/>
      <c r="KWG1" s="87"/>
      <c r="KWH1" s="87"/>
      <c r="KWI1" s="87"/>
      <c r="KWJ1" s="87"/>
      <c r="KWK1" s="87"/>
      <c r="KWL1" s="87"/>
      <c r="KWM1" s="87"/>
      <c r="KWN1" s="87"/>
      <c r="KWO1" s="87"/>
      <c r="KWP1" s="87"/>
      <c r="KWQ1" s="87"/>
      <c r="KWR1" s="87"/>
      <c r="KWS1" s="87"/>
      <c r="KWT1" s="87"/>
      <c r="KWU1" s="87"/>
      <c r="KWV1" s="87"/>
      <c r="KWW1" s="87"/>
      <c r="KWX1" s="87"/>
      <c r="KWY1" s="87"/>
      <c r="KWZ1" s="87"/>
      <c r="KXA1" s="87"/>
      <c r="KXB1" s="87"/>
      <c r="KXC1" s="87"/>
      <c r="KXD1" s="87"/>
      <c r="KXE1" s="87"/>
      <c r="KXF1" s="87"/>
      <c r="KXG1" s="87"/>
      <c r="KXH1" s="87"/>
      <c r="KXI1" s="87"/>
      <c r="KXJ1" s="87"/>
      <c r="KXK1" s="87"/>
      <c r="KXL1" s="87"/>
      <c r="KXM1" s="87"/>
      <c r="KXN1" s="87"/>
      <c r="KXO1" s="87"/>
      <c r="KXP1" s="87"/>
      <c r="KXQ1" s="87"/>
      <c r="KXR1" s="87"/>
      <c r="KXS1" s="87"/>
      <c r="KXT1" s="87"/>
      <c r="KXU1" s="87"/>
      <c r="KXV1" s="87"/>
      <c r="KXW1" s="87"/>
      <c r="KXX1" s="87"/>
      <c r="KXY1" s="87"/>
      <c r="KXZ1" s="87"/>
      <c r="KYA1" s="87"/>
      <c r="KYB1" s="87"/>
      <c r="KYC1" s="87"/>
      <c r="KYD1" s="87"/>
      <c r="KYE1" s="87"/>
      <c r="KYF1" s="87"/>
      <c r="KYG1" s="87"/>
      <c r="KYH1" s="87"/>
      <c r="KYI1" s="87"/>
      <c r="KYJ1" s="87"/>
      <c r="KYK1" s="87"/>
      <c r="KYL1" s="87"/>
      <c r="KYM1" s="87"/>
      <c r="KYN1" s="87"/>
      <c r="KYO1" s="87"/>
      <c r="KYP1" s="87"/>
      <c r="KYQ1" s="87"/>
      <c r="KYR1" s="87"/>
      <c r="KYS1" s="87"/>
      <c r="KYT1" s="87"/>
      <c r="KYU1" s="87"/>
      <c r="KYV1" s="87"/>
      <c r="KYW1" s="87"/>
      <c r="KYX1" s="87"/>
      <c r="KYY1" s="87"/>
      <c r="KYZ1" s="87"/>
      <c r="KZA1" s="87"/>
      <c r="KZB1" s="87"/>
      <c r="KZC1" s="87"/>
      <c r="KZD1" s="87"/>
      <c r="KZE1" s="87"/>
      <c r="KZF1" s="87"/>
      <c r="KZG1" s="87"/>
      <c r="KZH1" s="87"/>
      <c r="KZI1" s="87"/>
      <c r="KZJ1" s="87"/>
      <c r="KZK1" s="87"/>
      <c r="KZL1" s="87"/>
      <c r="KZM1" s="87"/>
      <c r="KZN1" s="87"/>
      <c r="KZO1" s="87"/>
      <c r="KZP1" s="87"/>
      <c r="KZQ1" s="87"/>
      <c r="KZR1" s="87"/>
      <c r="KZS1" s="87"/>
      <c r="KZT1" s="87"/>
      <c r="KZU1" s="87"/>
      <c r="KZV1" s="87"/>
      <c r="KZW1" s="87"/>
      <c r="KZX1" s="87"/>
      <c r="KZY1" s="87"/>
      <c r="KZZ1" s="87"/>
      <c r="LAA1" s="87"/>
      <c r="LAB1" s="87"/>
      <c r="LAC1" s="87"/>
      <c r="LAD1" s="87"/>
      <c r="LAE1" s="87"/>
      <c r="LAF1" s="87"/>
      <c r="LAG1" s="87"/>
      <c r="LAH1" s="87"/>
      <c r="LAI1" s="87"/>
      <c r="LAJ1" s="87"/>
      <c r="LAK1" s="87"/>
      <c r="LAL1" s="87"/>
      <c r="LAM1" s="87"/>
      <c r="LAN1" s="87"/>
      <c r="LAO1" s="87"/>
      <c r="LAP1" s="87"/>
      <c r="LAQ1" s="87"/>
      <c r="LAR1" s="87"/>
      <c r="LAS1" s="87"/>
      <c r="LAT1" s="87"/>
      <c r="LAU1" s="87"/>
      <c r="LAV1" s="87"/>
      <c r="LAW1" s="87"/>
      <c r="LAX1" s="87"/>
      <c r="LAY1" s="87"/>
      <c r="LAZ1" s="87"/>
      <c r="LBA1" s="87"/>
      <c r="LBB1" s="87"/>
      <c r="LBC1" s="87"/>
      <c r="LBD1" s="87"/>
      <c r="LBE1" s="87"/>
      <c r="LBF1" s="87"/>
      <c r="LBG1" s="87"/>
      <c r="LBH1" s="87"/>
      <c r="LBI1" s="87"/>
      <c r="LBJ1" s="87"/>
      <c r="LBK1" s="87"/>
      <c r="LBL1" s="87"/>
      <c r="LBM1" s="87"/>
      <c r="LBN1" s="87"/>
      <c r="LBO1" s="87"/>
      <c r="LBP1" s="87"/>
      <c r="LBQ1" s="87"/>
      <c r="LBR1" s="87"/>
      <c r="LBS1" s="87"/>
      <c r="LBT1" s="87"/>
      <c r="LBU1" s="87"/>
      <c r="LBV1" s="87"/>
      <c r="LBW1" s="87"/>
      <c r="LBX1" s="87"/>
      <c r="LBY1" s="87"/>
      <c r="LBZ1" s="87"/>
      <c r="LCA1" s="87"/>
      <c r="LCB1" s="87"/>
      <c r="LCC1" s="87"/>
      <c r="LCD1" s="87"/>
      <c r="LCE1" s="87"/>
      <c r="LCF1" s="87"/>
      <c r="LCG1" s="87"/>
      <c r="LCH1" s="87"/>
      <c r="LCI1" s="87"/>
      <c r="LCJ1" s="87"/>
      <c r="LCK1" s="87"/>
      <c r="LCL1" s="87"/>
      <c r="LCM1" s="87"/>
      <c r="LCN1" s="87"/>
      <c r="LCO1" s="87"/>
      <c r="LCP1" s="87"/>
      <c r="LCQ1" s="87"/>
      <c r="LCR1" s="87"/>
      <c r="LCS1" s="87"/>
      <c r="LCT1" s="87"/>
      <c r="LCU1" s="87"/>
      <c r="LCV1" s="87"/>
      <c r="LCW1" s="87"/>
      <c r="LCX1" s="87"/>
      <c r="LCY1" s="87"/>
      <c r="LCZ1" s="87"/>
      <c r="LDA1" s="87"/>
      <c r="LDB1" s="87"/>
      <c r="LDC1" s="87"/>
      <c r="LDD1" s="87"/>
      <c r="LDE1" s="87"/>
      <c r="LDF1" s="87"/>
      <c r="LDG1" s="87"/>
      <c r="LDH1" s="87"/>
      <c r="LDI1" s="87"/>
      <c r="LDJ1" s="87"/>
      <c r="LDK1" s="87"/>
      <c r="LDL1" s="87"/>
      <c r="LDM1" s="87"/>
      <c r="LDN1" s="87"/>
      <c r="LDO1" s="87"/>
      <c r="LDP1" s="87"/>
      <c r="LDQ1" s="87"/>
      <c r="LDR1" s="87"/>
      <c r="LDS1" s="87"/>
      <c r="LDT1" s="87"/>
      <c r="LDU1" s="87"/>
      <c r="LDV1" s="87"/>
      <c r="LDW1" s="87"/>
      <c r="LDX1" s="87"/>
      <c r="LDY1" s="87"/>
      <c r="LDZ1" s="87"/>
      <c r="LEA1" s="87"/>
      <c r="LEB1" s="87"/>
      <c r="LEC1" s="87"/>
      <c r="LED1" s="87"/>
      <c r="LEE1" s="87"/>
      <c r="LEF1" s="87"/>
      <c r="LEG1" s="87"/>
      <c r="LEH1" s="87"/>
      <c r="LEI1" s="87"/>
      <c r="LEJ1" s="87"/>
      <c r="LEK1" s="87"/>
      <c r="LEL1" s="87"/>
      <c r="LEM1" s="87"/>
      <c r="LEN1" s="87"/>
      <c r="LEO1" s="87"/>
      <c r="LEP1" s="87"/>
      <c r="LEQ1" s="87"/>
      <c r="LER1" s="87"/>
      <c r="LES1" s="87"/>
      <c r="LET1" s="87"/>
      <c r="LEU1" s="87"/>
      <c r="LEV1" s="87"/>
      <c r="LEW1" s="87"/>
      <c r="LEX1" s="87"/>
      <c r="LEY1" s="87"/>
      <c r="LEZ1" s="87"/>
      <c r="LFA1" s="87"/>
      <c r="LFB1" s="87"/>
      <c r="LFC1" s="87"/>
      <c r="LFD1" s="87"/>
      <c r="LFE1" s="87"/>
      <c r="LFF1" s="87"/>
      <c r="LFG1" s="87"/>
      <c r="LFH1" s="87"/>
      <c r="LFI1" s="87"/>
      <c r="LFJ1" s="87"/>
      <c r="LFK1" s="87"/>
      <c r="LFL1" s="87"/>
      <c r="LFM1" s="87"/>
      <c r="LFN1" s="87"/>
      <c r="LFO1" s="87"/>
      <c r="LFP1" s="87"/>
      <c r="LFQ1" s="87"/>
      <c r="LFR1" s="87"/>
      <c r="LFS1" s="87"/>
      <c r="LFT1" s="87"/>
      <c r="LFU1" s="87"/>
      <c r="LFV1" s="87"/>
      <c r="LFW1" s="87"/>
      <c r="LFX1" s="87"/>
      <c r="LFY1" s="87"/>
      <c r="LFZ1" s="87"/>
      <c r="LGA1" s="87"/>
      <c r="LGB1" s="87"/>
      <c r="LGC1" s="87"/>
      <c r="LGD1" s="87"/>
      <c r="LGE1" s="87"/>
      <c r="LGF1" s="87"/>
      <c r="LGG1" s="87"/>
      <c r="LGH1" s="87"/>
      <c r="LGI1" s="87"/>
      <c r="LGJ1" s="87"/>
      <c r="LGK1" s="87"/>
      <c r="LGL1" s="87"/>
      <c r="LGM1" s="87"/>
      <c r="LGN1" s="87"/>
      <c r="LGO1" s="87"/>
      <c r="LGP1" s="87"/>
      <c r="LGQ1" s="87"/>
      <c r="LGR1" s="87"/>
      <c r="LGS1" s="87"/>
      <c r="LGT1" s="87"/>
      <c r="LGU1" s="87"/>
      <c r="LGV1" s="87"/>
      <c r="LGW1" s="87"/>
      <c r="LGX1" s="87"/>
      <c r="LGY1" s="87"/>
      <c r="LGZ1" s="87"/>
      <c r="LHA1" s="87"/>
      <c r="LHB1" s="87"/>
      <c r="LHC1" s="87"/>
      <c r="LHD1" s="87"/>
      <c r="LHE1" s="87"/>
      <c r="LHF1" s="87"/>
      <c r="LHG1" s="87"/>
      <c r="LHH1" s="87"/>
      <c r="LHI1" s="87"/>
      <c r="LHJ1" s="87"/>
      <c r="LHK1" s="87"/>
      <c r="LHL1" s="87"/>
      <c r="LHM1" s="87"/>
      <c r="LHN1" s="87"/>
      <c r="LHO1" s="87"/>
      <c r="LHP1" s="87"/>
      <c r="LHQ1" s="87"/>
      <c r="LHR1" s="87"/>
      <c r="LHS1" s="87"/>
      <c r="LHT1" s="87"/>
      <c r="LHU1" s="87"/>
      <c r="LHV1" s="87"/>
      <c r="LHW1" s="87"/>
      <c r="LHX1" s="87"/>
      <c r="LHY1" s="87"/>
      <c r="LHZ1" s="87"/>
      <c r="LIA1" s="87"/>
      <c r="LIB1" s="87"/>
      <c r="LIC1" s="87"/>
      <c r="LID1" s="87"/>
      <c r="LIE1" s="87"/>
      <c r="LIF1" s="87"/>
      <c r="LIG1" s="87"/>
      <c r="LIH1" s="87"/>
      <c r="LII1" s="87"/>
      <c r="LIJ1" s="87"/>
      <c r="LIK1" s="87"/>
      <c r="LIL1" s="87"/>
      <c r="LIM1" s="87"/>
      <c r="LIN1" s="87"/>
      <c r="LIO1" s="87"/>
      <c r="LIP1" s="87"/>
      <c r="LIQ1" s="87"/>
      <c r="LIR1" s="87"/>
      <c r="LIS1" s="87"/>
      <c r="LIT1" s="87"/>
      <c r="LIU1" s="87"/>
      <c r="LIV1" s="87"/>
      <c r="LIW1" s="87"/>
      <c r="LIX1" s="87"/>
      <c r="LIY1" s="87"/>
      <c r="LIZ1" s="87"/>
      <c r="LJA1" s="87"/>
      <c r="LJB1" s="87"/>
      <c r="LJC1" s="87"/>
      <c r="LJD1" s="87"/>
      <c r="LJE1" s="87"/>
      <c r="LJF1" s="87"/>
      <c r="LJG1" s="87"/>
      <c r="LJH1" s="87"/>
      <c r="LJI1" s="87"/>
      <c r="LJJ1" s="87"/>
      <c r="LJK1" s="87"/>
      <c r="LJL1" s="87"/>
      <c r="LJM1" s="87"/>
      <c r="LJN1" s="87"/>
      <c r="LJO1" s="87"/>
      <c r="LJP1" s="87"/>
      <c r="LJQ1" s="87"/>
      <c r="LJR1" s="87"/>
      <c r="LJS1" s="87"/>
      <c r="LJT1" s="87"/>
      <c r="LJU1" s="87"/>
      <c r="LJV1" s="87"/>
      <c r="LJW1" s="87"/>
      <c r="LJX1" s="87"/>
      <c r="LJY1" s="87"/>
      <c r="LJZ1" s="87"/>
      <c r="LKA1" s="87"/>
      <c r="LKB1" s="87"/>
      <c r="LKC1" s="87"/>
      <c r="LKD1" s="87"/>
      <c r="LKE1" s="87"/>
      <c r="LKF1" s="87"/>
      <c r="LKG1" s="87"/>
      <c r="LKH1" s="87"/>
      <c r="LKI1" s="87"/>
      <c r="LKJ1" s="87"/>
      <c r="LKK1" s="87"/>
      <c r="LKL1" s="87"/>
      <c r="LKM1" s="87"/>
      <c r="LKN1" s="87"/>
      <c r="LKO1" s="87"/>
      <c r="LKP1" s="87"/>
      <c r="LKQ1" s="87"/>
      <c r="LKR1" s="87"/>
      <c r="LKS1" s="87"/>
      <c r="LKT1" s="87"/>
      <c r="LKU1" s="87"/>
      <c r="LKV1" s="87"/>
      <c r="LKW1" s="87"/>
      <c r="LKX1" s="87"/>
      <c r="LKY1" s="87"/>
      <c r="LKZ1" s="87"/>
      <c r="LLA1" s="87"/>
      <c r="LLB1" s="87"/>
      <c r="LLC1" s="87"/>
      <c r="LLD1" s="87"/>
      <c r="LLE1" s="87"/>
      <c r="LLF1" s="87"/>
      <c r="LLG1" s="87"/>
      <c r="LLH1" s="87"/>
      <c r="LLI1" s="87"/>
      <c r="LLJ1" s="87"/>
      <c r="LLK1" s="87"/>
      <c r="LLL1" s="87"/>
      <c r="LLM1" s="87"/>
      <c r="LLN1" s="87"/>
      <c r="LLO1" s="87"/>
      <c r="LLP1" s="87"/>
      <c r="LLQ1" s="87"/>
      <c r="LLR1" s="87"/>
      <c r="LLS1" s="87"/>
      <c r="LLT1" s="87"/>
      <c r="LLU1" s="87"/>
      <c r="LLV1" s="87"/>
      <c r="LLW1" s="87"/>
      <c r="LLX1" s="87"/>
      <c r="LLY1" s="87"/>
      <c r="LLZ1" s="87"/>
      <c r="LMA1" s="87"/>
      <c r="LMB1" s="87"/>
      <c r="LMC1" s="87"/>
      <c r="LMD1" s="87"/>
      <c r="LME1" s="87"/>
      <c r="LMF1" s="87"/>
      <c r="LMG1" s="87"/>
      <c r="LMH1" s="87"/>
      <c r="LMI1" s="87"/>
      <c r="LMJ1" s="87"/>
      <c r="LMK1" s="87"/>
      <c r="LML1" s="87"/>
      <c r="LMM1" s="87"/>
      <c r="LMN1" s="87"/>
      <c r="LMO1" s="87"/>
      <c r="LMP1" s="87"/>
      <c r="LMQ1" s="87"/>
      <c r="LMR1" s="87"/>
      <c r="LMS1" s="87"/>
      <c r="LMT1" s="87"/>
      <c r="LMU1" s="87"/>
      <c r="LMV1" s="87"/>
      <c r="LMW1" s="87"/>
      <c r="LMX1" s="87"/>
      <c r="LMY1" s="87"/>
      <c r="LMZ1" s="87"/>
      <c r="LNA1" s="87"/>
      <c r="LNB1" s="87"/>
      <c r="LNC1" s="87"/>
      <c r="LND1" s="87"/>
      <c r="LNE1" s="87"/>
      <c r="LNF1" s="87"/>
      <c r="LNG1" s="87"/>
      <c r="LNH1" s="87"/>
      <c r="LNI1" s="87"/>
      <c r="LNJ1" s="87"/>
      <c r="LNK1" s="87"/>
      <c r="LNL1" s="87"/>
      <c r="LNM1" s="87"/>
      <c r="LNN1" s="87"/>
      <c r="LNO1" s="87"/>
      <c r="LNP1" s="87"/>
      <c r="LNQ1" s="87"/>
      <c r="LNR1" s="87"/>
      <c r="LNS1" s="87"/>
      <c r="LNT1" s="87"/>
      <c r="LNU1" s="87"/>
      <c r="LNV1" s="87"/>
      <c r="LNW1" s="87"/>
      <c r="LNX1" s="87"/>
      <c r="LNY1" s="87"/>
      <c r="LNZ1" s="87"/>
      <c r="LOA1" s="87"/>
      <c r="LOB1" s="87"/>
      <c r="LOC1" s="87"/>
      <c r="LOD1" s="87"/>
      <c r="LOE1" s="87"/>
      <c r="LOF1" s="87"/>
      <c r="LOG1" s="87"/>
      <c r="LOH1" s="87"/>
      <c r="LOI1" s="87"/>
      <c r="LOJ1" s="87"/>
      <c r="LOK1" s="87"/>
      <c r="LOL1" s="87"/>
      <c r="LOM1" s="87"/>
      <c r="LON1" s="87"/>
      <c r="LOO1" s="87"/>
      <c r="LOP1" s="87"/>
      <c r="LOQ1" s="87"/>
      <c r="LOR1" s="87"/>
      <c r="LOS1" s="87"/>
      <c r="LOT1" s="87"/>
      <c r="LOU1" s="87"/>
      <c r="LOV1" s="87"/>
      <c r="LOW1" s="87"/>
      <c r="LOX1" s="87"/>
      <c r="LOY1" s="87"/>
      <c r="LOZ1" s="87"/>
      <c r="LPA1" s="87"/>
      <c r="LPB1" s="87"/>
      <c r="LPC1" s="87"/>
      <c r="LPD1" s="87"/>
      <c r="LPE1" s="87"/>
      <c r="LPF1" s="87"/>
      <c r="LPG1" s="87"/>
      <c r="LPH1" s="87"/>
      <c r="LPI1" s="87"/>
      <c r="LPJ1" s="87"/>
      <c r="LPK1" s="87"/>
      <c r="LPL1" s="87"/>
      <c r="LPM1" s="87"/>
      <c r="LPN1" s="87"/>
      <c r="LPO1" s="87"/>
      <c r="LPP1" s="87"/>
      <c r="LPQ1" s="87"/>
      <c r="LPR1" s="87"/>
      <c r="LPS1" s="87"/>
      <c r="LPT1" s="87"/>
      <c r="LPU1" s="87"/>
      <c r="LPV1" s="87"/>
      <c r="LPW1" s="87"/>
      <c r="LPX1" s="87"/>
      <c r="LPY1" s="87"/>
      <c r="LPZ1" s="87"/>
      <c r="LQA1" s="87"/>
      <c r="LQB1" s="87"/>
      <c r="LQC1" s="87"/>
      <c r="LQD1" s="87"/>
      <c r="LQE1" s="87"/>
      <c r="LQF1" s="87"/>
      <c r="LQG1" s="87"/>
      <c r="LQH1" s="87"/>
      <c r="LQI1" s="87"/>
      <c r="LQJ1" s="87"/>
      <c r="LQK1" s="87"/>
      <c r="LQL1" s="87"/>
      <c r="LQM1" s="87"/>
      <c r="LQN1" s="87"/>
      <c r="LQO1" s="87"/>
      <c r="LQP1" s="87"/>
      <c r="LQQ1" s="87"/>
      <c r="LQR1" s="87"/>
      <c r="LQS1" s="87"/>
      <c r="LQT1" s="87"/>
      <c r="LQU1" s="87"/>
      <c r="LQV1" s="87"/>
      <c r="LQW1" s="87"/>
      <c r="LQX1" s="87"/>
      <c r="LQY1" s="87"/>
      <c r="LQZ1" s="87"/>
      <c r="LRA1" s="87"/>
      <c r="LRB1" s="87"/>
      <c r="LRC1" s="87"/>
      <c r="LRD1" s="87"/>
      <c r="LRE1" s="87"/>
      <c r="LRF1" s="87"/>
      <c r="LRG1" s="87"/>
      <c r="LRH1" s="87"/>
      <c r="LRI1" s="87"/>
      <c r="LRJ1" s="87"/>
      <c r="LRK1" s="87"/>
      <c r="LRL1" s="87"/>
      <c r="LRM1" s="87"/>
      <c r="LRN1" s="87"/>
      <c r="LRO1" s="87"/>
      <c r="LRP1" s="87"/>
      <c r="LRQ1" s="87"/>
      <c r="LRR1" s="87"/>
      <c r="LRS1" s="87"/>
      <c r="LRT1" s="87"/>
      <c r="LRU1" s="87"/>
      <c r="LRV1" s="87"/>
      <c r="LRW1" s="87"/>
      <c r="LRX1" s="87"/>
      <c r="LRY1" s="87"/>
      <c r="LRZ1" s="87"/>
      <c r="LSA1" s="87"/>
      <c r="LSB1" s="87"/>
      <c r="LSC1" s="87"/>
      <c r="LSD1" s="87"/>
      <c r="LSE1" s="87"/>
      <c r="LSF1" s="87"/>
      <c r="LSG1" s="87"/>
      <c r="LSH1" s="87"/>
      <c r="LSI1" s="87"/>
      <c r="LSJ1" s="87"/>
      <c r="LSK1" s="87"/>
      <c r="LSL1" s="87"/>
      <c r="LSM1" s="87"/>
      <c r="LSN1" s="87"/>
      <c r="LSO1" s="87"/>
      <c r="LSP1" s="87"/>
      <c r="LSQ1" s="87"/>
      <c r="LSR1" s="87"/>
      <c r="LSS1" s="87"/>
      <c r="LST1" s="87"/>
      <c r="LSU1" s="87"/>
      <c r="LSV1" s="87"/>
      <c r="LSW1" s="87"/>
      <c r="LSX1" s="87"/>
      <c r="LSY1" s="87"/>
      <c r="LSZ1" s="87"/>
      <c r="LTA1" s="87"/>
      <c r="LTB1" s="87"/>
      <c r="LTC1" s="87"/>
      <c r="LTD1" s="87"/>
      <c r="LTE1" s="87"/>
      <c r="LTF1" s="87"/>
      <c r="LTG1" s="87"/>
      <c r="LTH1" s="87"/>
      <c r="LTI1" s="87"/>
      <c r="LTJ1" s="87"/>
      <c r="LTK1" s="87"/>
      <c r="LTL1" s="87"/>
      <c r="LTM1" s="87"/>
      <c r="LTN1" s="87"/>
      <c r="LTO1" s="87"/>
      <c r="LTP1" s="87"/>
      <c r="LTQ1" s="87"/>
      <c r="LTR1" s="87"/>
      <c r="LTS1" s="87"/>
      <c r="LTT1" s="87"/>
      <c r="LTU1" s="87"/>
      <c r="LTV1" s="87"/>
      <c r="LTW1" s="87"/>
      <c r="LTX1" s="87"/>
      <c r="LTY1" s="87"/>
      <c r="LTZ1" s="87"/>
      <c r="LUA1" s="87"/>
      <c r="LUB1" s="87"/>
      <c r="LUC1" s="87"/>
      <c r="LUD1" s="87"/>
      <c r="LUE1" s="87"/>
      <c r="LUF1" s="87"/>
      <c r="LUG1" s="87"/>
      <c r="LUH1" s="87"/>
      <c r="LUI1" s="87"/>
      <c r="LUJ1" s="87"/>
      <c r="LUK1" s="87"/>
      <c r="LUL1" s="87"/>
      <c r="LUM1" s="87"/>
      <c r="LUN1" s="87"/>
      <c r="LUO1" s="87"/>
      <c r="LUP1" s="87"/>
      <c r="LUQ1" s="87"/>
      <c r="LUR1" s="87"/>
      <c r="LUS1" s="87"/>
      <c r="LUT1" s="87"/>
      <c r="LUU1" s="87"/>
      <c r="LUV1" s="87"/>
      <c r="LUW1" s="87"/>
      <c r="LUX1" s="87"/>
      <c r="LUY1" s="87"/>
      <c r="LUZ1" s="87"/>
      <c r="LVA1" s="87"/>
      <c r="LVB1" s="87"/>
      <c r="LVC1" s="87"/>
      <c r="LVD1" s="87"/>
      <c r="LVE1" s="87"/>
      <c r="LVF1" s="87"/>
      <c r="LVG1" s="87"/>
      <c r="LVH1" s="87"/>
      <c r="LVI1" s="87"/>
      <c r="LVJ1" s="87"/>
      <c r="LVK1" s="87"/>
      <c r="LVL1" s="87"/>
      <c r="LVM1" s="87"/>
      <c r="LVN1" s="87"/>
      <c r="LVO1" s="87"/>
      <c r="LVP1" s="87"/>
      <c r="LVQ1" s="87"/>
      <c r="LVR1" s="87"/>
      <c r="LVS1" s="87"/>
      <c r="LVT1" s="87"/>
      <c r="LVU1" s="87"/>
      <c r="LVV1" s="87"/>
      <c r="LVW1" s="87"/>
      <c r="LVX1" s="87"/>
      <c r="LVY1" s="87"/>
      <c r="LVZ1" s="87"/>
      <c r="LWA1" s="87"/>
      <c r="LWB1" s="87"/>
      <c r="LWC1" s="87"/>
      <c r="LWD1" s="87"/>
      <c r="LWE1" s="87"/>
      <c r="LWF1" s="87"/>
      <c r="LWG1" s="87"/>
      <c r="LWH1" s="87"/>
      <c r="LWI1" s="87"/>
      <c r="LWJ1" s="87"/>
      <c r="LWK1" s="87"/>
      <c r="LWL1" s="87"/>
      <c r="LWM1" s="87"/>
      <c r="LWN1" s="87"/>
      <c r="LWO1" s="87"/>
      <c r="LWP1" s="87"/>
      <c r="LWQ1" s="87"/>
      <c r="LWR1" s="87"/>
      <c r="LWS1" s="87"/>
      <c r="LWT1" s="87"/>
      <c r="LWU1" s="87"/>
      <c r="LWV1" s="87"/>
      <c r="LWW1" s="87"/>
      <c r="LWX1" s="87"/>
      <c r="LWY1" s="87"/>
      <c r="LWZ1" s="87"/>
      <c r="LXA1" s="87"/>
      <c r="LXB1" s="87"/>
      <c r="LXC1" s="87"/>
      <c r="LXD1" s="87"/>
      <c r="LXE1" s="87"/>
      <c r="LXF1" s="87"/>
      <c r="LXG1" s="87"/>
      <c r="LXH1" s="87"/>
      <c r="LXI1" s="87"/>
      <c r="LXJ1" s="87"/>
      <c r="LXK1" s="87"/>
      <c r="LXL1" s="87"/>
      <c r="LXM1" s="87"/>
      <c r="LXN1" s="87"/>
      <c r="LXO1" s="87"/>
      <c r="LXP1" s="87"/>
      <c r="LXQ1" s="87"/>
      <c r="LXR1" s="87"/>
      <c r="LXS1" s="87"/>
      <c r="LXT1" s="87"/>
      <c r="LXU1" s="87"/>
      <c r="LXV1" s="87"/>
      <c r="LXW1" s="87"/>
      <c r="LXX1" s="87"/>
      <c r="LXY1" s="87"/>
      <c r="LXZ1" s="87"/>
      <c r="LYA1" s="87"/>
      <c r="LYB1" s="87"/>
      <c r="LYC1" s="87"/>
      <c r="LYD1" s="87"/>
      <c r="LYE1" s="87"/>
      <c r="LYF1" s="87"/>
      <c r="LYG1" s="87"/>
      <c r="LYH1" s="87"/>
      <c r="LYI1" s="87"/>
      <c r="LYJ1" s="87"/>
      <c r="LYK1" s="87"/>
      <c r="LYL1" s="87"/>
      <c r="LYM1" s="87"/>
      <c r="LYN1" s="87"/>
      <c r="LYO1" s="87"/>
      <c r="LYP1" s="87"/>
      <c r="LYQ1" s="87"/>
      <c r="LYR1" s="87"/>
      <c r="LYS1" s="87"/>
      <c r="LYT1" s="87"/>
      <c r="LYU1" s="87"/>
      <c r="LYV1" s="87"/>
      <c r="LYW1" s="87"/>
      <c r="LYX1" s="87"/>
      <c r="LYY1" s="87"/>
      <c r="LYZ1" s="87"/>
      <c r="LZA1" s="87"/>
      <c r="LZB1" s="87"/>
      <c r="LZC1" s="87"/>
      <c r="LZD1" s="87"/>
      <c r="LZE1" s="87"/>
      <c r="LZF1" s="87"/>
      <c r="LZG1" s="87"/>
      <c r="LZH1" s="87"/>
      <c r="LZI1" s="87"/>
      <c r="LZJ1" s="87"/>
      <c r="LZK1" s="87"/>
      <c r="LZL1" s="87"/>
      <c r="LZM1" s="87"/>
      <c r="LZN1" s="87"/>
      <c r="LZO1" s="87"/>
      <c r="LZP1" s="87"/>
      <c r="LZQ1" s="87"/>
      <c r="LZR1" s="87"/>
      <c r="LZS1" s="87"/>
      <c r="LZT1" s="87"/>
      <c r="LZU1" s="87"/>
      <c r="LZV1" s="87"/>
      <c r="LZW1" s="87"/>
      <c r="LZX1" s="87"/>
      <c r="LZY1" s="87"/>
      <c r="LZZ1" s="87"/>
      <c r="MAA1" s="87"/>
      <c r="MAB1" s="87"/>
      <c r="MAC1" s="87"/>
      <c r="MAD1" s="87"/>
      <c r="MAE1" s="87"/>
      <c r="MAF1" s="87"/>
      <c r="MAG1" s="87"/>
      <c r="MAH1" s="87"/>
      <c r="MAI1" s="87"/>
      <c r="MAJ1" s="87"/>
      <c r="MAK1" s="87"/>
      <c r="MAL1" s="87"/>
      <c r="MAM1" s="87"/>
      <c r="MAN1" s="87"/>
      <c r="MAO1" s="87"/>
      <c r="MAP1" s="87"/>
      <c r="MAQ1" s="87"/>
      <c r="MAR1" s="87"/>
      <c r="MAS1" s="87"/>
      <c r="MAT1" s="87"/>
      <c r="MAU1" s="87"/>
      <c r="MAV1" s="87"/>
      <c r="MAW1" s="87"/>
      <c r="MAX1" s="87"/>
      <c r="MAY1" s="87"/>
      <c r="MAZ1" s="87"/>
      <c r="MBA1" s="87"/>
      <c r="MBB1" s="87"/>
      <c r="MBC1" s="87"/>
      <c r="MBD1" s="87"/>
      <c r="MBE1" s="87"/>
      <c r="MBF1" s="87"/>
      <c r="MBG1" s="87"/>
      <c r="MBH1" s="87"/>
      <c r="MBI1" s="87"/>
      <c r="MBJ1" s="87"/>
      <c r="MBK1" s="87"/>
      <c r="MBL1" s="87"/>
      <c r="MBM1" s="87"/>
      <c r="MBN1" s="87"/>
      <c r="MBO1" s="87"/>
      <c r="MBP1" s="87"/>
      <c r="MBQ1" s="87"/>
      <c r="MBR1" s="87"/>
      <c r="MBS1" s="87"/>
      <c r="MBT1" s="87"/>
      <c r="MBU1" s="87"/>
      <c r="MBV1" s="87"/>
      <c r="MBW1" s="87"/>
      <c r="MBX1" s="87"/>
      <c r="MBY1" s="87"/>
      <c r="MBZ1" s="87"/>
      <c r="MCA1" s="87"/>
      <c r="MCB1" s="87"/>
      <c r="MCC1" s="87"/>
      <c r="MCD1" s="87"/>
      <c r="MCE1" s="87"/>
      <c r="MCF1" s="87"/>
      <c r="MCG1" s="87"/>
      <c r="MCH1" s="87"/>
      <c r="MCI1" s="87"/>
      <c r="MCJ1" s="87"/>
      <c r="MCK1" s="87"/>
      <c r="MCL1" s="87"/>
      <c r="MCM1" s="87"/>
      <c r="MCN1" s="87"/>
      <c r="MCO1" s="87"/>
      <c r="MCP1" s="87"/>
      <c r="MCQ1" s="87"/>
      <c r="MCR1" s="87"/>
      <c r="MCS1" s="87"/>
      <c r="MCT1" s="87"/>
      <c r="MCU1" s="87"/>
      <c r="MCV1" s="87"/>
      <c r="MCW1" s="87"/>
      <c r="MCX1" s="87"/>
      <c r="MCY1" s="87"/>
      <c r="MCZ1" s="87"/>
      <c r="MDA1" s="87"/>
      <c r="MDB1" s="87"/>
      <c r="MDC1" s="87"/>
      <c r="MDD1" s="87"/>
      <c r="MDE1" s="87"/>
      <c r="MDF1" s="87"/>
      <c r="MDG1" s="87"/>
      <c r="MDH1" s="87"/>
      <c r="MDI1" s="87"/>
      <c r="MDJ1" s="87"/>
      <c r="MDK1" s="87"/>
      <c r="MDL1" s="87"/>
      <c r="MDM1" s="87"/>
      <c r="MDN1" s="87"/>
      <c r="MDO1" s="87"/>
      <c r="MDP1" s="87"/>
      <c r="MDQ1" s="87"/>
      <c r="MDR1" s="87"/>
      <c r="MDS1" s="87"/>
      <c r="MDT1" s="87"/>
      <c r="MDU1" s="87"/>
      <c r="MDV1" s="87"/>
      <c r="MDW1" s="87"/>
      <c r="MDX1" s="87"/>
      <c r="MDY1" s="87"/>
      <c r="MDZ1" s="87"/>
      <c r="MEA1" s="87"/>
      <c r="MEB1" s="87"/>
      <c r="MEC1" s="87"/>
      <c r="MED1" s="87"/>
      <c r="MEE1" s="87"/>
      <c r="MEF1" s="87"/>
      <c r="MEG1" s="87"/>
      <c r="MEH1" s="87"/>
      <c r="MEI1" s="87"/>
      <c r="MEJ1" s="87"/>
      <c r="MEK1" s="87"/>
      <c r="MEL1" s="87"/>
      <c r="MEM1" s="87"/>
      <c r="MEN1" s="87"/>
      <c r="MEO1" s="87"/>
      <c r="MEP1" s="87"/>
      <c r="MEQ1" s="87"/>
      <c r="MER1" s="87"/>
      <c r="MES1" s="87"/>
      <c r="MET1" s="87"/>
      <c r="MEU1" s="87"/>
      <c r="MEV1" s="87"/>
      <c r="MEW1" s="87"/>
      <c r="MEX1" s="87"/>
      <c r="MEY1" s="87"/>
      <c r="MEZ1" s="87"/>
      <c r="MFA1" s="87"/>
      <c r="MFB1" s="87"/>
      <c r="MFC1" s="87"/>
      <c r="MFD1" s="87"/>
      <c r="MFE1" s="87"/>
      <c r="MFF1" s="87"/>
      <c r="MFG1" s="87"/>
      <c r="MFH1" s="87"/>
      <c r="MFI1" s="87"/>
      <c r="MFJ1" s="87"/>
      <c r="MFK1" s="87"/>
      <c r="MFL1" s="87"/>
      <c r="MFM1" s="87"/>
      <c r="MFN1" s="87"/>
      <c r="MFO1" s="87"/>
      <c r="MFP1" s="87"/>
      <c r="MFQ1" s="87"/>
      <c r="MFR1" s="87"/>
      <c r="MFS1" s="87"/>
      <c r="MFT1" s="87"/>
      <c r="MFU1" s="87"/>
      <c r="MFV1" s="87"/>
      <c r="MFW1" s="87"/>
      <c r="MFX1" s="87"/>
      <c r="MFY1" s="87"/>
      <c r="MFZ1" s="87"/>
      <c r="MGA1" s="87"/>
      <c r="MGB1" s="87"/>
      <c r="MGC1" s="87"/>
      <c r="MGD1" s="87"/>
      <c r="MGE1" s="87"/>
      <c r="MGF1" s="87"/>
      <c r="MGG1" s="87"/>
      <c r="MGH1" s="87"/>
      <c r="MGI1" s="87"/>
      <c r="MGJ1" s="87"/>
      <c r="MGK1" s="87"/>
      <c r="MGL1" s="87"/>
      <c r="MGM1" s="87"/>
      <c r="MGN1" s="87"/>
      <c r="MGO1" s="87"/>
      <c r="MGP1" s="87"/>
      <c r="MGQ1" s="87"/>
      <c r="MGR1" s="87"/>
      <c r="MGS1" s="87"/>
      <c r="MGT1" s="87"/>
      <c r="MGU1" s="87"/>
      <c r="MGV1" s="87"/>
      <c r="MGW1" s="87"/>
      <c r="MGX1" s="87"/>
      <c r="MGY1" s="87"/>
      <c r="MGZ1" s="87"/>
      <c r="MHA1" s="87"/>
      <c r="MHB1" s="87"/>
      <c r="MHC1" s="87"/>
      <c r="MHD1" s="87"/>
      <c r="MHE1" s="87"/>
      <c r="MHF1" s="87"/>
      <c r="MHG1" s="87"/>
      <c r="MHH1" s="87"/>
      <c r="MHI1" s="87"/>
      <c r="MHJ1" s="87"/>
      <c r="MHK1" s="87"/>
      <c r="MHL1" s="87"/>
      <c r="MHM1" s="87"/>
      <c r="MHN1" s="87"/>
      <c r="MHO1" s="87"/>
      <c r="MHP1" s="87"/>
      <c r="MHQ1" s="87"/>
      <c r="MHR1" s="87"/>
      <c r="MHS1" s="87"/>
      <c r="MHT1" s="87"/>
      <c r="MHU1" s="87"/>
      <c r="MHV1" s="87"/>
      <c r="MHW1" s="87"/>
      <c r="MHX1" s="87"/>
      <c r="MHY1" s="87"/>
      <c r="MHZ1" s="87"/>
      <c r="MIA1" s="87"/>
      <c r="MIB1" s="87"/>
      <c r="MIC1" s="87"/>
      <c r="MID1" s="87"/>
      <c r="MIE1" s="87"/>
      <c r="MIF1" s="87"/>
      <c r="MIG1" s="87"/>
      <c r="MIH1" s="87"/>
      <c r="MII1" s="87"/>
      <c r="MIJ1" s="87"/>
      <c r="MIK1" s="87"/>
      <c r="MIL1" s="87"/>
      <c r="MIM1" s="87"/>
      <c r="MIN1" s="87"/>
      <c r="MIO1" s="87"/>
      <c r="MIP1" s="87"/>
      <c r="MIQ1" s="87"/>
      <c r="MIR1" s="87"/>
      <c r="MIS1" s="87"/>
      <c r="MIT1" s="87"/>
      <c r="MIU1" s="87"/>
      <c r="MIV1" s="87"/>
      <c r="MIW1" s="87"/>
      <c r="MIX1" s="87"/>
      <c r="MIY1" s="87"/>
      <c r="MIZ1" s="87"/>
      <c r="MJA1" s="87"/>
      <c r="MJB1" s="87"/>
      <c r="MJC1" s="87"/>
      <c r="MJD1" s="87"/>
      <c r="MJE1" s="87"/>
      <c r="MJF1" s="87"/>
      <c r="MJG1" s="87"/>
      <c r="MJH1" s="87"/>
      <c r="MJI1" s="87"/>
      <c r="MJJ1" s="87"/>
      <c r="MJK1" s="87"/>
      <c r="MJL1" s="87"/>
      <c r="MJM1" s="87"/>
      <c r="MJN1" s="87"/>
      <c r="MJO1" s="87"/>
      <c r="MJP1" s="87"/>
      <c r="MJQ1" s="87"/>
      <c r="MJR1" s="87"/>
      <c r="MJS1" s="87"/>
      <c r="MJT1" s="87"/>
      <c r="MJU1" s="87"/>
      <c r="MJV1" s="87"/>
      <c r="MJW1" s="87"/>
      <c r="MJX1" s="87"/>
      <c r="MJY1" s="87"/>
      <c r="MJZ1" s="87"/>
      <c r="MKA1" s="87"/>
      <c r="MKB1" s="87"/>
      <c r="MKC1" s="87"/>
      <c r="MKD1" s="87"/>
      <c r="MKE1" s="87"/>
      <c r="MKF1" s="87"/>
      <c r="MKG1" s="87"/>
      <c r="MKH1" s="87"/>
      <c r="MKI1" s="87"/>
      <c r="MKJ1" s="87"/>
      <c r="MKK1" s="87"/>
      <c r="MKL1" s="87"/>
      <c r="MKM1" s="87"/>
      <c r="MKN1" s="87"/>
      <c r="MKO1" s="87"/>
      <c r="MKP1" s="87"/>
      <c r="MKQ1" s="87"/>
      <c r="MKR1" s="87"/>
      <c r="MKS1" s="87"/>
      <c r="MKT1" s="87"/>
      <c r="MKU1" s="87"/>
      <c r="MKV1" s="87"/>
      <c r="MKW1" s="87"/>
      <c r="MKX1" s="87"/>
      <c r="MKY1" s="87"/>
      <c r="MKZ1" s="87"/>
      <c r="MLA1" s="87"/>
      <c r="MLB1" s="87"/>
      <c r="MLC1" s="87"/>
      <c r="MLD1" s="87"/>
      <c r="MLE1" s="87"/>
      <c r="MLF1" s="87"/>
      <c r="MLG1" s="87"/>
      <c r="MLH1" s="87"/>
      <c r="MLI1" s="87"/>
      <c r="MLJ1" s="87"/>
      <c r="MLK1" s="87"/>
      <c r="MLL1" s="87"/>
      <c r="MLM1" s="87"/>
      <c r="MLN1" s="87"/>
      <c r="MLO1" s="87"/>
      <c r="MLP1" s="87"/>
      <c r="MLQ1" s="87"/>
      <c r="MLR1" s="87"/>
      <c r="MLS1" s="87"/>
      <c r="MLT1" s="87"/>
      <c r="MLU1" s="87"/>
      <c r="MLV1" s="87"/>
      <c r="MLW1" s="87"/>
      <c r="MLX1" s="87"/>
      <c r="MLY1" s="87"/>
      <c r="MLZ1" s="87"/>
      <c r="MMA1" s="87"/>
      <c r="MMB1" s="87"/>
      <c r="MMC1" s="87"/>
      <c r="MMD1" s="87"/>
      <c r="MME1" s="87"/>
      <c r="MMF1" s="87"/>
      <c r="MMG1" s="87"/>
      <c r="MMH1" s="87"/>
      <c r="MMI1" s="87"/>
      <c r="MMJ1" s="87"/>
      <c r="MMK1" s="87"/>
      <c r="MML1" s="87"/>
      <c r="MMM1" s="87"/>
      <c r="MMN1" s="87"/>
      <c r="MMO1" s="87"/>
      <c r="MMP1" s="87"/>
      <c r="MMQ1" s="87"/>
      <c r="MMR1" s="87"/>
      <c r="MMS1" s="87"/>
      <c r="MMT1" s="87"/>
      <c r="MMU1" s="87"/>
      <c r="MMV1" s="87"/>
      <c r="MMW1" s="87"/>
      <c r="MMX1" s="87"/>
      <c r="MMY1" s="87"/>
      <c r="MMZ1" s="87"/>
      <c r="MNA1" s="87"/>
      <c r="MNB1" s="87"/>
      <c r="MNC1" s="87"/>
      <c r="MND1" s="87"/>
      <c r="MNE1" s="87"/>
      <c r="MNF1" s="87"/>
      <c r="MNG1" s="87"/>
      <c r="MNH1" s="87"/>
      <c r="MNI1" s="87"/>
      <c r="MNJ1" s="87"/>
      <c r="MNK1" s="87"/>
      <c r="MNL1" s="87"/>
      <c r="MNM1" s="87"/>
      <c r="MNN1" s="87"/>
      <c r="MNO1" s="87"/>
      <c r="MNP1" s="87"/>
      <c r="MNQ1" s="87"/>
      <c r="MNR1" s="87"/>
      <c r="MNS1" s="87"/>
      <c r="MNT1" s="87"/>
      <c r="MNU1" s="87"/>
      <c r="MNV1" s="87"/>
      <c r="MNW1" s="87"/>
      <c r="MNX1" s="87"/>
      <c r="MNY1" s="87"/>
      <c r="MNZ1" s="87"/>
      <c r="MOA1" s="87"/>
      <c r="MOB1" s="87"/>
      <c r="MOC1" s="87"/>
      <c r="MOD1" s="87"/>
      <c r="MOE1" s="87"/>
      <c r="MOF1" s="87"/>
      <c r="MOG1" s="87"/>
      <c r="MOH1" s="87"/>
      <c r="MOI1" s="87"/>
      <c r="MOJ1" s="87"/>
      <c r="MOK1" s="87"/>
      <c r="MOL1" s="87"/>
      <c r="MOM1" s="87"/>
      <c r="MON1" s="87"/>
      <c r="MOO1" s="87"/>
      <c r="MOP1" s="87"/>
      <c r="MOQ1" s="87"/>
      <c r="MOR1" s="87"/>
      <c r="MOS1" s="87"/>
      <c r="MOT1" s="87"/>
      <c r="MOU1" s="87"/>
      <c r="MOV1" s="87"/>
      <c r="MOW1" s="87"/>
      <c r="MOX1" s="87"/>
      <c r="MOY1" s="87"/>
      <c r="MOZ1" s="87"/>
      <c r="MPA1" s="87"/>
      <c r="MPB1" s="87"/>
      <c r="MPC1" s="87"/>
      <c r="MPD1" s="87"/>
      <c r="MPE1" s="87"/>
      <c r="MPF1" s="87"/>
      <c r="MPG1" s="87"/>
      <c r="MPH1" s="87"/>
      <c r="MPI1" s="87"/>
      <c r="MPJ1" s="87"/>
      <c r="MPK1" s="87"/>
      <c r="MPL1" s="87"/>
      <c r="MPM1" s="87"/>
      <c r="MPN1" s="87"/>
      <c r="MPO1" s="87"/>
      <c r="MPP1" s="87"/>
      <c r="MPQ1" s="87"/>
      <c r="MPR1" s="87"/>
      <c r="MPS1" s="87"/>
      <c r="MPT1" s="87"/>
      <c r="MPU1" s="87"/>
      <c r="MPV1" s="87"/>
      <c r="MPW1" s="87"/>
      <c r="MPX1" s="87"/>
      <c r="MPY1" s="87"/>
      <c r="MPZ1" s="87"/>
      <c r="MQA1" s="87"/>
      <c r="MQB1" s="87"/>
      <c r="MQC1" s="87"/>
      <c r="MQD1" s="87"/>
      <c r="MQE1" s="87"/>
      <c r="MQF1" s="87"/>
      <c r="MQG1" s="87"/>
      <c r="MQH1" s="87"/>
      <c r="MQI1" s="87"/>
      <c r="MQJ1" s="87"/>
      <c r="MQK1" s="87"/>
      <c r="MQL1" s="87"/>
      <c r="MQM1" s="87"/>
      <c r="MQN1" s="87"/>
      <c r="MQO1" s="87"/>
      <c r="MQP1" s="87"/>
      <c r="MQQ1" s="87"/>
      <c r="MQR1" s="87"/>
      <c r="MQS1" s="87"/>
      <c r="MQT1" s="87"/>
      <c r="MQU1" s="87"/>
      <c r="MQV1" s="87"/>
      <c r="MQW1" s="87"/>
      <c r="MQX1" s="87"/>
      <c r="MQY1" s="87"/>
      <c r="MQZ1" s="87"/>
      <c r="MRA1" s="87"/>
      <c r="MRB1" s="87"/>
      <c r="MRC1" s="87"/>
      <c r="MRD1" s="87"/>
      <c r="MRE1" s="87"/>
      <c r="MRF1" s="87"/>
      <c r="MRG1" s="87"/>
      <c r="MRH1" s="87"/>
      <c r="MRI1" s="87"/>
      <c r="MRJ1" s="87"/>
      <c r="MRK1" s="87"/>
      <c r="MRL1" s="87"/>
      <c r="MRM1" s="87"/>
      <c r="MRN1" s="87"/>
      <c r="MRO1" s="87"/>
      <c r="MRP1" s="87"/>
      <c r="MRQ1" s="87"/>
      <c r="MRR1" s="87"/>
      <c r="MRS1" s="87"/>
      <c r="MRT1" s="87"/>
      <c r="MRU1" s="87"/>
      <c r="MRV1" s="87"/>
      <c r="MRW1" s="87"/>
      <c r="MRX1" s="87"/>
      <c r="MRY1" s="87"/>
      <c r="MRZ1" s="87"/>
      <c r="MSA1" s="87"/>
      <c r="MSB1" s="87"/>
      <c r="MSC1" s="87"/>
      <c r="MSD1" s="87"/>
      <c r="MSE1" s="87"/>
      <c r="MSF1" s="87"/>
      <c r="MSG1" s="87"/>
      <c r="MSH1" s="87"/>
      <c r="MSI1" s="87"/>
      <c r="MSJ1" s="87"/>
      <c r="MSK1" s="87"/>
      <c r="MSL1" s="87"/>
      <c r="MSM1" s="87"/>
      <c r="MSN1" s="87"/>
      <c r="MSO1" s="87"/>
      <c r="MSP1" s="87"/>
      <c r="MSQ1" s="87"/>
      <c r="MSR1" s="87"/>
      <c r="MSS1" s="87"/>
      <c r="MST1" s="87"/>
      <c r="MSU1" s="87"/>
      <c r="MSV1" s="87"/>
      <c r="MSW1" s="87"/>
      <c r="MSX1" s="87"/>
      <c r="MSY1" s="87"/>
      <c r="MSZ1" s="87"/>
      <c r="MTA1" s="87"/>
      <c r="MTB1" s="87"/>
      <c r="MTC1" s="87"/>
      <c r="MTD1" s="87"/>
      <c r="MTE1" s="87"/>
      <c r="MTF1" s="87"/>
      <c r="MTG1" s="87"/>
      <c r="MTH1" s="87"/>
      <c r="MTI1" s="87"/>
      <c r="MTJ1" s="87"/>
      <c r="MTK1" s="87"/>
      <c r="MTL1" s="87"/>
      <c r="MTM1" s="87"/>
      <c r="MTN1" s="87"/>
      <c r="MTO1" s="87"/>
      <c r="MTP1" s="87"/>
      <c r="MTQ1" s="87"/>
      <c r="MTR1" s="87"/>
      <c r="MTS1" s="87"/>
      <c r="MTT1" s="87"/>
      <c r="MTU1" s="87"/>
      <c r="MTV1" s="87"/>
      <c r="MTW1" s="87"/>
      <c r="MTX1" s="87"/>
      <c r="MTY1" s="87"/>
      <c r="MTZ1" s="87"/>
      <c r="MUA1" s="87"/>
      <c r="MUB1" s="87"/>
      <c r="MUC1" s="87"/>
      <c r="MUD1" s="87"/>
      <c r="MUE1" s="87"/>
      <c r="MUF1" s="87"/>
      <c r="MUG1" s="87"/>
      <c r="MUH1" s="87"/>
      <c r="MUI1" s="87"/>
      <c r="MUJ1" s="87"/>
      <c r="MUK1" s="87"/>
      <c r="MUL1" s="87"/>
      <c r="MUM1" s="87"/>
      <c r="MUN1" s="87"/>
      <c r="MUO1" s="87"/>
      <c r="MUP1" s="87"/>
      <c r="MUQ1" s="87"/>
      <c r="MUR1" s="87"/>
      <c r="MUS1" s="87"/>
      <c r="MUT1" s="87"/>
      <c r="MUU1" s="87"/>
      <c r="MUV1" s="87"/>
      <c r="MUW1" s="87"/>
      <c r="MUX1" s="87"/>
      <c r="MUY1" s="87"/>
      <c r="MUZ1" s="87"/>
      <c r="MVA1" s="87"/>
      <c r="MVB1" s="87"/>
      <c r="MVC1" s="87"/>
      <c r="MVD1" s="87"/>
      <c r="MVE1" s="87"/>
      <c r="MVF1" s="87"/>
      <c r="MVG1" s="87"/>
      <c r="MVH1" s="87"/>
      <c r="MVI1" s="87"/>
      <c r="MVJ1" s="87"/>
      <c r="MVK1" s="87"/>
      <c r="MVL1" s="87"/>
      <c r="MVM1" s="87"/>
      <c r="MVN1" s="87"/>
      <c r="MVO1" s="87"/>
      <c r="MVP1" s="87"/>
      <c r="MVQ1" s="87"/>
      <c r="MVR1" s="87"/>
      <c r="MVS1" s="87"/>
      <c r="MVT1" s="87"/>
      <c r="MVU1" s="87"/>
      <c r="MVV1" s="87"/>
      <c r="MVW1" s="87"/>
      <c r="MVX1" s="87"/>
      <c r="MVY1" s="87"/>
      <c r="MVZ1" s="87"/>
      <c r="MWA1" s="87"/>
      <c r="MWB1" s="87"/>
      <c r="MWC1" s="87"/>
      <c r="MWD1" s="87"/>
      <c r="MWE1" s="87"/>
      <c r="MWF1" s="87"/>
      <c r="MWG1" s="87"/>
      <c r="MWH1" s="87"/>
      <c r="MWI1" s="87"/>
      <c r="MWJ1" s="87"/>
      <c r="MWK1" s="87"/>
      <c r="MWL1" s="87"/>
      <c r="MWM1" s="87"/>
      <c r="MWN1" s="87"/>
      <c r="MWO1" s="87"/>
      <c r="MWP1" s="87"/>
      <c r="MWQ1" s="87"/>
      <c r="MWR1" s="87"/>
      <c r="MWS1" s="87"/>
      <c r="MWT1" s="87"/>
      <c r="MWU1" s="87"/>
      <c r="MWV1" s="87"/>
      <c r="MWW1" s="87"/>
      <c r="MWX1" s="87"/>
      <c r="MWY1" s="87"/>
      <c r="MWZ1" s="87"/>
      <c r="MXA1" s="87"/>
      <c r="MXB1" s="87"/>
      <c r="MXC1" s="87"/>
      <c r="MXD1" s="87"/>
      <c r="MXE1" s="87"/>
      <c r="MXF1" s="87"/>
      <c r="MXG1" s="87"/>
      <c r="MXH1" s="87"/>
      <c r="MXI1" s="87"/>
      <c r="MXJ1" s="87"/>
      <c r="MXK1" s="87"/>
      <c r="MXL1" s="87"/>
      <c r="MXM1" s="87"/>
      <c r="MXN1" s="87"/>
      <c r="MXO1" s="87"/>
      <c r="MXP1" s="87"/>
      <c r="MXQ1" s="87"/>
      <c r="MXR1" s="87"/>
      <c r="MXS1" s="87"/>
      <c r="MXT1" s="87"/>
      <c r="MXU1" s="87"/>
      <c r="MXV1" s="87"/>
      <c r="MXW1" s="87"/>
      <c r="MXX1" s="87"/>
      <c r="MXY1" s="87"/>
      <c r="MXZ1" s="87"/>
      <c r="MYA1" s="87"/>
      <c r="MYB1" s="87"/>
      <c r="MYC1" s="87"/>
      <c r="MYD1" s="87"/>
      <c r="MYE1" s="87"/>
      <c r="MYF1" s="87"/>
      <c r="MYG1" s="87"/>
      <c r="MYH1" s="87"/>
      <c r="MYI1" s="87"/>
      <c r="MYJ1" s="87"/>
      <c r="MYK1" s="87"/>
      <c r="MYL1" s="87"/>
      <c r="MYM1" s="87"/>
      <c r="MYN1" s="87"/>
      <c r="MYO1" s="87"/>
      <c r="MYP1" s="87"/>
      <c r="MYQ1" s="87"/>
      <c r="MYR1" s="87"/>
      <c r="MYS1" s="87"/>
      <c r="MYT1" s="87"/>
      <c r="MYU1" s="87"/>
      <c r="MYV1" s="87"/>
      <c r="MYW1" s="87"/>
      <c r="MYX1" s="87"/>
      <c r="MYY1" s="87"/>
      <c r="MYZ1" s="87"/>
      <c r="MZA1" s="87"/>
      <c r="MZB1" s="87"/>
      <c r="MZC1" s="87"/>
      <c r="MZD1" s="87"/>
      <c r="MZE1" s="87"/>
      <c r="MZF1" s="87"/>
      <c r="MZG1" s="87"/>
      <c r="MZH1" s="87"/>
      <c r="MZI1" s="87"/>
      <c r="MZJ1" s="87"/>
      <c r="MZK1" s="87"/>
      <c r="MZL1" s="87"/>
      <c r="MZM1" s="87"/>
      <c r="MZN1" s="87"/>
      <c r="MZO1" s="87"/>
      <c r="MZP1" s="87"/>
      <c r="MZQ1" s="87"/>
      <c r="MZR1" s="87"/>
      <c r="MZS1" s="87"/>
      <c r="MZT1" s="87"/>
      <c r="MZU1" s="87"/>
      <c r="MZV1" s="87"/>
      <c r="MZW1" s="87"/>
      <c r="MZX1" s="87"/>
      <c r="MZY1" s="87"/>
      <c r="MZZ1" s="87"/>
      <c r="NAA1" s="87"/>
      <c r="NAB1" s="87"/>
      <c r="NAC1" s="87"/>
      <c r="NAD1" s="87"/>
      <c r="NAE1" s="87"/>
      <c r="NAF1" s="87"/>
      <c r="NAG1" s="87"/>
      <c r="NAH1" s="87"/>
      <c r="NAI1" s="87"/>
      <c r="NAJ1" s="87"/>
      <c r="NAK1" s="87"/>
      <c r="NAL1" s="87"/>
      <c r="NAM1" s="87"/>
      <c r="NAN1" s="87"/>
      <c r="NAO1" s="87"/>
      <c r="NAP1" s="87"/>
      <c r="NAQ1" s="87"/>
      <c r="NAR1" s="87"/>
      <c r="NAS1" s="87"/>
      <c r="NAT1" s="87"/>
      <c r="NAU1" s="87"/>
      <c r="NAV1" s="87"/>
      <c r="NAW1" s="87"/>
      <c r="NAX1" s="87"/>
      <c r="NAY1" s="87"/>
      <c r="NAZ1" s="87"/>
      <c r="NBA1" s="87"/>
      <c r="NBB1" s="87"/>
      <c r="NBC1" s="87"/>
      <c r="NBD1" s="87"/>
      <c r="NBE1" s="87"/>
      <c r="NBF1" s="87"/>
      <c r="NBG1" s="87"/>
      <c r="NBH1" s="87"/>
      <c r="NBI1" s="87"/>
      <c r="NBJ1" s="87"/>
      <c r="NBK1" s="87"/>
      <c r="NBL1" s="87"/>
      <c r="NBM1" s="87"/>
      <c r="NBN1" s="87"/>
      <c r="NBO1" s="87"/>
      <c r="NBP1" s="87"/>
      <c r="NBQ1" s="87"/>
      <c r="NBR1" s="87"/>
      <c r="NBS1" s="87"/>
      <c r="NBT1" s="87"/>
      <c r="NBU1" s="87"/>
      <c r="NBV1" s="87"/>
      <c r="NBW1" s="87"/>
      <c r="NBX1" s="87"/>
      <c r="NBY1" s="87"/>
      <c r="NBZ1" s="87"/>
      <c r="NCA1" s="87"/>
      <c r="NCB1" s="87"/>
      <c r="NCC1" s="87"/>
      <c r="NCD1" s="87"/>
      <c r="NCE1" s="87"/>
      <c r="NCF1" s="87"/>
      <c r="NCG1" s="87"/>
      <c r="NCH1" s="87"/>
      <c r="NCI1" s="87"/>
      <c r="NCJ1" s="87"/>
      <c r="NCK1" s="87"/>
      <c r="NCL1" s="87"/>
      <c r="NCM1" s="87"/>
      <c r="NCN1" s="87"/>
      <c r="NCO1" s="87"/>
      <c r="NCP1" s="87"/>
      <c r="NCQ1" s="87"/>
      <c r="NCR1" s="87"/>
      <c r="NCS1" s="87"/>
      <c r="NCT1" s="87"/>
      <c r="NCU1" s="87"/>
      <c r="NCV1" s="87"/>
      <c r="NCW1" s="87"/>
      <c r="NCX1" s="87"/>
      <c r="NCY1" s="87"/>
      <c r="NCZ1" s="87"/>
      <c r="NDA1" s="87"/>
      <c r="NDB1" s="87"/>
      <c r="NDC1" s="87"/>
      <c r="NDD1" s="87"/>
      <c r="NDE1" s="87"/>
      <c r="NDF1" s="87"/>
      <c r="NDG1" s="87"/>
      <c r="NDH1" s="87"/>
      <c r="NDI1" s="87"/>
      <c r="NDJ1" s="87"/>
      <c r="NDK1" s="87"/>
      <c r="NDL1" s="87"/>
      <c r="NDM1" s="87"/>
      <c r="NDN1" s="87"/>
      <c r="NDO1" s="87"/>
      <c r="NDP1" s="87"/>
      <c r="NDQ1" s="87"/>
      <c r="NDR1" s="87"/>
      <c r="NDS1" s="87"/>
      <c r="NDT1" s="87"/>
      <c r="NDU1" s="87"/>
      <c r="NDV1" s="87"/>
      <c r="NDW1" s="87"/>
      <c r="NDX1" s="87"/>
      <c r="NDY1" s="87"/>
      <c r="NDZ1" s="87"/>
      <c r="NEA1" s="87"/>
      <c r="NEB1" s="87"/>
      <c r="NEC1" s="87"/>
      <c r="NED1" s="87"/>
      <c r="NEE1" s="87"/>
      <c r="NEF1" s="87"/>
      <c r="NEG1" s="87"/>
      <c r="NEH1" s="87"/>
      <c r="NEI1" s="87"/>
      <c r="NEJ1" s="87"/>
      <c r="NEK1" s="87"/>
      <c r="NEL1" s="87"/>
      <c r="NEM1" s="87"/>
      <c r="NEN1" s="87"/>
      <c r="NEO1" s="87"/>
      <c r="NEP1" s="87"/>
      <c r="NEQ1" s="87"/>
      <c r="NER1" s="87"/>
      <c r="NES1" s="87"/>
      <c r="NET1" s="87"/>
      <c r="NEU1" s="87"/>
      <c r="NEV1" s="87"/>
      <c r="NEW1" s="87"/>
      <c r="NEX1" s="87"/>
      <c r="NEY1" s="87"/>
      <c r="NEZ1" s="87"/>
      <c r="NFA1" s="87"/>
      <c r="NFB1" s="87"/>
      <c r="NFC1" s="87"/>
      <c r="NFD1" s="87"/>
      <c r="NFE1" s="87"/>
      <c r="NFF1" s="87"/>
      <c r="NFG1" s="87"/>
      <c r="NFH1" s="87"/>
      <c r="NFI1" s="87"/>
      <c r="NFJ1" s="87"/>
      <c r="NFK1" s="87"/>
      <c r="NFL1" s="87"/>
      <c r="NFM1" s="87"/>
      <c r="NFN1" s="87"/>
      <c r="NFO1" s="87"/>
      <c r="NFP1" s="87"/>
      <c r="NFQ1" s="87"/>
      <c r="NFR1" s="87"/>
      <c r="NFS1" s="87"/>
      <c r="NFT1" s="87"/>
      <c r="NFU1" s="87"/>
      <c r="NFV1" s="87"/>
      <c r="NFW1" s="87"/>
      <c r="NFX1" s="87"/>
      <c r="NFY1" s="87"/>
      <c r="NFZ1" s="87"/>
      <c r="NGA1" s="87"/>
      <c r="NGB1" s="87"/>
      <c r="NGC1" s="87"/>
      <c r="NGD1" s="87"/>
      <c r="NGE1" s="87"/>
      <c r="NGF1" s="87"/>
      <c r="NGG1" s="87"/>
      <c r="NGH1" s="87"/>
      <c r="NGI1" s="87"/>
      <c r="NGJ1" s="87"/>
      <c r="NGK1" s="87"/>
      <c r="NGL1" s="87"/>
      <c r="NGM1" s="87"/>
      <c r="NGN1" s="87"/>
      <c r="NGO1" s="87"/>
      <c r="NGP1" s="87"/>
      <c r="NGQ1" s="87"/>
      <c r="NGR1" s="87"/>
      <c r="NGS1" s="87"/>
      <c r="NGT1" s="87"/>
      <c r="NGU1" s="87"/>
      <c r="NGV1" s="87"/>
      <c r="NGW1" s="87"/>
      <c r="NGX1" s="87"/>
      <c r="NGY1" s="87"/>
      <c r="NGZ1" s="87"/>
      <c r="NHA1" s="87"/>
      <c r="NHB1" s="87"/>
      <c r="NHC1" s="87"/>
      <c r="NHD1" s="87"/>
      <c r="NHE1" s="87"/>
      <c r="NHF1" s="87"/>
      <c r="NHG1" s="87"/>
      <c r="NHH1" s="87"/>
      <c r="NHI1" s="87"/>
      <c r="NHJ1" s="87"/>
      <c r="NHK1" s="87"/>
      <c r="NHL1" s="87"/>
      <c r="NHM1" s="87"/>
      <c r="NHN1" s="87"/>
      <c r="NHO1" s="87"/>
      <c r="NHP1" s="87"/>
      <c r="NHQ1" s="87"/>
      <c r="NHR1" s="87"/>
      <c r="NHS1" s="87"/>
      <c r="NHT1" s="87"/>
      <c r="NHU1" s="87"/>
      <c r="NHV1" s="87"/>
      <c r="NHW1" s="87"/>
      <c r="NHX1" s="87"/>
      <c r="NHY1" s="87"/>
      <c r="NHZ1" s="87"/>
      <c r="NIA1" s="87"/>
      <c r="NIB1" s="87"/>
      <c r="NIC1" s="87"/>
      <c r="NID1" s="87"/>
      <c r="NIE1" s="87"/>
      <c r="NIF1" s="87"/>
      <c r="NIG1" s="87"/>
      <c r="NIH1" s="87"/>
      <c r="NII1" s="87"/>
      <c r="NIJ1" s="87"/>
      <c r="NIK1" s="87"/>
      <c r="NIL1" s="87"/>
      <c r="NIM1" s="87"/>
      <c r="NIN1" s="87"/>
      <c r="NIO1" s="87"/>
      <c r="NIP1" s="87"/>
      <c r="NIQ1" s="87"/>
      <c r="NIR1" s="87"/>
      <c r="NIS1" s="87"/>
      <c r="NIT1" s="87"/>
      <c r="NIU1" s="87"/>
      <c r="NIV1" s="87"/>
      <c r="NIW1" s="87"/>
      <c r="NIX1" s="87"/>
      <c r="NIY1" s="87"/>
      <c r="NIZ1" s="87"/>
      <c r="NJA1" s="87"/>
      <c r="NJB1" s="87"/>
      <c r="NJC1" s="87"/>
      <c r="NJD1" s="87"/>
      <c r="NJE1" s="87"/>
      <c r="NJF1" s="87"/>
      <c r="NJG1" s="87"/>
      <c r="NJH1" s="87"/>
      <c r="NJI1" s="87"/>
      <c r="NJJ1" s="87"/>
      <c r="NJK1" s="87"/>
      <c r="NJL1" s="87"/>
      <c r="NJM1" s="87"/>
      <c r="NJN1" s="87"/>
      <c r="NJO1" s="87"/>
      <c r="NJP1" s="87"/>
      <c r="NJQ1" s="87"/>
      <c r="NJR1" s="87"/>
      <c r="NJS1" s="87"/>
      <c r="NJT1" s="87"/>
      <c r="NJU1" s="87"/>
      <c r="NJV1" s="87"/>
      <c r="NJW1" s="87"/>
      <c r="NJX1" s="87"/>
      <c r="NJY1" s="87"/>
      <c r="NJZ1" s="87"/>
      <c r="NKA1" s="87"/>
      <c r="NKB1" s="87"/>
      <c r="NKC1" s="87"/>
      <c r="NKD1" s="87"/>
      <c r="NKE1" s="87"/>
      <c r="NKF1" s="87"/>
      <c r="NKG1" s="87"/>
      <c r="NKH1" s="87"/>
      <c r="NKI1" s="87"/>
      <c r="NKJ1" s="87"/>
      <c r="NKK1" s="87"/>
      <c r="NKL1" s="87"/>
      <c r="NKM1" s="87"/>
      <c r="NKN1" s="87"/>
      <c r="NKO1" s="87"/>
      <c r="NKP1" s="87"/>
      <c r="NKQ1" s="87"/>
      <c r="NKR1" s="87"/>
      <c r="NKS1" s="87"/>
      <c r="NKT1" s="87"/>
      <c r="NKU1" s="87"/>
      <c r="NKV1" s="87"/>
      <c r="NKW1" s="87"/>
      <c r="NKX1" s="87"/>
      <c r="NKY1" s="87"/>
      <c r="NKZ1" s="87"/>
      <c r="NLA1" s="87"/>
      <c r="NLB1" s="87"/>
      <c r="NLC1" s="87"/>
      <c r="NLD1" s="87"/>
      <c r="NLE1" s="87"/>
      <c r="NLF1" s="87"/>
      <c r="NLG1" s="87"/>
      <c r="NLH1" s="87"/>
      <c r="NLI1" s="87"/>
      <c r="NLJ1" s="87"/>
      <c r="NLK1" s="87"/>
      <c r="NLL1" s="87"/>
      <c r="NLM1" s="87"/>
      <c r="NLN1" s="87"/>
      <c r="NLO1" s="87"/>
      <c r="NLP1" s="87"/>
      <c r="NLQ1" s="87"/>
      <c r="NLR1" s="87"/>
      <c r="NLS1" s="87"/>
      <c r="NLT1" s="87"/>
      <c r="NLU1" s="87"/>
      <c r="NLV1" s="87"/>
      <c r="NLW1" s="87"/>
      <c r="NLX1" s="87"/>
      <c r="NLY1" s="87"/>
      <c r="NLZ1" s="87"/>
      <c r="NMA1" s="87"/>
      <c r="NMB1" s="87"/>
      <c r="NMC1" s="87"/>
      <c r="NMD1" s="87"/>
      <c r="NME1" s="87"/>
      <c r="NMF1" s="87"/>
      <c r="NMG1" s="87"/>
      <c r="NMH1" s="87"/>
      <c r="NMI1" s="87"/>
      <c r="NMJ1" s="87"/>
      <c r="NMK1" s="87"/>
      <c r="NML1" s="87"/>
      <c r="NMM1" s="87"/>
      <c r="NMN1" s="87"/>
      <c r="NMO1" s="87"/>
      <c r="NMP1" s="87"/>
      <c r="NMQ1" s="87"/>
      <c r="NMR1" s="87"/>
      <c r="NMS1" s="87"/>
      <c r="NMT1" s="87"/>
      <c r="NMU1" s="87"/>
      <c r="NMV1" s="87"/>
      <c r="NMW1" s="87"/>
      <c r="NMX1" s="87"/>
      <c r="NMY1" s="87"/>
      <c r="NMZ1" s="87"/>
      <c r="NNA1" s="87"/>
      <c r="NNB1" s="87"/>
      <c r="NNC1" s="87"/>
      <c r="NND1" s="87"/>
      <c r="NNE1" s="87"/>
      <c r="NNF1" s="87"/>
      <c r="NNG1" s="87"/>
      <c r="NNH1" s="87"/>
      <c r="NNI1" s="87"/>
      <c r="NNJ1" s="87"/>
      <c r="NNK1" s="87"/>
      <c r="NNL1" s="87"/>
      <c r="NNM1" s="87"/>
      <c r="NNN1" s="87"/>
      <c r="NNO1" s="87"/>
      <c r="NNP1" s="87"/>
      <c r="NNQ1" s="87"/>
      <c r="NNR1" s="87"/>
      <c r="NNS1" s="87"/>
      <c r="NNT1" s="87"/>
      <c r="NNU1" s="87"/>
      <c r="NNV1" s="87"/>
      <c r="NNW1" s="87"/>
      <c r="NNX1" s="87"/>
      <c r="NNY1" s="87"/>
      <c r="NNZ1" s="87"/>
      <c r="NOA1" s="87"/>
      <c r="NOB1" s="87"/>
      <c r="NOC1" s="87"/>
      <c r="NOD1" s="87"/>
      <c r="NOE1" s="87"/>
      <c r="NOF1" s="87"/>
      <c r="NOG1" s="87"/>
      <c r="NOH1" s="87"/>
      <c r="NOI1" s="87"/>
      <c r="NOJ1" s="87"/>
      <c r="NOK1" s="87"/>
      <c r="NOL1" s="87"/>
      <c r="NOM1" s="87"/>
      <c r="NON1" s="87"/>
      <c r="NOO1" s="87"/>
      <c r="NOP1" s="87"/>
      <c r="NOQ1" s="87"/>
      <c r="NOR1" s="87"/>
      <c r="NOS1" s="87"/>
      <c r="NOT1" s="87"/>
      <c r="NOU1" s="87"/>
      <c r="NOV1" s="87"/>
      <c r="NOW1" s="87"/>
      <c r="NOX1" s="87"/>
      <c r="NOY1" s="87"/>
      <c r="NOZ1" s="87"/>
      <c r="NPA1" s="87"/>
      <c r="NPB1" s="87"/>
      <c r="NPC1" s="87"/>
      <c r="NPD1" s="87"/>
      <c r="NPE1" s="87"/>
      <c r="NPF1" s="87"/>
      <c r="NPG1" s="87"/>
      <c r="NPH1" s="87"/>
      <c r="NPI1" s="87"/>
      <c r="NPJ1" s="87"/>
      <c r="NPK1" s="87"/>
      <c r="NPL1" s="87"/>
      <c r="NPM1" s="87"/>
      <c r="NPN1" s="87"/>
      <c r="NPO1" s="87"/>
      <c r="NPP1" s="87"/>
      <c r="NPQ1" s="87"/>
      <c r="NPR1" s="87"/>
      <c r="NPS1" s="87"/>
      <c r="NPT1" s="87"/>
      <c r="NPU1" s="87"/>
      <c r="NPV1" s="87"/>
      <c r="NPW1" s="87"/>
      <c r="NPX1" s="87"/>
      <c r="NPY1" s="87"/>
      <c r="NPZ1" s="87"/>
      <c r="NQA1" s="87"/>
      <c r="NQB1" s="87"/>
      <c r="NQC1" s="87"/>
      <c r="NQD1" s="87"/>
      <c r="NQE1" s="87"/>
      <c r="NQF1" s="87"/>
      <c r="NQG1" s="87"/>
      <c r="NQH1" s="87"/>
      <c r="NQI1" s="87"/>
      <c r="NQJ1" s="87"/>
      <c r="NQK1" s="87"/>
      <c r="NQL1" s="87"/>
      <c r="NQM1" s="87"/>
      <c r="NQN1" s="87"/>
      <c r="NQO1" s="87"/>
      <c r="NQP1" s="87"/>
      <c r="NQQ1" s="87"/>
      <c r="NQR1" s="87"/>
      <c r="NQS1" s="87"/>
      <c r="NQT1" s="87"/>
      <c r="NQU1" s="87"/>
      <c r="NQV1" s="87"/>
      <c r="NQW1" s="87"/>
      <c r="NQX1" s="87"/>
      <c r="NQY1" s="87"/>
      <c r="NQZ1" s="87"/>
      <c r="NRA1" s="87"/>
      <c r="NRB1" s="87"/>
      <c r="NRC1" s="87"/>
      <c r="NRD1" s="87"/>
      <c r="NRE1" s="87"/>
      <c r="NRF1" s="87"/>
      <c r="NRG1" s="87"/>
      <c r="NRH1" s="87"/>
      <c r="NRI1" s="87"/>
      <c r="NRJ1" s="87"/>
      <c r="NRK1" s="87"/>
      <c r="NRL1" s="87"/>
      <c r="NRM1" s="87"/>
      <c r="NRN1" s="87"/>
      <c r="NRO1" s="87"/>
      <c r="NRP1" s="87"/>
      <c r="NRQ1" s="87"/>
      <c r="NRR1" s="87"/>
      <c r="NRS1" s="87"/>
      <c r="NRT1" s="87"/>
      <c r="NRU1" s="87"/>
      <c r="NRV1" s="87"/>
      <c r="NRW1" s="87"/>
      <c r="NRX1" s="87"/>
      <c r="NRY1" s="87"/>
      <c r="NRZ1" s="87"/>
      <c r="NSA1" s="87"/>
      <c r="NSB1" s="87"/>
      <c r="NSC1" s="87"/>
      <c r="NSD1" s="87"/>
      <c r="NSE1" s="87"/>
      <c r="NSF1" s="87"/>
      <c r="NSG1" s="87"/>
      <c r="NSH1" s="87"/>
      <c r="NSI1" s="87"/>
      <c r="NSJ1" s="87"/>
      <c r="NSK1" s="87"/>
      <c r="NSL1" s="87"/>
      <c r="NSM1" s="87"/>
      <c r="NSN1" s="87"/>
      <c r="NSO1" s="87"/>
      <c r="NSP1" s="87"/>
      <c r="NSQ1" s="87"/>
      <c r="NSR1" s="87"/>
      <c r="NSS1" s="87"/>
      <c r="NST1" s="87"/>
      <c r="NSU1" s="87"/>
      <c r="NSV1" s="87"/>
      <c r="NSW1" s="87"/>
      <c r="NSX1" s="87"/>
      <c r="NSY1" s="87"/>
      <c r="NSZ1" s="87"/>
      <c r="NTA1" s="87"/>
      <c r="NTB1" s="87"/>
      <c r="NTC1" s="87"/>
      <c r="NTD1" s="87"/>
      <c r="NTE1" s="87"/>
      <c r="NTF1" s="87"/>
      <c r="NTG1" s="87"/>
      <c r="NTH1" s="87"/>
      <c r="NTI1" s="87"/>
      <c r="NTJ1" s="87"/>
      <c r="NTK1" s="87"/>
      <c r="NTL1" s="87"/>
      <c r="NTM1" s="87"/>
      <c r="NTN1" s="87"/>
      <c r="NTO1" s="87"/>
      <c r="NTP1" s="87"/>
      <c r="NTQ1" s="87"/>
      <c r="NTR1" s="87"/>
      <c r="NTS1" s="87"/>
      <c r="NTT1" s="87"/>
      <c r="NTU1" s="87"/>
      <c r="NTV1" s="87"/>
      <c r="NTW1" s="87"/>
      <c r="NTX1" s="87"/>
      <c r="NTY1" s="87"/>
      <c r="NTZ1" s="87"/>
      <c r="NUA1" s="87"/>
      <c r="NUB1" s="87"/>
      <c r="NUC1" s="87"/>
      <c r="NUD1" s="87"/>
      <c r="NUE1" s="87"/>
      <c r="NUF1" s="87"/>
      <c r="NUG1" s="87"/>
      <c r="NUH1" s="87"/>
      <c r="NUI1" s="87"/>
      <c r="NUJ1" s="87"/>
      <c r="NUK1" s="87"/>
      <c r="NUL1" s="87"/>
      <c r="NUM1" s="87"/>
      <c r="NUN1" s="87"/>
      <c r="NUO1" s="87"/>
      <c r="NUP1" s="87"/>
      <c r="NUQ1" s="87"/>
      <c r="NUR1" s="87"/>
      <c r="NUS1" s="87"/>
      <c r="NUT1" s="87"/>
      <c r="NUU1" s="87"/>
      <c r="NUV1" s="87"/>
      <c r="NUW1" s="87"/>
      <c r="NUX1" s="87"/>
      <c r="NUY1" s="87"/>
      <c r="NUZ1" s="87"/>
      <c r="NVA1" s="87"/>
      <c r="NVB1" s="87"/>
      <c r="NVC1" s="87"/>
      <c r="NVD1" s="87"/>
      <c r="NVE1" s="87"/>
      <c r="NVF1" s="87"/>
      <c r="NVG1" s="87"/>
      <c r="NVH1" s="87"/>
      <c r="NVI1" s="87"/>
      <c r="NVJ1" s="87"/>
      <c r="NVK1" s="87"/>
      <c r="NVL1" s="87"/>
      <c r="NVM1" s="87"/>
      <c r="NVN1" s="87"/>
      <c r="NVO1" s="87"/>
      <c r="NVP1" s="87"/>
      <c r="NVQ1" s="87"/>
      <c r="NVR1" s="87"/>
      <c r="NVS1" s="87"/>
      <c r="NVT1" s="87"/>
      <c r="NVU1" s="87"/>
      <c r="NVV1" s="87"/>
      <c r="NVW1" s="87"/>
      <c r="NVX1" s="87"/>
      <c r="NVY1" s="87"/>
      <c r="NVZ1" s="87"/>
      <c r="NWA1" s="87"/>
      <c r="NWB1" s="87"/>
      <c r="NWC1" s="87"/>
      <c r="NWD1" s="87"/>
      <c r="NWE1" s="87"/>
      <c r="NWF1" s="87"/>
      <c r="NWG1" s="87"/>
      <c r="NWH1" s="87"/>
      <c r="NWI1" s="87"/>
      <c r="NWJ1" s="87"/>
      <c r="NWK1" s="87"/>
      <c r="NWL1" s="87"/>
      <c r="NWM1" s="87"/>
      <c r="NWN1" s="87"/>
      <c r="NWO1" s="87"/>
      <c r="NWP1" s="87"/>
      <c r="NWQ1" s="87"/>
      <c r="NWR1" s="87"/>
      <c r="NWS1" s="87"/>
      <c r="NWT1" s="87"/>
      <c r="NWU1" s="87"/>
      <c r="NWV1" s="87"/>
      <c r="NWW1" s="87"/>
      <c r="NWX1" s="87"/>
      <c r="NWY1" s="87"/>
      <c r="NWZ1" s="87"/>
      <c r="NXA1" s="87"/>
      <c r="NXB1" s="87"/>
      <c r="NXC1" s="87"/>
      <c r="NXD1" s="87"/>
      <c r="NXE1" s="87"/>
      <c r="NXF1" s="87"/>
      <c r="NXG1" s="87"/>
      <c r="NXH1" s="87"/>
      <c r="NXI1" s="87"/>
      <c r="NXJ1" s="87"/>
      <c r="NXK1" s="87"/>
      <c r="NXL1" s="87"/>
      <c r="NXM1" s="87"/>
      <c r="NXN1" s="87"/>
      <c r="NXO1" s="87"/>
      <c r="NXP1" s="87"/>
      <c r="NXQ1" s="87"/>
      <c r="NXR1" s="87"/>
      <c r="NXS1" s="87"/>
      <c r="NXT1" s="87"/>
      <c r="NXU1" s="87"/>
      <c r="NXV1" s="87"/>
      <c r="NXW1" s="87"/>
      <c r="NXX1" s="87"/>
      <c r="NXY1" s="87"/>
      <c r="NXZ1" s="87"/>
      <c r="NYA1" s="87"/>
      <c r="NYB1" s="87"/>
      <c r="NYC1" s="87"/>
      <c r="NYD1" s="87"/>
      <c r="NYE1" s="87"/>
      <c r="NYF1" s="87"/>
      <c r="NYG1" s="87"/>
      <c r="NYH1" s="87"/>
      <c r="NYI1" s="87"/>
      <c r="NYJ1" s="87"/>
      <c r="NYK1" s="87"/>
      <c r="NYL1" s="87"/>
      <c r="NYM1" s="87"/>
      <c r="NYN1" s="87"/>
      <c r="NYO1" s="87"/>
      <c r="NYP1" s="87"/>
      <c r="NYQ1" s="87"/>
      <c r="NYR1" s="87"/>
      <c r="NYS1" s="87"/>
      <c r="NYT1" s="87"/>
      <c r="NYU1" s="87"/>
      <c r="NYV1" s="87"/>
      <c r="NYW1" s="87"/>
      <c r="NYX1" s="87"/>
      <c r="NYY1" s="87"/>
      <c r="NYZ1" s="87"/>
      <c r="NZA1" s="87"/>
      <c r="NZB1" s="87"/>
      <c r="NZC1" s="87"/>
      <c r="NZD1" s="87"/>
      <c r="NZE1" s="87"/>
      <c r="NZF1" s="87"/>
      <c r="NZG1" s="87"/>
      <c r="NZH1" s="87"/>
      <c r="NZI1" s="87"/>
      <c r="NZJ1" s="87"/>
      <c r="NZK1" s="87"/>
      <c r="NZL1" s="87"/>
      <c r="NZM1" s="87"/>
      <c r="NZN1" s="87"/>
      <c r="NZO1" s="87"/>
      <c r="NZP1" s="87"/>
      <c r="NZQ1" s="87"/>
      <c r="NZR1" s="87"/>
      <c r="NZS1" s="87"/>
      <c r="NZT1" s="87"/>
      <c r="NZU1" s="87"/>
      <c r="NZV1" s="87"/>
      <c r="NZW1" s="87"/>
      <c r="NZX1" s="87"/>
      <c r="NZY1" s="87"/>
      <c r="NZZ1" s="87"/>
      <c r="OAA1" s="87"/>
      <c r="OAB1" s="87"/>
      <c r="OAC1" s="87"/>
      <c r="OAD1" s="87"/>
      <c r="OAE1" s="87"/>
      <c r="OAF1" s="87"/>
      <c r="OAG1" s="87"/>
      <c r="OAH1" s="87"/>
      <c r="OAI1" s="87"/>
      <c r="OAJ1" s="87"/>
      <c r="OAK1" s="87"/>
      <c r="OAL1" s="87"/>
      <c r="OAM1" s="87"/>
      <c r="OAN1" s="87"/>
      <c r="OAO1" s="87"/>
      <c r="OAP1" s="87"/>
      <c r="OAQ1" s="87"/>
      <c r="OAR1" s="87"/>
      <c r="OAS1" s="87"/>
      <c r="OAT1" s="87"/>
      <c r="OAU1" s="87"/>
      <c r="OAV1" s="87"/>
      <c r="OAW1" s="87"/>
      <c r="OAX1" s="87"/>
      <c r="OAY1" s="87"/>
      <c r="OAZ1" s="87"/>
      <c r="OBA1" s="87"/>
      <c r="OBB1" s="87"/>
      <c r="OBC1" s="87"/>
      <c r="OBD1" s="87"/>
      <c r="OBE1" s="87"/>
      <c r="OBF1" s="87"/>
      <c r="OBG1" s="87"/>
      <c r="OBH1" s="87"/>
      <c r="OBI1" s="87"/>
      <c r="OBJ1" s="87"/>
      <c r="OBK1" s="87"/>
      <c r="OBL1" s="87"/>
      <c r="OBM1" s="87"/>
      <c r="OBN1" s="87"/>
      <c r="OBO1" s="87"/>
      <c r="OBP1" s="87"/>
      <c r="OBQ1" s="87"/>
      <c r="OBR1" s="87"/>
      <c r="OBS1" s="87"/>
      <c r="OBT1" s="87"/>
      <c r="OBU1" s="87"/>
      <c r="OBV1" s="87"/>
      <c r="OBW1" s="87"/>
      <c r="OBX1" s="87"/>
      <c r="OBY1" s="87"/>
      <c r="OBZ1" s="87"/>
      <c r="OCA1" s="87"/>
      <c r="OCB1" s="87"/>
      <c r="OCC1" s="87"/>
      <c r="OCD1" s="87"/>
      <c r="OCE1" s="87"/>
      <c r="OCF1" s="87"/>
      <c r="OCG1" s="87"/>
      <c r="OCH1" s="87"/>
      <c r="OCI1" s="87"/>
      <c r="OCJ1" s="87"/>
      <c r="OCK1" s="87"/>
      <c r="OCL1" s="87"/>
      <c r="OCM1" s="87"/>
      <c r="OCN1" s="87"/>
      <c r="OCO1" s="87"/>
      <c r="OCP1" s="87"/>
      <c r="OCQ1" s="87"/>
      <c r="OCR1" s="87"/>
      <c r="OCS1" s="87"/>
      <c r="OCT1" s="87"/>
      <c r="OCU1" s="87"/>
      <c r="OCV1" s="87"/>
      <c r="OCW1" s="87"/>
      <c r="OCX1" s="87"/>
      <c r="OCY1" s="87"/>
      <c r="OCZ1" s="87"/>
      <c r="ODA1" s="87"/>
      <c r="ODB1" s="87"/>
      <c r="ODC1" s="87"/>
      <c r="ODD1" s="87"/>
      <c r="ODE1" s="87"/>
      <c r="ODF1" s="87"/>
      <c r="ODG1" s="87"/>
      <c r="ODH1" s="87"/>
      <c r="ODI1" s="87"/>
      <c r="ODJ1" s="87"/>
      <c r="ODK1" s="87"/>
      <c r="ODL1" s="87"/>
      <c r="ODM1" s="87"/>
      <c r="ODN1" s="87"/>
      <c r="ODO1" s="87"/>
      <c r="ODP1" s="87"/>
      <c r="ODQ1" s="87"/>
      <c r="ODR1" s="87"/>
      <c r="ODS1" s="87"/>
      <c r="ODT1" s="87"/>
      <c r="ODU1" s="87"/>
      <c r="ODV1" s="87"/>
      <c r="ODW1" s="87"/>
      <c r="ODX1" s="87"/>
      <c r="ODY1" s="87"/>
      <c r="ODZ1" s="87"/>
      <c r="OEA1" s="87"/>
      <c r="OEB1" s="87"/>
      <c r="OEC1" s="87"/>
      <c r="OED1" s="87"/>
      <c r="OEE1" s="87"/>
      <c r="OEF1" s="87"/>
      <c r="OEG1" s="87"/>
      <c r="OEH1" s="87"/>
      <c r="OEI1" s="87"/>
      <c r="OEJ1" s="87"/>
      <c r="OEK1" s="87"/>
      <c r="OEL1" s="87"/>
      <c r="OEM1" s="87"/>
      <c r="OEN1" s="87"/>
      <c r="OEO1" s="87"/>
      <c r="OEP1" s="87"/>
      <c r="OEQ1" s="87"/>
      <c r="OER1" s="87"/>
      <c r="OES1" s="87"/>
      <c r="OET1" s="87"/>
      <c r="OEU1" s="87"/>
      <c r="OEV1" s="87"/>
      <c r="OEW1" s="87"/>
      <c r="OEX1" s="87"/>
      <c r="OEY1" s="87"/>
      <c r="OEZ1" s="87"/>
      <c r="OFA1" s="87"/>
      <c r="OFB1" s="87"/>
      <c r="OFC1" s="87"/>
      <c r="OFD1" s="87"/>
      <c r="OFE1" s="87"/>
      <c r="OFF1" s="87"/>
      <c r="OFG1" s="87"/>
      <c r="OFH1" s="87"/>
      <c r="OFI1" s="87"/>
      <c r="OFJ1" s="87"/>
      <c r="OFK1" s="87"/>
      <c r="OFL1" s="87"/>
      <c r="OFM1" s="87"/>
      <c r="OFN1" s="87"/>
      <c r="OFO1" s="87"/>
      <c r="OFP1" s="87"/>
      <c r="OFQ1" s="87"/>
      <c r="OFR1" s="87"/>
      <c r="OFS1" s="87"/>
      <c r="OFT1" s="87"/>
      <c r="OFU1" s="87"/>
      <c r="OFV1" s="87"/>
      <c r="OFW1" s="87"/>
      <c r="OFX1" s="87"/>
      <c r="OFY1" s="87"/>
      <c r="OFZ1" s="87"/>
      <c r="OGA1" s="87"/>
      <c r="OGB1" s="87"/>
      <c r="OGC1" s="87"/>
      <c r="OGD1" s="87"/>
      <c r="OGE1" s="87"/>
      <c r="OGF1" s="87"/>
      <c r="OGG1" s="87"/>
      <c r="OGH1" s="87"/>
      <c r="OGI1" s="87"/>
      <c r="OGJ1" s="87"/>
      <c r="OGK1" s="87"/>
      <c r="OGL1" s="87"/>
      <c r="OGM1" s="87"/>
      <c r="OGN1" s="87"/>
      <c r="OGO1" s="87"/>
      <c r="OGP1" s="87"/>
      <c r="OGQ1" s="87"/>
      <c r="OGR1" s="87"/>
      <c r="OGS1" s="87"/>
      <c r="OGT1" s="87"/>
      <c r="OGU1" s="87"/>
      <c r="OGV1" s="87"/>
      <c r="OGW1" s="87"/>
      <c r="OGX1" s="87"/>
      <c r="OGY1" s="87"/>
      <c r="OGZ1" s="87"/>
      <c r="OHA1" s="87"/>
      <c r="OHB1" s="87"/>
      <c r="OHC1" s="87"/>
      <c r="OHD1" s="87"/>
      <c r="OHE1" s="87"/>
      <c r="OHF1" s="87"/>
      <c r="OHG1" s="87"/>
      <c r="OHH1" s="87"/>
      <c r="OHI1" s="87"/>
      <c r="OHJ1" s="87"/>
      <c r="OHK1" s="87"/>
      <c r="OHL1" s="87"/>
      <c r="OHM1" s="87"/>
      <c r="OHN1" s="87"/>
      <c r="OHO1" s="87"/>
      <c r="OHP1" s="87"/>
      <c r="OHQ1" s="87"/>
      <c r="OHR1" s="87"/>
      <c r="OHS1" s="87"/>
      <c r="OHT1" s="87"/>
      <c r="OHU1" s="87"/>
      <c r="OHV1" s="87"/>
      <c r="OHW1" s="87"/>
      <c r="OHX1" s="87"/>
      <c r="OHY1" s="87"/>
      <c r="OHZ1" s="87"/>
      <c r="OIA1" s="87"/>
      <c r="OIB1" s="87"/>
      <c r="OIC1" s="87"/>
      <c r="OID1" s="87"/>
      <c r="OIE1" s="87"/>
      <c r="OIF1" s="87"/>
      <c r="OIG1" s="87"/>
      <c r="OIH1" s="87"/>
      <c r="OII1" s="87"/>
      <c r="OIJ1" s="87"/>
      <c r="OIK1" s="87"/>
      <c r="OIL1" s="87"/>
      <c r="OIM1" s="87"/>
      <c r="OIN1" s="87"/>
      <c r="OIO1" s="87"/>
      <c r="OIP1" s="87"/>
      <c r="OIQ1" s="87"/>
      <c r="OIR1" s="87"/>
      <c r="OIS1" s="87"/>
      <c r="OIT1" s="87"/>
      <c r="OIU1" s="87"/>
      <c r="OIV1" s="87"/>
      <c r="OIW1" s="87"/>
      <c r="OIX1" s="87"/>
      <c r="OIY1" s="87"/>
      <c r="OIZ1" s="87"/>
      <c r="OJA1" s="87"/>
      <c r="OJB1" s="87"/>
      <c r="OJC1" s="87"/>
      <c r="OJD1" s="87"/>
      <c r="OJE1" s="87"/>
      <c r="OJF1" s="87"/>
      <c r="OJG1" s="87"/>
      <c r="OJH1" s="87"/>
      <c r="OJI1" s="87"/>
      <c r="OJJ1" s="87"/>
      <c r="OJK1" s="87"/>
      <c r="OJL1" s="87"/>
      <c r="OJM1" s="87"/>
      <c r="OJN1" s="87"/>
      <c r="OJO1" s="87"/>
      <c r="OJP1" s="87"/>
      <c r="OJQ1" s="87"/>
      <c r="OJR1" s="87"/>
      <c r="OJS1" s="87"/>
      <c r="OJT1" s="87"/>
      <c r="OJU1" s="87"/>
      <c r="OJV1" s="87"/>
      <c r="OJW1" s="87"/>
      <c r="OJX1" s="87"/>
      <c r="OJY1" s="87"/>
      <c r="OJZ1" s="87"/>
      <c r="OKA1" s="87"/>
      <c r="OKB1" s="87"/>
      <c r="OKC1" s="87"/>
      <c r="OKD1" s="87"/>
      <c r="OKE1" s="87"/>
      <c r="OKF1" s="87"/>
      <c r="OKG1" s="87"/>
      <c r="OKH1" s="87"/>
      <c r="OKI1" s="87"/>
      <c r="OKJ1" s="87"/>
      <c r="OKK1" s="87"/>
      <c r="OKL1" s="87"/>
      <c r="OKM1" s="87"/>
      <c r="OKN1" s="87"/>
      <c r="OKO1" s="87"/>
      <c r="OKP1" s="87"/>
      <c r="OKQ1" s="87"/>
      <c r="OKR1" s="87"/>
      <c r="OKS1" s="87"/>
      <c r="OKT1" s="87"/>
      <c r="OKU1" s="87"/>
      <c r="OKV1" s="87"/>
      <c r="OKW1" s="87"/>
      <c r="OKX1" s="87"/>
      <c r="OKY1" s="87"/>
      <c r="OKZ1" s="87"/>
      <c r="OLA1" s="87"/>
      <c r="OLB1" s="87"/>
      <c r="OLC1" s="87"/>
      <c r="OLD1" s="87"/>
      <c r="OLE1" s="87"/>
      <c r="OLF1" s="87"/>
      <c r="OLG1" s="87"/>
      <c r="OLH1" s="87"/>
      <c r="OLI1" s="87"/>
      <c r="OLJ1" s="87"/>
      <c r="OLK1" s="87"/>
      <c r="OLL1" s="87"/>
      <c r="OLM1" s="87"/>
      <c r="OLN1" s="87"/>
      <c r="OLO1" s="87"/>
      <c r="OLP1" s="87"/>
      <c r="OLQ1" s="87"/>
      <c r="OLR1" s="87"/>
      <c r="OLS1" s="87"/>
      <c r="OLT1" s="87"/>
      <c r="OLU1" s="87"/>
      <c r="OLV1" s="87"/>
      <c r="OLW1" s="87"/>
      <c r="OLX1" s="87"/>
      <c r="OLY1" s="87"/>
      <c r="OLZ1" s="87"/>
      <c r="OMA1" s="87"/>
      <c r="OMB1" s="87"/>
      <c r="OMC1" s="87"/>
      <c r="OMD1" s="87"/>
      <c r="OME1" s="87"/>
      <c r="OMF1" s="87"/>
      <c r="OMG1" s="87"/>
      <c r="OMH1" s="87"/>
      <c r="OMI1" s="87"/>
      <c r="OMJ1" s="87"/>
      <c r="OMK1" s="87"/>
      <c r="OML1" s="87"/>
      <c r="OMM1" s="87"/>
      <c r="OMN1" s="87"/>
      <c r="OMO1" s="87"/>
      <c r="OMP1" s="87"/>
      <c r="OMQ1" s="87"/>
      <c r="OMR1" s="87"/>
      <c r="OMS1" s="87"/>
      <c r="OMT1" s="87"/>
      <c r="OMU1" s="87"/>
      <c r="OMV1" s="87"/>
      <c r="OMW1" s="87"/>
      <c r="OMX1" s="87"/>
      <c r="OMY1" s="87"/>
      <c r="OMZ1" s="87"/>
      <c r="ONA1" s="87"/>
      <c r="ONB1" s="87"/>
      <c r="ONC1" s="87"/>
      <c r="OND1" s="87"/>
      <c r="ONE1" s="87"/>
      <c r="ONF1" s="87"/>
      <c r="ONG1" s="87"/>
      <c r="ONH1" s="87"/>
      <c r="ONI1" s="87"/>
      <c r="ONJ1" s="87"/>
      <c r="ONK1" s="87"/>
      <c r="ONL1" s="87"/>
      <c r="ONM1" s="87"/>
      <c r="ONN1" s="87"/>
      <c r="ONO1" s="87"/>
      <c r="ONP1" s="87"/>
      <c r="ONQ1" s="87"/>
      <c r="ONR1" s="87"/>
      <c r="ONS1" s="87"/>
      <c r="ONT1" s="87"/>
      <c r="ONU1" s="87"/>
      <c r="ONV1" s="87"/>
      <c r="ONW1" s="87"/>
      <c r="ONX1" s="87"/>
      <c r="ONY1" s="87"/>
      <c r="ONZ1" s="87"/>
      <c r="OOA1" s="87"/>
      <c r="OOB1" s="87"/>
      <c r="OOC1" s="87"/>
      <c r="OOD1" s="87"/>
      <c r="OOE1" s="87"/>
      <c r="OOF1" s="87"/>
      <c r="OOG1" s="87"/>
      <c r="OOH1" s="87"/>
      <c r="OOI1" s="87"/>
      <c r="OOJ1" s="87"/>
      <c r="OOK1" s="87"/>
      <c r="OOL1" s="87"/>
      <c r="OOM1" s="87"/>
      <c r="OON1" s="87"/>
      <c r="OOO1" s="87"/>
      <c r="OOP1" s="87"/>
      <c r="OOQ1" s="87"/>
      <c r="OOR1" s="87"/>
      <c r="OOS1" s="87"/>
      <c r="OOT1" s="87"/>
      <c r="OOU1" s="87"/>
      <c r="OOV1" s="87"/>
      <c r="OOW1" s="87"/>
      <c r="OOX1" s="87"/>
      <c r="OOY1" s="87"/>
      <c r="OOZ1" s="87"/>
      <c r="OPA1" s="87"/>
      <c r="OPB1" s="87"/>
      <c r="OPC1" s="87"/>
      <c r="OPD1" s="87"/>
      <c r="OPE1" s="87"/>
      <c r="OPF1" s="87"/>
      <c r="OPG1" s="87"/>
      <c r="OPH1" s="87"/>
      <c r="OPI1" s="87"/>
      <c r="OPJ1" s="87"/>
      <c r="OPK1" s="87"/>
      <c r="OPL1" s="87"/>
      <c r="OPM1" s="87"/>
      <c r="OPN1" s="87"/>
      <c r="OPO1" s="87"/>
      <c r="OPP1" s="87"/>
      <c r="OPQ1" s="87"/>
      <c r="OPR1" s="87"/>
      <c r="OPS1" s="87"/>
      <c r="OPT1" s="87"/>
      <c r="OPU1" s="87"/>
      <c r="OPV1" s="87"/>
      <c r="OPW1" s="87"/>
      <c r="OPX1" s="87"/>
      <c r="OPY1" s="87"/>
      <c r="OPZ1" s="87"/>
      <c r="OQA1" s="87"/>
      <c r="OQB1" s="87"/>
      <c r="OQC1" s="87"/>
      <c r="OQD1" s="87"/>
      <c r="OQE1" s="87"/>
      <c r="OQF1" s="87"/>
      <c r="OQG1" s="87"/>
      <c r="OQH1" s="87"/>
      <c r="OQI1" s="87"/>
      <c r="OQJ1" s="87"/>
      <c r="OQK1" s="87"/>
      <c r="OQL1" s="87"/>
      <c r="OQM1" s="87"/>
      <c r="OQN1" s="87"/>
      <c r="OQO1" s="87"/>
      <c r="OQP1" s="87"/>
      <c r="OQQ1" s="87"/>
      <c r="OQR1" s="87"/>
      <c r="OQS1" s="87"/>
      <c r="OQT1" s="87"/>
      <c r="OQU1" s="87"/>
      <c r="OQV1" s="87"/>
      <c r="OQW1" s="87"/>
      <c r="OQX1" s="87"/>
      <c r="OQY1" s="87"/>
      <c r="OQZ1" s="87"/>
      <c r="ORA1" s="87"/>
      <c r="ORB1" s="87"/>
      <c r="ORC1" s="87"/>
      <c r="ORD1" s="87"/>
      <c r="ORE1" s="87"/>
      <c r="ORF1" s="87"/>
      <c r="ORG1" s="87"/>
      <c r="ORH1" s="87"/>
      <c r="ORI1" s="87"/>
      <c r="ORJ1" s="87"/>
      <c r="ORK1" s="87"/>
      <c r="ORL1" s="87"/>
      <c r="ORM1" s="87"/>
      <c r="ORN1" s="87"/>
      <c r="ORO1" s="87"/>
      <c r="ORP1" s="87"/>
      <c r="ORQ1" s="87"/>
      <c r="ORR1" s="87"/>
      <c r="ORS1" s="87"/>
      <c r="ORT1" s="87"/>
      <c r="ORU1" s="87"/>
      <c r="ORV1" s="87"/>
      <c r="ORW1" s="87"/>
      <c r="ORX1" s="87"/>
      <c r="ORY1" s="87"/>
      <c r="ORZ1" s="87"/>
      <c r="OSA1" s="87"/>
      <c r="OSB1" s="87"/>
      <c r="OSC1" s="87"/>
      <c r="OSD1" s="87"/>
      <c r="OSE1" s="87"/>
      <c r="OSF1" s="87"/>
      <c r="OSG1" s="87"/>
      <c r="OSH1" s="87"/>
      <c r="OSI1" s="87"/>
      <c r="OSJ1" s="87"/>
      <c r="OSK1" s="87"/>
      <c r="OSL1" s="87"/>
      <c r="OSM1" s="87"/>
      <c r="OSN1" s="87"/>
      <c r="OSO1" s="87"/>
      <c r="OSP1" s="87"/>
      <c r="OSQ1" s="87"/>
      <c r="OSR1" s="87"/>
      <c r="OSS1" s="87"/>
      <c r="OST1" s="87"/>
      <c r="OSU1" s="87"/>
      <c r="OSV1" s="87"/>
      <c r="OSW1" s="87"/>
      <c r="OSX1" s="87"/>
      <c r="OSY1" s="87"/>
      <c r="OSZ1" s="87"/>
      <c r="OTA1" s="87"/>
      <c r="OTB1" s="87"/>
      <c r="OTC1" s="87"/>
      <c r="OTD1" s="87"/>
      <c r="OTE1" s="87"/>
      <c r="OTF1" s="87"/>
      <c r="OTG1" s="87"/>
      <c r="OTH1" s="87"/>
      <c r="OTI1" s="87"/>
      <c r="OTJ1" s="87"/>
      <c r="OTK1" s="87"/>
      <c r="OTL1" s="87"/>
      <c r="OTM1" s="87"/>
      <c r="OTN1" s="87"/>
      <c r="OTO1" s="87"/>
      <c r="OTP1" s="87"/>
      <c r="OTQ1" s="87"/>
      <c r="OTR1" s="87"/>
      <c r="OTS1" s="87"/>
      <c r="OTT1" s="87"/>
      <c r="OTU1" s="87"/>
      <c r="OTV1" s="87"/>
      <c r="OTW1" s="87"/>
      <c r="OTX1" s="87"/>
      <c r="OTY1" s="87"/>
      <c r="OTZ1" s="87"/>
      <c r="OUA1" s="87"/>
      <c r="OUB1" s="87"/>
      <c r="OUC1" s="87"/>
      <c r="OUD1" s="87"/>
      <c r="OUE1" s="87"/>
      <c r="OUF1" s="87"/>
      <c r="OUG1" s="87"/>
      <c r="OUH1" s="87"/>
      <c r="OUI1" s="87"/>
      <c r="OUJ1" s="87"/>
      <c r="OUK1" s="87"/>
      <c r="OUL1" s="87"/>
      <c r="OUM1" s="87"/>
      <c r="OUN1" s="87"/>
      <c r="OUO1" s="87"/>
      <c r="OUP1" s="87"/>
      <c r="OUQ1" s="87"/>
      <c r="OUR1" s="87"/>
      <c r="OUS1" s="87"/>
      <c r="OUT1" s="87"/>
      <c r="OUU1" s="87"/>
      <c r="OUV1" s="87"/>
      <c r="OUW1" s="87"/>
      <c r="OUX1" s="87"/>
      <c r="OUY1" s="87"/>
      <c r="OUZ1" s="87"/>
      <c r="OVA1" s="87"/>
      <c r="OVB1" s="87"/>
      <c r="OVC1" s="87"/>
      <c r="OVD1" s="87"/>
      <c r="OVE1" s="87"/>
      <c r="OVF1" s="87"/>
      <c r="OVG1" s="87"/>
      <c r="OVH1" s="87"/>
      <c r="OVI1" s="87"/>
      <c r="OVJ1" s="87"/>
      <c r="OVK1" s="87"/>
      <c r="OVL1" s="87"/>
      <c r="OVM1" s="87"/>
      <c r="OVN1" s="87"/>
      <c r="OVO1" s="87"/>
      <c r="OVP1" s="87"/>
      <c r="OVQ1" s="87"/>
      <c r="OVR1" s="87"/>
      <c r="OVS1" s="87"/>
      <c r="OVT1" s="87"/>
      <c r="OVU1" s="87"/>
      <c r="OVV1" s="87"/>
      <c r="OVW1" s="87"/>
      <c r="OVX1" s="87"/>
      <c r="OVY1" s="87"/>
      <c r="OVZ1" s="87"/>
      <c r="OWA1" s="87"/>
      <c r="OWB1" s="87"/>
      <c r="OWC1" s="87"/>
      <c r="OWD1" s="87"/>
      <c r="OWE1" s="87"/>
      <c r="OWF1" s="87"/>
      <c r="OWG1" s="87"/>
      <c r="OWH1" s="87"/>
      <c r="OWI1" s="87"/>
      <c r="OWJ1" s="87"/>
      <c r="OWK1" s="87"/>
      <c r="OWL1" s="87"/>
      <c r="OWM1" s="87"/>
      <c r="OWN1" s="87"/>
      <c r="OWO1" s="87"/>
      <c r="OWP1" s="87"/>
      <c r="OWQ1" s="87"/>
      <c r="OWR1" s="87"/>
      <c r="OWS1" s="87"/>
      <c r="OWT1" s="87"/>
      <c r="OWU1" s="87"/>
      <c r="OWV1" s="87"/>
      <c r="OWW1" s="87"/>
      <c r="OWX1" s="87"/>
      <c r="OWY1" s="87"/>
      <c r="OWZ1" s="87"/>
      <c r="OXA1" s="87"/>
      <c r="OXB1" s="87"/>
      <c r="OXC1" s="87"/>
      <c r="OXD1" s="87"/>
      <c r="OXE1" s="87"/>
      <c r="OXF1" s="87"/>
      <c r="OXG1" s="87"/>
      <c r="OXH1" s="87"/>
      <c r="OXI1" s="87"/>
      <c r="OXJ1" s="87"/>
      <c r="OXK1" s="87"/>
      <c r="OXL1" s="87"/>
      <c r="OXM1" s="87"/>
      <c r="OXN1" s="87"/>
      <c r="OXO1" s="87"/>
      <c r="OXP1" s="87"/>
      <c r="OXQ1" s="87"/>
      <c r="OXR1" s="87"/>
      <c r="OXS1" s="87"/>
      <c r="OXT1" s="87"/>
      <c r="OXU1" s="87"/>
      <c r="OXV1" s="87"/>
      <c r="OXW1" s="87"/>
      <c r="OXX1" s="87"/>
      <c r="OXY1" s="87"/>
      <c r="OXZ1" s="87"/>
      <c r="OYA1" s="87"/>
      <c r="OYB1" s="87"/>
      <c r="OYC1" s="87"/>
      <c r="OYD1" s="87"/>
      <c r="OYE1" s="87"/>
      <c r="OYF1" s="87"/>
      <c r="OYG1" s="87"/>
      <c r="OYH1" s="87"/>
      <c r="OYI1" s="87"/>
      <c r="OYJ1" s="87"/>
      <c r="OYK1" s="87"/>
      <c r="OYL1" s="87"/>
      <c r="OYM1" s="87"/>
      <c r="OYN1" s="87"/>
      <c r="OYO1" s="87"/>
      <c r="OYP1" s="87"/>
      <c r="OYQ1" s="87"/>
      <c r="OYR1" s="87"/>
      <c r="OYS1" s="87"/>
      <c r="OYT1" s="87"/>
      <c r="OYU1" s="87"/>
      <c r="OYV1" s="87"/>
      <c r="OYW1" s="87"/>
      <c r="OYX1" s="87"/>
      <c r="OYY1" s="87"/>
      <c r="OYZ1" s="87"/>
      <c r="OZA1" s="87"/>
      <c r="OZB1" s="87"/>
      <c r="OZC1" s="87"/>
      <c r="OZD1" s="87"/>
      <c r="OZE1" s="87"/>
      <c r="OZF1" s="87"/>
      <c r="OZG1" s="87"/>
      <c r="OZH1" s="87"/>
      <c r="OZI1" s="87"/>
      <c r="OZJ1" s="87"/>
      <c r="OZK1" s="87"/>
      <c r="OZL1" s="87"/>
      <c r="OZM1" s="87"/>
      <c r="OZN1" s="87"/>
      <c r="OZO1" s="87"/>
      <c r="OZP1" s="87"/>
      <c r="OZQ1" s="87"/>
      <c r="OZR1" s="87"/>
      <c r="OZS1" s="87"/>
      <c r="OZT1" s="87"/>
      <c r="OZU1" s="87"/>
      <c r="OZV1" s="87"/>
      <c r="OZW1" s="87"/>
      <c r="OZX1" s="87"/>
      <c r="OZY1" s="87"/>
      <c r="OZZ1" s="87"/>
      <c r="PAA1" s="87"/>
      <c r="PAB1" s="87"/>
      <c r="PAC1" s="87"/>
      <c r="PAD1" s="87"/>
      <c r="PAE1" s="87"/>
      <c r="PAF1" s="87"/>
      <c r="PAG1" s="87"/>
      <c r="PAH1" s="87"/>
      <c r="PAI1" s="87"/>
      <c r="PAJ1" s="87"/>
      <c r="PAK1" s="87"/>
      <c r="PAL1" s="87"/>
      <c r="PAM1" s="87"/>
      <c r="PAN1" s="87"/>
      <c r="PAO1" s="87"/>
      <c r="PAP1" s="87"/>
      <c r="PAQ1" s="87"/>
      <c r="PAR1" s="87"/>
      <c r="PAS1" s="87"/>
      <c r="PAT1" s="87"/>
      <c r="PAU1" s="87"/>
      <c r="PAV1" s="87"/>
      <c r="PAW1" s="87"/>
      <c r="PAX1" s="87"/>
      <c r="PAY1" s="87"/>
      <c r="PAZ1" s="87"/>
      <c r="PBA1" s="87"/>
      <c r="PBB1" s="87"/>
      <c r="PBC1" s="87"/>
      <c r="PBD1" s="87"/>
      <c r="PBE1" s="87"/>
      <c r="PBF1" s="87"/>
      <c r="PBG1" s="87"/>
      <c r="PBH1" s="87"/>
      <c r="PBI1" s="87"/>
      <c r="PBJ1" s="87"/>
      <c r="PBK1" s="87"/>
      <c r="PBL1" s="87"/>
      <c r="PBM1" s="87"/>
      <c r="PBN1" s="87"/>
      <c r="PBO1" s="87"/>
      <c r="PBP1" s="87"/>
      <c r="PBQ1" s="87"/>
      <c r="PBR1" s="87"/>
      <c r="PBS1" s="87"/>
      <c r="PBT1" s="87"/>
      <c r="PBU1" s="87"/>
      <c r="PBV1" s="87"/>
      <c r="PBW1" s="87"/>
      <c r="PBX1" s="87"/>
      <c r="PBY1" s="87"/>
      <c r="PBZ1" s="87"/>
      <c r="PCA1" s="87"/>
      <c r="PCB1" s="87"/>
      <c r="PCC1" s="87"/>
      <c r="PCD1" s="87"/>
      <c r="PCE1" s="87"/>
      <c r="PCF1" s="87"/>
      <c r="PCG1" s="87"/>
      <c r="PCH1" s="87"/>
      <c r="PCI1" s="87"/>
      <c r="PCJ1" s="87"/>
      <c r="PCK1" s="87"/>
      <c r="PCL1" s="87"/>
      <c r="PCM1" s="87"/>
      <c r="PCN1" s="87"/>
      <c r="PCO1" s="87"/>
      <c r="PCP1" s="87"/>
      <c r="PCQ1" s="87"/>
      <c r="PCR1" s="87"/>
      <c r="PCS1" s="87"/>
      <c r="PCT1" s="87"/>
      <c r="PCU1" s="87"/>
      <c r="PCV1" s="87"/>
      <c r="PCW1" s="87"/>
      <c r="PCX1" s="87"/>
      <c r="PCY1" s="87"/>
      <c r="PCZ1" s="87"/>
      <c r="PDA1" s="87"/>
      <c r="PDB1" s="87"/>
      <c r="PDC1" s="87"/>
      <c r="PDD1" s="87"/>
      <c r="PDE1" s="87"/>
      <c r="PDF1" s="87"/>
      <c r="PDG1" s="87"/>
      <c r="PDH1" s="87"/>
      <c r="PDI1" s="87"/>
      <c r="PDJ1" s="87"/>
      <c r="PDK1" s="87"/>
      <c r="PDL1" s="87"/>
      <c r="PDM1" s="87"/>
      <c r="PDN1" s="87"/>
      <c r="PDO1" s="87"/>
      <c r="PDP1" s="87"/>
      <c r="PDQ1" s="87"/>
      <c r="PDR1" s="87"/>
      <c r="PDS1" s="87"/>
      <c r="PDT1" s="87"/>
      <c r="PDU1" s="87"/>
      <c r="PDV1" s="87"/>
      <c r="PDW1" s="87"/>
      <c r="PDX1" s="87"/>
      <c r="PDY1" s="87"/>
      <c r="PDZ1" s="87"/>
      <c r="PEA1" s="87"/>
      <c r="PEB1" s="87"/>
      <c r="PEC1" s="87"/>
      <c r="PED1" s="87"/>
      <c r="PEE1" s="87"/>
      <c r="PEF1" s="87"/>
      <c r="PEG1" s="87"/>
      <c r="PEH1" s="87"/>
      <c r="PEI1" s="87"/>
      <c r="PEJ1" s="87"/>
      <c r="PEK1" s="87"/>
      <c r="PEL1" s="87"/>
      <c r="PEM1" s="87"/>
      <c r="PEN1" s="87"/>
      <c r="PEO1" s="87"/>
      <c r="PEP1" s="87"/>
      <c r="PEQ1" s="87"/>
      <c r="PER1" s="87"/>
      <c r="PES1" s="87"/>
      <c r="PET1" s="87"/>
      <c r="PEU1" s="87"/>
      <c r="PEV1" s="87"/>
      <c r="PEW1" s="87"/>
      <c r="PEX1" s="87"/>
      <c r="PEY1" s="87"/>
      <c r="PEZ1" s="87"/>
      <c r="PFA1" s="87"/>
      <c r="PFB1" s="87"/>
      <c r="PFC1" s="87"/>
      <c r="PFD1" s="87"/>
      <c r="PFE1" s="87"/>
      <c r="PFF1" s="87"/>
      <c r="PFG1" s="87"/>
      <c r="PFH1" s="87"/>
      <c r="PFI1" s="87"/>
      <c r="PFJ1" s="87"/>
      <c r="PFK1" s="87"/>
      <c r="PFL1" s="87"/>
      <c r="PFM1" s="87"/>
      <c r="PFN1" s="87"/>
      <c r="PFO1" s="87"/>
      <c r="PFP1" s="87"/>
      <c r="PFQ1" s="87"/>
      <c r="PFR1" s="87"/>
      <c r="PFS1" s="87"/>
      <c r="PFT1" s="87"/>
      <c r="PFU1" s="87"/>
      <c r="PFV1" s="87"/>
      <c r="PFW1" s="87"/>
      <c r="PFX1" s="87"/>
      <c r="PFY1" s="87"/>
      <c r="PFZ1" s="87"/>
      <c r="PGA1" s="87"/>
      <c r="PGB1" s="87"/>
      <c r="PGC1" s="87"/>
      <c r="PGD1" s="87"/>
      <c r="PGE1" s="87"/>
      <c r="PGF1" s="87"/>
      <c r="PGG1" s="87"/>
      <c r="PGH1" s="87"/>
      <c r="PGI1" s="87"/>
      <c r="PGJ1" s="87"/>
      <c r="PGK1" s="87"/>
      <c r="PGL1" s="87"/>
      <c r="PGM1" s="87"/>
      <c r="PGN1" s="87"/>
      <c r="PGO1" s="87"/>
      <c r="PGP1" s="87"/>
      <c r="PGQ1" s="87"/>
      <c r="PGR1" s="87"/>
      <c r="PGS1" s="87"/>
      <c r="PGT1" s="87"/>
      <c r="PGU1" s="87"/>
      <c r="PGV1" s="87"/>
      <c r="PGW1" s="87"/>
      <c r="PGX1" s="87"/>
      <c r="PGY1" s="87"/>
      <c r="PGZ1" s="87"/>
      <c r="PHA1" s="87"/>
      <c r="PHB1" s="87"/>
      <c r="PHC1" s="87"/>
      <c r="PHD1" s="87"/>
      <c r="PHE1" s="87"/>
      <c r="PHF1" s="87"/>
      <c r="PHG1" s="87"/>
      <c r="PHH1" s="87"/>
      <c r="PHI1" s="87"/>
      <c r="PHJ1" s="87"/>
      <c r="PHK1" s="87"/>
      <c r="PHL1" s="87"/>
      <c r="PHM1" s="87"/>
      <c r="PHN1" s="87"/>
      <c r="PHO1" s="87"/>
      <c r="PHP1" s="87"/>
      <c r="PHQ1" s="87"/>
      <c r="PHR1" s="87"/>
      <c r="PHS1" s="87"/>
      <c r="PHT1" s="87"/>
      <c r="PHU1" s="87"/>
      <c r="PHV1" s="87"/>
      <c r="PHW1" s="87"/>
      <c r="PHX1" s="87"/>
      <c r="PHY1" s="87"/>
      <c r="PHZ1" s="87"/>
      <c r="PIA1" s="87"/>
      <c r="PIB1" s="87"/>
      <c r="PIC1" s="87"/>
      <c r="PID1" s="87"/>
      <c r="PIE1" s="87"/>
      <c r="PIF1" s="87"/>
      <c r="PIG1" s="87"/>
      <c r="PIH1" s="87"/>
      <c r="PII1" s="87"/>
      <c r="PIJ1" s="87"/>
      <c r="PIK1" s="87"/>
      <c r="PIL1" s="87"/>
      <c r="PIM1" s="87"/>
      <c r="PIN1" s="87"/>
      <c r="PIO1" s="87"/>
      <c r="PIP1" s="87"/>
      <c r="PIQ1" s="87"/>
      <c r="PIR1" s="87"/>
      <c r="PIS1" s="87"/>
      <c r="PIT1" s="87"/>
      <c r="PIU1" s="87"/>
      <c r="PIV1" s="87"/>
      <c r="PIW1" s="87"/>
      <c r="PIX1" s="87"/>
      <c r="PIY1" s="87"/>
      <c r="PIZ1" s="87"/>
      <c r="PJA1" s="87"/>
      <c r="PJB1" s="87"/>
      <c r="PJC1" s="87"/>
      <c r="PJD1" s="87"/>
      <c r="PJE1" s="87"/>
      <c r="PJF1" s="87"/>
      <c r="PJG1" s="87"/>
      <c r="PJH1" s="87"/>
      <c r="PJI1" s="87"/>
      <c r="PJJ1" s="87"/>
      <c r="PJK1" s="87"/>
      <c r="PJL1" s="87"/>
      <c r="PJM1" s="87"/>
      <c r="PJN1" s="87"/>
      <c r="PJO1" s="87"/>
      <c r="PJP1" s="87"/>
      <c r="PJQ1" s="87"/>
      <c r="PJR1" s="87"/>
      <c r="PJS1" s="87"/>
      <c r="PJT1" s="87"/>
      <c r="PJU1" s="87"/>
      <c r="PJV1" s="87"/>
      <c r="PJW1" s="87"/>
      <c r="PJX1" s="87"/>
      <c r="PJY1" s="87"/>
      <c r="PJZ1" s="87"/>
      <c r="PKA1" s="87"/>
      <c r="PKB1" s="87"/>
      <c r="PKC1" s="87"/>
      <c r="PKD1" s="87"/>
      <c r="PKE1" s="87"/>
      <c r="PKF1" s="87"/>
      <c r="PKG1" s="87"/>
      <c r="PKH1" s="87"/>
      <c r="PKI1" s="87"/>
      <c r="PKJ1" s="87"/>
      <c r="PKK1" s="87"/>
      <c r="PKL1" s="87"/>
      <c r="PKM1" s="87"/>
      <c r="PKN1" s="87"/>
      <c r="PKO1" s="87"/>
      <c r="PKP1" s="87"/>
      <c r="PKQ1" s="87"/>
      <c r="PKR1" s="87"/>
      <c r="PKS1" s="87"/>
      <c r="PKT1" s="87"/>
      <c r="PKU1" s="87"/>
      <c r="PKV1" s="87"/>
      <c r="PKW1" s="87"/>
      <c r="PKX1" s="87"/>
      <c r="PKY1" s="87"/>
      <c r="PKZ1" s="87"/>
      <c r="PLA1" s="87"/>
      <c r="PLB1" s="87"/>
      <c r="PLC1" s="87"/>
      <c r="PLD1" s="87"/>
      <c r="PLE1" s="87"/>
      <c r="PLF1" s="87"/>
      <c r="PLG1" s="87"/>
      <c r="PLH1" s="87"/>
      <c r="PLI1" s="87"/>
      <c r="PLJ1" s="87"/>
      <c r="PLK1" s="87"/>
      <c r="PLL1" s="87"/>
      <c r="PLM1" s="87"/>
      <c r="PLN1" s="87"/>
      <c r="PLO1" s="87"/>
      <c r="PLP1" s="87"/>
      <c r="PLQ1" s="87"/>
      <c r="PLR1" s="87"/>
      <c r="PLS1" s="87"/>
      <c r="PLT1" s="87"/>
      <c r="PLU1" s="87"/>
      <c r="PLV1" s="87"/>
      <c r="PLW1" s="87"/>
      <c r="PLX1" s="87"/>
      <c r="PLY1" s="87"/>
      <c r="PLZ1" s="87"/>
      <c r="PMA1" s="87"/>
      <c r="PMB1" s="87"/>
      <c r="PMC1" s="87"/>
      <c r="PMD1" s="87"/>
      <c r="PME1" s="87"/>
      <c r="PMF1" s="87"/>
      <c r="PMG1" s="87"/>
      <c r="PMH1" s="87"/>
      <c r="PMI1" s="87"/>
      <c r="PMJ1" s="87"/>
      <c r="PMK1" s="87"/>
      <c r="PML1" s="87"/>
      <c r="PMM1" s="87"/>
      <c r="PMN1" s="87"/>
      <c r="PMO1" s="87"/>
      <c r="PMP1" s="87"/>
      <c r="PMQ1" s="87"/>
      <c r="PMR1" s="87"/>
      <c r="PMS1" s="87"/>
      <c r="PMT1" s="87"/>
      <c r="PMU1" s="87"/>
      <c r="PMV1" s="87"/>
      <c r="PMW1" s="87"/>
      <c r="PMX1" s="87"/>
      <c r="PMY1" s="87"/>
      <c r="PMZ1" s="87"/>
      <c r="PNA1" s="87"/>
      <c r="PNB1" s="87"/>
      <c r="PNC1" s="87"/>
      <c r="PND1" s="87"/>
      <c r="PNE1" s="87"/>
      <c r="PNF1" s="87"/>
      <c r="PNG1" s="87"/>
      <c r="PNH1" s="87"/>
      <c r="PNI1" s="87"/>
      <c r="PNJ1" s="87"/>
      <c r="PNK1" s="87"/>
      <c r="PNL1" s="87"/>
      <c r="PNM1" s="87"/>
      <c r="PNN1" s="87"/>
      <c r="PNO1" s="87"/>
      <c r="PNP1" s="87"/>
      <c r="PNQ1" s="87"/>
      <c r="PNR1" s="87"/>
      <c r="PNS1" s="87"/>
      <c r="PNT1" s="87"/>
      <c r="PNU1" s="87"/>
      <c r="PNV1" s="87"/>
      <c r="PNW1" s="87"/>
      <c r="PNX1" s="87"/>
      <c r="PNY1" s="87"/>
      <c r="PNZ1" s="87"/>
      <c r="POA1" s="87"/>
      <c r="POB1" s="87"/>
      <c r="POC1" s="87"/>
      <c r="POD1" s="87"/>
      <c r="POE1" s="87"/>
      <c r="POF1" s="87"/>
      <c r="POG1" s="87"/>
      <c r="POH1" s="87"/>
      <c r="POI1" s="87"/>
      <c r="POJ1" s="87"/>
      <c r="POK1" s="87"/>
      <c r="POL1" s="87"/>
      <c r="POM1" s="87"/>
      <c r="PON1" s="87"/>
      <c r="POO1" s="87"/>
      <c r="POP1" s="87"/>
      <c r="POQ1" s="87"/>
      <c r="POR1" s="87"/>
      <c r="POS1" s="87"/>
      <c r="POT1" s="87"/>
      <c r="POU1" s="87"/>
      <c r="POV1" s="87"/>
      <c r="POW1" s="87"/>
      <c r="POX1" s="87"/>
      <c r="POY1" s="87"/>
      <c r="POZ1" s="87"/>
      <c r="PPA1" s="87"/>
      <c r="PPB1" s="87"/>
      <c r="PPC1" s="87"/>
      <c r="PPD1" s="87"/>
      <c r="PPE1" s="87"/>
      <c r="PPF1" s="87"/>
      <c r="PPG1" s="87"/>
      <c r="PPH1" s="87"/>
      <c r="PPI1" s="87"/>
      <c r="PPJ1" s="87"/>
      <c r="PPK1" s="87"/>
      <c r="PPL1" s="87"/>
      <c r="PPM1" s="87"/>
      <c r="PPN1" s="87"/>
      <c r="PPO1" s="87"/>
      <c r="PPP1" s="87"/>
      <c r="PPQ1" s="87"/>
      <c r="PPR1" s="87"/>
      <c r="PPS1" s="87"/>
      <c r="PPT1" s="87"/>
      <c r="PPU1" s="87"/>
      <c r="PPV1" s="87"/>
      <c r="PPW1" s="87"/>
      <c r="PPX1" s="87"/>
      <c r="PPY1" s="87"/>
      <c r="PPZ1" s="87"/>
      <c r="PQA1" s="87"/>
      <c r="PQB1" s="87"/>
      <c r="PQC1" s="87"/>
      <c r="PQD1" s="87"/>
      <c r="PQE1" s="87"/>
      <c r="PQF1" s="87"/>
      <c r="PQG1" s="87"/>
      <c r="PQH1" s="87"/>
      <c r="PQI1" s="87"/>
      <c r="PQJ1" s="87"/>
      <c r="PQK1" s="87"/>
      <c r="PQL1" s="87"/>
      <c r="PQM1" s="87"/>
      <c r="PQN1" s="87"/>
      <c r="PQO1" s="87"/>
      <c r="PQP1" s="87"/>
      <c r="PQQ1" s="87"/>
      <c r="PQR1" s="87"/>
      <c r="PQS1" s="87"/>
      <c r="PQT1" s="87"/>
      <c r="PQU1" s="87"/>
      <c r="PQV1" s="87"/>
      <c r="PQW1" s="87"/>
      <c r="PQX1" s="87"/>
      <c r="PQY1" s="87"/>
      <c r="PQZ1" s="87"/>
      <c r="PRA1" s="87"/>
      <c r="PRB1" s="87"/>
      <c r="PRC1" s="87"/>
      <c r="PRD1" s="87"/>
      <c r="PRE1" s="87"/>
      <c r="PRF1" s="87"/>
      <c r="PRG1" s="87"/>
      <c r="PRH1" s="87"/>
      <c r="PRI1" s="87"/>
      <c r="PRJ1" s="87"/>
      <c r="PRK1" s="87"/>
      <c r="PRL1" s="87"/>
      <c r="PRM1" s="87"/>
      <c r="PRN1" s="87"/>
      <c r="PRO1" s="87"/>
      <c r="PRP1" s="87"/>
      <c r="PRQ1" s="87"/>
      <c r="PRR1" s="87"/>
      <c r="PRS1" s="87"/>
      <c r="PRT1" s="87"/>
      <c r="PRU1" s="87"/>
      <c r="PRV1" s="87"/>
      <c r="PRW1" s="87"/>
      <c r="PRX1" s="87"/>
      <c r="PRY1" s="87"/>
      <c r="PRZ1" s="87"/>
      <c r="PSA1" s="87"/>
      <c r="PSB1" s="87"/>
      <c r="PSC1" s="87"/>
      <c r="PSD1" s="87"/>
      <c r="PSE1" s="87"/>
      <c r="PSF1" s="87"/>
      <c r="PSG1" s="87"/>
      <c r="PSH1" s="87"/>
      <c r="PSI1" s="87"/>
      <c r="PSJ1" s="87"/>
      <c r="PSK1" s="87"/>
      <c r="PSL1" s="87"/>
      <c r="PSM1" s="87"/>
      <c r="PSN1" s="87"/>
      <c r="PSO1" s="87"/>
      <c r="PSP1" s="87"/>
      <c r="PSQ1" s="87"/>
      <c r="PSR1" s="87"/>
      <c r="PSS1" s="87"/>
      <c r="PST1" s="87"/>
      <c r="PSU1" s="87"/>
      <c r="PSV1" s="87"/>
      <c r="PSW1" s="87"/>
      <c r="PSX1" s="87"/>
      <c r="PSY1" s="87"/>
      <c r="PSZ1" s="87"/>
      <c r="PTA1" s="87"/>
      <c r="PTB1" s="87"/>
      <c r="PTC1" s="87"/>
      <c r="PTD1" s="87"/>
      <c r="PTE1" s="87"/>
      <c r="PTF1" s="87"/>
      <c r="PTG1" s="87"/>
      <c r="PTH1" s="87"/>
      <c r="PTI1" s="87"/>
      <c r="PTJ1" s="87"/>
      <c r="PTK1" s="87"/>
      <c r="PTL1" s="87"/>
      <c r="PTM1" s="87"/>
      <c r="PTN1" s="87"/>
      <c r="PTO1" s="87"/>
      <c r="PTP1" s="87"/>
      <c r="PTQ1" s="87"/>
      <c r="PTR1" s="87"/>
      <c r="PTS1" s="87"/>
      <c r="PTT1" s="87"/>
      <c r="PTU1" s="87"/>
      <c r="PTV1" s="87"/>
      <c r="PTW1" s="87"/>
      <c r="PTX1" s="87"/>
      <c r="PTY1" s="87"/>
      <c r="PTZ1" s="87"/>
      <c r="PUA1" s="87"/>
      <c r="PUB1" s="87"/>
      <c r="PUC1" s="87"/>
      <c r="PUD1" s="87"/>
      <c r="PUE1" s="87"/>
      <c r="PUF1" s="87"/>
      <c r="PUG1" s="87"/>
      <c r="PUH1" s="87"/>
      <c r="PUI1" s="87"/>
      <c r="PUJ1" s="87"/>
      <c r="PUK1" s="87"/>
      <c r="PUL1" s="87"/>
      <c r="PUM1" s="87"/>
      <c r="PUN1" s="87"/>
      <c r="PUO1" s="87"/>
      <c r="PUP1" s="87"/>
      <c r="PUQ1" s="87"/>
      <c r="PUR1" s="87"/>
      <c r="PUS1" s="87"/>
      <c r="PUT1" s="87"/>
      <c r="PUU1" s="87"/>
      <c r="PUV1" s="87"/>
      <c r="PUW1" s="87"/>
      <c r="PUX1" s="87"/>
      <c r="PUY1" s="87"/>
      <c r="PUZ1" s="87"/>
      <c r="PVA1" s="87"/>
      <c r="PVB1" s="87"/>
      <c r="PVC1" s="87"/>
      <c r="PVD1" s="87"/>
      <c r="PVE1" s="87"/>
      <c r="PVF1" s="87"/>
      <c r="PVG1" s="87"/>
      <c r="PVH1" s="87"/>
      <c r="PVI1" s="87"/>
      <c r="PVJ1" s="87"/>
      <c r="PVK1" s="87"/>
      <c r="PVL1" s="87"/>
      <c r="PVM1" s="87"/>
      <c r="PVN1" s="87"/>
      <c r="PVO1" s="87"/>
      <c r="PVP1" s="87"/>
      <c r="PVQ1" s="87"/>
      <c r="PVR1" s="87"/>
      <c r="PVS1" s="87"/>
      <c r="PVT1" s="87"/>
      <c r="PVU1" s="87"/>
      <c r="PVV1" s="87"/>
      <c r="PVW1" s="87"/>
      <c r="PVX1" s="87"/>
      <c r="PVY1" s="87"/>
      <c r="PVZ1" s="87"/>
      <c r="PWA1" s="87"/>
      <c r="PWB1" s="87"/>
      <c r="PWC1" s="87"/>
      <c r="PWD1" s="87"/>
      <c r="PWE1" s="87"/>
      <c r="PWF1" s="87"/>
      <c r="PWG1" s="87"/>
      <c r="PWH1" s="87"/>
      <c r="PWI1" s="87"/>
      <c r="PWJ1" s="87"/>
      <c r="PWK1" s="87"/>
      <c r="PWL1" s="87"/>
      <c r="PWM1" s="87"/>
      <c r="PWN1" s="87"/>
      <c r="PWO1" s="87"/>
      <c r="PWP1" s="87"/>
      <c r="PWQ1" s="87"/>
      <c r="PWR1" s="87"/>
      <c r="PWS1" s="87"/>
      <c r="PWT1" s="87"/>
      <c r="PWU1" s="87"/>
      <c r="PWV1" s="87"/>
      <c r="PWW1" s="87"/>
      <c r="PWX1" s="87"/>
      <c r="PWY1" s="87"/>
      <c r="PWZ1" s="87"/>
      <c r="PXA1" s="87"/>
      <c r="PXB1" s="87"/>
      <c r="PXC1" s="87"/>
      <c r="PXD1" s="87"/>
      <c r="PXE1" s="87"/>
      <c r="PXF1" s="87"/>
      <c r="PXG1" s="87"/>
      <c r="PXH1" s="87"/>
      <c r="PXI1" s="87"/>
      <c r="PXJ1" s="87"/>
      <c r="PXK1" s="87"/>
      <c r="PXL1" s="87"/>
      <c r="PXM1" s="87"/>
      <c r="PXN1" s="87"/>
      <c r="PXO1" s="87"/>
      <c r="PXP1" s="87"/>
      <c r="PXQ1" s="87"/>
      <c r="PXR1" s="87"/>
      <c r="PXS1" s="87"/>
      <c r="PXT1" s="87"/>
      <c r="PXU1" s="87"/>
      <c r="PXV1" s="87"/>
      <c r="PXW1" s="87"/>
      <c r="PXX1" s="87"/>
      <c r="PXY1" s="87"/>
      <c r="PXZ1" s="87"/>
      <c r="PYA1" s="87"/>
      <c r="PYB1" s="87"/>
      <c r="PYC1" s="87"/>
      <c r="PYD1" s="87"/>
      <c r="PYE1" s="87"/>
      <c r="PYF1" s="87"/>
      <c r="PYG1" s="87"/>
      <c r="PYH1" s="87"/>
      <c r="PYI1" s="87"/>
      <c r="PYJ1" s="87"/>
      <c r="PYK1" s="87"/>
      <c r="PYL1" s="87"/>
      <c r="PYM1" s="87"/>
      <c r="PYN1" s="87"/>
      <c r="PYO1" s="87"/>
      <c r="PYP1" s="87"/>
      <c r="PYQ1" s="87"/>
      <c r="PYR1" s="87"/>
      <c r="PYS1" s="87"/>
      <c r="PYT1" s="87"/>
      <c r="PYU1" s="87"/>
      <c r="PYV1" s="87"/>
      <c r="PYW1" s="87"/>
      <c r="PYX1" s="87"/>
      <c r="PYY1" s="87"/>
      <c r="PYZ1" s="87"/>
      <c r="PZA1" s="87"/>
      <c r="PZB1" s="87"/>
      <c r="PZC1" s="87"/>
      <c r="PZD1" s="87"/>
      <c r="PZE1" s="87"/>
      <c r="PZF1" s="87"/>
      <c r="PZG1" s="87"/>
      <c r="PZH1" s="87"/>
      <c r="PZI1" s="87"/>
      <c r="PZJ1" s="87"/>
      <c r="PZK1" s="87"/>
      <c r="PZL1" s="87"/>
      <c r="PZM1" s="87"/>
      <c r="PZN1" s="87"/>
      <c r="PZO1" s="87"/>
      <c r="PZP1" s="87"/>
      <c r="PZQ1" s="87"/>
      <c r="PZR1" s="87"/>
      <c r="PZS1" s="87"/>
      <c r="PZT1" s="87"/>
      <c r="PZU1" s="87"/>
      <c r="PZV1" s="87"/>
      <c r="PZW1" s="87"/>
      <c r="PZX1" s="87"/>
      <c r="PZY1" s="87"/>
      <c r="PZZ1" s="87"/>
      <c r="QAA1" s="87"/>
      <c r="QAB1" s="87"/>
      <c r="QAC1" s="87"/>
      <c r="QAD1" s="87"/>
      <c r="QAE1" s="87"/>
      <c r="QAF1" s="87"/>
      <c r="QAG1" s="87"/>
      <c r="QAH1" s="87"/>
      <c r="QAI1" s="87"/>
      <c r="QAJ1" s="87"/>
      <c r="QAK1" s="87"/>
      <c r="QAL1" s="87"/>
      <c r="QAM1" s="87"/>
      <c r="QAN1" s="87"/>
      <c r="QAO1" s="87"/>
      <c r="QAP1" s="87"/>
      <c r="QAQ1" s="87"/>
      <c r="QAR1" s="87"/>
      <c r="QAS1" s="87"/>
      <c r="QAT1" s="87"/>
      <c r="QAU1" s="87"/>
      <c r="QAV1" s="87"/>
      <c r="QAW1" s="87"/>
      <c r="QAX1" s="87"/>
      <c r="QAY1" s="87"/>
      <c r="QAZ1" s="87"/>
      <c r="QBA1" s="87"/>
      <c r="QBB1" s="87"/>
      <c r="QBC1" s="87"/>
      <c r="QBD1" s="87"/>
      <c r="QBE1" s="87"/>
      <c r="QBF1" s="87"/>
      <c r="QBG1" s="87"/>
      <c r="QBH1" s="87"/>
      <c r="QBI1" s="87"/>
      <c r="QBJ1" s="87"/>
      <c r="QBK1" s="87"/>
      <c r="QBL1" s="87"/>
      <c r="QBM1" s="87"/>
      <c r="QBN1" s="87"/>
      <c r="QBO1" s="87"/>
      <c r="QBP1" s="87"/>
      <c r="QBQ1" s="87"/>
      <c r="QBR1" s="87"/>
      <c r="QBS1" s="87"/>
      <c r="QBT1" s="87"/>
      <c r="QBU1" s="87"/>
      <c r="QBV1" s="87"/>
      <c r="QBW1" s="87"/>
      <c r="QBX1" s="87"/>
      <c r="QBY1" s="87"/>
      <c r="QBZ1" s="87"/>
      <c r="QCA1" s="87"/>
      <c r="QCB1" s="87"/>
      <c r="QCC1" s="87"/>
      <c r="QCD1" s="87"/>
      <c r="QCE1" s="87"/>
      <c r="QCF1" s="87"/>
      <c r="QCG1" s="87"/>
      <c r="QCH1" s="87"/>
      <c r="QCI1" s="87"/>
      <c r="QCJ1" s="87"/>
      <c r="QCK1" s="87"/>
      <c r="QCL1" s="87"/>
      <c r="QCM1" s="87"/>
      <c r="QCN1" s="87"/>
      <c r="QCO1" s="87"/>
      <c r="QCP1" s="87"/>
      <c r="QCQ1" s="87"/>
      <c r="QCR1" s="87"/>
      <c r="QCS1" s="87"/>
      <c r="QCT1" s="87"/>
      <c r="QCU1" s="87"/>
      <c r="QCV1" s="87"/>
      <c r="QCW1" s="87"/>
      <c r="QCX1" s="87"/>
      <c r="QCY1" s="87"/>
      <c r="QCZ1" s="87"/>
      <c r="QDA1" s="87"/>
      <c r="QDB1" s="87"/>
      <c r="QDC1" s="87"/>
      <c r="QDD1" s="87"/>
      <c r="QDE1" s="87"/>
      <c r="QDF1" s="87"/>
      <c r="QDG1" s="87"/>
      <c r="QDH1" s="87"/>
      <c r="QDI1" s="87"/>
      <c r="QDJ1" s="87"/>
      <c r="QDK1" s="87"/>
      <c r="QDL1" s="87"/>
      <c r="QDM1" s="87"/>
      <c r="QDN1" s="87"/>
      <c r="QDO1" s="87"/>
      <c r="QDP1" s="87"/>
      <c r="QDQ1" s="87"/>
      <c r="QDR1" s="87"/>
      <c r="QDS1" s="87"/>
      <c r="QDT1" s="87"/>
      <c r="QDU1" s="87"/>
      <c r="QDV1" s="87"/>
      <c r="QDW1" s="87"/>
      <c r="QDX1" s="87"/>
      <c r="QDY1" s="87"/>
      <c r="QDZ1" s="87"/>
      <c r="QEA1" s="87"/>
      <c r="QEB1" s="87"/>
      <c r="QEC1" s="87"/>
      <c r="QED1" s="87"/>
      <c r="QEE1" s="87"/>
      <c r="QEF1" s="87"/>
      <c r="QEG1" s="87"/>
      <c r="QEH1" s="87"/>
      <c r="QEI1" s="87"/>
      <c r="QEJ1" s="87"/>
      <c r="QEK1" s="87"/>
      <c r="QEL1" s="87"/>
      <c r="QEM1" s="87"/>
      <c r="QEN1" s="87"/>
      <c r="QEO1" s="87"/>
      <c r="QEP1" s="87"/>
      <c r="QEQ1" s="87"/>
      <c r="QER1" s="87"/>
      <c r="QES1" s="87"/>
      <c r="QET1" s="87"/>
      <c r="QEU1" s="87"/>
      <c r="QEV1" s="87"/>
      <c r="QEW1" s="87"/>
      <c r="QEX1" s="87"/>
      <c r="QEY1" s="87"/>
      <c r="QEZ1" s="87"/>
      <c r="QFA1" s="87"/>
      <c r="QFB1" s="87"/>
      <c r="QFC1" s="87"/>
      <c r="QFD1" s="87"/>
      <c r="QFE1" s="87"/>
      <c r="QFF1" s="87"/>
      <c r="QFG1" s="87"/>
      <c r="QFH1" s="87"/>
      <c r="QFI1" s="87"/>
      <c r="QFJ1" s="87"/>
      <c r="QFK1" s="87"/>
      <c r="QFL1" s="87"/>
      <c r="QFM1" s="87"/>
      <c r="QFN1" s="87"/>
      <c r="QFO1" s="87"/>
      <c r="QFP1" s="87"/>
      <c r="QFQ1" s="87"/>
      <c r="QFR1" s="87"/>
      <c r="QFS1" s="87"/>
      <c r="QFT1" s="87"/>
      <c r="QFU1" s="87"/>
      <c r="QFV1" s="87"/>
      <c r="QFW1" s="87"/>
      <c r="QFX1" s="87"/>
      <c r="QFY1" s="87"/>
      <c r="QFZ1" s="87"/>
      <c r="QGA1" s="87"/>
      <c r="QGB1" s="87"/>
      <c r="QGC1" s="87"/>
      <c r="QGD1" s="87"/>
      <c r="QGE1" s="87"/>
      <c r="QGF1" s="87"/>
      <c r="QGG1" s="87"/>
      <c r="QGH1" s="87"/>
      <c r="QGI1" s="87"/>
      <c r="QGJ1" s="87"/>
      <c r="QGK1" s="87"/>
      <c r="QGL1" s="87"/>
      <c r="QGM1" s="87"/>
      <c r="QGN1" s="87"/>
      <c r="QGO1" s="87"/>
      <c r="QGP1" s="87"/>
      <c r="QGQ1" s="87"/>
      <c r="QGR1" s="87"/>
      <c r="QGS1" s="87"/>
      <c r="QGT1" s="87"/>
      <c r="QGU1" s="87"/>
      <c r="QGV1" s="87"/>
      <c r="QGW1" s="87"/>
      <c r="QGX1" s="87"/>
      <c r="QGY1" s="87"/>
      <c r="QGZ1" s="87"/>
      <c r="QHA1" s="87"/>
      <c r="QHB1" s="87"/>
      <c r="QHC1" s="87"/>
      <c r="QHD1" s="87"/>
      <c r="QHE1" s="87"/>
      <c r="QHF1" s="87"/>
      <c r="QHG1" s="87"/>
      <c r="QHH1" s="87"/>
      <c r="QHI1" s="87"/>
      <c r="QHJ1" s="87"/>
      <c r="QHK1" s="87"/>
      <c r="QHL1" s="87"/>
      <c r="QHM1" s="87"/>
      <c r="QHN1" s="87"/>
      <c r="QHO1" s="87"/>
      <c r="QHP1" s="87"/>
      <c r="QHQ1" s="87"/>
      <c r="QHR1" s="87"/>
      <c r="QHS1" s="87"/>
      <c r="QHT1" s="87"/>
      <c r="QHU1" s="87"/>
      <c r="QHV1" s="87"/>
      <c r="QHW1" s="87"/>
      <c r="QHX1" s="87"/>
      <c r="QHY1" s="87"/>
      <c r="QHZ1" s="87"/>
      <c r="QIA1" s="87"/>
      <c r="QIB1" s="87"/>
      <c r="QIC1" s="87"/>
      <c r="QID1" s="87"/>
      <c r="QIE1" s="87"/>
      <c r="QIF1" s="87"/>
      <c r="QIG1" s="87"/>
      <c r="QIH1" s="87"/>
      <c r="QII1" s="87"/>
      <c r="QIJ1" s="87"/>
      <c r="QIK1" s="87"/>
      <c r="QIL1" s="87"/>
      <c r="QIM1" s="87"/>
      <c r="QIN1" s="87"/>
      <c r="QIO1" s="87"/>
      <c r="QIP1" s="87"/>
      <c r="QIQ1" s="87"/>
      <c r="QIR1" s="87"/>
      <c r="QIS1" s="87"/>
      <c r="QIT1" s="87"/>
      <c r="QIU1" s="87"/>
      <c r="QIV1" s="87"/>
      <c r="QIW1" s="87"/>
      <c r="QIX1" s="87"/>
      <c r="QIY1" s="87"/>
      <c r="QIZ1" s="87"/>
      <c r="QJA1" s="87"/>
      <c r="QJB1" s="87"/>
      <c r="QJC1" s="87"/>
      <c r="QJD1" s="87"/>
      <c r="QJE1" s="87"/>
      <c r="QJF1" s="87"/>
      <c r="QJG1" s="87"/>
      <c r="QJH1" s="87"/>
      <c r="QJI1" s="87"/>
      <c r="QJJ1" s="87"/>
      <c r="QJK1" s="87"/>
      <c r="QJL1" s="87"/>
      <c r="QJM1" s="87"/>
      <c r="QJN1" s="87"/>
      <c r="QJO1" s="87"/>
      <c r="QJP1" s="87"/>
      <c r="QJQ1" s="87"/>
      <c r="QJR1" s="87"/>
      <c r="QJS1" s="87"/>
      <c r="QJT1" s="87"/>
      <c r="QJU1" s="87"/>
      <c r="QJV1" s="87"/>
      <c r="QJW1" s="87"/>
      <c r="QJX1" s="87"/>
      <c r="QJY1" s="87"/>
      <c r="QJZ1" s="87"/>
      <c r="QKA1" s="87"/>
      <c r="QKB1" s="87"/>
      <c r="QKC1" s="87"/>
      <c r="QKD1" s="87"/>
      <c r="QKE1" s="87"/>
      <c r="QKF1" s="87"/>
      <c r="QKG1" s="87"/>
      <c r="QKH1" s="87"/>
      <c r="QKI1" s="87"/>
      <c r="QKJ1" s="87"/>
      <c r="QKK1" s="87"/>
      <c r="QKL1" s="87"/>
      <c r="QKM1" s="87"/>
      <c r="QKN1" s="87"/>
      <c r="QKO1" s="87"/>
      <c r="QKP1" s="87"/>
      <c r="QKQ1" s="87"/>
      <c r="QKR1" s="87"/>
      <c r="QKS1" s="87"/>
      <c r="QKT1" s="87"/>
      <c r="QKU1" s="87"/>
      <c r="QKV1" s="87"/>
      <c r="QKW1" s="87"/>
      <c r="QKX1" s="87"/>
      <c r="QKY1" s="87"/>
      <c r="QKZ1" s="87"/>
      <c r="QLA1" s="87"/>
      <c r="QLB1" s="87"/>
      <c r="QLC1" s="87"/>
      <c r="QLD1" s="87"/>
      <c r="QLE1" s="87"/>
      <c r="QLF1" s="87"/>
      <c r="QLG1" s="87"/>
      <c r="QLH1" s="87"/>
      <c r="QLI1" s="87"/>
      <c r="QLJ1" s="87"/>
      <c r="QLK1" s="87"/>
      <c r="QLL1" s="87"/>
      <c r="QLM1" s="87"/>
      <c r="QLN1" s="87"/>
      <c r="QLO1" s="87"/>
      <c r="QLP1" s="87"/>
      <c r="QLQ1" s="87"/>
      <c r="QLR1" s="87"/>
      <c r="QLS1" s="87"/>
      <c r="QLT1" s="87"/>
      <c r="QLU1" s="87"/>
      <c r="QLV1" s="87"/>
      <c r="QLW1" s="87"/>
      <c r="QLX1" s="87"/>
      <c r="QLY1" s="87"/>
      <c r="QLZ1" s="87"/>
      <c r="QMA1" s="87"/>
      <c r="QMB1" s="87"/>
      <c r="QMC1" s="87"/>
      <c r="QMD1" s="87"/>
      <c r="QME1" s="87"/>
      <c r="QMF1" s="87"/>
      <c r="QMG1" s="87"/>
      <c r="QMH1" s="87"/>
      <c r="QMI1" s="87"/>
      <c r="QMJ1" s="87"/>
      <c r="QMK1" s="87"/>
      <c r="QML1" s="87"/>
      <c r="QMM1" s="87"/>
      <c r="QMN1" s="87"/>
      <c r="QMO1" s="87"/>
      <c r="QMP1" s="87"/>
      <c r="QMQ1" s="87"/>
      <c r="QMR1" s="87"/>
      <c r="QMS1" s="87"/>
      <c r="QMT1" s="87"/>
      <c r="QMU1" s="87"/>
      <c r="QMV1" s="87"/>
      <c r="QMW1" s="87"/>
      <c r="QMX1" s="87"/>
      <c r="QMY1" s="87"/>
      <c r="QMZ1" s="87"/>
      <c r="QNA1" s="87"/>
      <c r="QNB1" s="87"/>
      <c r="QNC1" s="87"/>
      <c r="QND1" s="87"/>
      <c r="QNE1" s="87"/>
      <c r="QNF1" s="87"/>
      <c r="QNG1" s="87"/>
      <c r="QNH1" s="87"/>
      <c r="QNI1" s="87"/>
      <c r="QNJ1" s="87"/>
      <c r="QNK1" s="87"/>
      <c r="QNL1" s="87"/>
      <c r="QNM1" s="87"/>
      <c r="QNN1" s="87"/>
      <c r="QNO1" s="87"/>
      <c r="QNP1" s="87"/>
      <c r="QNQ1" s="87"/>
      <c r="QNR1" s="87"/>
      <c r="QNS1" s="87"/>
      <c r="QNT1" s="87"/>
      <c r="QNU1" s="87"/>
      <c r="QNV1" s="87"/>
      <c r="QNW1" s="87"/>
      <c r="QNX1" s="87"/>
      <c r="QNY1" s="87"/>
      <c r="QNZ1" s="87"/>
      <c r="QOA1" s="87"/>
      <c r="QOB1" s="87"/>
      <c r="QOC1" s="87"/>
      <c r="QOD1" s="87"/>
      <c r="QOE1" s="87"/>
      <c r="QOF1" s="87"/>
      <c r="QOG1" s="87"/>
      <c r="QOH1" s="87"/>
      <c r="QOI1" s="87"/>
      <c r="QOJ1" s="87"/>
      <c r="QOK1" s="87"/>
      <c r="QOL1" s="87"/>
      <c r="QOM1" s="87"/>
      <c r="QON1" s="87"/>
      <c r="QOO1" s="87"/>
      <c r="QOP1" s="87"/>
      <c r="QOQ1" s="87"/>
      <c r="QOR1" s="87"/>
      <c r="QOS1" s="87"/>
      <c r="QOT1" s="87"/>
      <c r="QOU1" s="87"/>
      <c r="QOV1" s="87"/>
      <c r="QOW1" s="87"/>
      <c r="QOX1" s="87"/>
      <c r="QOY1" s="87"/>
      <c r="QOZ1" s="87"/>
      <c r="QPA1" s="87"/>
      <c r="QPB1" s="87"/>
      <c r="QPC1" s="87"/>
      <c r="QPD1" s="87"/>
      <c r="QPE1" s="87"/>
      <c r="QPF1" s="87"/>
      <c r="QPG1" s="87"/>
      <c r="QPH1" s="87"/>
      <c r="QPI1" s="87"/>
      <c r="QPJ1" s="87"/>
      <c r="QPK1" s="87"/>
      <c r="QPL1" s="87"/>
      <c r="QPM1" s="87"/>
      <c r="QPN1" s="87"/>
      <c r="QPO1" s="87"/>
      <c r="QPP1" s="87"/>
      <c r="QPQ1" s="87"/>
      <c r="QPR1" s="87"/>
      <c r="QPS1" s="87"/>
      <c r="QPT1" s="87"/>
      <c r="QPU1" s="87"/>
      <c r="QPV1" s="87"/>
      <c r="QPW1" s="87"/>
      <c r="QPX1" s="87"/>
      <c r="QPY1" s="87"/>
      <c r="QPZ1" s="87"/>
      <c r="QQA1" s="87"/>
      <c r="QQB1" s="87"/>
      <c r="QQC1" s="87"/>
      <c r="QQD1" s="87"/>
      <c r="QQE1" s="87"/>
      <c r="QQF1" s="87"/>
      <c r="QQG1" s="87"/>
      <c r="QQH1" s="87"/>
      <c r="QQI1" s="87"/>
      <c r="QQJ1" s="87"/>
      <c r="QQK1" s="87"/>
      <c r="QQL1" s="87"/>
      <c r="QQM1" s="87"/>
      <c r="QQN1" s="87"/>
      <c r="QQO1" s="87"/>
      <c r="QQP1" s="87"/>
      <c r="QQQ1" s="87"/>
      <c r="QQR1" s="87"/>
      <c r="QQS1" s="87"/>
      <c r="QQT1" s="87"/>
      <c r="QQU1" s="87"/>
      <c r="QQV1" s="87"/>
      <c r="QQW1" s="87"/>
      <c r="QQX1" s="87"/>
      <c r="QQY1" s="87"/>
      <c r="QQZ1" s="87"/>
      <c r="QRA1" s="87"/>
      <c r="QRB1" s="87"/>
      <c r="QRC1" s="87"/>
      <c r="QRD1" s="87"/>
      <c r="QRE1" s="87"/>
      <c r="QRF1" s="87"/>
      <c r="QRG1" s="87"/>
      <c r="QRH1" s="87"/>
      <c r="QRI1" s="87"/>
      <c r="QRJ1" s="87"/>
      <c r="QRK1" s="87"/>
      <c r="QRL1" s="87"/>
      <c r="QRM1" s="87"/>
      <c r="QRN1" s="87"/>
      <c r="QRO1" s="87"/>
      <c r="QRP1" s="87"/>
      <c r="QRQ1" s="87"/>
      <c r="QRR1" s="87"/>
      <c r="QRS1" s="87"/>
      <c r="QRT1" s="87"/>
      <c r="QRU1" s="87"/>
      <c r="QRV1" s="87"/>
      <c r="QRW1" s="87"/>
      <c r="QRX1" s="87"/>
      <c r="QRY1" s="87"/>
      <c r="QRZ1" s="87"/>
      <c r="QSA1" s="87"/>
      <c r="QSB1" s="87"/>
      <c r="QSC1" s="87"/>
      <c r="QSD1" s="87"/>
      <c r="QSE1" s="87"/>
      <c r="QSF1" s="87"/>
      <c r="QSG1" s="87"/>
      <c r="QSH1" s="87"/>
      <c r="QSI1" s="87"/>
      <c r="QSJ1" s="87"/>
      <c r="QSK1" s="87"/>
      <c r="QSL1" s="87"/>
      <c r="QSM1" s="87"/>
      <c r="QSN1" s="87"/>
      <c r="QSO1" s="87"/>
      <c r="QSP1" s="87"/>
      <c r="QSQ1" s="87"/>
      <c r="QSR1" s="87"/>
      <c r="QSS1" s="87"/>
      <c r="QST1" s="87"/>
      <c r="QSU1" s="87"/>
      <c r="QSV1" s="87"/>
      <c r="QSW1" s="87"/>
      <c r="QSX1" s="87"/>
      <c r="QSY1" s="87"/>
      <c r="QSZ1" s="87"/>
      <c r="QTA1" s="87"/>
      <c r="QTB1" s="87"/>
      <c r="QTC1" s="87"/>
      <c r="QTD1" s="87"/>
      <c r="QTE1" s="87"/>
      <c r="QTF1" s="87"/>
      <c r="QTG1" s="87"/>
      <c r="QTH1" s="87"/>
      <c r="QTI1" s="87"/>
      <c r="QTJ1" s="87"/>
      <c r="QTK1" s="87"/>
      <c r="QTL1" s="87"/>
      <c r="QTM1" s="87"/>
      <c r="QTN1" s="87"/>
      <c r="QTO1" s="87"/>
      <c r="QTP1" s="87"/>
      <c r="QTQ1" s="87"/>
      <c r="QTR1" s="87"/>
      <c r="QTS1" s="87"/>
      <c r="QTT1" s="87"/>
      <c r="QTU1" s="87"/>
      <c r="QTV1" s="87"/>
      <c r="QTW1" s="87"/>
      <c r="QTX1" s="87"/>
      <c r="QTY1" s="87"/>
      <c r="QTZ1" s="87"/>
      <c r="QUA1" s="87"/>
      <c r="QUB1" s="87"/>
      <c r="QUC1" s="87"/>
      <c r="QUD1" s="87"/>
      <c r="QUE1" s="87"/>
      <c r="QUF1" s="87"/>
      <c r="QUG1" s="87"/>
      <c r="QUH1" s="87"/>
      <c r="QUI1" s="87"/>
      <c r="QUJ1" s="87"/>
      <c r="QUK1" s="87"/>
      <c r="QUL1" s="87"/>
      <c r="QUM1" s="87"/>
      <c r="QUN1" s="87"/>
      <c r="QUO1" s="87"/>
      <c r="QUP1" s="87"/>
      <c r="QUQ1" s="87"/>
      <c r="QUR1" s="87"/>
      <c r="QUS1" s="87"/>
      <c r="QUT1" s="87"/>
      <c r="QUU1" s="87"/>
      <c r="QUV1" s="87"/>
      <c r="QUW1" s="87"/>
      <c r="QUX1" s="87"/>
      <c r="QUY1" s="87"/>
      <c r="QUZ1" s="87"/>
      <c r="QVA1" s="87"/>
      <c r="QVB1" s="87"/>
      <c r="QVC1" s="87"/>
      <c r="QVD1" s="87"/>
      <c r="QVE1" s="87"/>
      <c r="QVF1" s="87"/>
      <c r="QVG1" s="87"/>
      <c r="QVH1" s="87"/>
      <c r="QVI1" s="87"/>
      <c r="QVJ1" s="87"/>
      <c r="QVK1" s="87"/>
      <c r="QVL1" s="87"/>
      <c r="QVM1" s="87"/>
      <c r="QVN1" s="87"/>
      <c r="QVO1" s="87"/>
      <c r="QVP1" s="87"/>
      <c r="QVQ1" s="87"/>
      <c r="QVR1" s="87"/>
      <c r="QVS1" s="87"/>
      <c r="QVT1" s="87"/>
      <c r="QVU1" s="87"/>
      <c r="QVV1" s="87"/>
      <c r="QVW1" s="87"/>
      <c r="QVX1" s="87"/>
      <c r="QVY1" s="87"/>
      <c r="QVZ1" s="87"/>
      <c r="QWA1" s="87"/>
      <c r="QWB1" s="87"/>
      <c r="QWC1" s="87"/>
      <c r="QWD1" s="87"/>
      <c r="QWE1" s="87"/>
      <c r="QWF1" s="87"/>
      <c r="QWG1" s="87"/>
      <c r="QWH1" s="87"/>
      <c r="QWI1" s="87"/>
      <c r="QWJ1" s="87"/>
      <c r="QWK1" s="87"/>
      <c r="QWL1" s="87"/>
      <c r="QWM1" s="87"/>
      <c r="QWN1" s="87"/>
      <c r="QWO1" s="87"/>
      <c r="QWP1" s="87"/>
      <c r="QWQ1" s="87"/>
      <c r="QWR1" s="87"/>
      <c r="QWS1" s="87"/>
      <c r="QWT1" s="87"/>
      <c r="QWU1" s="87"/>
      <c r="QWV1" s="87"/>
      <c r="QWW1" s="87"/>
      <c r="QWX1" s="87"/>
      <c r="QWY1" s="87"/>
      <c r="QWZ1" s="87"/>
      <c r="QXA1" s="87"/>
      <c r="QXB1" s="87"/>
      <c r="QXC1" s="87"/>
      <c r="QXD1" s="87"/>
      <c r="QXE1" s="87"/>
      <c r="QXF1" s="87"/>
      <c r="QXG1" s="87"/>
      <c r="QXH1" s="87"/>
      <c r="QXI1" s="87"/>
      <c r="QXJ1" s="87"/>
      <c r="QXK1" s="87"/>
      <c r="QXL1" s="87"/>
      <c r="QXM1" s="87"/>
      <c r="QXN1" s="87"/>
      <c r="QXO1" s="87"/>
      <c r="QXP1" s="87"/>
      <c r="QXQ1" s="87"/>
      <c r="QXR1" s="87"/>
      <c r="QXS1" s="87"/>
      <c r="QXT1" s="87"/>
      <c r="QXU1" s="87"/>
      <c r="QXV1" s="87"/>
      <c r="QXW1" s="87"/>
      <c r="QXX1" s="87"/>
      <c r="QXY1" s="87"/>
      <c r="QXZ1" s="87"/>
      <c r="QYA1" s="87"/>
      <c r="QYB1" s="87"/>
      <c r="QYC1" s="87"/>
      <c r="QYD1" s="87"/>
      <c r="QYE1" s="87"/>
      <c r="QYF1" s="87"/>
      <c r="QYG1" s="87"/>
      <c r="QYH1" s="87"/>
      <c r="QYI1" s="87"/>
      <c r="QYJ1" s="87"/>
      <c r="QYK1" s="87"/>
      <c r="QYL1" s="87"/>
      <c r="QYM1" s="87"/>
      <c r="QYN1" s="87"/>
      <c r="QYO1" s="87"/>
      <c r="QYP1" s="87"/>
      <c r="QYQ1" s="87"/>
      <c r="QYR1" s="87"/>
      <c r="QYS1" s="87"/>
      <c r="QYT1" s="87"/>
      <c r="QYU1" s="87"/>
      <c r="QYV1" s="87"/>
      <c r="QYW1" s="87"/>
      <c r="QYX1" s="87"/>
      <c r="QYY1" s="87"/>
      <c r="QYZ1" s="87"/>
      <c r="QZA1" s="87"/>
      <c r="QZB1" s="87"/>
      <c r="QZC1" s="87"/>
      <c r="QZD1" s="87"/>
      <c r="QZE1" s="87"/>
      <c r="QZF1" s="87"/>
      <c r="QZG1" s="87"/>
      <c r="QZH1" s="87"/>
      <c r="QZI1" s="87"/>
      <c r="QZJ1" s="87"/>
      <c r="QZK1" s="87"/>
      <c r="QZL1" s="87"/>
      <c r="QZM1" s="87"/>
      <c r="QZN1" s="87"/>
      <c r="QZO1" s="87"/>
      <c r="QZP1" s="87"/>
      <c r="QZQ1" s="87"/>
      <c r="QZR1" s="87"/>
      <c r="QZS1" s="87"/>
      <c r="QZT1" s="87"/>
      <c r="QZU1" s="87"/>
      <c r="QZV1" s="87"/>
      <c r="QZW1" s="87"/>
      <c r="QZX1" s="87"/>
      <c r="QZY1" s="87"/>
      <c r="QZZ1" s="87"/>
      <c r="RAA1" s="87"/>
      <c r="RAB1" s="87"/>
      <c r="RAC1" s="87"/>
      <c r="RAD1" s="87"/>
      <c r="RAE1" s="87"/>
      <c r="RAF1" s="87"/>
      <c r="RAG1" s="87"/>
      <c r="RAH1" s="87"/>
      <c r="RAI1" s="87"/>
      <c r="RAJ1" s="87"/>
      <c r="RAK1" s="87"/>
      <c r="RAL1" s="87"/>
      <c r="RAM1" s="87"/>
      <c r="RAN1" s="87"/>
      <c r="RAO1" s="87"/>
      <c r="RAP1" s="87"/>
      <c r="RAQ1" s="87"/>
      <c r="RAR1" s="87"/>
      <c r="RAS1" s="87"/>
      <c r="RAT1" s="87"/>
      <c r="RAU1" s="87"/>
      <c r="RAV1" s="87"/>
      <c r="RAW1" s="87"/>
      <c r="RAX1" s="87"/>
      <c r="RAY1" s="87"/>
      <c r="RAZ1" s="87"/>
      <c r="RBA1" s="87"/>
      <c r="RBB1" s="87"/>
      <c r="RBC1" s="87"/>
      <c r="RBD1" s="87"/>
      <c r="RBE1" s="87"/>
      <c r="RBF1" s="87"/>
      <c r="RBG1" s="87"/>
      <c r="RBH1" s="87"/>
      <c r="RBI1" s="87"/>
      <c r="RBJ1" s="87"/>
      <c r="RBK1" s="87"/>
      <c r="RBL1" s="87"/>
      <c r="RBM1" s="87"/>
      <c r="RBN1" s="87"/>
      <c r="RBO1" s="87"/>
      <c r="RBP1" s="87"/>
      <c r="RBQ1" s="87"/>
      <c r="RBR1" s="87"/>
      <c r="RBS1" s="87"/>
      <c r="RBT1" s="87"/>
      <c r="RBU1" s="87"/>
      <c r="RBV1" s="87"/>
      <c r="RBW1" s="87"/>
      <c r="RBX1" s="87"/>
      <c r="RBY1" s="87"/>
      <c r="RBZ1" s="87"/>
      <c r="RCA1" s="87"/>
      <c r="RCB1" s="87"/>
      <c r="RCC1" s="87"/>
      <c r="RCD1" s="87"/>
      <c r="RCE1" s="87"/>
      <c r="RCF1" s="87"/>
      <c r="RCG1" s="87"/>
      <c r="RCH1" s="87"/>
      <c r="RCI1" s="87"/>
      <c r="RCJ1" s="87"/>
      <c r="RCK1" s="87"/>
      <c r="RCL1" s="87"/>
      <c r="RCM1" s="87"/>
      <c r="RCN1" s="87"/>
      <c r="RCO1" s="87"/>
      <c r="RCP1" s="87"/>
      <c r="RCQ1" s="87"/>
      <c r="RCR1" s="87"/>
      <c r="RCS1" s="87"/>
      <c r="RCT1" s="87"/>
      <c r="RCU1" s="87"/>
      <c r="RCV1" s="87"/>
      <c r="RCW1" s="87"/>
      <c r="RCX1" s="87"/>
      <c r="RCY1" s="87"/>
      <c r="RCZ1" s="87"/>
      <c r="RDA1" s="87"/>
      <c r="RDB1" s="87"/>
      <c r="RDC1" s="87"/>
      <c r="RDD1" s="87"/>
      <c r="RDE1" s="87"/>
      <c r="RDF1" s="87"/>
      <c r="RDG1" s="87"/>
      <c r="RDH1" s="87"/>
      <c r="RDI1" s="87"/>
      <c r="RDJ1" s="87"/>
      <c r="RDK1" s="87"/>
      <c r="RDL1" s="87"/>
      <c r="RDM1" s="87"/>
      <c r="RDN1" s="87"/>
      <c r="RDO1" s="87"/>
      <c r="RDP1" s="87"/>
      <c r="RDQ1" s="87"/>
      <c r="RDR1" s="87"/>
      <c r="RDS1" s="87"/>
      <c r="RDT1" s="87"/>
      <c r="RDU1" s="87"/>
      <c r="RDV1" s="87"/>
      <c r="RDW1" s="87"/>
      <c r="RDX1" s="87"/>
      <c r="RDY1" s="87"/>
      <c r="RDZ1" s="87"/>
      <c r="REA1" s="87"/>
      <c r="REB1" s="87"/>
      <c r="REC1" s="87"/>
      <c r="RED1" s="87"/>
      <c r="REE1" s="87"/>
      <c r="REF1" s="87"/>
      <c r="REG1" s="87"/>
      <c r="REH1" s="87"/>
      <c r="REI1" s="87"/>
      <c r="REJ1" s="87"/>
      <c r="REK1" s="87"/>
      <c r="REL1" s="87"/>
      <c r="REM1" s="87"/>
      <c r="REN1" s="87"/>
      <c r="REO1" s="87"/>
      <c r="REP1" s="87"/>
      <c r="REQ1" s="87"/>
      <c r="RER1" s="87"/>
      <c r="RES1" s="87"/>
      <c r="RET1" s="87"/>
      <c r="REU1" s="87"/>
      <c r="REV1" s="87"/>
      <c r="REW1" s="87"/>
      <c r="REX1" s="87"/>
      <c r="REY1" s="87"/>
      <c r="REZ1" s="87"/>
      <c r="RFA1" s="87"/>
      <c r="RFB1" s="87"/>
      <c r="RFC1" s="87"/>
      <c r="RFD1" s="87"/>
      <c r="RFE1" s="87"/>
      <c r="RFF1" s="87"/>
      <c r="RFG1" s="87"/>
      <c r="RFH1" s="87"/>
      <c r="RFI1" s="87"/>
      <c r="RFJ1" s="87"/>
      <c r="RFK1" s="87"/>
      <c r="RFL1" s="87"/>
      <c r="RFM1" s="87"/>
      <c r="RFN1" s="87"/>
      <c r="RFO1" s="87"/>
      <c r="RFP1" s="87"/>
      <c r="RFQ1" s="87"/>
      <c r="RFR1" s="87"/>
      <c r="RFS1" s="87"/>
      <c r="RFT1" s="87"/>
      <c r="RFU1" s="87"/>
      <c r="RFV1" s="87"/>
      <c r="RFW1" s="87"/>
      <c r="RFX1" s="87"/>
      <c r="RFY1" s="87"/>
      <c r="RFZ1" s="87"/>
      <c r="RGA1" s="87"/>
      <c r="RGB1" s="87"/>
      <c r="RGC1" s="87"/>
      <c r="RGD1" s="87"/>
      <c r="RGE1" s="87"/>
      <c r="RGF1" s="87"/>
      <c r="RGG1" s="87"/>
      <c r="RGH1" s="87"/>
      <c r="RGI1" s="87"/>
      <c r="RGJ1" s="87"/>
      <c r="RGK1" s="87"/>
      <c r="RGL1" s="87"/>
      <c r="RGM1" s="87"/>
      <c r="RGN1" s="87"/>
      <c r="RGO1" s="87"/>
      <c r="RGP1" s="87"/>
      <c r="RGQ1" s="87"/>
      <c r="RGR1" s="87"/>
      <c r="RGS1" s="87"/>
      <c r="RGT1" s="87"/>
      <c r="RGU1" s="87"/>
      <c r="RGV1" s="87"/>
      <c r="RGW1" s="87"/>
      <c r="RGX1" s="87"/>
      <c r="RGY1" s="87"/>
      <c r="RGZ1" s="87"/>
      <c r="RHA1" s="87"/>
      <c r="RHB1" s="87"/>
      <c r="RHC1" s="87"/>
      <c r="RHD1" s="87"/>
      <c r="RHE1" s="87"/>
      <c r="RHF1" s="87"/>
      <c r="RHG1" s="87"/>
      <c r="RHH1" s="87"/>
      <c r="RHI1" s="87"/>
      <c r="RHJ1" s="87"/>
      <c r="RHK1" s="87"/>
      <c r="RHL1" s="87"/>
      <c r="RHM1" s="87"/>
      <c r="RHN1" s="87"/>
      <c r="RHO1" s="87"/>
      <c r="RHP1" s="87"/>
      <c r="RHQ1" s="87"/>
      <c r="RHR1" s="87"/>
      <c r="RHS1" s="87"/>
      <c r="RHT1" s="87"/>
      <c r="RHU1" s="87"/>
      <c r="RHV1" s="87"/>
      <c r="RHW1" s="87"/>
      <c r="RHX1" s="87"/>
      <c r="RHY1" s="87"/>
      <c r="RHZ1" s="87"/>
      <c r="RIA1" s="87"/>
      <c r="RIB1" s="87"/>
      <c r="RIC1" s="87"/>
      <c r="RID1" s="87"/>
      <c r="RIE1" s="87"/>
      <c r="RIF1" s="87"/>
      <c r="RIG1" s="87"/>
      <c r="RIH1" s="87"/>
      <c r="RII1" s="87"/>
      <c r="RIJ1" s="87"/>
      <c r="RIK1" s="87"/>
      <c r="RIL1" s="87"/>
      <c r="RIM1" s="87"/>
      <c r="RIN1" s="87"/>
      <c r="RIO1" s="87"/>
      <c r="RIP1" s="87"/>
      <c r="RIQ1" s="87"/>
      <c r="RIR1" s="87"/>
      <c r="RIS1" s="87"/>
      <c r="RIT1" s="87"/>
      <c r="RIU1" s="87"/>
      <c r="RIV1" s="87"/>
      <c r="RIW1" s="87"/>
      <c r="RIX1" s="87"/>
      <c r="RIY1" s="87"/>
      <c r="RIZ1" s="87"/>
      <c r="RJA1" s="87"/>
      <c r="RJB1" s="87"/>
      <c r="RJC1" s="87"/>
      <c r="RJD1" s="87"/>
      <c r="RJE1" s="87"/>
      <c r="RJF1" s="87"/>
      <c r="RJG1" s="87"/>
      <c r="RJH1" s="87"/>
      <c r="RJI1" s="87"/>
      <c r="RJJ1" s="87"/>
      <c r="RJK1" s="87"/>
      <c r="RJL1" s="87"/>
      <c r="RJM1" s="87"/>
      <c r="RJN1" s="87"/>
      <c r="RJO1" s="87"/>
      <c r="RJP1" s="87"/>
      <c r="RJQ1" s="87"/>
      <c r="RJR1" s="87"/>
      <c r="RJS1" s="87"/>
      <c r="RJT1" s="87"/>
      <c r="RJU1" s="87"/>
      <c r="RJV1" s="87"/>
      <c r="RJW1" s="87"/>
      <c r="RJX1" s="87"/>
      <c r="RJY1" s="87"/>
      <c r="RJZ1" s="87"/>
      <c r="RKA1" s="87"/>
      <c r="RKB1" s="87"/>
      <c r="RKC1" s="87"/>
      <c r="RKD1" s="87"/>
      <c r="RKE1" s="87"/>
      <c r="RKF1" s="87"/>
      <c r="RKG1" s="87"/>
      <c r="RKH1" s="87"/>
      <c r="RKI1" s="87"/>
      <c r="RKJ1" s="87"/>
      <c r="RKK1" s="87"/>
      <c r="RKL1" s="87"/>
      <c r="RKM1" s="87"/>
      <c r="RKN1" s="87"/>
      <c r="RKO1" s="87"/>
      <c r="RKP1" s="87"/>
      <c r="RKQ1" s="87"/>
      <c r="RKR1" s="87"/>
      <c r="RKS1" s="87"/>
      <c r="RKT1" s="87"/>
      <c r="RKU1" s="87"/>
      <c r="RKV1" s="87"/>
      <c r="RKW1" s="87"/>
      <c r="RKX1" s="87"/>
      <c r="RKY1" s="87"/>
      <c r="RKZ1" s="87"/>
      <c r="RLA1" s="87"/>
      <c r="RLB1" s="87"/>
      <c r="RLC1" s="87"/>
      <c r="RLD1" s="87"/>
      <c r="RLE1" s="87"/>
      <c r="RLF1" s="87"/>
      <c r="RLG1" s="87"/>
      <c r="RLH1" s="87"/>
      <c r="RLI1" s="87"/>
      <c r="RLJ1" s="87"/>
      <c r="RLK1" s="87"/>
      <c r="RLL1" s="87"/>
      <c r="RLM1" s="87"/>
      <c r="RLN1" s="87"/>
      <c r="RLO1" s="87"/>
      <c r="RLP1" s="87"/>
      <c r="RLQ1" s="87"/>
      <c r="RLR1" s="87"/>
      <c r="RLS1" s="87"/>
      <c r="RLT1" s="87"/>
      <c r="RLU1" s="87"/>
      <c r="RLV1" s="87"/>
      <c r="RLW1" s="87"/>
      <c r="RLX1" s="87"/>
      <c r="RLY1" s="87"/>
      <c r="RLZ1" s="87"/>
      <c r="RMA1" s="87"/>
      <c r="RMB1" s="87"/>
      <c r="RMC1" s="87"/>
      <c r="RMD1" s="87"/>
      <c r="RME1" s="87"/>
      <c r="RMF1" s="87"/>
      <c r="RMG1" s="87"/>
      <c r="RMH1" s="87"/>
      <c r="RMI1" s="87"/>
      <c r="RMJ1" s="87"/>
      <c r="RMK1" s="87"/>
      <c r="RML1" s="87"/>
      <c r="RMM1" s="87"/>
      <c r="RMN1" s="87"/>
      <c r="RMO1" s="87"/>
      <c r="RMP1" s="87"/>
      <c r="RMQ1" s="87"/>
      <c r="RMR1" s="87"/>
      <c r="RMS1" s="87"/>
      <c r="RMT1" s="87"/>
      <c r="RMU1" s="87"/>
      <c r="RMV1" s="87"/>
      <c r="RMW1" s="87"/>
      <c r="RMX1" s="87"/>
      <c r="RMY1" s="87"/>
      <c r="RMZ1" s="87"/>
      <c r="RNA1" s="87"/>
      <c r="RNB1" s="87"/>
      <c r="RNC1" s="87"/>
      <c r="RND1" s="87"/>
      <c r="RNE1" s="87"/>
      <c r="RNF1" s="87"/>
      <c r="RNG1" s="87"/>
      <c r="RNH1" s="87"/>
      <c r="RNI1" s="87"/>
      <c r="RNJ1" s="87"/>
      <c r="RNK1" s="87"/>
      <c r="RNL1" s="87"/>
      <c r="RNM1" s="87"/>
      <c r="RNN1" s="87"/>
      <c r="RNO1" s="87"/>
      <c r="RNP1" s="87"/>
      <c r="RNQ1" s="87"/>
      <c r="RNR1" s="87"/>
      <c r="RNS1" s="87"/>
      <c r="RNT1" s="87"/>
      <c r="RNU1" s="87"/>
      <c r="RNV1" s="87"/>
      <c r="RNW1" s="87"/>
      <c r="RNX1" s="87"/>
      <c r="RNY1" s="87"/>
      <c r="RNZ1" s="87"/>
      <c r="ROA1" s="87"/>
      <c r="ROB1" s="87"/>
      <c r="ROC1" s="87"/>
      <c r="ROD1" s="87"/>
      <c r="ROE1" s="87"/>
      <c r="ROF1" s="87"/>
      <c r="ROG1" s="87"/>
      <c r="ROH1" s="87"/>
      <c r="ROI1" s="87"/>
      <c r="ROJ1" s="87"/>
      <c r="ROK1" s="87"/>
      <c r="ROL1" s="87"/>
      <c r="ROM1" s="87"/>
      <c r="RON1" s="87"/>
      <c r="ROO1" s="87"/>
      <c r="ROP1" s="87"/>
      <c r="ROQ1" s="87"/>
      <c r="ROR1" s="87"/>
      <c r="ROS1" s="87"/>
      <c r="ROT1" s="87"/>
      <c r="ROU1" s="87"/>
      <c r="ROV1" s="87"/>
      <c r="ROW1" s="87"/>
      <c r="ROX1" s="87"/>
      <c r="ROY1" s="87"/>
      <c r="ROZ1" s="87"/>
      <c r="RPA1" s="87"/>
      <c r="RPB1" s="87"/>
      <c r="RPC1" s="87"/>
      <c r="RPD1" s="87"/>
      <c r="RPE1" s="87"/>
      <c r="RPF1" s="87"/>
      <c r="RPG1" s="87"/>
      <c r="RPH1" s="87"/>
      <c r="RPI1" s="87"/>
      <c r="RPJ1" s="87"/>
      <c r="RPK1" s="87"/>
      <c r="RPL1" s="87"/>
      <c r="RPM1" s="87"/>
      <c r="RPN1" s="87"/>
      <c r="RPO1" s="87"/>
      <c r="RPP1" s="87"/>
      <c r="RPQ1" s="87"/>
      <c r="RPR1" s="87"/>
      <c r="RPS1" s="87"/>
      <c r="RPT1" s="87"/>
      <c r="RPU1" s="87"/>
      <c r="RPV1" s="87"/>
      <c r="RPW1" s="87"/>
      <c r="RPX1" s="87"/>
      <c r="RPY1" s="87"/>
      <c r="RPZ1" s="87"/>
      <c r="RQA1" s="87"/>
      <c r="RQB1" s="87"/>
      <c r="RQC1" s="87"/>
      <c r="RQD1" s="87"/>
      <c r="RQE1" s="87"/>
      <c r="RQF1" s="87"/>
      <c r="RQG1" s="87"/>
      <c r="RQH1" s="87"/>
      <c r="RQI1" s="87"/>
      <c r="RQJ1" s="87"/>
      <c r="RQK1" s="87"/>
      <c r="RQL1" s="87"/>
      <c r="RQM1" s="87"/>
      <c r="RQN1" s="87"/>
      <c r="RQO1" s="87"/>
      <c r="RQP1" s="87"/>
      <c r="RQQ1" s="87"/>
      <c r="RQR1" s="87"/>
      <c r="RQS1" s="87"/>
      <c r="RQT1" s="87"/>
      <c r="RQU1" s="87"/>
      <c r="RQV1" s="87"/>
      <c r="RQW1" s="87"/>
      <c r="RQX1" s="87"/>
      <c r="RQY1" s="87"/>
      <c r="RQZ1" s="87"/>
      <c r="RRA1" s="87"/>
      <c r="RRB1" s="87"/>
      <c r="RRC1" s="87"/>
      <c r="RRD1" s="87"/>
      <c r="RRE1" s="87"/>
      <c r="RRF1" s="87"/>
      <c r="RRG1" s="87"/>
      <c r="RRH1" s="87"/>
      <c r="RRI1" s="87"/>
      <c r="RRJ1" s="87"/>
      <c r="RRK1" s="87"/>
      <c r="RRL1" s="87"/>
      <c r="RRM1" s="87"/>
      <c r="RRN1" s="87"/>
      <c r="RRO1" s="87"/>
      <c r="RRP1" s="87"/>
      <c r="RRQ1" s="87"/>
      <c r="RRR1" s="87"/>
      <c r="RRS1" s="87"/>
      <c r="RRT1" s="87"/>
      <c r="RRU1" s="87"/>
      <c r="RRV1" s="87"/>
      <c r="RRW1" s="87"/>
      <c r="RRX1" s="87"/>
      <c r="RRY1" s="87"/>
      <c r="RRZ1" s="87"/>
      <c r="RSA1" s="87"/>
      <c r="RSB1" s="87"/>
      <c r="RSC1" s="87"/>
      <c r="RSD1" s="87"/>
      <c r="RSE1" s="87"/>
      <c r="RSF1" s="87"/>
      <c r="RSG1" s="87"/>
      <c r="RSH1" s="87"/>
      <c r="RSI1" s="87"/>
      <c r="RSJ1" s="87"/>
      <c r="RSK1" s="87"/>
      <c r="RSL1" s="87"/>
      <c r="RSM1" s="87"/>
      <c r="RSN1" s="87"/>
      <c r="RSO1" s="87"/>
      <c r="RSP1" s="87"/>
      <c r="RSQ1" s="87"/>
      <c r="RSR1" s="87"/>
      <c r="RSS1" s="87"/>
      <c r="RST1" s="87"/>
      <c r="RSU1" s="87"/>
      <c r="RSV1" s="87"/>
      <c r="RSW1" s="87"/>
      <c r="RSX1" s="87"/>
      <c r="RSY1" s="87"/>
      <c r="RSZ1" s="87"/>
      <c r="RTA1" s="87"/>
      <c r="RTB1" s="87"/>
      <c r="RTC1" s="87"/>
      <c r="RTD1" s="87"/>
      <c r="RTE1" s="87"/>
      <c r="RTF1" s="87"/>
      <c r="RTG1" s="87"/>
      <c r="RTH1" s="87"/>
      <c r="RTI1" s="87"/>
      <c r="RTJ1" s="87"/>
      <c r="RTK1" s="87"/>
      <c r="RTL1" s="87"/>
      <c r="RTM1" s="87"/>
      <c r="RTN1" s="87"/>
      <c r="RTO1" s="87"/>
      <c r="RTP1" s="87"/>
      <c r="RTQ1" s="87"/>
      <c r="RTR1" s="87"/>
      <c r="RTS1" s="87"/>
      <c r="RTT1" s="87"/>
      <c r="RTU1" s="87"/>
      <c r="RTV1" s="87"/>
      <c r="RTW1" s="87"/>
      <c r="RTX1" s="87"/>
      <c r="RTY1" s="87"/>
      <c r="RTZ1" s="87"/>
      <c r="RUA1" s="87"/>
      <c r="RUB1" s="87"/>
      <c r="RUC1" s="87"/>
      <c r="RUD1" s="87"/>
      <c r="RUE1" s="87"/>
      <c r="RUF1" s="87"/>
      <c r="RUG1" s="87"/>
      <c r="RUH1" s="87"/>
      <c r="RUI1" s="87"/>
      <c r="RUJ1" s="87"/>
      <c r="RUK1" s="87"/>
      <c r="RUL1" s="87"/>
      <c r="RUM1" s="87"/>
      <c r="RUN1" s="87"/>
      <c r="RUO1" s="87"/>
      <c r="RUP1" s="87"/>
      <c r="RUQ1" s="87"/>
      <c r="RUR1" s="87"/>
      <c r="RUS1" s="87"/>
      <c r="RUT1" s="87"/>
      <c r="RUU1" s="87"/>
      <c r="RUV1" s="87"/>
      <c r="RUW1" s="87"/>
      <c r="RUX1" s="87"/>
      <c r="RUY1" s="87"/>
      <c r="RUZ1" s="87"/>
      <c r="RVA1" s="87"/>
      <c r="RVB1" s="87"/>
      <c r="RVC1" s="87"/>
      <c r="RVD1" s="87"/>
      <c r="RVE1" s="87"/>
      <c r="RVF1" s="87"/>
      <c r="RVG1" s="87"/>
      <c r="RVH1" s="87"/>
      <c r="RVI1" s="87"/>
      <c r="RVJ1" s="87"/>
      <c r="RVK1" s="87"/>
      <c r="RVL1" s="87"/>
      <c r="RVM1" s="87"/>
      <c r="RVN1" s="87"/>
      <c r="RVO1" s="87"/>
      <c r="RVP1" s="87"/>
      <c r="RVQ1" s="87"/>
      <c r="RVR1" s="87"/>
      <c r="RVS1" s="87"/>
      <c r="RVT1" s="87"/>
      <c r="RVU1" s="87"/>
      <c r="RVV1" s="87"/>
      <c r="RVW1" s="87"/>
      <c r="RVX1" s="87"/>
      <c r="RVY1" s="87"/>
      <c r="RVZ1" s="87"/>
      <c r="RWA1" s="87"/>
      <c r="RWB1" s="87"/>
      <c r="RWC1" s="87"/>
      <c r="RWD1" s="87"/>
      <c r="RWE1" s="87"/>
      <c r="RWF1" s="87"/>
      <c r="RWG1" s="87"/>
      <c r="RWH1" s="87"/>
      <c r="RWI1" s="87"/>
      <c r="RWJ1" s="87"/>
      <c r="RWK1" s="87"/>
      <c r="RWL1" s="87"/>
      <c r="RWM1" s="87"/>
      <c r="RWN1" s="87"/>
      <c r="RWO1" s="87"/>
      <c r="RWP1" s="87"/>
      <c r="RWQ1" s="87"/>
      <c r="RWR1" s="87"/>
      <c r="RWS1" s="87"/>
      <c r="RWT1" s="87"/>
      <c r="RWU1" s="87"/>
      <c r="RWV1" s="87"/>
      <c r="RWW1" s="87"/>
      <c r="RWX1" s="87"/>
      <c r="RWY1" s="87"/>
      <c r="RWZ1" s="87"/>
      <c r="RXA1" s="87"/>
      <c r="RXB1" s="87"/>
      <c r="RXC1" s="87"/>
      <c r="RXD1" s="87"/>
      <c r="RXE1" s="87"/>
      <c r="RXF1" s="87"/>
      <c r="RXG1" s="87"/>
      <c r="RXH1" s="87"/>
      <c r="RXI1" s="87"/>
      <c r="RXJ1" s="87"/>
      <c r="RXK1" s="87"/>
      <c r="RXL1" s="87"/>
      <c r="RXM1" s="87"/>
      <c r="RXN1" s="87"/>
      <c r="RXO1" s="87"/>
      <c r="RXP1" s="87"/>
      <c r="RXQ1" s="87"/>
      <c r="RXR1" s="87"/>
      <c r="RXS1" s="87"/>
      <c r="RXT1" s="87"/>
      <c r="RXU1" s="87"/>
      <c r="RXV1" s="87"/>
      <c r="RXW1" s="87"/>
      <c r="RXX1" s="87"/>
      <c r="RXY1" s="87"/>
      <c r="RXZ1" s="87"/>
      <c r="RYA1" s="87"/>
      <c r="RYB1" s="87"/>
      <c r="RYC1" s="87"/>
      <c r="RYD1" s="87"/>
      <c r="RYE1" s="87"/>
      <c r="RYF1" s="87"/>
      <c r="RYG1" s="87"/>
      <c r="RYH1" s="87"/>
      <c r="RYI1" s="87"/>
      <c r="RYJ1" s="87"/>
      <c r="RYK1" s="87"/>
      <c r="RYL1" s="87"/>
      <c r="RYM1" s="87"/>
      <c r="RYN1" s="87"/>
      <c r="RYO1" s="87"/>
      <c r="RYP1" s="87"/>
      <c r="RYQ1" s="87"/>
      <c r="RYR1" s="87"/>
      <c r="RYS1" s="87"/>
      <c r="RYT1" s="87"/>
      <c r="RYU1" s="87"/>
      <c r="RYV1" s="87"/>
      <c r="RYW1" s="87"/>
      <c r="RYX1" s="87"/>
      <c r="RYY1" s="87"/>
      <c r="RYZ1" s="87"/>
      <c r="RZA1" s="87"/>
      <c r="RZB1" s="87"/>
      <c r="RZC1" s="87"/>
      <c r="RZD1" s="87"/>
      <c r="RZE1" s="87"/>
      <c r="RZF1" s="87"/>
      <c r="RZG1" s="87"/>
      <c r="RZH1" s="87"/>
      <c r="RZI1" s="87"/>
      <c r="RZJ1" s="87"/>
      <c r="RZK1" s="87"/>
      <c r="RZL1" s="87"/>
      <c r="RZM1" s="87"/>
      <c r="RZN1" s="87"/>
      <c r="RZO1" s="87"/>
      <c r="RZP1" s="87"/>
      <c r="RZQ1" s="87"/>
      <c r="RZR1" s="87"/>
      <c r="RZS1" s="87"/>
      <c r="RZT1" s="87"/>
      <c r="RZU1" s="87"/>
      <c r="RZV1" s="87"/>
      <c r="RZW1" s="87"/>
      <c r="RZX1" s="87"/>
      <c r="RZY1" s="87"/>
      <c r="RZZ1" s="87"/>
      <c r="SAA1" s="87"/>
      <c r="SAB1" s="87"/>
      <c r="SAC1" s="87"/>
      <c r="SAD1" s="87"/>
      <c r="SAE1" s="87"/>
      <c r="SAF1" s="87"/>
      <c r="SAG1" s="87"/>
      <c r="SAH1" s="87"/>
      <c r="SAI1" s="87"/>
      <c r="SAJ1" s="87"/>
      <c r="SAK1" s="87"/>
      <c r="SAL1" s="87"/>
      <c r="SAM1" s="87"/>
      <c r="SAN1" s="87"/>
      <c r="SAO1" s="87"/>
      <c r="SAP1" s="87"/>
      <c r="SAQ1" s="87"/>
      <c r="SAR1" s="87"/>
      <c r="SAS1" s="87"/>
      <c r="SAT1" s="87"/>
      <c r="SAU1" s="87"/>
      <c r="SAV1" s="87"/>
      <c r="SAW1" s="87"/>
      <c r="SAX1" s="87"/>
      <c r="SAY1" s="87"/>
      <c r="SAZ1" s="87"/>
      <c r="SBA1" s="87"/>
      <c r="SBB1" s="87"/>
      <c r="SBC1" s="87"/>
      <c r="SBD1" s="87"/>
      <c r="SBE1" s="87"/>
      <c r="SBF1" s="87"/>
      <c r="SBG1" s="87"/>
      <c r="SBH1" s="87"/>
      <c r="SBI1" s="87"/>
      <c r="SBJ1" s="87"/>
      <c r="SBK1" s="87"/>
      <c r="SBL1" s="87"/>
      <c r="SBM1" s="87"/>
      <c r="SBN1" s="87"/>
      <c r="SBO1" s="87"/>
      <c r="SBP1" s="87"/>
      <c r="SBQ1" s="87"/>
      <c r="SBR1" s="87"/>
      <c r="SBS1" s="87"/>
      <c r="SBT1" s="87"/>
      <c r="SBU1" s="87"/>
      <c r="SBV1" s="87"/>
      <c r="SBW1" s="87"/>
      <c r="SBX1" s="87"/>
      <c r="SBY1" s="87"/>
      <c r="SBZ1" s="87"/>
      <c r="SCA1" s="87"/>
      <c r="SCB1" s="87"/>
      <c r="SCC1" s="87"/>
      <c r="SCD1" s="87"/>
      <c r="SCE1" s="87"/>
      <c r="SCF1" s="87"/>
      <c r="SCG1" s="87"/>
      <c r="SCH1" s="87"/>
      <c r="SCI1" s="87"/>
      <c r="SCJ1" s="87"/>
      <c r="SCK1" s="87"/>
      <c r="SCL1" s="87"/>
      <c r="SCM1" s="87"/>
      <c r="SCN1" s="87"/>
      <c r="SCO1" s="87"/>
      <c r="SCP1" s="87"/>
      <c r="SCQ1" s="87"/>
      <c r="SCR1" s="87"/>
      <c r="SCS1" s="87"/>
      <c r="SCT1" s="87"/>
      <c r="SCU1" s="87"/>
      <c r="SCV1" s="87"/>
      <c r="SCW1" s="87"/>
      <c r="SCX1" s="87"/>
      <c r="SCY1" s="87"/>
      <c r="SCZ1" s="87"/>
      <c r="SDA1" s="87"/>
      <c r="SDB1" s="87"/>
      <c r="SDC1" s="87"/>
      <c r="SDD1" s="87"/>
      <c r="SDE1" s="87"/>
      <c r="SDF1" s="87"/>
      <c r="SDG1" s="87"/>
      <c r="SDH1" s="87"/>
      <c r="SDI1" s="87"/>
      <c r="SDJ1" s="87"/>
      <c r="SDK1" s="87"/>
      <c r="SDL1" s="87"/>
      <c r="SDM1" s="87"/>
      <c r="SDN1" s="87"/>
      <c r="SDO1" s="87"/>
      <c r="SDP1" s="87"/>
      <c r="SDQ1" s="87"/>
      <c r="SDR1" s="87"/>
      <c r="SDS1" s="87"/>
      <c r="SDT1" s="87"/>
      <c r="SDU1" s="87"/>
      <c r="SDV1" s="87"/>
      <c r="SDW1" s="87"/>
      <c r="SDX1" s="87"/>
      <c r="SDY1" s="87"/>
      <c r="SDZ1" s="87"/>
      <c r="SEA1" s="87"/>
      <c r="SEB1" s="87"/>
      <c r="SEC1" s="87"/>
      <c r="SED1" s="87"/>
      <c r="SEE1" s="87"/>
      <c r="SEF1" s="87"/>
      <c r="SEG1" s="87"/>
      <c r="SEH1" s="87"/>
      <c r="SEI1" s="87"/>
      <c r="SEJ1" s="87"/>
      <c r="SEK1" s="87"/>
      <c r="SEL1" s="87"/>
      <c r="SEM1" s="87"/>
      <c r="SEN1" s="87"/>
      <c r="SEO1" s="87"/>
      <c r="SEP1" s="87"/>
      <c r="SEQ1" s="87"/>
      <c r="SER1" s="87"/>
      <c r="SES1" s="87"/>
      <c r="SET1" s="87"/>
      <c r="SEU1" s="87"/>
      <c r="SEV1" s="87"/>
      <c r="SEW1" s="87"/>
      <c r="SEX1" s="87"/>
      <c r="SEY1" s="87"/>
      <c r="SEZ1" s="87"/>
      <c r="SFA1" s="87"/>
      <c r="SFB1" s="87"/>
      <c r="SFC1" s="87"/>
      <c r="SFD1" s="87"/>
      <c r="SFE1" s="87"/>
      <c r="SFF1" s="87"/>
      <c r="SFG1" s="87"/>
      <c r="SFH1" s="87"/>
      <c r="SFI1" s="87"/>
      <c r="SFJ1" s="87"/>
      <c r="SFK1" s="87"/>
      <c r="SFL1" s="87"/>
      <c r="SFM1" s="87"/>
      <c r="SFN1" s="87"/>
      <c r="SFO1" s="87"/>
      <c r="SFP1" s="87"/>
      <c r="SFQ1" s="87"/>
      <c r="SFR1" s="87"/>
      <c r="SFS1" s="87"/>
      <c r="SFT1" s="87"/>
      <c r="SFU1" s="87"/>
      <c r="SFV1" s="87"/>
      <c r="SFW1" s="87"/>
      <c r="SFX1" s="87"/>
      <c r="SFY1" s="87"/>
      <c r="SFZ1" s="87"/>
      <c r="SGA1" s="87"/>
      <c r="SGB1" s="87"/>
      <c r="SGC1" s="87"/>
      <c r="SGD1" s="87"/>
      <c r="SGE1" s="87"/>
      <c r="SGF1" s="87"/>
      <c r="SGG1" s="87"/>
      <c r="SGH1" s="87"/>
      <c r="SGI1" s="87"/>
      <c r="SGJ1" s="87"/>
      <c r="SGK1" s="87"/>
      <c r="SGL1" s="87"/>
      <c r="SGM1" s="87"/>
      <c r="SGN1" s="87"/>
      <c r="SGO1" s="87"/>
      <c r="SGP1" s="87"/>
      <c r="SGQ1" s="87"/>
      <c r="SGR1" s="87"/>
      <c r="SGS1" s="87"/>
      <c r="SGT1" s="87"/>
      <c r="SGU1" s="87"/>
      <c r="SGV1" s="87"/>
      <c r="SGW1" s="87"/>
      <c r="SGX1" s="87"/>
      <c r="SGY1" s="87"/>
      <c r="SGZ1" s="87"/>
      <c r="SHA1" s="87"/>
      <c r="SHB1" s="87"/>
      <c r="SHC1" s="87"/>
      <c r="SHD1" s="87"/>
      <c r="SHE1" s="87"/>
      <c r="SHF1" s="87"/>
      <c r="SHG1" s="87"/>
      <c r="SHH1" s="87"/>
      <c r="SHI1" s="87"/>
      <c r="SHJ1" s="87"/>
      <c r="SHK1" s="87"/>
      <c r="SHL1" s="87"/>
      <c r="SHM1" s="87"/>
      <c r="SHN1" s="87"/>
      <c r="SHO1" s="87"/>
      <c r="SHP1" s="87"/>
      <c r="SHQ1" s="87"/>
      <c r="SHR1" s="87"/>
      <c r="SHS1" s="87"/>
      <c r="SHT1" s="87"/>
      <c r="SHU1" s="87"/>
      <c r="SHV1" s="87"/>
      <c r="SHW1" s="87"/>
      <c r="SHX1" s="87"/>
      <c r="SHY1" s="87"/>
      <c r="SHZ1" s="87"/>
      <c r="SIA1" s="87"/>
      <c r="SIB1" s="87"/>
      <c r="SIC1" s="87"/>
      <c r="SID1" s="87"/>
      <c r="SIE1" s="87"/>
      <c r="SIF1" s="87"/>
      <c r="SIG1" s="87"/>
      <c r="SIH1" s="87"/>
      <c r="SII1" s="87"/>
      <c r="SIJ1" s="87"/>
      <c r="SIK1" s="87"/>
      <c r="SIL1" s="87"/>
      <c r="SIM1" s="87"/>
      <c r="SIN1" s="87"/>
      <c r="SIO1" s="87"/>
      <c r="SIP1" s="87"/>
      <c r="SIQ1" s="87"/>
      <c r="SIR1" s="87"/>
      <c r="SIS1" s="87"/>
      <c r="SIT1" s="87"/>
      <c r="SIU1" s="87"/>
      <c r="SIV1" s="87"/>
      <c r="SIW1" s="87"/>
      <c r="SIX1" s="87"/>
      <c r="SIY1" s="87"/>
      <c r="SIZ1" s="87"/>
      <c r="SJA1" s="87"/>
      <c r="SJB1" s="87"/>
      <c r="SJC1" s="87"/>
      <c r="SJD1" s="87"/>
      <c r="SJE1" s="87"/>
      <c r="SJF1" s="87"/>
      <c r="SJG1" s="87"/>
      <c r="SJH1" s="87"/>
      <c r="SJI1" s="87"/>
      <c r="SJJ1" s="87"/>
      <c r="SJK1" s="87"/>
      <c r="SJL1" s="87"/>
      <c r="SJM1" s="87"/>
      <c r="SJN1" s="87"/>
      <c r="SJO1" s="87"/>
      <c r="SJP1" s="87"/>
      <c r="SJQ1" s="87"/>
      <c r="SJR1" s="87"/>
      <c r="SJS1" s="87"/>
      <c r="SJT1" s="87"/>
      <c r="SJU1" s="87"/>
      <c r="SJV1" s="87"/>
      <c r="SJW1" s="87"/>
      <c r="SJX1" s="87"/>
      <c r="SJY1" s="87"/>
      <c r="SJZ1" s="87"/>
      <c r="SKA1" s="87"/>
      <c r="SKB1" s="87"/>
      <c r="SKC1" s="87"/>
      <c r="SKD1" s="87"/>
      <c r="SKE1" s="87"/>
      <c r="SKF1" s="87"/>
      <c r="SKG1" s="87"/>
      <c r="SKH1" s="87"/>
      <c r="SKI1" s="87"/>
      <c r="SKJ1" s="87"/>
      <c r="SKK1" s="87"/>
      <c r="SKL1" s="87"/>
      <c r="SKM1" s="87"/>
      <c r="SKN1" s="87"/>
      <c r="SKO1" s="87"/>
      <c r="SKP1" s="87"/>
      <c r="SKQ1" s="87"/>
      <c r="SKR1" s="87"/>
      <c r="SKS1" s="87"/>
      <c r="SKT1" s="87"/>
      <c r="SKU1" s="87"/>
      <c r="SKV1" s="87"/>
      <c r="SKW1" s="87"/>
      <c r="SKX1" s="87"/>
      <c r="SKY1" s="87"/>
      <c r="SKZ1" s="87"/>
      <c r="SLA1" s="87"/>
      <c r="SLB1" s="87"/>
      <c r="SLC1" s="87"/>
      <c r="SLD1" s="87"/>
      <c r="SLE1" s="87"/>
      <c r="SLF1" s="87"/>
      <c r="SLG1" s="87"/>
      <c r="SLH1" s="87"/>
      <c r="SLI1" s="87"/>
      <c r="SLJ1" s="87"/>
      <c r="SLK1" s="87"/>
      <c r="SLL1" s="87"/>
      <c r="SLM1" s="87"/>
      <c r="SLN1" s="87"/>
      <c r="SLO1" s="87"/>
      <c r="SLP1" s="87"/>
      <c r="SLQ1" s="87"/>
      <c r="SLR1" s="87"/>
      <c r="SLS1" s="87"/>
      <c r="SLT1" s="87"/>
      <c r="SLU1" s="87"/>
      <c r="SLV1" s="87"/>
      <c r="SLW1" s="87"/>
      <c r="SLX1" s="87"/>
      <c r="SLY1" s="87"/>
      <c r="SLZ1" s="87"/>
      <c r="SMA1" s="87"/>
      <c r="SMB1" s="87"/>
      <c r="SMC1" s="87"/>
      <c r="SMD1" s="87"/>
      <c r="SME1" s="87"/>
      <c r="SMF1" s="87"/>
      <c r="SMG1" s="87"/>
      <c r="SMH1" s="87"/>
      <c r="SMI1" s="87"/>
      <c r="SMJ1" s="87"/>
      <c r="SMK1" s="87"/>
      <c r="SML1" s="87"/>
      <c r="SMM1" s="87"/>
      <c r="SMN1" s="87"/>
      <c r="SMO1" s="87"/>
      <c r="SMP1" s="87"/>
      <c r="SMQ1" s="87"/>
      <c r="SMR1" s="87"/>
      <c r="SMS1" s="87"/>
      <c r="SMT1" s="87"/>
      <c r="SMU1" s="87"/>
      <c r="SMV1" s="87"/>
      <c r="SMW1" s="87"/>
      <c r="SMX1" s="87"/>
      <c r="SMY1" s="87"/>
      <c r="SMZ1" s="87"/>
      <c r="SNA1" s="87"/>
      <c r="SNB1" s="87"/>
      <c r="SNC1" s="87"/>
      <c r="SND1" s="87"/>
      <c r="SNE1" s="87"/>
      <c r="SNF1" s="87"/>
      <c r="SNG1" s="87"/>
      <c r="SNH1" s="87"/>
      <c r="SNI1" s="87"/>
      <c r="SNJ1" s="87"/>
      <c r="SNK1" s="87"/>
      <c r="SNL1" s="87"/>
      <c r="SNM1" s="87"/>
      <c r="SNN1" s="87"/>
      <c r="SNO1" s="87"/>
      <c r="SNP1" s="87"/>
      <c r="SNQ1" s="87"/>
      <c r="SNR1" s="87"/>
      <c r="SNS1" s="87"/>
      <c r="SNT1" s="87"/>
      <c r="SNU1" s="87"/>
      <c r="SNV1" s="87"/>
      <c r="SNW1" s="87"/>
      <c r="SNX1" s="87"/>
      <c r="SNY1" s="87"/>
      <c r="SNZ1" s="87"/>
      <c r="SOA1" s="87"/>
      <c r="SOB1" s="87"/>
      <c r="SOC1" s="87"/>
      <c r="SOD1" s="87"/>
      <c r="SOE1" s="87"/>
      <c r="SOF1" s="87"/>
      <c r="SOG1" s="87"/>
      <c r="SOH1" s="87"/>
      <c r="SOI1" s="87"/>
      <c r="SOJ1" s="87"/>
      <c r="SOK1" s="87"/>
      <c r="SOL1" s="87"/>
      <c r="SOM1" s="87"/>
      <c r="SON1" s="87"/>
      <c r="SOO1" s="87"/>
      <c r="SOP1" s="87"/>
      <c r="SOQ1" s="87"/>
      <c r="SOR1" s="87"/>
      <c r="SOS1" s="87"/>
      <c r="SOT1" s="87"/>
      <c r="SOU1" s="87"/>
      <c r="SOV1" s="87"/>
      <c r="SOW1" s="87"/>
      <c r="SOX1" s="87"/>
      <c r="SOY1" s="87"/>
      <c r="SOZ1" s="87"/>
      <c r="SPA1" s="87"/>
      <c r="SPB1" s="87"/>
      <c r="SPC1" s="87"/>
      <c r="SPD1" s="87"/>
      <c r="SPE1" s="87"/>
      <c r="SPF1" s="87"/>
      <c r="SPG1" s="87"/>
      <c r="SPH1" s="87"/>
      <c r="SPI1" s="87"/>
      <c r="SPJ1" s="87"/>
      <c r="SPK1" s="87"/>
      <c r="SPL1" s="87"/>
      <c r="SPM1" s="87"/>
      <c r="SPN1" s="87"/>
      <c r="SPO1" s="87"/>
      <c r="SPP1" s="87"/>
      <c r="SPQ1" s="87"/>
      <c r="SPR1" s="87"/>
      <c r="SPS1" s="87"/>
      <c r="SPT1" s="87"/>
      <c r="SPU1" s="87"/>
      <c r="SPV1" s="87"/>
      <c r="SPW1" s="87"/>
      <c r="SPX1" s="87"/>
      <c r="SPY1" s="87"/>
      <c r="SPZ1" s="87"/>
      <c r="SQA1" s="87"/>
      <c r="SQB1" s="87"/>
      <c r="SQC1" s="87"/>
      <c r="SQD1" s="87"/>
      <c r="SQE1" s="87"/>
      <c r="SQF1" s="87"/>
      <c r="SQG1" s="87"/>
      <c r="SQH1" s="87"/>
      <c r="SQI1" s="87"/>
      <c r="SQJ1" s="87"/>
      <c r="SQK1" s="87"/>
      <c r="SQL1" s="87"/>
      <c r="SQM1" s="87"/>
      <c r="SQN1" s="87"/>
      <c r="SQO1" s="87"/>
      <c r="SQP1" s="87"/>
      <c r="SQQ1" s="87"/>
      <c r="SQR1" s="87"/>
      <c r="SQS1" s="87"/>
      <c r="SQT1" s="87"/>
      <c r="SQU1" s="87"/>
      <c r="SQV1" s="87"/>
      <c r="SQW1" s="87"/>
      <c r="SQX1" s="87"/>
      <c r="SQY1" s="87"/>
      <c r="SQZ1" s="87"/>
      <c r="SRA1" s="87"/>
      <c r="SRB1" s="87"/>
      <c r="SRC1" s="87"/>
      <c r="SRD1" s="87"/>
      <c r="SRE1" s="87"/>
      <c r="SRF1" s="87"/>
      <c r="SRG1" s="87"/>
      <c r="SRH1" s="87"/>
      <c r="SRI1" s="87"/>
      <c r="SRJ1" s="87"/>
      <c r="SRK1" s="87"/>
      <c r="SRL1" s="87"/>
      <c r="SRM1" s="87"/>
      <c r="SRN1" s="87"/>
      <c r="SRO1" s="87"/>
      <c r="SRP1" s="87"/>
      <c r="SRQ1" s="87"/>
      <c r="SRR1" s="87"/>
      <c r="SRS1" s="87"/>
      <c r="SRT1" s="87"/>
      <c r="SRU1" s="87"/>
      <c r="SRV1" s="87"/>
      <c r="SRW1" s="87"/>
      <c r="SRX1" s="87"/>
      <c r="SRY1" s="87"/>
      <c r="SRZ1" s="87"/>
      <c r="SSA1" s="87"/>
      <c r="SSB1" s="87"/>
      <c r="SSC1" s="87"/>
      <c r="SSD1" s="87"/>
      <c r="SSE1" s="87"/>
      <c r="SSF1" s="87"/>
      <c r="SSG1" s="87"/>
      <c r="SSH1" s="87"/>
      <c r="SSI1" s="87"/>
      <c r="SSJ1" s="87"/>
      <c r="SSK1" s="87"/>
      <c r="SSL1" s="87"/>
      <c r="SSM1" s="87"/>
      <c r="SSN1" s="87"/>
      <c r="SSO1" s="87"/>
      <c r="SSP1" s="87"/>
      <c r="SSQ1" s="87"/>
      <c r="SSR1" s="87"/>
      <c r="SSS1" s="87"/>
      <c r="SST1" s="87"/>
      <c r="SSU1" s="87"/>
      <c r="SSV1" s="87"/>
      <c r="SSW1" s="87"/>
      <c r="SSX1" s="87"/>
      <c r="SSY1" s="87"/>
      <c r="SSZ1" s="87"/>
      <c r="STA1" s="87"/>
      <c r="STB1" s="87"/>
      <c r="STC1" s="87"/>
      <c r="STD1" s="87"/>
      <c r="STE1" s="87"/>
      <c r="STF1" s="87"/>
      <c r="STG1" s="87"/>
      <c r="STH1" s="87"/>
      <c r="STI1" s="87"/>
      <c r="STJ1" s="87"/>
      <c r="STK1" s="87"/>
      <c r="STL1" s="87"/>
      <c r="STM1" s="87"/>
      <c r="STN1" s="87"/>
      <c r="STO1" s="87"/>
      <c r="STP1" s="87"/>
      <c r="STQ1" s="87"/>
      <c r="STR1" s="87"/>
      <c r="STS1" s="87"/>
      <c r="STT1" s="87"/>
      <c r="STU1" s="87"/>
      <c r="STV1" s="87"/>
      <c r="STW1" s="87"/>
      <c r="STX1" s="87"/>
      <c r="STY1" s="87"/>
      <c r="STZ1" s="87"/>
      <c r="SUA1" s="87"/>
      <c r="SUB1" s="87"/>
      <c r="SUC1" s="87"/>
      <c r="SUD1" s="87"/>
      <c r="SUE1" s="87"/>
      <c r="SUF1" s="87"/>
      <c r="SUG1" s="87"/>
      <c r="SUH1" s="87"/>
      <c r="SUI1" s="87"/>
      <c r="SUJ1" s="87"/>
      <c r="SUK1" s="87"/>
      <c r="SUL1" s="87"/>
      <c r="SUM1" s="87"/>
      <c r="SUN1" s="87"/>
      <c r="SUO1" s="87"/>
      <c r="SUP1" s="87"/>
      <c r="SUQ1" s="87"/>
      <c r="SUR1" s="87"/>
      <c r="SUS1" s="87"/>
      <c r="SUT1" s="87"/>
      <c r="SUU1" s="87"/>
      <c r="SUV1" s="87"/>
      <c r="SUW1" s="87"/>
      <c r="SUX1" s="87"/>
      <c r="SUY1" s="87"/>
      <c r="SUZ1" s="87"/>
      <c r="SVA1" s="87"/>
      <c r="SVB1" s="87"/>
      <c r="SVC1" s="87"/>
      <c r="SVD1" s="87"/>
      <c r="SVE1" s="87"/>
      <c r="SVF1" s="87"/>
      <c r="SVG1" s="87"/>
      <c r="SVH1" s="87"/>
      <c r="SVI1" s="87"/>
      <c r="SVJ1" s="87"/>
      <c r="SVK1" s="87"/>
      <c r="SVL1" s="87"/>
      <c r="SVM1" s="87"/>
      <c r="SVN1" s="87"/>
      <c r="SVO1" s="87"/>
      <c r="SVP1" s="87"/>
      <c r="SVQ1" s="87"/>
      <c r="SVR1" s="87"/>
      <c r="SVS1" s="87"/>
      <c r="SVT1" s="87"/>
      <c r="SVU1" s="87"/>
      <c r="SVV1" s="87"/>
      <c r="SVW1" s="87"/>
      <c r="SVX1" s="87"/>
      <c r="SVY1" s="87"/>
      <c r="SVZ1" s="87"/>
      <c r="SWA1" s="87"/>
      <c r="SWB1" s="87"/>
      <c r="SWC1" s="87"/>
      <c r="SWD1" s="87"/>
      <c r="SWE1" s="87"/>
      <c r="SWF1" s="87"/>
      <c r="SWG1" s="87"/>
      <c r="SWH1" s="87"/>
      <c r="SWI1" s="87"/>
      <c r="SWJ1" s="87"/>
      <c r="SWK1" s="87"/>
      <c r="SWL1" s="87"/>
      <c r="SWM1" s="87"/>
      <c r="SWN1" s="87"/>
      <c r="SWO1" s="87"/>
      <c r="SWP1" s="87"/>
      <c r="SWQ1" s="87"/>
      <c r="SWR1" s="87"/>
      <c r="SWS1" s="87"/>
      <c r="SWT1" s="87"/>
      <c r="SWU1" s="87"/>
      <c r="SWV1" s="87"/>
      <c r="SWW1" s="87"/>
      <c r="SWX1" s="87"/>
      <c r="SWY1" s="87"/>
      <c r="SWZ1" s="87"/>
      <c r="SXA1" s="87"/>
      <c r="SXB1" s="87"/>
      <c r="SXC1" s="87"/>
      <c r="SXD1" s="87"/>
      <c r="SXE1" s="87"/>
      <c r="SXF1" s="87"/>
      <c r="SXG1" s="87"/>
      <c r="SXH1" s="87"/>
      <c r="SXI1" s="87"/>
      <c r="SXJ1" s="87"/>
      <c r="SXK1" s="87"/>
      <c r="SXL1" s="87"/>
      <c r="SXM1" s="87"/>
      <c r="SXN1" s="87"/>
      <c r="SXO1" s="87"/>
      <c r="SXP1" s="87"/>
      <c r="SXQ1" s="87"/>
      <c r="SXR1" s="87"/>
      <c r="SXS1" s="87"/>
      <c r="SXT1" s="87"/>
      <c r="SXU1" s="87"/>
      <c r="SXV1" s="87"/>
      <c r="SXW1" s="87"/>
      <c r="SXX1" s="87"/>
      <c r="SXY1" s="87"/>
      <c r="SXZ1" s="87"/>
      <c r="SYA1" s="87"/>
      <c r="SYB1" s="87"/>
      <c r="SYC1" s="87"/>
      <c r="SYD1" s="87"/>
      <c r="SYE1" s="87"/>
      <c r="SYF1" s="87"/>
      <c r="SYG1" s="87"/>
      <c r="SYH1" s="87"/>
      <c r="SYI1" s="87"/>
      <c r="SYJ1" s="87"/>
      <c r="SYK1" s="87"/>
      <c r="SYL1" s="87"/>
      <c r="SYM1" s="87"/>
      <c r="SYN1" s="87"/>
      <c r="SYO1" s="87"/>
      <c r="SYP1" s="87"/>
      <c r="SYQ1" s="87"/>
      <c r="SYR1" s="87"/>
      <c r="SYS1" s="87"/>
      <c r="SYT1" s="87"/>
      <c r="SYU1" s="87"/>
      <c r="SYV1" s="87"/>
      <c r="SYW1" s="87"/>
      <c r="SYX1" s="87"/>
      <c r="SYY1" s="87"/>
      <c r="SYZ1" s="87"/>
      <c r="SZA1" s="87"/>
      <c r="SZB1" s="87"/>
      <c r="SZC1" s="87"/>
      <c r="SZD1" s="87"/>
      <c r="SZE1" s="87"/>
      <c r="SZF1" s="87"/>
      <c r="SZG1" s="87"/>
      <c r="SZH1" s="87"/>
      <c r="SZI1" s="87"/>
      <c r="SZJ1" s="87"/>
      <c r="SZK1" s="87"/>
      <c r="SZL1" s="87"/>
      <c r="SZM1" s="87"/>
      <c r="SZN1" s="87"/>
      <c r="SZO1" s="87"/>
      <c r="SZP1" s="87"/>
      <c r="SZQ1" s="87"/>
      <c r="SZR1" s="87"/>
      <c r="SZS1" s="87"/>
      <c r="SZT1" s="87"/>
      <c r="SZU1" s="87"/>
      <c r="SZV1" s="87"/>
      <c r="SZW1" s="87"/>
      <c r="SZX1" s="87"/>
      <c r="SZY1" s="87"/>
      <c r="SZZ1" s="87"/>
      <c r="TAA1" s="87"/>
      <c r="TAB1" s="87"/>
      <c r="TAC1" s="87"/>
      <c r="TAD1" s="87"/>
      <c r="TAE1" s="87"/>
      <c r="TAF1" s="87"/>
      <c r="TAG1" s="87"/>
      <c r="TAH1" s="87"/>
      <c r="TAI1" s="87"/>
      <c r="TAJ1" s="87"/>
      <c r="TAK1" s="87"/>
      <c r="TAL1" s="87"/>
      <c r="TAM1" s="87"/>
      <c r="TAN1" s="87"/>
      <c r="TAO1" s="87"/>
      <c r="TAP1" s="87"/>
      <c r="TAQ1" s="87"/>
      <c r="TAR1" s="87"/>
      <c r="TAS1" s="87"/>
      <c r="TAT1" s="87"/>
      <c r="TAU1" s="87"/>
      <c r="TAV1" s="87"/>
      <c r="TAW1" s="87"/>
      <c r="TAX1" s="87"/>
      <c r="TAY1" s="87"/>
      <c r="TAZ1" s="87"/>
      <c r="TBA1" s="87"/>
      <c r="TBB1" s="87"/>
      <c r="TBC1" s="87"/>
      <c r="TBD1" s="87"/>
      <c r="TBE1" s="87"/>
      <c r="TBF1" s="87"/>
      <c r="TBG1" s="87"/>
      <c r="TBH1" s="87"/>
      <c r="TBI1" s="87"/>
      <c r="TBJ1" s="87"/>
      <c r="TBK1" s="87"/>
      <c r="TBL1" s="87"/>
      <c r="TBM1" s="87"/>
      <c r="TBN1" s="87"/>
      <c r="TBO1" s="87"/>
      <c r="TBP1" s="87"/>
      <c r="TBQ1" s="87"/>
      <c r="TBR1" s="87"/>
      <c r="TBS1" s="87"/>
      <c r="TBT1" s="87"/>
      <c r="TBU1" s="87"/>
      <c r="TBV1" s="87"/>
      <c r="TBW1" s="87"/>
      <c r="TBX1" s="87"/>
      <c r="TBY1" s="87"/>
      <c r="TBZ1" s="87"/>
      <c r="TCA1" s="87"/>
      <c r="TCB1" s="87"/>
      <c r="TCC1" s="87"/>
      <c r="TCD1" s="87"/>
      <c r="TCE1" s="87"/>
      <c r="TCF1" s="87"/>
      <c r="TCG1" s="87"/>
      <c r="TCH1" s="87"/>
      <c r="TCI1" s="87"/>
      <c r="TCJ1" s="87"/>
      <c r="TCK1" s="87"/>
      <c r="TCL1" s="87"/>
      <c r="TCM1" s="87"/>
      <c r="TCN1" s="87"/>
      <c r="TCO1" s="87"/>
      <c r="TCP1" s="87"/>
      <c r="TCQ1" s="87"/>
      <c r="TCR1" s="87"/>
      <c r="TCS1" s="87"/>
      <c r="TCT1" s="87"/>
      <c r="TCU1" s="87"/>
      <c r="TCV1" s="87"/>
      <c r="TCW1" s="87"/>
      <c r="TCX1" s="87"/>
      <c r="TCY1" s="87"/>
      <c r="TCZ1" s="87"/>
      <c r="TDA1" s="87"/>
      <c r="TDB1" s="87"/>
      <c r="TDC1" s="87"/>
      <c r="TDD1" s="87"/>
      <c r="TDE1" s="87"/>
      <c r="TDF1" s="87"/>
      <c r="TDG1" s="87"/>
      <c r="TDH1" s="87"/>
      <c r="TDI1" s="87"/>
      <c r="TDJ1" s="87"/>
      <c r="TDK1" s="87"/>
      <c r="TDL1" s="87"/>
      <c r="TDM1" s="87"/>
      <c r="TDN1" s="87"/>
      <c r="TDO1" s="87"/>
      <c r="TDP1" s="87"/>
      <c r="TDQ1" s="87"/>
      <c r="TDR1" s="87"/>
      <c r="TDS1" s="87"/>
      <c r="TDT1" s="87"/>
      <c r="TDU1" s="87"/>
      <c r="TDV1" s="87"/>
      <c r="TDW1" s="87"/>
      <c r="TDX1" s="87"/>
      <c r="TDY1" s="87"/>
      <c r="TDZ1" s="87"/>
      <c r="TEA1" s="87"/>
      <c r="TEB1" s="87"/>
      <c r="TEC1" s="87"/>
      <c r="TED1" s="87"/>
      <c r="TEE1" s="87"/>
      <c r="TEF1" s="87"/>
      <c r="TEG1" s="87"/>
      <c r="TEH1" s="87"/>
      <c r="TEI1" s="87"/>
      <c r="TEJ1" s="87"/>
      <c r="TEK1" s="87"/>
      <c r="TEL1" s="87"/>
      <c r="TEM1" s="87"/>
      <c r="TEN1" s="87"/>
      <c r="TEO1" s="87"/>
      <c r="TEP1" s="87"/>
      <c r="TEQ1" s="87"/>
      <c r="TER1" s="87"/>
      <c r="TES1" s="87"/>
      <c r="TET1" s="87"/>
      <c r="TEU1" s="87"/>
      <c r="TEV1" s="87"/>
      <c r="TEW1" s="87"/>
      <c r="TEX1" s="87"/>
      <c r="TEY1" s="87"/>
      <c r="TEZ1" s="87"/>
      <c r="TFA1" s="87"/>
      <c r="TFB1" s="87"/>
      <c r="TFC1" s="87"/>
      <c r="TFD1" s="87"/>
      <c r="TFE1" s="87"/>
      <c r="TFF1" s="87"/>
      <c r="TFG1" s="87"/>
      <c r="TFH1" s="87"/>
      <c r="TFI1" s="87"/>
      <c r="TFJ1" s="87"/>
      <c r="TFK1" s="87"/>
      <c r="TFL1" s="87"/>
      <c r="TFM1" s="87"/>
      <c r="TFN1" s="87"/>
      <c r="TFO1" s="87"/>
      <c r="TFP1" s="87"/>
      <c r="TFQ1" s="87"/>
      <c r="TFR1" s="87"/>
      <c r="TFS1" s="87"/>
      <c r="TFT1" s="87"/>
      <c r="TFU1" s="87"/>
      <c r="TFV1" s="87"/>
      <c r="TFW1" s="87"/>
      <c r="TFX1" s="87"/>
      <c r="TFY1" s="87"/>
      <c r="TFZ1" s="87"/>
      <c r="TGA1" s="87"/>
      <c r="TGB1" s="87"/>
      <c r="TGC1" s="87"/>
      <c r="TGD1" s="87"/>
      <c r="TGE1" s="87"/>
      <c r="TGF1" s="87"/>
      <c r="TGG1" s="87"/>
      <c r="TGH1" s="87"/>
      <c r="TGI1" s="87"/>
      <c r="TGJ1" s="87"/>
      <c r="TGK1" s="87"/>
      <c r="TGL1" s="87"/>
      <c r="TGM1" s="87"/>
      <c r="TGN1" s="87"/>
      <c r="TGO1" s="87"/>
      <c r="TGP1" s="87"/>
      <c r="TGQ1" s="87"/>
      <c r="TGR1" s="87"/>
      <c r="TGS1" s="87"/>
      <c r="TGT1" s="87"/>
      <c r="TGU1" s="87"/>
      <c r="TGV1" s="87"/>
      <c r="TGW1" s="87"/>
      <c r="TGX1" s="87"/>
      <c r="TGY1" s="87"/>
      <c r="TGZ1" s="87"/>
      <c r="THA1" s="87"/>
      <c r="THB1" s="87"/>
      <c r="THC1" s="87"/>
      <c r="THD1" s="87"/>
      <c r="THE1" s="87"/>
      <c r="THF1" s="87"/>
      <c r="THG1" s="87"/>
      <c r="THH1" s="87"/>
      <c r="THI1" s="87"/>
      <c r="THJ1" s="87"/>
      <c r="THK1" s="87"/>
      <c r="THL1" s="87"/>
      <c r="THM1" s="87"/>
      <c r="THN1" s="87"/>
      <c r="THO1" s="87"/>
      <c r="THP1" s="87"/>
      <c r="THQ1" s="87"/>
      <c r="THR1" s="87"/>
      <c r="THS1" s="87"/>
      <c r="THT1" s="87"/>
      <c r="THU1" s="87"/>
      <c r="THV1" s="87"/>
      <c r="THW1" s="87"/>
      <c r="THX1" s="87"/>
      <c r="THY1" s="87"/>
      <c r="THZ1" s="87"/>
      <c r="TIA1" s="87"/>
      <c r="TIB1" s="87"/>
      <c r="TIC1" s="87"/>
      <c r="TID1" s="87"/>
      <c r="TIE1" s="87"/>
      <c r="TIF1" s="87"/>
      <c r="TIG1" s="87"/>
      <c r="TIH1" s="87"/>
      <c r="TII1" s="87"/>
      <c r="TIJ1" s="87"/>
      <c r="TIK1" s="87"/>
      <c r="TIL1" s="87"/>
      <c r="TIM1" s="87"/>
      <c r="TIN1" s="87"/>
      <c r="TIO1" s="87"/>
      <c r="TIP1" s="87"/>
      <c r="TIQ1" s="87"/>
      <c r="TIR1" s="87"/>
      <c r="TIS1" s="87"/>
      <c r="TIT1" s="87"/>
      <c r="TIU1" s="87"/>
      <c r="TIV1" s="87"/>
      <c r="TIW1" s="87"/>
      <c r="TIX1" s="87"/>
      <c r="TIY1" s="87"/>
      <c r="TIZ1" s="87"/>
      <c r="TJA1" s="87"/>
      <c r="TJB1" s="87"/>
      <c r="TJC1" s="87"/>
      <c r="TJD1" s="87"/>
      <c r="TJE1" s="87"/>
      <c r="TJF1" s="87"/>
      <c r="TJG1" s="87"/>
      <c r="TJH1" s="87"/>
      <c r="TJI1" s="87"/>
      <c r="TJJ1" s="87"/>
      <c r="TJK1" s="87"/>
      <c r="TJL1" s="87"/>
      <c r="TJM1" s="87"/>
      <c r="TJN1" s="87"/>
      <c r="TJO1" s="87"/>
      <c r="TJP1" s="87"/>
      <c r="TJQ1" s="87"/>
      <c r="TJR1" s="87"/>
      <c r="TJS1" s="87"/>
      <c r="TJT1" s="87"/>
      <c r="TJU1" s="87"/>
      <c r="TJV1" s="87"/>
      <c r="TJW1" s="87"/>
      <c r="TJX1" s="87"/>
      <c r="TJY1" s="87"/>
      <c r="TJZ1" s="87"/>
      <c r="TKA1" s="87"/>
      <c r="TKB1" s="87"/>
      <c r="TKC1" s="87"/>
      <c r="TKD1" s="87"/>
      <c r="TKE1" s="87"/>
      <c r="TKF1" s="87"/>
      <c r="TKG1" s="87"/>
      <c r="TKH1" s="87"/>
      <c r="TKI1" s="87"/>
      <c r="TKJ1" s="87"/>
      <c r="TKK1" s="87"/>
      <c r="TKL1" s="87"/>
      <c r="TKM1" s="87"/>
      <c r="TKN1" s="87"/>
      <c r="TKO1" s="87"/>
      <c r="TKP1" s="87"/>
      <c r="TKQ1" s="87"/>
      <c r="TKR1" s="87"/>
      <c r="TKS1" s="87"/>
      <c r="TKT1" s="87"/>
      <c r="TKU1" s="87"/>
      <c r="TKV1" s="87"/>
      <c r="TKW1" s="87"/>
      <c r="TKX1" s="87"/>
      <c r="TKY1" s="87"/>
      <c r="TKZ1" s="87"/>
      <c r="TLA1" s="87"/>
      <c r="TLB1" s="87"/>
      <c r="TLC1" s="87"/>
      <c r="TLD1" s="87"/>
      <c r="TLE1" s="87"/>
      <c r="TLF1" s="87"/>
      <c r="TLG1" s="87"/>
      <c r="TLH1" s="87"/>
      <c r="TLI1" s="87"/>
      <c r="TLJ1" s="87"/>
      <c r="TLK1" s="87"/>
      <c r="TLL1" s="87"/>
      <c r="TLM1" s="87"/>
      <c r="TLN1" s="87"/>
      <c r="TLO1" s="87"/>
      <c r="TLP1" s="87"/>
      <c r="TLQ1" s="87"/>
      <c r="TLR1" s="87"/>
      <c r="TLS1" s="87"/>
      <c r="TLT1" s="87"/>
      <c r="TLU1" s="87"/>
      <c r="TLV1" s="87"/>
      <c r="TLW1" s="87"/>
      <c r="TLX1" s="87"/>
      <c r="TLY1" s="87"/>
      <c r="TLZ1" s="87"/>
      <c r="TMA1" s="87"/>
      <c r="TMB1" s="87"/>
      <c r="TMC1" s="87"/>
      <c r="TMD1" s="87"/>
      <c r="TME1" s="87"/>
      <c r="TMF1" s="87"/>
      <c r="TMG1" s="87"/>
      <c r="TMH1" s="87"/>
      <c r="TMI1" s="87"/>
      <c r="TMJ1" s="87"/>
      <c r="TMK1" s="87"/>
      <c r="TML1" s="87"/>
      <c r="TMM1" s="87"/>
      <c r="TMN1" s="87"/>
      <c r="TMO1" s="87"/>
      <c r="TMP1" s="87"/>
      <c r="TMQ1" s="87"/>
      <c r="TMR1" s="87"/>
      <c r="TMS1" s="87"/>
      <c r="TMT1" s="87"/>
      <c r="TMU1" s="87"/>
      <c r="TMV1" s="87"/>
      <c r="TMW1" s="87"/>
      <c r="TMX1" s="87"/>
      <c r="TMY1" s="87"/>
      <c r="TMZ1" s="87"/>
      <c r="TNA1" s="87"/>
      <c r="TNB1" s="87"/>
      <c r="TNC1" s="87"/>
      <c r="TND1" s="87"/>
      <c r="TNE1" s="87"/>
      <c r="TNF1" s="87"/>
      <c r="TNG1" s="87"/>
      <c r="TNH1" s="87"/>
      <c r="TNI1" s="87"/>
      <c r="TNJ1" s="87"/>
      <c r="TNK1" s="87"/>
      <c r="TNL1" s="87"/>
      <c r="TNM1" s="87"/>
      <c r="TNN1" s="87"/>
      <c r="TNO1" s="87"/>
      <c r="TNP1" s="87"/>
      <c r="TNQ1" s="87"/>
      <c r="TNR1" s="87"/>
      <c r="TNS1" s="87"/>
      <c r="TNT1" s="87"/>
      <c r="TNU1" s="87"/>
      <c r="TNV1" s="87"/>
      <c r="TNW1" s="87"/>
      <c r="TNX1" s="87"/>
      <c r="TNY1" s="87"/>
      <c r="TNZ1" s="87"/>
      <c r="TOA1" s="87"/>
      <c r="TOB1" s="87"/>
      <c r="TOC1" s="87"/>
      <c r="TOD1" s="87"/>
      <c r="TOE1" s="87"/>
      <c r="TOF1" s="87"/>
      <c r="TOG1" s="87"/>
      <c r="TOH1" s="87"/>
      <c r="TOI1" s="87"/>
      <c r="TOJ1" s="87"/>
      <c r="TOK1" s="87"/>
      <c r="TOL1" s="87"/>
      <c r="TOM1" s="87"/>
      <c r="TON1" s="87"/>
      <c r="TOO1" s="87"/>
      <c r="TOP1" s="87"/>
      <c r="TOQ1" s="87"/>
      <c r="TOR1" s="87"/>
      <c r="TOS1" s="87"/>
      <c r="TOT1" s="87"/>
      <c r="TOU1" s="87"/>
      <c r="TOV1" s="87"/>
      <c r="TOW1" s="87"/>
      <c r="TOX1" s="87"/>
      <c r="TOY1" s="87"/>
      <c r="TOZ1" s="87"/>
      <c r="TPA1" s="87"/>
      <c r="TPB1" s="87"/>
      <c r="TPC1" s="87"/>
      <c r="TPD1" s="87"/>
      <c r="TPE1" s="87"/>
      <c r="TPF1" s="87"/>
      <c r="TPG1" s="87"/>
      <c r="TPH1" s="87"/>
      <c r="TPI1" s="87"/>
      <c r="TPJ1" s="87"/>
      <c r="TPK1" s="87"/>
      <c r="TPL1" s="87"/>
      <c r="TPM1" s="87"/>
      <c r="TPN1" s="87"/>
      <c r="TPO1" s="87"/>
      <c r="TPP1" s="87"/>
      <c r="TPQ1" s="87"/>
      <c r="TPR1" s="87"/>
      <c r="TPS1" s="87"/>
      <c r="TPT1" s="87"/>
      <c r="TPU1" s="87"/>
      <c r="TPV1" s="87"/>
      <c r="TPW1" s="87"/>
      <c r="TPX1" s="87"/>
      <c r="TPY1" s="87"/>
      <c r="TPZ1" s="87"/>
      <c r="TQA1" s="87"/>
      <c r="TQB1" s="87"/>
      <c r="TQC1" s="87"/>
      <c r="TQD1" s="87"/>
      <c r="TQE1" s="87"/>
      <c r="TQF1" s="87"/>
      <c r="TQG1" s="87"/>
      <c r="TQH1" s="87"/>
      <c r="TQI1" s="87"/>
      <c r="TQJ1" s="87"/>
      <c r="TQK1" s="87"/>
      <c r="TQL1" s="87"/>
      <c r="TQM1" s="87"/>
      <c r="TQN1" s="87"/>
      <c r="TQO1" s="87"/>
      <c r="TQP1" s="87"/>
      <c r="TQQ1" s="87"/>
      <c r="TQR1" s="87"/>
      <c r="TQS1" s="87"/>
      <c r="TQT1" s="87"/>
      <c r="TQU1" s="87"/>
      <c r="TQV1" s="87"/>
      <c r="TQW1" s="87"/>
      <c r="TQX1" s="87"/>
      <c r="TQY1" s="87"/>
      <c r="TQZ1" s="87"/>
      <c r="TRA1" s="87"/>
      <c r="TRB1" s="87"/>
      <c r="TRC1" s="87"/>
      <c r="TRD1" s="87"/>
      <c r="TRE1" s="87"/>
      <c r="TRF1" s="87"/>
      <c r="TRG1" s="87"/>
      <c r="TRH1" s="87"/>
      <c r="TRI1" s="87"/>
      <c r="TRJ1" s="87"/>
      <c r="TRK1" s="87"/>
      <c r="TRL1" s="87"/>
      <c r="TRM1" s="87"/>
      <c r="TRN1" s="87"/>
      <c r="TRO1" s="87"/>
      <c r="TRP1" s="87"/>
      <c r="TRQ1" s="87"/>
      <c r="TRR1" s="87"/>
      <c r="TRS1" s="87"/>
      <c r="TRT1" s="87"/>
      <c r="TRU1" s="87"/>
      <c r="TRV1" s="87"/>
      <c r="TRW1" s="87"/>
      <c r="TRX1" s="87"/>
      <c r="TRY1" s="87"/>
      <c r="TRZ1" s="87"/>
      <c r="TSA1" s="87"/>
      <c r="TSB1" s="87"/>
      <c r="TSC1" s="87"/>
      <c r="TSD1" s="87"/>
      <c r="TSE1" s="87"/>
      <c r="TSF1" s="87"/>
      <c r="TSG1" s="87"/>
      <c r="TSH1" s="87"/>
      <c r="TSI1" s="87"/>
      <c r="TSJ1" s="87"/>
      <c r="TSK1" s="87"/>
      <c r="TSL1" s="87"/>
      <c r="TSM1" s="87"/>
      <c r="TSN1" s="87"/>
      <c r="TSO1" s="87"/>
      <c r="TSP1" s="87"/>
      <c r="TSQ1" s="87"/>
      <c r="TSR1" s="87"/>
      <c r="TSS1" s="87"/>
      <c r="TST1" s="87"/>
      <c r="TSU1" s="87"/>
      <c r="TSV1" s="87"/>
      <c r="TSW1" s="87"/>
      <c r="TSX1" s="87"/>
      <c r="TSY1" s="87"/>
      <c r="TSZ1" s="87"/>
      <c r="TTA1" s="87"/>
      <c r="TTB1" s="87"/>
      <c r="TTC1" s="87"/>
      <c r="TTD1" s="87"/>
      <c r="TTE1" s="87"/>
      <c r="TTF1" s="87"/>
      <c r="TTG1" s="87"/>
      <c r="TTH1" s="87"/>
      <c r="TTI1" s="87"/>
      <c r="TTJ1" s="87"/>
      <c r="TTK1" s="87"/>
      <c r="TTL1" s="87"/>
      <c r="TTM1" s="87"/>
      <c r="TTN1" s="87"/>
      <c r="TTO1" s="87"/>
      <c r="TTP1" s="87"/>
      <c r="TTQ1" s="87"/>
      <c r="TTR1" s="87"/>
      <c r="TTS1" s="87"/>
      <c r="TTT1" s="87"/>
      <c r="TTU1" s="87"/>
      <c r="TTV1" s="87"/>
      <c r="TTW1" s="87"/>
      <c r="TTX1" s="87"/>
      <c r="TTY1" s="87"/>
      <c r="TTZ1" s="87"/>
      <c r="TUA1" s="87"/>
      <c r="TUB1" s="87"/>
      <c r="TUC1" s="87"/>
      <c r="TUD1" s="87"/>
      <c r="TUE1" s="87"/>
      <c r="TUF1" s="87"/>
      <c r="TUG1" s="87"/>
      <c r="TUH1" s="87"/>
      <c r="TUI1" s="87"/>
      <c r="TUJ1" s="87"/>
      <c r="TUK1" s="87"/>
      <c r="TUL1" s="87"/>
      <c r="TUM1" s="87"/>
      <c r="TUN1" s="87"/>
      <c r="TUO1" s="87"/>
      <c r="TUP1" s="87"/>
      <c r="TUQ1" s="87"/>
      <c r="TUR1" s="87"/>
      <c r="TUS1" s="87"/>
      <c r="TUT1" s="87"/>
      <c r="TUU1" s="87"/>
      <c r="TUV1" s="87"/>
      <c r="TUW1" s="87"/>
      <c r="TUX1" s="87"/>
      <c r="TUY1" s="87"/>
      <c r="TUZ1" s="87"/>
      <c r="TVA1" s="87"/>
      <c r="TVB1" s="87"/>
      <c r="TVC1" s="87"/>
      <c r="TVD1" s="87"/>
      <c r="TVE1" s="87"/>
      <c r="TVF1" s="87"/>
      <c r="TVG1" s="87"/>
      <c r="TVH1" s="87"/>
      <c r="TVI1" s="87"/>
      <c r="TVJ1" s="87"/>
      <c r="TVK1" s="87"/>
      <c r="TVL1" s="87"/>
      <c r="TVM1" s="87"/>
      <c r="TVN1" s="87"/>
      <c r="TVO1" s="87"/>
      <c r="TVP1" s="87"/>
      <c r="TVQ1" s="87"/>
      <c r="TVR1" s="87"/>
      <c r="TVS1" s="87"/>
      <c r="TVT1" s="87"/>
      <c r="TVU1" s="87"/>
      <c r="TVV1" s="87"/>
      <c r="TVW1" s="87"/>
      <c r="TVX1" s="87"/>
      <c r="TVY1" s="87"/>
      <c r="TVZ1" s="87"/>
      <c r="TWA1" s="87"/>
      <c r="TWB1" s="87"/>
      <c r="TWC1" s="87"/>
      <c r="TWD1" s="87"/>
      <c r="TWE1" s="87"/>
      <c r="TWF1" s="87"/>
      <c r="TWG1" s="87"/>
      <c r="TWH1" s="87"/>
      <c r="TWI1" s="87"/>
      <c r="TWJ1" s="87"/>
      <c r="TWK1" s="87"/>
      <c r="TWL1" s="87"/>
      <c r="TWM1" s="87"/>
      <c r="TWN1" s="87"/>
      <c r="TWO1" s="87"/>
      <c r="TWP1" s="87"/>
      <c r="TWQ1" s="87"/>
      <c r="TWR1" s="87"/>
      <c r="TWS1" s="87"/>
      <c r="TWT1" s="87"/>
      <c r="TWU1" s="87"/>
      <c r="TWV1" s="87"/>
      <c r="TWW1" s="87"/>
      <c r="TWX1" s="87"/>
      <c r="TWY1" s="87"/>
      <c r="TWZ1" s="87"/>
      <c r="TXA1" s="87"/>
      <c r="TXB1" s="87"/>
      <c r="TXC1" s="87"/>
      <c r="TXD1" s="87"/>
      <c r="TXE1" s="87"/>
      <c r="TXF1" s="87"/>
      <c r="TXG1" s="87"/>
      <c r="TXH1" s="87"/>
      <c r="TXI1" s="87"/>
      <c r="TXJ1" s="87"/>
      <c r="TXK1" s="87"/>
      <c r="TXL1" s="87"/>
      <c r="TXM1" s="87"/>
      <c r="TXN1" s="87"/>
      <c r="TXO1" s="87"/>
      <c r="TXP1" s="87"/>
      <c r="TXQ1" s="87"/>
      <c r="TXR1" s="87"/>
      <c r="TXS1" s="87"/>
      <c r="TXT1" s="87"/>
      <c r="TXU1" s="87"/>
      <c r="TXV1" s="87"/>
      <c r="TXW1" s="87"/>
      <c r="TXX1" s="87"/>
      <c r="TXY1" s="87"/>
      <c r="TXZ1" s="87"/>
      <c r="TYA1" s="87"/>
      <c r="TYB1" s="87"/>
      <c r="TYC1" s="87"/>
      <c r="TYD1" s="87"/>
      <c r="TYE1" s="87"/>
      <c r="TYF1" s="87"/>
      <c r="TYG1" s="87"/>
      <c r="TYH1" s="87"/>
      <c r="TYI1" s="87"/>
      <c r="TYJ1" s="87"/>
      <c r="TYK1" s="87"/>
      <c r="TYL1" s="87"/>
      <c r="TYM1" s="87"/>
      <c r="TYN1" s="87"/>
      <c r="TYO1" s="87"/>
      <c r="TYP1" s="87"/>
      <c r="TYQ1" s="87"/>
      <c r="TYR1" s="87"/>
      <c r="TYS1" s="87"/>
      <c r="TYT1" s="87"/>
      <c r="TYU1" s="87"/>
      <c r="TYV1" s="87"/>
      <c r="TYW1" s="87"/>
      <c r="TYX1" s="87"/>
      <c r="TYY1" s="87"/>
      <c r="TYZ1" s="87"/>
      <c r="TZA1" s="87"/>
      <c r="TZB1" s="87"/>
      <c r="TZC1" s="87"/>
      <c r="TZD1" s="87"/>
      <c r="TZE1" s="87"/>
      <c r="TZF1" s="87"/>
      <c r="TZG1" s="87"/>
      <c r="TZH1" s="87"/>
      <c r="TZI1" s="87"/>
      <c r="TZJ1" s="87"/>
      <c r="TZK1" s="87"/>
      <c r="TZL1" s="87"/>
      <c r="TZM1" s="87"/>
      <c r="TZN1" s="87"/>
      <c r="TZO1" s="87"/>
      <c r="TZP1" s="87"/>
      <c r="TZQ1" s="87"/>
      <c r="TZR1" s="87"/>
      <c r="TZS1" s="87"/>
      <c r="TZT1" s="87"/>
      <c r="TZU1" s="87"/>
      <c r="TZV1" s="87"/>
      <c r="TZW1" s="87"/>
      <c r="TZX1" s="87"/>
      <c r="TZY1" s="87"/>
      <c r="TZZ1" s="87"/>
      <c r="UAA1" s="87"/>
      <c r="UAB1" s="87"/>
      <c r="UAC1" s="87"/>
      <c r="UAD1" s="87"/>
      <c r="UAE1" s="87"/>
      <c r="UAF1" s="87"/>
      <c r="UAG1" s="87"/>
      <c r="UAH1" s="87"/>
      <c r="UAI1" s="87"/>
      <c r="UAJ1" s="87"/>
      <c r="UAK1" s="87"/>
      <c r="UAL1" s="87"/>
      <c r="UAM1" s="87"/>
      <c r="UAN1" s="87"/>
      <c r="UAO1" s="87"/>
      <c r="UAP1" s="87"/>
      <c r="UAQ1" s="87"/>
      <c r="UAR1" s="87"/>
      <c r="UAS1" s="87"/>
      <c r="UAT1" s="87"/>
      <c r="UAU1" s="87"/>
      <c r="UAV1" s="87"/>
      <c r="UAW1" s="87"/>
      <c r="UAX1" s="87"/>
      <c r="UAY1" s="87"/>
      <c r="UAZ1" s="87"/>
      <c r="UBA1" s="87"/>
      <c r="UBB1" s="87"/>
      <c r="UBC1" s="87"/>
      <c r="UBD1" s="87"/>
      <c r="UBE1" s="87"/>
      <c r="UBF1" s="87"/>
      <c r="UBG1" s="87"/>
      <c r="UBH1" s="87"/>
      <c r="UBI1" s="87"/>
      <c r="UBJ1" s="87"/>
      <c r="UBK1" s="87"/>
      <c r="UBL1" s="87"/>
      <c r="UBM1" s="87"/>
      <c r="UBN1" s="87"/>
      <c r="UBO1" s="87"/>
      <c r="UBP1" s="87"/>
      <c r="UBQ1" s="87"/>
      <c r="UBR1" s="87"/>
      <c r="UBS1" s="87"/>
      <c r="UBT1" s="87"/>
      <c r="UBU1" s="87"/>
      <c r="UBV1" s="87"/>
      <c r="UBW1" s="87"/>
      <c r="UBX1" s="87"/>
      <c r="UBY1" s="87"/>
      <c r="UBZ1" s="87"/>
      <c r="UCA1" s="87"/>
      <c r="UCB1" s="87"/>
      <c r="UCC1" s="87"/>
      <c r="UCD1" s="87"/>
      <c r="UCE1" s="87"/>
      <c r="UCF1" s="87"/>
      <c r="UCG1" s="87"/>
      <c r="UCH1" s="87"/>
      <c r="UCI1" s="87"/>
      <c r="UCJ1" s="87"/>
      <c r="UCK1" s="87"/>
      <c r="UCL1" s="87"/>
      <c r="UCM1" s="87"/>
      <c r="UCN1" s="87"/>
      <c r="UCO1" s="87"/>
      <c r="UCP1" s="87"/>
      <c r="UCQ1" s="87"/>
      <c r="UCR1" s="87"/>
      <c r="UCS1" s="87"/>
      <c r="UCT1" s="87"/>
      <c r="UCU1" s="87"/>
      <c r="UCV1" s="87"/>
      <c r="UCW1" s="87"/>
      <c r="UCX1" s="87"/>
      <c r="UCY1" s="87"/>
      <c r="UCZ1" s="87"/>
      <c r="UDA1" s="87"/>
      <c r="UDB1" s="87"/>
      <c r="UDC1" s="87"/>
      <c r="UDD1" s="87"/>
      <c r="UDE1" s="87"/>
      <c r="UDF1" s="87"/>
      <c r="UDG1" s="87"/>
      <c r="UDH1" s="87"/>
      <c r="UDI1" s="87"/>
      <c r="UDJ1" s="87"/>
      <c r="UDK1" s="87"/>
      <c r="UDL1" s="87"/>
      <c r="UDM1" s="87"/>
      <c r="UDN1" s="87"/>
      <c r="UDO1" s="87"/>
      <c r="UDP1" s="87"/>
      <c r="UDQ1" s="87"/>
      <c r="UDR1" s="87"/>
      <c r="UDS1" s="87"/>
      <c r="UDT1" s="87"/>
      <c r="UDU1" s="87"/>
      <c r="UDV1" s="87"/>
      <c r="UDW1" s="87"/>
      <c r="UDX1" s="87"/>
      <c r="UDY1" s="87"/>
      <c r="UDZ1" s="87"/>
      <c r="UEA1" s="87"/>
      <c r="UEB1" s="87"/>
      <c r="UEC1" s="87"/>
      <c r="UED1" s="87"/>
      <c r="UEE1" s="87"/>
      <c r="UEF1" s="87"/>
      <c r="UEG1" s="87"/>
      <c r="UEH1" s="87"/>
      <c r="UEI1" s="87"/>
      <c r="UEJ1" s="87"/>
      <c r="UEK1" s="87"/>
      <c r="UEL1" s="87"/>
      <c r="UEM1" s="87"/>
      <c r="UEN1" s="87"/>
      <c r="UEO1" s="87"/>
      <c r="UEP1" s="87"/>
      <c r="UEQ1" s="87"/>
      <c r="UER1" s="87"/>
      <c r="UES1" s="87"/>
      <c r="UET1" s="87"/>
      <c r="UEU1" s="87"/>
      <c r="UEV1" s="87"/>
      <c r="UEW1" s="87"/>
      <c r="UEX1" s="87"/>
      <c r="UEY1" s="87"/>
      <c r="UEZ1" s="87"/>
      <c r="UFA1" s="87"/>
      <c r="UFB1" s="87"/>
      <c r="UFC1" s="87"/>
      <c r="UFD1" s="87"/>
      <c r="UFE1" s="87"/>
      <c r="UFF1" s="87"/>
      <c r="UFG1" s="87"/>
      <c r="UFH1" s="87"/>
      <c r="UFI1" s="87"/>
      <c r="UFJ1" s="87"/>
      <c r="UFK1" s="87"/>
      <c r="UFL1" s="87"/>
      <c r="UFM1" s="87"/>
      <c r="UFN1" s="87"/>
      <c r="UFO1" s="87"/>
      <c r="UFP1" s="87"/>
      <c r="UFQ1" s="87"/>
      <c r="UFR1" s="87"/>
      <c r="UFS1" s="87"/>
      <c r="UFT1" s="87"/>
      <c r="UFU1" s="87"/>
      <c r="UFV1" s="87"/>
      <c r="UFW1" s="87"/>
      <c r="UFX1" s="87"/>
      <c r="UFY1" s="87"/>
      <c r="UFZ1" s="87"/>
      <c r="UGA1" s="87"/>
      <c r="UGB1" s="87"/>
      <c r="UGC1" s="87"/>
      <c r="UGD1" s="87"/>
      <c r="UGE1" s="87"/>
      <c r="UGF1" s="87"/>
      <c r="UGG1" s="87"/>
      <c r="UGH1" s="87"/>
      <c r="UGI1" s="87"/>
      <c r="UGJ1" s="87"/>
      <c r="UGK1" s="87"/>
      <c r="UGL1" s="87"/>
      <c r="UGM1" s="87"/>
      <c r="UGN1" s="87"/>
      <c r="UGO1" s="87"/>
      <c r="UGP1" s="87"/>
      <c r="UGQ1" s="87"/>
      <c r="UGR1" s="87"/>
      <c r="UGS1" s="87"/>
      <c r="UGT1" s="87"/>
      <c r="UGU1" s="87"/>
      <c r="UGV1" s="87"/>
      <c r="UGW1" s="87"/>
      <c r="UGX1" s="87"/>
      <c r="UGY1" s="87"/>
      <c r="UGZ1" s="87"/>
      <c r="UHA1" s="87"/>
      <c r="UHB1" s="87"/>
      <c r="UHC1" s="87"/>
      <c r="UHD1" s="87"/>
      <c r="UHE1" s="87"/>
      <c r="UHF1" s="87"/>
      <c r="UHG1" s="87"/>
      <c r="UHH1" s="87"/>
      <c r="UHI1" s="87"/>
      <c r="UHJ1" s="87"/>
      <c r="UHK1" s="87"/>
      <c r="UHL1" s="87"/>
      <c r="UHM1" s="87"/>
      <c r="UHN1" s="87"/>
      <c r="UHO1" s="87"/>
      <c r="UHP1" s="87"/>
      <c r="UHQ1" s="87"/>
      <c r="UHR1" s="87"/>
      <c r="UHS1" s="87"/>
      <c r="UHT1" s="87"/>
      <c r="UHU1" s="87"/>
      <c r="UHV1" s="87"/>
      <c r="UHW1" s="87"/>
      <c r="UHX1" s="87"/>
      <c r="UHY1" s="87"/>
      <c r="UHZ1" s="87"/>
      <c r="UIA1" s="87"/>
      <c r="UIB1" s="87"/>
      <c r="UIC1" s="87"/>
      <c r="UID1" s="87"/>
      <c r="UIE1" s="87"/>
      <c r="UIF1" s="87"/>
      <c r="UIG1" s="87"/>
      <c r="UIH1" s="87"/>
      <c r="UII1" s="87"/>
      <c r="UIJ1" s="87"/>
      <c r="UIK1" s="87"/>
      <c r="UIL1" s="87"/>
      <c r="UIM1" s="87"/>
      <c r="UIN1" s="87"/>
      <c r="UIO1" s="87"/>
      <c r="UIP1" s="87"/>
      <c r="UIQ1" s="87"/>
      <c r="UIR1" s="87"/>
      <c r="UIS1" s="87"/>
      <c r="UIT1" s="87"/>
      <c r="UIU1" s="87"/>
      <c r="UIV1" s="87"/>
      <c r="UIW1" s="87"/>
      <c r="UIX1" s="87"/>
      <c r="UIY1" s="87"/>
      <c r="UIZ1" s="87"/>
      <c r="UJA1" s="87"/>
      <c r="UJB1" s="87"/>
      <c r="UJC1" s="87"/>
      <c r="UJD1" s="87"/>
      <c r="UJE1" s="87"/>
      <c r="UJF1" s="87"/>
      <c r="UJG1" s="87"/>
      <c r="UJH1" s="87"/>
      <c r="UJI1" s="87"/>
      <c r="UJJ1" s="87"/>
      <c r="UJK1" s="87"/>
      <c r="UJL1" s="87"/>
      <c r="UJM1" s="87"/>
      <c r="UJN1" s="87"/>
      <c r="UJO1" s="87"/>
      <c r="UJP1" s="87"/>
      <c r="UJQ1" s="87"/>
      <c r="UJR1" s="87"/>
      <c r="UJS1" s="87"/>
      <c r="UJT1" s="87"/>
      <c r="UJU1" s="87"/>
      <c r="UJV1" s="87"/>
      <c r="UJW1" s="87"/>
      <c r="UJX1" s="87"/>
      <c r="UJY1" s="87"/>
      <c r="UJZ1" s="87"/>
      <c r="UKA1" s="87"/>
      <c r="UKB1" s="87"/>
      <c r="UKC1" s="87"/>
      <c r="UKD1" s="87"/>
      <c r="UKE1" s="87"/>
      <c r="UKF1" s="87"/>
      <c r="UKG1" s="87"/>
      <c r="UKH1" s="87"/>
      <c r="UKI1" s="87"/>
      <c r="UKJ1" s="87"/>
      <c r="UKK1" s="87"/>
      <c r="UKL1" s="87"/>
      <c r="UKM1" s="87"/>
      <c r="UKN1" s="87"/>
      <c r="UKO1" s="87"/>
      <c r="UKP1" s="87"/>
      <c r="UKQ1" s="87"/>
      <c r="UKR1" s="87"/>
      <c r="UKS1" s="87"/>
      <c r="UKT1" s="87"/>
      <c r="UKU1" s="87"/>
      <c r="UKV1" s="87"/>
      <c r="UKW1" s="87"/>
      <c r="UKX1" s="87"/>
      <c r="UKY1" s="87"/>
      <c r="UKZ1" s="87"/>
      <c r="ULA1" s="87"/>
      <c r="ULB1" s="87"/>
      <c r="ULC1" s="87"/>
      <c r="ULD1" s="87"/>
      <c r="ULE1" s="87"/>
      <c r="ULF1" s="87"/>
      <c r="ULG1" s="87"/>
      <c r="ULH1" s="87"/>
      <c r="ULI1" s="87"/>
      <c r="ULJ1" s="87"/>
      <c r="ULK1" s="87"/>
      <c r="ULL1" s="87"/>
      <c r="ULM1" s="87"/>
      <c r="ULN1" s="87"/>
      <c r="ULO1" s="87"/>
      <c r="ULP1" s="87"/>
      <c r="ULQ1" s="87"/>
      <c r="ULR1" s="87"/>
      <c r="ULS1" s="87"/>
      <c r="ULT1" s="87"/>
      <c r="ULU1" s="87"/>
      <c r="ULV1" s="87"/>
      <c r="ULW1" s="87"/>
      <c r="ULX1" s="87"/>
      <c r="ULY1" s="87"/>
      <c r="ULZ1" s="87"/>
      <c r="UMA1" s="87"/>
      <c r="UMB1" s="87"/>
      <c r="UMC1" s="87"/>
      <c r="UMD1" s="87"/>
      <c r="UME1" s="87"/>
      <c r="UMF1" s="87"/>
      <c r="UMG1" s="87"/>
      <c r="UMH1" s="87"/>
      <c r="UMI1" s="87"/>
      <c r="UMJ1" s="87"/>
      <c r="UMK1" s="87"/>
      <c r="UML1" s="87"/>
      <c r="UMM1" s="87"/>
      <c r="UMN1" s="87"/>
      <c r="UMO1" s="87"/>
      <c r="UMP1" s="87"/>
      <c r="UMQ1" s="87"/>
      <c r="UMR1" s="87"/>
      <c r="UMS1" s="87"/>
      <c r="UMT1" s="87"/>
      <c r="UMU1" s="87"/>
      <c r="UMV1" s="87"/>
      <c r="UMW1" s="87"/>
      <c r="UMX1" s="87"/>
      <c r="UMY1" s="87"/>
      <c r="UMZ1" s="87"/>
      <c r="UNA1" s="87"/>
      <c r="UNB1" s="87"/>
      <c r="UNC1" s="87"/>
      <c r="UND1" s="87"/>
      <c r="UNE1" s="87"/>
      <c r="UNF1" s="87"/>
      <c r="UNG1" s="87"/>
      <c r="UNH1" s="87"/>
      <c r="UNI1" s="87"/>
      <c r="UNJ1" s="87"/>
      <c r="UNK1" s="87"/>
      <c r="UNL1" s="87"/>
      <c r="UNM1" s="87"/>
      <c r="UNN1" s="87"/>
      <c r="UNO1" s="87"/>
      <c r="UNP1" s="87"/>
      <c r="UNQ1" s="87"/>
      <c r="UNR1" s="87"/>
      <c r="UNS1" s="87"/>
      <c r="UNT1" s="87"/>
      <c r="UNU1" s="87"/>
      <c r="UNV1" s="87"/>
      <c r="UNW1" s="87"/>
      <c r="UNX1" s="87"/>
      <c r="UNY1" s="87"/>
      <c r="UNZ1" s="87"/>
      <c r="UOA1" s="87"/>
      <c r="UOB1" s="87"/>
      <c r="UOC1" s="87"/>
      <c r="UOD1" s="87"/>
      <c r="UOE1" s="87"/>
      <c r="UOF1" s="87"/>
      <c r="UOG1" s="87"/>
      <c r="UOH1" s="87"/>
      <c r="UOI1" s="87"/>
      <c r="UOJ1" s="87"/>
      <c r="UOK1" s="87"/>
      <c r="UOL1" s="87"/>
      <c r="UOM1" s="87"/>
      <c r="UON1" s="87"/>
      <c r="UOO1" s="87"/>
      <c r="UOP1" s="87"/>
      <c r="UOQ1" s="87"/>
      <c r="UOR1" s="87"/>
      <c r="UOS1" s="87"/>
      <c r="UOT1" s="87"/>
      <c r="UOU1" s="87"/>
      <c r="UOV1" s="87"/>
      <c r="UOW1" s="87"/>
      <c r="UOX1" s="87"/>
      <c r="UOY1" s="87"/>
      <c r="UOZ1" s="87"/>
      <c r="UPA1" s="87"/>
      <c r="UPB1" s="87"/>
      <c r="UPC1" s="87"/>
      <c r="UPD1" s="87"/>
      <c r="UPE1" s="87"/>
      <c r="UPF1" s="87"/>
      <c r="UPG1" s="87"/>
      <c r="UPH1" s="87"/>
      <c r="UPI1" s="87"/>
      <c r="UPJ1" s="87"/>
      <c r="UPK1" s="87"/>
      <c r="UPL1" s="87"/>
      <c r="UPM1" s="87"/>
      <c r="UPN1" s="87"/>
      <c r="UPO1" s="87"/>
      <c r="UPP1" s="87"/>
      <c r="UPQ1" s="87"/>
      <c r="UPR1" s="87"/>
      <c r="UPS1" s="87"/>
      <c r="UPT1" s="87"/>
      <c r="UPU1" s="87"/>
      <c r="UPV1" s="87"/>
      <c r="UPW1" s="87"/>
      <c r="UPX1" s="87"/>
      <c r="UPY1" s="87"/>
      <c r="UPZ1" s="87"/>
      <c r="UQA1" s="87"/>
      <c r="UQB1" s="87"/>
      <c r="UQC1" s="87"/>
      <c r="UQD1" s="87"/>
      <c r="UQE1" s="87"/>
      <c r="UQF1" s="87"/>
      <c r="UQG1" s="87"/>
      <c r="UQH1" s="87"/>
      <c r="UQI1" s="87"/>
      <c r="UQJ1" s="87"/>
      <c r="UQK1" s="87"/>
      <c r="UQL1" s="87"/>
      <c r="UQM1" s="87"/>
      <c r="UQN1" s="87"/>
      <c r="UQO1" s="87"/>
      <c r="UQP1" s="87"/>
      <c r="UQQ1" s="87"/>
      <c r="UQR1" s="87"/>
      <c r="UQS1" s="87"/>
      <c r="UQT1" s="87"/>
      <c r="UQU1" s="87"/>
      <c r="UQV1" s="87"/>
      <c r="UQW1" s="87"/>
      <c r="UQX1" s="87"/>
      <c r="UQY1" s="87"/>
      <c r="UQZ1" s="87"/>
      <c r="URA1" s="87"/>
      <c r="URB1" s="87"/>
      <c r="URC1" s="87"/>
      <c r="URD1" s="87"/>
      <c r="URE1" s="87"/>
      <c r="URF1" s="87"/>
      <c r="URG1" s="87"/>
      <c r="URH1" s="87"/>
      <c r="URI1" s="87"/>
      <c r="URJ1" s="87"/>
      <c r="URK1" s="87"/>
      <c r="URL1" s="87"/>
      <c r="URM1" s="87"/>
      <c r="URN1" s="87"/>
      <c r="URO1" s="87"/>
      <c r="URP1" s="87"/>
      <c r="URQ1" s="87"/>
      <c r="URR1" s="87"/>
      <c r="URS1" s="87"/>
      <c r="URT1" s="87"/>
      <c r="URU1" s="87"/>
      <c r="URV1" s="87"/>
      <c r="URW1" s="87"/>
      <c r="URX1" s="87"/>
      <c r="URY1" s="87"/>
      <c r="URZ1" s="87"/>
      <c r="USA1" s="87"/>
      <c r="USB1" s="87"/>
      <c r="USC1" s="87"/>
      <c r="USD1" s="87"/>
      <c r="USE1" s="87"/>
      <c r="USF1" s="87"/>
      <c r="USG1" s="87"/>
      <c r="USH1" s="87"/>
      <c r="USI1" s="87"/>
      <c r="USJ1" s="87"/>
      <c r="USK1" s="87"/>
      <c r="USL1" s="87"/>
      <c r="USM1" s="87"/>
      <c r="USN1" s="87"/>
      <c r="USO1" s="87"/>
      <c r="USP1" s="87"/>
      <c r="USQ1" s="87"/>
      <c r="USR1" s="87"/>
      <c r="USS1" s="87"/>
      <c r="UST1" s="87"/>
      <c r="USU1" s="87"/>
      <c r="USV1" s="87"/>
      <c r="USW1" s="87"/>
      <c r="USX1" s="87"/>
      <c r="USY1" s="87"/>
      <c r="USZ1" s="87"/>
      <c r="UTA1" s="87"/>
      <c r="UTB1" s="87"/>
      <c r="UTC1" s="87"/>
      <c r="UTD1" s="87"/>
      <c r="UTE1" s="87"/>
      <c r="UTF1" s="87"/>
      <c r="UTG1" s="87"/>
      <c r="UTH1" s="87"/>
      <c r="UTI1" s="87"/>
      <c r="UTJ1" s="87"/>
      <c r="UTK1" s="87"/>
      <c r="UTL1" s="87"/>
      <c r="UTM1" s="87"/>
      <c r="UTN1" s="87"/>
      <c r="UTO1" s="87"/>
      <c r="UTP1" s="87"/>
      <c r="UTQ1" s="87"/>
      <c r="UTR1" s="87"/>
      <c r="UTS1" s="87"/>
      <c r="UTT1" s="87"/>
      <c r="UTU1" s="87"/>
      <c r="UTV1" s="87"/>
      <c r="UTW1" s="87"/>
      <c r="UTX1" s="87"/>
      <c r="UTY1" s="87"/>
      <c r="UTZ1" s="87"/>
      <c r="UUA1" s="87"/>
      <c r="UUB1" s="87"/>
      <c r="UUC1" s="87"/>
      <c r="UUD1" s="87"/>
      <c r="UUE1" s="87"/>
      <c r="UUF1" s="87"/>
      <c r="UUG1" s="87"/>
      <c r="UUH1" s="87"/>
      <c r="UUI1" s="87"/>
      <c r="UUJ1" s="87"/>
      <c r="UUK1" s="87"/>
      <c r="UUL1" s="87"/>
      <c r="UUM1" s="87"/>
      <c r="UUN1" s="87"/>
      <c r="UUO1" s="87"/>
      <c r="UUP1" s="87"/>
      <c r="UUQ1" s="87"/>
      <c r="UUR1" s="87"/>
      <c r="UUS1" s="87"/>
      <c r="UUT1" s="87"/>
      <c r="UUU1" s="87"/>
      <c r="UUV1" s="87"/>
      <c r="UUW1" s="87"/>
      <c r="UUX1" s="87"/>
      <c r="UUY1" s="87"/>
      <c r="UUZ1" s="87"/>
      <c r="UVA1" s="87"/>
      <c r="UVB1" s="87"/>
      <c r="UVC1" s="87"/>
      <c r="UVD1" s="87"/>
      <c r="UVE1" s="87"/>
      <c r="UVF1" s="87"/>
      <c r="UVG1" s="87"/>
      <c r="UVH1" s="87"/>
      <c r="UVI1" s="87"/>
      <c r="UVJ1" s="87"/>
      <c r="UVK1" s="87"/>
      <c r="UVL1" s="87"/>
      <c r="UVM1" s="87"/>
      <c r="UVN1" s="87"/>
      <c r="UVO1" s="87"/>
      <c r="UVP1" s="87"/>
      <c r="UVQ1" s="87"/>
      <c r="UVR1" s="87"/>
      <c r="UVS1" s="87"/>
      <c r="UVT1" s="87"/>
      <c r="UVU1" s="87"/>
      <c r="UVV1" s="87"/>
      <c r="UVW1" s="87"/>
      <c r="UVX1" s="87"/>
      <c r="UVY1" s="87"/>
      <c r="UVZ1" s="87"/>
      <c r="UWA1" s="87"/>
      <c r="UWB1" s="87"/>
      <c r="UWC1" s="87"/>
      <c r="UWD1" s="87"/>
      <c r="UWE1" s="87"/>
      <c r="UWF1" s="87"/>
      <c r="UWG1" s="87"/>
      <c r="UWH1" s="87"/>
      <c r="UWI1" s="87"/>
      <c r="UWJ1" s="87"/>
      <c r="UWK1" s="87"/>
      <c r="UWL1" s="87"/>
      <c r="UWM1" s="87"/>
      <c r="UWN1" s="87"/>
      <c r="UWO1" s="87"/>
      <c r="UWP1" s="87"/>
      <c r="UWQ1" s="87"/>
      <c r="UWR1" s="87"/>
      <c r="UWS1" s="87"/>
      <c r="UWT1" s="87"/>
      <c r="UWU1" s="87"/>
      <c r="UWV1" s="87"/>
      <c r="UWW1" s="87"/>
      <c r="UWX1" s="87"/>
      <c r="UWY1" s="87"/>
      <c r="UWZ1" s="87"/>
      <c r="UXA1" s="87"/>
      <c r="UXB1" s="87"/>
      <c r="UXC1" s="87"/>
      <c r="UXD1" s="87"/>
      <c r="UXE1" s="87"/>
      <c r="UXF1" s="87"/>
      <c r="UXG1" s="87"/>
      <c r="UXH1" s="87"/>
      <c r="UXI1" s="87"/>
      <c r="UXJ1" s="87"/>
      <c r="UXK1" s="87"/>
      <c r="UXL1" s="87"/>
      <c r="UXM1" s="87"/>
      <c r="UXN1" s="87"/>
      <c r="UXO1" s="87"/>
      <c r="UXP1" s="87"/>
      <c r="UXQ1" s="87"/>
      <c r="UXR1" s="87"/>
      <c r="UXS1" s="87"/>
      <c r="UXT1" s="87"/>
      <c r="UXU1" s="87"/>
      <c r="UXV1" s="87"/>
      <c r="UXW1" s="87"/>
      <c r="UXX1" s="87"/>
      <c r="UXY1" s="87"/>
      <c r="UXZ1" s="87"/>
      <c r="UYA1" s="87"/>
      <c r="UYB1" s="87"/>
      <c r="UYC1" s="87"/>
      <c r="UYD1" s="87"/>
      <c r="UYE1" s="87"/>
      <c r="UYF1" s="87"/>
      <c r="UYG1" s="87"/>
      <c r="UYH1" s="87"/>
      <c r="UYI1" s="87"/>
      <c r="UYJ1" s="87"/>
      <c r="UYK1" s="87"/>
      <c r="UYL1" s="87"/>
      <c r="UYM1" s="87"/>
      <c r="UYN1" s="87"/>
      <c r="UYO1" s="87"/>
      <c r="UYP1" s="87"/>
      <c r="UYQ1" s="87"/>
      <c r="UYR1" s="87"/>
      <c r="UYS1" s="87"/>
      <c r="UYT1" s="87"/>
      <c r="UYU1" s="87"/>
      <c r="UYV1" s="87"/>
      <c r="UYW1" s="87"/>
      <c r="UYX1" s="87"/>
      <c r="UYY1" s="87"/>
      <c r="UYZ1" s="87"/>
      <c r="UZA1" s="87"/>
      <c r="UZB1" s="87"/>
      <c r="UZC1" s="87"/>
      <c r="UZD1" s="87"/>
      <c r="UZE1" s="87"/>
      <c r="UZF1" s="87"/>
      <c r="UZG1" s="87"/>
      <c r="UZH1" s="87"/>
      <c r="UZI1" s="87"/>
      <c r="UZJ1" s="87"/>
      <c r="UZK1" s="87"/>
      <c r="UZL1" s="87"/>
      <c r="UZM1" s="87"/>
      <c r="UZN1" s="87"/>
      <c r="UZO1" s="87"/>
      <c r="UZP1" s="87"/>
      <c r="UZQ1" s="87"/>
      <c r="UZR1" s="87"/>
      <c r="UZS1" s="87"/>
      <c r="UZT1" s="87"/>
      <c r="UZU1" s="87"/>
      <c r="UZV1" s="87"/>
      <c r="UZW1" s="87"/>
      <c r="UZX1" s="87"/>
      <c r="UZY1" s="87"/>
      <c r="UZZ1" s="87"/>
      <c r="VAA1" s="87"/>
      <c r="VAB1" s="87"/>
      <c r="VAC1" s="87"/>
      <c r="VAD1" s="87"/>
      <c r="VAE1" s="87"/>
      <c r="VAF1" s="87"/>
      <c r="VAG1" s="87"/>
      <c r="VAH1" s="87"/>
      <c r="VAI1" s="87"/>
      <c r="VAJ1" s="87"/>
      <c r="VAK1" s="87"/>
      <c r="VAL1" s="87"/>
      <c r="VAM1" s="87"/>
      <c r="VAN1" s="87"/>
      <c r="VAO1" s="87"/>
      <c r="VAP1" s="87"/>
      <c r="VAQ1" s="87"/>
      <c r="VAR1" s="87"/>
      <c r="VAS1" s="87"/>
      <c r="VAT1" s="87"/>
      <c r="VAU1" s="87"/>
      <c r="VAV1" s="87"/>
      <c r="VAW1" s="87"/>
      <c r="VAX1" s="87"/>
      <c r="VAY1" s="87"/>
      <c r="VAZ1" s="87"/>
      <c r="VBA1" s="87"/>
      <c r="VBB1" s="87"/>
      <c r="VBC1" s="87"/>
      <c r="VBD1" s="87"/>
      <c r="VBE1" s="87"/>
      <c r="VBF1" s="87"/>
      <c r="VBG1" s="87"/>
      <c r="VBH1" s="87"/>
      <c r="VBI1" s="87"/>
      <c r="VBJ1" s="87"/>
      <c r="VBK1" s="87"/>
      <c r="VBL1" s="87"/>
      <c r="VBM1" s="87"/>
      <c r="VBN1" s="87"/>
      <c r="VBO1" s="87"/>
      <c r="VBP1" s="87"/>
      <c r="VBQ1" s="87"/>
      <c r="VBR1" s="87"/>
      <c r="VBS1" s="87"/>
      <c r="VBT1" s="87"/>
      <c r="VBU1" s="87"/>
      <c r="VBV1" s="87"/>
      <c r="VBW1" s="87"/>
      <c r="VBX1" s="87"/>
      <c r="VBY1" s="87"/>
      <c r="VBZ1" s="87"/>
      <c r="VCA1" s="87"/>
      <c r="VCB1" s="87"/>
      <c r="VCC1" s="87"/>
      <c r="VCD1" s="87"/>
      <c r="VCE1" s="87"/>
      <c r="VCF1" s="87"/>
      <c r="VCG1" s="87"/>
      <c r="VCH1" s="87"/>
      <c r="VCI1" s="87"/>
      <c r="VCJ1" s="87"/>
      <c r="VCK1" s="87"/>
      <c r="VCL1" s="87"/>
      <c r="VCM1" s="87"/>
      <c r="VCN1" s="87"/>
      <c r="VCO1" s="87"/>
      <c r="VCP1" s="87"/>
      <c r="VCQ1" s="87"/>
      <c r="VCR1" s="87"/>
      <c r="VCS1" s="87"/>
      <c r="VCT1" s="87"/>
      <c r="VCU1" s="87"/>
      <c r="VCV1" s="87"/>
      <c r="VCW1" s="87"/>
      <c r="VCX1" s="87"/>
      <c r="VCY1" s="87"/>
      <c r="VCZ1" s="87"/>
      <c r="VDA1" s="87"/>
      <c r="VDB1" s="87"/>
      <c r="VDC1" s="87"/>
      <c r="VDD1" s="87"/>
      <c r="VDE1" s="87"/>
      <c r="VDF1" s="87"/>
      <c r="VDG1" s="87"/>
      <c r="VDH1" s="87"/>
      <c r="VDI1" s="87"/>
      <c r="VDJ1" s="87"/>
      <c r="VDK1" s="87"/>
      <c r="VDL1" s="87"/>
      <c r="VDM1" s="87"/>
      <c r="VDN1" s="87"/>
      <c r="VDO1" s="87"/>
      <c r="VDP1" s="87"/>
      <c r="VDQ1" s="87"/>
      <c r="VDR1" s="87"/>
      <c r="VDS1" s="87"/>
      <c r="VDT1" s="87"/>
      <c r="VDU1" s="87"/>
      <c r="VDV1" s="87"/>
      <c r="VDW1" s="87"/>
      <c r="VDX1" s="87"/>
      <c r="VDY1" s="87"/>
      <c r="VDZ1" s="87"/>
      <c r="VEA1" s="87"/>
      <c r="VEB1" s="87"/>
      <c r="VEC1" s="87"/>
      <c r="VED1" s="87"/>
      <c r="VEE1" s="87"/>
      <c r="VEF1" s="87"/>
      <c r="VEG1" s="87"/>
      <c r="VEH1" s="87"/>
      <c r="VEI1" s="87"/>
      <c r="VEJ1" s="87"/>
      <c r="VEK1" s="87"/>
      <c r="VEL1" s="87"/>
      <c r="VEM1" s="87"/>
      <c r="VEN1" s="87"/>
      <c r="VEO1" s="87"/>
      <c r="VEP1" s="87"/>
      <c r="VEQ1" s="87"/>
      <c r="VER1" s="87"/>
      <c r="VES1" s="87"/>
      <c r="VET1" s="87"/>
      <c r="VEU1" s="87"/>
      <c r="VEV1" s="87"/>
      <c r="VEW1" s="87"/>
      <c r="VEX1" s="87"/>
      <c r="VEY1" s="87"/>
      <c r="VEZ1" s="87"/>
      <c r="VFA1" s="87"/>
      <c r="VFB1" s="87"/>
      <c r="VFC1" s="87"/>
      <c r="VFD1" s="87"/>
      <c r="VFE1" s="87"/>
      <c r="VFF1" s="87"/>
      <c r="VFG1" s="87"/>
      <c r="VFH1" s="87"/>
      <c r="VFI1" s="87"/>
      <c r="VFJ1" s="87"/>
      <c r="VFK1" s="87"/>
      <c r="VFL1" s="87"/>
      <c r="VFM1" s="87"/>
      <c r="VFN1" s="87"/>
      <c r="VFO1" s="87"/>
      <c r="VFP1" s="87"/>
      <c r="VFQ1" s="87"/>
      <c r="VFR1" s="87"/>
      <c r="VFS1" s="87"/>
      <c r="VFT1" s="87"/>
      <c r="VFU1" s="87"/>
      <c r="VFV1" s="87"/>
      <c r="VFW1" s="87"/>
      <c r="VFX1" s="87"/>
      <c r="VFY1" s="87"/>
      <c r="VFZ1" s="87"/>
      <c r="VGA1" s="87"/>
      <c r="VGB1" s="87"/>
      <c r="VGC1" s="87"/>
      <c r="VGD1" s="87"/>
      <c r="VGE1" s="87"/>
      <c r="VGF1" s="87"/>
      <c r="VGG1" s="87"/>
      <c r="VGH1" s="87"/>
      <c r="VGI1" s="87"/>
      <c r="VGJ1" s="87"/>
      <c r="VGK1" s="87"/>
      <c r="VGL1" s="87"/>
      <c r="VGM1" s="87"/>
      <c r="VGN1" s="87"/>
      <c r="VGO1" s="87"/>
      <c r="VGP1" s="87"/>
      <c r="VGQ1" s="87"/>
      <c r="VGR1" s="87"/>
      <c r="VGS1" s="87"/>
      <c r="VGT1" s="87"/>
      <c r="VGU1" s="87"/>
      <c r="VGV1" s="87"/>
      <c r="VGW1" s="87"/>
      <c r="VGX1" s="87"/>
      <c r="VGY1" s="87"/>
      <c r="VGZ1" s="87"/>
      <c r="VHA1" s="87"/>
      <c r="VHB1" s="87"/>
      <c r="VHC1" s="87"/>
      <c r="VHD1" s="87"/>
      <c r="VHE1" s="87"/>
      <c r="VHF1" s="87"/>
      <c r="VHG1" s="87"/>
      <c r="VHH1" s="87"/>
      <c r="VHI1" s="87"/>
      <c r="VHJ1" s="87"/>
      <c r="VHK1" s="87"/>
      <c r="VHL1" s="87"/>
      <c r="VHM1" s="87"/>
      <c r="VHN1" s="87"/>
      <c r="VHO1" s="87"/>
      <c r="VHP1" s="87"/>
      <c r="VHQ1" s="87"/>
      <c r="VHR1" s="87"/>
      <c r="VHS1" s="87"/>
      <c r="VHT1" s="87"/>
      <c r="VHU1" s="87"/>
      <c r="VHV1" s="87"/>
      <c r="VHW1" s="87"/>
      <c r="VHX1" s="87"/>
      <c r="VHY1" s="87"/>
      <c r="VHZ1" s="87"/>
      <c r="VIA1" s="87"/>
      <c r="VIB1" s="87"/>
      <c r="VIC1" s="87"/>
      <c r="VID1" s="87"/>
      <c r="VIE1" s="87"/>
      <c r="VIF1" s="87"/>
      <c r="VIG1" s="87"/>
      <c r="VIH1" s="87"/>
      <c r="VII1" s="87"/>
      <c r="VIJ1" s="87"/>
      <c r="VIK1" s="87"/>
      <c r="VIL1" s="87"/>
      <c r="VIM1" s="87"/>
      <c r="VIN1" s="87"/>
      <c r="VIO1" s="87"/>
      <c r="VIP1" s="87"/>
      <c r="VIQ1" s="87"/>
      <c r="VIR1" s="87"/>
      <c r="VIS1" s="87"/>
      <c r="VIT1" s="87"/>
      <c r="VIU1" s="87"/>
      <c r="VIV1" s="87"/>
      <c r="VIW1" s="87"/>
      <c r="VIX1" s="87"/>
      <c r="VIY1" s="87"/>
      <c r="VIZ1" s="87"/>
      <c r="VJA1" s="87"/>
      <c r="VJB1" s="87"/>
      <c r="VJC1" s="87"/>
      <c r="VJD1" s="87"/>
      <c r="VJE1" s="87"/>
      <c r="VJF1" s="87"/>
      <c r="VJG1" s="87"/>
      <c r="VJH1" s="87"/>
      <c r="VJI1" s="87"/>
      <c r="VJJ1" s="87"/>
      <c r="VJK1" s="87"/>
      <c r="VJL1" s="87"/>
      <c r="VJM1" s="87"/>
      <c r="VJN1" s="87"/>
      <c r="VJO1" s="87"/>
      <c r="VJP1" s="87"/>
      <c r="VJQ1" s="87"/>
      <c r="VJR1" s="87"/>
      <c r="VJS1" s="87"/>
      <c r="VJT1" s="87"/>
      <c r="VJU1" s="87"/>
      <c r="VJV1" s="87"/>
      <c r="VJW1" s="87"/>
      <c r="VJX1" s="87"/>
      <c r="VJY1" s="87"/>
      <c r="VJZ1" s="87"/>
      <c r="VKA1" s="87"/>
      <c r="VKB1" s="87"/>
      <c r="VKC1" s="87"/>
      <c r="VKD1" s="87"/>
      <c r="VKE1" s="87"/>
      <c r="VKF1" s="87"/>
      <c r="VKG1" s="87"/>
      <c r="VKH1" s="87"/>
      <c r="VKI1" s="87"/>
      <c r="VKJ1" s="87"/>
      <c r="VKK1" s="87"/>
      <c r="VKL1" s="87"/>
      <c r="VKM1" s="87"/>
      <c r="VKN1" s="87"/>
      <c r="VKO1" s="87"/>
      <c r="VKP1" s="87"/>
      <c r="VKQ1" s="87"/>
      <c r="VKR1" s="87"/>
      <c r="VKS1" s="87"/>
      <c r="VKT1" s="87"/>
      <c r="VKU1" s="87"/>
      <c r="VKV1" s="87"/>
      <c r="VKW1" s="87"/>
      <c r="VKX1" s="87"/>
      <c r="VKY1" s="87"/>
      <c r="VKZ1" s="87"/>
      <c r="VLA1" s="87"/>
      <c r="VLB1" s="87"/>
      <c r="VLC1" s="87"/>
      <c r="VLD1" s="87"/>
      <c r="VLE1" s="87"/>
      <c r="VLF1" s="87"/>
      <c r="VLG1" s="87"/>
      <c r="VLH1" s="87"/>
      <c r="VLI1" s="87"/>
      <c r="VLJ1" s="87"/>
      <c r="VLK1" s="87"/>
      <c r="VLL1" s="87"/>
      <c r="VLM1" s="87"/>
      <c r="VLN1" s="87"/>
      <c r="VLO1" s="87"/>
      <c r="VLP1" s="87"/>
      <c r="VLQ1" s="87"/>
      <c r="VLR1" s="87"/>
      <c r="VLS1" s="87"/>
      <c r="VLT1" s="87"/>
      <c r="VLU1" s="87"/>
      <c r="VLV1" s="87"/>
      <c r="VLW1" s="87"/>
      <c r="VLX1" s="87"/>
      <c r="VLY1" s="87"/>
      <c r="VLZ1" s="87"/>
      <c r="VMA1" s="87"/>
      <c r="VMB1" s="87"/>
      <c r="VMC1" s="87"/>
      <c r="VMD1" s="87"/>
      <c r="VME1" s="87"/>
      <c r="VMF1" s="87"/>
      <c r="VMG1" s="87"/>
      <c r="VMH1" s="87"/>
      <c r="VMI1" s="87"/>
      <c r="VMJ1" s="87"/>
      <c r="VMK1" s="87"/>
      <c r="VML1" s="87"/>
      <c r="VMM1" s="87"/>
      <c r="VMN1" s="87"/>
      <c r="VMO1" s="87"/>
      <c r="VMP1" s="87"/>
      <c r="VMQ1" s="87"/>
      <c r="VMR1" s="87"/>
      <c r="VMS1" s="87"/>
      <c r="VMT1" s="87"/>
      <c r="VMU1" s="87"/>
      <c r="VMV1" s="87"/>
      <c r="VMW1" s="87"/>
      <c r="VMX1" s="87"/>
      <c r="VMY1" s="87"/>
      <c r="VMZ1" s="87"/>
      <c r="VNA1" s="87"/>
      <c r="VNB1" s="87"/>
      <c r="VNC1" s="87"/>
      <c r="VND1" s="87"/>
      <c r="VNE1" s="87"/>
      <c r="VNF1" s="87"/>
      <c r="VNG1" s="87"/>
      <c r="VNH1" s="87"/>
      <c r="VNI1" s="87"/>
      <c r="VNJ1" s="87"/>
      <c r="VNK1" s="87"/>
      <c r="VNL1" s="87"/>
      <c r="VNM1" s="87"/>
      <c r="VNN1" s="87"/>
      <c r="VNO1" s="87"/>
      <c r="VNP1" s="87"/>
      <c r="VNQ1" s="87"/>
      <c r="VNR1" s="87"/>
      <c r="VNS1" s="87"/>
      <c r="VNT1" s="87"/>
      <c r="VNU1" s="87"/>
      <c r="VNV1" s="87"/>
      <c r="VNW1" s="87"/>
      <c r="VNX1" s="87"/>
      <c r="VNY1" s="87"/>
      <c r="VNZ1" s="87"/>
      <c r="VOA1" s="87"/>
      <c r="VOB1" s="87"/>
      <c r="VOC1" s="87"/>
      <c r="VOD1" s="87"/>
      <c r="VOE1" s="87"/>
      <c r="VOF1" s="87"/>
      <c r="VOG1" s="87"/>
      <c r="VOH1" s="87"/>
      <c r="VOI1" s="87"/>
      <c r="VOJ1" s="87"/>
      <c r="VOK1" s="87"/>
      <c r="VOL1" s="87"/>
      <c r="VOM1" s="87"/>
      <c r="VON1" s="87"/>
      <c r="VOO1" s="87"/>
      <c r="VOP1" s="87"/>
      <c r="VOQ1" s="87"/>
      <c r="VOR1" s="87"/>
      <c r="VOS1" s="87"/>
      <c r="VOT1" s="87"/>
      <c r="VOU1" s="87"/>
      <c r="VOV1" s="87"/>
      <c r="VOW1" s="87"/>
      <c r="VOX1" s="87"/>
      <c r="VOY1" s="87"/>
      <c r="VOZ1" s="87"/>
      <c r="VPA1" s="87"/>
      <c r="VPB1" s="87"/>
      <c r="VPC1" s="87"/>
      <c r="VPD1" s="87"/>
      <c r="VPE1" s="87"/>
      <c r="VPF1" s="87"/>
      <c r="VPG1" s="87"/>
      <c r="VPH1" s="87"/>
      <c r="VPI1" s="87"/>
      <c r="VPJ1" s="87"/>
      <c r="VPK1" s="87"/>
      <c r="VPL1" s="87"/>
      <c r="VPM1" s="87"/>
      <c r="VPN1" s="87"/>
      <c r="VPO1" s="87"/>
      <c r="VPP1" s="87"/>
      <c r="VPQ1" s="87"/>
      <c r="VPR1" s="87"/>
      <c r="VPS1" s="87"/>
      <c r="VPT1" s="87"/>
      <c r="VPU1" s="87"/>
      <c r="VPV1" s="87"/>
      <c r="VPW1" s="87"/>
      <c r="VPX1" s="87"/>
      <c r="VPY1" s="87"/>
      <c r="VPZ1" s="87"/>
      <c r="VQA1" s="87"/>
      <c r="VQB1" s="87"/>
      <c r="VQC1" s="87"/>
      <c r="VQD1" s="87"/>
      <c r="VQE1" s="87"/>
      <c r="VQF1" s="87"/>
      <c r="VQG1" s="87"/>
      <c r="VQH1" s="87"/>
      <c r="VQI1" s="87"/>
      <c r="VQJ1" s="87"/>
      <c r="VQK1" s="87"/>
      <c r="VQL1" s="87"/>
      <c r="VQM1" s="87"/>
      <c r="VQN1" s="87"/>
      <c r="VQO1" s="87"/>
      <c r="VQP1" s="87"/>
      <c r="VQQ1" s="87"/>
      <c r="VQR1" s="87"/>
      <c r="VQS1" s="87"/>
      <c r="VQT1" s="87"/>
      <c r="VQU1" s="87"/>
      <c r="VQV1" s="87"/>
      <c r="VQW1" s="87"/>
      <c r="VQX1" s="87"/>
      <c r="VQY1" s="87"/>
      <c r="VQZ1" s="87"/>
      <c r="VRA1" s="87"/>
      <c r="VRB1" s="87"/>
      <c r="VRC1" s="87"/>
      <c r="VRD1" s="87"/>
      <c r="VRE1" s="87"/>
      <c r="VRF1" s="87"/>
      <c r="VRG1" s="87"/>
      <c r="VRH1" s="87"/>
      <c r="VRI1" s="87"/>
      <c r="VRJ1" s="87"/>
      <c r="VRK1" s="87"/>
      <c r="VRL1" s="87"/>
      <c r="VRM1" s="87"/>
      <c r="VRN1" s="87"/>
      <c r="VRO1" s="87"/>
      <c r="VRP1" s="87"/>
      <c r="VRQ1" s="87"/>
      <c r="VRR1" s="87"/>
      <c r="VRS1" s="87"/>
      <c r="VRT1" s="87"/>
      <c r="VRU1" s="87"/>
      <c r="VRV1" s="87"/>
      <c r="VRW1" s="87"/>
      <c r="VRX1" s="87"/>
      <c r="VRY1" s="87"/>
      <c r="VRZ1" s="87"/>
      <c r="VSA1" s="87"/>
      <c r="VSB1" s="87"/>
      <c r="VSC1" s="87"/>
      <c r="VSD1" s="87"/>
      <c r="VSE1" s="87"/>
      <c r="VSF1" s="87"/>
      <c r="VSG1" s="87"/>
      <c r="VSH1" s="87"/>
      <c r="VSI1" s="87"/>
      <c r="VSJ1" s="87"/>
      <c r="VSK1" s="87"/>
      <c r="VSL1" s="87"/>
      <c r="VSM1" s="87"/>
      <c r="VSN1" s="87"/>
      <c r="VSO1" s="87"/>
      <c r="VSP1" s="87"/>
      <c r="VSQ1" s="87"/>
      <c r="VSR1" s="87"/>
      <c r="VSS1" s="87"/>
      <c r="VST1" s="87"/>
      <c r="VSU1" s="87"/>
      <c r="VSV1" s="87"/>
      <c r="VSW1" s="87"/>
      <c r="VSX1" s="87"/>
      <c r="VSY1" s="87"/>
      <c r="VSZ1" s="87"/>
      <c r="VTA1" s="87"/>
      <c r="VTB1" s="87"/>
      <c r="VTC1" s="87"/>
      <c r="VTD1" s="87"/>
      <c r="VTE1" s="87"/>
      <c r="VTF1" s="87"/>
      <c r="VTG1" s="87"/>
      <c r="VTH1" s="87"/>
      <c r="VTI1" s="87"/>
      <c r="VTJ1" s="87"/>
      <c r="VTK1" s="87"/>
      <c r="VTL1" s="87"/>
      <c r="VTM1" s="87"/>
      <c r="VTN1" s="87"/>
      <c r="VTO1" s="87"/>
      <c r="VTP1" s="87"/>
      <c r="VTQ1" s="87"/>
      <c r="VTR1" s="87"/>
      <c r="VTS1" s="87"/>
      <c r="VTT1" s="87"/>
      <c r="VTU1" s="87"/>
      <c r="VTV1" s="87"/>
      <c r="VTW1" s="87"/>
      <c r="VTX1" s="87"/>
      <c r="VTY1" s="87"/>
      <c r="VTZ1" s="87"/>
      <c r="VUA1" s="87"/>
      <c r="VUB1" s="87"/>
      <c r="VUC1" s="87"/>
      <c r="VUD1" s="87"/>
      <c r="VUE1" s="87"/>
      <c r="VUF1" s="87"/>
      <c r="VUG1" s="87"/>
      <c r="VUH1" s="87"/>
      <c r="VUI1" s="87"/>
      <c r="VUJ1" s="87"/>
      <c r="VUK1" s="87"/>
      <c r="VUL1" s="87"/>
      <c r="VUM1" s="87"/>
      <c r="VUN1" s="87"/>
      <c r="VUO1" s="87"/>
      <c r="VUP1" s="87"/>
      <c r="VUQ1" s="87"/>
      <c r="VUR1" s="87"/>
      <c r="VUS1" s="87"/>
      <c r="VUT1" s="87"/>
      <c r="VUU1" s="87"/>
      <c r="VUV1" s="87"/>
      <c r="VUW1" s="87"/>
      <c r="VUX1" s="87"/>
      <c r="VUY1" s="87"/>
      <c r="VUZ1" s="87"/>
      <c r="VVA1" s="87"/>
      <c r="VVB1" s="87"/>
      <c r="VVC1" s="87"/>
      <c r="VVD1" s="87"/>
      <c r="VVE1" s="87"/>
      <c r="VVF1" s="87"/>
      <c r="VVG1" s="87"/>
      <c r="VVH1" s="87"/>
      <c r="VVI1" s="87"/>
      <c r="VVJ1" s="87"/>
      <c r="VVK1" s="87"/>
      <c r="VVL1" s="87"/>
      <c r="VVM1" s="87"/>
      <c r="VVN1" s="87"/>
      <c r="VVO1" s="87"/>
      <c r="VVP1" s="87"/>
      <c r="VVQ1" s="87"/>
      <c r="VVR1" s="87"/>
      <c r="VVS1" s="87"/>
      <c r="VVT1" s="87"/>
      <c r="VVU1" s="87"/>
      <c r="VVV1" s="87"/>
      <c r="VVW1" s="87"/>
      <c r="VVX1" s="87"/>
      <c r="VVY1" s="87"/>
      <c r="VVZ1" s="87"/>
      <c r="VWA1" s="87"/>
      <c r="VWB1" s="87"/>
      <c r="VWC1" s="87"/>
      <c r="VWD1" s="87"/>
      <c r="VWE1" s="87"/>
      <c r="VWF1" s="87"/>
      <c r="VWG1" s="87"/>
      <c r="VWH1" s="87"/>
      <c r="VWI1" s="87"/>
      <c r="VWJ1" s="87"/>
      <c r="VWK1" s="87"/>
      <c r="VWL1" s="87"/>
      <c r="VWM1" s="87"/>
      <c r="VWN1" s="87"/>
      <c r="VWO1" s="87"/>
      <c r="VWP1" s="87"/>
      <c r="VWQ1" s="87"/>
      <c r="VWR1" s="87"/>
      <c r="VWS1" s="87"/>
      <c r="VWT1" s="87"/>
      <c r="VWU1" s="87"/>
      <c r="VWV1" s="87"/>
      <c r="VWW1" s="87"/>
      <c r="VWX1" s="87"/>
      <c r="VWY1" s="87"/>
      <c r="VWZ1" s="87"/>
      <c r="VXA1" s="87"/>
      <c r="VXB1" s="87"/>
      <c r="VXC1" s="87"/>
      <c r="VXD1" s="87"/>
      <c r="VXE1" s="87"/>
      <c r="VXF1" s="87"/>
      <c r="VXG1" s="87"/>
      <c r="VXH1" s="87"/>
      <c r="VXI1" s="87"/>
      <c r="VXJ1" s="87"/>
      <c r="VXK1" s="87"/>
      <c r="VXL1" s="87"/>
      <c r="VXM1" s="87"/>
      <c r="VXN1" s="87"/>
      <c r="VXO1" s="87"/>
      <c r="VXP1" s="87"/>
      <c r="VXQ1" s="87"/>
      <c r="VXR1" s="87"/>
      <c r="VXS1" s="87"/>
      <c r="VXT1" s="87"/>
      <c r="VXU1" s="87"/>
      <c r="VXV1" s="87"/>
      <c r="VXW1" s="87"/>
      <c r="VXX1" s="87"/>
      <c r="VXY1" s="87"/>
      <c r="VXZ1" s="87"/>
      <c r="VYA1" s="87"/>
      <c r="VYB1" s="87"/>
      <c r="VYC1" s="87"/>
      <c r="VYD1" s="87"/>
      <c r="VYE1" s="87"/>
      <c r="VYF1" s="87"/>
      <c r="VYG1" s="87"/>
      <c r="VYH1" s="87"/>
      <c r="VYI1" s="87"/>
      <c r="VYJ1" s="87"/>
      <c r="VYK1" s="87"/>
      <c r="VYL1" s="87"/>
      <c r="VYM1" s="87"/>
      <c r="VYN1" s="87"/>
      <c r="VYO1" s="87"/>
      <c r="VYP1" s="87"/>
      <c r="VYQ1" s="87"/>
      <c r="VYR1" s="87"/>
      <c r="VYS1" s="87"/>
      <c r="VYT1" s="87"/>
      <c r="VYU1" s="87"/>
      <c r="VYV1" s="87"/>
      <c r="VYW1" s="87"/>
      <c r="VYX1" s="87"/>
      <c r="VYY1" s="87"/>
      <c r="VYZ1" s="87"/>
      <c r="VZA1" s="87"/>
      <c r="VZB1" s="87"/>
      <c r="VZC1" s="87"/>
      <c r="VZD1" s="87"/>
      <c r="VZE1" s="87"/>
      <c r="VZF1" s="87"/>
      <c r="VZG1" s="87"/>
      <c r="VZH1" s="87"/>
      <c r="VZI1" s="87"/>
      <c r="VZJ1" s="87"/>
      <c r="VZK1" s="87"/>
      <c r="VZL1" s="87"/>
      <c r="VZM1" s="87"/>
      <c r="VZN1" s="87"/>
      <c r="VZO1" s="87"/>
      <c r="VZP1" s="87"/>
      <c r="VZQ1" s="87"/>
      <c r="VZR1" s="87"/>
      <c r="VZS1" s="87"/>
      <c r="VZT1" s="87"/>
      <c r="VZU1" s="87"/>
      <c r="VZV1" s="87"/>
      <c r="VZW1" s="87"/>
      <c r="VZX1" s="87"/>
      <c r="VZY1" s="87"/>
      <c r="VZZ1" s="87"/>
      <c r="WAA1" s="87"/>
      <c r="WAB1" s="87"/>
      <c r="WAC1" s="87"/>
      <c r="WAD1" s="87"/>
      <c r="WAE1" s="87"/>
      <c r="WAF1" s="87"/>
      <c r="WAG1" s="87"/>
      <c r="WAH1" s="87"/>
      <c r="WAI1" s="87"/>
      <c r="WAJ1" s="87"/>
      <c r="WAK1" s="87"/>
      <c r="WAL1" s="87"/>
      <c r="WAM1" s="87"/>
      <c r="WAN1" s="87"/>
      <c r="WAO1" s="87"/>
      <c r="WAP1" s="87"/>
      <c r="WAQ1" s="87"/>
      <c r="WAR1" s="87"/>
      <c r="WAS1" s="87"/>
      <c r="WAT1" s="87"/>
      <c r="WAU1" s="87"/>
      <c r="WAV1" s="87"/>
      <c r="WAW1" s="87"/>
      <c r="WAX1" s="87"/>
      <c r="WAY1" s="87"/>
      <c r="WAZ1" s="87"/>
      <c r="WBA1" s="87"/>
      <c r="WBB1" s="87"/>
      <c r="WBC1" s="87"/>
      <c r="WBD1" s="87"/>
      <c r="WBE1" s="87"/>
      <c r="WBF1" s="87"/>
      <c r="WBG1" s="87"/>
      <c r="WBH1" s="87"/>
      <c r="WBI1" s="87"/>
      <c r="WBJ1" s="87"/>
      <c r="WBK1" s="87"/>
      <c r="WBL1" s="87"/>
      <c r="WBM1" s="87"/>
      <c r="WBN1" s="87"/>
      <c r="WBO1" s="87"/>
      <c r="WBP1" s="87"/>
      <c r="WBQ1" s="87"/>
      <c r="WBR1" s="87"/>
      <c r="WBS1" s="87"/>
      <c r="WBT1" s="87"/>
      <c r="WBU1" s="87"/>
      <c r="WBV1" s="87"/>
      <c r="WBW1" s="87"/>
      <c r="WBX1" s="87"/>
      <c r="WBY1" s="87"/>
      <c r="WBZ1" s="87"/>
      <c r="WCA1" s="87"/>
      <c r="WCB1" s="87"/>
      <c r="WCC1" s="87"/>
      <c r="WCD1" s="87"/>
      <c r="WCE1" s="87"/>
      <c r="WCF1" s="87"/>
      <c r="WCG1" s="87"/>
      <c r="WCH1" s="87"/>
      <c r="WCI1" s="87"/>
      <c r="WCJ1" s="87"/>
      <c r="WCK1" s="87"/>
      <c r="WCL1" s="87"/>
      <c r="WCM1" s="87"/>
      <c r="WCN1" s="87"/>
      <c r="WCO1" s="87"/>
      <c r="WCP1" s="87"/>
      <c r="WCQ1" s="87"/>
      <c r="WCR1" s="87"/>
      <c r="WCS1" s="87"/>
      <c r="WCT1" s="87"/>
      <c r="WCU1" s="87"/>
      <c r="WCV1" s="87"/>
      <c r="WCW1" s="87"/>
      <c r="WCX1" s="87"/>
      <c r="WCY1" s="87"/>
      <c r="WCZ1" s="87"/>
      <c r="WDA1" s="87"/>
      <c r="WDB1" s="87"/>
      <c r="WDC1" s="87"/>
      <c r="WDD1" s="87"/>
      <c r="WDE1" s="87"/>
      <c r="WDF1" s="87"/>
      <c r="WDG1" s="87"/>
      <c r="WDH1" s="87"/>
      <c r="WDI1" s="87"/>
      <c r="WDJ1" s="87"/>
      <c r="WDK1" s="87"/>
      <c r="WDL1" s="87"/>
      <c r="WDM1" s="87"/>
      <c r="WDN1" s="87"/>
      <c r="WDO1" s="87"/>
      <c r="WDP1" s="87"/>
      <c r="WDQ1" s="87"/>
      <c r="WDR1" s="87"/>
      <c r="WDS1" s="87"/>
      <c r="WDT1" s="87"/>
      <c r="WDU1" s="87"/>
      <c r="WDV1" s="87"/>
      <c r="WDW1" s="87"/>
      <c r="WDX1" s="87"/>
      <c r="WDY1" s="87"/>
      <c r="WDZ1" s="87"/>
      <c r="WEA1" s="87"/>
      <c r="WEB1" s="87"/>
      <c r="WEC1" s="87"/>
      <c r="WED1" s="87"/>
      <c r="WEE1" s="87"/>
      <c r="WEF1" s="87"/>
      <c r="WEG1" s="87"/>
      <c r="WEH1" s="87"/>
      <c r="WEI1" s="87"/>
      <c r="WEJ1" s="87"/>
      <c r="WEK1" s="87"/>
      <c r="WEL1" s="87"/>
      <c r="WEM1" s="87"/>
      <c r="WEN1" s="87"/>
      <c r="WEO1" s="87"/>
      <c r="WEP1" s="87"/>
      <c r="WEQ1" s="87"/>
      <c r="WER1" s="87"/>
      <c r="WES1" s="87"/>
      <c r="WET1" s="87"/>
      <c r="WEU1" s="87"/>
      <c r="WEV1" s="87"/>
      <c r="WEW1" s="87"/>
      <c r="WEX1" s="87"/>
      <c r="WEY1" s="87"/>
      <c r="WEZ1" s="87"/>
      <c r="WFA1" s="87"/>
      <c r="WFB1" s="87"/>
      <c r="WFC1" s="87"/>
      <c r="WFD1" s="87"/>
      <c r="WFE1" s="87"/>
      <c r="WFF1" s="87"/>
      <c r="WFG1" s="87"/>
      <c r="WFH1" s="87"/>
      <c r="WFI1" s="87"/>
      <c r="WFJ1" s="87"/>
      <c r="WFK1" s="87"/>
      <c r="WFL1" s="87"/>
      <c r="WFM1" s="87"/>
      <c r="WFN1" s="87"/>
      <c r="WFO1" s="87"/>
      <c r="WFP1" s="87"/>
      <c r="WFQ1" s="87"/>
      <c r="WFR1" s="87"/>
      <c r="WFS1" s="87"/>
      <c r="WFT1" s="87"/>
      <c r="WFU1" s="87"/>
      <c r="WFV1" s="87"/>
      <c r="WFW1" s="87"/>
      <c r="WFX1" s="87"/>
      <c r="WFY1" s="87"/>
      <c r="WFZ1" s="87"/>
      <c r="WGA1" s="87"/>
      <c r="WGB1" s="87"/>
      <c r="WGC1" s="87"/>
      <c r="WGD1" s="87"/>
      <c r="WGE1" s="87"/>
      <c r="WGF1" s="87"/>
      <c r="WGG1" s="87"/>
      <c r="WGH1" s="87"/>
      <c r="WGI1" s="87"/>
      <c r="WGJ1" s="87"/>
      <c r="WGK1" s="87"/>
      <c r="WGL1" s="87"/>
      <c r="WGM1" s="87"/>
      <c r="WGN1" s="87"/>
      <c r="WGO1" s="87"/>
      <c r="WGP1" s="87"/>
      <c r="WGQ1" s="87"/>
      <c r="WGR1" s="87"/>
      <c r="WGS1" s="87"/>
      <c r="WGT1" s="87"/>
      <c r="WGU1" s="87"/>
      <c r="WGV1" s="87"/>
      <c r="WGW1" s="87"/>
      <c r="WGX1" s="87"/>
      <c r="WGY1" s="87"/>
      <c r="WGZ1" s="87"/>
      <c r="WHA1" s="87"/>
      <c r="WHB1" s="87"/>
      <c r="WHC1" s="87"/>
      <c r="WHD1" s="87"/>
      <c r="WHE1" s="87"/>
      <c r="WHF1" s="87"/>
      <c r="WHG1" s="87"/>
      <c r="WHH1" s="87"/>
      <c r="WHI1" s="87"/>
      <c r="WHJ1" s="87"/>
      <c r="WHK1" s="87"/>
      <c r="WHL1" s="87"/>
      <c r="WHM1" s="87"/>
      <c r="WHN1" s="87"/>
      <c r="WHO1" s="87"/>
      <c r="WHP1" s="87"/>
      <c r="WHQ1" s="87"/>
      <c r="WHR1" s="87"/>
      <c r="WHS1" s="87"/>
      <c r="WHT1" s="87"/>
      <c r="WHU1" s="87"/>
      <c r="WHV1" s="87"/>
      <c r="WHW1" s="87"/>
      <c r="WHX1" s="87"/>
      <c r="WHY1" s="87"/>
      <c r="WHZ1" s="87"/>
      <c r="WIA1" s="87"/>
      <c r="WIB1" s="87"/>
      <c r="WIC1" s="87"/>
      <c r="WID1" s="87"/>
      <c r="WIE1" s="87"/>
      <c r="WIF1" s="87"/>
      <c r="WIG1" s="87"/>
      <c r="WIH1" s="87"/>
      <c r="WII1" s="87"/>
      <c r="WIJ1" s="87"/>
      <c r="WIK1" s="87"/>
      <c r="WIL1" s="87"/>
      <c r="WIM1" s="87"/>
      <c r="WIN1" s="87"/>
      <c r="WIO1" s="87"/>
      <c r="WIP1" s="87"/>
      <c r="WIQ1" s="87"/>
      <c r="WIR1" s="87"/>
      <c r="WIS1" s="87"/>
      <c r="WIT1" s="87"/>
      <c r="WIU1" s="87"/>
      <c r="WIV1" s="87"/>
      <c r="WIW1" s="87"/>
      <c r="WIX1" s="87"/>
      <c r="WIY1" s="87"/>
      <c r="WIZ1" s="87"/>
      <c r="WJA1" s="87"/>
      <c r="WJB1" s="87"/>
      <c r="WJC1" s="87"/>
      <c r="WJD1" s="87"/>
      <c r="WJE1" s="87"/>
      <c r="WJF1" s="87"/>
      <c r="WJG1" s="87"/>
      <c r="WJH1" s="87"/>
      <c r="WJI1" s="87"/>
      <c r="WJJ1" s="87"/>
      <c r="WJK1" s="87"/>
      <c r="WJL1" s="87"/>
      <c r="WJM1" s="87"/>
      <c r="WJN1" s="87"/>
      <c r="WJO1" s="87"/>
      <c r="WJP1" s="87"/>
      <c r="WJQ1" s="87"/>
      <c r="WJR1" s="87"/>
      <c r="WJS1" s="87"/>
      <c r="WJT1" s="87"/>
      <c r="WJU1" s="87"/>
      <c r="WJV1" s="87"/>
      <c r="WJW1" s="87"/>
      <c r="WJX1" s="87"/>
      <c r="WJY1" s="87"/>
      <c r="WJZ1" s="87"/>
      <c r="WKA1" s="87"/>
      <c r="WKB1" s="87"/>
      <c r="WKC1" s="87"/>
      <c r="WKD1" s="87"/>
      <c r="WKE1" s="87"/>
      <c r="WKF1" s="87"/>
      <c r="WKG1" s="87"/>
      <c r="WKH1" s="87"/>
      <c r="WKI1" s="87"/>
      <c r="WKJ1" s="87"/>
      <c r="WKK1" s="87"/>
      <c r="WKL1" s="87"/>
      <c r="WKM1" s="87"/>
      <c r="WKN1" s="87"/>
      <c r="WKO1" s="87"/>
      <c r="WKP1" s="87"/>
      <c r="WKQ1" s="87"/>
      <c r="WKR1" s="87"/>
      <c r="WKS1" s="87"/>
      <c r="WKT1" s="87"/>
      <c r="WKU1" s="87"/>
      <c r="WKV1" s="87"/>
      <c r="WKW1" s="87"/>
      <c r="WKX1" s="87"/>
      <c r="WKY1" s="87"/>
      <c r="WKZ1" s="87"/>
      <c r="WLA1" s="87"/>
      <c r="WLB1" s="87"/>
      <c r="WLC1" s="87"/>
      <c r="WLD1" s="87"/>
      <c r="WLE1" s="87"/>
      <c r="WLF1" s="87"/>
      <c r="WLG1" s="87"/>
      <c r="WLH1" s="87"/>
      <c r="WLI1" s="87"/>
      <c r="WLJ1" s="87"/>
      <c r="WLK1" s="87"/>
      <c r="WLL1" s="87"/>
      <c r="WLM1" s="87"/>
      <c r="WLN1" s="87"/>
      <c r="WLO1" s="87"/>
      <c r="WLP1" s="87"/>
      <c r="WLQ1" s="87"/>
      <c r="WLR1" s="87"/>
      <c r="WLS1" s="87"/>
      <c r="WLT1" s="87"/>
      <c r="WLU1" s="87"/>
      <c r="WLV1" s="87"/>
      <c r="WLW1" s="87"/>
      <c r="WLX1" s="87"/>
      <c r="WLY1" s="87"/>
      <c r="WLZ1" s="87"/>
      <c r="WMA1" s="87"/>
      <c r="WMB1" s="87"/>
      <c r="WMC1" s="87"/>
      <c r="WMD1" s="87"/>
      <c r="WME1" s="87"/>
      <c r="WMF1" s="87"/>
      <c r="WMG1" s="87"/>
      <c r="WMH1" s="87"/>
      <c r="WMI1" s="87"/>
      <c r="WMJ1" s="87"/>
      <c r="WMK1" s="87"/>
      <c r="WML1" s="87"/>
      <c r="WMM1" s="87"/>
      <c r="WMN1" s="87"/>
      <c r="WMO1" s="87"/>
      <c r="WMP1" s="87"/>
      <c r="WMQ1" s="87"/>
      <c r="WMR1" s="87"/>
      <c r="WMS1" s="87"/>
      <c r="WMT1" s="87"/>
      <c r="WMU1" s="87"/>
      <c r="WMV1" s="87"/>
      <c r="WMW1" s="87"/>
      <c r="WMX1" s="87"/>
      <c r="WMY1" s="87"/>
      <c r="WMZ1" s="87"/>
      <c r="WNA1" s="87"/>
      <c r="WNB1" s="87"/>
      <c r="WNC1" s="87"/>
      <c r="WND1" s="87"/>
      <c r="WNE1" s="87"/>
      <c r="WNF1" s="87"/>
      <c r="WNG1" s="87"/>
      <c r="WNH1" s="87"/>
      <c r="WNI1" s="87"/>
      <c r="WNJ1" s="87"/>
      <c r="WNK1" s="87"/>
      <c r="WNL1" s="87"/>
      <c r="WNM1" s="87"/>
      <c r="WNN1" s="87"/>
      <c r="WNO1" s="87"/>
      <c r="WNP1" s="87"/>
      <c r="WNQ1" s="87"/>
      <c r="WNR1" s="87"/>
      <c r="WNS1" s="87"/>
      <c r="WNT1" s="87"/>
      <c r="WNU1" s="87"/>
      <c r="WNV1" s="87"/>
      <c r="WNW1" s="87"/>
      <c r="WNX1" s="87"/>
      <c r="WNY1" s="87"/>
      <c r="WNZ1" s="87"/>
      <c r="WOA1" s="87"/>
      <c r="WOB1" s="87"/>
      <c r="WOC1" s="87"/>
      <c r="WOD1" s="87"/>
      <c r="WOE1" s="87"/>
      <c r="WOF1" s="87"/>
      <c r="WOG1" s="87"/>
      <c r="WOH1" s="87"/>
      <c r="WOI1" s="87"/>
      <c r="WOJ1" s="87"/>
      <c r="WOK1" s="87"/>
      <c r="WOL1" s="87"/>
      <c r="WOM1" s="87"/>
      <c r="WON1" s="87"/>
      <c r="WOO1" s="87"/>
      <c r="WOP1" s="87"/>
      <c r="WOQ1" s="87"/>
      <c r="WOR1" s="87"/>
      <c r="WOS1" s="87"/>
      <c r="WOT1" s="87"/>
      <c r="WOU1" s="87"/>
      <c r="WOV1" s="87"/>
      <c r="WOW1" s="87"/>
      <c r="WOX1" s="87"/>
      <c r="WOY1" s="87"/>
      <c r="WOZ1" s="87"/>
      <c r="WPA1" s="87"/>
      <c r="WPB1" s="87"/>
      <c r="WPC1" s="87"/>
      <c r="WPD1" s="87"/>
      <c r="WPE1" s="87"/>
      <c r="WPF1" s="87"/>
      <c r="WPG1" s="87"/>
      <c r="WPH1" s="87"/>
      <c r="WPI1" s="87"/>
      <c r="WPJ1" s="87"/>
      <c r="WPK1" s="87"/>
      <c r="WPL1" s="87"/>
      <c r="WPM1" s="87"/>
      <c r="WPN1" s="87"/>
      <c r="WPO1" s="87"/>
      <c r="WPP1" s="87"/>
      <c r="WPQ1" s="87"/>
      <c r="WPR1" s="87"/>
      <c r="WPS1" s="87"/>
      <c r="WPT1" s="87"/>
      <c r="WPU1" s="87"/>
      <c r="WPV1" s="87"/>
      <c r="WPW1" s="87"/>
      <c r="WPX1" s="87"/>
      <c r="WPY1" s="87"/>
      <c r="WPZ1" s="87"/>
      <c r="WQA1" s="87"/>
      <c r="WQB1" s="87"/>
      <c r="WQC1" s="87"/>
      <c r="WQD1" s="87"/>
      <c r="WQE1" s="87"/>
      <c r="WQF1" s="87"/>
      <c r="WQG1" s="87"/>
      <c r="WQH1" s="87"/>
      <c r="WQI1" s="87"/>
      <c r="WQJ1" s="87"/>
      <c r="WQK1" s="87"/>
      <c r="WQL1" s="87"/>
      <c r="WQM1" s="87"/>
      <c r="WQN1" s="87"/>
      <c r="WQO1" s="87"/>
      <c r="WQP1" s="87"/>
      <c r="WQQ1" s="87"/>
      <c r="WQR1" s="87"/>
      <c r="WQS1" s="87"/>
      <c r="WQT1" s="87"/>
      <c r="WQU1" s="87"/>
      <c r="WQV1" s="87"/>
      <c r="WQW1" s="87"/>
      <c r="WQX1" s="87"/>
      <c r="WQY1" s="87"/>
      <c r="WQZ1" s="87"/>
      <c r="WRA1" s="87"/>
      <c r="WRB1" s="87"/>
      <c r="WRC1" s="87"/>
      <c r="WRD1" s="87"/>
      <c r="WRE1" s="87"/>
      <c r="WRF1" s="87"/>
      <c r="WRG1" s="87"/>
      <c r="WRH1" s="87"/>
      <c r="WRI1" s="87"/>
      <c r="WRJ1" s="87"/>
      <c r="WRK1" s="87"/>
      <c r="WRL1" s="87"/>
      <c r="WRM1" s="87"/>
      <c r="WRN1" s="87"/>
      <c r="WRO1" s="87"/>
      <c r="WRP1" s="87"/>
      <c r="WRQ1" s="87"/>
      <c r="WRR1" s="87"/>
      <c r="WRS1" s="87"/>
      <c r="WRT1" s="87"/>
      <c r="WRU1" s="87"/>
      <c r="WRV1" s="87"/>
      <c r="WRW1" s="87"/>
      <c r="WRX1" s="87"/>
      <c r="WRY1" s="87"/>
      <c r="WRZ1" s="87"/>
      <c r="WSA1" s="87"/>
      <c r="WSB1" s="87"/>
      <c r="WSC1" s="87"/>
      <c r="WSD1" s="87"/>
      <c r="WSE1" s="87"/>
      <c r="WSF1" s="87"/>
      <c r="WSG1" s="87"/>
      <c r="WSH1" s="87"/>
      <c r="WSI1" s="87"/>
      <c r="WSJ1" s="87"/>
      <c r="WSK1" s="87"/>
      <c r="WSL1" s="87"/>
      <c r="WSM1" s="87"/>
      <c r="WSN1" s="87"/>
      <c r="WSO1" s="87"/>
      <c r="WSP1" s="87"/>
      <c r="WSQ1" s="87"/>
      <c r="WSR1" s="87"/>
      <c r="WSS1" s="87"/>
      <c r="WST1" s="87"/>
      <c r="WSU1" s="87"/>
      <c r="WSV1" s="87"/>
      <c r="WSW1" s="87"/>
      <c r="WSX1" s="87"/>
      <c r="WSY1" s="87"/>
      <c r="WSZ1" s="87"/>
      <c r="WTA1" s="87"/>
      <c r="WTB1" s="87"/>
      <c r="WTC1" s="87"/>
      <c r="WTD1" s="87"/>
      <c r="WTE1" s="87"/>
      <c r="WTF1" s="87"/>
      <c r="WTG1" s="87"/>
      <c r="WTH1" s="87"/>
      <c r="WTI1" s="87"/>
      <c r="WTJ1" s="87"/>
      <c r="WTK1" s="87"/>
      <c r="WTL1" s="87"/>
      <c r="WTM1" s="87"/>
      <c r="WTN1" s="87"/>
      <c r="WTO1" s="87"/>
      <c r="WTP1" s="87"/>
      <c r="WTQ1" s="87"/>
      <c r="WTR1" s="87"/>
      <c r="WTS1" s="87"/>
      <c r="WTT1" s="87"/>
      <c r="WTU1" s="87"/>
      <c r="WTV1" s="87"/>
      <c r="WTW1" s="87"/>
      <c r="WTX1" s="87"/>
      <c r="WTY1" s="87"/>
      <c r="WTZ1" s="87"/>
      <c r="WUA1" s="87"/>
      <c r="WUB1" s="87"/>
      <c r="WUC1" s="87"/>
      <c r="WUD1" s="87"/>
      <c r="WUE1" s="87"/>
      <c r="WUF1" s="87"/>
      <c r="WUG1" s="87"/>
      <c r="WUH1" s="87"/>
      <c r="WUI1" s="87"/>
      <c r="WUJ1" s="87"/>
      <c r="WUK1" s="87"/>
      <c r="WUL1" s="87"/>
      <c r="WUM1" s="87"/>
      <c r="WUN1" s="87"/>
      <c r="WUO1" s="87"/>
      <c r="WUP1" s="87"/>
      <c r="WUQ1" s="87"/>
      <c r="WUR1" s="87"/>
      <c r="WUS1" s="87"/>
      <c r="WUT1" s="87"/>
      <c r="WUU1" s="87"/>
      <c r="WUV1" s="87"/>
      <c r="WUW1" s="87"/>
      <c r="WUX1" s="87"/>
      <c r="WUY1" s="87"/>
      <c r="WUZ1" s="87"/>
      <c r="WVA1" s="87"/>
      <c r="WVB1" s="87"/>
      <c r="WVC1" s="87"/>
      <c r="WVD1" s="87"/>
      <c r="WVE1" s="87"/>
      <c r="WVF1" s="87"/>
      <c r="WVG1" s="87"/>
      <c r="WVH1" s="87"/>
      <c r="WVI1" s="87"/>
      <c r="WVJ1" s="87"/>
      <c r="WVK1" s="87"/>
      <c r="WVL1" s="87"/>
      <c r="WVM1" s="87"/>
      <c r="WVN1" s="87"/>
      <c r="WVO1" s="87"/>
      <c r="WVP1" s="87"/>
      <c r="WVQ1" s="87"/>
      <c r="WVR1" s="87"/>
      <c r="WVS1" s="87"/>
      <c r="WVT1" s="87"/>
      <c r="WVU1" s="87"/>
      <c r="WVV1" s="87"/>
      <c r="WVW1" s="87"/>
      <c r="WVX1" s="87"/>
      <c r="WVY1" s="87"/>
      <c r="WVZ1" s="87"/>
      <c r="WWA1" s="87"/>
      <c r="WWB1" s="87"/>
      <c r="WWC1" s="87"/>
      <c r="WWD1" s="87"/>
      <c r="WWE1" s="87"/>
      <c r="WWF1" s="87"/>
      <c r="WWG1" s="87"/>
      <c r="WWH1" s="87"/>
      <c r="WWI1" s="87"/>
      <c r="WWJ1" s="87"/>
      <c r="WWK1" s="87"/>
      <c r="WWL1" s="87"/>
      <c r="WWM1" s="87"/>
      <c r="WWN1" s="87"/>
      <c r="WWO1" s="87"/>
      <c r="WWP1" s="87"/>
      <c r="WWQ1" s="87"/>
      <c r="WWR1" s="87"/>
      <c r="WWS1" s="87"/>
      <c r="WWT1" s="87"/>
      <c r="WWU1" s="87"/>
      <c r="WWV1" s="87"/>
      <c r="WWW1" s="87"/>
      <c r="WWX1" s="87"/>
      <c r="WWY1" s="87"/>
      <c r="WWZ1" s="87"/>
      <c r="WXA1" s="87"/>
      <c r="WXB1" s="87"/>
      <c r="WXC1" s="87"/>
      <c r="WXD1" s="87"/>
      <c r="WXE1" s="87"/>
      <c r="WXF1" s="87"/>
      <c r="WXG1" s="87"/>
      <c r="WXH1" s="87"/>
      <c r="WXI1" s="87"/>
      <c r="WXJ1" s="87"/>
      <c r="WXK1" s="87"/>
      <c r="WXL1" s="87"/>
      <c r="WXM1" s="87"/>
      <c r="WXN1" s="87"/>
      <c r="WXO1" s="87"/>
      <c r="WXP1" s="87"/>
      <c r="WXQ1" s="87"/>
      <c r="WXR1" s="87"/>
      <c r="WXS1" s="87"/>
      <c r="WXT1" s="87"/>
      <c r="WXU1" s="87"/>
      <c r="WXV1" s="87"/>
      <c r="WXW1" s="87"/>
      <c r="WXX1" s="87"/>
      <c r="WXY1" s="87"/>
      <c r="WXZ1" s="87"/>
      <c r="WYA1" s="87"/>
      <c r="WYB1" s="87"/>
      <c r="WYC1" s="87"/>
      <c r="WYD1" s="87"/>
      <c r="WYE1" s="87"/>
      <c r="WYF1" s="87"/>
      <c r="WYG1" s="87"/>
      <c r="WYH1" s="87"/>
      <c r="WYI1" s="87"/>
      <c r="WYJ1" s="87"/>
      <c r="WYK1" s="87"/>
      <c r="WYL1" s="87"/>
      <c r="WYM1" s="87"/>
      <c r="WYN1" s="87"/>
      <c r="WYO1" s="87"/>
      <c r="WYP1" s="87"/>
      <c r="WYQ1" s="87"/>
      <c r="WYR1" s="87"/>
      <c r="WYS1" s="87"/>
      <c r="WYT1" s="87"/>
      <c r="WYU1" s="87"/>
      <c r="WYV1" s="87"/>
      <c r="WYW1" s="87"/>
      <c r="WYX1" s="87"/>
      <c r="WYY1" s="87"/>
      <c r="WYZ1" s="87"/>
      <c r="WZA1" s="87"/>
      <c r="WZB1" s="87"/>
      <c r="WZC1" s="87"/>
      <c r="WZD1" s="87"/>
      <c r="WZE1" s="87"/>
      <c r="WZF1" s="87"/>
      <c r="WZG1" s="87"/>
      <c r="WZH1" s="87"/>
      <c r="WZI1" s="87"/>
      <c r="WZJ1" s="87"/>
      <c r="WZK1" s="87"/>
      <c r="WZL1" s="87"/>
      <c r="WZM1" s="87"/>
      <c r="WZN1" s="87"/>
      <c r="WZO1" s="87"/>
      <c r="WZP1" s="87"/>
      <c r="WZQ1" s="87"/>
      <c r="WZR1" s="87"/>
      <c r="WZS1" s="87"/>
      <c r="WZT1" s="87"/>
      <c r="WZU1" s="87"/>
      <c r="WZV1" s="87"/>
      <c r="WZW1" s="87"/>
      <c r="WZX1" s="87"/>
      <c r="WZY1" s="87"/>
      <c r="WZZ1" s="87"/>
      <c r="XAA1" s="87"/>
      <c r="XAB1" s="87"/>
      <c r="XAC1" s="87"/>
      <c r="XAD1" s="87"/>
      <c r="XAE1" s="87"/>
      <c r="XAF1" s="87"/>
      <c r="XAG1" s="87"/>
      <c r="XAH1" s="87"/>
      <c r="XAI1" s="87"/>
      <c r="XAJ1" s="87"/>
      <c r="XAK1" s="87"/>
      <c r="XAL1" s="87"/>
      <c r="XAM1" s="87"/>
      <c r="XAN1" s="87"/>
      <c r="XAO1" s="87"/>
      <c r="XAP1" s="87"/>
      <c r="XAQ1" s="87"/>
      <c r="XAR1" s="87"/>
      <c r="XAS1" s="87"/>
      <c r="XAT1" s="87"/>
      <c r="XAU1" s="87"/>
      <c r="XAV1" s="87"/>
      <c r="XAW1" s="87"/>
      <c r="XAX1" s="87"/>
      <c r="XAY1" s="87"/>
      <c r="XAZ1" s="87"/>
      <c r="XBA1" s="87"/>
      <c r="XBB1" s="87"/>
      <c r="XBC1" s="87"/>
      <c r="XBD1" s="87"/>
      <c r="XBE1" s="87"/>
      <c r="XBF1" s="87"/>
      <c r="XBG1" s="87"/>
      <c r="XBH1" s="87"/>
      <c r="XBI1" s="87"/>
      <c r="XBJ1" s="87"/>
      <c r="XBK1" s="87"/>
      <c r="XBL1" s="87"/>
      <c r="XBM1" s="87"/>
      <c r="XBN1" s="87"/>
      <c r="XBO1" s="87"/>
      <c r="XBP1" s="87"/>
      <c r="XBQ1" s="87"/>
      <c r="XBR1" s="87"/>
      <c r="XBS1" s="87"/>
      <c r="XBT1" s="87"/>
      <c r="XBU1" s="87"/>
      <c r="XBV1" s="87"/>
      <c r="XBW1" s="87"/>
      <c r="XBX1" s="87"/>
      <c r="XBY1" s="87"/>
      <c r="XBZ1" s="87"/>
      <c r="XCA1" s="87"/>
      <c r="XCB1" s="87"/>
      <c r="XCC1" s="87"/>
      <c r="XCD1" s="87"/>
      <c r="XCE1" s="87"/>
      <c r="XCF1" s="87"/>
      <c r="XCG1" s="87"/>
      <c r="XCH1" s="87"/>
      <c r="XCI1" s="87"/>
      <c r="XCJ1" s="87"/>
      <c r="XCK1" s="87"/>
      <c r="XCL1" s="87"/>
      <c r="XCM1" s="87"/>
      <c r="XCN1" s="87"/>
      <c r="XCO1" s="87"/>
      <c r="XCP1" s="87"/>
      <c r="XCQ1" s="87"/>
      <c r="XCR1" s="87"/>
      <c r="XCS1" s="87"/>
      <c r="XCT1" s="87"/>
      <c r="XCU1" s="87"/>
      <c r="XCV1" s="87"/>
      <c r="XCW1" s="87"/>
      <c r="XCX1" s="87"/>
      <c r="XCY1" s="87"/>
      <c r="XCZ1" s="87"/>
      <c r="XDA1" s="87"/>
      <c r="XDB1" s="87"/>
      <c r="XDC1" s="87"/>
      <c r="XDD1" s="87"/>
      <c r="XDE1" s="87"/>
      <c r="XDF1" s="87"/>
      <c r="XDG1" s="87"/>
      <c r="XDH1" s="87"/>
      <c r="XDI1" s="87"/>
      <c r="XDJ1" s="87"/>
      <c r="XDK1" s="87"/>
      <c r="XDL1" s="87"/>
      <c r="XDM1" s="87"/>
      <c r="XDN1" s="87"/>
      <c r="XDO1" s="87"/>
      <c r="XDP1" s="87"/>
      <c r="XDQ1" s="87"/>
      <c r="XDR1" s="87"/>
      <c r="XDS1" s="87"/>
      <c r="XDT1" s="87"/>
      <c r="XDU1" s="87"/>
      <c r="XDV1" s="87"/>
      <c r="XDW1" s="87"/>
      <c r="XDX1" s="87"/>
      <c r="XDY1" s="87"/>
      <c r="XDZ1" s="87"/>
      <c r="XEA1" s="87"/>
      <c r="XEB1" s="87"/>
      <c r="XEC1" s="87"/>
      <c r="XED1" s="87"/>
      <c r="XEE1" s="87"/>
      <c r="XEF1" s="87"/>
      <c r="XEG1" s="87"/>
      <c r="XEH1" s="87"/>
      <c r="XEI1" s="87"/>
      <c r="XEJ1" s="87"/>
      <c r="XEK1" s="87"/>
    </row>
    <row r="2" spans="1:16365" x14ac:dyDescent="0.25">
      <c r="A2">
        <v>1</v>
      </c>
      <c r="B2" s="1">
        <v>43472</v>
      </c>
      <c r="C2" t="s">
        <v>34</v>
      </c>
      <c r="D2" t="s">
        <v>105</v>
      </c>
      <c r="E2" t="s">
        <v>703</v>
      </c>
      <c r="F2" s="48">
        <v>18.350000000000001</v>
      </c>
      <c r="G2" t="s">
        <v>1326</v>
      </c>
    </row>
    <row r="3" spans="1:16365" x14ac:dyDescent="0.25">
      <c r="A3">
        <v>2</v>
      </c>
      <c r="B3" s="1">
        <v>43472</v>
      </c>
      <c r="C3" t="s">
        <v>922</v>
      </c>
      <c r="D3" t="s">
        <v>105</v>
      </c>
      <c r="E3" t="s">
        <v>705</v>
      </c>
      <c r="F3" s="48">
        <v>628.42800000000011</v>
      </c>
      <c r="G3" t="s">
        <v>1326</v>
      </c>
    </row>
    <row r="4" spans="1:16365" hidden="1" x14ac:dyDescent="0.25">
      <c r="A4">
        <v>3</v>
      </c>
      <c r="B4" s="1">
        <v>43474</v>
      </c>
      <c r="C4" t="s">
        <v>923</v>
      </c>
      <c r="D4" t="s">
        <v>708</v>
      </c>
      <c r="E4" t="s">
        <v>709</v>
      </c>
      <c r="F4" s="48">
        <v>674.20800000000008</v>
      </c>
      <c r="G4" t="s">
        <v>1326</v>
      </c>
    </row>
    <row r="5" spans="1:16365" x14ac:dyDescent="0.25">
      <c r="A5">
        <v>4</v>
      </c>
      <c r="B5" s="1">
        <v>43474</v>
      </c>
      <c r="C5" t="s">
        <v>924</v>
      </c>
      <c r="D5" t="s">
        <v>105</v>
      </c>
      <c r="E5" t="s">
        <v>339</v>
      </c>
      <c r="F5" s="48">
        <v>14.140000000000002</v>
      </c>
      <c r="G5" t="s">
        <v>1326</v>
      </c>
    </row>
    <row r="6" spans="1:16365" x14ac:dyDescent="0.25">
      <c r="A6">
        <v>5</v>
      </c>
      <c r="B6" s="1">
        <v>43475</v>
      </c>
      <c r="C6" t="s">
        <v>925</v>
      </c>
      <c r="D6" t="s">
        <v>105</v>
      </c>
      <c r="E6" t="s">
        <v>703</v>
      </c>
      <c r="F6" s="48">
        <v>23.087999999999997</v>
      </c>
      <c r="G6" t="s">
        <v>1326</v>
      </c>
    </row>
    <row r="7" spans="1:16365" hidden="1" x14ac:dyDescent="0.25">
      <c r="A7">
        <v>6</v>
      </c>
      <c r="B7" s="1">
        <v>43476</v>
      </c>
      <c r="C7" t="s">
        <v>926</v>
      </c>
      <c r="D7" t="s">
        <v>708</v>
      </c>
      <c r="E7" t="s">
        <v>709</v>
      </c>
      <c r="F7" s="48">
        <v>2045.8560000000002</v>
      </c>
      <c r="G7" t="s">
        <v>1326</v>
      </c>
    </row>
    <row r="8" spans="1:16365" x14ac:dyDescent="0.25">
      <c r="A8">
        <v>7</v>
      </c>
      <c r="B8" s="1">
        <v>43476</v>
      </c>
      <c r="C8" t="s">
        <v>927</v>
      </c>
      <c r="D8" t="s">
        <v>105</v>
      </c>
      <c r="E8" t="s">
        <v>705</v>
      </c>
      <c r="F8" s="48">
        <v>46.92</v>
      </c>
      <c r="G8" t="s">
        <v>1327</v>
      </c>
    </row>
    <row r="9" spans="1:16365" x14ac:dyDescent="0.25">
      <c r="A9">
        <v>8</v>
      </c>
      <c r="B9" s="1">
        <v>43480</v>
      </c>
      <c r="C9" t="s">
        <v>929</v>
      </c>
      <c r="D9" t="s">
        <v>105</v>
      </c>
      <c r="E9" t="s">
        <v>705</v>
      </c>
      <c r="F9" s="48">
        <v>25.680062899514191</v>
      </c>
      <c r="G9" t="s">
        <v>1326</v>
      </c>
    </row>
    <row r="10" spans="1:16365" hidden="1" x14ac:dyDescent="0.25">
      <c r="A10">
        <v>9</v>
      </c>
      <c r="B10" s="1">
        <v>43481</v>
      </c>
      <c r="C10" t="s">
        <v>932</v>
      </c>
      <c r="D10" t="s">
        <v>708</v>
      </c>
      <c r="E10" t="s">
        <v>709</v>
      </c>
      <c r="F10" s="48">
        <v>1805.4000000000003</v>
      </c>
      <c r="G10" t="s">
        <v>1326</v>
      </c>
    </row>
    <row r="11" spans="1:16365" hidden="1" x14ac:dyDescent="0.25">
      <c r="A11">
        <v>10</v>
      </c>
      <c r="B11" s="1">
        <v>43482</v>
      </c>
      <c r="C11" t="s">
        <v>933</v>
      </c>
      <c r="D11" t="s">
        <v>708</v>
      </c>
      <c r="E11" t="s">
        <v>709</v>
      </c>
      <c r="F11" s="48">
        <v>2035.92</v>
      </c>
      <c r="G11" t="s">
        <v>1326</v>
      </c>
    </row>
    <row r="12" spans="1:16365" x14ac:dyDescent="0.25">
      <c r="A12">
        <v>11</v>
      </c>
      <c r="B12" s="1">
        <v>43482</v>
      </c>
      <c r="C12" t="s">
        <v>934</v>
      </c>
      <c r="D12" t="s">
        <v>105</v>
      </c>
      <c r="E12" t="s">
        <v>705</v>
      </c>
      <c r="F12" s="48">
        <v>282.71999999999997</v>
      </c>
      <c r="G12" t="s">
        <v>1326</v>
      </c>
    </row>
    <row r="13" spans="1:16365" hidden="1" x14ac:dyDescent="0.25">
      <c r="A13">
        <v>12</v>
      </c>
      <c r="B13" s="1">
        <v>43490</v>
      </c>
      <c r="C13" t="s">
        <v>932</v>
      </c>
      <c r="D13" t="s">
        <v>708</v>
      </c>
      <c r="E13" t="s">
        <v>709</v>
      </c>
      <c r="F13" s="48">
        <v>3858.6</v>
      </c>
      <c r="G13" t="s">
        <v>1326</v>
      </c>
    </row>
    <row r="14" spans="1:16365" x14ac:dyDescent="0.25">
      <c r="A14">
        <v>13</v>
      </c>
      <c r="B14" s="1">
        <v>43497</v>
      </c>
      <c r="C14" t="s">
        <v>34</v>
      </c>
      <c r="D14" t="s">
        <v>105</v>
      </c>
      <c r="E14" t="s">
        <v>703</v>
      </c>
      <c r="F14" s="48">
        <v>18</v>
      </c>
      <c r="G14" t="s">
        <v>1326</v>
      </c>
    </row>
    <row r="15" spans="1:16365" x14ac:dyDescent="0.25">
      <c r="A15">
        <v>14</v>
      </c>
      <c r="B15" s="1">
        <v>43502</v>
      </c>
      <c r="C15" t="s">
        <v>925</v>
      </c>
      <c r="D15" t="s">
        <v>105</v>
      </c>
      <c r="E15" t="s">
        <v>703</v>
      </c>
      <c r="F15" s="48">
        <v>23.087999999999997</v>
      </c>
      <c r="G15" t="s">
        <v>1326</v>
      </c>
    </row>
    <row r="16" spans="1:16365" x14ac:dyDescent="0.25">
      <c r="A16">
        <v>15</v>
      </c>
      <c r="B16" s="1">
        <v>43490</v>
      </c>
      <c r="C16" t="s">
        <v>941</v>
      </c>
      <c r="D16" t="s">
        <v>105</v>
      </c>
      <c r="E16" t="s">
        <v>705</v>
      </c>
      <c r="F16" s="48">
        <v>14.904</v>
      </c>
      <c r="G16" t="s">
        <v>1326</v>
      </c>
    </row>
    <row r="17" spans="1:7" x14ac:dyDescent="0.25">
      <c r="A17">
        <v>16</v>
      </c>
      <c r="B17" s="1">
        <v>43497</v>
      </c>
      <c r="C17" t="s">
        <v>943</v>
      </c>
      <c r="D17" t="s">
        <v>105</v>
      </c>
      <c r="E17" t="s">
        <v>705</v>
      </c>
      <c r="F17" s="48">
        <v>116</v>
      </c>
      <c r="G17" t="s">
        <v>1326</v>
      </c>
    </row>
    <row r="18" spans="1:7" hidden="1" x14ac:dyDescent="0.25">
      <c r="A18">
        <v>17</v>
      </c>
      <c r="B18" s="1">
        <v>43509</v>
      </c>
      <c r="C18" t="s">
        <v>945</v>
      </c>
      <c r="D18" t="s">
        <v>708</v>
      </c>
      <c r="E18" t="s">
        <v>709</v>
      </c>
      <c r="F18" s="48">
        <v>112.5</v>
      </c>
      <c r="G18" t="s">
        <v>1326</v>
      </c>
    </row>
    <row r="19" spans="1:7" x14ac:dyDescent="0.25">
      <c r="A19">
        <v>18</v>
      </c>
      <c r="B19" s="1">
        <v>43509</v>
      </c>
      <c r="C19" t="s">
        <v>927</v>
      </c>
      <c r="D19" t="s">
        <v>105</v>
      </c>
      <c r="E19" t="s">
        <v>705</v>
      </c>
      <c r="F19" s="48">
        <v>46.92</v>
      </c>
      <c r="G19" t="s">
        <v>1327</v>
      </c>
    </row>
    <row r="20" spans="1:7" x14ac:dyDescent="0.25">
      <c r="A20">
        <v>19</v>
      </c>
      <c r="B20" s="1">
        <v>43511</v>
      </c>
      <c r="C20" t="s">
        <v>929</v>
      </c>
      <c r="D20" t="s">
        <v>105</v>
      </c>
      <c r="E20" t="s">
        <v>705</v>
      </c>
      <c r="F20" s="48">
        <v>25.680062899514191</v>
      </c>
      <c r="G20" t="s">
        <v>1326</v>
      </c>
    </row>
    <row r="21" spans="1:7" x14ac:dyDescent="0.25">
      <c r="A21">
        <v>20</v>
      </c>
      <c r="B21" s="1">
        <v>43518</v>
      </c>
      <c r="C21" t="s">
        <v>948</v>
      </c>
      <c r="D21" t="s">
        <v>105</v>
      </c>
      <c r="E21" t="s">
        <v>704</v>
      </c>
      <c r="F21" s="48">
        <v>16.2</v>
      </c>
      <c r="G21" t="s">
        <v>1327</v>
      </c>
    </row>
    <row r="22" spans="1:7" x14ac:dyDescent="0.25">
      <c r="A22">
        <v>21</v>
      </c>
      <c r="B22" s="1">
        <v>43490</v>
      </c>
      <c r="C22" t="s">
        <v>951</v>
      </c>
      <c r="D22" t="s">
        <v>105</v>
      </c>
      <c r="E22" t="s">
        <v>691</v>
      </c>
      <c r="F22" s="48">
        <v>229.43216670928155</v>
      </c>
      <c r="G22" t="s">
        <v>1328</v>
      </c>
    </row>
    <row r="23" spans="1:7" x14ac:dyDescent="0.25">
      <c r="A23">
        <v>22</v>
      </c>
      <c r="B23" s="1">
        <v>43521</v>
      </c>
      <c r="C23" t="s">
        <v>951</v>
      </c>
      <c r="D23" t="s">
        <v>105</v>
      </c>
      <c r="E23" t="s">
        <v>691</v>
      </c>
      <c r="F23" s="48">
        <v>229.43216670928155</v>
      </c>
      <c r="G23" t="s">
        <v>1328</v>
      </c>
    </row>
    <row r="24" spans="1:7" x14ac:dyDescent="0.25">
      <c r="A24">
        <v>23</v>
      </c>
      <c r="B24" s="1">
        <v>43522</v>
      </c>
      <c r="C24" t="s">
        <v>952</v>
      </c>
      <c r="D24" t="s">
        <v>105</v>
      </c>
      <c r="E24" t="s">
        <v>695</v>
      </c>
      <c r="F24" s="48">
        <v>4752.0600000000004</v>
      </c>
      <c r="G24" t="s">
        <v>1327</v>
      </c>
    </row>
    <row r="25" spans="1:7" x14ac:dyDescent="0.25">
      <c r="A25">
        <v>24</v>
      </c>
      <c r="B25" s="1">
        <v>43528</v>
      </c>
      <c r="C25" t="s">
        <v>953</v>
      </c>
      <c r="D25" t="s">
        <v>105</v>
      </c>
      <c r="E25" t="s">
        <v>705</v>
      </c>
      <c r="F25" s="48">
        <v>48.904570186653032</v>
      </c>
      <c r="G25" t="s">
        <v>1326</v>
      </c>
    </row>
    <row r="26" spans="1:7" x14ac:dyDescent="0.25">
      <c r="A26">
        <v>25</v>
      </c>
      <c r="B26" s="1">
        <v>43523</v>
      </c>
      <c r="C26" t="s">
        <v>955</v>
      </c>
      <c r="D26" t="s">
        <v>105</v>
      </c>
      <c r="E26" t="s">
        <v>689</v>
      </c>
      <c r="F26" s="48">
        <v>21</v>
      </c>
      <c r="G26" t="s">
        <v>1327</v>
      </c>
    </row>
    <row r="27" spans="1:7" x14ac:dyDescent="0.25">
      <c r="A27">
        <v>26</v>
      </c>
      <c r="B27" s="1">
        <v>43528</v>
      </c>
      <c r="C27" t="s">
        <v>979</v>
      </c>
      <c r="D27" t="s">
        <v>105</v>
      </c>
      <c r="E27" t="s">
        <v>683</v>
      </c>
      <c r="F27" s="48">
        <v>60.408000000000001</v>
      </c>
      <c r="G27" t="s">
        <v>1326</v>
      </c>
    </row>
    <row r="28" spans="1:7" x14ac:dyDescent="0.25">
      <c r="A28">
        <v>27</v>
      </c>
      <c r="B28" s="1">
        <v>43529</v>
      </c>
      <c r="C28" t="s">
        <v>34</v>
      </c>
      <c r="D28" t="s">
        <v>105</v>
      </c>
      <c r="E28" t="s">
        <v>703</v>
      </c>
      <c r="F28" s="48">
        <v>18</v>
      </c>
      <c r="G28" t="s">
        <v>1326</v>
      </c>
    </row>
    <row r="29" spans="1:7" x14ac:dyDescent="0.25">
      <c r="A29">
        <v>28</v>
      </c>
      <c r="B29" s="1">
        <v>43525</v>
      </c>
      <c r="C29" t="s">
        <v>961</v>
      </c>
      <c r="D29" t="s">
        <v>105</v>
      </c>
      <c r="E29" t="s">
        <v>705</v>
      </c>
      <c r="F29" s="48">
        <v>24.88</v>
      </c>
      <c r="G29" t="s">
        <v>1327</v>
      </c>
    </row>
    <row r="30" spans="1:7" x14ac:dyDescent="0.25">
      <c r="A30">
        <v>29</v>
      </c>
      <c r="B30" s="1">
        <v>43530</v>
      </c>
      <c r="C30" t="s">
        <v>962</v>
      </c>
      <c r="D30" t="s">
        <v>105</v>
      </c>
      <c r="E30" t="s">
        <v>689</v>
      </c>
      <c r="F30" s="48">
        <v>365.00200000000001</v>
      </c>
      <c r="G30" t="s">
        <v>1328</v>
      </c>
    </row>
    <row r="31" spans="1:7" x14ac:dyDescent="0.25">
      <c r="A31">
        <v>30</v>
      </c>
      <c r="B31" s="1">
        <v>43531</v>
      </c>
      <c r="C31" t="s">
        <v>925</v>
      </c>
      <c r="D31" t="s">
        <v>105</v>
      </c>
      <c r="E31" t="s">
        <v>703</v>
      </c>
      <c r="F31" s="48">
        <v>23.087999999999997</v>
      </c>
      <c r="G31" t="s">
        <v>1326</v>
      </c>
    </row>
    <row r="32" spans="1:7" x14ac:dyDescent="0.25">
      <c r="A32">
        <v>31</v>
      </c>
      <c r="B32" s="1">
        <v>43535</v>
      </c>
      <c r="C32" t="s">
        <v>977</v>
      </c>
      <c r="D32" t="s">
        <v>105</v>
      </c>
      <c r="E32" t="s">
        <v>683</v>
      </c>
      <c r="F32" s="48">
        <v>447.88800000000003</v>
      </c>
      <c r="G32" t="s">
        <v>1326</v>
      </c>
    </row>
    <row r="33" spans="1:7" x14ac:dyDescent="0.25">
      <c r="A33">
        <v>32</v>
      </c>
      <c r="B33" s="1">
        <v>43535</v>
      </c>
      <c r="C33" t="s">
        <v>927</v>
      </c>
      <c r="D33" t="s">
        <v>105</v>
      </c>
      <c r="E33" t="s">
        <v>705</v>
      </c>
      <c r="F33" s="48">
        <v>46.92</v>
      </c>
      <c r="G33" t="s">
        <v>1327</v>
      </c>
    </row>
    <row r="34" spans="1:7" x14ac:dyDescent="0.25">
      <c r="A34">
        <v>33</v>
      </c>
      <c r="B34" s="1">
        <v>43539</v>
      </c>
      <c r="C34" t="s">
        <v>978</v>
      </c>
      <c r="D34" t="s">
        <v>105</v>
      </c>
      <c r="E34" t="s">
        <v>683</v>
      </c>
      <c r="F34" s="48">
        <v>29.988</v>
      </c>
      <c r="G34" t="s">
        <v>1326</v>
      </c>
    </row>
    <row r="35" spans="1:7" x14ac:dyDescent="0.25">
      <c r="A35">
        <v>34</v>
      </c>
      <c r="B35" s="1">
        <v>43539</v>
      </c>
      <c r="C35" t="s">
        <v>929</v>
      </c>
      <c r="D35" t="s">
        <v>105</v>
      </c>
      <c r="E35" t="s">
        <v>705</v>
      </c>
      <c r="F35" s="48">
        <v>25.680062899514191</v>
      </c>
      <c r="G35" t="s">
        <v>1326</v>
      </c>
    </row>
    <row r="36" spans="1:7" x14ac:dyDescent="0.25">
      <c r="A36">
        <v>35</v>
      </c>
      <c r="B36" s="1">
        <v>43549</v>
      </c>
      <c r="C36" t="s">
        <v>941</v>
      </c>
      <c r="D36" t="s">
        <v>105</v>
      </c>
      <c r="E36" t="s">
        <v>705</v>
      </c>
      <c r="F36" s="48">
        <v>14.904</v>
      </c>
      <c r="G36" t="s">
        <v>1326</v>
      </c>
    </row>
    <row r="37" spans="1:7" x14ac:dyDescent="0.25">
      <c r="A37">
        <v>36</v>
      </c>
      <c r="B37" s="1">
        <v>43549</v>
      </c>
      <c r="C37" t="s">
        <v>971</v>
      </c>
      <c r="D37" t="s">
        <v>105</v>
      </c>
      <c r="E37" t="s">
        <v>683</v>
      </c>
      <c r="F37" s="48">
        <v>3511.66</v>
      </c>
      <c r="G37" t="s">
        <v>1326</v>
      </c>
    </row>
    <row r="38" spans="1:7" x14ac:dyDescent="0.25">
      <c r="A38">
        <v>37</v>
      </c>
      <c r="B38" s="1">
        <v>43549</v>
      </c>
      <c r="C38" t="s">
        <v>951</v>
      </c>
      <c r="D38" t="s">
        <v>105</v>
      </c>
      <c r="E38" t="s">
        <v>691</v>
      </c>
      <c r="F38" s="48">
        <v>229.43216670928155</v>
      </c>
      <c r="G38" t="s">
        <v>1328</v>
      </c>
    </row>
    <row r="39" spans="1:7" x14ac:dyDescent="0.25">
      <c r="A39">
        <v>38</v>
      </c>
      <c r="B39" s="1">
        <v>43556</v>
      </c>
      <c r="C39" t="s">
        <v>34</v>
      </c>
      <c r="D39" t="s">
        <v>105</v>
      </c>
      <c r="E39" t="s">
        <v>703</v>
      </c>
      <c r="F39" s="48">
        <v>20.436</v>
      </c>
      <c r="G39" t="s">
        <v>1326</v>
      </c>
    </row>
    <row r="40" spans="1:7" x14ac:dyDescent="0.25">
      <c r="A40">
        <v>39</v>
      </c>
      <c r="B40" s="1">
        <v>43553</v>
      </c>
      <c r="C40" t="s">
        <v>974</v>
      </c>
      <c r="D40" t="s">
        <v>105</v>
      </c>
      <c r="E40" t="s">
        <v>689</v>
      </c>
      <c r="F40" s="48">
        <v>5.2679999999999998</v>
      </c>
      <c r="G40" t="s">
        <v>1326</v>
      </c>
    </row>
    <row r="41" spans="1:7" x14ac:dyDescent="0.25">
      <c r="A41">
        <v>40</v>
      </c>
      <c r="B41" s="1">
        <v>43553</v>
      </c>
      <c r="C41" t="s">
        <v>975</v>
      </c>
      <c r="D41" t="s">
        <v>105</v>
      </c>
      <c r="E41" t="s">
        <v>339</v>
      </c>
      <c r="F41" s="48">
        <v>23.18</v>
      </c>
      <c r="G41" t="s">
        <v>1326</v>
      </c>
    </row>
    <row r="42" spans="1:7" x14ac:dyDescent="0.25">
      <c r="A42">
        <v>41</v>
      </c>
      <c r="B42" s="1">
        <v>43558</v>
      </c>
      <c r="C42" t="s">
        <v>981</v>
      </c>
      <c r="D42" t="s">
        <v>105</v>
      </c>
      <c r="E42" t="s">
        <v>683</v>
      </c>
      <c r="F42" s="48">
        <v>16.103999999999999</v>
      </c>
      <c r="G42" t="s">
        <v>1326</v>
      </c>
    </row>
    <row r="43" spans="1:7" x14ac:dyDescent="0.25">
      <c r="A43">
        <v>42</v>
      </c>
      <c r="B43" s="1">
        <v>43558</v>
      </c>
      <c r="C43" t="s">
        <v>982</v>
      </c>
      <c r="D43" t="s">
        <v>105</v>
      </c>
      <c r="E43" t="s">
        <v>339</v>
      </c>
      <c r="F43" s="48">
        <v>18.989999999999998</v>
      </c>
      <c r="G43" t="s">
        <v>1327</v>
      </c>
    </row>
    <row r="44" spans="1:7" hidden="1" x14ac:dyDescent="0.25">
      <c r="A44">
        <v>43</v>
      </c>
      <c r="B44" s="1">
        <v>43564</v>
      </c>
      <c r="C44" t="s">
        <v>536</v>
      </c>
      <c r="D44" t="s">
        <v>708</v>
      </c>
      <c r="E44" t="s">
        <v>709</v>
      </c>
      <c r="F44" s="48">
        <v>779.28</v>
      </c>
      <c r="G44" t="s">
        <v>1326</v>
      </c>
    </row>
    <row r="45" spans="1:7" hidden="1" x14ac:dyDescent="0.25">
      <c r="A45">
        <v>44</v>
      </c>
      <c r="B45" s="1">
        <v>43571</v>
      </c>
      <c r="C45" t="s">
        <v>983</v>
      </c>
      <c r="D45" t="s">
        <v>708</v>
      </c>
      <c r="E45" t="s">
        <v>709</v>
      </c>
      <c r="F45" s="48">
        <v>840.9</v>
      </c>
      <c r="G45" t="s">
        <v>1326</v>
      </c>
    </row>
    <row r="46" spans="1:7" hidden="1" x14ac:dyDescent="0.25">
      <c r="A46">
        <v>45</v>
      </c>
      <c r="B46" s="1">
        <v>43565</v>
      </c>
      <c r="C46" t="s">
        <v>90</v>
      </c>
      <c r="D46" t="s">
        <v>708</v>
      </c>
      <c r="E46" t="s">
        <v>709</v>
      </c>
      <c r="F46" s="48">
        <v>6121.3919999999998</v>
      </c>
      <c r="G46" t="s">
        <v>1326</v>
      </c>
    </row>
    <row r="47" spans="1:7" x14ac:dyDescent="0.25">
      <c r="A47">
        <v>46</v>
      </c>
      <c r="B47" s="1">
        <v>43565</v>
      </c>
      <c r="C47" t="s">
        <v>925</v>
      </c>
      <c r="D47" t="s">
        <v>105</v>
      </c>
      <c r="E47" t="s">
        <v>703</v>
      </c>
      <c r="F47" s="48">
        <v>23.087999999999997</v>
      </c>
      <c r="G47" t="s">
        <v>1326</v>
      </c>
    </row>
    <row r="48" spans="1:7" x14ac:dyDescent="0.25">
      <c r="A48">
        <v>47</v>
      </c>
      <c r="B48" s="1">
        <v>43566</v>
      </c>
      <c r="C48" t="s">
        <v>927</v>
      </c>
      <c r="D48" t="s">
        <v>105</v>
      </c>
      <c r="E48" t="s">
        <v>705</v>
      </c>
      <c r="F48" s="48">
        <v>46.92</v>
      </c>
      <c r="G48" t="s">
        <v>1327</v>
      </c>
    </row>
    <row r="49" spans="1:7" x14ac:dyDescent="0.25">
      <c r="A49">
        <v>48</v>
      </c>
      <c r="B49" s="1">
        <v>43566</v>
      </c>
      <c r="C49" t="s">
        <v>993</v>
      </c>
      <c r="D49" t="s">
        <v>105</v>
      </c>
      <c r="E49" t="s">
        <v>692</v>
      </c>
      <c r="F49" s="48">
        <v>80.28</v>
      </c>
      <c r="G49" t="s">
        <v>1327</v>
      </c>
    </row>
    <row r="50" spans="1:7" x14ac:dyDescent="0.25">
      <c r="A50">
        <v>49</v>
      </c>
      <c r="B50" s="1">
        <v>43570</v>
      </c>
      <c r="C50" t="s">
        <v>929</v>
      </c>
      <c r="D50" t="s">
        <v>105</v>
      </c>
      <c r="E50" t="s">
        <v>705</v>
      </c>
      <c r="F50" s="48">
        <v>25.680062899514191</v>
      </c>
      <c r="G50" t="s">
        <v>1326</v>
      </c>
    </row>
    <row r="51" spans="1:7" x14ac:dyDescent="0.25">
      <c r="A51">
        <v>50</v>
      </c>
      <c r="B51" s="1">
        <v>43584</v>
      </c>
      <c r="C51" t="s">
        <v>996</v>
      </c>
      <c r="D51" t="s">
        <v>105</v>
      </c>
      <c r="E51" t="s">
        <v>683</v>
      </c>
      <c r="F51" s="48">
        <v>7.59</v>
      </c>
      <c r="G51" t="s">
        <v>1327</v>
      </c>
    </row>
    <row r="52" spans="1:7" x14ac:dyDescent="0.25">
      <c r="A52">
        <v>51</v>
      </c>
      <c r="B52" s="1">
        <v>43587</v>
      </c>
      <c r="C52" t="s">
        <v>981</v>
      </c>
      <c r="D52" t="s">
        <v>105</v>
      </c>
      <c r="E52" t="s">
        <v>683</v>
      </c>
      <c r="F52" s="48">
        <v>46.884</v>
      </c>
      <c r="G52" t="s">
        <v>1326</v>
      </c>
    </row>
    <row r="53" spans="1:7" x14ac:dyDescent="0.25">
      <c r="A53">
        <v>52</v>
      </c>
      <c r="B53" s="1">
        <v>43591</v>
      </c>
      <c r="C53" t="s">
        <v>974</v>
      </c>
      <c r="D53" t="s">
        <v>105</v>
      </c>
      <c r="E53" t="s">
        <v>689</v>
      </c>
      <c r="F53" s="48">
        <v>8.74</v>
      </c>
      <c r="G53" t="s">
        <v>1326</v>
      </c>
    </row>
    <row r="54" spans="1:7" x14ac:dyDescent="0.25">
      <c r="A54">
        <v>53</v>
      </c>
      <c r="B54" s="1">
        <v>43591</v>
      </c>
      <c r="C54" t="s">
        <v>974</v>
      </c>
      <c r="D54" t="s">
        <v>105</v>
      </c>
      <c r="E54" t="s">
        <v>689</v>
      </c>
      <c r="F54" s="48">
        <v>7.6</v>
      </c>
      <c r="G54" t="s">
        <v>1326</v>
      </c>
    </row>
    <row r="55" spans="1:7" x14ac:dyDescent="0.25">
      <c r="A55">
        <v>54</v>
      </c>
      <c r="B55" s="1">
        <v>43591</v>
      </c>
      <c r="C55" t="s">
        <v>974</v>
      </c>
      <c r="D55" t="s">
        <v>105</v>
      </c>
      <c r="E55" t="s">
        <v>689</v>
      </c>
      <c r="F55" s="48">
        <v>7.0000000000000009</v>
      </c>
      <c r="G55" t="s">
        <v>1326</v>
      </c>
    </row>
    <row r="56" spans="1:7" x14ac:dyDescent="0.25">
      <c r="A56">
        <v>55</v>
      </c>
      <c r="B56" s="1">
        <v>43591</v>
      </c>
      <c r="C56" t="s">
        <v>34</v>
      </c>
      <c r="D56" t="s">
        <v>105</v>
      </c>
      <c r="E56" t="s">
        <v>703</v>
      </c>
      <c r="F56" s="48">
        <v>18</v>
      </c>
      <c r="G56" t="s">
        <v>1326</v>
      </c>
    </row>
    <row r="57" spans="1:7" x14ac:dyDescent="0.25">
      <c r="A57">
        <v>56</v>
      </c>
      <c r="B57" s="1">
        <v>43594</v>
      </c>
      <c r="C57" t="s">
        <v>974</v>
      </c>
      <c r="D57" t="s">
        <v>105</v>
      </c>
      <c r="E57" t="s">
        <v>689</v>
      </c>
      <c r="F57" s="48">
        <v>4.34</v>
      </c>
      <c r="G57" t="s">
        <v>1326</v>
      </c>
    </row>
    <row r="58" spans="1:7" x14ac:dyDescent="0.25">
      <c r="A58">
        <v>57</v>
      </c>
      <c r="B58" s="1">
        <v>43595</v>
      </c>
      <c r="C58" t="s">
        <v>925</v>
      </c>
      <c r="D58" t="s">
        <v>105</v>
      </c>
      <c r="E58" t="s">
        <v>703</v>
      </c>
      <c r="F58" s="48">
        <v>23.087999999999997</v>
      </c>
      <c r="G58" t="s">
        <v>1326</v>
      </c>
    </row>
    <row r="59" spans="1:7" x14ac:dyDescent="0.25">
      <c r="A59">
        <v>58</v>
      </c>
      <c r="B59" s="1">
        <v>43598</v>
      </c>
      <c r="C59" t="s">
        <v>927</v>
      </c>
      <c r="D59" t="s">
        <v>105</v>
      </c>
      <c r="E59" t="s">
        <v>705</v>
      </c>
      <c r="F59" s="48">
        <v>46.92</v>
      </c>
      <c r="G59" t="s">
        <v>1327</v>
      </c>
    </row>
    <row r="60" spans="1:7" hidden="1" x14ac:dyDescent="0.25">
      <c r="A60">
        <v>59</v>
      </c>
      <c r="B60" s="1">
        <v>43598</v>
      </c>
      <c r="C60" t="s">
        <v>933</v>
      </c>
      <c r="D60" t="s">
        <v>708</v>
      </c>
      <c r="E60" t="s">
        <v>709</v>
      </c>
      <c r="F60" s="48">
        <v>4405.38</v>
      </c>
      <c r="G60" t="s">
        <v>1326</v>
      </c>
    </row>
    <row r="61" spans="1:7" x14ac:dyDescent="0.25">
      <c r="A61">
        <v>60</v>
      </c>
      <c r="B61" s="1">
        <v>43599</v>
      </c>
      <c r="C61" t="s">
        <v>974</v>
      </c>
      <c r="D61" t="s">
        <v>105</v>
      </c>
      <c r="E61" t="s">
        <v>689</v>
      </c>
      <c r="F61" s="48">
        <v>2.17</v>
      </c>
      <c r="G61" t="s">
        <v>1326</v>
      </c>
    </row>
    <row r="62" spans="1:7" x14ac:dyDescent="0.25">
      <c r="A62">
        <v>61</v>
      </c>
      <c r="B62" s="1">
        <v>43600</v>
      </c>
      <c r="C62" t="s">
        <v>929</v>
      </c>
      <c r="D62" t="s">
        <v>105</v>
      </c>
      <c r="E62" t="s">
        <v>705</v>
      </c>
      <c r="F62" s="48">
        <v>25.680062899514191</v>
      </c>
      <c r="G62" t="s">
        <v>1326</v>
      </c>
    </row>
    <row r="63" spans="1:7" x14ac:dyDescent="0.25">
      <c r="A63">
        <v>62</v>
      </c>
      <c r="B63" s="1">
        <v>43605</v>
      </c>
      <c r="C63" t="s">
        <v>981</v>
      </c>
      <c r="D63" t="s">
        <v>105</v>
      </c>
      <c r="E63" t="s">
        <v>683</v>
      </c>
      <c r="F63" s="48">
        <v>34.271999999999998</v>
      </c>
      <c r="G63" t="s">
        <v>1326</v>
      </c>
    </row>
    <row r="64" spans="1:7" x14ac:dyDescent="0.25">
      <c r="A64">
        <v>63</v>
      </c>
      <c r="B64" s="1">
        <v>43612</v>
      </c>
      <c r="C64" t="s">
        <v>952</v>
      </c>
      <c r="D64" t="s">
        <v>105</v>
      </c>
      <c r="E64" t="s">
        <v>695</v>
      </c>
      <c r="F64" s="48">
        <v>4752.0600000000004</v>
      </c>
      <c r="G64" t="s">
        <v>1327</v>
      </c>
    </row>
    <row r="65" spans="1:7" x14ac:dyDescent="0.25">
      <c r="A65">
        <v>64</v>
      </c>
      <c r="B65" s="1">
        <v>43612</v>
      </c>
      <c r="C65" t="s">
        <v>951</v>
      </c>
      <c r="D65" t="s">
        <v>105</v>
      </c>
      <c r="E65" t="s">
        <v>691</v>
      </c>
      <c r="F65" s="48">
        <v>229.43216670928155</v>
      </c>
      <c r="G65" t="s">
        <v>1328</v>
      </c>
    </row>
    <row r="66" spans="1:7" x14ac:dyDescent="0.25">
      <c r="A66">
        <v>65</v>
      </c>
      <c r="B66" s="1">
        <v>43609</v>
      </c>
      <c r="C66" t="s">
        <v>941</v>
      </c>
      <c r="D66" t="s">
        <v>105</v>
      </c>
      <c r="E66" t="s">
        <v>705</v>
      </c>
      <c r="F66" s="48">
        <v>14.904</v>
      </c>
      <c r="G66" t="s">
        <v>1326</v>
      </c>
    </row>
    <row r="67" spans="1:7" x14ac:dyDescent="0.25">
      <c r="A67">
        <v>66</v>
      </c>
      <c r="B67" s="1">
        <v>43614</v>
      </c>
      <c r="C67" t="s">
        <v>961</v>
      </c>
      <c r="D67" t="s">
        <v>105</v>
      </c>
      <c r="E67" t="s">
        <v>705</v>
      </c>
      <c r="F67" s="48">
        <v>24.88</v>
      </c>
      <c r="G67" t="s">
        <v>1327</v>
      </c>
    </row>
    <row r="68" spans="1:7" x14ac:dyDescent="0.25">
      <c r="A68">
        <v>67</v>
      </c>
      <c r="B68" s="1">
        <v>43619</v>
      </c>
      <c r="C68" t="s">
        <v>974</v>
      </c>
      <c r="D68" t="s">
        <v>105</v>
      </c>
      <c r="E68" t="s">
        <v>689</v>
      </c>
      <c r="F68" s="48">
        <v>3.72</v>
      </c>
      <c r="G68" t="s">
        <v>1326</v>
      </c>
    </row>
    <row r="69" spans="1:7" x14ac:dyDescent="0.25">
      <c r="A69">
        <v>68</v>
      </c>
      <c r="B69" s="1">
        <v>43619</v>
      </c>
      <c r="C69" t="s">
        <v>953</v>
      </c>
      <c r="D69" t="s">
        <v>105</v>
      </c>
      <c r="E69" t="s">
        <v>705</v>
      </c>
      <c r="F69" s="48">
        <v>48.904570186653032</v>
      </c>
      <c r="G69" t="s">
        <v>1326</v>
      </c>
    </row>
    <row r="70" spans="1:7" x14ac:dyDescent="0.25">
      <c r="A70">
        <v>69</v>
      </c>
      <c r="B70" s="1">
        <v>43619</v>
      </c>
      <c r="C70" t="s">
        <v>34</v>
      </c>
      <c r="D70" t="s">
        <v>105</v>
      </c>
      <c r="E70" t="s">
        <v>703</v>
      </c>
      <c r="F70" s="48">
        <v>18</v>
      </c>
      <c r="G70" t="s">
        <v>1326</v>
      </c>
    </row>
    <row r="71" spans="1:7" x14ac:dyDescent="0.25">
      <c r="A71">
        <v>70</v>
      </c>
      <c r="B71" s="1">
        <v>43627</v>
      </c>
      <c r="C71" t="s">
        <v>974</v>
      </c>
      <c r="D71" t="s">
        <v>105</v>
      </c>
      <c r="E71" t="s">
        <v>689</v>
      </c>
      <c r="F71" s="48">
        <v>4.9559999999999995</v>
      </c>
      <c r="G71" t="s">
        <v>1326</v>
      </c>
    </row>
    <row r="72" spans="1:7" x14ac:dyDescent="0.25">
      <c r="A72">
        <v>71</v>
      </c>
      <c r="B72" s="1">
        <v>43623</v>
      </c>
      <c r="C72" t="s">
        <v>1017</v>
      </c>
      <c r="D72" t="s">
        <v>105</v>
      </c>
      <c r="E72" t="s">
        <v>703</v>
      </c>
      <c r="F72" s="48">
        <v>23.087999999999997</v>
      </c>
      <c r="G72" t="s">
        <v>1326</v>
      </c>
    </row>
    <row r="73" spans="1:7" x14ac:dyDescent="0.25">
      <c r="A73">
        <v>72</v>
      </c>
      <c r="B73" s="1">
        <v>43627</v>
      </c>
      <c r="C73" t="s">
        <v>1020</v>
      </c>
      <c r="D73" t="s">
        <v>105</v>
      </c>
      <c r="E73" t="s">
        <v>692</v>
      </c>
      <c r="F73" s="48">
        <v>10.536</v>
      </c>
      <c r="G73" t="s">
        <v>1326</v>
      </c>
    </row>
    <row r="74" spans="1:7" x14ac:dyDescent="0.25">
      <c r="A74">
        <v>73</v>
      </c>
      <c r="B74" s="1">
        <v>43627</v>
      </c>
      <c r="C74" t="s">
        <v>1021</v>
      </c>
      <c r="D74" t="s">
        <v>105</v>
      </c>
      <c r="E74" t="s">
        <v>705</v>
      </c>
      <c r="F74" s="48">
        <v>65</v>
      </c>
      <c r="G74" t="s">
        <v>1327</v>
      </c>
    </row>
    <row r="75" spans="1:7" hidden="1" x14ac:dyDescent="0.25">
      <c r="A75">
        <v>74</v>
      </c>
      <c r="B75" s="1">
        <v>43629</v>
      </c>
      <c r="C75" t="s">
        <v>1012</v>
      </c>
      <c r="D75" t="s">
        <v>708</v>
      </c>
      <c r="E75" t="s">
        <v>709</v>
      </c>
      <c r="F75" s="48">
        <v>1989</v>
      </c>
      <c r="G75" t="s">
        <v>1326</v>
      </c>
    </row>
    <row r="76" spans="1:7" x14ac:dyDescent="0.25">
      <c r="A76">
        <v>75</v>
      </c>
      <c r="B76" s="1">
        <v>43630</v>
      </c>
      <c r="C76" t="s">
        <v>927</v>
      </c>
      <c r="D76" t="s">
        <v>105</v>
      </c>
      <c r="E76" t="s">
        <v>705</v>
      </c>
      <c r="F76" s="48">
        <v>46.92</v>
      </c>
      <c r="G76" t="s">
        <v>1327</v>
      </c>
    </row>
    <row r="77" spans="1:7" x14ac:dyDescent="0.25">
      <c r="A77">
        <v>76</v>
      </c>
      <c r="B77" s="1">
        <v>43633</v>
      </c>
      <c r="C77" t="s">
        <v>929</v>
      </c>
      <c r="D77" t="s">
        <v>105</v>
      </c>
      <c r="E77" t="s">
        <v>705</v>
      </c>
      <c r="F77" s="48">
        <v>25.680062899514191</v>
      </c>
      <c r="G77" t="s">
        <v>1326</v>
      </c>
    </row>
    <row r="78" spans="1:7" x14ac:dyDescent="0.25">
      <c r="A78">
        <v>77</v>
      </c>
      <c r="B78" s="1">
        <v>43633</v>
      </c>
      <c r="C78" t="s">
        <v>1027</v>
      </c>
      <c r="D78" t="s">
        <v>105</v>
      </c>
      <c r="E78" t="s">
        <v>705</v>
      </c>
      <c r="F78" s="48">
        <v>1032</v>
      </c>
      <c r="G78" t="s">
        <v>1326</v>
      </c>
    </row>
    <row r="79" spans="1:7" x14ac:dyDescent="0.25">
      <c r="A79">
        <v>78</v>
      </c>
      <c r="B79" s="1">
        <v>43635</v>
      </c>
      <c r="C79" t="s">
        <v>951</v>
      </c>
      <c r="D79" t="s">
        <v>105</v>
      </c>
      <c r="E79" t="s">
        <v>705</v>
      </c>
      <c r="F79" s="48">
        <v>-44.472111991817947</v>
      </c>
      <c r="G79" t="s">
        <v>1328</v>
      </c>
    </row>
    <row r="80" spans="1:7" x14ac:dyDescent="0.25">
      <c r="A80">
        <v>79</v>
      </c>
      <c r="B80" s="1">
        <v>43635</v>
      </c>
      <c r="C80" t="s">
        <v>1029</v>
      </c>
      <c r="D80" t="s">
        <v>105</v>
      </c>
      <c r="E80" t="s">
        <v>689</v>
      </c>
      <c r="F80" s="48">
        <v>11.399999999999999</v>
      </c>
      <c r="G80" t="s">
        <v>1328</v>
      </c>
    </row>
    <row r="81" spans="1:7" x14ac:dyDescent="0.25">
      <c r="A81">
        <v>80</v>
      </c>
      <c r="B81" s="1">
        <v>43637</v>
      </c>
      <c r="C81" t="s">
        <v>974</v>
      </c>
      <c r="D81" t="s">
        <v>105</v>
      </c>
      <c r="E81" t="s">
        <v>689</v>
      </c>
      <c r="F81" s="48">
        <v>2.79</v>
      </c>
      <c r="G81" t="s">
        <v>1326</v>
      </c>
    </row>
    <row r="82" spans="1:7" x14ac:dyDescent="0.25">
      <c r="A82">
        <v>81</v>
      </c>
      <c r="B82" s="1">
        <v>43637</v>
      </c>
      <c r="C82" t="s">
        <v>974</v>
      </c>
      <c r="D82" t="s">
        <v>105</v>
      </c>
      <c r="E82" t="s">
        <v>689</v>
      </c>
      <c r="F82" s="48">
        <v>8.3699999999999992</v>
      </c>
      <c r="G82" t="s">
        <v>1326</v>
      </c>
    </row>
    <row r="83" spans="1:7" x14ac:dyDescent="0.25">
      <c r="A83">
        <v>82</v>
      </c>
      <c r="B83" s="1">
        <v>43640</v>
      </c>
      <c r="C83" t="s">
        <v>1032</v>
      </c>
      <c r="D83" t="s">
        <v>105</v>
      </c>
      <c r="E83" t="s">
        <v>692</v>
      </c>
      <c r="F83" s="48">
        <v>69</v>
      </c>
      <c r="G83" t="s">
        <v>1326</v>
      </c>
    </row>
    <row r="84" spans="1:7" x14ac:dyDescent="0.25">
      <c r="A84">
        <v>83</v>
      </c>
      <c r="B84" s="1">
        <v>43641</v>
      </c>
      <c r="C84" t="s">
        <v>951</v>
      </c>
      <c r="D84" t="s">
        <v>105</v>
      </c>
      <c r="E84" t="s">
        <v>691</v>
      </c>
      <c r="F84" s="48">
        <v>229.43216670928155</v>
      </c>
      <c r="G84" t="s">
        <v>1328</v>
      </c>
    </row>
    <row r="85" spans="1:7" x14ac:dyDescent="0.25">
      <c r="A85">
        <v>84</v>
      </c>
      <c r="B85" s="1">
        <v>43643</v>
      </c>
      <c r="C85" t="s">
        <v>1036</v>
      </c>
      <c r="D85" t="s">
        <v>105</v>
      </c>
      <c r="E85" t="s">
        <v>689</v>
      </c>
      <c r="F85" s="48">
        <v>21</v>
      </c>
      <c r="G85" t="s">
        <v>1327</v>
      </c>
    </row>
    <row r="86" spans="1:7" hidden="1" x14ac:dyDescent="0.25">
      <c r="A86">
        <v>85</v>
      </c>
      <c r="B86" s="1">
        <v>43648</v>
      </c>
      <c r="C86" t="s">
        <v>1038</v>
      </c>
      <c r="D86" t="s">
        <v>708</v>
      </c>
      <c r="E86" t="s">
        <v>709</v>
      </c>
      <c r="F86" s="48">
        <v>14.904</v>
      </c>
      <c r="G86" t="s">
        <v>1326</v>
      </c>
    </row>
    <row r="87" spans="1:7" hidden="1" x14ac:dyDescent="0.25">
      <c r="A87">
        <v>86</v>
      </c>
      <c r="B87" s="1">
        <v>43647</v>
      </c>
      <c r="C87" t="s">
        <v>933</v>
      </c>
      <c r="D87" t="s">
        <v>708</v>
      </c>
      <c r="E87" t="s">
        <v>709</v>
      </c>
      <c r="F87" s="48">
        <v>3003</v>
      </c>
      <c r="G87" t="s">
        <v>1326</v>
      </c>
    </row>
    <row r="88" spans="1:7" hidden="1" x14ac:dyDescent="0.25">
      <c r="A88">
        <v>87</v>
      </c>
      <c r="B88" s="1">
        <v>43648</v>
      </c>
      <c r="C88" t="s">
        <v>1038</v>
      </c>
      <c r="D88" t="s">
        <v>708</v>
      </c>
      <c r="E88" t="s">
        <v>709</v>
      </c>
      <c r="F88" s="48">
        <v>161.51999999999998</v>
      </c>
      <c r="G88" t="s">
        <v>1326</v>
      </c>
    </row>
    <row r="89" spans="1:7" x14ac:dyDescent="0.25">
      <c r="A89">
        <v>88</v>
      </c>
      <c r="B89" s="1">
        <v>43651</v>
      </c>
      <c r="C89" t="s">
        <v>974</v>
      </c>
      <c r="D89" t="s">
        <v>105</v>
      </c>
      <c r="E89" t="s">
        <v>689</v>
      </c>
      <c r="F89" s="48">
        <v>6.84</v>
      </c>
      <c r="G89" t="s">
        <v>1326</v>
      </c>
    </row>
    <row r="90" spans="1:7" x14ac:dyDescent="0.25">
      <c r="A90">
        <v>89</v>
      </c>
      <c r="B90" s="1">
        <v>43651</v>
      </c>
      <c r="C90" t="s">
        <v>34</v>
      </c>
      <c r="D90" t="s">
        <v>105</v>
      </c>
      <c r="E90" t="s">
        <v>703</v>
      </c>
      <c r="F90" s="48">
        <v>18</v>
      </c>
      <c r="G90" t="s">
        <v>1326</v>
      </c>
    </row>
    <row r="91" spans="1:7" hidden="1" x14ac:dyDescent="0.25">
      <c r="A91">
        <v>90</v>
      </c>
      <c r="B91" s="1">
        <v>43654</v>
      </c>
      <c r="C91" t="s">
        <v>1045</v>
      </c>
      <c r="D91" t="s">
        <v>708</v>
      </c>
      <c r="E91" t="s">
        <v>709</v>
      </c>
      <c r="F91" s="48">
        <v>204.756</v>
      </c>
      <c r="G91" t="s">
        <v>1326</v>
      </c>
    </row>
    <row r="92" spans="1:7" x14ac:dyDescent="0.25">
      <c r="A92">
        <v>91</v>
      </c>
      <c r="B92" s="1">
        <v>43656</v>
      </c>
      <c r="C92" t="s">
        <v>1017</v>
      </c>
      <c r="D92" t="s">
        <v>105</v>
      </c>
      <c r="E92" t="s">
        <v>703</v>
      </c>
      <c r="F92" s="48">
        <v>23.087999999999997</v>
      </c>
      <c r="G92" t="s">
        <v>1326</v>
      </c>
    </row>
    <row r="93" spans="1:7" x14ac:dyDescent="0.25">
      <c r="A93">
        <v>92</v>
      </c>
      <c r="B93" s="1">
        <v>43654</v>
      </c>
      <c r="C93" t="s">
        <v>927</v>
      </c>
      <c r="D93" t="s">
        <v>105</v>
      </c>
      <c r="E93" t="s">
        <v>705</v>
      </c>
      <c r="F93" s="48">
        <v>46.92</v>
      </c>
      <c r="G93" t="s">
        <v>1327</v>
      </c>
    </row>
    <row r="94" spans="1:7" x14ac:dyDescent="0.25">
      <c r="A94">
        <v>93</v>
      </c>
      <c r="B94" s="1">
        <v>43661</v>
      </c>
      <c r="C94" t="s">
        <v>929</v>
      </c>
      <c r="D94" t="s">
        <v>105</v>
      </c>
      <c r="E94" t="s">
        <v>705</v>
      </c>
      <c r="F94" s="48">
        <v>25.680062899514191</v>
      </c>
      <c r="G94" t="s">
        <v>1326</v>
      </c>
    </row>
    <row r="95" spans="1:7" x14ac:dyDescent="0.25">
      <c r="A95">
        <v>94</v>
      </c>
      <c r="B95" s="1">
        <v>43644</v>
      </c>
      <c r="C95" t="s">
        <v>974</v>
      </c>
      <c r="D95" t="s">
        <v>105</v>
      </c>
      <c r="E95" t="s">
        <v>689</v>
      </c>
      <c r="F95" s="48">
        <v>12.156000000000001</v>
      </c>
      <c r="G95" t="s">
        <v>1326</v>
      </c>
    </row>
    <row r="96" spans="1:7" hidden="1" x14ac:dyDescent="0.25">
      <c r="A96">
        <v>95</v>
      </c>
      <c r="B96" s="1">
        <v>43661</v>
      </c>
      <c r="C96" t="s">
        <v>983</v>
      </c>
      <c r="D96" t="s">
        <v>708</v>
      </c>
      <c r="E96" t="s">
        <v>709</v>
      </c>
      <c r="F96" s="48">
        <v>427.5</v>
      </c>
      <c r="G96" t="s">
        <v>1326</v>
      </c>
    </row>
    <row r="97" spans="1:7" hidden="1" x14ac:dyDescent="0.25">
      <c r="A97">
        <v>96</v>
      </c>
      <c r="B97" s="1">
        <v>43661</v>
      </c>
      <c r="C97" t="s">
        <v>933</v>
      </c>
      <c r="D97" t="s">
        <v>708</v>
      </c>
      <c r="E97" t="s">
        <v>709</v>
      </c>
      <c r="F97" s="48">
        <v>2166.7199999999998</v>
      </c>
      <c r="G97" t="s">
        <v>1326</v>
      </c>
    </row>
    <row r="98" spans="1:7" x14ac:dyDescent="0.25">
      <c r="A98">
        <v>97</v>
      </c>
      <c r="B98" s="1">
        <v>43663</v>
      </c>
      <c r="C98" t="s">
        <v>974</v>
      </c>
      <c r="D98" t="s">
        <v>105</v>
      </c>
      <c r="E98" t="s">
        <v>689</v>
      </c>
      <c r="F98" s="48">
        <v>7.2</v>
      </c>
      <c r="G98" t="s">
        <v>1326</v>
      </c>
    </row>
    <row r="99" spans="1:7" x14ac:dyDescent="0.25">
      <c r="A99">
        <v>98</v>
      </c>
      <c r="B99" s="1">
        <v>43663</v>
      </c>
      <c r="C99" t="s">
        <v>974</v>
      </c>
      <c r="D99" t="s">
        <v>105</v>
      </c>
      <c r="E99" t="s">
        <v>689</v>
      </c>
      <c r="F99" s="48">
        <v>2.7839999999999998</v>
      </c>
      <c r="G99" t="s">
        <v>1326</v>
      </c>
    </row>
    <row r="100" spans="1:7" x14ac:dyDescent="0.25">
      <c r="A100">
        <v>99</v>
      </c>
      <c r="B100" s="1">
        <v>43668</v>
      </c>
      <c r="C100" t="s">
        <v>974</v>
      </c>
      <c r="D100" t="s">
        <v>105</v>
      </c>
      <c r="E100" t="s">
        <v>689</v>
      </c>
      <c r="F100" s="48">
        <v>6.1199999999999992</v>
      </c>
      <c r="G100" t="s">
        <v>1326</v>
      </c>
    </row>
    <row r="101" spans="1:7" hidden="1" x14ac:dyDescent="0.25">
      <c r="A101">
        <v>100</v>
      </c>
      <c r="B101" s="1">
        <v>43669</v>
      </c>
      <c r="C101" t="s">
        <v>1055</v>
      </c>
      <c r="D101" t="s">
        <v>708</v>
      </c>
      <c r="E101" t="s">
        <v>709</v>
      </c>
      <c r="F101" s="48">
        <v>2000</v>
      </c>
      <c r="G101" t="s">
        <v>1326</v>
      </c>
    </row>
    <row r="102" spans="1:7" x14ac:dyDescent="0.25">
      <c r="A102">
        <v>101</v>
      </c>
      <c r="B102" s="1">
        <v>43669</v>
      </c>
      <c r="C102" t="s">
        <v>1029</v>
      </c>
      <c r="D102" t="s">
        <v>105</v>
      </c>
      <c r="E102" t="s">
        <v>689</v>
      </c>
      <c r="F102" s="48">
        <v>79.2</v>
      </c>
      <c r="G102" t="s">
        <v>1326</v>
      </c>
    </row>
    <row r="103" spans="1:7" x14ac:dyDescent="0.25">
      <c r="A103">
        <v>102</v>
      </c>
      <c r="B103" s="1">
        <v>43670</v>
      </c>
      <c r="C103" t="s">
        <v>974</v>
      </c>
      <c r="D103" t="s">
        <v>105</v>
      </c>
      <c r="E103" t="s">
        <v>689</v>
      </c>
      <c r="F103" s="48">
        <v>2.88</v>
      </c>
      <c r="G103" t="s">
        <v>1326</v>
      </c>
    </row>
    <row r="104" spans="1:7" x14ac:dyDescent="0.25">
      <c r="A104">
        <v>103</v>
      </c>
      <c r="B104" s="1">
        <v>43600</v>
      </c>
      <c r="C104" t="s">
        <v>1058</v>
      </c>
      <c r="D104" t="s">
        <v>105</v>
      </c>
      <c r="E104" t="s">
        <v>693</v>
      </c>
      <c r="F104" s="48">
        <v>12.705</v>
      </c>
      <c r="G104" t="s">
        <v>1328</v>
      </c>
    </row>
    <row r="105" spans="1:7" x14ac:dyDescent="0.25">
      <c r="A105">
        <v>104</v>
      </c>
      <c r="B105" s="1">
        <v>43600</v>
      </c>
      <c r="C105" t="s">
        <v>1058</v>
      </c>
      <c r="D105" t="s">
        <v>105</v>
      </c>
      <c r="E105" t="s">
        <v>693</v>
      </c>
      <c r="F105" s="48">
        <v>6.9960000000000004</v>
      </c>
      <c r="G105" t="s">
        <v>1326</v>
      </c>
    </row>
    <row r="106" spans="1:7" x14ac:dyDescent="0.25">
      <c r="A106">
        <v>105</v>
      </c>
      <c r="B106" s="1">
        <v>43671</v>
      </c>
      <c r="C106" t="s">
        <v>951</v>
      </c>
      <c r="D106" t="s">
        <v>105</v>
      </c>
      <c r="E106" t="s">
        <v>691</v>
      </c>
      <c r="F106" s="48">
        <v>229.43216670928155</v>
      </c>
      <c r="G106" t="s">
        <v>1328</v>
      </c>
    </row>
    <row r="107" spans="1:7" x14ac:dyDescent="0.25">
      <c r="A107">
        <v>106</v>
      </c>
      <c r="B107" s="1">
        <v>43675</v>
      </c>
      <c r="C107" t="s">
        <v>974</v>
      </c>
      <c r="D107" t="s">
        <v>105</v>
      </c>
      <c r="E107" t="s">
        <v>689</v>
      </c>
      <c r="F107" s="48">
        <v>7.2</v>
      </c>
      <c r="G107" t="s">
        <v>1326</v>
      </c>
    </row>
    <row r="108" spans="1:7" x14ac:dyDescent="0.25">
      <c r="A108">
        <v>107</v>
      </c>
      <c r="B108" s="1">
        <v>43675</v>
      </c>
      <c r="C108" t="s">
        <v>974</v>
      </c>
      <c r="D108" t="s">
        <v>105</v>
      </c>
      <c r="E108" t="s">
        <v>689</v>
      </c>
      <c r="F108" s="48">
        <v>2.88</v>
      </c>
      <c r="G108" t="s">
        <v>1326</v>
      </c>
    </row>
    <row r="109" spans="1:7" x14ac:dyDescent="0.25">
      <c r="A109">
        <v>108</v>
      </c>
      <c r="B109" s="1">
        <v>43675</v>
      </c>
      <c r="C109" t="s">
        <v>924</v>
      </c>
      <c r="D109" t="s">
        <v>105</v>
      </c>
      <c r="E109" t="s">
        <v>705</v>
      </c>
      <c r="F109" s="48">
        <v>34.659999999999997</v>
      </c>
      <c r="G109" t="s">
        <v>1326</v>
      </c>
    </row>
    <row r="110" spans="1:7" x14ac:dyDescent="0.25">
      <c r="A110">
        <v>109</v>
      </c>
      <c r="B110" s="1">
        <v>43678</v>
      </c>
      <c r="C110" t="s">
        <v>34</v>
      </c>
      <c r="D110" t="s">
        <v>105</v>
      </c>
      <c r="E110" t="s">
        <v>703</v>
      </c>
      <c r="F110" s="48">
        <v>18</v>
      </c>
      <c r="G110" t="s">
        <v>1326</v>
      </c>
    </row>
    <row r="111" spans="1:7" hidden="1" x14ac:dyDescent="0.25">
      <c r="A111">
        <v>110</v>
      </c>
      <c r="B111" s="1">
        <v>43679</v>
      </c>
      <c r="C111" t="s">
        <v>1055</v>
      </c>
      <c r="D111" t="s">
        <v>708</v>
      </c>
      <c r="E111" t="s">
        <v>709</v>
      </c>
      <c r="F111" s="48">
        <v>2021.35</v>
      </c>
      <c r="G111" t="s">
        <v>1326</v>
      </c>
    </row>
    <row r="112" spans="1:7" hidden="1" x14ac:dyDescent="0.25">
      <c r="A112">
        <v>111</v>
      </c>
      <c r="B112" s="1">
        <v>43682</v>
      </c>
      <c r="C112" t="s">
        <v>1066</v>
      </c>
      <c r="D112" t="s">
        <v>708</v>
      </c>
      <c r="E112" t="s">
        <v>709</v>
      </c>
      <c r="F112" s="48">
        <v>903</v>
      </c>
      <c r="G112" t="s">
        <v>1326</v>
      </c>
    </row>
    <row r="113" spans="1:7" x14ac:dyDescent="0.25">
      <c r="A113">
        <v>112</v>
      </c>
      <c r="B113" s="1">
        <v>43684</v>
      </c>
      <c r="C113" t="s">
        <v>1017</v>
      </c>
      <c r="D113" t="s">
        <v>105</v>
      </c>
      <c r="E113" t="s">
        <v>705</v>
      </c>
      <c r="F113" s="48">
        <v>23.087999999999997</v>
      </c>
      <c r="G113" t="s">
        <v>1326</v>
      </c>
    </row>
    <row r="114" spans="1:7" x14ac:dyDescent="0.25">
      <c r="A114">
        <v>113</v>
      </c>
      <c r="B114" s="1">
        <v>43689</v>
      </c>
      <c r="C114" t="s">
        <v>1069</v>
      </c>
      <c r="D114" t="s">
        <v>105</v>
      </c>
      <c r="E114" t="s">
        <v>705</v>
      </c>
      <c r="F114" s="48">
        <v>277.70999999999998</v>
      </c>
      <c r="G114" t="s">
        <v>1326</v>
      </c>
    </row>
    <row r="115" spans="1:7" x14ac:dyDescent="0.25">
      <c r="A115">
        <v>114</v>
      </c>
      <c r="B115" s="1">
        <v>43690</v>
      </c>
      <c r="C115" t="s">
        <v>927</v>
      </c>
      <c r="D115" t="s">
        <v>105</v>
      </c>
      <c r="E115" t="s">
        <v>705</v>
      </c>
      <c r="F115" s="48">
        <v>46.92</v>
      </c>
      <c r="G115" t="s">
        <v>1327</v>
      </c>
    </row>
    <row r="116" spans="1:7" x14ac:dyDescent="0.25">
      <c r="A116">
        <v>115</v>
      </c>
      <c r="B116" s="1">
        <v>43693</v>
      </c>
      <c r="C116" t="s">
        <v>929</v>
      </c>
      <c r="D116" t="s">
        <v>105</v>
      </c>
      <c r="E116" t="s">
        <v>705</v>
      </c>
      <c r="F116" s="48">
        <v>25.680062899514191</v>
      </c>
      <c r="G116" t="s">
        <v>1326</v>
      </c>
    </row>
    <row r="117" spans="1:7" x14ac:dyDescent="0.25">
      <c r="A117">
        <v>116</v>
      </c>
      <c r="B117" s="1">
        <v>43686</v>
      </c>
      <c r="C117" t="s">
        <v>1074</v>
      </c>
      <c r="D117" t="s">
        <v>105</v>
      </c>
      <c r="E117" t="s">
        <v>704</v>
      </c>
      <c r="F117" s="48">
        <v>17.399999999999999</v>
      </c>
      <c r="G117" t="s">
        <v>1327</v>
      </c>
    </row>
    <row r="118" spans="1:7" x14ac:dyDescent="0.25">
      <c r="A118">
        <v>117</v>
      </c>
      <c r="B118" s="1">
        <v>43703</v>
      </c>
      <c r="C118" t="s">
        <v>951</v>
      </c>
      <c r="D118" t="s">
        <v>105</v>
      </c>
      <c r="E118" t="s">
        <v>691</v>
      </c>
      <c r="F118" s="48">
        <v>229.43216670928155</v>
      </c>
      <c r="G118" t="s">
        <v>1328</v>
      </c>
    </row>
    <row r="119" spans="1:7" hidden="1" x14ac:dyDescent="0.25">
      <c r="A119">
        <v>118</v>
      </c>
      <c r="B119" s="1">
        <v>43703</v>
      </c>
      <c r="C119" t="s">
        <v>933</v>
      </c>
      <c r="D119" t="s">
        <v>708</v>
      </c>
      <c r="E119" t="s">
        <v>709</v>
      </c>
      <c r="F119" s="48">
        <v>661.2</v>
      </c>
      <c r="G119" t="s">
        <v>1326</v>
      </c>
    </row>
    <row r="120" spans="1:7" x14ac:dyDescent="0.25">
      <c r="A120">
        <v>119</v>
      </c>
      <c r="B120" s="1">
        <v>43705</v>
      </c>
      <c r="C120" t="s">
        <v>1076</v>
      </c>
      <c r="D120" t="s">
        <v>105</v>
      </c>
      <c r="E120" t="s">
        <v>704</v>
      </c>
      <c r="F120" s="48">
        <v>241.1</v>
      </c>
      <c r="G120" t="s">
        <v>1327</v>
      </c>
    </row>
    <row r="121" spans="1:7" x14ac:dyDescent="0.25">
      <c r="A121">
        <v>120</v>
      </c>
      <c r="B121" s="1">
        <v>43705</v>
      </c>
      <c r="C121" t="s">
        <v>1164</v>
      </c>
      <c r="D121" t="s">
        <v>105</v>
      </c>
      <c r="E121" t="s">
        <v>691</v>
      </c>
      <c r="F121" s="48">
        <v>2219.9300000000003</v>
      </c>
      <c r="G121" t="s">
        <v>1326</v>
      </c>
    </row>
    <row r="122" spans="1:7" x14ac:dyDescent="0.25">
      <c r="A122">
        <v>121</v>
      </c>
      <c r="B122" s="1">
        <v>43705</v>
      </c>
      <c r="C122" t="s">
        <v>952</v>
      </c>
      <c r="D122" t="s">
        <v>105</v>
      </c>
      <c r="E122" t="s">
        <v>695</v>
      </c>
      <c r="F122" s="48">
        <v>4286.3</v>
      </c>
      <c r="G122" t="s">
        <v>1327</v>
      </c>
    </row>
    <row r="123" spans="1:7" x14ac:dyDescent="0.25">
      <c r="A123">
        <v>122</v>
      </c>
      <c r="B123" s="1">
        <v>43706</v>
      </c>
      <c r="C123" t="s">
        <v>961</v>
      </c>
      <c r="D123" t="s">
        <v>105</v>
      </c>
      <c r="E123" t="s">
        <v>705</v>
      </c>
      <c r="F123" s="48">
        <v>24.88</v>
      </c>
      <c r="G123" t="s">
        <v>1327</v>
      </c>
    </row>
    <row r="124" spans="1:7" x14ac:dyDescent="0.25">
      <c r="A124">
        <v>123</v>
      </c>
      <c r="B124" s="1">
        <v>43710</v>
      </c>
      <c r="C124" t="s">
        <v>952</v>
      </c>
      <c r="D124" t="s">
        <v>105</v>
      </c>
      <c r="E124" t="s">
        <v>695</v>
      </c>
      <c r="F124" s="48">
        <v>-218.03</v>
      </c>
      <c r="G124" t="s">
        <v>1327</v>
      </c>
    </row>
    <row r="125" spans="1:7" x14ac:dyDescent="0.25">
      <c r="A125">
        <v>124</v>
      </c>
      <c r="B125" s="1">
        <v>43710</v>
      </c>
      <c r="C125" t="s">
        <v>34</v>
      </c>
      <c r="D125" t="s">
        <v>105</v>
      </c>
      <c r="E125" t="s">
        <v>703</v>
      </c>
      <c r="F125" s="48">
        <v>18.600000000000001</v>
      </c>
      <c r="G125" t="s">
        <v>1326</v>
      </c>
    </row>
    <row r="126" spans="1:7" x14ac:dyDescent="0.25">
      <c r="A126">
        <v>125</v>
      </c>
      <c r="B126" s="1">
        <v>43710</v>
      </c>
      <c r="C126" t="s">
        <v>929</v>
      </c>
      <c r="D126" t="s">
        <v>105</v>
      </c>
      <c r="E126" t="s">
        <v>705</v>
      </c>
      <c r="F126" s="48">
        <v>-300.15479110201994</v>
      </c>
      <c r="G126" t="s">
        <v>1326</v>
      </c>
    </row>
    <row r="127" spans="1:7" x14ac:dyDescent="0.25">
      <c r="A127">
        <v>126</v>
      </c>
      <c r="B127" s="1">
        <v>43710</v>
      </c>
      <c r="C127" t="s">
        <v>953</v>
      </c>
      <c r="D127" t="s">
        <v>105</v>
      </c>
      <c r="E127" t="s">
        <v>705</v>
      </c>
      <c r="F127" s="48">
        <v>48.903477371516239</v>
      </c>
      <c r="G127" t="s">
        <v>1326</v>
      </c>
    </row>
    <row r="128" spans="1:7" x14ac:dyDescent="0.25">
      <c r="A128">
        <v>127</v>
      </c>
      <c r="B128" s="1">
        <v>43711</v>
      </c>
      <c r="C128" t="s">
        <v>1084</v>
      </c>
      <c r="D128" t="s">
        <v>105</v>
      </c>
      <c r="E128" t="s">
        <v>692</v>
      </c>
      <c r="F128" s="48">
        <v>85.2</v>
      </c>
      <c r="G128" t="s">
        <v>1326</v>
      </c>
    </row>
    <row r="129" spans="1:7" x14ac:dyDescent="0.25">
      <c r="A129">
        <v>128</v>
      </c>
      <c r="B129" s="1">
        <v>43712</v>
      </c>
      <c r="C129" t="s">
        <v>1085</v>
      </c>
      <c r="D129" t="s">
        <v>105</v>
      </c>
      <c r="E129" t="s">
        <v>705</v>
      </c>
      <c r="F129" s="48">
        <v>47.25</v>
      </c>
      <c r="G129" t="s">
        <v>1326</v>
      </c>
    </row>
    <row r="130" spans="1:7" hidden="1" x14ac:dyDescent="0.25">
      <c r="A130">
        <v>129</v>
      </c>
      <c r="B130" s="1">
        <v>43717</v>
      </c>
      <c r="C130" t="s">
        <v>933</v>
      </c>
      <c r="D130" t="s">
        <v>708</v>
      </c>
      <c r="E130" t="s">
        <v>709</v>
      </c>
      <c r="F130" s="48">
        <v>3250.08</v>
      </c>
      <c r="G130" t="s">
        <v>1326</v>
      </c>
    </row>
    <row r="131" spans="1:7" hidden="1" x14ac:dyDescent="0.25">
      <c r="A131">
        <v>130</v>
      </c>
      <c r="B131" s="1">
        <v>43717</v>
      </c>
      <c r="C131" t="s">
        <v>1066</v>
      </c>
      <c r="D131" t="s">
        <v>708</v>
      </c>
      <c r="E131" t="s">
        <v>709</v>
      </c>
      <c r="F131" s="48">
        <v>1722</v>
      </c>
      <c r="G131" t="s">
        <v>1326</v>
      </c>
    </row>
    <row r="132" spans="1:7" x14ac:dyDescent="0.25">
      <c r="A132">
        <v>131</v>
      </c>
      <c r="B132" s="1">
        <v>43717</v>
      </c>
      <c r="C132" t="s">
        <v>979</v>
      </c>
      <c r="D132" t="s">
        <v>105</v>
      </c>
      <c r="E132" t="s">
        <v>705</v>
      </c>
      <c r="F132" s="48">
        <v>281.57000000000005</v>
      </c>
      <c r="G132" t="s">
        <v>1326</v>
      </c>
    </row>
    <row r="133" spans="1:7" x14ac:dyDescent="0.25">
      <c r="A133">
        <v>132</v>
      </c>
      <c r="B133" s="1">
        <v>43717</v>
      </c>
      <c r="C133" t="s">
        <v>979</v>
      </c>
      <c r="D133" t="s">
        <v>105</v>
      </c>
      <c r="E133" t="s">
        <v>705</v>
      </c>
      <c r="F133" s="48">
        <v>58.391999999999996</v>
      </c>
      <c r="G133" t="s">
        <v>1326</v>
      </c>
    </row>
    <row r="134" spans="1:7" x14ac:dyDescent="0.25">
      <c r="A134">
        <v>133</v>
      </c>
      <c r="B134" s="1">
        <v>43717</v>
      </c>
      <c r="C134" t="s">
        <v>974</v>
      </c>
      <c r="D134" t="s">
        <v>105</v>
      </c>
      <c r="E134" t="s">
        <v>689</v>
      </c>
      <c r="F134" s="48">
        <v>7.44</v>
      </c>
      <c r="G134" t="s">
        <v>1326</v>
      </c>
    </row>
    <row r="135" spans="1:7" x14ac:dyDescent="0.25">
      <c r="A135">
        <v>134</v>
      </c>
      <c r="B135" s="1">
        <v>43719</v>
      </c>
      <c r="C135" t="s">
        <v>1017</v>
      </c>
      <c r="D135" t="s">
        <v>105</v>
      </c>
      <c r="E135" t="s">
        <v>703</v>
      </c>
      <c r="F135" s="48">
        <v>23.087999999999997</v>
      </c>
      <c r="G135" t="s">
        <v>1326</v>
      </c>
    </row>
    <row r="136" spans="1:7" x14ac:dyDescent="0.25">
      <c r="A136">
        <v>135</v>
      </c>
      <c r="B136" s="1">
        <v>43720</v>
      </c>
      <c r="C136" t="s">
        <v>927</v>
      </c>
      <c r="D136" t="s">
        <v>105</v>
      </c>
      <c r="E136" t="s">
        <v>705</v>
      </c>
      <c r="F136" s="48">
        <v>46.92</v>
      </c>
      <c r="G136" t="s">
        <v>1327</v>
      </c>
    </row>
    <row r="137" spans="1:7" x14ac:dyDescent="0.25">
      <c r="A137">
        <v>136</v>
      </c>
      <c r="B137" s="1">
        <v>43720</v>
      </c>
      <c r="C137" t="s">
        <v>974</v>
      </c>
      <c r="D137" t="s">
        <v>105</v>
      </c>
      <c r="E137" t="s">
        <v>689</v>
      </c>
      <c r="F137" s="48">
        <v>5.1959999999999997</v>
      </c>
      <c r="G137" t="s">
        <v>1326</v>
      </c>
    </row>
    <row r="138" spans="1:7" x14ac:dyDescent="0.25">
      <c r="A138">
        <v>137</v>
      </c>
      <c r="B138" s="1">
        <v>43718</v>
      </c>
      <c r="C138" t="s">
        <v>974</v>
      </c>
      <c r="D138" t="s">
        <v>105</v>
      </c>
      <c r="E138" t="s">
        <v>689</v>
      </c>
      <c r="F138" s="48">
        <v>2.6040000000000001</v>
      </c>
      <c r="G138" t="s">
        <v>1326</v>
      </c>
    </row>
    <row r="139" spans="1:7" x14ac:dyDescent="0.25">
      <c r="A139">
        <v>138</v>
      </c>
      <c r="B139" s="1">
        <v>43721</v>
      </c>
      <c r="C139" t="s">
        <v>974</v>
      </c>
      <c r="D139" t="s">
        <v>105</v>
      </c>
      <c r="E139" t="s">
        <v>689</v>
      </c>
      <c r="F139" s="48">
        <v>5.2439999999999998</v>
      </c>
      <c r="G139" t="s">
        <v>1326</v>
      </c>
    </row>
    <row r="140" spans="1:7" x14ac:dyDescent="0.25">
      <c r="A140">
        <v>139</v>
      </c>
      <c r="B140" s="1">
        <v>43724</v>
      </c>
      <c r="C140" t="s">
        <v>1096</v>
      </c>
      <c r="D140" t="s">
        <v>105</v>
      </c>
      <c r="E140" t="s">
        <v>705</v>
      </c>
      <c r="F140" s="48">
        <v>184.99000000000004</v>
      </c>
      <c r="G140" t="s">
        <v>1326</v>
      </c>
    </row>
    <row r="141" spans="1:7" x14ac:dyDescent="0.25">
      <c r="A141">
        <v>140</v>
      </c>
      <c r="B141" s="1">
        <v>43721</v>
      </c>
      <c r="C141" t="s">
        <v>979</v>
      </c>
      <c r="D141" t="s">
        <v>105</v>
      </c>
      <c r="E141" t="s">
        <v>705</v>
      </c>
      <c r="F141" s="48">
        <v>38.147999999999996</v>
      </c>
      <c r="G141" t="s">
        <v>1326</v>
      </c>
    </row>
    <row r="142" spans="1:7" x14ac:dyDescent="0.25">
      <c r="A142">
        <v>141</v>
      </c>
      <c r="B142" s="1">
        <v>43726</v>
      </c>
      <c r="C142" t="s">
        <v>979</v>
      </c>
      <c r="D142" t="s">
        <v>105</v>
      </c>
      <c r="E142" t="s">
        <v>705</v>
      </c>
      <c r="F142" s="48">
        <v>-38.147999999999996</v>
      </c>
      <c r="G142" t="s">
        <v>1326</v>
      </c>
    </row>
    <row r="143" spans="1:7" x14ac:dyDescent="0.25">
      <c r="A143">
        <v>142</v>
      </c>
      <c r="B143" s="1">
        <v>43724</v>
      </c>
      <c r="C143" t="s">
        <v>1099</v>
      </c>
      <c r="D143" t="s">
        <v>105</v>
      </c>
      <c r="E143" t="s">
        <v>705</v>
      </c>
      <c r="F143" s="48">
        <v>489.99599999999998</v>
      </c>
      <c r="G143" t="s">
        <v>1326</v>
      </c>
    </row>
    <row r="144" spans="1:7" x14ac:dyDescent="0.25">
      <c r="A144">
        <v>143</v>
      </c>
      <c r="B144" s="1">
        <v>43724</v>
      </c>
      <c r="C144" t="s">
        <v>929</v>
      </c>
      <c r="D144" t="s">
        <v>105</v>
      </c>
      <c r="E144" t="s">
        <v>705</v>
      </c>
      <c r="F144" s="48">
        <v>3.9341344924571722</v>
      </c>
      <c r="G144" t="s">
        <v>1326</v>
      </c>
    </row>
    <row r="145" spans="1:7" x14ac:dyDescent="0.25">
      <c r="A145">
        <v>144</v>
      </c>
      <c r="B145" s="1">
        <v>43703</v>
      </c>
      <c r="C145" t="s">
        <v>953</v>
      </c>
      <c r="D145" t="s">
        <v>105</v>
      </c>
      <c r="E145" t="s">
        <v>705</v>
      </c>
      <c r="F145" s="48">
        <v>8.0485834824852986</v>
      </c>
      <c r="G145" t="s">
        <v>1326</v>
      </c>
    </row>
    <row r="146" spans="1:7" x14ac:dyDescent="0.25">
      <c r="A146">
        <v>145</v>
      </c>
      <c r="B146" s="1">
        <v>43727</v>
      </c>
      <c r="C146" t="s">
        <v>979</v>
      </c>
      <c r="D146" t="s">
        <v>105</v>
      </c>
      <c r="E146" t="s">
        <v>705</v>
      </c>
      <c r="F146" s="48">
        <v>110.92</v>
      </c>
      <c r="G146" t="s">
        <v>1326</v>
      </c>
    </row>
    <row r="147" spans="1:7" x14ac:dyDescent="0.25">
      <c r="A147">
        <v>146</v>
      </c>
      <c r="B147" s="1">
        <v>43727</v>
      </c>
      <c r="C147" t="s">
        <v>974</v>
      </c>
      <c r="D147" t="s">
        <v>105</v>
      </c>
      <c r="E147" t="s">
        <v>689</v>
      </c>
      <c r="F147" s="48">
        <v>2.448</v>
      </c>
      <c r="G147" t="s">
        <v>1326</v>
      </c>
    </row>
    <row r="148" spans="1:7" x14ac:dyDescent="0.25">
      <c r="A148">
        <v>147</v>
      </c>
      <c r="B148" s="1">
        <v>43727</v>
      </c>
      <c r="C148" t="s">
        <v>979</v>
      </c>
      <c r="D148" t="s">
        <v>105</v>
      </c>
      <c r="E148" t="s">
        <v>705</v>
      </c>
      <c r="F148" s="48">
        <v>29.12</v>
      </c>
      <c r="G148" t="s">
        <v>1327</v>
      </c>
    </row>
    <row r="149" spans="1:7" x14ac:dyDescent="0.25">
      <c r="A149">
        <v>148</v>
      </c>
      <c r="B149" s="1">
        <v>43728</v>
      </c>
      <c r="C149" t="s">
        <v>979</v>
      </c>
      <c r="D149" t="s">
        <v>105</v>
      </c>
      <c r="E149" t="s">
        <v>705</v>
      </c>
      <c r="F149" s="48">
        <v>212.98</v>
      </c>
      <c r="G149" t="s">
        <v>1327</v>
      </c>
    </row>
    <row r="150" spans="1:7" x14ac:dyDescent="0.25">
      <c r="A150">
        <v>149</v>
      </c>
      <c r="B150" s="1">
        <v>43731</v>
      </c>
      <c r="C150" t="s">
        <v>1032</v>
      </c>
      <c r="D150" t="s">
        <v>105</v>
      </c>
      <c r="E150" t="s">
        <v>705</v>
      </c>
      <c r="F150" s="48">
        <v>-9.2799999999999994</v>
      </c>
      <c r="G150" t="s">
        <v>1326</v>
      </c>
    </row>
    <row r="151" spans="1:7" x14ac:dyDescent="0.25">
      <c r="A151">
        <v>150</v>
      </c>
      <c r="B151" s="1">
        <v>43731</v>
      </c>
      <c r="C151" t="s">
        <v>974</v>
      </c>
      <c r="D151" t="s">
        <v>105</v>
      </c>
      <c r="E151" t="s">
        <v>689</v>
      </c>
      <c r="F151" s="48">
        <v>7.7519999999999998</v>
      </c>
      <c r="G151" t="s">
        <v>1326</v>
      </c>
    </row>
    <row r="152" spans="1:7" x14ac:dyDescent="0.25">
      <c r="A152">
        <v>151</v>
      </c>
      <c r="B152" s="1">
        <v>43731</v>
      </c>
      <c r="C152" t="s">
        <v>1108</v>
      </c>
      <c r="D152" t="s">
        <v>105</v>
      </c>
      <c r="E152" t="s">
        <v>704</v>
      </c>
      <c r="F152" s="48">
        <v>4.8099999999999996</v>
      </c>
      <c r="G152" t="s">
        <v>1327</v>
      </c>
    </row>
    <row r="153" spans="1:7" x14ac:dyDescent="0.25">
      <c r="A153">
        <v>152</v>
      </c>
      <c r="B153" s="1">
        <v>43731</v>
      </c>
      <c r="C153" t="s">
        <v>1119</v>
      </c>
      <c r="D153" t="s">
        <v>105</v>
      </c>
      <c r="E153" t="s">
        <v>705</v>
      </c>
      <c r="F153" s="48">
        <v>570</v>
      </c>
      <c r="G153" t="s">
        <v>1326</v>
      </c>
    </row>
    <row r="154" spans="1:7" x14ac:dyDescent="0.25">
      <c r="A154">
        <v>153</v>
      </c>
      <c r="B154" s="1">
        <v>43733</v>
      </c>
      <c r="C154" t="s">
        <v>951</v>
      </c>
      <c r="D154" t="s">
        <v>105</v>
      </c>
      <c r="E154" t="s">
        <v>691</v>
      </c>
      <c r="F154" s="48">
        <v>229.43216670928155</v>
      </c>
      <c r="G154" t="s">
        <v>1328</v>
      </c>
    </row>
    <row r="155" spans="1:7" x14ac:dyDescent="0.25">
      <c r="A155">
        <v>154</v>
      </c>
      <c r="B155" s="1">
        <v>43738</v>
      </c>
      <c r="C155" t="s">
        <v>1110</v>
      </c>
      <c r="D155" t="s">
        <v>105</v>
      </c>
      <c r="E155" t="s">
        <v>705</v>
      </c>
      <c r="F155" s="48">
        <v>96</v>
      </c>
      <c r="G155" t="s">
        <v>1326</v>
      </c>
    </row>
    <row r="156" spans="1:7" x14ac:dyDescent="0.25">
      <c r="A156">
        <v>155</v>
      </c>
      <c r="B156" s="1">
        <v>43738</v>
      </c>
      <c r="C156" t="s">
        <v>974</v>
      </c>
      <c r="D156" t="s">
        <v>105</v>
      </c>
      <c r="E156" t="s">
        <v>689</v>
      </c>
      <c r="F156" s="48">
        <v>8.3640000000000008</v>
      </c>
      <c r="G156" t="s">
        <v>1326</v>
      </c>
    </row>
    <row r="157" spans="1:7" x14ac:dyDescent="0.25">
      <c r="A157">
        <v>156</v>
      </c>
      <c r="B157" s="1">
        <v>43739</v>
      </c>
      <c r="C157" t="s">
        <v>1113</v>
      </c>
      <c r="D157" t="s">
        <v>105</v>
      </c>
      <c r="E157" t="s">
        <v>691</v>
      </c>
      <c r="F157" s="48">
        <v>554.928</v>
      </c>
      <c r="G157" t="s">
        <v>1326</v>
      </c>
    </row>
    <row r="158" spans="1:7" x14ac:dyDescent="0.25">
      <c r="A158">
        <v>157</v>
      </c>
      <c r="B158" s="1">
        <v>43739</v>
      </c>
      <c r="C158" t="s">
        <v>1116</v>
      </c>
      <c r="D158" t="s">
        <v>105</v>
      </c>
      <c r="E158" t="s">
        <v>703</v>
      </c>
      <c r="F158" s="48">
        <v>5.9039999999999999</v>
      </c>
      <c r="G158" t="s">
        <v>1326</v>
      </c>
    </row>
    <row r="159" spans="1:7" x14ac:dyDescent="0.25">
      <c r="A159">
        <v>158</v>
      </c>
      <c r="B159" s="1">
        <v>43740</v>
      </c>
      <c r="C159" t="s">
        <v>974</v>
      </c>
      <c r="D159" t="s">
        <v>105</v>
      </c>
      <c r="E159" t="s">
        <v>689</v>
      </c>
      <c r="F159" s="48">
        <v>6.2039999999999997</v>
      </c>
      <c r="G159" t="s">
        <v>1326</v>
      </c>
    </row>
    <row r="160" spans="1:7" x14ac:dyDescent="0.25">
      <c r="A160">
        <v>159</v>
      </c>
      <c r="B160" s="1">
        <v>43740</v>
      </c>
      <c r="C160" t="s">
        <v>974</v>
      </c>
      <c r="D160" t="s">
        <v>105</v>
      </c>
      <c r="E160" t="s">
        <v>689</v>
      </c>
      <c r="F160" s="48">
        <v>6.8159999999999998</v>
      </c>
      <c r="G160" t="s">
        <v>1326</v>
      </c>
    </row>
    <row r="161" spans="1:7" x14ac:dyDescent="0.25">
      <c r="A161">
        <v>160</v>
      </c>
      <c r="B161" s="1">
        <v>43741</v>
      </c>
      <c r="C161" t="s">
        <v>1120</v>
      </c>
      <c r="D161" t="s">
        <v>105</v>
      </c>
      <c r="E161" t="s">
        <v>705</v>
      </c>
      <c r="F161" s="48">
        <v>570</v>
      </c>
      <c r="G161" t="s">
        <v>1326</v>
      </c>
    </row>
    <row r="162" spans="1:7" x14ac:dyDescent="0.25">
      <c r="A162">
        <v>161</v>
      </c>
      <c r="B162" s="1">
        <v>43742</v>
      </c>
      <c r="C162" t="s">
        <v>34</v>
      </c>
      <c r="D162" t="s">
        <v>105</v>
      </c>
      <c r="E162" t="s">
        <v>703</v>
      </c>
      <c r="F162" s="48">
        <v>19.823999999999998</v>
      </c>
      <c r="G162" t="s">
        <v>1326</v>
      </c>
    </row>
    <row r="163" spans="1:7" x14ac:dyDescent="0.25">
      <c r="A163">
        <v>162</v>
      </c>
      <c r="B163" s="1">
        <v>43742</v>
      </c>
      <c r="C163" t="s">
        <v>1122</v>
      </c>
      <c r="D163" t="s">
        <v>105</v>
      </c>
      <c r="E163" t="s">
        <v>705</v>
      </c>
      <c r="F163" s="48">
        <v>-286.14</v>
      </c>
      <c r="G163" t="s">
        <v>1326</v>
      </c>
    </row>
    <row r="164" spans="1:7" x14ac:dyDescent="0.25">
      <c r="A164">
        <v>163</v>
      </c>
      <c r="B164" s="1">
        <v>43742</v>
      </c>
      <c r="C164" t="s">
        <v>1125</v>
      </c>
      <c r="D164" t="s">
        <v>105</v>
      </c>
      <c r="E164" t="s">
        <v>339</v>
      </c>
      <c r="F164" s="48">
        <v>242.4</v>
      </c>
      <c r="G164" t="s">
        <v>1327</v>
      </c>
    </row>
    <row r="165" spans="1:7" hidden="1" x14ac:dyDescent="0.25">
      <c r="A165">
        <v>164</v>
      </c>
      <c r="B165" s="1">
        <v>43742</v>
      </c>
      <c r="C165" t="s">
        <v>1127</v>
      </c>
      <c r="D165" t="s">
        <v>708</v>
      </c>
      <c r="E165" t="s">
        <v>709</v>
      </c>
      <c r="F165" s="48">
        <v>2016</v>
      </c>
      <c r="G165" t="s">
        <v>1326</v>
      </c>
    </row>
    <row r="166" spans="1:7" x14ac:dyDescent="0.25">
      <c r="A166">
        <v>165</v>
      </c>
      <c r="B166" s="1">
        <v>43745</v>
      </c>
      <c r="C166" t="s">
        <v>1128</v>
      </c>
      <c r="D166" t="s">
        <v>105</v>
      </c>
      <c r="E166" t="s">
        <v>705</v>
      </c>
      <c r="F166" s="48">
        <v>43.900000000000006</v>
      </c>
      <c r="G166" t="s">
        <v>1326</v>
      </c>
    </row>
    <row r="167" spans="1:7" x14ac:dyDescent="0.25">
      <c r="A167">
        <v>166</v>
      </c>
      <c r="B167" s="1">
        <v>43745</v>
      </c>
      <c r="C167" t="s">
        <v>974</v>
      </c>
      <c r="D167" t="s">
        <v>105</v>
      </c>
      <c r="E167" t="s">
        <v>689</v>
      </c>
      <c r="F167" s="48">
        <v>3.996</v>
      </c>
      <c r="G167" t="s">
        <v>1326</v>
      </c>
    </row>
    <row r="168" spans="1:7" x14ac:dyDescent="0.25">
      <c r="A168">
        <v>167</v>
      </c>
      <c r="B168" s="1">
        <v>43747</v>
      </c>
      <c r="C168" t="s">
        <v>1017</v>
      </c>
      <c r="D168" t="s">
        <v>105</v>
      </c>
      <c r="E168" t="s">
        <v>703</v>
      </c>
      <c r="F168" s="48">
        <v>23.087999999999997</v>
      </c>
      <c r="G168" t="s">
        <v>1326</v>
      </c>
    </row>
    <row r="169" spans="1:7" x14ac:dyDescent="0.25">
      <c r="A169">
        <v>168</v>
      </c>
      <c r="B169" s="1">
        <v>43749</v>
      </c>
      <c r="C169" t="s">
        <v>927</v>
      </c>
      <c r="D169" t="s">
        <v>105</v>
      </c>
      <c r="E169" t="s">
        <v>705</v>
      </c>
      <c r="F169" s="48">
        <v>46.92</v>
      </c>
      <c r="G169" t="s">
        <v>1327</v>
      </c>
    </row>
    <row r="170" spans="1:7" x14ac:dyDescent="0.25">
      <c r="A170">
        <v>169</v>
      </c>
      <c r="B170" s="1">
        <v>43749</v>
      </c>
      <c r="C170" t="s">
        <v>924</v>
      </c>
      <c r="D170" t="s">
        <v>105</v>
      </c>
      <c r="E170" t="s">
        <v>339</v>
      </c>
      <c r="F170" s="48">
        <v>14.270000000000001</v>
      </c>
      <c r="G170" t="s">
        <v>1326</v>
      </c>
    </row>
    <row r="171" spans="1:7" hidden="1" x14ac:dyDescent="0.25">
      <c r="A171">
        <v>170</v>
      </c>
      <c r="B171" s="1">
        <v>43752</v>
      </c>
      <c r="C171" t="s">
        <v>1038</v>
      </c>
      <c r="D171" t="s">
        <v>708</v>
      </c>
      <c r="E171" t="s">
        <v>709</v>
      </c>
      <c r="F171" s="48">
        <v>277.71600000000001</v>
      </c>
      <c r="G171" t="s">
        <v>1326</v>
      </c>
    </row>
    <row r="172" spans="1:7" hidden="1" x14ac:dyDescent="0.25">
      <c r="A172">
        <v>171</v>
      </c>
      <c r="B172" s="1">
        <v>43752</v>
      </c>
      <c r="C172" t="s">
        <v>983</v>
      </c>
      <c r="D172" t="s">
        <v>708</v>
      </c>
      <c r="E172" t="s">
        <v>709</v>
      </c>
      <c r="F172" s="48">
        <v>540</v>
      </c>
      <c r="G172" t="s">
        <v>1326</v>
      </c>
    </row>
    <row r="173" spans="1:7" x14ac:dyDescent="0.25">
      <c r="A173">
        <v>172</v>
      </c>
      <c r="B173" s="1">
        <v>43753</v>
      </c>
      <c r="C173" t="s">
        <v>929</v>
      </c>
      <c r="D173" t="s">
        <v>105</v>
      </c>
      <c r="E173" t="s">
        <v>705</v>
      </c>
      <c r="F173" s="48">
        <v>21.857395551009972</v>
      </c>
      <c r="G173" t="s">
        <v>1326</v>
      </c>
    </row>
    <row r="174" spans="1:7" hidden="1" x14ac:dyDescent="0.25">
      <c r="A174">
        <v>173</v>
      </c>
      <c r="B174" s="1">
        <v>43755</v>
      </c>
      <c r="C174" t="s">
        <v>933</v>
      </c>
      <c r="D174" t="s">
        <v>708</v>
      </c>
      <c r="E174" t="s">
        <v>709</v>
      </c>
      <c r="F174" s="48">
        <v>2626.5</v>
      </c>
      <c r="G174" t="s">
        <v>1326</v>
      </c>
    </row>
    <row r="175" spans="1:7" x14ac:dyDescent="0.25">
      <c r="A175">
        <v>174</v>
      </c>
      <c r="B175" s="1">
        <v>43759</v>
      </c>
      <c r="C175" t="s">
        <v>974</v>
      </c>
      <c r="D175" t="s">
        <v>105</v>
      </c>
      <c r="E175" t="s">
        <v>689</v>
      </c>
      <c r="F175" s="48">
        <v>6.1199999999999992</v>
      </c>
      <c r="G175" t="s">
        <v>1326</v>
      </c>
    </row>
    <row r="176" spans="1:7" x14ac:dyDescent="0.25">
      <c r="A176">
        <v>175</v>
      </c>
      <c r="B176" s="1">
        <v>43762</v>
      </c>
      <c r="C176" t="s">
        <v>974</v>
      </c>
      <c r="D176" t="s">
        <v>105</v>
      </c>
      <c r="E176" t="s">
        <v>689</v>
      </c>
      <c r="F176" s="48">
        <v>3.1440000000000001</v>
      </c>
      <c r="G176" t="s">
        <v>1326</v>
      </c>
    </row>
    <row r="177" spans="1:7" x14ac:dyDescent="0.25">
      <c r="A177">
        <v>176</v>
      </c>
      <c r="B177" s="1">
        <v>43762</v>
      </c>
      <c r="C177" t="s">
        <v>974</v>
      </c>
      <c r="D177" t="s">
        <v>105</v>
      </c>
      <c r="E177" t="s">
        <v>689</v>
      </c>
      <c r="F177" s="48">
        <v>2.0760000000000001</v>
      </c>
      <c r="G177" t="s">
        <v>1326</v>
      </c>
    </row>
    <row r="178" spans="1:7" x14ac:dyDescent="0.25">
      <c r="A178">
        <v>177</v>
      </c>
      <c r="B178" s="1">
        <v>43763</v>
      </c>
      <c r="C178" t="s">
        <v>951</v>
      </c>
      <c r="D178" t="s">
        <v>105</v>
      </c>
      <c r="E178" t="s">
        <v>691</v>
      </c>
      <c r="F178" s="48">
        <v>229.43216670928155</v>
      </c>
      <c r="G178" t="s">
        <v>1328</v>
      </c>
    </row>
    <row r="179" spans="1:7" x14ac:dyDescent="0.25">
      <c r="A179">
        <v>178</v>
      </c>
      <c r="B179" s="1">
        <v>43766</v>
      </c>
      <c r="C179" t="s">
        <v>974</v>
      </c>
      <c r="D179" t="s">
        <v>105</v>
      </c>
      <c r="E179" t="s">
        <v>689</v>
      </c>
      <c r="F179" s="48">
        <v>2.0760000000000001</v>
      </c>
      <c r="G179" t="s">
        <v>1326</v>
      </c>
    </row>
    <row r="180" spans="1:7" x14ac:dyDescent="0.25">
      <c r="A180">
        <v>179</v>
      </c>
      <c r="B180" s="1">
        <v>43767</v>
      </c>
      <c r="C180" t="s">
        <v>1125</v>
      </c>
      <c r="D180" t="s">
        <v>105</v>
      </c>
      <c r="E180" t="s">
        <v>705</v>
      </c>
      <c r="F180" s="48">
        <v>43.79</v>
      </c>
      <c r="G180" t="s">
        <v>1327</v>
      </c>
    </row>
    <row r="181" spans="1:7" hidden="1" x14ac:dyDescent="0.25">
      <c r="A181">
        <v>180</v>
      </c>
      <c r="B181" s="1">
        <v>43768</v>
      </c>
      <c r="C181" t="s">
        <v>1012</v>
      </c>
      <c r="D181" t="s">
        <v>708</v>
      </c>
      <c r="E181" t="s">
        <v>709</v>
      </c>
      <c r="F181" s="48">
        <v>943.5</v>
      </c>
      <c r="G181" t="s">
        <v>1326</v>
      </c>
    </row>
    <row r="182" spans="1:7" x14ac:dyDescent="0.25">
      <c r="A182">
        <v>181</v>
      </c>
      <c r="B182" s="1">
        <v>43768</v>
      </c>
      <c r="C182" t="s">
        <v>974</v>
      </c>
      <c r="D182" t="s">
        <v>105</v>
      </c>
      <c r="E182" t="s">
        <v>689</v>
      </c>
      <c r="F182" s="48">
        <v>8.2800000000000011</v>
      </c>
      <c r="G182" t="s">
        <v>1326</v>
      </c>
    </row>
    <row r="183" spans="1:7" x14ac:dyDescent="0.25">
      <c r="A183">
        <v>182</v>
      </c>
      <c r="B183" s="1">
        <v>43736</v>
      </c>
      <c r="C183" t="s">
        <v>1166</v>
      </c>
      <c r="D183" t="s">
        <v>105</v>
      </c>
      <c r="E183" t="s">
        <v>705</v>
      </c>
      <c r="F183" s="48">
        <v>19.992000000000001</v>
      </c>
      <c r="G183" t="s">
        <v>1326</v>
      </c>
    </row>
    <row r="184" spans="1:7" x14ac:dyDescent="0.25">
      <c r="A184">
        <v>183</v>
      </c>
      <c r="B184" s="1">
        <v>43656</v>
      </c>
      <c r="C184" t="s">
        <v>1168</v>
      </c>
      <c r="D184" t="s">
        <v>105</v>
      </c>
      <c r="E184" t="s">
        <v>704</v>
      </c>
      <c r="F184" s="48">
        <v>2.7</v>
      </c>
      <c r="G184" t="s">
        <v>1327</v>
      </c>
    </row>
    <row r="185" spans="1:7" x14ac:dyDescent="0.25">
      <c r="A185">
        <v>184</v>
      </c>
      <c r="B185" s="1">
        <v>43769</v>
      </c>
      <c r="C185" t="s">
        <v>34</v>
      </c>
      <c r="D185" t="s">
        <v>105</v>
      </c>
      <c r="E185" t="s">
        <v>703</v>
      </c>
      <c r="F185" s="48">
        <v>18</v>
      </c>
      <c r="G185" t="s">
        <v>1326</v>
      </c>
    </row>
    <row r="186" spans="1:7" x14ac:dyDescent="0.25">
      <c r="A186">
        <v>185</v>
      </c>
      <c r="B186" s="1">
        <v>43773</v>
      </c>
      <c r="C186" t="s">
        <v>1113</v>
      </c>
      <c r="D186" t="s">
        <v>105</v>
      </c>
      <c r="E186" t="s">
        <v>691</v>
      </c>
      <c r="F186" s="48">
        <v>554.928</v>
      </c>
      <c r="G186" t="s">
        <v>1326</v>
      </c>
    </row>
    <row r="187" spans="1:7" x14ac:dyDescent="0.25">
      <c r="A187">
        <v>186</v>
      </c>
      <c r="B187" s="1">
        <v>43773</v>
      </c>
      <c r="C187" t="s">
        <v>1152</v>
      </c>
      <c r="D187" t="s">
        <v>105</v>
      </c>
      <c r="E187" t="s">
        <v>339</v>
      </c>
      <c r="F187" s="48">
        <v>30.77</v>
      </c>
      <c r="G187" t="s">
        <v>1326</v>
      </c>
    </row>
    <row r="188" spans="1:7" x14ac:dyDescent="0.25">
      <c r="A188">
        <v>187</v>
      </c>
      <c r="B188" s="1">
        <v>43775</v>
      </c>
      <c r="C188" t="s">
        <v>1154</v>
      </c>
      <c r="D188" t="s">
        <v>105</v>
      </c>
      <c r="E188" t="s">
        <v>705</v>
      </c>
      <c r="F188" s="48">
        <v>14.000000000000002</v>
      </c>
      <c r="G188" t="s">
        <v>1326</v>
      </c>
    </row>
    <row r="189" spans="1:7" x14ac:dyDescent="0.25">
      <c r="A189">
        <v>188</v>
      </c>
      <c r="B189" s="1">
        <v>43776</v>
      </c>
      <c r="C189" t="s">
        <v>1128</v>
      </c>
      <c r="D189" t="s">
        <v>105</v>
      </c>
      <c r="E189" t="s">
        <v>705</v>
      </c>
      <c r="F189" s="48">
        <v>43.900000000000006</v>
      </c>
      <c r="G189" t="s">
        <v>1326</v>
      </c>
    </row>
    <row r="190" spans="1:7" x14ac:dyDescent="0.25">
      <c r="A190">
        <v>189</v>
      </c>
      <c r="B190" s="1">
        <v>43776</v>
      </c>
      <c r="C190" t="s">
        <v>1148</v>
      </c>
      <c r="D190" t="s">
        <v>105</v>
      </c>
      <c r="E190" t="s">
        <v>703</v>
      </c>
      <c r="F190" s="48">
        <v>23.087999999999997</v>
      </c>
      <c r="G190" t="s">
        <v>1326</v>
      </c>
    </row>
    <row r="191" spans="1:7" x14ac:dyDescent="0.25">
      <c r="A191">
        <v>190</v>
      </c>
      <c r="B191" s="1">
        <v>43776</v>
      </c>
      <c r="C191" t="s">
        <v>974</v>
      </c>
      <c r="D191" t="s">
        <v>105</v>
      </c>
      <c r="E191" t="s">
        <v>689</v>
      </c>
      <c r="F191" s="48">
        <v>3.96</v>
      </c>
      <c r="G191" t="s">
        <v>1326</v>
      </c>
    </row>
    <row r="192" spans="1:7" x14ac:dyDescent="0.25">
      <c r="A192">
        <v>191</v>
      </c>
      <c r="B192" s="1">
        <v>43777</v>
      </c>
      <c r="C192" t="s">
        <v>1110</v>
      </c>
      <c r="D192" t="s">
        <v>105</v>
      </c>
      <c r="E192" t="s">
        <v>705</v>
      </c>
      <c r="F192" s="48">
        <v>-43.20000000000001</v>
      </c>
      <c r="G192" t="s">
        <v>1326</v>
      </c>
    </row>
    <row r="193" spans="1:7" x14ac:dyDescent="0.25">
      <c r="A193">
        <v>192</v>
      </c>
      <c r="B193" s="1">
        <v>43777</v>
      </c>
      <c r="C193" t="s">
        <v>974</v>
      </c>
      <c r="D193" t="s">
        <v>105</v>
      </c>
      <c r="E193" t="s">
        <v>689</v>
      </c>
      <c r="F193" s="48">
        <v>3.24</v>
      </c>
      <c r="G193" t="s">
        <v>1326</v>
      </c>
    </row>
    <row r="194" spans="1:7" hidden="1" x14ac:dyDescent="0.25">
      <c r="A194">
        <v>193</v>
      </c>
      <c r="B194" s="1">
        <v>43781</v>
      </c>
      <c r="C194" t="s">
        <v>1127</v>
      </c>
      <c r="D194" t="s">
        <v>708</v>
      </c>
      <c r="E194" t="s">
        <v>709</v>
      </c>
      <c r="F194" s="48">
        <v>3528</v>
      </c>
      <c r="G194" t="s">
        <v>1326</v>
      </c>
    </row>
    <row r="195" spans="1:7" x14ac:dyDescent="0.25">
      <c r="A195">
        <v>194</v>
      </c>
      <c r="B195" s="1">
        <v>43782</v>
      </c>
      <c r="C195" t="s">
        <v>927</v>
      </c>
      <c r="D195" t="s">
        <v>105</v>
      </c>
      <c r="E195" t="s">
        <v>705</v>
      </c>
      <c r="F195" s="48">
        <v>48.13</v>
      </c>
      <c r="G195" t="s">
        <v>1327</v>
      </c>
    </row>
    <row r="196" spans="1:7" x14ac:dyDescent="0.25">
      <c r="A196">
        <v>195</v>
      </c>
      <c r="B196" s="1">
        <v>43784</v>
      </c>
      <c r="C196" t="s">
        <v>929</v>
      </c>
      <c r="D196" t="s">
        <v>105</v>
      </c>
      <c r="E196" t="s">
        <v>705</v>
      </c>
      <c r="F196" s="48">
        <v>21.857395551009972</v>
      </c>
      <c r="G196" t="s">
        <v>1326</v>
      </c>
    </row>
    <row r="197" spans="1:7" x14ac:dyDescent="0.25">
      <c r="A197">
        <v>196</v>
      </c>
      <c r="B197" s="1">
        <v>43784</v>
      </c>
      <c r="C197" t="s">
        <v>974</v>
      </c>
      <c r="D197" t="s">
        <v>105</v>
      </c>
      <c r="E197" t="s">
        <v>689</v>
      </c>
      <c r="F197" s="48">
        <v>4.6440000000000001</v>
      </c>
      <c r="G197" t="s">
        <v>1326</v>
      </c>
    </row>
    <row r="198" spans="1:7" x14ac:dyDescent="0.25">
      <c r="A198">
        <v>197</v>
      </c>
      <c r="B198" s="1">
        <v>43784</v>
      </c>
      <c r="C198" t="s">
        <v>974</v>
      </c>
      <c r="D198" t="s">
        <v>105</v>
      </c>
      <c r="E198" t="s">
        <v>689</v>
      </c>
      <c r="F198" s="48">
        <v>9.9239999999999995</v>
      </c>
      <c r="G198" t="s">
        <v>1326</v>
      </c>
    </row>
    <row r="199" spans="1:7" x14ac:dyDescent="0.25">
      <c r="A199">
        <v>198</v>
      </c>
      <c r="B199" s="1">
        <v>43784</v>
      </c>
      <c r="C199" t="s">
        <v>974</v>
      </c>
      <c r="D199" t="s">
        <v>105</v>
      </c>
      <c r="E199" t="s">
        <v>689</v>
      </c>
      <c r="F199" s="48">
        <v>8.6760000000000002</v>
      </c>
      <c r="G199" t="s">
        <v>1326</v>
      </c>
    </row>
    <row r="200" spans="1:7" x14ac:dyDescent="0.25">
      <c r="A200">
        <v>199</v>
      </c>
      <c r="B200" s="1">
        <v>43714</v>
      </c>
      <c r="C200" t="s">
        <v>1172</v>
      </c>
      <c r="D200" t="s">
        <v>105</v>
      </c>
      <c r="E200" t="s">
        <v>705</v>
      </c>
      <c r="F200" s="48">
        <v>114.072</v>
      </c>
      <c r="G200" t="s">
        <v>1326</v>
      </c>
    </row>
    <row r="201" spans="1:7" x14ac:dyDescent="0.25">
      <c r="A201">
        <v>200</v>
      </c>
      <c r="B201" s="1">
        <v>43787</v>
      </c>
      <c r="C201" t="s">
        <v>1096</v>
      </c>
      <c r="D201" t="s">
        <v>105</v>
      </c>
      <c r="E201" t="s">
        <v>705</v>
      </c>
      <c r="F201" s="48">
        <v>-184.99000000000004</v>
      </c>
      <c r="G201" t="s">
        <v>1326</v>
      </c>
    </row>
    <row r="202" spans="1:7" x14ac:dyDescent="0.25">
      <c r="A202">
        <v>201</v>
      </c>
      <c r="B202" s="1">
        <v>43789</v>
      </c>
      <c r="C202" t="s">
        <v>974</v>
      </c>
      <c r="D202" t="s">
        <v>105</v>
      </c>
      <c r="E202" t="s">
        <v>689</v>
      </c>
      <c r="F202" s="48">
        <v>7.3079999999999998</v>
      </c>
      <c r="G202" t="s">
        <v>1326</v>
      </c>
    </row>
    <row r="203" spans="1:7" x14ac:dyDescent="0.25">
      <c r="A203">
        <v>202</v>
      </c>
      <c r="B203" s="1">
        <v>43790</v>
      </c>
      <c r="C203" t="s">
        <v>974</v>
      </c>
      <c r="D203" t="s">
        <v>105</v>
      </c>
      <c r="E203" t="s">
        <v>689</v>
      </c>
      <c r="F203" s="48">
        <v>2.6040000000000001</v>
      </c>
      <c r="G203" t="s">
        <v>1326</v>
      </c>
    </row>
    <row r="204" spans="1:7" x14ac:dyDescent="0.25">
      <c r="A204">
        <v>203</v>
      </c>
      <c r="B204" s="1">
        <v>43790</v>
      </c>
      <c r="C204" t="s">
        <v>1176</v>
      </c>
      <c r="D204" t="s">
        <v>105</v>
      </c>
      <c r="E204" t="s">
        <v>693</v>
      </c>
      <c r="F204" s="48">
        <v>231.55200000000002</v>
      </c>
      <c r="G204" t="s">
        <v>1326</v>
      </c>
    </row>
    <row r="205" spans="1:7" x14ac:dyDescent="0.25">
      <c r="A205">
        <v>204</v>
      </c>
      <c r="B205" s="1">
        <v>43791</v>
      </c>
      <c r="C205" t="s">
        <v>974</v>
      </c>
      <c r="D205" t="s">
        <v>105</v>
      </c>
      <c r="E205" t="s">
        <v>689</v>
      </c>
      <c r="F205" s="48">
        <v>2.484</v>
      </c>
      <c r="G205" t="s">
        <v>1326</v>
      </c>
    </row>
    <row r="206" spans="1:7" x14ac:dyDescent="0.25">
      <c r="A206">
        <v>205</v>
      </c>
      <c r="B206" s="1">
        <v>43791</v>
      </c>
      <c r="C206" t="s">
        <v>1179</v>
      </c>
      <c r="D206" t="s">
        <v>105</v>
      </c>
      <c r="E206" t="s">
        <v>703</v>
      </c>
      <c r="F206" s="48">
        <v>118.8</v>
      </c>
      <c r="G206" t="s">
        <v>1326</v>
      </c>
    </row>
    <row r="207" spans="1:7" x14ac:dyDescent="0.25">
      <c r="A207">
        <v>206</v>
      </c>
      <c r="B207" s="1">
        <v>43794</v>
      </c>
      <c r="C207" t="s">
        <v>951</v>
      </c>
      <c r="D207" t="s">
        <v>105</v>
      </c>
      <c r="E207" t="s">
        <v>691</v>
      </c>
      <c r="F207" s="48">
        <v>229.43216670928155</v>
      </c>
      <c r="G207" t="s">
        <v>1328</v>
      </c>
    </row>
    <row r="208" spans="1:7" hidden="1" x14ac:dyDescent="0.25">
      <c r="A208">
        <v>207</v>
      </c>
      <c r="B208" s="1">
        <v>43795</v>
      </c>
      <c r="C208" t="s">
        <v>932</v>
      </c>
      <c r="D208" t="s">
        <v>708</v>
      </c>
      <c r="E208" t="s">
        <v>709</v>
      </c>
      <c r="F208" s="48">
        <v>1522.2</v>
      </c>
      <c r="G208" t="s">
        <v>1326</v>
      </c>
    </row>
    <row r="209" spans="1:7" hidden="1" x14ac:dyDescent="0.25">
      <c r="A209">
        <v>208</v>
      </c>
      <c r="B209" s="1">
        <v>43797</v>
      </c>
      <c r="C209" t="s">
        <v>1170</v>
      </c>
      <c r="D209" t="s">
        <v>708</v>
      </c>
      <c r="E209" t="s">
        <v>709</v>
      </c>
      <c r="F209" s="48">
        <v>624.69600000000003</v>
      </c>
      <c r="G209" t="s">
        <v>1326</v>
      </c>
    </row>
    <row r="210" spans="1:7" x14ac:dyDescent="0.25">
      <c r="A210">
        <v>209</v>
      </c>
      <c r="B210" s="1">
        <v>43797</v>
      </c>
      <c r="C210" t="s">
        <v>974</v>
      </c>
      <c r="D210" t="s">
        <v>105</v>
      </c>
      <c r="E210" t="s">
        <v>689</v>
      </c>
      <c r="F210" s="48">
        <v>6.5039999999999996</v>
      </c>
      <c r="G210" t="s">
        <v>1326</v>
      </c>
    </row>
    <row r="211" spans="1:7" x14ac:dyDescent="0.25">
      <c r="A211">
        <v>210</v>
      </c>
      <c r="B211" s="1">
        <v>43798</v>
      </c>
      <c r="C211" t="s">
        <v>941</v>
      </c>
      <c r="D211" t="s">
        <v>105</v>
      </c>
      <c r="E211" t="s">
        <v>705</v>
      </c>
      <c r="F211" s="48">
        <v>19.895999999999997</v>
      </c>
      <c r="G211" t="s">
        <v>1326</v>
      </c>
    </row>
    <row r="212" spans="1:7" x14ac:dyDescent="0.25">
      <c r="A212">
        <v>211</v>
      </c>
      <c r="B212" s="1">
        <v>43798</v>
      </c>
      <c r="C212" t="s">
        <v>961</v>
      </c>
      <c r="D212" t="s">
        <v>105</v>
      </c>
      <c r="E212" t="s">
        <v>693</v>
      </c>
      <c r="F212" s="48">
        <v>24.88</v>
      </c>
      <c r="G212" t="s">
        <v>1327</v>
      </c>
    </row>
    <row r="213" spans="1:7" x14ac:dyDescent="0.25">
      <c r="A213">
        <v>212</v>
      </c>
      <c r="B213" s="1">
        <v>43801</v>
      </c>
      <c r="C213" t="s">
        <v>952</v>
      </c>
      <c r="D213" t="s">
        <v>105</v>
      </c>
      <c r="E213" t="s">
        <v>695</v>
      </c>
      <c r="F213" s="48">
        <v>4296.6000000000004</v>
      </c>
      <c r="G213" t="s">
        <v>1327</v>
      </c>
    </row>
    <row r="214" spans="1:7" x14ac:dyDescent="0.25">
      <c r="A214">
        <v>213</v>
      </c>
      <c r="B214" s="1">
        <v>43801</v>
      </c>
      <c r="C214" t="s">
        <v>974</v>
      </c>
      <c r="D214" t="s">
        <v>105</v>
      </c>
      <c r="E214" t="s">
        <v>689</v>
      </c>
      <c r="F214" s="48">
        <v>3.72</v>
      </c>
      <c r="G214" t="s">
        <v>1326</v>
      </c>
    </row>
    <row r="215" spans="1:7" x14ac:dyDescent="0.25">
      <c r="A215">
        <v>214</v>
      </c>
      <c r="B215" s="1">
        <v>43801</v>
      </c>
      <c r="C215" t="s">
        <v>953</v>
      </c>
      <c r="D215" t="s">
        <v>105</v>
      </c>
      <c r="E215" t="s">
        <v>705</v>
      </c>
      <c r="F215" s="48">
        <v>53.822238302224491</v>
      </c>
      <c r="G215" t="s">
        <v>1326</v>
      </c>
    </row>
    <row r="216" spans="1:7" x14ac:dyDescent="0.25">
      <c r="A216">
        <v>215</v>
      </c>
      <c r="B216" s="1">
        <v>43801</v>
      </c>
      <c r="C216" t="s">
        <v>1188</v>
      </c>
      <c r="D216" t="s">
        <v>105</v>
      </c>
      <c r="E216" t="s">
        <v>705</v>
      </c>
      <c r="F216" s="48">
        <v>82.9</v>
      </c>
      <c r="G216" t="s">
        <v>1327</v>
      </c>
    </row>
    <row r="217" spans="1:7" x14ac:dyDescent="0.25">
      <c r="A217">
        <v>216</v>
      </c>
      <c r="B217" s="1">
        <v>43802</v>
      </c>
      <c r="C217" t="s">
        <v>34</v>
      </c>
      <c r="D217" t="s">
        <v>105</v>
      </c>
      <c r="E217" t="s">
        <v>703</v>
      </c>
      <c r="F217" s="48">
        <v>18</v>
      </c>
      <c r="G217" t="s">
        <v>1326</v>
      </c>
    </row>
    <row r="218" spans="1:7" hidden="1" x14ac:dyDescent="0.25">
      <c r="A218">
        <v>217</v>
      </c>
      <c r="B218" s="1">
        <v>43802</v>
      </c>
      <c r="C218" t="s">
        <v>1066</v>
      </c>
      <c r="D218" t="s">
        <v>708</v>
      </c>
      <c r="E218" t="s">
        <v>709</v>
      </c>
      <c r="F218" s="48">
        <v>4221</v>
      </c>
      <c r="G218" t="s">
        <v>1326</v>
      </c>
    </row>
    <row r="219" spans="1:7" hidden="1" x14ac:dyDescent="0.25">
      <c r="A219">
        <v>218</v>
      </c>
      <c r="B219" s="1">
        <v>43802</v>
      </c>
      <c r="C219" t="s">
        <v>1066</v>
      </c>
      <c r="D219" t="s">
        <v>708</v>
      </c>
      <c r="E219" t="s">
        <v>709</v>
      </c>
      <c r="F219" s="48">
        <v>3492</v>
      </c>
      <c r="G219" t="s">
        <v>1326</v>
      </c>
    </row>
    <row r="220" spans="1:7" x14ac:dyDescent="0.25">
      <c r="A220">
        <v>219</v>
      </c>
      <c r="B220" s="1">
        <v>43803</v>
      </c>
      <c r="C220" t="s">
        <v>1154</v>
      </c>
      <c r="D220" t="s">
        <v>105</v>
      </c>
      <c r="E220" t="s">
        <v>705</v>
      </c>
      <c r="F220" s="48">
        <v>14.000000000000002</v>
      </c>
      <c r="G220" t="s">
        <v>1326</v>
      </c>
    </row>
    <row r="221" spans="1:7" x14ac:dyDescent="0.25">
      <c r="A221">
        <v>220</v>
      </c>
      <c r="B221" s="1">
        <v>43804</v>
      </c>
      <c r="C221" t="s">
        <v>974</v>
      </c>
      <c r="D221" t="s">
        <v>105</v>
      </c>
      <c r="E221" t="s">
        <v>689</v>
      </c>
      <c r="F221" s="48">
        <v>9.8760000000000012</v>
      </c>
      <c r="G221" t="s">
        <v>1326</v>
      </c>
    </row>
    <row r="222" spans="1:7" x14ac:dyDescent="0.25">
      <c r="A222">
        <v>221</v>
      </c>
      <c r="B222" s="1">
        <v>43805</v>
      </c>
      <c r="C222" t="s">
        <v>974</v>
      </c>
      <c r="D222" t="s">
        <v>105</v>
      </c>
      <c r="E222" t="s">
        <v>689</v>
      </c>
      <c r="F222" s="48">
        <v>3.6240000000000001</v>
      </c>
      <c r="G222" t="s">
        <v>1326</v>
      </c>
    </row>
    <row r="223" spans="1:7" x14ac:dyDescent="0.25">
      <c r="A223">
        <v>222</v>
      </c>
      <c r="B223" s="1">
        <v>43805</v>
      </c>
      <c r="C223" t="s">
        <v>1128</v>
      </c>
      <c r="D223" t="s">
        <v>105</v>
      </c>
      <c r="E223" t="s">
        <v>705</v>
      </c>
      <c r="F223" s="48">
        <v>43.900000000000006</v>
      </c>
      <c r="G223" t="s">
        <v>1326</v>
      </c>
    </row>
    <row r="224" spans="1:7" hidden="1" x14ac:dyDescent="0.25">
      <c r="A224">
        <v>223</v>
      </c>
      <c r="B224" s="1">
        <v>43808</v>
      </c>
      <c r="C224" t="s">
        <v>1197</v>
      </c>
      <c r="D224" t="s">
        <v>708</v>
      </c>
      <c r="E224" t="s">
        <v>709</v>
      </c>
      <c r="F224" s="48">
        <v>318.38400000000001</v>
      </c>
      <c r="G224" t="s">
        <v>1326</v>
      </c>
    </row>
    <row r="225" spans="1:7" x14ac:dyDescent="0.25">
      <c r="A225">
        <v>224</v>
      </c>
      <c r="B225" s="1">
        <v>43810</v>
      </c>
      <c r="C225" t="s">
        <v>974</v>
      </c>
      <c r="D225" t="s">
        <v>105</v>
      </c>
      <c r="E225" t="s">
        <v>689</v>
      </c>
      <c r="F225" s="48">
        <v>12.036</v>
      </c>
      <c r="G225" t="s">
        <v>1326</v>
      </c>
    </row>
    <row r="226" spans="1:7" x14ac:dyDescent="0.25">
      <c r="A226">
        <v>225</v>
      </c>
      <c r="B226" s="1">
        <v>43810</v>
      </c>
      <c r="C226" t="s">
        <v>1148</v>
      </c>
      <c r="D226" t="s">
        <v>105</v>
      </c>
      <c r="E226" t="s">
        <v>703</v>
      </c>
      <c r="F226" s="48">
        <v>23.087999999999997</v>
      </c>
      <c r="G226" t="s">
        <v>1326</v>
      </c>
    </row>
    <row r="227" spans="1:7" x14ac:dyDescent="0.25">
      <c r="A227">
        <v>226</v>
      </c>
      <c r="B227" s="1">
        <v>43811</v>
      </c>
      <c r="C227" t="s">
        <v>1201</v>
      </c>
      <c r="D227" t="s">
        <v>105</v>
      </c>
      <c r="E227" t="s">
        <v>705</v>
      </c>
      <c r="F227" s="48">
        <v>49.42</v>
      </c>
      <c r="G227" t="s">
        <v>1327</v>
      </c>
    </row>
    <row r="228" spans="1:7" x14ac:dyDescent="0.25">
      <c r="A228">
        <v>227</v>
      </c>
      <c r="B228" s="1">
        <v>43811</v>
      </c>
      <c r="C228" t="s">
        <v>974</v>
      </c>
      <c r="D228" t="s">
        <v>105</v>
      </c>
      <c r="E228" t="s">
        <v>689</v>
      </c>
      <c r="F228" s="48">
        <v>3.1</v>
      </c>
      <c r="G228" t="s">
        <v>1326</v>
      </c>
    </row>
    <row r="229" spans="1:7" x14ac:dyDescent="0.25">
      <c r="A229">
        <v>228</v>
      </c>
      <c r="B229" s="1">
        <v>43812</v>
      </c>
      <c r="C229" t="s">
        <v>974</v>
      </c>
      <c r="D229" t="s">
        <v>105</v>
      </c>
      <c r="E229" t="s">
        <v>689</v>
      </c>
      <c r="F229" s="48">
        <v>10.8</v>
      </c>
      <c r="G229" t="s">
        <v>1326</v>
      </c>
    </row>
    <row r="230" spans="1:7" x14ac:dyDescent="0.25">
      <c r="A230">
        <v>229</v>
      </c>
      <c r="B230" s="1">
        <v>43815</v>
      </c>
      <c r="C230" t="s">
        <v>974</v>
      </c>
      <c r="D230" t="s">
        <v>105</v>
      </c>
      <c r="E230" t="s">
        <v>689</v>
      </c>
      <c r="F230" s="48">
        <v>5.4</v>
      </c>
      <c r="G230" t="s">
        <v>1326</v>
      </c>
    </row>
    <row r="231" spans="1:7" x14ac:dyDescent="0.25">
      <c r="A231">
        <v>230</v>
      </c>
      <c r="B231" s="1">
        <v>43815</v>
      </c>
      <c r="C231" t="s">
        <v>929</v>
      </c>
      <c r="D231" t="s">
        <v>105</v>
      </c>
      <c r="E231" t="s">
        <v>705</v>
      </c>
      <c r="F231" s="48">
        <v>21.857395551009972</v>
      </c>
      <c r="G231" t="s">
        <v>1326</v>
      </c>
    </row>
    <row r="232" spans="1:7" hidden="1" x14ac:dyDescent="0.25">
      <c r="A232">
        <v>231</v>
      </c>
      <c r="B232" s="1">
        <v>43817</v>
      </c>
      <c r="C232" t="s">
        <v>1127</v>
      </c>
      <c r="D232" t="s">
        <v>708</v>
      </c>
      <c r="E232" t="s">
        <v>709</v>
      </c>
      <c r="F232" s="48">
        <v>1080</v>
      </c>
      <c r="G232" t="s">
        <v>1326</v>
      </c>
    </row>
    <row r="233" spans="1:7" x14ac:dyDescent="0.25">
      <c r="A233">
        <v>232</v>
      </c>
      <c r="B233" s="1">
        <v>43818</v>
      </c>
      <c r="C233" t="s">
        <v>1110</v>
      </c>
      <c r="D233" t="s">
        <v>105</v>
      </c>
      <c r="E233" t="s">
        <v>705</v>
      </c>
      <c r="F233" s="48">
        <v>34.130000000000003</v>
      </c>
      <c r="G233" t="s">
        <v>1326</v>
      </c>
    </row>
    <row r="234" spans="1:7" x14ac:dyDescent="0.25">
      <c r="A234">
        <v>233</v>
      </c>
      <c r="B234" s="1">
        <v>43819</v>
      </c>
      <c r="C234" t="s">
        <v>974</v>
      </c>
      <c r="D234" t="s">
        <v>105</v>
      </c>
      <c r="E234" t="s">
        <v>689</v>
      </c>
      <c r="F234" s="48">
        <v>2.7839999999999998</v>
      </c>
      <c r="G234" t="s">
        <v>1326</v>
      </c>
    </row>
    <row r="235" spans="1:7" x14ac:dyDescent="0.25">
      <c r="A235">
        <v>234</v>
      </c>
      <c r="B235" s="1">
        <v>43819</v>
      </c>
      <c r="C235" t="s">
        <v>974</v>
      </c>
      <c r="D235" t="s">
        <v>105</v>
      </c>
      <c r="E235" t="s">
        <v>689</v>
      </c>
      <c r="F235" s="48">
        <v>7.2840000000000007</v>
      </c>
      <c r="G235" t="s">
        <v>1326</v>
      </c>
    </row>
    <row r="236" spans="1:7" x14ac:dyDescent="0.25">
      <c r="A236">
        <v>235</v>
      </c>
      <c r="B236" s="1">
        <v>43822</v>
      </c>
      <c r="C236" t="s">
        <v>1154</v>
      </c>
      <c r="D236" t="s">
        <v>105</v>
      </c>
      <c r="E236" t="s">
        <v>705</v>
      </c>
      <c r="F236" s="48">
        <v>24.78</v>
      </c>
      <c r="G236" t="s">
        <v>1326</v>
      </c>
    </row>
    <row r="237" spans="1:7" x14ac:dyDescent="0.25">
      <c r="A237">
        <v>236</v>
      </c>
      <c r="B237" s="1">
        <v>43822</v>
      </c>
      <c r="C237" t="s">
        <v>974</v>
      </c>
      <c r="D237" t="s">
        <v>105</v>
      </c>
      <c r="E237" t="s">
        <v>689</v>
      </c>
      <c r="F237" s="48">
        <v>2.484</v>
      </c>
      <c r="G237" t="s">
        <v>1326</v>
      </c>
    </row>
    <row r="238" spans="1:7" x14ac:dyDescent="0.25">
      <c r="A238">
        <v>237</v>
      </c>
      <c r="B238" s="1">
        <v>43826</v>
      </c>
      <c r="C238" t="s">
        <v>951</v>
      </c>
      <c r="D238" t="s">
        <v>105</v>
      </c>
      <c r="E238" t="s">
        <v>691</v>
      </c>
      <c r="F238" s="48">
        <v>229.43216670928155</v>
      </c>
      <c r="G238" t="s">
        <v>1328</v>
      </c>
    </row>
    <row r="239" spans="1:7" hidden="1" x14ac:dyDescent="0.25">
      <c r="A239">
        <v>238</v>
      </c>
      <c r="B239" s="1">
        <v>43829</v>
      </c>
      <c r="C239" t="s">
        <v>1127</v>
      </c>
      <c r="D239" t="s">
        <v>708</v>
      </c>
      <c r="E239" t="s">
        <v>709</v>
      </c>
      <c r="F239" s="48">
        <v>3360</v>
      </c>
      <c r="G239" t="s">
        <v>1326</v>
      </c>
    </row>
  </sheetData>
  <autoFilter ref="A1:G239" xr:uid="{14E14B9B-1694-4DBB-A8FE-9E75F9B47E22}">
    <filterColumn colId="3">
      <filters>
        <filter val="Ausgaben"/>
      </filters>
    </filterColumn>
  </autoFilter>
  <conditionalFormatting sqref="D1">
    <cfRule type="containsText" dxfId="2030" priority="6" operator="containsText" text="Einnahmen">
      <formula>NOT(ISERROR(SEARCH("Einnahmen",D1)))</formula>
    </cfRule>
    <cfRule type="containsText" dxfId="2029" priority="7" operator="containsText" text="Ausgaben">
      <formula>NOT(ISERROR(SEARCH("Ausgaben",D1)))</formula>
    </cfRule>
  </conditionalFormatting>
  <conditionalFormatting sqref="B1">
    <cfRule type="expression" dxfId="2028" priority="4">
      <formula>ISBLANK(#REF!)</formula>
    </cfRule>
  </conditionalFormatting>
  <pageMargins left="0.7" right="0.7" top="0.78740157499999996" bottom="0.78740157499999996" header="0.3" footer="0.3"/>
  <legacy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F7DDA-6054-4CCA-8C53-F725A4656000}">
  <sheetPr codeName="Tabelle22"/>
  <dimension ref="A1:B30"/>
  <sheetViews>
    <sheetView workbookViewId="0">
      <selection activeCell="B1" sqref="B1"/>
    </sheetView>
  </sheetViews>
  <sheetFormatPr baseColWidth="10" defaultRowHeight="15" x14ac:dyDescent="0.25"/>
  <cols>
    <col min="1" max="1" width="117" bestFit="1" customWidth="1"/>
    <col min="2" max="2" width="17.140625" bestFit="1" customWidth="1"/>
  </cols>
  <sheetData>
    <row r="1" spans="1:2" x14ac:dyDescent="0.25">
      <c r="A1" s="92" t="s">
        <v>7</v>
      </c>
      <c r="B1" t="s">
        <v>1483</v>
      </c>
    </row>
    <row r="3" spans="1:2" x14ac:dyDescent="0.25">
      <c r="A3" s="92" t="s">
        <v>1253</v>
      </c>
      <c r="B3" t="s">
        <v>1252</v>
      </c>
    </row>
    <row r="4" spans="1:2" x14ac:dyDescent="0.25">
      <c r="A4" s="6" t="s">
        <v>123</v>
      </c>
      <c r="B4" s="38">
        <v>62253.75</v>
      </c>
    </row>
    <row r="5" spans="1:2" x14ac:dyDescent="0.25">
      <c r="A5" s="6" t="s">
        <v>59</v>
      </c>
      <c r="B5" s="38">
        <v>49654.399999999994</v>
      </c>
    </row>
    <row r="6" spans="1:2" x14ac:dyDescent="0.25">
      <c r="A6" s="6" t="s">
        <v>90</v>
      </c>
      <c r="B6" s="38">
        <v>23773.66</v>
      </c>
    </row>
    <row r="7" spans="1:2" x14ac:dyDescent="0.25">
      <c r="A7" s="6" t="s">
        <v>1142</v>
      </c>
      <c r="B7" s="38">
        <v>19547.5</v>
      </c>
    </row>
    <row r="8" spans="1:2" x14ac:dyDescent="0.25">
      <c r="A8" s="6" t="s">
        <v>536</v>
      </c>
      <c r="B8" s="38">
        <v>16017.36</v>
      </c>
    </row>
    <row r="9" spans="1:2" x14ac:dyDescent="0.25">
      <c r="A9" s="6" t="s">
        <v>895</v>
      </c>
      <c r="B9" s="38">
        <v>15357.75</v>
      </c>
    </row>
    <row r="10" spans="1:2" x14ac:dyDescent="0.25">
      <c r="A10" s="6" t="s">
        <v>1012</v>
      </c>
      <c r="B10" s="38">
        <v>6354.88</v>
      </c>
    </row>
    <row r="11" spans="1:2" x14ac:dyDescent="0.25">
      <c r="A11" s="6" t="s">
        <v>930</v>
      </c>
      <c r="B11" s="38">
        <v>5988.5</v>
      </c>
    </row>
    <row r="12" spans="1:2" x14ac:dyDescent="0.25">
      <c r="A12" s="6" t="s">
        <v>1061</v>
      </c>
      <c r="B12" s="38">
        <v>3867.5</v>
      </c>
    </row>
    <row r="13" spans="1:2" x14ac:dyDescent="0.25">
      <c r="A13" s="6" t="s">
        <v>67</v>
      </c>
      <c r="B13" s="38">
        <v>3045</v>
      </c>
    </row>
    <row r="14" spans="1:2" x14ac:dyDescent="0.25">
      <c r="A14" s="6" t="s">
        <v>95</v>
      </c>
      <c r="B14" s="38">
        <v>2710</v>
      </c>
    </row>
    <row r="15" spans="1:2" x14ac:dyDescent="0.25">
      <c r="A15" s="6" t="s">
        <v>983</v>
      </c>
      <c r="B15" s="38">
        <v>1694.5</v>
      </c>
    </row>
    <row r="16" spans="1:2" x14ac:dyDescent="0.25">
      <c r="A16" s="6" t="s">
        <v>597</v>
      </c>
      <c r="B16" s="38">
        <v>1422.88</v>
      </c>
    </row>
    <row r="17" spans="1:2" x14ac:dyDescent="0.25">
      <c r="A17" s="6" t="s">
        <v>1170</v>
      </c>
      <c r="B17" s="38">
        <v>1276.58</v>
      </c>
    </row>
    <row r="18" spans="1:2" x14ac:dyDescent="0.25">
      <c r="A18" s="6" t="s">
        <v>1227</v>
      </c>
      <c r="B18" s="38">
        <v>647.5</v>
      </c>
    </row>
    <row r="19" spans="1:2" x14ac:dyDescent="0.25">
      <c r="A19" s="6" t="s">
        <v>110</v>
      </c>
      <c r="B19" s="38">
        <v>372.41999999999996</v>
      </c>
    </row>
    <row r="20" spans="1:2" x14ac:dyDescent="0.25">
      <c r="A20" s="6" t="s">
        <v>1205</v>
      </c>
      <c r="B20" s="38">
        <v>270</v>
      </c>
    </row>
    <row r="21" spans="1:2" x14ac:dyDescent="0.25">
      <c r="A21" s="6" t="s">
        <v>1186</v>
      </c>
      <c r="B21" s="38">
        <v>265.32</v>
      </c>
    </row>
    <row r="22" spans="1:2" x14ac:dyDescent="0.25">
      <c r="A22" s="6" t="s">
        <v>257</v>
      </c>
      <c r="B22" s="38">
        <v>252.5</v>
      </c>
    </row>
    <row r="23" spans="1:2" x14ac:dyDescent="0.25">
      <c r="A23" s="6" t="s">
        <v>117</v>
      </c>
      <c r="B23" s="38">
        <v>216.42000000000002</v>
      </c>
    </row>
    <row r="24" spans="1:2" x14ac:dyDescent="0.25">
      <c r="A24" s="6" t="s">
        <v>91</v>
      </c>
      <c r="B24" s="38">
        <v>154.91999999999999</v>
      </c>
    </row>
    <row r="25" spans="1:2" x14ac:dyDescent="0.25">
      <c r="A25" s="6" t="s">
        <v>896</v>
      </c>
      <c r="B25" s="38">
        <v>93.75</v>
      </c>
    </row>
    <row r="26" spans="1:2" x14ac:dyDescent="0.25">
      <c r="A26" s="6" t="s">
        <v>181</v>
      </c>
      <c r="B26" s="38">
        <v>84</v>
      </c>
    </row>
    <row r="27" spans="1:2" x14ac:dyDescent="0.25">
      <c r="A27" s="6" t="s">
        <v>338</v>
      </c>
      <c r="B27" s="38">
        <v>32.14</v>
      </c>
    </row>
    <row r="28" spans="1:2" x14ac:dyDescent="0.25">
      <c r="A28" s="6" t="s">
        <v>319</v>
      </c>
      <c r="B28" s="38">
        <v>30.42</v>
      </c>
    </row>
    <row r="29" spans="1:2" x14ac:dyDescent="0.25">
      <c r="A29" s="6" t="s">
        <v>60</v>
      </c>
      <c r="B29" s="38">
        <v>13.66</v>
      </c>
    </row>
    <row r="30" spans="1:2" x14ac:dyDescent="0.25">
      <c r="A30" s="6" t="s">
        <v>1254</v>
      </c>
      <c r="B30" s="38">
        <v>215397.31000000006</v>
      </c>
    </row>
  </sheetData>
  <pageMargins left="0.7" right="0.7" top="0.78740157499999996" bottom="0.78740157499999996"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364B6-C76A-4397-9C0A-9E9B12B107FF}">
  <sheetPr codeName="Tabelle16"/>
  <dimension ref="A1:XFC115"/>
  <sheetViews>
    <sheetView topLeftCell="D1" workbookViewId="0">
      <selection activeCell="D1" sqref="D1"/>
    </sheetView>
  </sheetViews>
  <sheetFormatPr baseColWidth="10" defaultRowHeight="15" x14ac:dyDescent="0.25"/>
  <cols>
    <col min="1" max="3" width="0" hidden="1" customWidth="1"/>
    <col min="5" max="5" width="0" hidden="1" customWidth="1"/>
    <col min="8" max="8" width="0" hidden="1" customWidth="1"/>
    <col min="11" max="11" width="14" hidden="1" customWidth="1"/>
    <col min="12" max="12" width="7.5703125" hidden="1" customWidth="1"/>
    <col min="13" max="13" width="16.42578125" hidden="1" customWidth="1"/>
    <col min="14" max="14" width="10.28515625" hidden="1" customWidth="1"/>
    <col min="17" max="17" width="9" bestFit="1" customWidth="1"/>
    <col min="18" max="18" width="16.85546875" hidden="1" customWidth="1"/>
    <col min="19" max="19" width="16.85546875" bestFit="1" customWidth="1"/>
    <col min="20" max="20" width="18.85546875" bestFit="1" customWidth="1"/>
    <col min="21" max="21" width="13" hidden="1" customWidth="1"/>
    <col min="22" max="27" width="0" hidden="1" customWidth="1"/>
  </cols>
  <sheetData>
    <row r="1" spans="1:16383" x14ac:dyDescent="0.25">
      <c r="A1" s="2" t="s">
        <v>231</v>
      </c>
      <c r="B1" s="2" t="s">
        <v>47</v>
      </c>
      <c r="C1" s="2" t="s">
        <v>681</v>
      </c>
      <c r="D1" s="2" t="s">
        <v>988</v>
      </c>
      <c r="E1" s="8" t="s">
        <v>0</v>
      </c>
      <c r="F1" s="2" t="s">
        <v>7</v>
      </c>
      <c r="G1" s="2" t="s">
        <v>616</v>
      </c>
      <c r="H1" s="15" t="s">
        <v>180</v>
      </c>
      <c r="I1" s="15" t="s">
        <v>706</v>
      </c>
      <c r="J1" s="15" t="s">
        <v>682</v>
      </c>
      <c r="K1" s="15" t="s">
        <v>540</v>
      </c>
      <c r="L1" s="2" t="s">
        <v>177</v>
      </c>
      <c r="M1" s="11" t="s">
        <v>219</v>
      </c>
      <c r="N1" s="52" t="s">
        <v>36</v>
      </c>
      <c r="O1" s="28" t="s">
        <v>218</v>
      </c>
      <c r="P1" s="28" t="s">
        <v>989</v>
      </c>
      <c r="Q1" s="26" t="s">
        <v>9</v>
      </c>
      <c r="R1" s="30" t="s">
        <v>25</v>
      </c>
      <c r="S1" s="30" t="s">
        <v>216</v>
      </c>
      <c r="T1" s="32" t="s">
        <v>217</v>
      </c>
      <c r="U1" s="28" t="s">
        <v>419</v>
      </c>
      <c r="V1" s="34" t="s">
        <v>46</v>
      </c>
      <c r="W1" s="26" t="s">
        <v>45</v>
      </c>
      <c r="X1" s="26" t="s">
        <v>211</v>
      </c>
      <c r="Y1" s="57" t="s">
        <v>215</v>
      </c>
      <c r="Z1" s="26" t="s">
        <v>214</v>
      </c>
      <c r="AA1" s="2" t="s">
        <v>388</v>
      </c>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c r="AMK1" s="2"/>
      <c r="AML1" s="2"/>
      <c r="AMM1" s="2"/>
      <c r="AMN1" s="2"/>
      <c r="AMO1" s="2"/>
      <c r="AMP1" s="2"/>
      <c r="AMQ1" s="2"/>
      <c r="AMR1" s="2"/>
      <c r="AMS1" s="2"/>
      <c r="AMT1" s="2"/>
      <c r="AMU1" s="2"/>
      <c r="AMV1" s="2"/>
      <c r="AMW1" s="2"/>
      <c r="AMX1" s="2"/>
      <c r="AMY1" s="2"/>
      <c r="AMZ1" s="2"/>
      <c r="ANA1" s="2"/>
      <c r="ANB1" s="2"/>
      <c r="ANC1" s="2"/>
      <c r="AND1" s="2"/>
      <c r="ANE1" s="2"/>
      <c r="ANF1" s="2"/>
      <c r="ANG1" s="2"/>
      <c r="ANH1" s="2"/>
      <c r="ANI1" s="2"/>
      <c r="ANJ1" s="2"/>
      <c r="ANK1" s="2"/>
      <c r="ANL1" s="2"/>
      <c r="ANM1" s="2"/>
      <c r="ANN1" s="2"/>
      <c r="ANO1" s="2"/>
      <c r="ANP1" s="2"/>
      <c r="ANQ1" s="2"/>
      <c r="ANR1" s="2"/>
      <c r="ANS1" s="2"/>
      <c r="ANT1" s="2"/>
      <c r="ANU1" s="2"/>
      <c r="ANV1" s="2"/>
      <c r="ANW1" s="2"/>
      <c r="ANX1" s="2"/>
      <c r="ANY1" s="2"/>
      <c r="ANZ1" s="2"/>
      <c r="AOA1" s="2"/>
      <c r="AOB1" s="2"/>
      <c r="AOC1" s="2"/>
      <c r="AOD1" s="2"/>
      <c r="AOE1" s="2"/>
      <c r="AOF1" s="2"/>
      <c r="AOG1" s="2"/>
      <c r="AOH1" s="2"/>
      <c r="AOI1" s="2"/>
      <c r="AOJ1" s="2"/>
      <c r="AOK1" s="2"/>
      <c r="AOL1" s="2"/>
      <c r="AOM1" s="2"/>
      <c r="AON1" s="2"/>
      <c r="AOO1" s="2"/>
      <c r="AOP1" s="2"/>
      <c r="AOQ1" s="2"/>
      <c r="AOR1" s="2"/>
      <c r="AOS1" s="2"/>
      <c r="AOT1" s="2"/>
      <c r="AOU1" s="2"/>
      <c r="AOV1" s="2"/>
      <c r="AOW1" s="2"/>
      <c r="AOX1" s="2"/>
      <c r="AOY1" s="2"/>
      <c r="AOZ1" s="2"/>
      <c r="APA1" s="2"/>
      <c r="APB1" s="2"/>
      <c r="APC1" s="2"/>
      <c r="APD1" s="2"/>
      <c r="APE1" s="2"/>
      <c r="APF1" s="2"/>
      <c r="APG1" s="2"/>
      <c r="APH1" s="2"/>
      <c r="API1" s="2"/>
      <c r="APJ1" s="2"/>
      <c r="APK1" s="2"/>
      <c r="APL1" s="2"/>
      <c r="APM1" s="2"/>
      <c r="APN1" s="2"/>
      <c r="APO1" s="2"/>
      <c r="APP1" s="2"/>
      <c r="APQ1" s="2"/>
      <c r="APR1" s="2"/>
      <c r="APS1" s="2"/>
      <c r="APT1" s="2"/>
      <c r="APU1" s="2"/>
      <c r="APV1" s="2"/>
      <c r="APW1" s="2"/>
      <c r="APX1" s="2"/>
      <c r="APY1" s="2"/>
      <c r="APZ1" s="2"/>
      <c r="AQA1" s="2"/>
      <c r="AQB1" s="2"/>
      <c r="AQC1" s="2"/>
      <c r="AQD1" s="2"/>
      <c r="AQE1" s="2"/>
      <c r="AQF1" s="2"/>
      <c r="AQG1" s="2"/>
      <c r="AQH1" s="2"/>
      <c r="AQI1" s="2"/>
      <c r="AQJ1" s="2"/>
      <c r="AQK1" s="2"/>
      <c r="AQL1" s="2"/>
      <c r="AQM1" s="2"/>
      <c r="AQN1" s="2"/>
      <c r="AQO1" s="2"/>
      <c r="AQP1" s="2"/>
      <c r="AQQ1" s="2"/>
      <c r="AQR1" s="2"/>
      <c r="AQS1" s="2"/>
      <c r="AQT1" s="2"/>
      <c r="AQU1" s="2"/>
      <c r="AQV1" s="2"/>
      <c r="AQW1" s="2"/>
      <c r="AQX1" s="2"/>
      <c r="AQY1" s="2"/>
      <c r="AQZ1" s="2"/>
      <c r="ARA1" s="2"/>
      <c r="ARB1" s="2"/>
      <c r="ARC1" s="2"/>
      <c r="ARD1" s="2"/>
      <c r="ARE1" s="2"/>
      <c r="ARF1" s="2"/>
      <c r="ARG1" s="2"/>
      <c r="ARH1" s="2"/>
      <c r="ARI1" s="2"/>
      <c r="ARJ1" s="2"/>
      <c r="ARK1" s="2"/>
      <c r="ARL1" s="2"/>
      <c r="ARM1" s="2"/>
      <c r="ARN1" s="2"/>
      <c r="ARO1" s="2"/>
      <c r="ARP1" s="2"/>
      <c r="ARQ1" s="2"/>
      <c r="ARR1" s="2"/>
      <c r="ARS1" s="2"/>
      <c r="ART1" s="2"/>
      <c r="ARU1" s="2"/>
      <c r="ARV1" s="2"/>
      <c r="ARW1" s="2"/>
      <c r="ARX1" s="2"/>
      <c r="ARY1" s="2"/>
      <c r="ARZ1" s="2"/>
      <c r="ASA1" s="2"/>
      <c r="ASB1" s="2"/>
      <c r="ASC1" s="2"/>
      <c r="ASD1" s="2"/>
      <c r="ASE1" s="2"/>
      <c r="ASF1" s="2"/>
      <c r="ASG1" s="2"/>
      <c r="ASH1" s="2"/>
      <c r="ASI1" s="2"/>
      <c r="ASJ1" s="2"/>
      <c r="ASK1" s="2"/>
      <c r="ASL1" s="2"/>
      <c r="ASM1" s="2"/>
      <c r="ASN1" s="2"/>
      <c r="ASO1" s="2"/>
      <c r="ASP1" s="2"/>
      <c r="ASQ1" s="2"/>
      <c r="ASR1" s="2"/>
      <c r="ASS1" s="2"/>
      <c r="AST1" s="2"/>
      <c r="ASU1" s="2"/>
      <c r="ASV1" s="2"/>
      <c r="ASW1" s="2"/>
      <c r="ASX1" s="2"/>
      <c r="ASY1" s="2"/>
      <c r="ASZ1" s="2"/>
      <c r="ATA1" s="2"/>
      <c r="ATB1" s="2"/>
      <c r="ATC1" s="2"/>
      <c r="ATD1" s="2"/>
      <c r="ATE1" s="2"/>
      <c r="ATF1" s="2"/>
      <c r="ATG1" s="2"/>
      <c r="ATH1" s="2"/>
      <c r="ATI1" s="2"/>
      <c r="ATJ1" s="2"/>
      <c r="ATK1" s="2"/>
      <c r="ATL1" s="2"/>
      <c r="ATM1" s="2"/>
      <c r="ATN1" s="2"/>
      <c r="ATO1" s="2"/>
      <c r="ATP1" s="2"/>
      <c r="ATQ1" s="2"/>
      <c r="ATR1" s="2"/>
      <c r="ATS1" s="2"/>
      <c r="ATT1" s="2"/>
      <c r="ATU1" s="2"/>
      <c r="ATV1" s="2"/>
      <c r="ATW1" s="2"/>
      <c r="ATX1" s="2"/>
      <c r="ATY1" s="2"/>
      <c r="ATZ1" s="2"/>
      <c r="AUA1" s="2"/>
      <c r="AUB1" s="2"/>
      <c r="AUC1" s="2"/>
      <c r="AUD1" s="2"/>
      <c r="AUE1" s="2"/>
      <c r="AUF1" s="2"/>
      <c r="AUG1" s="2"/>
      <c r="AUH1" s="2"/>
      <c r="AUI1" s="2"/>
      <c r="AUJ1" s="2"/>
      <c r="AUK1" s="2"/>
      <c r="AUL1" s="2"/>
      <c r="AUM1" s="2"/>
      <c r="AUN1" s="2"/>
      <c r="AUO1" s="2"/>
      <c r="AUP1" s="2"/>
      <c r="AUQ1" s="2"/>
      <c r="AUR1" s="2"/>
      <c r="AUS1" s="2"/>
      <c r="AUT1" s="2"/>
      <c r="AUU1" s="2"/>
      <c r="AUV1" s="2"/>
      <c r="AUW1" s="2"/>
      <c r="AUX1" s="2"/>
      <c r="AUY1" s="2"/>
      <c r="AUZ1" s="2"/>
      <c r="AVA1" s="2"/>
      <c r="AVB1" s="2"/>
      <c r="AVC1" s="2"/>
      <c r="AVD1" s="2"/>
      <c r="AVE1" s="2"/>
      <c r="AVF1" s="2"/>
      <c r="AVG1" s="2"/>
      <c r="AVH1" s="2"/>
      <c r="AVI1" s="2"/>
      <c r="AVJ1" s="2"/>
      <c r="AVK1" s="2"/>
      <c r="AVL1" s="2"/>
      <c r="AVM1" s="2"/>
      <c r="AVN1" s="2"/>
      <c r="AVO1" s="2"/>
      <c r="AVP1" s="2"/>
      <c r="AVQ1" s="2"/>
      <c r="AVR1" s="2"/>
      <c r="AVS1" s="2"/>
      <c r="AVT1" s="2"/>
      <c r="AVU1" s="2"/>
      <c r="AVV1" s="2"/>
      <c r="AVW1" s="2"/>
      <c r="AVX1" s="2"/>
      <c r="AVY1" s="2"/>
      <c r="AVZ1" s="2"/>
      <c r="AWA1" s="2"/>
      <c r="AWB1" s="2"/>
      <c r="AWC1" s="2"/>
      <c r="AWD1" s="2"/>
      <c r="AWE1" s="2"/>
      <c r="AWF1" s="2"/>
      <c r="AWG1" s="2"/>
      <c r="AWH1" s="2"/>
      <c r="AWI1" s="2"/>
      <c r="AWJ1" s="2"/>
      <c r="AWK1" s="2"/>
      <c r="AWL1" s="2"/>
      <c r="AWM1" s="2"/>
      <c r="AWN1" s="2"/>
      <c r="AWO1" s="2"/>
      <c r="AWP1" s="2"/>
      <c r="AWQ1" s="2"/>
      <c r="AWR1" s="2"/>
      <c r="AWS1" s="2"/>
      <c r="AWT1" s="2"/>
      <c r="AWU1" s="2"/>
      <c r="AWV1" s="2"/>
      <c r="AWW1" s="2"/>
      <c r="AWX1" s="2"/>
      <c r="AWY1" s="2"/>
      <c r="AWZ1" s="2"/>
      <c r="AXA1" s="2"/>
      <c r="AXB1" s="2"/>
      <c r="AXC1" s="2"/>
      <c r="AXD1" s="2"/>
      <c r="AXE1" s="2"/>
      <c r="AXF1" s="2"/>
      <c r="AXG1" s="2"/>
      <c r="AXH1" s="2"/>
      <c r="AXI1" s="2"/>
      <c r="AXJ1" s="2"/>
      <c r="AXK1" s="2"/>
      <c r="AXL1" s="2"/>
      <c r="AXM1" s="2"/>
      <c r="AXN1" s="2"/>
      <c r="AXO1" s="2"/>
      <c r="AXP1" s="2"/>
      <c r="AXQ1" s="2"/>
      <c r="AXR1" s="2"/>
      <c r="AXS1" s="2"/>
      <c r="AXT1" s="2"/>
      <c r="AXU1" s="2"/>
      <c r="AXV1" s="2"/>
      <c r="AXW1" s="2"/>
      <c r="AXX1" s="2"/>
      <c r="AXY1" s="2"/>
      <c r="AXZ1" s="2"/>
      <c r="AYA1" s="2"/>
      <c r="AYB1" s="2"/>
      <c r="AYC1" s="2"/>
      <c r="AYD1" s="2"/>
      <c r="AYE1" s="2"/>
      <c r="AYF1" s="2"/>
      <c r="AYG1" s="2"/>
      <c r="AYH1" s="2"/>
      <c r="AYI1" s="2"/>
      <c r="AYJ1" s="2"/>
      <c r="AYK1" s="2"/>
      <c r="AYL1" s="2"/>
      <c r="AYM1" s="2"/>
      <c r="AYN1" s="2"/>
      <c r="AYO1" s="2"/>
      <c r="AYP1" s="2"/>
      <c r="AYQ1" s="2"/>
      <c r="AYR1" s="2"/>
      <c r="AYS1" s="2"/>
      <c r="AYT1" s="2"/>
      <c r="AYU1" s="2"/>
      <c r="AYV1" s="2"/>
      <c r="AYW1" s="2"/>
      <c r="AYX1" s="2"/>
      <c r="AYY1" s="2"/>
      <c r="AYZ1" s="2"/>
      <c r="AZA1" s="2"/>
      <c r="AZB1" s="2"/>
      <c r="AZC1" s="2"/>
      <c r="AZD1" s="2"/>
      <c r="AZE1" s="2"/>
      <c r="AZF1" s="2"/>
      <c r="AZG1" s="2"/>
      <c r="AZH1" s="2"/>
      <c r="AZI1" s="2"/>
      <c r="AZJ1" s="2"/>
      <c r="AZK1" s="2"/>
      <c r="AZL1" s="2"/>
      <c r="AZM1" s="2"/>
      <c r="AZN1" s="2"/>
      <c r="AZO1" s="2"/>
      <c r="AZP1" s="2"/>
      <c r="AZQ1" s="2"/>
      <c r="AZR1" s="2"/>
      <c r="AZS1" s="2"/>
      <c r="AZT1" s="2"/>
      <c r="AZU1" s="2"/>
      <c r="AZV1" s="2"/>
      <c r="AZW1" s="2"/>
      <c r="AZX1" s="2"/>
      <c r="AZY1" s="2"/>
      <c r="AZZ1" s="2"/>
      <c r="BAA1" s="2"/>
      <c r="BAB1" s="2"/>
      <c r="BAC1" s="2"/>
      <c r="BAD1" s="2"/>
      <c r="BAE1" s="2"/>
      <c r="BAF1" s="2"/>
      <c r="BAG1" s="2"/>
      <c r="BAH1" s="2"/>
      <c r="BAI1" s="2"/>
      <c r="BAJ1" s="2"/>
      <c r="BAK1" s="2"/>
      <c r="BAL1" s="2"/>
      <c r="BAM1" s="2"/>
      <c r="BAN1" s="2"/>
      <c r="BAO1" s="2"/>
      <c r="BAP1" s="2"/>
      <c r="BAQ1" s="2"/>
      <c r="BAR1" s="2"/>
      <c r="BAS1" s="2"/>
      <c r="BAT1" s="2"/>
      <c r="BAU1" s="2"/>
      <c r="BAV1" s="2"/>
      <c r="BAW1" s="2"/>
      <c r="BAX1" s="2"/>
      <c r="BAY1" s="2"/>
      <c r="BAZ1" s="2"/>
      <c r="BBA1" s="2"/>
      <c r="BBB1" s="2"/>
      <c r="BBC1" s="2"/>
      <c r="BBD1" s="2"/>
      <c r="BBE1" s="2"/>
      <c r="BBF1" s="2"/>
      <c r="BBG1" s="2"/>
      <c r="BBH1" s="2"/>
      <c r="BBI1" s="2"/>
      <c r="BBJ1" s="2"/>
      <c r="BBK1" s="2"/>
      <c r="BBL1" s="2"/>
      <c r="BBM1" s="2"/>
      <c r="BBN1" s="2"/>
      <c r="BBO1" s="2"/>
      <c r="BBP1" s="2"/>
      <c r="BBQ1" s="2"/>
      <c r="BBR1" s="2"/>
      <c r="BBS1" s="2"/>
      <c r="BBT1" s="2"/>
      <c r="BBU1" s="2"/>
      <c r="BBV1" s="2"/>
      <c r="BBW1" s="2"/>
      <c r="BBX1" s="2"/>
      <c r="BBY1" s="2"/>
      <c r="BBZ1" s="2"/>
      <c r="BCA1" s="2"/>
      <c r="BCB1" s="2"/>
      <c r="BCC1" s="2"/>
      <c r="BCD1" s="2"/>
      <c r="BCE1" s="2"/>
      <c r="BCF1" s="2"/>
      <c r="BCG1" s="2"/>
      <c r="BCH1" s="2"/>
      <c r="BCI1" s="2"/>
      <c r="BCJ1" s="2"/>
      <c r="BCK1" s="2"/>
      <c r="BCL1" s="2"/>
      <c r="BCM1" s="2"/>
      <c r="BCN1" s="2"/>
      <c r="BCO1" s="2"/>
      <c r="BCP1" s="2"/>
      <c r="BCQ1" s="2"/>
      <c r="BCR1" s="2"/>
      <c r="BCS1" s="2"/>
      <c r="BCT1" s="2"/>
      <c r="BCU1" s="2"/>
      <c r="BCV1" s="2"/>
      <c r="BCW1" s="2"/>
      <c r="BCX1" s="2"/>
      <c r="BCY1" s="2"/>
      <c r="BCZ1" s="2"/>
      <c r="BDA1" s="2"/>
      <c r="BDB1" s="2"/>
      <c r="BDC1" s="2"/>
      <c r="BDD1" s="2"/>
      <c r="BDE1" s="2"/>
      <c r="BDF1" s="2"/>
      <c r="BDG1" s="2"/>
      <c r="BDH1" s="2"/>
      <c r="BDI1" s="2"/>
      <c r="BDJ1" s="2"/>
      <c r="BDK1" s="2"/>
      <c r="BDL1" s="2"/>
      <c r="BDM1" s="2"/>
      <c r="BDN1" s="2"/>
      <c r="BDO1" s="2"/>
      <c r="BDP1" s="2"/>
      <c r="BDQ1" s="2"/>
      <c r="BDR1" s="2"/>
      <c r="BDS1" s="2"/>
      <c r="BDT1" s="2"/>
      <c r="BDU1" s="2"/>
      <c r="BDV1" s="2"/>
      <c r="BDW1" s="2"/>
      <c r="BDX1" s="2"/>
      <c r="BDY1" s="2"/>
      <c r="BDZ1" s="2"/>
      <c r="BEA1" s="2"/>
      <c r="BEB1" s="2"/>
      <c r="BEC1" s="2"/>
      <c r="BED1" s="2"/>
      <c r="BEE1" s="2"/>
      <c r="BEF1" s="2"/>
      <c r="BEG1" s="2"/>
      <c r="BEH1" s="2"/>
      <c r="BEI1" s="2"/>
      <c r="BEJ1" s="2"/>
      <c r="BEK1" s="2"/>
      <c r="BEL1" s="2"/>
      <c r="BEM1" s="2"/>
      <c r="BEN1" s="2"/>
      <c r="BEO1" s="2"/>
      <c r="BEP1" s="2"/>
      <c r="BEQ1" s="2"/>
      <c r="BER1" s="2"/>
      <c r="BES1" s="2"/>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c r="DKL1" s="2"/>
      <c r="DKM1" s="2"/>
      <c r="DKN1" s="2"/>
      <c r="DKO1" s="2"/>
      <c r="DKP1" s="2"/>
      <c r="DKQ1" s="2"/>
      <c r="DKR1" s="2"/>
      <c r="DKS1" s="2"/>
      <c r="DKT1" s="2"/>
      <c r="DKU1" s="2"/>
      <c r="DKV1" s="2"/>
      <c r="DKW1" s="2"/>
      <c r="DKX1" s="2"/>
      <c r="DKY1" s="2"/>
      <c r="DKZ1" s="2"/>
      <c r="DLA1" s="2"/>
      <c r="DLB1" s="2"/>
      <c r="DLC1" s="2"/>
      <c r="DLD1" s="2"/>
      <c r="DLE1" s="2"/>
      <c r="DLF1" s="2"/>
      <c r="DLG1" s="2"/>
      <c r="DLH1" s="2"/>
      <c r="DLI1" s="2"/>
      <c r="DLJ1" s="2"/>
      <c r="DLK1" s="2"/>
      <c r="DLL1" s="2"/>
      <c r="DLM1" s="2"/>
      <c r="DLN1" s="2"/>
      <c r="DLO1" s="2"/>
      <c r="DLP1" s="2"/>
      <c r="DLQ1" s="2"/>
      <c r="DLR1" s="2"/>
      <c r="DLS1" s="2"/>
      <c r="DLT1" s="2"/>
      <c r="DLU1" s="2"/>
      <c r="DLV1" s="2"/>
      <c r="DLW1" s="2"/>
      <c r="DLX1" s="2"/>
      <c r="DLY1" s="2"/>
      <c r="DLZ1" s="2"/>
      <c r="DMA1" s="2"/>
      <c r="DMB1" s="2"/>
      <c r="DMC1" s="2"/>
      <c r="DMD1" s="2"/>
      <c r="DME1" s="2"/>
      <c r="DMF1" s="2"/>
      <c r="DMG1" s="2"/>
      <c r="DMH1" s="2"/>
      <c r="DMI1" s="2"/>
      <c r="DMJ1" s="2"/>
      <c r="DMK1" s="2"/>
      <c r="DML1" s="2"/>
      <c r="DMM1" s="2"/>
      <c r="DMN1" s="2"/>
      <c r="DMO1" s="2"/>
      <c r="DMP1" s="2"/>
      <c r="DMQ1" s="2"/>
      <c r="DMR1" s="2"/>
      <c r="DMS1" s="2"/>
      <c r="DMT1" s="2"/>
      <c r="DMU1" s="2"/>
      <c r="DMV1" s="2"/>
      <c r="DMW1" s="2"/>
      <c r="DMX1" s="2"/>
      <c r="DMY1" s="2"/>
      <c r="DMZ1" s="2"/>
      <c r="DNA1" s="2"/>
      <c r="DNB1" s="2"/>
      <c r="DNC1" s="2"/>
      <c r="DND1" s="2"/>
      <c r="DNE1" s="2"/>
      <c r="DNF1" s="2"/>
      <c r="DNG1" s="2"/>
      <c r="DNH1" s="2"/>
      <c r="DNI1" s="2"/>
      <c r="DNJ1" s="2"/>
      <c r="DNK1" s="2"/>
      <c r="DNL1" s="2"/>
      <c r="DNM1" s="2"/>
      <c r="DNN1" s="2"/>
      <c r="DNO1" s="2"/>
      <c r="DNP1" s="2"/>
      <c r="DNQ1" s="2"/>
      <c r="DNR1" s="2"/>
      <c r="DNS1" s="2"/>
      <c r="DNT1" s="2"/>
      <c r="DNU1" s="2"/>
      <c r="DNV1" s="2"/>
      <c r="DNW1" s="2"/>
      <c r="DNX1" s="2"/>
      <c r="DNY1" s="2"/>
      <c r="DNZ1" s="2"/>
      <c r="DOA1" s="2"/>
      <c r="DOB1" s="2"/>
      <c r="DOC1" s="2"/>
      <c r="DOD1" s="2"/>
      <c r="DOE1" s="2"/>
      <c r="DOF1" s="2"/>
      <c r="DOG1" s="2"/>
      <c r="DOH1" s="2"/>
      <c r="DOI1" s="2"/>
      <c r="DOJ1" s="2"/>
      <c r="DOK1" s="2"/>
      <c r="DOL1" s="2"/>
      <c r="DOM1" s="2"/>
      <c r="DON1" s="2"/>
      <c r="DOO1" s="2"/>
      <c r="DOP1" s="2"/>
      <c r="DOQ1" s="2"/>
      <c r="DOR1" s="2"/>
      <c r="DOS1" s="2"/>
      <c r="DOT1" s="2"/>
      <c r="DOU1" s="2"/>
      <c r="DOV1" s="2"/>
      <c r="DOW1" s="2"/>
      <c r="DOX1" s="2"/>
      <c r="DOY1" s="2"/>
      <c r="DOZ1" s="2"/>
      <c r="DPA1" s="2"/>
      <c r="DPB1" s="2"/>
      <c r="DPC1" s="2"/>
      <c r="DPD1" s="2"/>
      <c r="DPE1" s="2"/>
      <c r="DPF1" s="2"/>
      <c r="DPG1" s="2"/>
      <c r="DPH1" s="2"/>
      <c r="DPI1" s="2"/>
      <c r="DPJ1" s="2"/>
      <c r="DPK1" s="2"/>
      <c r="DPL1" s="2"/>
      <c r="DPM1" s="2"/>
      <c r="DPN1" s="2"/>
      <c r="DPO1" s="2"/>
      <c r="DPP1" s="2"/>
      <c r="DPQ1" s="2"/>
      <c r="DPR1" s="2"/>
      <c r="DPS1" s="2"/>
      <c r="DPT1" s="2"/>
      <c r="DPU1" s="2"/>
      <c r="DPV1" s="2"/>
      <c r="DPW1" s="2"/>
      <c r="DPX1" s="2"/>
      <c r="DPY1" s="2"/>
      <c r="DPZ1" s="2"/>
      <c r="DQA1" s="2"/>
      <c r="DQB1" s="2"/>
      <c r="DQC1" s="2"/>
      <c r="DQD1" s="2"/>
      <c r="DQE1" s="2"/>
      <c r="DQF1" s="2"/>
      <c r="DQG1" s="2"/>
      <c r="DQH1" s="2"/>
      <c r="DQI1" s="2"/>
      <c r="DQJ1" s="2"/>
      <c r="DQK1" s="2"/>
      <c r="DQL1" s="2"/>
      <c r="DQM1" s="2"/>
      <c r="DQN1" s="2"/>
      <c r="DQO1" s="2"/>
      <c r="DQP1" s="2"/>
      <c r="DQQ1" s="2"/>
      <c r="DQR1" s="2"/>
      <c r="DQS1" s="2"/>
      <c r="DQT1" s="2"/>
      <c r="DQU1" s="2"/>
      <c r="DQV1" s="2"/>
      <c r="DQW1" s="2"/>
      <c r="DQX1" s="2"/>
      <c r="DQY1" s="2"/>
      <c r="DQZ1" s="2"/>
      <c r="DRA1" s="2"/>
      <c r="DRB1" s="2"/>
      <c r="DRC1" s="2"/>
      <c r="DRD1" s="2"/>
      <c r="DRE1" s="2"/>
      <c r="DRF1" s="2"/>
      <c r="DRG1" s="2"/>
      <c r="DRH1" s="2"/>
      <c r="DRI1" s="2"/>
      <c r="DRJ1" s="2"/>
      <c r="DRK1" s="2"/>
      <c r="DRL1" s="2"/>
      <c r="DRM1" s="2"/>
      <c r="DRN1" s="2"/>
      <c r="DRO1" s="2"/>
      <c r="DRP1" s="2"/>
      <c r="DRQ1" s="2"/>
      <c r="DRR1" s="2"/>
      <c r="DRS1" s="2"/>
      <c r="DRT1" s="2"/>
      <c r="DRU1" s="2"/>
      <c r="DRV1" s="2"/>
      <c r="DRW1" s="2"/>
      <c r="DRX1" s="2"/>
      <c r="DRY1" s="2"/>
      <c r="DRZ1" s="2"/>
      <c r="DSA1" s="2"/>
      <c r="DSB1" s="2"/>
      <c r="DSC1" s="2"/>
      <c r="DSD1" s="2"/>
      <c r="DSE1" s="2"/>
      <c r="DSF1" s="2"/>
      <c r="DSG1" s="2"/>
      <c r="DSH1" s="2"/>
      <c r="DSI1" s="2"/>
      <c r="DSJ1" s="2"/>
      <c r="DSK1" s="2"/>
      <c r="DSL1" s="2"/>
      <c r="DSM1" s="2"/>
      <c r="DSN1" s="2"/>
      <c r="DSO1" s="2"/>
      <c r="DSP1" s="2"/>
      <c r="DSQ1" s="2"/>
      <c r="DSR1" s="2"/>
      <c r="DSS1" s="2"/>
      <c r="DST1" s="2"/>
      <c r="DSU1" s="2"/>
      <c r="DSV1" s="2"/>
      <c r="DSW1" s="2"/>
      <c r="DSX1" s="2"/>
      <c r="DSY1" s="2"/>
      <c r="DSZ1" s="2"/>
      <c r="DTA1" s="2"/>
      <c r="DTB1" s="2"/>
      <c r="DTC1" s="2"/>
      <c r="DTD1" s="2"/>
      <c r="DTE1" s="2"/>
      <c r="DTF1" s="2"/>
      <c r="DTG1" s="2"/>
      <c r="DTH1" s="2"/>
      <c r="DTI1" s="2"/>
      <c r="DTJ1" s="2"/>
      <c r="DTK1" s="2"/>
      <c r="DTL1" s="2"/>
      <c r="DTM1" s="2"/>
      <c r="DTN1" s="2"/>
      <c r="DTO1" s="2"/>
      <c r="DTP1" s="2"/>
      <c r="DTQ1" s="2"/>
      <c r="DTR1" s="2"/>
      <c r="DTS1" s="2"/>
      <c r="DTT1" s="2"/>
      <c r="DTU1" s="2"/>
      <c r="DTV1" s="2"/>
      <c r="DTW1" s="2"/>
      <c r="DTX1" s="2"/>
      <c r="DTY1" s="2"/>
      <c r="DTZ1" s="2"/>
      <c r="DUA1" s="2"/>
      <c r="DUB1" s="2"/>
      <c r="DUC1" s="2"/>
      <c r="DUD1" s="2"/>
      <c r="DUE1" s="2"/>
      <c r="DUF1" s="2"/>
      <c r="DUG1" s="2"/>
      <c r="DUH1" s="2"/>
      <c r="DUI1" s="2"/>
      <c r="DUJ1" s="2"/>
      <c r="DUK1" s="2"/>
      <c r="DUL1" s="2"/>
      <c r="DUM1" s="2"/>
      <c r="DUN1" s="2"/>
      <c r="DUO1" s="2"/>
      <c r="DUP1" s="2"/>
      <c r="DUQ1" s="2"/>
      <c r="DUR1" s="2"/>
      <c r="DUS1" s="2"/>
      <c r="DUT1" s="2"/>
      <c r="DUU1" s="2"/>
      <c r="DUV1" s="2"/>
      <c r="DUW1" s="2"/>
      <c r="DUX1" s="2"/>
      <c r="DUY1" s="2"/>
      <c r="DUZ1" s="2"/>
      <c r="DVA1" s="2"/>
      <c r="DVB1" s="2"/>
      <c r="DVC1" s="2"/>
      <c r="DVD1" s="2"/>
      <c r="DVE1" s="2"/>
      <c r="DVF1" s="2"/>
      <c r="DVG1" s="2"/>
      <c r="DVH1" s="2"/>
      <c r="DVI1" s="2"/>
      <c r="DVJ1" s="2"/>
      <c r="DVK1" s="2"/>
      <c r="DVL1" s="2"/>
      <c r="DVM1" s="2"/>
      <c r="DVN1" s="2"/>
      <c r="DVO1" s="2"/>
      <c r="DVP1" s="2"/>
      <c r="DVQ1" s="2"/>
      <c r="DVR1" s="2"/>
      <c r="DVS1" s="2"/>
      <c r="DVT1" s="2"/>
      <c r="DVU1" s="2"/>
      <c r="DVV1" s="2"/>
      <c r="DVW1" s="2"/>
      <c r="DVX1" s="2"/>
      <c r="DVY1" s="2"/>
      <c r="DVZ1" s="2"/>
      <c r="DWA1" s="2"/>
      <c r="DWB1" s="2"/>
      <c r="DWC1" s="2"/>
      <c r="DWD1" s="2"/>
      <c r="DWE1" s="2"/>
      <c r="DWF1" s="2"/>
      <c r="DWG1" s="2"/>
      <c r="DWH1" s="2"/>
      <c r="DWI1" s="2"/>
      <c r="DWJ1" s="2"/>
      <c r="DWK1" s="2"/>
      <c r="DWL1" s="2"/>
      <c r="DWM1" s="2"/>
      <c r="DWN1" s="2"/>
      <c r="DWO1" s="2"/>
      <c r="DWP1" s="2"/>
      <c r="DWQ1" s="2"/>
      <c r="DWR1" s="2"/>
      <c r="DWS1" s="2"/>
      <c r="DWT1" s="2"/>
      <c r="DWU1" s="2"/>
      <c r="DWV1" s="2"/>
      <c r="DWW1" s="2"/>
      <c r="DWX1" s="2"/>
      <c r="DWY1" s="2"/>
      <c r="DWZ1" s="2"/>
      <c r="DXA1" s="2"/>
      <c r="DXB1" s="2"/>
      <c r="DXC1" s="2"/>
      <c r="DXD1" s="2"/>
      <c r="DXE1" s="2"/>
      <c r="DXF1" s="2"/>
      <c r="DXG1" s="2"/>
      <c r="DXH1" s="2"/>
      <c r="DXI1" s="2"/>
      <c r="DXJ1" s="2"/>
      <c r="DXK1" s="2"/>
      <c r="DXL1" s="2"/>
      <c r="DXM1" s="2"/>
      <c r="DXN1" s="2"/>
      <c r="DXO1" s="2"/>
      <c r="DXP1" s="2"/>
      <c r="DXQ1" s="2"/>
      <c r="DXR1" s="2"/>
      <c r="DXS1" s="2"/>
      <c r="DXT1" s="2"/>
      <c r="DXU1" s="2"/>
      <c r="DXV1" s="2"/>
      <c r="DXW1" s="2"/>
      <c r="DXX1" s="2"/>
      <c r="DXY1" s="2"/>
      <c r="DXZ1" s="2"/>
      <c r="DYA1" s="2"/>
      <c r="DYB1" s="2"/>
      <c r="DYC1" s="2"/>
      <c r="DYD1" s="2"/>
      <c r="DYE1" s="2"/>
      <c r="DYF1" s="2"/>
      <c r="DYG1" s="2"/>
      <c r="DYH1" s="2"/>
      <c r="DYI1" s="2"/>
      <c r="DYJ1" s="2"/>
      <c r="DYK1" s="2"/>
      <c r="DYL1" s="2"/>
      <c r="DYM1" s="2"/>
      <c r="DYN1" s="2"/>
      <c r="DYO1" s="2"/>
      <c r="DYP1" s="2"/>
      <c r="DYQ1" s="2"/>
      <c r="DYR1" s="2"/>
      <c r="DYS1" s="2"/>
      <c r="DYT1" s="2"/>
      <c r="DYU1" s="2"/>
      <c r="DYV1" s="2"/>
      <c r="DYW1" s="2"/>
      <c r="DYX1" s="2"/>
      <c r="DYY1" s="2"/>
      <c r="DYZ1" s="2"/>
      <c r="DZA1" s="2"/>
      <c r="DZB1" s="2"/>
      <c r="DZC1" s="2"/>
      <c r="DZD1" s="2"/>
      <c r="DZE1" s="2"/>
      <c r="DZF1" s="2"/>
      <c r="DZG1" s="2"/>
      <c r="DZH1" s="2"/>
      <c r="DZI1" s="2"/>
      <c r="DZJ1" s="2"/>
      <c r="DZK1" s="2"/>
      <c r="DZL1" s="2"/>
      <c r="DZM1" s="2"/>
      <c r="DZN1" s="2"/>
      <c r="DZO1" s="2"/>
      <c r="DZP1" s="2"/>
      <c r="DZQ1" s="2"/>
      <c r="DZR1" s="2"/>
      <c r="DZS1" s="2"/>
      <c r="DZT1" s="2"/>
      <c r="DZU1" s="2"/>
      <c r="DZV1" s="2"/>
      <c r="DZW1" s="2"/>
      <c r="DZX1" s="2"/>
      <c r="DZY1" s="2"/>
      <c r="DZZ1" s="2"/>
      <c r="EAA1" s="2"/>
      <c r="EAB1" s="2"/>
      <c r="EAC1" s="2"/>
      <c r="EAD1" s="2"/>
      <c r="EAE1" s="2"/>
      <c r="EAF1" s="2"/>
      <c r="EAG1" s="2"/>
      <c r="EAH1" s="2"/>
      <c r="EAI1" s="2"/>
      <c r="EAJ1" s="2"/>
      <c r="EAK1" s="2"/>
      <c r="EAL1" s="2"/>
      <c r="EAM1" s="2"/>
      <c r="EAN1" s="2"/>
      <c r="EAO1" s="2"/>
      <c r="EAP1" s="2"/>
      <c r="EAQ1" s="2"/>
      <c r="EAR1" s="2"/>
      <c r="EAS1" s="2"/>
      <c r="EAT1" s="2"/>
      <c r="EAU1" s="2"/>
      <c r="EAV1" s="2"/>
      <c r="EAW1" s="2"/>
      <c r="EAX1" s="2"/>
      <c r="EAY1" s="2"/>
      <c r="EAZ1" s="2"/>
      <c r="EBA1" s="2"/>
      <c r="EBB1" s="2"/>
      <c r="EBC1" s="2"/>
      <c r="EBD1" s="2"/>
      <c r="EBE1" s="2"/>
      <c r="EBF1" s="2"/>
      <c r="EBG1" s="2"/>
      <c r="EBH1" s="2"/>
      <c r="EBI1" s="2"/>
      <c r="EBJ1" s="2"/>
      <c r="EBK1" s="2"/>
      <c r="EBL1" s="2"/>
      <c r="EBM1" s="2"/>
      <c r="EBN1" s="2"/>
      <c r="EBO1" s="2"/>
      <c r="EBP1" s="2"/>
      <c r="EBQ1" s="2"/>
      <c r="EBR1" s="2"/>
      <c r="EBS1" s="2"/>
      <c r="EBT1" s="2"/>
      <c r="EBU1" s="2"/>
      <c r="EBV1" s="2"/>
      <c r="EBW1" s="2"/>
      <c r="EBX1" s="2"/>
      <c r="EBY1" s="2"/>
      <c r="EBZ1" s="2"/>
      <c r="ECA1" s="2"/>
      <c r="ECB1" s="2"/>
      <c r="ECC1" s="2"/>
      <c r="ECD1" s="2"/>
      <c r="ECE1" s="2"/>
      <c r="ECF1" s="2"/>
      <c r="ECG1" s="2"/>
      <c r="ECH1" s="2"/>
      <c r="ECI1" s="2"/>
      <c r="ECJ1" s="2"/>
      <c r="ECK1" s="2"/>
      <c r="ECL1" s="2"/>
      <c r="ECM1" s="2"/>
      <c r="ECN1" s="2"/>
      <c r="ECO1" s="2"/>
      <c r="ECP1" s="2"/>
      <c r="ECQ1" s="2"/>
      <c r="ECR1" s="2"/>
      <c r="ECS1" s="2"/>
      <c r="ECT1" s="2"/>
      <c r="ECU1" s="2"/>
      <c r="ECV1" s="2"/>
      <c r="ECW1" s="2"/>
      <c r="ECX1" s="2"/>
      <c r="ECY1" s="2"/>
      <c r="ECZ1" s="2"/>
      <c r="EDA1" s="2"/>
      <c r="EDB1" s="2"/>
      <c r="EDC1" s="2"/>
      <c r="EDD1" s="2"/>
      <c r="EDE1" s="2"/>
      <c r="EDF1" s="2"/>
      <c r="EDG1" s="2"/>
      <c r="EDH1" s="2"/>
      <c r="EDI1" s="2"/>
      <c r="EDJ1" s="2"/>
      <c r="EDK1" s="2"/>
      <c r="EDL1" s="2"/>
      <c r="EDM1" s="2"/>
      <c r="EDN1" s="2"/>
      <c r="EDO1" s="2"/>
      <c r="EDP1" s="2"/>
      <c r="EDQ1" s="2"/>
      <c r="EDR1" s="2"/>
      <c r="EDS1" s="2"/>
      <c r="EDT1" s="2"/>
      <c r="EDU1" s="2"/>
      <c r="EDV1" s="2"/>
      <c r="EDW1" s="2"/>
      <c r="EDX1" s="2"/>
      <c r="EDY1" s="2"/>
      <c r="EDZ1" s="2"/>
      <c r="EEA1" s="2"/>
      <c r="EEB1" s="2"/>
      <c r="EEC1" s="2"/>
      <c r="EED1" s="2"/>
      <c r="EEE1" s="2"/>
      <c r="EEF1" s="2"/>
      <c r="EEG1" s="2"/>
      <c r="EEH1" s="2"/>
      <c r="EEI1" s="2"/>
      <c r="EEJ1" s="2"/>
      <c r="EEK1" s="2"/>
      <c r="EEL1" s="2"/>
      <c r="EEM1" s="2"/>
      <c r="EEN1" s="2"/>
      <c r="EEO1" s="2"/>
      <c r="EEP1" s="2"/>
      <c r="EEQ1" s="2"/>
      <c r="EER1" s="2"/>
      <c r="EES1" s="2"/>
      <c r="EET1" s="2"/>
      <c r="EEU1" s="2"/>
      <c r="EEV1" s="2"/>
      <c r="EEW1" s="2"/>
      <c r="EEX1" s="2"/>
      <c r="EEY1" s="2"/>
      <c r="EEZ1" s="2"/>
      <c r="EFA1" s="2"/>
      <c r="EFB1" s="2"/>
      <c r="EFC1" s="2"/>
      <c r="EFD1" s="2"/>
      <c r="EFE1" s="2"/>
      <c r="EFF1" s="2"/>
      <c r="EFG1" s="2"/>
      <c r="EFH1" s="2"/>
      <c r="EFI1" s="2"/>
      <c r="EFJ1" s="2"/>
      <c r="EFK1" s="2"/>
      <c r="EFL1" s="2"/>
      <c r="EFM1" s="2"/>
      <c r="EFN1" s="2"/>
      <c r="EFO1" s="2"/>
      <c r="EFP1" s="2"/>
      <c r="EFQ1" s="2"/>
      <c r="EFR1" s="2"/>
      <c r="EFS1" s="2"/>
      <c r="EFT1" s="2"/>
      <c r="EFU1" s="2"/>
      <c r="EFV1" s="2"/>
      <c r="EFW1" s="2"/>
      <c r="EFX1" s="2"/>
      <c r="EFY1" s="2"/>
      <c r="EFZ1" s="2"/>
      <c r="EGA1" s="2"/>
      <c r="EGB1" s="2"/>
      <c r="EGC1" s="2"/>
      <c r="EGD1" s="2"/>
      <c r="EGE1" s="2"/>
      <c r="EGF1" s="2"/>
      <c r="EGG1" s="2"/>
      <c r="EGH1" s="2"/>
      <c r="EGI1" s="2"/>
      <c r="EGJ1" s="2"/>
      <c r="EGK1" s="2"/>
      <c r="EGL1" s="2"/>
      <c r="EGM1" s="2"/>
      <c r="EGN1" s="2"/>
      <c r="EGO1" s="2"/>
      <c r="EGP1" s="2"/>
      <c r="EGQ1" s="2"/>
      <c r="EGR1" s="2"/>
      <c r="EGS1" s="2"/>
      <c r="EGT1" s="2"/>
      <c r="EGU1" s="2"/>
      <c r="EGV1" s="2"/>
      <c r="EGW1" s="2"/>
      <c r="EGX1" s="2"/>
      <c r="EGY1" s="2"/>
      <c r="EGZ1" s="2"/>
      <c r="EHA1" s="2"/>
      <c r="EHB1" s="2"/>
      <c r="EHC1" s="2"/>
      <c r="EHD1" s="2"/>
      <c r="EHE1" s="2"/>
      <c r="EHF1" s="2"/>
      <c r="EHG1" s="2"/>
      <c r="EHH1" s="2"/>
      <c r="EHI1" s="2"/>
      <c r="EHJ1" s="2"/>
      <c r="EHK1" s="2"/>
      <c r="EHL1" s="2"/>
      <c r="EHM1" s="2"/>
      <c r="EHN1" s="2"/>
      <c r="EHO1" s="2"/>
      <c r="EHP1" s="2"/>
      <c r="EHQ1" s="2"/>
      <c r="EHR1" s="2"/>
      <c r="EHS1" s="2"/>
      <c r="EHT1" s="2"/>
      <c r="EHU1" s="2"/>
      <c r="EHV1" s="2"/>
      <c r="EHW1" s="2"/>
      <c r="EHX1" s="2"/>
      <c r="EHY1" s="2"/>
      <c r="EHZ1" s="2"/>
      <c r="EIA1" s="2"/>
      <c r="EIB1" s="2"/>
      <c r="EIC1" s="2"/>
      <c r="EID1" s="2"/>
      <c r="EIE1" s="2"/>
      <c r="EIF1" s="2"/>
      <c r="EIG1" s="2"/>
      <c r="EIH1" s="2"/>
      <c r="EII1" s="2"/>
      <c r="EIJ1" s="2"/>
      <c r="EIK1" s="2"/>
      <c r="EIL1" s="2"/>
      <c r="EIM1" s="2"/>
      <c r="EIN1" s="2"/>
      <c r="EIO1" s="2"/>
      <c r="EIP1" s="2"/>
      <c r="EIQ1" s="2"/>
      <c r="EIR1" s="2"/>
      <c r="EIS1" s="2"/>
      <c r="EIT1" s="2"/>
      <c r="EIU1" s="2"/>
      <c r="EIV1" s="2"/>
      <c r="EIW1" s="2"/>
      <c r="EIX1" s="2"/>
      <c r="EIY1" s="2"/>
      <c r="EIZ1" s="2"/>
      <c r="EJA1" s="2"/>
      <c r="EJB1" s="2"/>
      <c r="EJC1" s="2"/>
      <c r="EJD1" s="2"/>
      <c r="EJE1" s="2"/>
      <c r="EJF1" s="2"/>
      <c r="EJG1" s="2"/>
      <c r="EJH1" s="2"/>
      <c r="EJI1" s="2"/>
      <c r="EJJ1" s="2"/>
      <c r="EJK1" s="2"/>
      <c r="EJL1" s="2"/>
      <c r="EJM1" s="2"/>
      <c r="EJN1" s="2"/>
      <c r="EJO1" s="2"/>
      <c r="EJP1" s="2"/>
      <c r="EJQ1" s="2"/>
      <c r="EJR1" s="2"/>
      <c r="EJS1" s="2"/>
      <c r="EJT1" s="2"/>
      <c r="EJU1" s="2"/>
      <c r="EJV1" s="2"/>
      <c r="EJW1" s="2"/>
      <c r="EJX1" s="2"/>
      <c r="EJY1" s="2"/>
      <c r="EJZ1" s="2"/>
      <c r="EKA1" s="2"/>
      <c r="EKB1" s="2"/>
      <c r="EKC1" s="2"/>
      <c r="EKD1" s="2"/>
      <c r="EKE1" s="2"/>
      <c r="EKF1" s="2"/>
      <c r="EKG1" s="2"/>
      <c r="EKH1" s="2"/>
      <c r="EKI1" s="2"/>
      <c r="EKJ1" s="2"/>
      <c r="EKK1" s="2"/>
      <c r="EKL1" s="2"/>
      <c r="EKM1" s="2"/>
      <c r="EKN1" s="2"/>
      <c r="EKO1" s="2"/>
      <c r="EKP1" s="2"/>
      <c r="EKQ1" s="2"/>
      <c r="EKR1" s="2"/>
      <c r="EKS1" s="2"/>
      <c r="EKT1" s="2"/>
      <c r="EKU1" s="2"/>
      <c r="EKV1" s="2"/>
      <c r="EKW1" s="2"/>
      <c r="EKX1" s="2"/>
      <c r="EKY1" s="2"/>
      <c r="EKZ1" s="2"/>
      <c r="ELA1" s="2"/>
      <c r="ELB1" s="2"/>
      <c r="ELC1" s="2"/>
      <c r="ELD1" s="2"/>
      <c r="ELE1" s="2"/>
      <c r="ELF1" s="2"/>
      <c r="ELG1" s="2"/>
      <c r="ELH1" s="2"/>
      <c r="ELI1" s="2"/>
      <c r="ELJ1" s="2"/>
      <c r="ELK1" s="2"/>
      <c r="ELL1" s="2"/>
      <c r="ELM1" s="2"/>
      <c r="ELN1" s="2"/>
      <c r="ELO1" s="2"/>
      <c r="ELP1" s="2"/>
      <c r="ELQ1" s="2"/>
      <c r="ELR1" s="2"/>
      <c r="ELS1" s="2"/>
      <c r="ELT1" s="2"/>
      <c r="ELU1" s="2"/>
      <c r="ELV1" s="2"/>
      <c r="ELW1" s="2"/>
      <c r="ELX1" s="2"/>
      <c r="ELY1" s="2"/>
      <c r="ELZ1" s="2"/>
      <c r="EMA1" s="2"/>
      <c r="EMB1" s="2"/>
      <c r="EMC1" s="2"/>
      <c r="EMD1" s="2"/>
      <c r="EME1" s="2"/>
      <c r="EMF1" s="2"/>
      <c r="EMG1" s="2"/>
      <c r="EMH1" s="2"/>
      <c r="EMI1" s="2"/>
      <c r="EMJ1" s="2"/>
      <c r="EMK1" s="2"/>
      <c r="EML1" s="2"/>
      <c r="EMM1" s="2"/>
      <c r="EMN1" s="2"/>
      <c r="EMO1" s="2"/>
      <c r="EMP1" s="2"/>
      <c r="EMQ1" s="2"/>
      <c r="EMR1" s="2"/>
      <c r="EMS1" s="2"/>
      <c r="EMT1" s="2"/>
      <c r="EMU1" s="2"/>
      <c r="EMV1" s="2"/>
      <c r="EMW1" s="2"/>
      <c r="EMX1" s="2"/>
      <c r="EMY1" s="2"/>
      <c r="EMZ1" s="2"/>
      <c r="ENA1" s="2"/>
      <c r="ENB1" s="2"/>
      <c r="ENC1" s="2"/>
      <c r="END1" s="2"/>
      <c r="ENE1" s="2"/>
      <c r="ENF1" s="2"/>
      <c r="ENG1" s="2"/>
      <c r="ENH1" s="2"/>
      <c r="ENI1" s="2"/>
      <c r="ENJ1" s="2"/>
      <c r="ENK1" s="2"/>
      <c r="ENL1" s="2"/>
      <c r="ENM1" s="2"/>
      <c r="ENN1" s="2"/>
      <c r="ENO1" s="2"/>
      <c r="ENP1" s="2"/>
      <c r="ENQ1" s="2"/>
      <c r="ENR1" s="2"/>
      <c r="ENS1" s="2"/>
      <c r="ENT1" s="2"/>
      <c r="ENU1" s="2"/>
      <c r="ENV1" s="2"/>
      <c r="ENW1" s="2"/>
      <c r="ENX1" s="2"/>
      <c r="ENY1" s="2"/>
      <c r="ENZ1" s="2"/>
      <c r="EOA1" s="2"/>
      <c r="EOB1" s="2"/>
      <c r="EOC1" s="2"/>
      <c r="EOD1" s="2"/>
      <c r="EOE1" s="2"/>
      <c r="EOF1" s="2"/>
      <c r="EOG1" s="2"/>
      <c r="EOH1" s="2"/>
      <c r="EOI1" s="2"/>
      <c r="EOJ1" s="2"/>
      <c r="EOK1" s="2"/>
      <c r="EOL1" s="2"/>
      <c r="EOM1" s="2"/>
      <c r="EON1" s="2"/>
      <c r="EOO1" s="2"/>
      <c r="EOP1" s="2"/>
      <c r="EOQ1" s="2"/>
      <c r="EOR1" s="2"/>
      <c r="EOS1" s="2"/>
      <c r="EOT1" s="2"/>
      <c r="EOU1" s="2"/>
      <c r="EOV1" s="2"/>
      <c r="EOW1" s="2"/>
      <c r="EOX1" s="2"/>
      <c r="EOY1" s="2"/>
      <c r="EOZ1" s="2"/>
      <c r="EPA1" s="2"/>
      <c r="EPB1" s="2"/>
      <c r="EPC1" s="2"/>
      <c r="EPD1" s="2"/>
      <c r="EPE1" s="2"/>
      <c r="EPF1" s="2"/>
      <c r="EPG1" s="2"/>
      <c r="EPH1" s="2"/>
      <c r="EPI1" s="2"/>
      <c r="EPJ1" s="2"/>
      <c r="EPK1" s="2"/>
      <c r="EPL1" s="2"/>
      <c r="EPM1" s="2"/>
      <c r="EPN1" s="2"/>
      <c r="EPO1" s="2"/>
      <c r="EPP1" s="2"/>
      <c r="EPQ1" s="2"/>
      <c r="EPR1" s="2"/>
      <c r="EPS1" s="2"/>
      <c r="EPT1" s="2"/>
      <c r="EPU1" s="2"/>
      <c r="EPV1" s="2"/>
      <c r="EPW1" s="2"/>
      <c r="EPX1" s="2"/>
      <c r="EPY1" s="2"/>
      <c r="EPZ1" s="2"/>
      <c r="EQA1" s="2"/>
      <c r="EQB1" s="2"/>
      <c r="EQC1" s="2"/>
      <c r="EQD1" s="2"/>
      <c r="EQE1" s="2"/>
      <c r="EQF1" s="2"/>
      <c r="EQG1" s="2"/>
      <c r="EQH1" s="2"/>
      <c r="EQI1" s="2"/>
      <c r="EQJ1" s="2"/>
      <c r="EQK1" s="2"/>
      <c r="EQL1" s="2"/>
      <c r="EQM1" s="2"/>
      <c r="EQN1" s="2"/>
      <c r="EQO1" s="2"/>
      <c r="EQP1" s="2"/>
      <c r="EQQ1" s="2"/>
      <c r="EQR1" s="2"/>
      <c r="EQS1" s="2"/>
      <c r="EQT1" s="2"/>
      <c r="EQU1" s="2"/>
      <c r="EQV1" s="2"/>
      <c r="EQW1" s="2"/>
      <c r="EQX1" s="2"/>
      <c r="EQY1" s="2"/>
      <c r="EQZ1" s="2"/>
      <c r="ERA1" s="2"/>
      <c r="ERB1" s="2"/>
      <c r="ERC1" s="2"/>
      <c r="ERD1" s="2"/>
      <c r="ERE1" s="2"/>
      <c r="ERF1" s="2"/>
      <c r="ERG1" s="2"/>
      <c r="ERH1" s="2"/>
      <c r="ERI1" s="2"/>
      <c r="ERJ1" s="2"/>
      <c r="ERK1" s="2"/>
      <c r="ERL1" s="2"/>
      <c r="ERM1" s="2"/>
      <c r="ERN1" s="2"/>
      <c r="ERO1" s="2"/>
      <c r="ERP1" s="2"/>
      <c r="ERQ1" s="2"/>
      <c r="ERR1" s="2"/>
      <c r="ERS1" s="2"/>
      <c r="ERT1" s="2"/>
      <c r="ERU1" s="2"/>
      <c r="ERV1" s="2"/>
      <c r="ERW1" s="2"/>
      <c r="ERX1" s="2"/>
      <c r="ERY1" s="2"/>
      <c r="ERZ1" s="2"/>
      <c r="ESA1" s="2"/>
      <c r="ESB1" s="2"/>
      <c r="ESC1" s="2"/>
      <c r="ESD1" s="2"/>
      <c r="ESE1" s="2"/>
      <c r="ESF1" s="2"/>
      <c r="ESG1" s="2"/>
      <c r="ESH1" s="2"/>
      <c r="ESI1" s="2"/>
      <c r="ESJ1" s="2"/>
      <c r="ESK1" s="2"/>
      <c r="ESL1" s="2"/>
      <c r="ESM1" s="2"/>
      <c r="ESN1" s="2"/>
      <c r="ESO1" s="2"/>
      <c r="ESP1" s="2"/>
      <c r="ESQ1" s="2"/>
      <c r="ESR1" s="2"/>
      <c r="ESS1" s="2"/>
      <c r="EST1" s="2"/>
      <c r="ESU1" s="2"/>
      <c r="ESV1" s="2"/>
      <c r="ESW1" s="2"/>
      <c r="ESX1" s="2"/>
      <c r="ESY1" s="2"/>
      <c r="ESZ1" s="2"/>
      <c r="ETA1" s="2"/>
      <c r="ETB1" s="2"/>
      <c r="ETC1" s="2"/>
      <c r="ETD1" s="2"/>
      <c r="ETE1" s="2"/>
      <c r="ETF1" s="2"/>
      <c r="ETG1" s="2"/>
      <c r="ETH1" s="2"/>
      <c r="ETI1" s="2"/>
      <c r="ETJ1" s="2"/>
      <c r="ETK1" s="2"/>
      <c r="ETL1" s="2"/>
      <c r="ETM1" s="2"/>
      <c r="ETN1" s="2"/>
      <c r="ETO1" s="2"/>
      <c r="ETP1" s="2"/>
      <c r="ETQ1" s="2"/>
      <c r="ETR1" s="2"/>
      <c r="ETS1" s="2"/>
      <c r="ETT1" s="2"/>
      <c r="ETU1" s="2"/>
      <c r="ETV1" s="2"/>
      <c r="ETW1" s="2"/>
      <c r="ETX1" s="2"/>
      <c r="ETY1" s="2"/>
      <c r="ETZ1" s="2"/>
      <c r="EUA1" s="2"/>
      <c r="EUB1" s="2"/>
      <c r="EUC1" s="2"/>
      <c r="EUD1" s="2"/>
      <c r="EUE1" s="2"/>
      <c r="EUF1" s="2"/>
      <c r="EUG1" s="2"/>
      <c r="EUH1" s="2"/>
      <c r="EUI1" s="2"/>
      <c r="EUJ1" s="2"/>
      <c r="EUK1" s="2"/>
      <c r="EUL1" s="2"/>
      <c r="EUM1" s="2"/>
      <c r="EUN1" s="2"/>
      <c r="EUO1" s="2"/>
      <c r="EUP1" s="2"/>
      <c r="EUQ1" s="2"/>
      <c r="EUR1" s="2"/>
      <c r="EUS1" s="2"/>
      <c r="EUT1" s="2"/>
      <c r="EUU1" s="2"/>
      <c r="EUV1" s="2"/>
      <c r="EUW1" s="2"/>
      <c r="EUX1" s="2"/>
      <c r="EUY1" s="2"/>
      <c r="EUZ1" s="2"/>
      <c r="EVA1" s="2"/>
      <c r="EVB1" s="2"/>
      <c r="EVC1" s="2"/>
      <c r="EVD1" s="2"/>
      <c r="EVE1" s="2"/>
      <c r="EVF1" s="2"/>
      <c r="EVG1" s="2"/>
      <c r="EVH1" s="2"/>
      <c r="EVI1" s="2"/>
      <c r="EVJ1" s="2"/>
      <c r="EVK1" s="2"/>
      <c r="EVL1" s="2"/>
      <c r="EVM1" s="2"/>
      <c r="EVN1" s="2"/>
      <c r="EVO1" s="2"/>
      <c r="EVP1" s="2"/>
      <c r="EVQ1" s="2"/>
      <c r="EVR1" s="2"/>
      <c r="EVS1" s="2"/>
      <c r="EVT1" s="2"/>
      <c r="EVU1" s="2"/>
      <c r="EVV1" s="2"/>
      <c r="EVW1" s="2"/>
      <c r="EVX1" s="2"/>
      <c r="EVY1" s="2"/>
      <c r="EVZ1" s="2"/>
      <c r="EWA1" s="2"/>
      <c r="EWB1" s="2"/>
      <c r="EWC1" s="2"/>
      <c r="EWD1" s="2"/>
      <c r="EWE1" s="2"/>
      <c r="EWF1" s="2"/>
      <c r="EWG1" s="2"/>
      <c r="EWH1" s="2"/>
      <c r="EWI1" s="2"/>
      <c r="EWJ1" s="2"/>
      <c r="EWK1" s="2"/>
      <c r="EWL1" s="2"/>
      <c r="EWM1" s="2"/>
      <c r="EWN1" s="2"/>
      <c r="EWO1" s="2"/>
      <c r="EWP1" s="2"/>
      <c r="EWQ1" s="2"/>
      <c r="EWR1" s="2"/>
      <c r="EWS1" s="2"/>
      <c r="EWT1" s="2"/>
      <c r="EWU1" s="2"/>
      <c r="EWV1" s="2"/>
      <c r="EWW1" s="2"/>
      <c r="EWX1" s="2"/>
      <c r="EWY1" s="2"/>
      <c r="EWZ1" s="2"/>
      <c r="EXA1" s="2"/>
      <c r="EXB1" s="2"/>
      <c r="EXC1" s="2"/>
      <c r="EXD1" s="2"/>
      <c r="EXE1" s="2"/>
      <c r="EXF1" s="2"/>
      <c r="EXG1" s="2"/>
      <c r="EXH1" s="2"/>
      <c r="EXI1" s="2"/>
      <c r="EXJ1" s="2"/>
      <c r="EXK1" s="2"/>
      <c r="EXL1" s="2"/>
      <c r="EXM1" s="2"/>
      <c r="EXN1" s="2"/>
      <c r="EXO1" s="2"/>
      <c r="EXP1" s="2"/>
      <c r="EXQ1" s="2"/>
      <c r="EXR1" s="2"/>
      <c r="EXS1" s="2"/>
      <c r="EXT1" s="2"/>
      <c r="EXU1" s="2"/>
      <c r="EXV1" s="2"/>
      <c r="EXW1" s="2"/>
      <c r="EXX1" s="2"/>
      <c r="EXY1" s="2"/>
      <c r="EXZ1" s="2"/>
      <c r="EYA1" s="2"/>
      <c r="EYB1" s="2"/>
      <c r="EYC1" s="2"/>
      <c r="EYD1" s="2"/>
      <c r="EYE1" s="2"/>
      <c r="EYF1" s="2"/>
      <c r="EYG1" s="2"/>
      <c r="EYH1" s="2"/>
      <c r="EYI1" s="2"/>
      <c r="EYJ1" s="2"/>
      <c r="EYK1" s="2"/>
      <c r="EYL1" s="2"/>
      <c r="EYM1" s="2"/>
      <c r="EYN1" s="2"/>
      <c r="EYO1" s="2"/>
      <c r="EYP1" s="2"/>
      <c r="EYQ1" s="2"/>
      <c r="EYR1" s="2"/>
      <c r="EYS1" s="2"/>
      <c r="EYT1" s="2"/>
      <c r="EYU1" s="2"/>
      <c r="EYV1" s="2"/>
      <c r="EYW1" s="2"/>
      <c r="EYX1" s="2"/>
      <c r="EYY1" s="2"/>
      <c r="EYZ1" s="2"/>
      <c r="EZA1" s="2"/>
      <c r="EZB1" s="2"/>
      <c r="EZC1" s="2"/>
      <c r="EZD1" s="2"/>
      <c r="EZE1" s="2"/>
      <c r="EZF1" s="2"/>
      <c r="EZG1" s="2"/>
      <c r="EZH1" s="2"/>
      <c r="EZI1" s="2"/>
      <c r="EZJ1" s="2"/>
      <c r="EZK1" s="2"/>
      <c r="EZL1" s="2"/>
      <c r="EZM1" s="2"/>
      <c r="EZN1" s="2"/>
      <c r="EZO1" s="2"/>
      <c r="EZP1" s="2"/>
      <c r="EZQ1" s="2"/>
      <c r="EZR1" s="2"/>
      <c r="EZS1" s="2"/>
      <c r="EZT1" s="2"/>
      <c r="EZU1" s="2"/>
      <c r="EZV1" s="2"/>
      <c r="EZW1" s="2"/>
      <c r="EZX1" s="2"/>
      <c r="EZY1" s="2"/>
      <c r="EZZ1" s="2"/>
      <c r="FAA1" s="2"/>
      <c r="FAB1" s="2"/>
      <c r="FAC1" s="2"/>
      <c r="FAD1" s="2"/>
      <c r="FAE1" s="2"/>
      <c r="FAF1" s="2"/>
      <c r="FAG1" s="2"/>
      <c r="FAH1" s="2"/>
      <c r="FAI1" s="2"/>
      <c r="FAJ1" s="2"/>
      <c r="FAK1" s="2"/>
      <c r="FAL1" s="2"/>
      <c r="FAM1" s="2"/>
      <c r="FAN1" s="2"/>
      <c r="FAO1" s="2"/>
      <c r="FAP1" s="2"/>
      <c r="FAQ1" s="2"/>
      <c r="FAR1" s="2"/>
      <c r="FAS1" s="2"/>
      <c r="FAT1" s="2"/>
      <c r="FAU1" s="2"/>
      <c r="FAV1" s="2"/>
      <c r="FAW1" s="2"/>
      <c r="FAX1" s="2"/>
      <c r="FAY1" s="2"/>
      <c r="FAZ1" s="2"/>
      <c r="FBA1" s="2"/>
      <c r="FBB1" s="2"/>
      <c r="FBC1" s="2"/>
      <c r="FBD1" s="2"/>
      <c r="FBE1" s="2"/>
      <c r="FBF1" s="2"/>
      <c r="FBG1" s="2"/>
      <c r="FBH1" s="2"/>
      <c r="FBI1" s="2"/>
      <c r="FBJ1" s="2"/>
      <c r="FBK1" s="2"/>
      <c r="FBL1" s="2"/>
      <c r="FBM1" s="2"/>
      <c r="FBN1" s="2"/>
      <c r="FBO1" s="2"/>
      <c r="FBP1" s="2"/>
      <c r="FBQ1" s="2"/>
      <c r="FBR1" s="2"/>
      <c r="FBS1" s="2"/>
      <c r="FBT1" s="2"/>
      <c r="FBU1" s="2"/>
      <c r="FBV1" s="2"/>
      <c r="FBW1" s="2"/>
      <c r="FBX1" s="2"/>
      <c r="FBY1" s="2"/>
      <c r="FBZ1" s="2"/>
      <c r="FCA1" s="2"/>
      <c r="FCB1" s="2"/>
      <c r="FCC1" s="2"/>
      <c r="FCD1" s="2"/>
      <c r="FCE1" s="2"/>
      <c r="FCF1" s="2"/>
      <c r="FCG1" s="2"/>
      <c r="FCH1" s="2"/>
      <c r="FCI1" s="2"/>
      <c r="FCJ1" s="2"/>
      <c r="FCK1" s="2"/>
      <c r="FCL1" s="2"/>
      <c r="FCM1" s="2"/>
      <c r="FCN1" s="2"/>
      <c r="FCO1" s="2"/>
      <c r="FCP1" s="2"/>
      <c r="FCQ1" s="2"/>
      <c r="FCR1" s="2"/>
      <c r="FCS1" s="2"/>
      <c r="FCT1" s="2"/>
      <c r="FCU1" s="2"/>
      <c r="FCV1" s="2"/>
      <c r="FCW1" s="2"/>
      <c r="FCX1" s="2"/>
      <c r="FCY1" s="2"/>
      <c r="FCZ1" s="2"/>
      <c r="FDA1" s="2"/>
      <c r="FDB1" s="2"/>
      <c r="FDC1" s="2"/>
      <c r="FDD1" s="2"/>
      <c r="FDE1" s="2"/>
      <c r="FDF1" s="2"/>
      <c r="FDG1" s="2"/>
      <c r="FDH1" s="2"/>
      <c r="FDI1" s="2"/>
      <c r="FDJ1" s="2"/>
      <c r="FDK1" s="2"/>
      <c r="FDL1" s="2"/>
      <c r="FDM1" s="2"/>
      <c r="FDN1" s="2"/>
      <c r="FDO1" s="2"/>
      <c r="FDP1" s="2"/>
      <c r="FDQ1" s="2"/>
      <c r="FDR1" s="2"/>
      <c r="FDS1" s="2"/>
      <c r="FDT1" s="2"/>
      <c r="FDU1" s="2"/>
      <c r="FDV1" s="2"/>
      <c r="FDW1" s="2"/>
      <c r="FDX1" s="2"/>
      <c r="FDY1" s="2"/>
      <c r="FDZ1" s="2"/>
      <c r="FEA1" s="2"/>
      <c r="FEB1" s="2"/>
      <c r="FEC1" s="2"/>
      <c r="FED1" s="2"/>
      <c r="FEE1" s="2"/>
      <c r="FEF1" s="2"/>
      <c r="FEG1" s="2"/>
      <c r="FEH1" s="2"/>
      <c r="FEI1" s="2"/>
      <c r="FEJ1" s="2"/>
      <c r="FEK1" s="2"/>
      <c r="FEL1" s="2"/>
      <c r="FEM1" s="2"/>
      <c r="FEN1" s="2"/>
      <c r="FEO1" s="2"/>
      <c r="FEP1" s="2"/>
      <c r="FEQ1" s="2"/>
      <c r="FER1" s="2"/>
      <c r="FES1" s="2"/>
      <c r="FET1" s="2"/>
      <c r="FEU1" s="2"/>
      <c r="FEV1" s="2"/>
      <c r="FEW1" s="2"/>
      <c r="FEX1" s="2"/>
      <c r="FEY1" s="2"/>
      <c r="FEZ1" s="2"/>
      <c r="FFA1" s="2"/>
      <c r="FFB1" s="2"/>
      <c r="FFC1" s="2"/>
      <c r="FFD1" s="2"/>
      <c r="FFE1" s="2"/>
      <c r="FFF1" s="2"/>
      <c r="FFG1" s="2"/>
      <c r="FFH1" s="2"/>
      <c r="FFI1" s="2"/>
      <c r="FFJ1" s="2"/>
      <c r="FFK1" s="2"/>
      <c r="FFL1" s="2"/>
      <c r="FFM1" s="2"/>
      <c r="FFN1" s="2"/>
      <c r="FFO1" s="2"/>
      <c r="FFP1" s="2"/>
      <c r="FFQ1" s="2"/>
      <c r="FFR1" s="2"/>
      <c r="FFS1" s="2"/>
      <c r="FFT1" s="2"/>
      <c r="FFU1" s="2"/>
      <c r="FFV1" s="2"/>
      <c r="FFW1" s="2"/>
      <c r="FFX1" s="2"/>
      <c r="FFY1" s="2"/>
      <c r="FFZ1" s="2"/>
      <c r="FGA1" s="2"/>
      <c r="FGB1" s="2"/>
      <c r="FGC1" s="2"/>
      <c r="FGD1" s="2"/>
      <c r="FGE1" s="2"/>
      <c r="FGF1" s="2"/>
      <c r="FGG1" s="2"/>
      <c r="FGH1" s="2"/>
      <c r="FGI1" s="2"/>
      <c r="FGJ1" s="2"/>
      <c r="FGK1" s="2"/>
      <c r="FGL1" s="2"/>
      <c r="FGM1" s="2"/>
      <c r="FGN1" s="2"/>
      <c r="FGO1" s="2"/>
      <c r="FGP1" s="2"/>
      <c r="FGQ1" s="2"/>
      <c r="FGR1" s="2"/>
      <c r="FGS1" s="2"/>
      <c r="FGT1" s="2"/>
      <c r="FGU1" s="2"/>
      <c r="FGV1" s="2"/>
      <c r="FGW1" s="2"/>
      <c r="FGX1" s="2"/>
      <c r="FGY1" s="2"/>
      <c r="FGZ1" s="2"/>
      <c r="FHA1" s="2"/>
      <c r="FHB1" s="2"/>
      <c r="FHC1" s="2"/>
      <c r="FHD1" s="2"/>
      <c r="FHE1" s="2"/>
      <c r="FHF1" s="2"/>
      <c r="FHG1" s="2"/>
      <c r="FHH1" s="2"/>
      <c r="FHI1" s="2"/>
      <c r="FHJ1" s="2"/>
      <c r="FHK1" s="2"/>
      <c r="FHL1" s="2"/>
      <c r="FHM1" s="2"/>
      <c r="FHN1" s="2"/>
      <c r="FHO1" s="2"/>
      <c r="FHP1" s="2"/>
      <c r="FHQ1" s="2"/>
      <c r="FHR1" s="2"/>
      <c r="FHS1" s="2"/>
      <c r="FHT1" s="2"/>
      <c r="FHU1" s="2"/>
      <c r="FHV1" s="2"/>
      <c r="FHW1" s="2"/>
      <c r="FHX1" s="2"/>
      <c r="FHY1" s="2"/>
      <c r="FHZ1" s="2"/>
      <c r="FIA1" s="2"/>
      <c r="FIB1" s="2"/>
      <c r="FIC1" s="2"/>
      <c r="FID1" s="2"/>
      <c r="FIE1" s="2"/>
      <c r="FIF1" s="2"/>
      <c r="FIG1" s="2"/>
      <c r="FIH1" s="2"/>
      <c r="FII1" s="2"/>
      <c r="FIJ1" s="2"/>
      <c r="FIK1" s="2"/>
      <c r="FIL1" s="2"/>
      <c r="FIM1" s="2"/>
      <c r="FIN1" s="2"/>
      <c r="FIO1" s="2"/>
      <c r="FIP1" s="2"/>
      <c r="FIQ1" s="2"/>
      <c r="FIR1" s="2"/>
      <c r="FIS1" s="2"/>
      <c r="FIT1" s="2"/>
      <c r="FIU1" s="2"/>
      <c r="FIV1" s="2"/>
      <c r="FIW1" s="2"/>
      <c r="FIX1" s="2"/>
      <c r="FIY1" s="2"/>
      <c r="FIZ1" s="2"/>
      <c r="FJA1" s="2"/>
      <c r="FJB1" s="2"/>
      <c r="FJC1" s="2"/>
      <c r="FJD1" s="2"/>
      <c r="FJE1" s="2"/>
      <c r="FJF1" s="2"/>
      <c r="FJG1" s="2"/>
      <c r="FJH1" s="2"/>
      <c r="FJI1" s="2"/>
      <c r="FJJ1" s="2"/>
      <c r="FJK1" s="2"/>
      <c r="FJL1" s="2"/>
      <c r="FJM1" s="2"/>
      <c r="FJN1" s="2"/>
      <c r="FJO1" s="2"/>
      <c r="FJP1" s="2"/>
      <c r="FJQ1" s="2"/>
      <c r="FJR1" s="2"/>
      <c r="FJS1" s="2"/>
      <c r="FJT1" s="2"/>
      <c r="FJU1" s="2"/>
      <c r="FJV1" s="2"/>
      <c r="FJW1" s="2"/>
      <c r="FJX1" s="2"/>
      <c r="FJY1" s="2"/>
      <c r="FJZ1" s="2"/>
      <c r="FKA1" s="2"/>
      <c r="FKB1" s="2"/>
      <c r="FKC1" s="2"/>
      <c r="FKD1" s="2"/>
      <c r="FKE1" s="2"/>
      <c r="FKF1" s="2"/>
      <c r="FKG1" s="2"/>
      <c r="FKH1" s="2"/>
      <c r="FKI1" s="2"/>
      <c r="FKJ1" s="2"/>
      <c r="FKK1" s="2"/>
      <c r="FKL1" s="2"/>
      <c r="FKM1" s="2"/>
      <c r="FKN1" s="2"/>
      <c r="FKO1" s="2"/>
      <c r="FKP1" s="2"/>
      <c r="FKQ1" s="2"/>
      <c r="FKR1" s="2"/>
      <c r="FKS1" s="2"/>
      <c r="FKT1" s="2"/>
      <c r="FKU1" s="2"/>
      <c r="FKV1" s="2"/>
      <c r="FKW1" s="2"/>
      <c r="FKX1" s="2"/>
      <c r="FKY1" s="2"/>
      <c r="FKZ1" s="2"/>
      <c r="FLA1" s="2"/>
      <c r="FLB1" s="2"/>
      <c r="FLC1" s="2"/>
      <c r="FLD1" s="2"/>
      <c r="FLE1" s="2"/>
      <c r="FLF1" s="2"/>
      <c r="FLG1" s="2"/>
      <c r="FLH1" s="2"/>
      <c r="FLI1" s="2"/>
      <c r="FLJ1" s="2"/>
      <c r="FLK1" s="2"/>
      <c r="FLL1" s="2"/>
      <c r="FLM1" s="2"/>
      <c r="FLN1" s="2"/>
      <c r="FLO1" s="2"/>
      <c r="FLP1" s="2"/>
      <c r="FLQ1" s="2"/>
      <c r="FLR1" s="2"/>
      <c r="FLS1" s="2"/>
      <c r="FLT1" s="2"/>
      <c r="FLU1" s="2"/>
      <c r="FLV1" s="2"/>
      <c r="FLW1" s="2"/>
      <c r="FLX1" s="2"/>
      <c r="FLY1" s="2"/>
      <c r="FLZ1" s="2"/>
      <c r="FMA1" s="2"/>
      <c r="FMB1" s="2"/>
      <c r="FMC1" s="2"/>
      <c r="FMD1" s="2"/>
      <c r="FME1" s="2"/>
      <c r="FMF1" s="2"/>
      <c r="FMG1" s="2"/>
      <c r="FMH1" s="2"/>
      <c r="FMI1" s="2"/>
      <c r="FMJ1" s="2"/>
      <c r="FMK1" s="2"/>
      <c r="FML1" s="2"/>
      <c r="FMM1" s="2"/>
      <c r="FMN1" s="2"/>
      <c r="FMO1" s="2"/>
      <c r="FMP1" s="2"/>
      <c r="FMQ1" s="2"/>
      <c r="FMR1" s="2"/>
      <c r="FMS1" s="2"/>
      <c r="FMT1" s="2"/>
      <c r="FMU1" s="2"/>
      <c r="FMV1" s="2"/>
      <c r="FMW1" s="2"/>
      <c r="FMX1" s="2"/>
      <c r="FMY1" s="2"/>
      <c r="FMZ1" s="2"/>
      <c r="FNA1" s="2"/>
      <c r="FNB1" s="2"/>
      <c r="FNC1" s="2"/>
      <c r="FND1" s="2"/>
      <c r="FNE1" s="2"/>
      <c r="FNF1" s="2"/>
      <c r="FNG1" s="2"/>
      <c r="FNH1" s="2"/>
      <c r="FNI1" s="2"/>
      <c r="FNJ1" s="2"/>
      <c r="FNK1" s="2"/>
      <c r="FNL1" s="2"/>
      <c r="FNM1" s="2"/>
      <c r="FNN1" s="2"/>
      <c r="FNO1" s="2"/>
      <c r="FNP1" s="2"/>
      <c r="FNQ1" s="2"/>
      <c r="FNR1" s="2"/>
      <c r="FNS1" s="2"/>
      <c r="FNT1" s="2"/>
      <c r="FNU1" s="2"/>
      <c r="FNV1" s="2"/>
      <c r="FNW1" s="2"/>
      <c r="FNX1" s="2"/>
      <c r="FNY1" s="2"/>
      <c r="FNZ1" s="2"/>
      <c r="FOA1" s="2"/>
      <c r="FOB1" s="2"/>
      <c r="FOC1" s="2"/>
      <c r="FOD1" s="2"/>
      <c r="FOE1" s="2"/>
      <c r="FOF1" s="2"/>
      <c r="FOG1" s="2"/>
      <c r="FOH1" s="2"/>
      <c r="FOI1" s="2"/>
      <c r="FOJ1" s="2"/>
      <c r="FOK1" s="2"/>
      <c r="FOL1" s="2"/>
      <c r="FOM1" s="2"/>
      <c r="FON1" s="2"/>
      <c r="FOO1" s="2"/>
      <c r="FOP1" s="2"/>
      <c r="FOQ1" s="2"/>
      <c r="FOR1" s="2"/>
      <c r="FOS1" s="2"/>
      <c r="FOT1" s="2"/>
      <c r="FOU1" s="2"/>
      <c r="FOV1" s="2"/>
      <c r="FOW1" s="2"/>
      <c r="FOX1" s="2"/>
      <c r="FOY1" s="2"/>
      <c r="FOZ1" s="2"/>
      <c r="FPA1" s="2"/>
      <c r="FPB1" s="2"/>
      <c r="FPC1" s="2"/>
      <c r="FPD1" s="2"/>
      <c r="FPE1" s="2"/>
      <c r="FPF1" s="2"/>
      <c r="FPG1" s="2"/>
      <c r="FPH1" s="2"/>
      <c r="FPI1" s="2"/>
      <c r="FPJ1" s="2"/>
      <c r="FPK1" s="2"/>
      <c r="FPL1" s="2"/>
      <c r="FPM1" s="2"/>
      <c r="FPN1" s="2"/>
      <c r="FPO1" s="2"/>
      <c r="FPP1" s="2"/>
      <c r="FPQ1" s="2"/>
      <c r="FPR1" s="2"/>
      <c r="FPS1" s="2"/>
      <c r="FPT1" s="2"/>
      <c r="FPU1" s="2"/>
      <c r="FPV1" s="2"/>
      <c r="FPW1" s="2"/>
      <c r="FPX1" s="2"/>
      <c r="FPY1" s="2"/>
      <c r="FPZ1" s="2"/>
      <c r="FQA1" s="2"/>
      <c r="FQB1" s="2"/>
      <c r="FQC1" s="2"/>
      <c r="FQD1" s="2"/>
      <c r="FQE1" s="2"/>
      <c r="FQF1" s="2"/>
      <c r="FQG1" s="2"/>
      <c r="FQH1" s="2"/>
      <c r="FQI1" s="2"/>
      <c r="FQJ1" s="2"/>
      <c r="FQK1" s="2"/>
      <c r="FQL1" s="2"/>
      <c r="FQM1" s="2"/>
      <c r="FQN1" s="2"/>
      <c r="FQO1" s="2"/>
      <c r="FQP1" s="2"/>
      <c r="FQQ1" s="2"/>
      <c r="FQR1" s="2"/>
      <c r="FQS1" s="2"/>
      <c r="FQT1" s="2"/>
      <c r="FQU1" s="2"/>
      <c r="FQV1" s="2"/>
      <c r="FQW1" s="2"/>
      <c r="FQX1" s="2"/>
      <c r="FQY1" s="2"/>
      <c r="FQZ1" s="2"/>
      <c r="FRA1" s="2"/>
      <c r="FRB1" s="2"/>
      <c r="FRC1" s="2"/>
      <c r="FRD1" s="2"/>
      <c r="FRE1" s="2"/>
      <c r="FRF1" s="2"/>
      <c r="FRG1" s="2"/>
      <c r="FRH1" s="2"/>
      <c r="FRI1" s="2"/>
      <c r="FRJ1" s="2"/>
      <c r="FRK1" s="2"/>
      <c r="FRL1" s="2"/>
      <c r="FRM1" s="2"/>
      <c r="FRN1" s="2"/>
      <c r="FRO1" s="2"/>
      <c r="FRP1" s="2"/>
      <c r="FRQ1" s="2"/>
      <c r="FRR1" s="2"/>
      <c r="FRS1" s="2"/>
      <c r="FRT1" s="2"/>
      <c r="FRU1" s="2"/>
      <c r="FRV1" s="2"/>
      <c r="FRW1" s="2"/>
      <c r="FRX1" s="2"/>
      <c r="FRY1" s="2"/>
      <c r="FRZ1" s="2"/>
      <c r="FSA1" s="2"/>
      <c r="FSB1" s="2"/>
      <c r="FSC1" s="2"/>
      <c r="FSD1" s="2"/>
      <c r="FSE1" s="2"/>
      <c r="FSF1" s="2"/>
      <c r="FSG1" s="2"/>
      <c r="FSH1" s="2"/>
      <c r="FSI1" s="2"/>
      <c r="FSJ1" s="2"/>
      <c r="FSK1" s="2"/>
      <c r="FSL1" s="2"/>
      <c r="FSM1" s="2"/>
      <c r="FSN1" s="2"/>
      <c r="FSO1" s="2"/>
      <c r="FSP1" s="2"/>
      <c r="FSQ1" s="2"/>
      <c r="FSR1" s="2"/>
      <c r="FSS1" s="2"/>
      <c r="FST1" s="2"/>
      <c r="FSU1" s="2"/>
      <c r="FSV1" s="2"/>
      <c r="FSW1" s="2"/>
      <c r="FSX1" s="2"/>
      <c r="FSY1" s="2"/>
      <c r="FSZ1" s="2"/>
      <c r="FTA1" s="2"/>
      <c r="FTB1" s="2"/>
      <c r="FTC1" s="2"/>
      <c r="FTD1" s="2"/>
      <c r="FTE1" s="2"/>
      <c r="FTF1" s="2"/>
      <c r="FTG1" s="2"/>
      <c r="FTH1" s="2"/>
      <c r="FTI1" s="2"/>
      <c r="FTJ1" s="2"/>
      <c r="FTK1" s="2"/>
      <c r="FTL1" s="2"/>
      <c r="FTM1" s="2"/>
      <c r="FTN1" s="2"/>
      <c r="FTO1" s="2"/>
      <c r="FTP1" s="2"/>
      <c r="FTQ1" s="2"/>
      <c r="FTR1" s="2"/>
      <c r="FTS1" s="2"/>
      <c r="FTT1" s="2"/>
      <c r="FTU1" s="2"/>
      <c r="FTV1" s="2"/>
      <c r="FTW1" s="2"/>
      <c r="FTX1" s="2"/>
      <c r="FTY1" s="2"/>
      <c r="FTZ1" s="2"/>
      <c r="FUA1" s="2"/>
      <c r="FUB1" s="2"/>
      <c r="FUC1" s="2"/>
      <c r="FUD1" s="2"/>
      <c r="FUE1" s="2"/>
      <c r="FUF1" s="2"/>
      <c r="FUG1" s="2"/>
      <c r="FUH1" s="2"/>
      <c r="FUI1" s="2"/>
      <c r="FUJ1" s="2"/>
      <c r="FUK1" s="2"/>
      <c r="FUL1" s="2"/>
      <c r="FUM1" s="2"/>
      <c r="FUN1" s="2"/>
      <c r="FUO1" s="2"/>
      <c r="FUP1" s="2"/>
      <c r="FUQ1" s="2"/>
      <c r="FUR1" s="2"/>
      <c r="FUS1" s="2"/>
      <c r="FUT1" s="2"/>
      <c r="FUU1" s="2"/>
      <c r="FUV1" s="2"/>
      <c r="FUW1" s="2"/>
      <c r="FUX1" s="2"/>
      <c r="FUY1" s="2"/>
      <c r="FUZ1" s="2"/>
      <c r="FVA1" s="2"/>
      <c r="FVB1" s="2"/>
      <c r="FVC1" s="2"/>
      <c r="FVD1" s="2"/>
      <c r="FVE1" s="2"/>
      <c r="FVF1" s="2"/>
      <c r="FVG1" s="2"/>
      <c r="FVH1" s="2"/>
      <c r="FVI1" s="2"/>
      <c r="FVJ1" s="2"/>
      <c r="FVK1" s="2"/>
      <c r="FVL1" s="2"/>
      <c r="FVM1" s="2"/>
      <c r="FVN1" s="2"/>
      <c r="FVO1" s="2"/>
      <c r="FVP1" s="2"/>
      <c r="FVQ1" s="2"/>
      <c r="FVR1" s="2"/>
      <c r="FVS1" s="2"/>
      <c r="FVT1" s="2"/>
      <c r="FVU1" s="2"/>
      <c r="FVV1" s="2"/>
      <c r="FVW1" s="2"/>
      <c r="FVX1" s="2"/>
      <c r="FVY1" s="2"/>
      <c r="FVZ1" s="2"/>
      <c r="FWA1" s="2"/>
      <c r="FWB1" s="2"/>
      <c r="FWC1" s="2"/>
      <c r="FWD1" s="2"/>
      <c r="FWE1" s="2"/>
      <c r="FWF1" s="2"/>
      <c r="FWG1" s="2"/>
      <c r="FWH1" s="2"/>
      <c r="FWI1" s="2"/>
      <c r="FWJ1" s="2"/>
      <c r="FWK1" s="2"/>
      <c r="FWL1" s="2"/>
      <c r="FWM1" s="2"/>
      <c r="FWN1" s="2"/>
      <c r="FWO1" s="2"/>
      <c r="FWP1" s="2"/>
      <c r="FWQ1" s="2"/>
      <c r="FWR1" s="2"/>
      <c r="FWS1" s="2"/>
      <c r="FWT1" s="2"/>
      <c r="FWU1" s="2"/>
      <c r="FWV1" s="2"/>
      <c r="FWW1" s="2"/>
      <c r="FWX1" s="2"/>
      <c r="FWY1" s="2"/>
      <c r="FWZ1" s="2"/>
      <c r="FXA1" s="2"/>
      <c r="FXB1" s="2"/>
      <c r="FXC1" s="2"/>
      <c r="FXD1" s="2"/>
      <c r="FXE1" s="2"/>
      <c r="FXF1" s="2"/>
      <c r="FXG1" s="2"/>
      <c r="FXH1" s="2"/>
      <c r="FXI1" s="2"/>
      <c r="FXJ1" s="2"/>
      <c r="FXK1" s="2"/>
      <c r="FXL1" s="2"/>
      <c r="FXM1" s="2"/>
      <c r="FXN1" s="2"/>
      <c r="FXO1" s="2"/>
      <c r="FXP1" s="2"/>
      <c r="FXQ1" s="2"/>
      <c r="FXR1" s="2"/>
      <c r="FXS1" s="2"/>
      <c r="FXT1" s="2"/>
      <c r="FXU1" s="2"/>
      <c r="FXV1" s="2"/>
      <c r="FXW1" s="2"/>
      <c r="FXX1" s="2"/>
      <c r="FXY1" s="2"/>
      <c r="FXZ1" s="2"/>
      <c r="FYA1" s="2"/>
      <c r="FYB1" s="2"/>
      <c r="FYC1" s="2"/>
      <c r="FYD1" s="2"/>
      <c r="FYE1" s="2"/>
      <c r="FYF1" s="2"/>
      <c r="FYG1" s="2"/>
      <c r="FYH1" s="2"/>
      <c r="FYI1" s="2"/>
      <c r="FYJ1" s="2"/>
      <c r="FYK1" s="2"/>
      <c r="FYL1" s="2"/>
      <c r="FYM1" s="2"/>
      <c r="FYN1" s="2"/>
      <c r="FYO1" s="2"/>
      <c r="FYP1" s="2"/>
      <c r="FYQ1" s="2"/>
      <c r="FYR1" s="2"/>
      <c r="FYS1" s="2"/>
      <c r="FYT1" s="2"/>
      <c r="FYU1" s="2"/>
      <c r="FYV1" s="2"/>
      <c r="FYW1" s="2"/>
      <c r="FYX1" s="2"/>
      <c r="FYY1" s="2"/>
      <c r="FYZ1" s="2"/>
      <c r="FZA1" s="2"/>
      <c r="FZB1" s="2"/>
      <c r="FZC1" s="2"/>
      <c r="FZD1" s="2"/>
      <c r="FZE1" s="2"/>
      <c r="FZF1" s="2"/>
      <c r="FZG1" s="2"/>
      <c r="FZH1" s="2"/>
      <c r="FZI1" s="2"/>
      <c r="FZJ1" s="2"/>
      <c r="FZK1" s="2"/>
      <c r="FZL1" s="2"/>
      <c r="FZM1" s="2"/>
      <c r="FZN1" s="2"/>
      <c r="FZO1" s="2"/>
      <c r="FZP1" s="2"/>
      <c r="FZQ1" s="2"/>
      <c r="FZR1" s="2"/>
      <c r="FZS1" s="2"/>
      <c r="FZT1" s="2"/>
      <c r="FZU1" s="2"/>
      <c r="FZV1" s="2"/>
      <c r="FZW1" s="2"/>
      <c r="FZX1" s="2"/>
      <c r="FZY1" s="2"/>
      <c r="FZZ1" s="2"/>
      <c r="GAA1" s="2"/>
      <c r="GAB1" s="2"/>
      <c r="GAC1" s="2"/>
      <c r="GAD1" s="2"/>
      <c r="GAE1" s="2"/>
      <c r="GAF1" s="2"/>
      <c r="GAG1" s="2"/>
      <c r="GAH1" s="2"/>
      <c r="GAI1" s="2"/>
      <c r="GAJ1" s="2"/>
      <c r="GAK1" s="2"/>
      <c r="GAL1" s="2"/>
      <c r="GAM1" s="2"/>
      <c r="GAN1" s="2"/>
      <c r="GAO1" s="2"/>
      <c r="GAP1" s="2"/>
      <c r="GAQ1" s="2"/>
      <c r="GAR1" s="2"/>
      <c r="GAS1" s="2"/>
      <c r="GAT1" s="2"/>
      <c r="GAU1" s="2"/>
      <c r="GAV1" s="2"/>
      <c r="GAW1" s="2"/>
      <c r="GAX1" s="2"/>
      <c r="GAY1" s="2"/>
      <c r="GAZ1" s="2"/>
      <c r="GBA1" s="2"/>
      <c r="GBB1" s="2"/>
      <c r="GBC1" s="2"/>
      <c r="GBD1" s="2"/>
      <c r="GBE1" s="2"/>
      <c r="GBF1" s="2"/>
      <c r="GBG1" s="2"/>
      <c r="GBH1" s="2"/>
      <c r="GBI1" s="2"/>
      <c r="GBJ1" s="2"/>
      <c r="GBK1" s="2"/>
      <c r="GBL1" s="2"/>
      <c r="GBM1" s="2"/>
      <c r="GBN1" s="2"/>
      <c r="GBO1" s="2"/>
      <c r="GBP1" s="2"/>
      <c r="GBQ1" s="2"/>
      <c r="GBR1" s="2"/>
      <c r="GBS1" s="2"/>
      <c r="GBT1" s="2"/>
      <c r="GBU1" s="2"/>
      <c r="GBV1" s="2"/>
      <c r="GBW1" s="2"/>
      <c r="GBX1" s="2"/>
      <c r="GBY1" s="2"/>
      <c r="GBZ1" s="2"/>
      <c r="GCA1" s="2"/>
      <c r="GCB1" s="2"/>
      <c r="GCC1" s="2"/>
      <c r="GCD1" s="2"/>
      <c r="GCE1" s="2"/>
      <c r="GCF1" s="2"/>
      <c r="GCG1" s="2"/>
      <c r="GCH1" s="2"/>
      <c r="GCI1" s="2"/>
      <c r="GCJ1" s="2"/>
      <c r="GCK1" s="2"/>
      <c r="GCL1" s="2"/>
      <c r="GCM1" s="2"/>
      <c r="GCN1" s="2"/>
      <c r="GCO1" s="2"/>
      <c r="GCP1" s="2"/>
      <c r="GCQ1" s="2"/>
      <c r="GCR1" s="2"/>
      <c r="GCS1" s="2"/>
      <c r="GCT1" s="2"/>
      <c r="GCU1" s="2"/>
      <c r="GCV1" s="2"/>
      <c r="GCW1" s="2"/>
      <c r="GCX1" s="2"/>
      <c r="GCY1" s="2"/>
      <c r="GCZ1" s="2"/>
      <c r="GDA1" s="2"/>
      <c r="GDB1" s="2"/>
      <c r="GDC1" s="2"/>
      <c r="GDD1" s="2"/>
      <c r="GDE1" s="2"/>
      <c r="GDF1" s="2"/>
      <c r="GDG1" s="2"/>
      <c r="GDH1" s="2"/>
      <c r="GDI1" s="2"/>
      <c r="GDJ1" s="2"/>
      <c r="GDK1" s="2"/>
      <c r="GDL1" s="2"/>
      <c r="GDM1" s="2"/>
      <c r="GDN1" s="2"/>
      <c r="GDO1" s="2"/>
      <c r="GDP1" s="2"/>
      <c r="GDQ1" s="2"/>
      <c r="GDR1" s="2"/>
      <c r="GDS1" s="2"/>
      <c r="GDT1" s="2"/>
      <c r="GDU1" s="2"/>
      <c r="GDV1" s="2"/>
      <c r="GDW1" s="2"/>
      <c r="GDX1" s="2"/>
      <c r="GDY1" s="2"/>
      <c r="GDZ1" s="2"/>
      <c r="GEA1" s="2"/>
      <c r="GEB1" s="2"/>
      <c r="GEC1" s="2"/>
      <c r="GED1" s="2"/>
      <c r="GEE1" s="2"/>
      <c r="GEF1" s="2"/>
      <c r="GEG1" s="2"/>
      <c r="GEH1" s="2"/>
      <c r="GEI1" s="2"/>
      <c r="GEJ1" s="2"/>
      <c r="GEK1" s="2"/>
      <c r="GEL1" s="2"/>
      <c r="GEM1" s="2"/>
      <c r="GEN1" s="2"/>
      <c r="GEO1" s="2"/>
      <c r="GEP1" s="2"/>
      <c r="GEQ1" s="2"/>
      <c r="GER1" s="2"/>
      <c r="GES1" s="2"/>
      <c r="GET1" s="2"/>
      <c r="GEU1" s="2"/>
      <c r="GEV1" s="2"/>
      <c r="GEW1" s="2"/>
      <c r="GEX1" s="2"/>
      <c r="GEY1" s="2"/>
      <c r="GEZ1" s="2"/>
      <c r="GFA1" s="2"/>
      <c r="GFB1" s="2"/>
      <c r="GFC1" s="2"/>
      <c r="GFD1" s="2"/>
      <c r="GFE1" s="2"/>
      <c r="GFF1" s="2"/>
      <c r="GFG1" s="2"/>
      <c r="GFH1" s="2"/>
      <c r="GFI1" s="2"/>
      <c r="GFJ1" s="2"/>
      <c r="GFK1" s="2"/>
      <c r="GFL1" s="2"/>
      <c r="GFM1" s="2"/>
      <c r="GFN1" s="2"/>
      <c r="GFO1" s="2"/>
      <c r="GFP1" s="2"/>
      <c r="GFQ1" s="2"/>
      <c r="GFR1" s="2"/>
      <c r="GFS1" s="2"/>
      <c r="GFT1" s="2"/>
      <c r="GFU1" s="2"/>
      <c r="GFV1" s="2"/>
      <c r="GFW1" s="2"/>
      <c r="GFX1" s="2"/>
      <c r="GFY1" s="2"/>
      <c r="GFZ1" s="2"/>
      <c r="GGA1" s="2"/>
      <c r="GGB1" s="2"/>
      <c r="GGC1" s="2"/>
      <c r="GGD1" s="2"/>
      <c r="GGE1" s="2"/>
      <c r="GGF1" s="2"/>
      <c r="GGG1" s="2"/>
      <c r="GGH1" s="2"/>
      <c r="GGI1" s="2"/>
      <c r="GGJ1" s="2"/>
      <c r="GGK1" s="2"/>
      <c r="GGL1" s="2"/>
      <c r="GGM1" s="2"/>
      <c r="GGN1" s="2"/>
      <c r="GGO1" s="2"/>
      <c r="GGP1" s="2"/>
      <c r="GGQ1" s="2"/>
      <c r="GGR1" s="2"/>
      <c r="GGS1" s="2"/>
      <c r="GGT1" s="2"/>
      <c r="GGU1" s="2"/>
      <c r="GGV1" s="2"/>
      <c r="GGW1" s="2"/>
      <c r="GGX1" s="2"/>
      <c r="GGY1" s="2"/>
      <c r="GGZ1" s="2"/>
      <c r="GHA1" s="2"/>
      <c r="GHB1" s="2"/>
      <c r="GHC1" s="2"/>
      <c r="GHD1" s="2"/>
      <c r="GHE1" s="2"/>
      <c r="GHF1" s="2"/>
      <c r="GHG1" s="2"/>
      <c r="GHH1" s="2"/>
      <c r="GHI1" s="2"/>
      <c r="GHJ1" s="2"/>
      <c r="GHK1" s="2"/>
      <c r="GHL1" s="2"/>
      <c r="GHM1" s="2"/>
      <c r="GHN1" s="2"/>
      <c r="GHO1" s="2"/>
      <c r="GHP1" s="2"/>
      <c r="GHQ1" s="2"/>
      <c r="GHR1" s="2"/>
      <c r="GHS1" s="2"/>
      <c r="GHT1" s="2"/>
      <c r="GHU1" s="2"/>
      <c r="GHV1" s="2"/>
      <c r="GHW1" s="2"/>
      <c r="GHX1" s="2"/>
      <c r="GHY1" s="2"/>
      <c r="GHZ1" s="2"/>
      <c r="GIA1" s="2"/>
      <c r="GIB1" s="2"/>
      <c r="GIC1" s="2"/>
      <c r="GID1" s="2"/>
      <c r="GIE1" s="2"/>
      <c r="GIF1" s="2"/>
      <c r="GIG1" s="2"/>
      <c r="GIH1" s="2"/>
      <c r="GII1" s="2"/>
      <c r="GIJ1" s="2"/>
      <c r="GIK1" s="2"/>
      <c r="GIL1" s="2"/>
      <c r="GIM1" s="2"/>
      <c r="GIN1" s="2"/>
      <c r="GIO1" s="2"/>
      <c r="GIP1" s="2"/>
      <c r="GIQ1" s="2"/>
      <c r="GIR1" s="2"/>
      <c r="GIS1" s="2"/>
      <c r="GIT1" s="2"/>
      <c r="GIU1" s="2"/>
      <c r="GIV1" s="2"/>
      <c r="GIW1" s="2"/>
      <c r="GIX1" s="2"/>
      <c r="GIY1" s="2"/>
      <c r="GIZ1" s="2"/>
      <c r="GJA1" s="2"/>
      <c r="GJB1" s="2"/>
      <c r="GJC1" s="2"/>
      <c r="GJD1" s="2"/>
      <c r="GJE1" s="2"/>
      <c r="GJF1" s="2"/>
      <c r="GJG1" s="2"/>
      <c r="GJH1" s="2"/>
      <c r="GJI1" s="2"/>
      <c r="GJJ1" s="2"/>
      <c r="GJK1" s="2"/>
      <c r="GJL1" s="2"/>
      <c r="GJM1" s="2"/>
      <c r="GJN1" s="2"/>
      <c r="GJO1" s="2"/>
      <c r="GJP1" s="2"/>
      <c r="GJQ1" s="2"/>
      <c r="GJR1" s="2"/>
      <c r="GJS1" s="2"/>
      <c r="GJT1" s="2"/>
      <c r="GJU1" s="2"/>
      <c r="GJV1" s="2"/>
      <c r="GJW1" s="2"/>
      <c r="GJX1" s="2"/>
      <c r="GJY1" s="2"/>
      <c r="GJZ1" s="2"/>
      <c r="GKA1" s="2"/>
      <c r="GKB1" s="2"/>
      <c r="GKC1" s="2"/>
      <c r="GKD1" s="2"/>
      <c r="GKE1" s="2"/>
      <c r="GKF1" s="2"/>
      <c r="GKG1" s="2"/>
      <c r="GKH1" s="2"/>
      <c r="GKI1" s="2"/>
      <c r="GKJ1" s="2"/>
      <c r="GKK1" s="2"/>
      <c r="GKL1" s="2"/>
      <c r="GKM1" s="2"/>
      <c r="GKN1" s="2"/>
      <c r="GKO1" s="2"/>
      <c r="GKP1" s="2"/>
      <c r="GKQ1" s="2"/>
      <c r="GKR1" s="2"/>
      <c r="GKS1" s="2"/>
      <c r="GKT1" s="2"/>
      <c r="GKU1" s="2"/>
      <c r="GKV1" s="2"/>
      <c r="GKW1" s="2"/>
      <c r="GKX1" s="2"/>
      <c r="GKY1" s="2"/>
      <c r="GKZ1" s="2"/>
      <c r="GLA1" s="2"/>
      <c r="GLB1" s="2"/>
      <c r="GLC1" s="2"/>
      <c r="GLD1" s="2"/>
      <c r="GLE1" s="2"/>
      <c r="GLF1" s="2"/>
      <c r="GLG1" s="2"/>
      <c r="GLH1" s="2"/>
      <c r="GLI1" s="2"/>
      <c r="GLJ1" s="2"/>
      <c r="GLK1" s="2"/>
      <c r="GLL1" s="2"/>
      <c r="GLM1" s="2"/>
      <c r="GLN1" s="2"/>
      <c r="GLO1" s="2"/>
      <c r="GLP1" s="2"/>
      <c r="GLQ1" s="2"/>
      <c r="GLR1" s="2"/>
      <c r="GLS1" s="2"/>
      <c r="GLT1" s="2"/>
      <c r="GLU1" s="2"/>
      <c r="GLV1" s="2"/>
      <c r="GLW1" s="2"/>
      <c r="GLX1" s="2"/>
      <c r="GLY1" s="2"/>
      <c r="GLZ1" s="2"/>
      <c r="GMA1" s="2"/>
      <c r="GMB1" s="2"/>
      <c r="GMC1" s="2"/>
      <c r="GMD1" s="2"/>
      <c r="GME1" s="2"/>
      <c r="GMF1" s="2"/>
      <c r="GMG1" s="2"/>
      <c r="GMH1" s="2"/>
      <c r="GMI1" s="2"/>
      <c r="GMJ1" s="2"/>
      <c r="GMK1" s="2"/>
      <c r="GML1" s="2"/>
      <c r="GMM1" s="2"/>
      <c r="GMN1" s="2"/>
      <c r="GMO1" s="2"/>
      <c r="GMP1" s="2"/>
      <c r="GMQ1" s="2"/>
      <c r="GMR1" s="2"/>
      <c r="GMS1" s="2"/>
      <c r="GMT1" s="2"/>
      <c r="GMU1" s="2"/>
      <c r="GMV1" s="2"/>
      <c r="GMW1" s="2"/>
      <c r="GMX1" s="2"/>
      <c r="GMY1" s="2"/>
      <c r="GMZ1" s="2"/>
      <c r="GNA1" s="2"/>
      <c r="GNB1" s="2"/>
      <c r="GNC1" s="2"/>
      <c r="GND1" s="2"/>
      <c r="GNE1" s="2"/>
      <c r="GNF1" s="2"/>
      <c r="GNG1" s="2"/>
      <c r="GNH1" s="2"/>
      <c r="GNI1" s="2"/>
      <c r="GNJ1" s="2"/>
      <c r="GNK1" s="2"/>
      <c r="GNL1" s="2"/>
      <c r="GNM1" s="2"/>
      <c r="GNN1" s="2"/>
      <c r="GNO1" s="2"/>
      <c r="GNP1" s="2"/>
      <c r="GNQ1" s="2"/>
      <c r="GNR1" s="2"/>
      <c r="GNS1" s="2"/>
      <c r="GNT1" s="2"/>
      <c r="GNU1" s="2"/>
      <c r="GNV1" s="2"/>
      <c r="GNW1" s="2"/>
      <c r="GNX1" s="2"/>
      <c r="GNY1" s="2"/>
      <c r="GNZ1" s="2"/>
      <c r="GOA1" s="2"/>
      <c r="GOB1" s="2"/>
      <c r="GOC1" s="2"/>
      <c r="GOD1" s="2"/>
      <c r="GOE1" s="2"/>
      <c r="GOF1" s="2"/>
      <c r="GOG1" s="2"/>
      <c r="GOH1" s="2"/>
      <c r="GOI1" s="2"/>
      <c r="GOJ1" s="2"/>
      <c r="GOK1" s="2"/>
      <c r="GOL1" s="2"/>
      <c r="GOM1" s="2"/>
      <c r="GON1" s="2"/>
      <c r="GOO1" s="2"/>
      <c r="GOP1" s="2"/>
      <c r="GOQ1" s="2"/>
      <c r="GOR1" s="2"/>
      <c r="GOS1" s="2"/>
      <c r="GOT1" s="2"/>
      <c r="GOU1" s="2"/>
      <c r="GOV1" s="2"/>
      <c r="GOW1" s="2"/>
      <c r="GOX1" s="2"/>
      <c r="GOY1" s="2"/>
      <c r="GOZ1" s="2"/>
      <c r="GPA1" s="2"/>
      <c r="GPB1" s="2"/>
      <c r="GPC1" s="2"/>
      <c r="GPD1" s="2"/>
      <c r="GPE1" s="2"/>
      <c r="GPF1" s="2"/>
      <c r="GPG1" s="2"/>
      <c r="GPH1" s="2"/>
      <c r="GPI1" s="2"/>
      <c r="GPJ1" s="2"/>
      <c r="GPK1" s="2"/>
      <c r="GPL1" s="2"/>
      <c r="GPM1" s="2"/>
      <c r="GPN1" s="2"/>
      <c r="GPO1" s="2"/>
      <c r="GPP1" s="2"/>
      <c r="GPQ1" s="2"/>
      <c r="GPR1" s="2"/>
      <c r="GPS1" s="2"/>
      <c r="GPT1" s="2"/>
      <c r="GPU1" s="2"/>
      <c r="GPV1" s="2"/>
      <c r="GPW1" s="2"/>
      <c r="GPX1" s="2"/>
      <c r="GPY1" s="2"/>
      <c r="GPZ1" s="2"/>
      <c r="GQA1" s="2"/>
      <c r="GQB1" s="2"/>
      <c r="GQC1" s="2"/>
      <c r="GQD1" s="2"/>
      <c r="GQE1" s="2"/>
      <c r="GQF1" s="2"/>
      <c r="GQG1" s="2"/>
      <c r="GQH1" s="2"/>
      <c r="GQI1" s="2"/>
      <c r="GQJ1" s="2"/>
      <c r="GQK1" s="2"/>
      <c r="GQL1" s="2"/>
      <c r="GQM1" s="2"/>
      <c r="GQN1" s="2"/>
      <c r="GQO1" s="2"/>
      <c r="GQP1" s="2"/>
      <c r="GQQ1" s="2"/>
      <c r="GQR1" s="2"/>
      <c r="GQS1" s="2"/>
      <c r="GQT1" s="2"/>
      <c r="GQU1" s="2"/>
      <c r="GQV1" s="2"/>
      <c r="GQW1" s="2"/>
      <c r="GQX1" s="2"/>
      <c r="GQY1" s="2"/>
      <c r="GQZ1" s="2"/>
      <c r="GRA1" s="2"/>
      <c r="GRB1" s="2"/>
      <c r="GRC1" s="2"/>
      <c r="GRD1" s="2"/>
      <c r="GRE1" s="2"/>
      <c r="GRF1" s="2"/>
      <c r="GRG1" s="2"/>
      <c r="GRH1" s="2"/>
      <c r="GRI1" s="2"/>
      <c r="GRJ1" s="2"/>
      <c r="GRK1" s="2"/>
      <c r="GRL1" s="2"/>
      <c r="GRM1" s="2"/>
      <c r="GRN1" s="2"/>
      <c r="GRO1" s="2"/>
      <c r="GRP1" s="2"/>
      <c r="GRQ1" s="2"/>
      <c r="GRR1" s="2"/>
      <c r="GRS1" s="2"/>
      <c r="GRT1" s="2"/>
      <c r="GRU1" s="2"/>
      <c r="GRV1" s="2"/>
      <c r="GRW1" s="2"/>
      <c r="GRX1" s="2"/>
      <c r="GRY1" s="2"/>
      <c r="GRZ1" s="2"/>
      <c r="GSA1" s="2"/>
      <c r="GSB1" s="2"/>
      <c r="GSC1" s="2"/>
      <c r="GSD1" s="2"/>
      <c r="GSE1" s="2"/>
      <c r="GSF1" s="2"/>
      <c r="GSG1" s="2"/>
      <c r="GSH1" s="2"/>
      <c r="GSI1" s="2"/>
      <c r="GSJ1" s="2"/>
      <c r="GSK1" s="2"/>
      <c r="GSL1" s="2"/>
      <c r="GSM1" s="2"/>
      <c r="GSN1" s="2"/>
      <c r="GSO1" s="2"/>
      <c r="GSP1" s="2"/>
      <c r="GSQ1" s="2"/>
      <c r="GSR1" s="2"/>
      <c r="GSS1" s="2"/>
      <c r="GST1" s="2"/>
      <c r="GSU1" s="2"/>
      <c r="GSV1" s="2"/>
      <c r="GSW1" s="2"/>
      <c r="GSX1" s="2"/>
      <c r="GSY1" s="2"/>
      <c r="GSZ1" s="2"/>
      <c r="GTA1" s="2"/>
      <c r="GTB1" s="2"/>
      <c r="GTC1" s="2"/>
      <c r="GTD1" s="2"/>
      <c r="GTE1" s="2"/>
      <c r="GTF1" s="2"/>
      <c r="GTG1" s="2"/>
      <c r="GTH1" s="2"/>
      <c r="GTI1" s="2"/>
      <c r="GTJ1" s="2"/>
      <c r="GTK1" s="2"/>
      <c r="GTL1" s="2"/>
      <c r="GTM1" s="2"/>
      <c r="GTN1" s="2"/>
      <c r="GTO1" s="2"/>
      <c r="GTP1" s="2"/>
      <c r="GTQ1" s="2"/>
      <c r="GTR1" s="2"/>
      <c r="GTS1" s="2"/>
      <c r="GTT1" s="2"/>
      <c r="GTU1" s="2"/>
      <c r="GTV1" s="2"/>
      <c r="GTW1" s="2"/>
      <c r="GTX1" s="2"/>
      <c r="GTY1" s="2"/>
      <c r="GTZ1" s="2"/>
      <c r="GUA1" s="2"/>
      <c r="GUB1" s="2"/>
      <c r="GUC1" s="2"/>
      <c r="GUD1" s="2"/>
      <c r="GUE1" s="2"/>
      <c r="GUF1" s="2"/>
      <c r="GUG1" s="2"/>
      <c r="GUH1" s="2"/>
      <c r="GUI1" s="2"/>
      <c r="GUJ1" s="2"/>
      <c r="GUK1" s="2"/>
      <c r="GUL1" s="2"/>
      <c r="GUM1" s="2"/>
      <c r="GUN1" s="2"/>
      <c r="GUO1" s="2"/>
      <c r="GUP1" s="2"/>
      <c r="GUQ1" s="2"/>
      <c r="GUR1" s="2"/>
      <c r="GUS1" s="2"/>
      <c r="GUT1" s="2"/>
      <c r="GUU1" s="2"/>
      <c r="GUV1" s="2"/>
      <c r="GUW1" s="2"/>
      <c r="GUX1" s="2"/>
      <c r="GUY1" s="2"/>
      <c r="GUZ1" s="2"/>
      <c r="GVA1" s="2"/>
      <c r="GVB1" s="2"/>
      <c r="GVC1" s="2"/>
      <c r="GVD1" s="2"/>
      <c r="GVE1" s="2"/>
      <c r="GVF1" s="2"/>
      <c r="GVG1" s="2"/>
      <c r="GVH1" s="2"/>
      <c r="GVI1" s="2"/>
      <c r="GVJ1" s="2"/>
      <c r="GVK1" s="2"/>
      <c r="GVL1" s="2"/>
      <c r="GVM1" s="2"/>
      <c r="GVN1" s="2"/>
      <c r="GVO1" s="2"/>
      <c r="GVP1" s="2"/>
      <c r="GVQ1" s="2"/>
      <c r="GVR1" s="2"/>
      <c r="GVS1" s="2"/>
      <c r="GVT1" s="2"/>
      <c r="GVU1" s="2"/>
      <c r="GVV1" s="2"/>
      <c r="GVW1" s="2"/>
      <c r="GVX1" s="2"/>
      <c r="GVY1" s="2"/>
      <c r="GVZ1" s="2"/>
      <c r="GWA1" s="2"/>
      <c r="GWB1" s="2"/>
      <c r="GWC1" s="2"/>
      <c r="GWD1" s="2"/>
      <c r="GWE1" s="2"/>
      <c r="GWF1" s="2"/>
      <c r="GWG1" s="2"/>
      <c r="GWH1" s="2"/>
      <c r="GWI1" s="2"/>
      <c r="GWJ1" s="2"/>
      <c r="GWK1" s="2"/>
      <c r="GWL1" s="2"/>
      <c r="GWM1" s="2"/>
      <c r="GWN1" s="2"/>
      <c r="GWO1" s="2"/>
      <c r="GWP1" s="2"/>
      <c r="GWQ1" s="2"/>
      <c r="GWR1" s="2"/>
      <c r="GWS1" s="2"/>
      <c r="GWT1" s="2"/>
      <c r="GWU1" s="2"/>
      <c r="GWV1" s="2"/>
      <c r="GWW1" s="2"/>
      <c r="GWX1" s="2"/>
      <c r="GWY1" s="2"/>
      <c r="GWZ1" s="2"/>
      <c r="GXA1" s="2"/>
      <c r="GXB1" s="2"/>
      <c r="GXC1" s="2"/>
      <c r="GXD1" s="2"/>
      <c r="GXE1" s="2"/>
      <c r="GXF1" s="2"/>
      <c r="GXG1" s="2"/>
      <c r="GXH1" s="2"/>
      <c r="GXI1" s="2"/>
      <c r="GXJ1" s="2"/>
      <c r="GXK1" s="2"/>
      <c r="GXL1" s="2"/>
      <c r="GXM1" s="2"/>
      <c r="GXN1" s="2"/>
      <c r="GXO1" s="2"/>
      <c r="GXP1" s="2"/>
      <c r="GXQ1" s="2"/>
      <c r="GXR1" s="2"/>
      <c r="GXS1" s="2"/>
      <c r="GXT1" s="2"/>
      <c r="GXU1" s="2"/>
      <c r="GXV1" s="2"/>
      <c r="GXW1" s="2"/>
      <c r="GXX1" s="2"/>
      <c r="GXY1" s="2"/>
      <c r="GXZ1" s="2"/>
      <c r="GYA1" s="2"/>
      <c r="GYB1" s="2"/>
      <c r="GYC1" s="2"/>
      <c r="GYD1" s="2"/>
      <c r="GYE1" s="2"/>
      <c r="GYF1" s="2"/>
      <c r="GYG1" s="2"/>
      <c r="GYH1" s="2"/>
      <c r="GYI1" s="2"/>
      <c r="GYJ1" s="2"/>
      <c r="GYK1" s="2"/>
      <c r="GYL1" s="2"/>
      <c r="GYM1" s="2"/>
      <c r="GYN1" s="2"/>
      <c r="GYO1" s="2"/>
      <c r="GYP1" s="2"/>
      <c r="GYQ1" s="2"/>
      <c r="GYR1" s="2"/>
      <c r="GYS1" s="2"/>
      <c r="GYT1" s="2"/>
      <c r="GYU1" s="2"/>
      <c r="GYV1" s="2"/>
      <c r="GYW1" s="2"/>
      <c r="GYX1" s="2"/>
      <c r="GYY1" s="2"/>
      <c r="GYZ1" s="2"/>
      <c r="GZA1" s="2"/>
      <c r="GZB1" s="2"/>
      <c r="GZC1" s="2"/>
      <c r="GZD1" s="2"/>
      <c r="GZE1" s="2"/>
      <c r="GZF1" s="2"/>
      <c r="GZG1" s="2"/>
      <c r="GZH1" s="2"/>
      <c r="GZI1" s="2"/>
      <c r="GZJ1" s="2"/>
      <c r="GZK1" s="2"/>
      <c r="GZL1" s="2"/>
      <c r="GZM1" s="2"/>
      <c r="GZN1" s="2"/>
      <c r="GZO1" s="2"/>
      <c r="GZP1" s="2"/>
      <c r="GZQ1" s="2"/>
      <c r="GZR1" s="2"/>
      <c r="GZS1" s="2"/>
      <c r="GZT1" s="2"/>
      <c r="GZU1" s="2"/>
      <c r="GZV1" s="2"/>
      <c r="GZW1" s="2"/>
      <c r="GZX1" s="2"/>
      <c r="GZY1" s="2"/>
      <c r="GZZ1" s="2"/>
      <c r="HAA1" s="2"/>
      <c r="HAB1" s="2"/>
      <c r="HAC1" s="2"/>
      <c r="HAD1" s="2"/>
      <c r="HAE1" s="2"/>
      <c r="HAF1" s="2"/>
      <c r="HAG1" s="2"/>
      <c r="HAH1" s="2"/>
      <c r="HAI1" s="2"/>
      <c r="HAJ1" s="2"/>
      <c r="HAK1" s="2"/>
      <c r="HAL1" s="2"/>
      <c r="HAM1" s="2"/>
      <c r="HAN1" s="2"/>
      <c r="HAO1" s="2"/>
      <c r="HAP1" s="2"/>
      <c r="HAQ1" s="2"/>
      <c r="HAR1" s="2"/>
      <c r="HAS1" s="2"/>
      <c r="HAT1" s="2"/>
      <c r="HAU1" s="2"/>
      <c r="HAV1" s="2"/>
      <c r="HAW1" s="2"/>
      <c r="HAX1" s="2"/>
      <c r="HAY1" s="2"/>
      <c r="HAZ1" s="2"/>
      <c r="HBA1" s="2"/>
      <c r="HBB1" s="2"/>
      <c r="HBC1" s="2"/>
      <c r="HBD1" s="2"/>
      <c r="HBE1" s="2"/>
      <c r="HBF1" s="2"/>
      <c r="HBG1" s="2"/>
      <c r="HBH1" s="2"/>
      <c r="HBI1" s="2"/>
      <c r="HBJ1" s="2"/>
      <c r="HBK1" s="2"/>
      <c r="HBL1" s="2"/>
      <c r="HBM1" s="2"/>
      <c r="HBN1" s="2"/>
      <c r="HBO1" s="2"/>
      <c r="HBP1" s="2"/>
      <c r="HBQ1" s="2"/>
      <c r="HBR1" s="2"/>
      <c r="HBS1" s="2"/>
      <c r="HBT1" s="2"/>
      <c r="HBU1" s="2"/>
      <c r="HBV1" s="2"/>
      <c r="HBW1" s="2"/>
      <c r="HBX1" s="2"/>
      <c r="HBY1" s="2"/>
      <c r="HBZ1" s="2"/>
      <c r="HCA1" s="2"/>
      <c r="HCB1" s="2"/>
      <c r="HCC1" s="2"/>
      <c r="HCD1" s="2"/>
      <c r="HCE1" s="2"/>
      <c r="HCF1" s="2"/>
      <c r="HCG1" s="2"/>
      <c r="HCH1" s="2"/>
      <c r="HCI1" s="2"/>
      <c r="HCJ1" s="2"/>
      <c r="HCK1" s="2"/>
      <c r="HCL1" s="2"/>
      <c r="HCM1" s="2"/>
      <c r="HCN1" s="2"/>
      <c r="HCO1" s="2"/>
      <c r="HCP1" s="2"/>
      <c r="HCQ1" s="2"/>
      <c r="HCR1" s="2"/>
      <c r="HCS1" s="2"/>
      <c r="HCT1" s="2"/>
      <c r="HCU1" s="2"/>
      <c r="HCV1" s="2"/>
      <c r="HCW1" s="2"/>
      <c r="HCX1" s="2"/>
      <c r="HCY1" s="2"/>
      <c r="HCZ1" s="2"/>
      <c r="HDA1" s="2"/>
      <c r="HDB1" s="2"/>
      <c r="HDC1" s="2"/>
      <c r="HDD1" s="2"/>
      <c r="HDE1" s="2"/>
      <c r="HDF1" s="2"/>
      <c r="HDG1" s="2"/>
      <c r="HDH1" s="2"/>
      <c r="HDI1" s="2"/>
      <c r="HDJ1" s="2"/>
      <c r="HDK1" s="2"/>
      <c r="HDL1" s="2"/>
      <c r="HDM1" s="2"/>
      <c r="HDN1" s="2"/>
      <c r="HDO1" s="2"/>
      <c r="HDP1" s="2"/>
      <c r="HDQ1" s="2"/>
      <c r="HDR1" s="2"/>
      <c r="HDS1" s="2"/>
      <c r="HDT1" s="2"/>
      <c r="HDU1" s="2"/>
      <c r="HDV1" s="2"/>
      <c r="HDW1" s="2"/>
      <c r="HDX1" s="2"/>
      <c r="HDY1" s="2"/>
      <c r="HDZ1" s="2"/>
      <c r="HEA1" s="2"/>
      <c r="HEB1" s="2"/>
      <c r="HEC1" s="2"/>
      <c r="HED1" s="2"/>
      <c r="HEE1" s="2"/>
      <c r="HEF1" s="2"/>
      <c r="HEG1" s="2"/>
      <c r="HEH1" s="2"/>
      <c r="HEI1" s="2"/>
      <c r="HEJ1" s="2"/>
      <c r="HEK1" s="2"/>
      <c r="HEL1" s="2"/>
      <c r="HEM1" s="2"/>
      <c r="HEN1" s="2"/>
      <c r="HEO1" s="2"/>
      <c r="HEP1" s="2"/>
      <c r="HEQ1" s="2"/>
      <c r="HER1" s="2"/>
      <c r="HES1" s="2"/>
      <c r="HET1" s="2"/>
      <c r="HEU1" s="2"/>
      <c r="HEV1" s="2"/>
      <c r="HEW1" s="2"/>
      <c r="HEX1" s="2"/>
      <c r="HEY1" s="2"/>
      <c r="HEZ1" s="2"/>
      <c r="HFA1" s="2"/>
      <c r="HFB1" s="2"/>
      <c r="HFC1" s="2"/>
      <c r="HFD1" s="2"/>
      <c r="HFE1" s="2"/>
      <c r="HFF1" s="2"/>
      <c r="HFG1" s="2"/>
      <c r="HFH1" s="2"/>
      <c r="HFI1" s="2"/>
      <c r="HFJ1" s="2"/>
      <c r="HFK1" s="2"/>
      <c r="HFL1" s="2"/>
      <c r="HFM1" s="2"/>
      <c r="HFN1" s="2"/>
      <c r="HFO1" s="2"/>
      <c r="HFP1" s="2"/>
      <c r="HFQ1" s="2"/>
      <c r="HFR1" s="2"/>
      <c r="HFS1" s="2"/>
      <c r="HFT1" s="2"/>
      <c r="HFU1" s="2"/>
      <c r="HFV1" s="2"/>
      <c r="HFW1" s="2"/>
      <c r="HFX1" s="2"/>
      <c r="HFY1" s="2"/>
      <c r="HFZ1" s="2"/>
      <c r="HGA1" s="2"/>
      <c r="HGB1" s="2"/>
      <c r="HGC1" s="2"/>
      <c r="HGD1" s="2"/>
      <c r="HGE1" s="2"/>
      <c r="HGF1" s="2"/>
      <c r="HGG1" s="2"/>
      <c r="HGH1" s="2"/>
      <c r="HGI1" s="2"/>
      <c r="HGJ1" s="2"/>
      <c r="HGK1" s="2"/>
      <c r="HGL1" s="2"/>
      <c r="HGM1" s="2"/>
      <c r="HGN1" s="2"/>
      <c r="HGO1" s="2"/>
      <c r="HGP1" s="2"/>
      <c r="HGQ1" s="2"/>
      <c r="HGR1" s="2"/>
      <c r="HGS1" s="2"/>
      <c r="HGT1" s="2"/>
      <c r="HGU1" s="2"/>
      <c r="HGV1" s="2"/>
      <c r="HGW1" s="2"/>
      <c r="HGX1" s="2"/>
      <c r="HGY1" s="2"/>
      <c r="HGZ1" s="2"/>
      <c r="HHA1" s="2"/>
      <c r="HHB1" s="2"/>
      <c r="HHC1" s="2"/>
      <c r="HHD1" s="2"/>
      <c r="HHE1" s="2"/>
      <c r="HHF1" s="2"/>
      <c r="HHG1" s="2"/>
      <c r="HHH1" s="2"/>
      <c r="HHI1" s="2"/>
      <c r="HHJ1" s="2"/>
      <c r="HHK1" s="2"/>
      <c r="HHL1" s="2"/>
      <c r="HHM1" s="2"/>
      <c r="HHN1" s="2"/>
      <c r="HHO1" s="2"/>
      <c r="HHP1" s="2"/>
      <c r="HHQ1" s="2"/>
      <c r="HHR1" s="2"/>
      <c r="HHS1" s="2"/>
      <c r="HHT1" s="2"/>
      <c r="HHU1" s="2"/>
      <c r="HHV1" s="2"/>
      <c r="HHW1" s="2"/>
      <c r="HHX1" s="2"/>
      <c r="HHY1" s="2"/>
      <c r="HHZ1" s="2"/>
      <c r="HIA1" s="2"/>
      <c r="HIB1" s="2"/>
      <c r="HIC1" s="2"/>
      <c r="HID1" s="2"/>
      <c r="HIE1" s="2"/>
      <c r="HIF1" s="2"/>
      <c r="HIG1" s="2"/>
      <c r="HIH1" s="2"/>
      <c r="HII1" s="2"/>
      <c r="HIJ1" s="2"/>
      <c r="HIK1" s="2"/>
      <c r="HIL1" s="2"/>
      <c r="HIM1" s="2"/>
      <c r="HIN1" s="2"/>
      <c r="HIO1" s="2"/>
      <c r="HIP1" s="2"/>
      <c r="HIQ1" s="2"/>
      <c r="HIR1" s="2"/>
      <c r="HIS1" s="2"/>
      <c r="HIT1" s="2"/>
      <c r="HIU1" s="2"/>
      <c r="HIV1" s="2"/>
      <c r="HIW1" s="2"/>
      <c r="HIX1" s="2"/>
      <c r="HIY1" s="2"/>
      <c r="HIZ1" s="2"/>
      <c r="HJA1" s="2"/>
      <c r="HJB1" s="2"/>
      <c r="HJC1" s="2"/>
      <c r="HJD1" s="2"/>
      <c r="HJE1" s="2"/>
      <c r="HJF1" s="2"/>
      <c r="HJG1" s="2"/>
      <c r="HJH1" s="2"/>
      <c r="HJI1" s="2"/>
      <c r="HJJ1" s="2"/>
      <c r="HJK1" s="2"/>
      <c r="HJL1" s="2"/>
      <c r="HJM1" s="2"/>
      <c r="HJN1" s="2"/>
      <c r="HJO1" s="2"/>
      <c r="HJP1" s="2"/>
      <c r="HJQ1" s="2"/>
      <c r="HJR1" s="2"/>
      <c r="HJS1" s="2"/>
      <c r="HJT1" s="2"/>
      <c r="HJU1" s="2"/>
      <c r="HJV1" s="2"/>
      <c r="HJW1" s="2"/>
      <c r="HJX1" s="2"/>
      <c r="HJY1" s="2"/>
      <c r="HJZ1" s="2"/>
      <c r="HKA1" s="2"/>
      <c r="HKB1" s="2"/>
      <c r="HKC1" s="2"/>
      <c r="HKD1" s="2"/>
      <c r="HKE1" s="2"/>
      <c r="HKF1" s="2"/>
      <c r="HKG1" s="2"/>
      <c r="HKH1" s="2"/>
      <c r="HKI1" s="2"/>
      <c r="HKJ1" s="2"/>
      <c r="HKK1" s="2"/>
      <c r="HKL1" s="2"/>
      <c r="HKM1" s="2"/>
      <c r="HKN1" s="2"/>
      <c r="HKO1" s="2"/>
      <c r="HKP1" s="2"/>
      <c r="HKQ1" s="2"/>
      <c r="HKR1" s="2"/>
      <c r="HKS1" s="2"/>
      <c r="HKT1" s="2"/>
      <c r="HKU1" s="2"/>
      <c r="HKV1" s="2"/>
      <c r="HKW1" s="2"/>
      <c r="HKX1" s="2"/>
      <c r="HKY1" s="2"/>
      <c r="HKZ1" s="2"/>
      <c r="HLA1" s="2"/>
      <c r="HLB1" s="2"/>
      <c r="HLC1" s="2"/>
      <c r="HLD1" s="2"/>
      <c r="HLE1" s="2"/>
      <c r="HLF1" s="2"/>
      <c r="HLG1" s="2"/>
      <c r="HLH1" s="2"/>
      <c r="HLI1" s="2"/>
      <c r="HLJ1" s="2"/>
      <c r="HLK1" s="2"/>
      <c r="HLL1" s="2"/>
      <c r="HLM1" s="2"/>
      <c r="HLN1" s="2"/>
      <c r="HLO1" s="2"/>
      <c r="HLP1" s="2"/>
      <c r="HLQ1" s="2"/>
      <c r="HLR1" s="2"/>
      <c r="HLS1" s="2"/>
      <c r="HLT1" s="2"/>
      <c r="HLU1" s="2"/>
      <c r="HLV1" s="2"/>
      <c r="HLW1" s="2"/>
      <c r="HLX1" s="2"/>
      <c r="HLY1" s="2"/>
      <c r="HLZ1" s="2"/>
      <c r="HMA1" s="2"/>
      <c r="HMB1" s="2"/>
      <c r="HMC1" s="2"/>
      <c r="HMD1" s="2"/>
      <c r="HME1" s="2"/>
      <c r="HMF1" s="2"/>
      <c r="HMG1" s="2"/>
      <c r="HMH1" s="2"/>
      <c r="HMI1" s="2"/>
      <c r="HMJ1" s="2"/>
      <c r="HMK1" s="2"/>
      <c r="HML1" s="2"/>
      <c r="HMM1" s="2"/>
      <c r="HMN1" s="2"/>
      <c r="HMO1" s="2"/>
      <c r="HMP1" s="2"/>
      <c r="HMQ1" s="2"/>
      <c r="HMR1" s="2"/>
      <c r="HMS1" s="2"/>
      <c r="HMT1" s="2"/>
      <c r="HMU1" s="2"/>
      <c r="HMV1" s="2"/>
      <c r="HMW1" s="2"/>
      <c r="HMX1" s="2"/>
      <c r="HMY1" s="2"/>
      <c r="HMZ1" s="2"/>
      <c r="HNA1" s="2"/>
      <c r="HNB1" s="2"/>
      <c r="HNC1" s="2"/>
      <c r="HND1" s="2"/>
      <c r="HNE1" s="2"/>
      <c r="HNF1" s="2"/>
      <c r="HNG1" s="2"/>
      <c r="HNH1" s="2"/>
      <c r="HNI1" s="2"/>
      <c r="HNJ1" s="2"/>
      <c r="HNK1" s="2"/>
      <c r="HNL1" s="2"/>
      <c r="HNM1" s="2"/>
      <c r="HNN1" s="2"/>
      <c r="HNO1" s="2"/>
      <c r="HNP1" s="2"/>
      <c r="HNQ1" s="2"/>
      <c r="HNR1" s="2"/>
      <c r="HNS1" s="2"/>
      <c r="HNT1" s="2"/>
      <c r="HNU1" s="2"/>
      <c r="HNV1" s="2"/>
      <c r="HNW1" s="2"/>
      <c r="HNX1" s="2"/>
      <c r="HNY1" s="2"/>
      <c r="HNZ1" s="2"/>
      <c r="HOA1" s="2"/>
      <c r="HOB1" s="2"/>
      <c r="HOC1" s="2"/>
      <c r="HOD1" s="2"/>
      <c r="HOE1" s="2"/>
      <c r="HOF1" s="2"/>
      <c r="HOG1" s="2"/>
      <c r="HOH1" s="2"/>
      <c r="HOI1" s="2"/>
      <c r="HOJ1" s="2"/>
      <c r="HOK1" s="2"/>
      <c r="HOL1" s="2"/>
      <c r="HOM1" s="2"/>
      <c r="HON1" s="2"/>
      <c r="HOO1" s="2"/>
      <c r="HOP1" s="2"/>
      <c r="HOQ1" s="2"/>
      <c r="HOR1" s="2"/>
      <c r="HOS1" s="2"/>
      <c r="HOT1" s="2"/>
      <c r="HOU1" s="2"/>
      <c r="HOV1" s="2"/>
      <c r="HOW1" s="2"/>
      <c r="HOX1" s="2"/>
      <c r="HOY1" s="2"/>
      <c r="HOZ1" s="2"/>
      <c r="HPA1" s="2"/>
      <c r="HPB1" s="2"/>
      <c r="HPC1" s="2"/>
      <c r="HPD1" s="2"/>
      <c r="HPE1" s="2"/>
      <c r="HPF1" s="2"/>
      <c r="HPG1" s="2"/>
      <c r="HPH1" s="2"/>
      <c r="HPI1" s="2"/>
      <c r="HPJ1" s="2"/>
      <c r="HPK1" s="2"/>
      <c r="HPL1" s="2"/>
      <c r="HPM1" s="2"/>
      <c r="HPN1" s="2"/>
      <c r="HPO1" s="2"/>
      <c r="HPP1" s="2"/>
      <c r="HPQ1" s="2"/>
      <c r="HPR1" s="2"/>
      <c r="HPS1" s="2"/>
      <c r="HPT1" s="2"/>
      <c r="HPU1" s="2"/>
      <c r="HPV1" s="2"/>
      <c r="HPW1" s="2"/>
      <c r="HPX1" s="2"/>
      <c r="HPY1" s="2"/>
      <c r="HPZ1" s="2"/>
      <c r="HQA1" s="2"/>
      <c r="HQB1" s="2"/>
      <c r="HQC1" s="2"/>
      <c r="HQD1" s="2"/>
      <c r="HQE1" s="2"/>
      <c r="HQF1" s="2"/>
      <c r="HQG1" s="2"/>
      <c r="HQH1" s="2"/>
      <c r="HQI1" s="2"/>
      <c r="HQJ1" s="2"/>
      <c r="HQK1" s="2"/>
      <c r="HQL1" s="2"/>
      <c r="HQM1" s="2"/>
      <c r="HQN1" s="2"/>
      <c r="HQO1" s="2"/>
      <c r="HQP1" s="2"/>
      <c r="HQQ1" s="2"/>
      <c r="HQR1" s="2"/>
      <c r="HQS1" s="2"/>
      <c r="HQT1" s="2"/>
      <c r="HQU1" s="2"/>
      <c r="HQV1" s="2"/>
      <c r="HQW1" s="2"/>
      <c r="HQX1" s="2"/>
      <c r="HQY1" s="2"/>
      <c r="HQZ1" s="2"/>
      <c r="HRA1" s="2"/>
      <c r="HRB1" s="2"/>
      <c r="HRC1" s="2"/>
      <c r="HRD1" s="2"/>
      <c r="HRE1" s="2"/>
      <c r="HRF1" s="2"/>
      <c r="HRG1" s="2"/>
      <c r="HRH1" s="2"/>
      <c r="HRI1" s="2"/>
      <c r="HRJ1" s="2"/>
      <c r="HRK1" s="2"/>
      <c r="HRL1" s="2"/>
      <c r="HRM1" s="2"/>
      <c r="HRN1" s="2"/>
      <c r="HRO1" s="2"/>
      <c r="HRP1" s="2"/>
      <c r="HRQ1" s="2"/>
      <c r="HRR1" s="2"/>
      <c r="HRS1" s="2"/>
      <c r="HRT1" s="2"/>
      <c r="HRU1" s="2"/>
      <c r="HRV1" s="2"/>
      <c r="HRW1" s="2"/>
      <c r="HRX1" s="2"/>
      <c r="HRY1" s="2"/>
      <c r="HRZ1" s="2"/>
      <c r="HSA1" s="2"/>
      <c r="HSB1" s="2"/>
      <c r="HSC1" s="2"/>
      <c r="HSD1" s="2"/>
      <c r="HSE1" s="2"/>
      <c r="HSF1" s="2"/>
      <c r="HSG1" s="2"/>
      <c r="HSH1" s="2"/>
      <c r="HSI1" s="2"/>
      <c r="HSJ1" s="2"/>
      <c r="HSK1" s="2"/>
      <c r="HSL1" s="2"/>
      <c r="HSM1" s="2"/>
      <c r="HSN1" s="2"/>
      <c r="HSO1" s="2"/>
      <c r="HSP1" s="2"/>
      <c r="HSQ1" s="2"/>
      <c r="HSR1" s="2"/>
      <c r="HSS1" s="2"/>
      <c r="HST1" s="2"/>
      <c r="HSU1" s="2"/>
      <c r="HSV1" s="2"/>
      <c r="HSW1" s="2"/>
      <c r="HSX1" s="2"/>
      <c r="HSY1" s="2"/>
      <c r="HSZ1" s="2"/>
      <c r="HTA1" s="2"/>
      <c r="HTB1" s="2"/>
      <c r="HTC1" s="2"/>
      <c r="HTD1" s="2"/>
      <c r="HTE1" s="2"/>
      <c r="HTF1" s="2"/>
      <c r="HTG1" s="2"/>
      <c r="HTH1" s="2"/>
      <c r="HTI1" s="2"/>
      <c r="HTJ1" s="2"/>
      <c r="HTK1" s="2"/>
      <c r="HTL1" s="2"/>
      <c r="HTM1" s="2"/>
      <c r="HTN1" s="2"/>
      <c r="HTO1" s="2"/>
      <c r="HTP1" s="2"/>
      <c r="HTQ1" s="2"/>
      <c r="HTR1" s="2"/>
      <c r="HTS1" s="2"/>
      <c r="HTT1" s="2"/>
      <c r="HTU1" s="2"/>
      <c r="HTV1" s="2"/>
      <c r="HTW1" s="2"/>
      <c r="HTX1" s="2"/>
      <c r="HTY1" s="2"/>
      <c r="HTZ1" s="2"/>
      <c r="HUA1" s="2"/>
      <c r="HUB1" s="2"/>
      <c r="HUC1" s="2"/>
      <c r="HUD1" s="2"/>
      <c r="HUE1" s="2"/>
      <c r="HUF1" s="2"/>
      <c r="HUG1" s="2"/>
      <c r="HUH1" s="2"/>
      <c r="HUI1" s="2"/>
      <c r="HUJ1" s="2"/>
      <c r="HUK1" s="2"/>
      <c r="HUL1" s="2"/>
      <c r="HUM1" s="2"/>
      <c r="HUN1" s="2"/>
      <c r="HUO1" s="2"/>
      <c r="HUP1" s="2"/>
      <c r="HUQ1" s="2"/>
      <c r="HUR1" s="2"/>
      <c r="HUS1" s="2"/>
      <c r="HUT1" s="2"/>
      <c r="HUU1" s="2"/>
      <c r="HUV1" s="2"/>
      <c r="HUW1" s="2"/>
      <c r="HUX1" s="2"/>
      <c r="HUY1" s="2"/>
      <c r="HUZ1" s="2"/>
      <c r="HVA1" s="2"/>
      <c r="HVB1" s="2"/>
      <c r="HVC1" s="2"/>
      <c r="HVD1" s="2"/>
      <c r="HVE1" s="2"/>
      <c r="HVF1" s="2"/>
      <c r="HVG1" s="2"/>
      <c r="HVH1" s="2"/>
      <c r="HVI1" s="2"/>
      <c r="HVJ1" s="2"/>
      <c r="HVK1" s="2"/>
      <c r="HVL1" s="2"/>
      <c r="HVM1" s="2"/>
      <c r="HVN1" s="2"/>
      <c r="HVO1" s="2"/>
      <c r="HVP1" s="2"/>
      <c r="HVQ1" s="2"/>
      <c r="HVR1" s="2"/>
      <c r="HVS1" s="2"/>
      <c r="HVT1" s="2"/>
      <c r="HVU1" s="2"/>
      <c r="HVV1" s="2"/>
      <c r="HVW1" s="2"/>
      <c r="HVX1" s="2"/>
      <c r="HVY1" s="2"/>
      <c r="HVZ1" s="2"/>
      <c r="HWA1" s="2"/>
      <c r="HWB1" s="2"/>
      <c r="HWC1" s="2"/>
      <c r="HWD1" s="2"/>
      <c r="HWE1" s="2"/>
      <c r="HWF1" s="2"/>
      <c r="HWG1" s="2"/>
      <c r="HWH1" s="2"/>
      <c r="HWI1" s="2"/>
      <c r="HWJ1" s="2"/>
      <c r="HWK1" s="2"/>
      <c r="HWL1" s="2"/>
      <c r="HWM1" s="2"/>
      <c r="HWN1" s="2"/>
      <c r="HWO1" s="2"/>
      <c r="HWP1" s="2"/>
      <c r="HWQ1" s="2"/>
      <c r="HWR1" s="2"/>
      <c r="HWS1" s="2"/>
      <c r="HWT1" s="2"/>
      <c r="HWU1" s="2"/>
      <c r="HWV1" s="2"/>
      <c r="HWW1" s="2"/>
      <c r="HWX1" s="2"/>
      <c r="HWY1" s="2"/>
      <c r="HWZ1" s="2"/>
      <c r="HXA1" s="2"/>
      <c r="HXB1" s="2"/>
      <c r="HXC1" s="2"/>
      <c r="HXD1" s="2"/>
      <c r="HXE1" s="2"/>
      <c r="HXF1" s="2"/>
      <c r="HXG1" s="2"/>
      <c r="HXH1" s="2"/>
      <c r="HXI1" s="2"/>
      <c r="HXJ1" s="2"/>
      <c r="HXK1" s="2"/>
      <c r="HXL1" s="2"/>
      <c r="HXM1" s="2"/>
      <c r="HXN1" s="2"/>
      <c r="HXO1" s="2"/>
      <c r="HXP1" s="2"/>
      <c r="HXQ1" s="2"/>
      <c r="HXR1" s="2"/>
      <c r="HXS1" s="2"/>
      <c r="HXT1" s="2"/>
      <c r="HXU1" s="2"/>
      <c r="HXV1" s="2"/>
      <c r="HXW1" s="2"/>
      <c r="HXX1" s="2"/>
      <c r="HXY1" s="2"/>
      <c r="HXZ1" s="2"/>
      <c r="HYA1" s="2"/>
      <c r="HYB1" s="2"/>
      <c r="HYC1" s="2"/>
      <c r="HYD1" s="2"/>
      <c r="HYE1" s="2"/>
      <c r="HYF1" s="2"/>
      <c r="HYG1" s="2"/>
      <c r="HYH1" s="2"/>
      <c r="HYI1" s="2"/>
      <c r="HYJ1" s="2"/>
      <c r="HYK1" s="2"/>
      <c r="HYL1" s="2"/>
      <c r="HYM1" s="2"/>
      <c r="HYN1" s="2"/>
      <c r="HYO1" s="2"/>
      <c r="HYP1" s="2"/>
      <c r="HYQ1" s="2"/>
      <c r="HYR1" s="2"/>
      <c r="HYS1" s="2"/>
      <c r="HYT1" s="2"/>
      <c r="HYU1" s="2"/>
      <c r="HYV1" s="2"/>
      <c r="HYW1" s="2"/>
      <c r="HYX1" s="2"/>
      <c r="HYY1" s="2"/>
      <c r="HYZ1" s="2"/>
      <c r="HZA1" s="2"/>
      <c r="HZB1" s="2"/>
      <c r="HZC1" s="2"/>
      <c r="HZD1" s="2"/>
      <c r="HZE1" s="2"/>
      <c r="HZF1" s="2"/>
      <c r="HZG1" s="2"/>
      <c r="HZH1" s="2"/>
      <c r="HZI1" s="2"/>
      <c r="HZJ1" s="2"/>
      <c r="HZK1" s="2"/>
      <c r="HZL1" s="2"/>
      <c r="HZM1" s="2"/>
      <c r="HZN1" s="2"/>
      <c r="HZO1" s="2"/>
      <c r="HZP1" s="2"/>
      <c r="HZQ1" s="2"/>
      <c r="HZR1" s="2"/>
      <c r="HZS1" s="2"/>
      <c r="HZT1" s="2"/>
      <c r="HZU1" s="2"/>
      <c r="HZV1" s="2"/>
      <c r="HZW1" s="2"/>
      <c r="HZX1" s="2"/>
      <c r="HZY1" s="2"/>
      <c r="HZZ1" s="2"/>
      <c r="IAA1" s="2"/>
      <c r="IAB1" s="2"/>
      <c r="IAC1" s="2"/>
      <c r="IAD1" s="2"/>
      <c r="IAE1" s="2"/>
      <c r="IAF1" s="2"/>
      <c r="IAG1" s="2"/>
      <c r="IAH1" s="2"/>
      <c r="IAI1" s="2"/>
      <c r="IAJ1" s="2"/>
      <c r="IAK1" s="2"/>
      <c r="IAL1" s="2"/>
      <c r="IAM1" s="2"/>
      <c r="IAN1" s="2"/>
      <c r="IAO1" s="2"/>
      <c r="IAP1" s="2"/>
      <c r="IAQ1" s="2"/>
      <c r="IAR1" s="2"/>
      <c r="IAS1" s="2"/>
      <c r="IAT1" s="2"/>
      <c r="IAU1" s="2"/>
      <c r="IAV1" s="2"/>
      <c r="IAW1" s="2"/>
      <c r="IAX1" s="2"/>
      <c r="IAY1" s="2"/>
      <c r="IAZ1" s="2"/>
      <c r="IBA1" s="2"/>
      <c r="IBB1" s="2"/>
      <c r="IBC1" s="2"/>
      <c r="IBD1" s="2"/>
      <c r="IBE1" s="2"/>
      <c r="IBF1" s="2"/>
      <c r="IBG1" s="2"/>
      <c r="IBH1" s="2"/>
      <c r="IBI1" s="2"/>
      <c r="IBJ1" s="2"/>
      <c r="IBK1" s="2"/>
      <c r="IBL1" s="2"/>
      <c r="IBM1" s="2"/>
      <c r="IBN1" s="2"/>
      <c r="IBO1" s="2"/>
      <c r="IBP1" s="2"/>
      <c r="IBQ1" s="2"/>
      <c r="IBR1" s="2"/>
      <c r="IBS1" s="2"/>
      <c r="IBT1" s="2"/>
      <c r="IBU1" s="2"/>
      <c r="IBV1" s="2"/>
      <c r="IBW1" s="2"/>
      <c r="IBX1" s="2"/>
      <c r="IBY1" s="2"/>
      <c r="IBZ1" s="2"/>
      <c r="ICA1" s="2"/>
      <c r="ICB1" s="2"/>
      <c r="ICC1" s="2"/>
      <c r="ICD1" s="2"/>
      <c r="ICE1" s="2"/>
      <c r="ICF1" s="2"/>
      <c r="ICG1" s="2"/>
      <c r="ICH1" s="2"/>
      <c r="ICI1" s="2"/>
      <c r="ICJ1" s="2"/>
      <c r="ICK1" s="2"/>
      <c r="ICL1" s="2"/>
      <c r="ICM1" s="2"/>
      <c r="ICN1" s="2"/>
      <c r="ICO1" s="2"/>
      <c r="ICP1" s="2"/>
      <c r="ICQ1" s="2"/>
      <c r="ICR1" s="2"/>
      <c r="ICS1" s="2"/>
      <c r="ICT1" s="2"/>
      <c r="ICU1" s="2"/>
      <c r="ICV1" s="2"/>
      <c r="ICW1" s="2"/>
      <c r="ICX1" s="2"/>
      <c r="ICY1" s="2"/>
      <c r="ICZ1" s="2"/>
      <c r="IDA1" s="2"/>
      <c r="IDB1" s="2"/>
      <c r="IDC1" s="2"/>
      <c r="IDD1" s="2"/>
      <c r="IDE1" s="2"/>
      <c r="IDF1" s="2"/>
      <c r="IDG1" s="2"/>
      <c r="IDH1" s="2"/>
      <c r="IDI1" s="2"/>
      <c r="IDJ1" s="2"/>
      <c r="IDK1" s="2"/>
      <c r="IDL1" s="2"/>
      <c r="IDM1" s="2"/>
      <c r="IDN1" s="2"/>
      <c r="IDO1" s="2"/>
      <c r="IDP1" s="2"/>
      <c r="IDQ1" s="2"/>
      <c r="IDR1" s="2"/>
      <c r="IDS1" s="2"/>
      <c r="IDT1" s="2"/>
      <c r="IDU1" s="2"/>
      <c r="IDV1" s="2"/>
      <c r="IDW1" s="2"/>
      <c r="IDX1" s="2"/>
      <c r="IDY1" s="2"/>
      <c r="IDZ1" s="2"/>
      <c r="IEA1" s="2"/>
      <c r="IEB1" s="2"/>
      <c r="IEC1" s="2"/>
      <c r="IED1" s="2"/>
      <c r="IEE1" s="2"/>
      <c r="IEF1" s="2"/>
      <c r="IEG1" s="2"/>
      <c r="IEH1" s="2"/>
      <c r="IEI1" s="2"/>
      <c r="IEJ1" s="2"/>
      <c r="IEK1" s="2"/>
      <c r="IEL1" s="2"/>
      <c r="IEM1" s="2"/>
      <c r="IEN1" s="2"/>
      <c r="IEO1" s="2"/>
      <c r="IEP1" s="2"/>
      <c r="IEQ1" s="2"/>
      <c r="IER1" s="2"/>
      <c r="IES1" s="2"/>
      <c r="IET1" s="2"/>
      <c r="IEU1" s="2"/>
      <c r="IEV1" s="2"/>
      <c r="IEW1" s="2"/>
      <c r="IEX1" s="2"/>
      <c r="IEY1" s="2"/>
      <c r="IEZ1" s="2"/>
      <c r="IFA1" s="2"/>
      <c r="IFB1" s="2"/>
      <c r="IFC1" s="2"/>
      <c r="IFD1" s="2"/>
      <c r="IFE1" s="2"/>
      <c r="IFF1" s="2"/>
      <c r="IFG1" s="2"/>
      <c r="IFH1" s="2"/>
      <c r="IFI1" s="2"/>
      <c r="IFJ1" s="2"/>
      <c r="IFK1" s="2"/>
      <c r="IFL1" s="2"/>
      <c r="IFM1" s="2"/>
      <c r="IFN1" s="2"/>
      <c r="IFO1" s="2"/>
      <c r="IFP1" s="2"/>
      <c r="IFQ1" s="2"/>
      <c r="IFR1" s="2"/>
      <c r="IFS1" s="2"/>
      <c r="IFT1" s="2"/>
      <c r="IFU1" s="2"/>
      <c r="IFV1" s="2"/>
      <c r="IFW1" s="2"/>
      <c r="IFX1" s="2"/>
      <c r="IFY1" s="2"/>
      <c r="IFZ1" s="2"/>
      <c r="IGA1" s="2"/>
      <c r="IGB1" s="2"/>
      <c r="IGC1" s="2"/>
      <c r="IGD1" s="2"/>
      <c r="IGE1" s="2"/>
      <c r="IGF1" s="2"/>
      <c r="IGG1" s="2"/>
      <c r="IGH1" s="2"/>
      <c r="IGI1" s="2"/>
      <c r="IGJ1" s="2"/>
      <c r="IGK1" s="2"/>
      <c r="IGL1" s="2"/>
      <c r="IGM1" s="2"/>
      <c r="IGN1" s="2"/>
      <c r="IGO1" s="2"/>
      <c r="IGP1" s="2"/>
      <c r="IGQ1" s="2"/>
      <c r="IGR1" s="2"/>
      <c r="IGS1" s="2"/>
      <c r="IGT1" s="2"/>
      <c r="IGU1" s="2"/>
      <c r="IGV1" s="2"/>
      <c r="IGW1" s="2"/>
      <c r="IGX1" s="2"/>
      <c r="IGY1" s="2"/>
      <c r="IGZ1" s="2"/>
      <c r="IHA1" s="2"/>
      <c r="IHB1" s="2"/>
      <c r="IHC1" s="2"/>
      <c r="IHD1" s="2"/>
      <c r="IHE1" s="2"/>
      <c r="IHF1" s="2"/>
      <c r="IHG1" s="2"/>
      <c r="IHH1" s="2"/>
      <c r="IHI1" s="2"/>
      <c r="IHJ1" s="2"/>
      <c r="IHK1" s="2"/>
      <c r="IHL1" s="2"/>
      <c r="IHM1" s="2"/>
      <c r="IHN1" s="2"/>
      <c r="IHO1" s="2"/>
      <c r="IHP1" s="2"/>
      <c r="IHQ1" s="2"/>
      <c r="IHR1" s="2"/>
      <c r="IHS1" s="2"/>
      <c r="IHT1" s="2"/>
      <c r="IHU1" s="2"/>
      <c r="IHV1" s="2"/>
      <c r="IHW1" s="2"/>
      <c r="IHX1" s="2"/>
      <c r="IHY1" s="2"/>
      <c r="IHZ1" s="2"/>
      <c r="IIA1" s="2"/>
      <c r="IIB1" s="2"/>
      <c r="IIC1" s="2"/>
      <c r="IID1" s="2"/>
      <c r="IIE1" s="2"/>
      <c r="IIF1" s="2"/>
      <c r="IIG1" s="2"/>
      <c r="IIH1" s="2"/>
      <c r="III1" s="2"/>
      <c r="IIJ1" s="2"/>
      <c r="IIK1" s="2"/>
      <c r="IIL1" s="2"/>
      <c r="IIM1" s="2"/>
      <c r="IIN1" s="2"/>
      <c r="IIO1" s="2"/>
      <c r="IIP1" s="2"/>
      <c r="IIQ1" s="2"/>
      <c r="IIR1" s="2"/>
      <c r="IIS1" s="2"/>
      <c r="IIT1" s="2"/>
      <c r="IIU1" s="2"/>
      <c r="IIV1" s="2"/>
      <c r="IIW1" s="2"/>
      <c r="IIX1" s="2"/>
      <c r="IIY1" s="2"/>
      <c r="IIZ1" s="2"/>
      <c r="IJA1" s="2"/>
      <c r="IJB1" s="2"/>
      <c r="IJC1" s="2"/>
      <c r="IJD1" s="2"/>
      <c r="IJE1" s="2"/>
      <c r="IJF1" s="2"/>
      <c r="IJG1" s="2"/>
      <c r="IJH1" s="2"/>
      <c r="IJI1" s="2"/>
      <c r="IJJ1" s="2"/>
      <c r="IJK1" s="2"/>
      <c r="IJL1" s="2"/>
      <c r="IJM1" s="2"/>
      <c r="IJN1" s="2"/>
      <c r="IJO1" s="2"/>
      <c r="IJP1" s="2"/>
      <c r="IJQ1" s="2"/>
      <c r="IJR1" s="2"/>
      <c r="IJS1" s="2"/>
      <c r="IJT1" s="2"/>
      <c r="IJU1" s="2"/>
      <c r="IJV1" s="2"/>
      <c r="IJW1" s="2"/>
      <c r="IJX1" s="2"/>
      <c r="IJY1" s="2"/>
      <c r="IJZ1" s="2"/>
      <c r="IKA1" s="2"/>
      <c r="IKB1" s="2"/>
      <c r="IKC1" s="2"/>
      <c r="IKD1" s="2"/>
      <c r="IKE1" s="2"/>
      <c r="IKF1" s="2"/>
      <c r="IKG1" s="2"/>
      <c r="IKH1" s="2"/>
      <c r="IKI1" s="2"/>
      <c r="IKJ1" s="2"/>
      <c r="IKK1" s="2"/>
      <c r="IKL1" s="2"/>
      <c r="IKM1" s="2"/>
      <c r="IKN1" s="2"/>
      <c r="IKO1" s="2"/>
      <c r="IKP1" s="2"/>
      <c r="IKQ1" s="2"/>
      <c r="IKR1" s="2"/>
      <c r="IKS1" s="2"/>
      <c r="IKT1" s="2"/>
      <c r="IKU1" s="2"/>
      <c r="IKV1" s="2"/>
      <c r="IKW1" s="2"/>
      <c r="IKX1" s="2"/>
      <c r="IKY1" s="2"/>
      <c r="IKZ1" s="2"/>
      <c r="ILA1" s="2"/>
      <c r="ILB1" s="2"/>
      <c r="ILC1" s="2"/>
      <c r="ILD1" s="2"/>
      <c r="ILE1" s="2"/>
      <c r="ILF1" s="2"/>
      <c r="ILG1" s="2"/>
      <c r="ILH1" s="2"/>
      <c r="ILI1" s="2"/>
      <c r="ILJ1" s="2"/>
      <c r="ILK1" s="2"/>
      <c r="ILL1" s="2"/>
      <c r="ILM1" s="2"/>
      <c r="ILN1" s="2"/>
      <c r="ILO1" s="2"/>
      <c r="ILP1" s="2"/>
      <c r="ILQ1" s="2"/>
      <c r="ILR1" s="2"/>
      <c r="ILS1" s="2"/>
      <c r="ILT1" s="2"/>
      <c r="ILU1" s="2"/>
      <c r="ILV1" s="2"/>
      <c r="ILW1" s="2"/>
      <c r="ILX1" s="2"/>
      <c r="ILY1" s="2"/>
      <c r="ILZ1" s="2"/>
      <c r="IMA1" s="2"/>
      <c r="IMB1" s="2"/>
      <c r="IMC1" s="2"/>
      <c r="IMD1" s="2"/>
      <c r="IME1" s="2"/>
      <c r="IMF1" s="2"/>
      <c r="IMG1" s="2"/>
      <c r="IMH1" s="2"/>
      <c r="IMI1" s="2"/>
      <c r="IMJ1" s="2"/>
      <c r="IMK1" s="2"/>
      <c r="IML1" s="2"/>
      <c r="IMM1" s="2"/>
      <c r="IMN1" s="2"/>
      <c r="IMO1" s="2"/>
      <c r="IMP1" s="2"/>
      <c r="IMQ1" s="2"/>
      <c r="IMR1" s="2"/>
      <c r="IMS1" s="2"/>
      <c r="IMT1" s="2"/>
      <c r="IMU1" s="2"/>
      <c r="IMV1" s="2"/>
      <c r="IMW1" s="2"/>
      <c r="IMX1" s="2"/>
      <c r="IMY1" s="2"/>
      <c r="IMZ1" s="2"/>
      <c r="INA1" s="2"/>
      <c r="INB1" s="2"/>
      <c r="INC1" s="2"/>
      <c r="IND1" s="2"/>
      <c r="INE1" s="2"/>
      <c r="INF1" s="2"/>
      <c r="ING1" s="2"/>
      <c r="INH1" s="2"/>
      <c r="INI1" s="2"/>
      <c r="INJ1" s="2"/>
      <c r="INK1" s="2"/>
      <c r="INL1" s="2"/>
      <c r="INM1" s="2"/>
      <c r="INN1" s="2"/>
      <c r="INO1" s="2"/>
      <c r="INP1" s="2"/>
      <c r="INQ1" s="2"/>
      <c r="INR1" s="2"/>
      <c r="INS1" s="2"/>
      <c r="INT1" s="2"/>
      <c r="INU1" s="2"/>
      <c r="INV1" s="2"/>
      <c r="INW1" s="2"/>
      <c r="INX1" s="2"/>
      <c r="INY1" s="2"/>
      <c r="INZ1" s="2"/>
      <c r="IOA1" s="2"/>
      <c r="IOB1" s="2"/>
      <c r="IOC1" s="2"/>
      <c r="IOD1" s="2"/>
      <c r="IOE1" s="2"/>
      <c r="IOF1" s="2"/>
      <c r="IOG1" s="2"/>
      <c r="IOH1" s="2"/>
      <c r="IOI1" s="2"/>
      <c r="IOJ1" s="2"/>
      <c r="IOK1" s="2"/>
      <c r="IOL1" s="2"/>
      <c r="IOM1" s="2"/>
      <c r="ION1" s="2"/>
      <c r="IOO1" s="2"/>
      <c r="IOP1" s="2"/>
      <c r="IOQ1" s="2"/>
      <c r="IOR1" s="2"/>
      <c r="IOS1" s="2"/>
      <c r="IOT1" s="2"/>
      <c r="IOU1" s="2"/>
      <c r="IOV1" s="2"/>
      <c r="IOW1" s="2"/>
      <c r="IOX1" s="2"/>
      <c r="IOY1" s="2"/>
      <c r="IOZ1" s="2"/>
      <c r="IPA1" s="2"/>
      <c r="IPB1" s="2"/>
      <c r="IPC1" s="2"/>
      <c r="IPD1" s="2"/>
      <c r="IPE1" s="2"/>
      <c r="IPF1" s="2"/>
      <c r="IPG1" s="2"/>
      <c r="IPH1" s="2"/>
      <c r="IPI1" s="2"/>
      <c r="IPJ1" s="2"/>
      <c r="IPK1" s="2"/>
      <c r="IPL1" s="2"/>
      <c r="IPM1" s="2"/>
      <c r="IPN1" s="2"/>
      <c r="IPO1" s="2"/>
      <c r="IPP1" s="2"/>
      <c r="IPQ1" s="2"/>
      <c r="IPR1" s="2"/>
      <c r="IPS1" s="2"/>
      <c r="IPT1" s="2"/>
      <c r="IPU1" s="2"/>
      <c r="IPV1" s="2"/>
      <c r="IPW1" s="2"/>
      <c r="IPX1" s="2"/>
      <c r="IPY1" s="2"/>
      <c r="IPZ1" s="2"/>
      <c r="IQA1" s="2"/>
      <c r="IQB1" s="2"/>
      <c r="IQC1" s="2"/>
      <c r="IQD1" s="2"/>
      <c r="IQE1" s="2"/>
      <c r="IQF1" s="2"/>
      <c r="IQG1" s="2"/>
      <c r="IQH1" s="2"/>
      <c r="IQI1" s="2"/>
      <c r="IQJ1" s="2"/>
      <c r="IQK1" s="2"/>
      <c r="IQL1" s="2"/>
      <c r="IQM1" s="2"/>
      <c r="IQN1" s="2"/>
      <c r="IQO1" s="2"/>
      <c r="IQP1" s="2"/>
      <c r="IQQ1" s="2"/>
      <c r="IQR1" s="2"/>
      <c r="IQS1" s="2"/>
      <c r="IQT1" s="2"/>
      <c r="IQU1" s="2"/>
      <c r="IQV1" s="2"/>
      <c r="IQW1" s="2"/>
      <c r="IQX1" s="2"/>
      <c r="IQY1" s="2"/>
      <c r="IQZ1" s="2"/>
      <c r="IRA1" s="2"/>
      <c r="IRB1" s="2"/>
      <c r="IRC1" s="2"/>
      <c r="IRD1" s="2"/>
      <c r="IRE1" s="2"/>
      <c r="IRF1" s="2"/>
      <c r="IRG1" s="2"/>
      <c r="IRH1" s="2"/>
      <c r="IRI1" s="2"/>
      <c r="IRJ1" s="2"/>
      <c r="IRK1" s="2"/>
      <c r="IRL1" s="2"/>
      <c r="IRM1" s="2"/>
      <c r="IRN1" s="2"/>
      <c r="IRO1" s="2"/>
      <c r="IRP1" s="2"/>
      <c r="IRQ1" s="2"/>
      <c r="IRR1" s="2"/>
      <c r="IRS1" s="2"/>
      <c r="IRT1" s="2"/>
      <c r="IRU1" s="2"/>
      <c r="IRV1" s="2"/>
      <c r="IRW1" s="2"/>
      <c r="IRX1" s="2"/>
      <c r="IRY1" s="2"/>
      <c r="IRZ1" s="2"/>
      <c r="ISA1" s="2"/>
      <c r="ISB1" s="2"/>
      <c r="ISC1" s="2"/>
      <c r="ISD1" s="2"/>
      <c r="ISE1" s="2"/>
      <c r="ISF1" s="2"/>
      <c r="ISG1" s="2"/>
      <c r="ISH1" s="2"/>
      <c r="ISI1" s="2"/>
      <c r="ISJ1" s="2"/>
      <c r="ISK1" s="2"/>
      <c r="ISL1" s="2"/>
      <c r="ISM1" s="2"/>
      <c r="ISN1" s="2"/>
      <c r="ISO1" s="2"/>
      <c r="ISP1" s="2"/>
      <c r="ISQ1" s="2"/>
      <c r="ISR1" s="2"/>
      <c r="ISS1" s="2"/>
      <c r="IST1" s="2"/>
      <c r="ISU1" s="2"/>
      <c r="ISV1" s="2"/>
      <c r="ISW1" s="2"/>
      <c r="ISX1" s="2"/>
      <c r="ISY1" s="2"/>
      <c r="ISZ1" s="2"/>
      <c r="ITA1" s="2"/>
      <c r="ITB1" s="2"/>
      <c r="ITC1" s="2"/>
      <c r="ITD1" s="2"/>
      <c r="ITE1" s="2"/>
      <c r="ITF1" s="2"/>
      <c r="ITG1" s="2"/>
      <c r="ITH1" s="2"/>
      <c r="ITI1" s="2"/>
      <c r="ITJ1" s="2"/>
      <c r="ITK1" s="2"/>
      <c r="ITL1" s="2"/>
      <c r="ITM1" s="2"/>
      <c r="ITN1" s="2"/>
      <c r="ITO1" s="2"/>
      <c r="ITP1" s="2"/>
      <c r="ITQ1" s="2"/>
      <c r="ITR1" s="2"/>
      <c r="ITS1" s="2"/>
      <c r="ITT1" s="2"/>
      <c r="ITU1" s="2"/>
      <c r="ITV1" s="2"/>
      <c r="ITW1" s="2"/>
      <c r="ITX1" s="2"/>
      <c r="ITY1" s="2"/>
      <c r="ITZ1" s="2"/>
      <c r="IUA1" s="2"/>
      <c r="IUB1" s="2"/>
      <c r="IUC1" s="2"/>
      <c r="IUD1" s="2"/>
      <c r="IUE1" s="2"/>
      <c r="IUF1" s="2"/>
      <c r="IUG1" s="2"/>
      <c r="IUH1" s="2"/>
      <c r="IUI1" s="2"/>
      <c r="IUJ1" s="2"/>
      <c r="IUK1" s="2"/>
      <c r="IUL1" s="2"/>
      <c r="IUM1" s="2"/>
      <c r="IUN1" s="2"/>
      <c r="IUO1" s="2"/>
      <c r="IUP1" s="2"/>
      <c r="IUQ1" s="2"/>
      <c r="IUR1" s="2"/>
      <c r="IUS1" s="2"/>
      <c r="IUT1" s="2"/>
      <c r="IUU1" s="2"/>
      <c r="IUV1" s="2"/>
      <c r="IUW1" s="2"/>
      <c r="IUX1" s="2"/>
      <c r="IUY1" s="2"/>
      <c r="IUZ1" s="2"/>
      <c r="IVA1" s="2"/>
      <c r="IVB1" s="2"/>
      <c r="IVC1" s="2"/>
      <c r="IVD1" s="2"/>
      <c r="IVE1" s="2"/>
      <c r="IVF1" s="2"/>
      <c r="IVG1" s="2"/>
      <c r="IVH1" s="2"/>
      <c r="IVI1" s="2"/>
      <c r="IVJ1" s="2"/>
      <c r="IVK1" s="2"/>
      <c r="IVL1" s="2"/>
      <c r="IVM1" s="2"/>
      <c r="IVN1" s="2"/>
      <c r="IVO1" s="2"/>
      <c r="IVP1" s="2"/>
      <c r="IVQ1" s="2"/>
      <c r="IVR1" s="2"/>
      <c r="IVS1" s="2"/>
      <c r="IVT1" s="2"/>
      <c r="IVU1" s="2"/>
      <c r="IVV1" s="2"/>
      <c r="IVW1" s="2"/>
      <c r="IVX1" s="2"/>
      <c r="IVY1" s="2"/>
      <c r="IVZ1" s="2"/>
      <c r="IWA1" s="2"/>
      <c r="IWB1" s="2"/>
      <c r="IWC1" s="2"/>
      <c r="IWD1" s="2"/>
      <c r="IWE1" s="2"/>
      <c r="IWF1" s="2"/>
      <c r="IWG1" s="2"/>
      <c r="IWH1" s="2"/>
      <c r="IWI1" s="2"/>
      <c r="IWJ1" s="2"/>
      <c r="IWK1" s="2"/>
      <c r="IWL1" s="2"/>
      <c r="IWM1" s="2"/>
      <c r="IWN1" s="2"/>
      <c r="IWO1" s="2"/>
      <c r="IWP1" s="2"/>
      <c r="IWQ1" s="2"/>
      <c r="IWR1" s="2"/>
      <c r="IWS1" s="2"/>
      <c r="IWT1" s="2"/>
      <c r="IWU1" s="2"/>
      <c r="IWV1" s="2"/>
      <c r="IWW1" s="2"/>
      <c r="IWX1" s="2"/>
      <c r="IWY1" s="2"/>
      <c r="IWZ1" s="2"/>
      <c r="IXA1" s="2"/>
      <c r="IXB1" s="2"/>
      <c r="IXC1" s="2"/>
      <c r="IXD1" s="2"/>
      <c r="IXE1" s="2"/>
      <c r="IXF1" s="2"/>
      <c r="IXG1" s="2"/>
      <c r="IXH1" s="2"/>
      <c r="IXI1" s="2"/>
      <c r="IXJ1" s="2"/>
      <c r="IXK1" s="2"/>
      <c r="IXL1" s="2"/>
      <c r="IXM1" s="2"/>
      <c r="IXN1" s="2"/>
      <c r="IXO1" s="2"/>
      <c r="IXP1" s="2"/>
      <c r="IXQ1" s="2"/>
      <c r="IXR1" s="2"/>
      <c r="IXS1" s="2"/>
      <c r="IXT1" s="2"/>
      <c r="IXU1" s="2"/>
      <c r="IXV1" s="2"/>
      <c r="IXW1" s="2"/>
      <c r="IXX1" s="2"/>
      <c r="IXY1" s="2"/>
      <c r="IXZ1" s="2"/>
      <c r="IYA1" s="2"/>
      <c r="IYB1" s="2"/>
      <c r="IYC1" s="2"/>
      <c r="IYD1" s="2"/>
      <c r="IYE1" s="2"/>
      <c r="IYF1" s="2"/>
      <c r="IYG1" s="2"/>
      <c r="IYH1" s="2"/>
      <c r="IYI1" s="2"/>
      <c r="IYJ1" s="2"/>
      <c r="IYK1" s="2"/>
      <c r="IYL1" s="2"/>
      <c r="IYM1" s="2"/>
      <c r="IYN1" s="2"/>
      <c r="IYO1" s="2"/>
      <c r="IYP1" s="2"/>
      <c r="IYQ1" s="2"/>
      <c r="IYR1" s="2"/>
      <c r="IYS1" s="2"/>
      <c r="IYT1" s="2"/>
      <c r="IYU1" s="2"/>
      <c r="IYV1" s="2"/>
      <c r="IYW1" s="2"/>
      <c r="IYX1" s="2"/>
      <c r="IYY1" s="2"/>
      <c r="IYZ1" s="2"/>
      <c r="IZA1" s="2"/>
      <c r="IZB1" s="2"/>
      <c r="IZC1" s="2"/>
      <c r="IZD1" s="2"/>
      <c r="IZE1" s="2"/>
      <c r="IZF1" s="2"/>
      <c r="IZG1" s="2"/>
      <c r="IZH1" s="2"/>
      <c r="IZI1" s="2"/>
      <c r="IZJ1" s="2"/>
      <c r="IZK1" s="2"/>
      <c r="IZL1" s="2"/>
      <c r="IZM1" s="2"/>
      <c r="IZN1" s="2"/>
      <c r="IZO1" s="2"/>
      <c r="IZP1" s="2"/>
      <c r="IZQ1" s="2"/>
      <c r="IZR1" s="2"/>
      <c r="IZS1" s="2"/>
      <c r="IZT1" s="2"/>
      <c r="IZU1" s="2"/>
      <c r="IZV1" s="2"/>
      <c r="IZW1" s="2"/>
      <c r="IZX1" s="2"/>
      <c r="IZY1" s="2"/>
      <c r="IZZ1" s="2"/>
      <c r="JAA1" s="2"/>
      <c r="JAB1" s="2"/>
      <c r="JAC1" s="2"/>
      <c r="JAD1" s="2"/>
      <c r="JAE1" s="2"/>
      <c r="JAF1" s="2"/>
      <c r="JAG1" s="2"/>
      <c r="JAH1" s="2"/>
      <c r="JAI1" s="2"/>
      <c r="JAJ1" s="2"/>
      <c r="JAK1" s="2"/>
      <c r="JAL1" s="2"/>
      <c r="JAM1" s="2"/>
      <c r="JAN1" s="2"/>
      <c r="JAO1" s="2"/>
      <c r="JAP1" s="2"/>
      <c r="JAQ1" s="2"/>
      <c r="JAR1" s="2"/>
      <c r="JAS1" s="2"/>
      <c r="JAT1" s="2"/>
      <c r="JAU1" s="2"/>
      <c r="JAV1" s="2"/>
      <c r="JAW1" s="2"/>
      <c r="JAX1" s="2"/>
      <c r="JAY1" s="2"/>
      <c r="JAZ1" s="2"/>
      <c r="JBA1" s="2"/>
      <c r="JBB1" s="2"/>
      <c r="JBC1" s="2"/>
      <c r="JBD1" s="2"/>
      <c r="JBE1" s="2"/>
      <c r="JBF1" s="2"/>
      <c r="JBG1" s="2"/>
      <c r="JBH1" s="2"/>
      <c r="JBI1" s="2"/>
      <c r="JBJ1" s="2"/>
      <c r="JBK1" s="2"/>
      <c r="JBL1" s="2"/>
      <c r="JBM1" s="2"/>
      <c r="JBN1" s="2"/>
      <c r="JBO1" s="2"/>
      <c r="JBP1" s="2"/>
      <c r="JBQ1" s="2"/>
      <c r="JBR1" s="2"/>
      <c r="JBS1" s="2"/>
      <c r="JBT1" s="2"/>
      <c r="JBU1" s="2"/>
      <c r="JBV1" s="2"/>
      <c r="JBW1" s="2"/>
      <c r="JBX1" s="2"/>
      <c r="JBY1" s="2"/>
      <c r="JBZ1" s="2"/>
      <c r="JCA1" s="2"/>
      <c r="JCB1" s="2"/>
      <c r="JCC1" s="2"/>
      <c r="JCD1" s="2"/>
      <c r="JCE1" s="2"/>
      <c r="JCF1" s="2"/>
      <c r="JCG1" s="2"/>
      <c r="JCH1" s="2"/>
      <c r="JCI1" s="2"/>
      <c r="JCJ1" s="2"/>
      <c r="JCK1" s="2"/>
      <c r="JCL1" s="2"/>
      <c r="JCM1" s="2"/>
      <c r="JCN1" s="2"/>
      <c r="JCO1" s="2"/>
      <c r="JCP1" s="2"/>
      <c r="JCQ1" s="2"/>
      <c r="JCR1" s="2"/>
      <c r="JCS1" s="2"/>
      <c r="JCT1" s="2"/>
      <c r="JCU1" s="2"/>
      <c r="JCV1" s="2"/>
      <c r="JCW1" s="2"/>
      <c r="JCX1" s="2"/>
      <c r="JCY1" s="2"/>
      <c r="JCZ1" s="2"/>
      <c r="JDA1" s="2"/>
      <c r="JDB1" s="2"/>
      <c r="JDC1" s="2"/>
      <c r="JDD1" s="2"/>
      <c r="JDE1" s="2"/>
      <c r="JDF1" s="2"/>
      <c r="JDG1" s="2"/>
      <c r="JDH1" s="2"/>
      <c r="JDI1" s="2"/>
      <c r="JDJ1" s="2"/>
      <c r="JDK1" s="2"/>
      <c r="JDL1" s="2"/>
      <c r="JDM1" s="2"/>
      <c r="JDN1" s="2"/>
      <c r="JDO1" s="2"/>
      <c r="JDP1" s="2"/>
      <c r="JDQ1" s="2"/>
      <c r="JDR1" s="2"/>
      <c r="JDS1" s="2"/>
      <c r="JDT1" s="2"/>
      <c r="JDU1" s="2"/>
      <c r="JDV1" s="2"/>
      <c r="JDW1" s="2"/>
      <c r="JDX1" s="2"/>
      <c r="JDY1" s="2"/>
      <c r="JDZ1" s="2"/>
      <c r="JEA1" s="2"/>
      <c r="JEB1" s="2"/>
      <c r="JEC1" s="2"/>
      <c r="JED1" s="2"/>
      <c r="JEE1" s="2"/>
      <c r="JEF1" s="2"/>
      <c r="JEG1" s="2"/>
      <c r="JEH1" s="2"/>
      <c r="JEI1" s="2"/>
      <c r="JEJ1" s="2"/>
      <c r="JEK1" s="2"/>
      <c r="JEL1" s="2"/>
      <c r="JEM1" s="2"/>
      <c r="JEN1" s="2"/>
      <c r="JEO1" s="2"/>
      <c r="JEP1" s="2"/>
      <c r="JEQ1" s="2"/>
      <c r="JER1" s="2"/>
      <c r="JES1" s="2"/>
      <c r="JET1" s="2"/>
      <c r="JEU1" s="2"/>
      <c r="JEV1" s="2"/>
      <c r="JEW1" s="2"/>
      <c r="JEX1" s="2"/>
      <c r="JEY1" s="2"/>
      <c r="JEZ1" s="2"/>
      <c r="JFA1" s="2"/>
      <c r="JFB1" s="2"/>
      <c r="JFC1" s="2"/>
      <c r="JFD1" s="2"/>
      <c r="JFE1" s="2"/>
      <c r="JFF1" s="2"/>
      <c r="JFG1" s="2"/>
      <c r="JFH1" s="2"/>
      <c r="JFI1" s="2"/>
      <c r="JFJ1" s="2"/>
      <c r="JFK1" s="2"/>
      <c r="JFL1" s="2"/>
      <c r="JFM1" s="2"/>
      <c r="JFN1" s="2"/>
      <c r="JFO1" s="2"/>
      <c r="JFP1" s="2"/>
      <c r="JFQ1" s="2"/>
      <c r="JFR1" s="2"/>
      <c r="JFS1" s="2"/>
      <c r="JFT1" s="2"/>
      <c r="JFU1" s="2"/>
      <c r="JFV1" s="2"/>
      <c r="JFW1" s="2"/>
      <c r="JFX1" s="2"/>
      <c r="JFY1" s="2"/>
      <c r="JFZ1" s="2"/>
      <c r="JGA1" s="2"/>
      <c r="JGB1" s="2"/>
      <c r="JGC1" s="2"/>
      <c r="JGD1" s="2"/>
      <c r="JGE1" s="2"/>
      <c r="JGF1" s="2"/>
      <c r="JGG1" s="2"/>
      <c r="JGH1" s="2"/>
      <c r="JGI1" s="2"/>
      <c r="JGJ1" s="2"/>
      <c r="JGK1" s="2"/>
      <c r="JGL1" s="2"/>
      <c r="JGM1" s="2"/>
      <c r="JGN1" s="2"/>
      <c r="JGO1" s="2"/>
      <c r="JGP1" s="2"/>
      <c r="JGQ1" s="2"/>
      <c r="JGR1" s="2"/>
      <c r="JGS1" s="2"/>
      <c r="JGT1" s="2"/>
      <c r="JGU1" s="2"/>
      <c r="JGV1" s="2"/>
      <c r="JGW1" s="2"/>
      <c r="JGX1" s="2"/>
      <c r="JGY1" s="2"/>
      <c r="JGZ1" s="2"/>
      <c r="JHA1" s="2"/>
      <c r="JHB1" s="2"/>
      <c r="JHC1" s="2"/>
      <c r="JHD1" s="2"/>
      <c r="JHE1" s="2"/>
      <c r="JHF1" s="2"/>
      <c r="JHG1" s="2"/>
      <c r="JHH1" s="2"/>
      <c r="JHI1" s="2"/>
      <c r="JHJ1" s="2"/>
      <c r="JHK1" s="2"/>
      <c r="JHL1" s="2"/>
      <c r="JHM1" s="2"/>
      <c r="JHN1" s="2"/>
      <c r="JHO1" s="2"/>
      <c r="JHP1" s="2"/>
      <c r="JHQ1" s="2"/>
      <c r="JHR1" s="2"/>
      <c r="JHS1" s="2"/>
      <c r="JHT1" s="2"/>
      <c r="JHU1" s="2"/>
      <c r="JHV1" s="2"/>
      <c r="JHW1" s="2"/>
      <c r="JHX1" s="2"/>
      <c r="JHY1" s="2"/>
      <c r="JHZ1" s="2"/>
      <c r="JIA1" s="2"/>
      <c r="JIB1" s="2"/>
      <c r="JIC1" s="2"/>
      <c r="JID1" s="2"/>
      <c r="JIE1" s="2"/>
      <c r="JIF1" s="2"/>
      <c r="JIG1" s="2"/>
      <c r="JIH1" s="2"/>
      <c r="JII1" s="2"/>
      <c r="JIJ1" s="2"/>
      <c r="JIK1" s="2"/>
      <c r="JIL1" s="2"/>
      <c r="JIM1" s="2"/>
      <c r="JIN1" s="2"/>
      <c r="JIO1" s="2"/>
      <c r="JIP1" s="2"/>
      <c r="JIQ1" s="2"/>
      <c r="JIR1" s="2"/>
      <c r="JIS1" s="2"/>
      <c r="JIT1" s="2"/>
      <c r="JIU1" s="2"/>
      <c r="JIV1" s="2"/>
      <c r="JIW1" s="2"/>
      <c r="JIX1" s="2"/>
      <c r="JIY1" s="2"/>
      <c r="JIZ1" s="2"/>
      <c r="JJA1" s="2"/>
      <c r="JJB1" s="2"/>
      <c r="JJC1" s="2"/>
      <c r="JJD1" s="2"/>
      <c r="JJE1" s="2"/>
      <c r="JJF1" s="2"/>
      <c r="JJG1" s="2"/>
      <c r="JJH1" s="2"/>
      <c r="JJI1" s="2"/>
      <c r="JJJ1" s="2"/>
      <c r="JJK1" s="2"/>
      <c r="JJL1" s="2"/>
      <c r="JJM1" s="2"/>
      <c r="JJN1" s="2"/>
      <c r="JJO1" s="2"/>
      <c r="JJP1" s="2"/>
      <c r="JJQ1" s="2"/>
      <c r="JJR1" s="2"/>
      <c r="JJS1" s="2"/>
      <c r="JJT1" s="2"/>
      <c r="JJU1" s="2"/>
      <c r="JJV1" s="2"/>
      <c r="JJW1" s="2"/>
      <c r="JJX1" s="2"/>
      <c r="JJY1" s="2"/>
      <c r="JJZ1" s="2"/>
      <c r="JKA1" s="2"/>
      <c r="JKB1" s="2"/>
      <c r="JKC1" s="2"/>
      <c r="JKD1" s="2"/>
      <c r="JKE1" s="2"/>
      <c r="JKF1" s="2"/>
      <c r="JKG1" s="2"/>
      <c r="JKH1" s="2"/>
      <c r="JKI1" s="2"/>
      <c r="JKJ1" s="2"/>
      <c r="JKK1" s="2"/>
      <c r="JKL1" s="2"/>
      <c r="JKM1" s="2"/>
      <c r="JKN1" s="2"/>
      <c r="JKO1" s="2"/>
      <c r="JKP1" s="2"/>
      <c r="JKQ1" s="2"/>
      <c r="JKR1" s="2"/>
      <c r="JKS1" s="2"/>
      <c r="JKT1" s="2"/>
      <c r="JKU1" s="2"/>
      <c r="JKV1" s="2"/>
      <c r="JKW1" s="2"/>
      <c r="JKX1" s="2"/>
      <c r="JKY1" s="2"/>
      <c r="JKZ1" s="2"/>
      <c r="JLA1" s="2"/>
      <c r="JLB1" s="2"/>
      <c r="JLC1" s="2"/>
      <c r="JLD1" s="2"/>
      <c r="JLE1" s="2"/>
      <c r="JLF1" s="2"/>
      <c r="JLG1" s="2"/>
      <c r="JLH1" s="2"/>
      <c r="JLI1" s="2"/>
      <c r="JLJ1" s="2"/>
      <c r="JLK1" s="2"/>
      <c r="JLL1" s="2"/>
      <c r="JLM1" s="2"/>
      <c r="JLN1" s="2"/>
      <c r="JLO1" s="2"/>
      <c r="JLP1" s="2"/>
      <c r="JLQ1" s="2"/>
      <c r="JLR1" s="2"/>
      <c r="JLS1" s="2"/>
      <c r="JLT1" s="2"/>
      <c r="JLU1" s="2"/>
      <c r="JLV1" s="2"/>
      <c r="JLW1" s="2"/>
      <c r="JLX1" s="2"/>
      <c r="JLY1" s="2"/>
      <c r="JLZ1" s="2"/>
      <c r="JMA1" s="2"/>
      <c r="JMB1" s="2"/>
      <c r="JMC1" s="2"/>
      <c r="JMD1" s="2"/>
      <c r="JME1" s="2"/>
      <c r="JMF1" s="2"/>
      <c r="JMG1" s="2"/>
      <c r="JMH1" s="2"/>
      <c r="JMI1" s="2"/>
      <c r="JMJ1" s="2"/>
      <c r="JMK1" s="2"/>
      <c r="JML1" s="2"/>
      <c r="JMM1" s="2"/>
      <c r="JMN1" s="2"/>
      <c r="JMO1" s="2"/>
      <c r="JMP1" s="2"/>
      <c r="JMQ1" s="2"/>
      <c r="JMR1" s="2"/>
      <c r="JMS1" s="2"/>
      <c r="JMT1" s="2"/>
      <c r="JMU1" s="2"/>
      <c r="JMV1" s="2"/>
      <c r="JMW1" s="2"/>
      <c r="JMX1" s="2"/>
      <c r="JMY1" s="2"/>
      <c r="JMZ1" s="2"/>
      <c r="JNA1" s="2"/>
      <c r="JNB1" s="2"/>
      <c r="JNC1" s="2"/>
      <c r="JND1" s="2"/>
      <c r="JNE1" s="2"/>
      <c r="JNF1" s="2"/>
      <c r="JNG1" s="2"/>
      <c r="JNH1" s="2"/>
      <c r="JNI1" s="2"/>
      <c r="JNJ1" s="2"/>
      <c r="JNK1" s="2"/>
      <c r="JNL1" s="2"/>
      <c r="JNM1" s="2"/>
      <c r="JNN1" s="2"/>
      <c r="JNO1" s="2"/>
      <c r="JNP1" s="2"/>
      <c r="JNQ1" s="2"/>
      <c r="JNR1" s="2"/>
      <c r="JNS1" s="2"/>
      <c r="JNT1" s="2"/>
      <c r="JNU1" s="2"/>
      <c r="JNV1" s="2"/>
      <c r="JNW1" s="2"/>
      <c r="JNX1" s="2"/>
      <c r="JNY1" s="2"/>
      <c r="JNZ1" s="2"/>
      <c r="JOA1" s="2"/>
      <c r="JOB1" s="2"/>
      <c r="JOC1" s="2"/>
      <c r="JOD1" s="2"/>
      <c r="JOE1" s="2"/>
      <c r="JOF1" s="2"/>
      <c r="JOG1" s="2"/>
      <c r="JOH1" s="2"/>
      <c r="JOI1" s="2"/>
      <c r="JOJ1" s="2"/>
      <c r="JOK1" s="2"/>
      <c r="JOL1" s="2"/>
      <c r="JOM1" s="2"/>
      <c r="JON1" s="2"/>
      <c r="JOO1" s="2"/>
      <c r="JOP1" s="2"/>
      <c r="JOQ1" s="2"/>
      <c r="JOR1" s="2"/>
      <c r="JOS1" s="2"/>
      <c r="JOT1" s="2"/>
      <c r="JOU1" s="2"/>
      <c r="JOV1" s="2"/>
      <c r="JOW1" s="2"/>
      <c r="JOX1" s="2"/>
      <c r="JOY1" s="2"/>
      <c r="JOZ1" s="2"/>
      <c r="JPA1" s="2"/>
      <c r="JPB1" s="2"/>
      <c r="JPC1" s="2"/>
      <c r="JPD1" s="2"/>
      <c r="JPE1" s="2"/>
      <c r="JPF1" s="2"/>
      <c r="JPG1" s="2"/>
      <c r="JPH1" s="2"/>
      <c r="JPI1" s="2"/>
      <c r="JPJ1" s="2"/>
      <c r="JPK1" s="2"/>
      <c r="JPL1" s="2"/>
      <c r="JPM1" s="2"/>
      <c r="JPN1" s="2"/>
      <c r="JPO1" s="2"/>
      <c r="JPP1" s="2"/>
      <c r="JPQ1" s="2"/>
      <c r="JPR1" s="2"/>
      <c r="JPS1" s="2"/>
      <c r="JPT1" s="2"/>
      <c r="JPU1" s="2"/>
      <c r="JPV1" s="2"/>
      <c r="JPW1" s="2"/>
      <c r="JPX1" s="2"/>
      <c r="JPY1" s="2"/>
      <c r="JPZ1" s="2"/>
      <c r="JQA1" s="2"/>
      <c r="JQB1" s="2"/>
      <c r="JQC1" s="2"/>
      <c r="JQD1" s="2"/>
      <c r="JQE1" s="2"/>
      <c r="JQF1" s="2"/>
      <c r="JQG1" s="2"/>
      <c r="JQH1" s="2"/>
      <c r="JQI1" s="2"/>
      <c r="JQJ1" s="2"/>
      <c r="JQK1" s="2"/>
      <c r="JQL1" s="2"/>
      <c r="JQM1" s="2"/>
      <c r="JQN1" s="2"/>
      <c r="JQO1" s="2"/>
      <c r="JQP1" s="2"/>
      <c r="JQQ1" s="2"/>
      <c r="JQR1" s="2"/>
      <c r="JQS1" s="2"/>
      <c r="JQT1" s="2"/>
      <c r="JQU1" s="2"/>
      <c r="JQV1" s="2"/>
      <c r="JQW1" s="2"/>
      <c r="JQX1" s="2"/>
      <c r="JQY1" s="2"/>
      <c r="JQZ1" s="2"/>
      <c r="JRA1" s="2"/>
      <c r="JRB1" s="2"/>
      <c r="JRC1" s="2"/>
      <c r="JRD1" s="2"/>
      <c r="JRE1" s="2"/>
      <c r="JRF1" s="2"/>
      <c r="JRG1" s="2"/>
      <c r="JRH1" s="2"/>
      <c r="JRI1" s="2"/>
      <c r="JRJ1" s="2"/>
      <c r="JRK1" s="2"/>
      <c r="JRL1" s="2"/>
      <c r="JRM1" s="2"/>
      <c r="JRN1" s="2"/>
      <c r="JRO1" s="2"/>
      <c r="JRP1" s="2"/>
      <c r="JRQ1" s="2"/>
      <c r="JRR1" s="2"/>
      <c r="JRS1" s="2"/>
      <c r="JRT1" s="2"/>
      <c r="JRU1" s="2"/>
      <c r="JRV1" s="2"/>
      <c r="JRW1" s="2"/>
      <c r="JRX1" s="2"/>
      <c r="JRY1" s="2"/>
      <c r="JRZ1" s="2"/>
      <c r="JSA1" s="2"/>
      <c r="JSB1" s="2"/>
      <c r="JSC1" s="2"/>
      <c r="JSD1" s="2"/>
      <c r="JSE1" s="2"/>
      <c r="JSF1" s="2"/>
      <c r="JSG1" s="2"/>
      <c r="JSH1" s="2"/>
      <c r="JSI1" s="2"/>
      <c r="JSJ1" s="2"/>
      <c r="JSK1" s="2"/>
      <c r="JSL1" s="2"/>
      <c r="JSM1" s="2"/>
      <c r="JSN1" s="2"/>
      <c r="JSO1" s="2"/>
      <c r="JSP1" s="2"/>
      <c r="JSQ1" s="2"/>
      <c r="JSR1" s="2"/>
      <c r="JSS1" s="2"/>
      <c r="JST1" s="2"/>
      <c r="JSU1" s="2"/>
      <c r="JSV1" s="2"/>
      <c r="JSW1" s="2"/>
      <c r="JSX1" s="2"/>
      <c r="JSY1" s="2"/>
      <c r="JSZ1" s="2"/>
      <c r="JTA1" s="2"/>
      <c r="JTB1" s="2"/>
      <c r="JTC1" s="2"/>
      <c r="JTD1" s="2"/>
      <c r="JTE1" s="2"/>
      <c r="JTF1" s="2"/>
      <c r="JTG1" s="2"/>
      <c r="JTH1" s="2"/>
      <c r="JTI1" s="2"/>
      <c r="JTJ1" s="2"/>
      <c r="JTK1" s="2"/>
      <c r="JTL1" s="2"/>
      <c r="JTM1" s="2"/>
      <c r="JTN1" s="2"/>
      <c r="JTO1" s="2"/>
      <c r="JTP1" s="2"/>
      <c r="JTQ1" s="2"/>
      <c r="JTR1" s="2"/>
      <c r="JTS1" s="2"/>
      <c r="JTT1" s="2"/>
      <c r="JTU1" s="2"/>
      <c r="JTV1" s="2"/>
      <c r="JTW1" s="2"/>
      <c r="JTX1" s="2"/>
      <c r="JTY1" s="2"/>
      <c r="JTZ1" s="2"/>
      <c r="JUA1" s="2"/>
      <c r="JUB1" s="2"/>
      <c r="JUC1" s="2"/>
      <c r="JUD1" s="2"/>
      <c r="JUE1" s="2"/>
      <c r="JUF1" s="2"/>
      <c r="JUG1" s="2"/>
      <c r="JUH1" s="2"/>
      <c r="JUI1" s="2"/>
      <c r="JUJ1" s="2"/>
      <c r="JUK1" s="2"/>
      <c r="JUL1" s="2"/>
      <c r="JUM1" s="2"/>
      <c r="JUN1" s="2"/>
      <c r="JUO1" s="2"/>
      <c r="JUP1" s="2"/>
      <c r="JUQ1" s="2"/>
      <c r="JUR1" s="2"/>
      <c r="JUS1" s="2"/>
      <c r="JUT1" s="2"/>
      <c r="JUU1" s="2"/>
      <c r="JUV1" s="2"/>
      <c r="JUW1" s="2"/>
      <c r="JUX1" s="2"/>
      <c r="JUY1" s="2"/>
      <c r="JUZ1" s="2"/>
      <c r="JVA1" s="2"/>
      <c r="JVB1" s="2"/>
      <c r="JVC1" s="2"/>
      <c r="JVD1" s="2"/>
      <c r="JVE1" s="2"/>
      <c r="JVF1" s="2"/>
      <c r="JVG1" s="2"/>
      <c r="JVH1" s="2"/>
      <c r="JVI1" s="2"/>
      <c r="JVJ1" s="2"/>
      <c r="JVK1" s="2"/>
      <c r="JVL1" s="2"/>
      <c r="JVM1" s="2"/>
      <c r="JVN1" s="2"/>
      <c r="JVO1" s="2"/>
      <c r="JVP1" s="2"/>
      <c r="JVQ1" s="2"/>
      <c r="JVR1" s="2"/>
      <c r="JVS1" s="2"/>
      <c r="JVT1" s="2"/>
      <c r="JVU1" s="2"/>
      <c r="JVV1" s="2"/>
      <c r="JVW1" s="2"/>
      <c r="JVX1" s="2"/>
      <c r="JVY1" s="2"/>
      <c r="JVZ1" s="2"/>
      <c r="JWA1" s="2"/>
      <c r="JWB1" s="2"/>
      <c r="JWC1" s="2"/>
      <c r="JWD1" s="2"/>
      <c r="JWE1" s="2"/>
      <c r="JWF1" s="2"/>
      <c r="JWG1" s="2"/>
      <c r="JWH1" s="2"/>
      <c r="JWI1" s="2"/>
      <c r="JWJ1" s="2"/>
      <c r="JWK1" s="2"/>
      <c r="JWL1" s="2"/>
      <c r="JWM1" s="2"/>
      <c r="JWN1" s="2"/>
      <c r="JWO1" s="2"/>
      <c r="JWP1" s="2"/>
      <c r="JWQ1" s="2"/>
      <c r="JWR1" s="2"/>
      <c r="JWS1" s="2"/>
      <c r="JWT1" s="2"/>
      <c r="JWU1" s="2"/>
      <c r="JWV1" s="2"/>
      <c r="JWW1" s="2"/>
      <c r="JWX1" s="2"/>
      <c r="JWY1" s="2"/>
      <c r="JWZ1" s="2"/>
      <c r="JXA1" s="2"/>
      <c r="JXB1" s="2"/>
      <c r="JXC1" s="2"/>
      <c r="JXD1" s="2"/>
      <c r="JXE1" s="2"/>
      <c r="JXF1" s="2"/>
      <c r="JXG1" s="2"/>
      <c r="JXH1" s="2"/>
      <c r="JXI1" s="2"/>
      <c r="JXJ1" s="2"/>
      <c r="JXK1" s="2"/>
      <c r="JXL1" s="2"/>
      <c r="JXM1" s="2"/>
      <c r="JXN1" s="2"/>
      <c r="JXO1" s="2"/>
      <c r="JXP1" s="2"/>
      <c r="JXQ1" s="2"/>
      <c r="JXR1" s="2"/>
      <c r="JXS1" s="2"/>
      <c r="JXT1" s="2"/>
      <c r="JXU1" s="2"/>
      <c r="JXV1" s="2"/>
      <c r="JXW1" s="2"/>
      <c r="JXX1" s="2"/>
      <c r="JXY1" s="2"/>
      <c r="JXZ1" s="2"/>
      <c r="JYA1" s="2"/>
      <c r="JYB1" s="2"/>
      <c r="JYC1" s="2"/>
      <c r="JYD1" s="2"/>
      <c r="JYE1" s="2"/>
      <c r="JYF1" s="2"/>
      <c r="JYG1" s="2"/>
      <c r="JYH1" s="2"/>
      <c r="JYI1" s="2"/>
      <c r="JYJ1" s="2"/>
      <c r="JYK1" s="2"/>
      <c r="JYL1" s="2"/>
      <c r="JYM1" s="2"/>
      <c r="JYN1" s="2"/>
      <c r="JYO1" s="2"/>
      <c r="JYP1" s="2"/>
      <c r="JYQ1" s="2"/>
      <c r="JYR1" s="2"/>
      <c r="JYS1" s="2"/>
      <c r="JYT1" s="2"/>
      <c r="JYU1" s="2"/>
      <c r="JYV1" s="2"/>
      <c r="JYW1" s="2"/>
      <c r="JYX1" s="2"/>
      <c r="JYY1" s="2"/>
      <c r="JYZ1" s="2"/>
      <c r="JZA1" s="2"/>
      <c r="JZB1" s="2"/>
      <c r="JZC1" s="2"/>
      <c r="JZD1" s="2"/>
      <c r="JZE1" s="2"/>
      <c r="JZF1" s="2"/>
      <c r="JZG1" s="2"/>
      <c r="JZH1" s="2"/>
      <c r="JZI1" s="2"/>
      <c r="JZJ1" s="2"/>
      <c r="JZK1" s="2"/>
      <c r="JZL1" s="2"/>
      <c r="JZM1" s="2"/>
      <c r="JZN1" s="2"/>
      <c r="JZO1" s="2"/>
      <c r="JZP1" s="2"/>
      <c r="JZQ1" s="2"/>
      <c r="JZR1" s="2"/>
      <c r="JZS1" s="2"/>
      <c r="JZT1" s="2"/>
      <c r="JZU1" s="2"/>
      <c r="JZV1" s="2"/>
      <c r="JZW1" s="2"/>
      <c r="JZX1" s="2"/>
      <c r="JZY1" s="2"/>
      <c r="JZZ1" s="2"/>
      <c r="KAA1" s="2"/>
      <c r="KAB1" s="2"/>
      <c r="KAC1" s="2"/>
      <c r="KAD1" s="2"/>
      <c r="KAE1" s="2"/>
      <c r="KAF1" s="2"/>
      <c r="KAG1" s="2"/>
      <c r="KAH1" s="2"/>
      <c r="KAI1" s="2"/>
      <c r="KAJ1" s="2"/>
      <c r="KAK1" s="2"/>
      <c r="KAL1" s="2"/>
      <c r="KAM1" s="2"/>
      <c r="KAN1" s="2"/>
      <c r="KAO1" s="2"/>
      <c r="KAP1" s="2"/>
      <c r="KAQ1" s="2"/>
      <c r="KAR1" s="2"/>
      <c r="KAS1" s="2"/>
      <c r="KAT1" s="2"/>
      <c r="KAU1" s="2"/>
      <c r="KAV1" s="2"/>
      <c r="KAW1" s="2"/>
      <c r="KAX1" s="2"/>
      <c r="KAY1" s="2"/>
      <c r="KAZ1" s="2"/>
      <c r="KBA1" s="2"/>
      <c r="KBB1" s="2"/>
      <c r="KBC1" s="2"/>
      <c r="KBD1" s="2"/>
      <c r="KBE1" s="2"/>
      <c r="KBF1" s="2"/>
      <c r="KBG1" s="2"/>
      <c r="KBH1" s="2"/>
      <c r="KBI1" s="2"/>
      <c r="KBJ1" s="2"/>
      <c r="KBK1" s="2"/>
      <c r="KBL1" s="2"/>
      <c r="KBM1" s="2"/>
      <c r="KBN1" s="2"/>
      <c r="KBO1" s="2"/>
      <c r="KBP1" s="2"/>
      <c r="KBQ1" s="2"/>
      <c r="KBR1" s="2"/>
      <c r="KBS1" s="2"/>
      <c r="KBT1" s="2"/>
      <c r="KBU1" s="2"/>
      <c r="KBV1" s="2"/>
      <c r="KBW1" s="2"/>
      <c r="KBX1" s="2"/>
      <c r="KBY1" s="2"/>
      <c r="KBZ1" s="2"/>
      <c r="KCA1" s="2"/>
      <c r="KCB1" s="2"/>
      <c r="KCC1" s="2"/>
      <c r="KCD1" s="2"/>
      <c r="KCE1" s="2"/>
      <c r="KCF1" s="2"/>
      <c r="KCG1" s="2"/>
      <c r="KCH1" s="2"/>
      <c r="KCI1" s="2"/>
      <c r="KCJ1" s="2"/>
      <c r="KCK1" s="2"/>
      <c r="KCL1" s="2"/>
      <c r="KCM1" s="2"/>
      <c r="KCN1" s="2"/>
      <c r="KCO1" s="2"/>
      <c r="KCP1" s="2"/>
      <c r="KCQ1" s="2"/>
      <c r="KCR1" s="2"/>
      <c r="KCS1" s="2"/>
      <c r="KCT1" s="2"/>
      <c r="KCU1" s="2"/>
      <c r="KCV1" s="2"/>
      <c r="KCW1" s="2"/>
      <c r="KCX1" s="2"/>
      <c r="KCY1" s="2"/>
      <c r="KCZ1" s="2"/>
      <c r="KDA1" s="2"/>
      <c r="KDB1" s="2"/>
      <c r="KDC1" s="2"/>
      <c r="KDD1" s="2"/>
      <c r="KDE1" s="2"/>
      <c r="KDF1" s="2"/>
      <c r="KDG1" s="2"/>
      <c r="KDH1" s="2"/>
      <c r="KDI1" s="2"/>
      <c r="KDJ1" s="2"/>
      <c r="KDK1" s="2"/>
      <c r="KDL1" s="2"/>
      <c r="KDM1" s="2"/>
      <c r="KDN1" s="2"/>
      <c r="KDO1" s="2"/>
      <c r="KDP1" s="2"/>
      <c r="KDQ1" s="2"/>
      <c r="KDR1" s="2"/>
      <c r="KDS1" s="2"/>
      <c r="KDT1" s="2"/>
      <c r="KDU1" s="2"/>
      <c r="KDV1" s="2"/>
      <c r="KDW1" s="2"/>
      <c r="KDX1" s="2"/>
      <c r="KDY1" s="2"/>
      <c r="KDZ1" s="2"/>
      <c r="KEA1" s="2"/>
      <c r="KEB1" s="2"/>
      <c r="KEC1" s="2"/>
      <c r="KED1" s="2"/>
      <c r="KEE1" s="2"/>
      <c r="KEF1" s="2"/>
      <c r="KEG1" s="2"/>
      <c r="KEH1" s="2"/>
      <c r="KEI1" s="2"/>
      <c r="KEJ1" s="2"/>
      <c r="KEK1" s="2"/>
      <c r="KEL1" s="2"/>
      <c r="KEM1" s="2"/>
      <c r="KEN1" s="2"/>
      <c r="KEO1" s="2"/>
      <c r="KEP1" s="2"/>
      <c r="KEQ1" s="2"/>
      <c r="KER1" s="2"/>
      <c r="KES1" s="2"/>
      <c r="KET1" s="2"/>
      <c r="KEU1" s="2"/>
      <c r="KEV1" s="2"/>
      <c r="KEW1" s="2"/>
      <c r="KEX1" s="2"/>
      <c r="KEY1" s="2"/>
      <c r="KEZ1" s="2"/>
      <c r="KFA1" s="2"/>
      <c r="KFB1" s="2"/>
      <c r="KFC1" s="2"/>
      <c r="KFD1" s="2"/>
      <c r="KFE1" s="2"/>
      <c r="KFF1" s="2"/>
      <c r="KFG1" s="2"/>
      <c r="KFH1" s="2"/>
      <c r="KFI1" s="2"/>
      <c r="KFJ1" s="2"/>
      <c r="KFK1" s="2"/>
      <c r="KFL1" s="2"/>
      <c r="KFM1" s="2"/>
      <c r="KFN1" s="2"/>
      <c r="KFO1" s="2"/>
      <c r="KFP1" s="2"/>
      <c r="KFQ1" s="2"/>
      <c r="KFR1" s="2"/>
      <c r="KFS1" s="2"/>
      <c r="KFT1" s="2"/>
      <c r="KFU1" s="2"/>
      <c r="KFV1" s="2"/>
      <c r="KFW1" s="2"/>
      <c r="KFX1" s="2"/>
      <c r="KFY1" s="2"/>
      <c r="KFZ1" s="2"/>
      <c r="KGA1" s="2"/>
      <c r="KGB1" s="2"/>
      <c r="KGC1" s="2"/>
      <c r="KGD1" s="2"/>
      <c r="KGE1" s="2"/>
      <c r="KGF1" s="2"/>
      <c r="KGG1" s="2"/>
      <c r="KGH1" s="2"/>
      <c r="KGI1" s="2"/>
      <c r="KGJ1" s="2"/>
      <c r="KGK1" s="2"/>
      <c r="KGL1" s="2"/>
      <c r="KGM1" s="2"/>
      <c r="KGN1" s="2"/>
      <c r="KGO1" s="2"/>
      <c r="KGP1" s="2"/>
      <c r="KGQ1" s="2"/>
      <c r="KGR1" s="2"/>
      <c r="KGS1" s="2"/>
      <c r="KGT1" s="2"/>
      <c r="KGU1" s="2"/>
      <c r="KGV1" s="2"/>
      <c r="KGW1" s="2"/>
      <c r="KGX1" s="2"/>
      <c r="KGY1" s="2"/>
      <c r="KGZ1" s="2"/>
      <c r="KHA1" s="2"/>
      <c r="KHB1" s="2"/>
      <c r="KHC1" s="2"/>
      <c r="KHD1" s="2"/>
      <c r="KHE1" s="2"/>
      <c r="KHF1" s="2"/>
      <c r="KHG1" s="2"/>
      <c r="KHH1" s="2"/>
      <c r="KHI1" s="2"/>
      <c r="KHJ1" s="2"/>
      <c r="KHK1" s="2"/>
      <c r="KHL1" s="2"/>
      <c r="KHM1" s="2"/>
      <c r="KHN1" s="2"/>
      <c r="KHO1" s="2"/>
      <c r="KHP1" s="2"/>
      <c r="KHQ1" s="2"/>
      <c r="KHR1" s="2"/>
      <c r="KHS1" s="2"/>
      <c r="KHT1" s="2"/>
      <c r="KHU1" s="2"/>
      <c r="KHV1" s="2"/>
      <c r="KHW1" s="2"/>
      <c r="KHX1" s="2"/>
      <c r="KHY1" s="2"/>
      <c r="KHZ1" s="2"/>
      <c r="KIA1" s="2"/>
      <c r="KIB1" s="2"/>
      <c r="KIC1" s="2"/>
      <c r="KID1" s="2"/>
      <c r="KIE1" s="2"/>
      <c r="KIF1" s="2"/>
      <c r="KIG1" s="2"/>
      <c r="KIH1" s="2"/>
      <c r="KII1" s="2"/>
      <c r="KIJ1" s="2"/>
      <c r="KIK1" s="2"/>
      <c r="KIL1" s="2"/>
      <c r="KIM1" s="2"/>
      <c r="KIN1" s="2"/>
      <c r="KIO1" s="2"/>
      <c r="KIP1" s="2"/>
      <c r="KIQ1" s="2"/>
      <c r="KIR1" s="2"/>
      <c r="KIS1" s="2"/>
      <c r="KIT1" s="2"/>
      <c r="KIU1" s="2"/>
      <c r="KIV1" s="2"/>
      <c r="KIW1" s="2"/>
      <c r="KIX1" s="2"/>
      <c r="KIY1" s="2"/>
      <c r="KIZ1" s="2"/>
      <c r="KJA1" s="2"/>
      <c r="KJB1" s="2"/>
      <c r="KJC1" s="2"/>
      <c r="KJD1" s="2"/>
      <c r="KJE1" s="2"/>
      <c r="KJF1" s="2"/>
      <c r="KJG1" s="2"/>
      <c r="KJH1" s="2"/>
      <c r="KJI1" s="2"/>
      <c r="KJJ1" s="2"/>
      <c r="KJK1" s="2"/>
      <c r="KJL1" s="2"/>
      <c r="KJM1" s="2"/>
      <c r="KJN1" s="2"/>
      <c r="KJO1" s="2"/>
      <c r="KJP1" s="2"/>
      <c r="KJQ1" s="2"/>
      <c r="KJR1" s="2"/>
      <c r="KJS1" s="2"/>
      <c r="KJT1" s="2"/>
      <c r="KJU1" s="2"/>
      <c r="KJV1" s="2"/>
      <c r="KJW1" s="2"/>
      <c r="KJX1" s="2"/>
      <c r="KJY1" s="2"/>
      <c r="KJZ1" s="2"/>
      <c r="KKA1" s="2"/>
      <c r="KKB1" s="2"/>
      <c r="KKC1" s="2"/>
      <c r="KKD1" s="2"/>
      <c r="KKE1" s="2"/>
      <c r="KKF1" s="2"/>
      <c r="KKG1" s="2"/>
      <c r="KKH1" s="2"/>
      <c r="KKI1" s="2"/>
      <c r="KKJ1" s="2"/>
      <c r="KKK1" s="2"/>
      <c r="KKL1" s="2"/>
      <c r="KKM1" s="2"/>
      <c r="KKN1" s="2"/>
      <c r="KKO1" s="2"/>
      <c r="KKP1" s="2"/>
      <c r="KKQ1" s="2"/>
      <c r="KKR1" s="2"/>
      <c r="KKS1" s="2"/>
      <c r="KKT1" s="2"/>
      <c r="KKU1" s="2"/>
      <c r="KKV1" s="2"/>
      <c r="KKW1" s="2"/>
      <c r="KKX1" s="2"/>
      <c r="KKY1" s="2"/>
      <c r="KKZ1" s="2"/>
      <c r="KLA1" s="2"/>
      <c r="KLB1" s="2"/>
      <c r="KLC1" s="2"/>
      <c r="KLD1" s="2"/>
      <c r="KLE1" s="2"/>
      <c r="KLF1" s="2"/>
      <c r="KLG1" s="2"/>
      <c r="KLH1" s="2"/>
      <c r="KLI1" s="2"/>
      <c r="KLJ1" s="2"/>
      <c r="KLK1" s="2"/>
      <c r="KLL1" s="2"/>
      <c r="KLM1" s="2"/>
      <c r="KLN1" s="2"/>
      <c r="KLO1" s="2"/>
      <c r="KLP1" s="2"/>
      <c r="KLQ1" s="2"/>
      <c r="KLR1" s="2"/>
      <c r="KLS1" s="2"/>
      <c r="KLT1" s="2"/>
      <c r="KLU1" s="2"/>
      <c r="KLV1" s="2"/>
      <c r="KLW1" s="2"/>
      <c r="KLX1" s="2"/>
      <c r="KLY1" s="2"/>
      <c r="KLZ1" s="2"/>
      <c r="KMA1" s="2"/>
      <c r="KMB1" s="2"/>
      <c r="KMC1" s="2"/>
      <c r="KMD1" s="2"/>
      <c r="KME1" s="2"/>
      <c r="KMF1" s="2"/>
      <c r="KMG1" s="2"/>
      <c r="KMH1" s="2"/>
      <c r="KMI1" s="2"/>
      <c r="KMJ1" s="2"/>
      <c r="KMK1" s="2"/>
      <c r="KML1" s="2"/>
      <c r="KMM1" s="2"/>
      <c r="KMN1" s="2"/>
      <c r="KMO1" s="2"/>
      <c r="KMP1" s="2"/>
      <c r="KMQ1" s="2"/>
      <c r="KMR1" s="2"/>
      <c r="KMS1" s="2"/>
      <c r="KMT1" s="2"/>
      <c r="KMU1" s="2"/>
      <c r="KMV1" s="2"/>
      <c r="KMW1" s="2"/>
      <c r="KMX1" s="2"/>
      <c r="KMY1" s="2"/>
      <c r="KMZ1" s="2"/>
      <c r="KNA1" s="2"/>
      <c r="KNB1" s="2"/>
      <c r="KNC1" s="2"/>
      <c r="KND1" s="2"/>
      <c r="KNE1" s="2"/>
      <c r="KNF1" s="2"/>
      <c r="KNG1" s="2"/>
      <c r="KNH1" s="2"/>
      <c r="KNI1" s="2"/>
      <c r="KNJ1" s="2"/>
      <c r="KNK1" s="2"/>
      <c r="KNL1" s="2"/>
      <c r="KNM1" s="2"/>
      <c r="KNN1" s="2"/>
      <c r="KNO1" s="2"/>
      <c r="KNP1" s="2"/>
      <c r="KNQ1" s="2"/>
      <c r="KNR1" s="2"/>
      <c r="KNS1" s="2"/>
      <c r="KNT1" s="2"/>
      <c r="KNU1" s="2"/>
      <c r="KNV1" s="2"/>
      <c r="KNW1" s="2"/>
      <c r="KNX1" s="2"/>
      <c r="KNY1" s="2"/>
      <c r="KNZ1" s="2"/>
      <c r="KOA1" s="2"/>
      <c r="KOB1" s="2"/>
      <c r="KOC1" s="2"/>
      <c r="KOD1" s="2"/>
      <c r="KOE1" s="2"/>
      <c r="KOF1" s="2"/>
      <c r="KOG1" s="2"/>
      <c r="KOH1" s="2"/>
      <c r="KOI1" s="2"/>
      <c r="KOJ1" s="2"/>
      <c r="KOK1" s="2"/>
      <c r="KOL1" s="2"/>
      <c r="KOM1" s="2"/>
      <c r="KON1" s="2"/>
      <c r="KOO1" s="2"/>
      <c r="KOP1" s="2"/>
      <c r="KOQ1" s="2"/>
      <c r="KOR1" s="2"/>
      <c r="KOS1" s="2"/>
      <c r="KOT1" s="2"/>
      <c r="KOU1" s="2"/>
      <c r="KOV1" s="2"/>
      <c r="KOW1" s="2"/>
      <c r="KOX1" s="2"/>
      <c r="KOY1" s="2"/>
      <c r="KOZ1" s="2"/>
      <c r="KPA1" s="2"/>
      <c r="KPB1" s="2"/>
      <c r="KPC1" s="2"/>
      <c r="KPD1" s="2"/>
      <c r="KPE1" s="2"/>
      <c r="KPF1" s="2"/>
      <c r="KPG1" s="2"/>
      <c r="KPH1" s="2"/>
      <c r="KPI1" s="2"/>
      <c r="KPJ1" s="2"/>
      <c r="KPK1" s="2"/>
      <c r="KPL1" s="2"/>
      <c r="KPM1" s="2"/>
      <c r="KPN1" s="2"/>
      <c r="KPO1" s="2"/>
      <c r="KPP1" s="2"/>
      <c r="KPQ1" s="2"/>
      <c r="KPR1" s="2"/>
      <c r="KPS1" s="2"/>
      <c r="KPT1" s="2"/>
      <c r="KPU1" s="2"/>
      <c r="KPV1" s="2"/>
      <c r="KPW1" s="2"/>
      <c r="KPX1" s="2"/>
      <c r="KPY1" s="2"/>
      <c r="KPZ1" s="2"/>
      <c r="KQA1" s="2"/>
      <c r="KQB1" s="2"/>
      <c r="KQC1" s="2"/>
      <c r="KQD1" s="2"/>
      <c r="KQE1" s="2"/>
      <c r="KQF1" s="2"/>
      <c r="KQG1" s="2"/>
      <c r="KQH1" s="2"/>
      <c r="KQI1" s="2"/>
      <c r="KQJ1" s="2"/>
      <c r="KQK1" s="2"/>
      <c r="KQL1" s="2"/>
      <c r="KQM1" s="2"/>
      <c r="KQN1" s="2"/>
      <c r="KQO1" s="2"/>
      <c r="KQP1" s="2"/>
      <c r="KQQ1" s="2"/>
      <c r="KQR1" s="2"/>
      <c r="KQS1" s="2"/>
      <c r="KQT1" s="2"/>
      <c r="KQU1" s="2"/>
      <c r="KQV1" s="2"/>
      <c r="KQW1" s="2"/>
      <c r="KQX1" s="2"/>
      <c r="KQY1" s="2"/>
      <c r="KQZ1" s="2"/>
      <c r="KRA1" s="2"/>
      <c r="KRB1" s="2"/>
      <c r="KRC1" s="2"/>
      <c r="KRD1" s="2"/>
      <c r="KRE1" s="2"/>
      <c r="KRF1" s="2"/>
      <c r="KRG1" s="2"/>
      <c r="KRH1" s="2"/>
      <c r="KRI1" s="2"/>
      <c r="KRJ1" s="2"/>
      <c r="KRK1" s="2"/>
      <c r="KRL1" s="2"/>
      <c r="KRM1" s="2"/>
      <c r="KRN1" s="2"/>
      <c r="KRO1" s="2"/>
      <c r="KRP1" s="2"/>
      <c r="KRQ1" s="2"/>
      <c r="KRR1" s="2"/>
      <c r="KRS1" s="2"/>
      <c r="KRT1" s="2"/>
      <c r="KRU1" s="2"/>
      <c r="KRV1" s="2"/>
      <c r="KRW1" s="2"/>
      <c r="KRX1" s="2"/>
      <c r="KRY1" s="2"/>
      <c r="KRZ1" s="2"/>
      <c r="KSA1" s="2"/>
      <c r="KSB1" s="2"/>
      <c r="KSC1" s="2"/>
      <c r="KSD1" s="2"/>
      <c r="KSE1" s="2"/>
      <c r="KSF1" s="2"/>
      <c r="KSG1" s="2"/>
      <c r="KSH1" s="2"/>
      <c r="KSI1" s="2"/>
      <c r="KSJ1" s="2"/>
      <c r="KSK1" s="2"/>
      <c r="KSL1" s="2"/>
      <c r="KSM1" s="2"/>
      <c r="KSN1" s="2"/>
      <c r="KSO1" s="2"/>
      <c r="KSP1" s="2"/>
      <c r="KSQ1" s="2"/>
      <c r="KSR1" s="2"/>
      <c r="KSS1" s="2"/>
      <c r="KST1" s="2"/>
      <c r="KSU1" s="2"/>
      <c r="KSV1" s="2"/>
      <c r="KSW1" s="2"/>
      <c r="KSX1" s="2"/>
      <c r="KSY1" s="2"/>
      <c r="KSZ1" s="2"/>
      <c r="KTA1" s="2"/>
      <c r="KTB1" s="2"/>
      <c r="KTC1" s="2"/>
      <c r="KTD1" s="2"/>
      <c r="KTE1" s="2"/>
      <c r="KTF1" s="2"/>
      <c r="KTG1" s="2"/>
      <c r="KTH1" s="2"/>
      <c r="KTI1" s="2"/>
      <c r="KTJ1" s="2"/>
      <c r="KTK1" s="2"/>
      <c r="KTL1" s="2"/>
      <c r="KTM1" s="2"/>
      <c r="KTN1" s="2"/>
      <c r="KTO1" s="2"/>
      <c r="KTP1" s="2"/>
      <c r="KTQ1" s="2"/>
      <c r="KTR1" s="2"/>
      <c r="KTS1" s="2"/>
      <c r="KTT1" s="2"/>
      <c r="KTU1" s="2"/>
      <c r="KTV1" s="2"/>
      <c r="KTW1" s="2"/>
      <c r="KTX1" s="2"/>
      <c r="KTY1" s="2"/>
      <c r="KTZ1" s="2"/>
      <c r="KUA1" s="2"/>
      <c r="KUB1" s="2"/>
      <c r="KUC1" s="2"/>
      <c r="KUD1" s="2"/>
      <c r="KUE1" s="2"/>
      <c r="KUF1" s="2"/>
      <c r="KUG1" s="2"/>
      <c r="KUH1" s="2"/>
      <c r="KUI1" s="2"/>
      <c r="KUJ1" s="2"/>
      <c r="KUK1" s="2"/>
      <c r="KUL1" s="2"/>
      <c r="KUM1" s="2"/>
      <c r="KUN1" s="2"/>
      <c r="KUO1" s="2"/>
      <c r="KUP1" s="2"/>
      <c r="KUQ1" s="2"/>
      <c r="KUR1" s="2"/>
      <c r="KUS1" s="2"/>
      <c r="KUT1" s="2"/>
      <c r="KUU1" s="2"/>
      <c r="KUV1" s="2"/>
      <c r="KUW1" s="2"/>
      <c r="KUX1" s="2"/>
      <c r="KUY1" s="2"/>
      <c r="KUZ1" s="2"/>
      <c r="KVA1" s="2"/>
      <c r="KVB1" s="2"/>
      <c r="KVC1" s="2"/>
      <c r="KVD1" s="2"/>
      <c r="KVE1" s="2"/>
      <c r="KVF1" s="2"/>
      <c r="KVG1" s="2"/>
      <c r="KVH1" s="2"/>
      <c r="KVI1" s="2"/>
      <c r="KVJ1" s="2"/>
      <c r="KVK1" s="2"/>
      <c r="KVL1" s="2"/>
      <c r="KVM1" s="2"/>
      <c r="KVN1" s="2"/>
      <c r="KVO1" s="2"/>
      <c r="KVP1" s="2"/>
      <c r="KVQ1" s="2"/>
      <c r="KVR1" s="2"/>
      <c r="KVS1" s="2"/>
      <c r="KVT1" s="2"/>
      <c r="KVU1" s="2"/>
      <c r="KVV1" s="2"/>
      <c r="KVW1" s="2"/>
      <c r="KVX1" s="2"/>
      <c r="KVY1" s="2"/>
      <c r="KVZ1" s="2"/>
      <c r="KWA1" s="2"/>
      <c r="KWB1" s="2"/>
      <c r="KWC1" s="2"/>
      <c r="KWD1" s="2"/>
      <c r="KWE1" s="2"/>
      <c r="KWF1" s="2"/>
      <c r="KWG1" s="2"/>
      <c r="KWH1" s="2"/>
      <c r="KWI1" s="2"/>
      <c r="KWJ1" s="2"/>
      <c r="KWK1" s="2"/>
      <c r="KWL1" s="2"/>
      <c r="KWM1" s="2"/>
      <c r="KWN1" s="2"/>
      <c r="KWO1" s="2"/>
      <c r="KWP1" s="2"/>
      <c r="KWQ1" s="2"/>
      <c r="KWR1" s="2"/>
      <c r="KWS1" s="2"/>
      <c r="KWT1" s="2"/>
      <c r="KWU1" s="2"/>
      <c r="KWV1" s="2"/>
      <c r="KWW1" s="2"/>
      <c r="KWX1" s="2"/>
      <c r="KWY1" s="2"/>
      <c r="KWZ1" s="2"/>
      <c r="KXA1" s="2"/>
      <c r="KXB1" s="2"/>
      <c r="KXC1" s="2"/>
      <c r="KXD1" s="2"/>
      <c r="KXE1" s="2"/>
      <c r="KXF1" s="2"/>
      <c r="KXG1" s="2"/>
      <c r="KXH1" s="2"/>
      <c r="KXI1" s="2"/>
      <c r="KXJ1" s="2"/>
      <c r="KXK1" s="2"/>
      <c r="KXL1" s="2"/>
      <c r="KXM1" s="2"/>
      <c r="KXN1" s="2"/>
      <c r="KXO1" s="2"/>
      <c r="KXP1" s="2"/>
      <c r="KXQ1" s="2"/>
      <c r="KXR1" s="2"/>
      <c r="KXS1" s="2"/>
      <c r="KXT1" s="2"/>
      <c r="KXU1" s="2"/>
      <c r="KXV1" s="2"/>
      <c r="KXW1" s="2"/>
      <c r="KXX1" s="2"/>
      <c r="KXY1" s="2"/>
      <c r="KXZ1" s="2"/>
      <c r="KYA1" s="2"/>
      <c r="KYB1" s="2"/>
      <c r="KYC1" s="2"/>
      <c r="KYD1" s="2"/>
      <c r="KYE1" s="2"/>
      <c r="KYF1" s="2"/>
      <c r="KYG1" s="2"/>
      <c r="KYH1" s="2"/>
      <c r="KYI1" s="2"/>
      <c r="KYJ1" s="2"/>
      <c r="KYK1" s="2"/>
      <c r="KYL1" s="2"/>
      <c r="KYM1" s="2"/>
      <c r="KYN1" s="2"/>
      <c r="KYO1" s="2"/>
      <c r="KYP1" s="2"/>
      <c r="KYQ1" s="2"/>
      <c r="KYR1" s="2"/>
      <c r="KYS1" s="2"/>
      <c r="KYT1" s="2"/>
      <c r="KYU1" s="2"/>
      <c r="KYV1" s="2"/>
      <c r="KYW1" s="2"/>
      <c r="KYX1" s="2"/>
      <c r="KYY1" s="2"/>
      <c r="KYZ1" s="2"/>
      <c r="KZA1" s="2"/>
      <c r="KZB1" s="2"/>
      <c r="KZC1" s="2"/>
      <c r="KZD1" s="2"/>
      <c r="KZE1" s="2"/>
      <c r="KZF1" s="2"/>
      <c r="KZG1" s="2"/>
      <c r="KZH1" s="2"/>
      <c r="KZI1" s="2"/>
      <c r="KZJ1" s="2"/>
      <c r="KZK1" s="2"/>
      <c r="KZL1" s="2"/>
      <c r="KZM1" s="2"/>
      <c r="KZN1" s="2"/>
      <c r="KZO1" s="2"/>
      <c r="KZP1" s="2"/>
      <c r="KZQ1" s="2"/>
      <c r="KZR1" s="2"/>
      <c r="KZS1" s="2"/>
      <c r="KZT1" s="2"/>
      <c r="KZU1" s="2"/>
      <c r="KZV1" s="2"/>
      <c r="KZW1" s="2"/>
      <c r="KZX1" s="2"/>
      <c r="KZY1" s="2"/>
      <c r="KZZ1" s="2"/>
      <c r="LAA1" s="2"/>
      <c r="LAB1" s="2"/>
      <c r="LAC1" s="2"/>
      <c r="LAD1" s="2"/>
      <c r="LAE1" s="2"/>
      <c r="LAF1" s="2"/>
      <c r="LAG1" s="2"/>
      <c r="LAH1" s="2"/>
      <c r="LAI1" s="2"/>
      <c r="LAJ1" s="2"/>
      <c r="LAK1" s="2"/>
      <c r="LAL1" s="2"/>
      <c r="LAM1" s="2"/>
      <c r="LAN1" s="2"/>
      <c r="LAO1" s="2"/>
      <c r="LAP1" s="2"/>
      <c r="LAQ1" s="2"/>
      <c r="LAR1" s="2"/>
      <c r="LAS1" s="2"/>
      <c r="LAT1" s="2"/>
      <c r="LAU1" s="2"/>
      <c r="LAV1" s="2"/>
      <c r="LAW1" s="2"/>
      <c r="LAX1" s="2"/>
      <c r="LAY1" s="2"/>
      <c r="LAZ1" s="2"/>
      <c r="LBA1" s="2"/>
      <c r="LBB1" s="2"/>
      <c r="LBC1" s="2"/>
      <c r="LBD1" s="2"/>
      <c r="LBE1" s="2"/>
      <c r="LBF1" s="2"/>
      <c r="LBG1" s="2"/>
      <c r="LBH1" s="2"/>
      <c r="LBI1" s="2"/>
      <c r="LBJ1" s="2"/>
      <c r="LBK1" s="2"/>
      <c r="LBL1" s="2"/>
      <c r="LBM1" s="2"/>
      <c r="LBN1" s="2"/>
      <c r="LBO1" s="2"/>
      <c r="LBP1" s="2"/>
      <c r="LBQ1" s="2"/>
      <c r="LBR1" s="2"/>
      <c r="LBS1" s="2"/>
      <c r="LBT1" s="2"/>
      <c r="LBU1" s="2"/>
      <c r="LBV1" s="2"/>
      <c r="LBW1" s="2"/>
      <c r="LBX1" s="2"/>
      <c r="LBY1" s="2"/>
      <c r="LBZ1" s="2"/>
      <c r="LCA1" s="2"/>
      <c r="LCB1" s="2"/>
      <c r="LCC1" s="2"/>
      <c r="LCD1" s="2"/>
      <c r="LCE1" s="2"/>
      <c r="LCF1" s="2"/>
      <c r="LCG1" s="2"/>
      <c r="LCH1" s="2"/>
      <c r="LCI1" s="2"/>
      <c r="LCJ1" s="2"/>
      <c r="LCK1" s="2"/>
      <c r="LCL1" s="2"/>
      <c r="LCM1" s="2"/>
      <c r="LCN1" s="2"/>
      <c r="LCO1" s="2"/>
      <c r="LCP1" s="2"/>
      <c r="LCQ1" s="2"/>
      <c r="LCR1" s="2"/>
      <c r="LCS1" s="2"/>
      <c r="LCT1" s="2"/>
      <c r="LCU1" s="2"/>
      <c r="LCV1" s="2"/>
      <c r="LCW1" s="2"/>
      <c r="LCX1" s="2"/>
      <c r="LCY1" s="2"/>
      <c r="LCZ1" s="2"/>
      <c r="LDA1" s="2"/>
      <c r="LDB1" s="2"/>
      <c r="LDC1" s="2"/>
      <c r="LDD1" s="2"/>
      <c r="LDE1" s="2"/>
      <c r="LDF1" s="2"/>
      <c r="LDG1" s="2"/>
      <c r="LDH1" s="2"/>
      <c r="LDI1" s="2"/>
      <c r="LDJ1" s="2"/>
      <c r="LDK1" s="2"/>
      <c r="LDL1" s="2"/>
      <c r="LDM1" s="2"/>
      <c r="LDN1" s="2"/>
      <c r="LDO1" s="2"/>
      <c r="LDP1" s="2"/>
      <c r="LDQ1" s="2"/>
      <c r="LDR1" s="2"/>
      <c r="LDS1" s="2"/>
      <c r="LDT1" s="2"/>
      <c r="LDU1" s="2"/>
      <c r="LDV1" s="2"/>
      <c r="LDW1" s="2"/>
      <c r="LDX1" s="2"/>
      <c r="LDY1" s="2"/>
      <c r="LDZ1" s="2"/>
      <c r="LEA1" s="2"/>
      <c r="LEB1" s="2"/>
      <c r="LEC1" s="2"/>
      <c r="LED1" s="2"/>
      <c r="LEE1" s="2"/>
      <c r="LEF1" s="2"/>
      <c r="LEG1" s="2"/>
      <c r="LEH1" s="2"/>
      <c r="LEI1" s="2"/>
      <c r="LEJ1" s="2"/>
      <c r="LEK1" s="2"/>
      <c r="LEL1" s="2"/>
      <c r="LEM1" s="2"/>
      <c r="LEN1" s="2"/>
      <c r="LEO1" s="2"/>
      <c r="LEP1" s="2"/>
      <c r="LEQ1" s="2"/>
      <c r="LER1" s="2"/>
      <c r="LES1" s="2"/>
      <c r="LET1" s="2"/>
      <c r="LEU1" s="2"/>
      <c r="LEV1" s="2"/>
      <c r="LEW1" s="2"/>
      <c r="LEX1" s="2"/>
      <c r="LEY1" s="2"/>
      <c r="LEZ1" s="2"/>
      <c r="LFA1" s="2"/>
      <c r="LFB1" s="2"/>
      <c r="LFC1" s="2"/>
      <c r="LFD1" s="2"/>
      <c r="LFE1" s="2"/>
      <c r="LFF1" s="2"/>
      <c r="LFG1" s="2"/>
      <c r="LFH1" s="2"/>
      <c r="LFI1" s="2"/>
      <c r="LFJ1" s="2"/>
      <c r="LFK1" s="2"/>
      <c r="LFL1" s="2"/>
      <c r="LFM1" s="2"/>
      <c r="LFN1" s="2"/>
      <c r="LFO1" s="2"/>
      <c r="LFP1" s="2"/>
      <c r="LFQ1" s="2"/>
      <c r="LFR1" s="2"/>
      <c r="LFS1" s="2"/>
      <c r="LFT1" s="2"/>
      <c r="LFU1" s="2"/>
      <c r="LFV1" s="2"/>
      <c r="LFW1" s="2"/>
      <c r="LFX1" s="2"/>
      <c r="LFY1" s="2"/>
      <c r="LFZ1" s="2"/>
      <c r="LGA1" s="2"/>
      <c r="LGB1" s="2"/>
      <c r="LGC1" s="2"/>
      <c r="LGD1" s="2"/>
      <c r="LGE1" s="2"/>
      <c r="LGF1" s="2"/>
      <c r="LGG1" s="2"/>
      <c r="LGH1" s="2"/>
      <c r="LGI1" s="2"/>
      <c r="LGJ1" s="2"/>
      <c r="LGK1" s="2"/>
      <c r="LGL1" s="2"/>
      <c r="LGM1" s="2"/>
      <c r="LGN1" s="2"/>
      <c r="LGO1" s="2"/>
      <c r="LGP1" s="2"/>
      <c r="LGQ1" s="2"/>
      <c r="LGR1" s="2"/>
      <c r="LGS1" s="2"/>
      <c r="LGT1" s="2"/>
      <c r="LGU1" s="2"/>
      <c r="LGV1" s="2"/>
      <c r="LGW1" s="2"/>
      <c r="LGX1" s="2"/>
      <c r="LGY1" s="2"/>
      <c r="LGZ1" s="2"/>
      <c r="LHA1" s="2"/>
      <c r="LHB1" s="2"/>
      <c r="LHC1" s="2"/>
      <c r="LHD1" s="2"/>
      <c r="LHE1" s="2"/>
      <c r="LHF1" s="2"/>
      <c r="LHG1" s="2"/>
      <c r="LHH1" s="2"/>
      <c r="LHI1" s="2"/>
      <c r="LHJ1" s="2"/>
      <c r="LHK1" s="2"/>
      <c r="LHL1" s="2"/>
      <c r="LHM1" s="2"/>
      <c r="LHN1" s="2"/>
      <c r="LHO1" s="2"/>
      <c r="LHP1" s="2"/>
      <c r="LHQ1" s="2"/>
      <c r="LHR1" s="2"/>
      <c r="LHS1" s="2"/>
      <c r="LHT1" s="2"/>
      <c r="LHU1" s="2"/>
      <c r="LHV1" s="2"/>
      <c r="LHW1" s="2"/>
      <c r="LHX1" s="2"/>
      <c r="LHY1" s="2"/>
      <c r="LHZ1" s="2"/>
      <c r="LIA1" s="2"/>
      <c r="LIB1" s="2"/>
      <c r="LIC1" s="2"/>
      <c r="LID1" s="2"/>
      <c r="LIE1" s="2"/>
      <c r="LIF1" s="2"/>
      <c r="LIG1" s="2"/>
      <c r="LIH1" s="2"/>
      <c r="LII1" s="2"/>
      <c r="LIJ1" s="2"/>
      <c r="LIK1" s="2"/>
      <c r="LIL1" s="2"/>
      <c r="LIM1" s="2"/>
      <c r="LIN1" s="2"/>
      <c r="LIO1" s="2"/>
      <c r="LIP1" s="2"/>
      <c r="LIQ1" s="2"/>
      <c r="LIR1" s="2"/>
      <c r="LIS1" s="2"/>
      <c r="LIT1" s="2"/>
      <c r="LIU1" s="2"/>
      <c r="LIV1" s="2"/>
      <c r="LIW1" s="2"/>
      <c r="LIX1" s="2"/>
      <c r="LIY1" s="2"/>
      <c r="LIZ1" s="2"/>
      <c r="LJA1" s="2"/>
      <c r="LJB1" s="2"/>
      <c r="LJC1" s="2"/>
      <c r="LJD1" s="2"/>
      <c r="LJE1" s="2"/>
      <c r="LJF1" s="2"/>
      <c r="LJG1" s="2"/>
      <c r="LJH1" s="2"/>
      <c r="LJI1" s="2"/>
      <c r="LJJ1" s="2"/>
      <c r="LJK1" s="2"/>
      <c r="LJL1" s="2"/>
      <c r="LJM1" s="2"/>
      <c r="LJN1" s="2"/>
      <c r="LJO1" s="2"/>
      <c r="LJP1" s="2"/>
      <c r="LJQ1" s="2"/>
      <c r="LJR1" s="2"/>
      <c r="LJS1" s="2"/>
      <c r="LJT1" s="2"/>
      <c r="LJU1" s="2"/>
      <c r="LJV1" s="2"/>
      <c r="LJW1" s="2"/>
      <c r="LJX1" s="2"/>
      <c r="LJY1" s="2"/>
      <c r="LJZ1" s="2"/>
      <c r="LKA1" s="2"/>
      <c r="LKB1" s="2"/>
      <c r="LKC1" s="2"/>
      <c r="LKD1" s="2"/>
      <c r="LKE1" s="2"/>
      <c r="LKF1" s="2"/>
      <c r="LKG1" s="2"/>
      <c r="LKH1" s="2"/>
      <c r="LKI1" s="2"/>
      <c r="LKJ1" s="2"/>
      <c r="LKK1" s="2"/>
      <c r="LKL1" s="2"/>
      <c r="LKM1" s="2"/>
      <c r="LKN1" s="2"/>
      <c r="LKO1" s="2"/>
      <c r="LKP1" s="2"/>
      <c r="LKQ1" s="2"/>
      <c r="LKR1" s="2"/>
      <c r="LKS1" s="2"/>
      <c r="LKT1" s="2"/>
      <c r="LKU1" s="2"/>
      <c r="LKV1" s="2"/>
      <c r="LKW1" s="2"/>
      <c r="LKX1" s="2"/>
      <c r="LKY1" s="2"/>
      <c r="LKZ1" s="2"/>
      <c r="LLA1" s="2"/>
      <c r="LLB1" s="2"/>
      <c r="LLC1" s="2"/>
      <c r="LLD1" s="2"/>
      <c r="LLE1" s="2"/>
      <c r="LLF1" s="2"/>
      <c r="LLG1" s="2"/>
      <c r="LLH1" s="2"/>
      <c r="LLI1" s="2"/>
      <c r="LLJ1" s="2"/>
      <c r="LLK1" s="2"/>
      <c r="LLL1" s="2"/>
      <c r="LLM1" s="2"/>
      <c r="LLN1" s="2"/>
      <c r="LLO1" s="2"/>
      <c r="LLP1" s="2"/>
      <c r="LLQ1" s="2"/>
      <c r="LLR1" s="2"/>
      <c r="LLS1" s="2"/>
      <c r="LLT1" s="2"/>
      <c r="LLU1" s="2"/>
      <c r="LLV1" s="2"/>
      <c r="LLW1" s="2"/>
      <c r="LLX1" s="2"/>
      <c r="LLY1" s="2"/>
      <c r="LLZ1" s="2"/>
      <c r="LMA1" s="2"/>
      <c r="LMB1" s="2"/>
      <c r="LMC1" s="2"/>
      <c r="LMD1" s="2"/>
      <c r="LME1" s="2"/>
      <c r="LMF1" s="2"/>
      <c r="LMG1" s="2"/>
      <c r="LMH1" s="2"/>
      <c r="LMI1" s="2"/>
      <c r="LMJ1" s="2"/>
      <c r="LMK1" s="2"/>
      <c r="LML1" s="2"/>
      <c r="LMM1" s="2"/>
      <c r="LMN1" s="2"/>
      <c r="LMO1" s="2"/>
      <c r="LMP1" s="2"/>
      <c r="LMQ1" s="2"/>
      <c r="LMR1" s="2"/>
      <c r="LMS1" s="2"/>
      <c r="LMT1" s="2"/>
      <c r="LMU1" s="2"/>
      <c r="LMV1" s="2"/>
      <c r="LMW1" s="2"/>
      <c r="LMX1" s="2"/>
      <c r="LMY1" s="2"/>
      <c r="LMZ1" s="2"/>
      <c r="LNA1" s="2"/>
      <c r="LNB1" s="2"/>
      <c r="LNC1" s="2"/>
      <c r="LND1" s="2"/>
      <c r="LNE1" s="2"/>
      <c r="LNF1" s="2"/>
      <c r="LNG1" s="2"/>
      <c r="LNH1" s="2"/>
      <c r="LNI1" s="2"/>
      <c r="LNJ1" s="2"/>
      <c r="LNK1" s="2"/>
      <c r="LNL1" s="2"/>
      <c r="LNM1" s="2"/>
      <c r="LNN1" s="2"/>
      <c r="LNO1" s="2"/>
      <c r="LNP1" s="2"/>
      <c r="LNQ1" s="2"/>
      <c r="LNR1" s="2"/>
      <c r="LNS1" s="2"/>
      <c r="LNT1" s="2"/>
      <c r="LNU1" s="2"/>
      <c r="LNV1" s="2"/>
      <c r="LNW1" s="2"/>
      <c r="LNX1" s="2"/>
      <c r="LNY1" s="2"/>
      <c r="LNZ1" s="2"/>
      <c r="LOA1" s="2"/>
      <c r="LOB1" s="2"/>
      <c r="LOC1" s="2"/>
      <c r="LOD1" s="2"/>
      <c r="LOE1" s="2"/>
      <c r="LOF1" s="2"/>
      <c r="LOG1" s="2"/>
      <c r="LOH1" s="2"/>
      <c r="LOI1" s="2"/>
      <c r="LOJ1" s="2"/>
      <c r="LOK1" s="2"/>
      <c r="LOL1" s="2"/>
      <c r="LOM1" s="2"/>
      <c r="LON1" s="2"/>
      <c r="LOO1" s="2"/>
      <c r="LOP1" s="2"/>
      <c r="LOQ1" s="2"/>
      <c r="LOR1" s="2"/>
      <c r="LOS1" s="2"/>
      <c r="LOT1" s="2"/>
      <c r="LOU1" s="2"/>
      <c r="LOV1" s="2"/>
      <c r="LOW1" s="2"/>
      <c r="LOX1" s="2"/>
      <c r="LOY1" s="2"/>
      <c r="LOZ1" s="2"/>
      <c r="LPA1" s="2"/>
      <c r="LPB1" s="2"/>
      <c r="LPC1" s="2"/>
      <c r="LPD1" s="2"/>
      <c r="LPE1" s="2"/>
      <c r="LPF1" s="2"/>
      <c r="LPG1" s="2"/>
      <c r="LPH1" s="2"/>
      <c r="LPI1" s="2"/>
      <c r="LPJ1" s="2"/>
      <c r="LPK1" s="2"/>
      <c r="LPL1" s="2"/>
      <c r="LPM1" s="2"/>
      <c r="LPN1" s="2"/>
      <c r="LPO1" s="2"/>
      <c r="LPP1" s="2"/>
      <c r="LPQ1" s="2"/>
      <c r="LPR1" s="2"/>
      <c r="LPS1" s="2"/>
      <c r="LPT1" s="2"/>
      <c r="LPU1" s="2"/>
      <c r="LPV1" s="2"/>
      <c r="LPW1" s="2"/>
      <c r="LPX1" s="2"/>
      <c r="LPY1" s="2"/>
      <c r="LPZ1" s="2"/>
      <c r="LQA1" s="2"/>
      <c r="LQB1" s="2"/>
      <c r="LQC1" s="2"/>
      <c r="LQD1" s="2"/>
      <c r="LQE1" s="2"/>
      <c r="LQF1" s="2"/>
      <c r="LQG1" s="2"/>
      <c r="LQH1" s="2"/>
      <c r="LQI1" s="2"/>
      <c r="LQJ1" s="2"/>
      <c r="LQK1" s="2"/>
      <c r="LQL1" s="2"/>
      <c r="LQM1" s="2"/>
      <c r="LQN1" s="2"/>
      <c r="LQO1" s="2"/>
      <c r="LQP1" s="2"/>
      <c r="LQQ1" s="2"/>
      <c r="LQR1" s="2"/>
      <c r="LQS1" s="2"/>
      <c r="LQT1" s="2"/>
      <c r="LQU1" s="2"/>
      <c r="LQV1" s="2"/>
      <c r="LQW1" s="2"/>
      <c r="LQX1" s="2"/>
      <c r="LQY1" s="2"/>
      <c r="LQZ1" s="2"/>
      <c r="LRA1" s="2"/>
      <c r="LRB1" s="2"/>
      <c r="LRC1" s="2"/>
      <c r="LRD1" s="2"/>
      <c r="LRE1" s="2"/>
      <c r="LRF1" s="2"/>
      <c r="LRG1" s="2"/>
      <c r="LRH1" s="2"/>
      <c r="LRI1" s="2"/>
      <c r="LRJ1" s="2"/>
      <c r="LRK1" s="2"/>
      <c r="LRL1" s="2"/>
      <c r="LRM1" s="2"/>
      <c r="LRN1" s="2"/>
      <c r="LRO1" s="2"/>
      <c r="LRP1" s="2"/>
      <c r="LRQ1" s="2"/>
      <c r="LRR1" s="2"/>
      <c r="LRS1" s="2"/>
      <c r="LRT1" s="2"/>
      <c r="LRU1" s="2"/>
      <c r="LRV1" s="2"/>
      <c r="LRW1" s="2"/>
      <c r="LRX1" s="2"/>
      <c r="LRY1" s="2"/>
      <c r="LRZ1" s="2"/>
      <c r="LSA1" s="2"/>
      <c r="LSB1" s="2"/>
      <c r="LSC1" s="2"/>
      <c r="LSD1" s="2"/>
      <c r="LSE1" s="2"/>
      <c r="LSF1" s="2"/>
      <c r="LSG1" s="2"/>
      <c r="LSH1" s="2"/>
      <c r="LSI1" s="2"/>
      <c r="LSJ1" s="2"/>
      <c r="LSK1" s="2"/>
      <c r="LSL1" s="2"/>
      <c r="LSM1" s="2"/>
      <c r="LSN1" s="2"/>
      <c r="LSO1" s="2"/>
      <c r="LSP1" s="2"/>
      <c r="LSQ1" s="2"/>
      <c r="LSR1" s="2"/>
      <c r="LSS1" s="2"/>
      <c r="LST1" s="2"/>
      <c r="LSU1" s="2"/>
      <c r="LSV1" s="2"/>
      <c r="LSW1" s="2"/>
      <c r="LSX1" s="2"/>
      <c r="LSY1" s="2"/>
      <c r="LSZ1" s="2"/>
      <c r="LTA1" s="2"/>
      <c r="LTB1" s="2"/>
      <c r="LTC1" s="2"/>
      <c r="LTD1" s="2"/>
      <c r="LTE1" s="2"/>
      <c r="LTF1" s="2"/>
      <c r="LTG1" s="2"/>
      <c r="LTH1" s="2"/>
      <c r="LTI1" s="2"/>
      <c r="LTJ1" s="2"/>
      <c r="LTK1" s="2"/>
      <c r="LTL1" s="2"/>
      <c r="LTM1" s="2"/>
      <c r="LTN1" s="2"/>
      <c r="LTO1" s="2"/>
      <c r="LTP1" s="2"/>
      <c r="LTQ1" s="2"/>
      <c r="LTR1" s="2"/>
      <c r="LTS1" s="2"/>
      <c r="LTT1" s="2"/>
      <c r="LTU1" s="2"/>
      <c r="LTV1" s="2"/>
      <c r="LTW1" s="2"/>
      <c r="LTX1" s="2"/>
      <c r="LTY1" s="2"/>
      <c r="LTZ1" s="2"/>
      <c r="LUA1" s="2"/>
      <c r="LUB1" s="2"/>
      <c r="LUC1" s="2"/>
      <c r="LUD1" s="2"/>
      <c r="LUE1" s="2"/>
      <c r="LUF1" s="2"/>
      <c r="LUG1" s="2"/>
      <c r="LUH1" s="2"/>
      <c r="LUI1" s="2"/>
      <c r="LUJ1" s="2"/>
      <c r="LUK1" s="2"/>
      <c r="LUL1" s="2"/>
      <c r="LUM1" s="2"/>
      <c r="LUN1" s="2"/>
      <c r="LUO1" s="2"/>
      <c r="LUP1" s="2"/>
      <c r="LUQ1" s="2"/>
      <c r="LUR1" s="2"/>
      <c r="LUS1" s="2"/>
      <c r="LUT1" s="2"/>
      <c r="LUU1" s="2"/>
      <c r="LUV1" s="2"/>
      <c r="LUW1" s="2"/>
      <c r="LUX1" s="2"/>
      <c r="LUY1" s="2"/>
      <c r="LUZ1" s="2"/>
      <c r="LVA1" s="2"/>
      <c r="LVB1" s="2"/>
      <c r="LVC1" s="2"/>
      <c r="LVD1" s="2"/>
      <c r="LVE1" s="2"/>
      <c r="LVF1" s="2"/>
      <c r="LVG1" s="2"/>
      <c r="LVH1" s="2"/>
      <c r="LVI1" s="2"/>
      <c r="LVJ1" s="2"/>
      <c r="LVK1" s="2"/>
      <c r="LVL1" s="2"/>
      <c r="LVM1" s="2"/>
      <c r="LVN1" s="2"/>
      <c r="LVO1" s="2"/>
      <c r="LVP1" s="2"/>
      <c r="LVQ1" s="2"/>
      <c r="LVR1" s="2"/>
      <c r="LVS1" s="2"/>
      <c r="LVT1" s="2"/>
      <c r="LVU1" s="2"/>
      <c r="LVV1" s="2"/>
      <c r="LVW1" s="2"/>
      <c r="LVX1" s="2"/>
      <c r="LVY1" s="2"/>
      <c r="LVZ1" s="2"/>
      <c r="LWA1" s="2"/>
      <c r="LWB1" s="2"/>
      <c r="LWC1" s="2"/>
      <c r="LWD1" s="2"/>
      <c r="LWE1" s="2"/>
      <c r="LWF1" s="2"/>
      <c r="LWG1" s="2"/>
      <c r="LWH1" s="2"/>
      <c r="LWI1" s="2"/>
      <c r="LWJ1" s="2"/>
      <c r="LWK1" s="2"/>
      <c r="LWL1" s="2"/>
      <c r="LWM1" s="2"/>
      <c r="LWN1" s="2"/>
      <c r="LWO1" s="2"/>
      <c r="LWP1" s="2"/>
      <c r="LWQ1" s="2"/>
      <c r="LWR1" s="2"/>
      <c r="LWS1" s="2"/>
      <c r="LWT1" s="2"/>
      <c r="LWU1" s="2"/>
      <c r="LWV1" s="2"/>
      <c r="LWW1" s="2"/>
      <c r="LWX1" s="2"/>
      <c r="LWY1" s="2"/>
      <c r="LWZ1" s="2"/>
      <c r="LXA1" s="2"/>
      <c r="LXB1" s="2"/>
      <c r="LXC1" s="2"/>
      <c r="LXD1" s="2"/>
      <c r="LXE1" s="2"/>
      <c r="LXF1" s="2"/>
      <c r="LXG1" s="2"/>
      <c r="LXH1" s="2"/>
      <c r="LXI1" s="2"/>
      <c r="LXJ1" s="2"/>
      <c r="LXK1" s="2"/>
      <c r="LXL1" s="2"/>
      <c r="LXM1" s="2"/>
      <c r="LXN1" s="2"/>
      <c r="LXO1" s="2"/>
      <c r="LXP1" s="2"/>
      <c r="LXQ1" s="2"/>
      <c r="LXR1" s="2"/>
      <c r="LXS1" s="2"/>
      <c r="LXT1" s="2"/>
      <c r="LXU1" s="2"/>
      <c r="LXV1" s="2"/>
      <c r="LXW1" s="2"/>
      <c r="LXX1" s="2"/>
      <c r="LXY1" s="2"/>
      <c r="LXZ1" s="2"/>
      <c r="LYA1" s="2"/>
      <c r="LYB1" s="2"/>
      <c r="LYC1" s="2"/>
      <c r="LYD1" s="2"/>
      <c r="LYE1" s="2"/>
      <c r="LYF1" s="2"/>
      <c r="LYG1" s="2"/>
      <c r="LYH1" s="2"/>
      <c r="LYI1" s="2"/>
      <c r="LYJ1" s="2"/>
      <c r="LYK1" s="2"/>
      <c r="LYL1" s="2"/>
      <c r="LYM1" s="2"/>
      <c r="LYN1" s="2"/>
      <c r="LYO1" s="2"/>
      <c r="LYP1" s="2"/>
      <c r="LYQ1" s="2"/>
      <c r="LYR1" s="2"/>
      <c r="LYS1" s="2"/>
      <c r="LYT1" s="2"/>
      <c r="LYU1" s="2"/>
      <c r="LYV1" s="2"/>
      <c r="LYW1" s="2"/>
      <c r="LYX1" s="2"/>
      <c r="LYY1" s="2"/>
      <c r="LYZ1" s="2"/>
      <c r="LZA1" s="2"/>
      <c r="LZB1" s="2"/>
      <c r="LZC1" s="2"/>
      <c r="LZD1" s="2"/>
      <c r="LZE1" s="2"/>
      <c r="LZF1" s="2"/>
      <c r="LZG1" s="2"/>
      <c r="LZH1" s="2"/>
      <c r="LZI1" s="2"/>
      <c r="LZJ1" s="2"/>
      <c r="LZK1" s="2"/>
      <c r="LZL1" s="2"/>
      <c r="LZM1" s="2"/>
      <c r="LZN1" s="2"/>
      <c r="LZO1" s="2"/>
      <c r="LZP1" s="2"/>
      <c r="LZQ1" s="2"/>
      <c r="LZR1" s="2"/>
      <c r="LZS1" s="2"/>
      <c r="LZT1" s="2"/>
      <c r="LZU1" s="2"/>
      <c r="LZV1" s="2"/>
      <c r="LZW1" s="2"/>
      <c r="LZX1" s="2"/>
      <c r="LZY1" s="2"/>
      <c r="LZZ1" s="2"/>
      <c r="MAA1" s="2"/>
      <c r="MAB1" s="2"/>
      <c r="MAC1" s="2"/>
      <c r="MAD1" s="2"/>
      <c r="MAE1" s="2"/>
      <c r="MAF1" s="2"/>
      <c r="MAG1" s="2"/>
      <c r="MAH1" s="2"/>
      <c r="MAI1" s="2"/>
      <c r="MAJ1" s="2"/>
      <c r="MAK1" s="2"/>
      <c r="MAL1" s="2"/>
      <c r="MAM1" s="2"/>
      <c r="MAN1" s="2"/>
      <c r="MAO1" s="2"/>
      <c r="MAP1" s="2"/>
      <c r="MAQ1" s="2"/>
      <c r="MAR1" s="2"/>
      <c r="MAS1" s="2"/>
      <c r="MAT1" s="2"/>
      <c r="MAU1" s="2"/>
      <c r="MAV1" s="2"/>
      <c r="MAW1" s="2"/>
      <c r="MAX1" s="2"/>
      <c r="MAY1" s="2"/>
      <c r="MAZ1" s="2"/>
      <c r="MBA1" s="2"/>
      <c r="MBB1" s="2"/>
      <c r="MBC1" s="2"/>
      <c r="MBD1" s="2"/>
      <c r="MBE1" s="2"/>
      <c r="MBF1" s="2"/>
      <c r="MBG1" s="2"/>
      <c r="MBH1" s="2"/>
      <c r="MBI1" s="2"/>
      <c r="MBJ1" s="2"/>
      <c r="MBK1" s="2"/>
      <c r="MBL1" s="2"/>
      <c r="MBM1" s="2"/>
      <c r="MBN1" s="2"/>
      <c r="MBO1" s="2"/>
      <c r="MBP1" s="2"/>
      <c r="MBQ1" s="2"/>
      <c r="MBR1" s="2"/>
      <c r="MBS1" s="2"/>
      <c r="MBT1" s="2"/>
      <c r="MBU1" s="2"/>
      <c r="MBV1" s="2"/>
      <c r="MBW1" s="2"/>
      <c r="MBX1" s="2"/>
      <c r="MBY1" s="2"/>
      <c r="MBZ1" s="2"/>
      <c r="MCA1" s="2"/>
      <c r="MCB1" s="2"/>
      <c r="MCC1" s="2"/>
      <c r="MCD1" s="2"/>
      <c r="MCE1" s="2"/>
      <c r="MCF1" s="2"/>
      <c r="MCG1" s="2"/>
      <c r="MCH1" s="2"/>
      <c r="MCI1" s="2"/>
      <c r="MCJ1" s="2"/>
      <c r="MCK1" s="2"/>
      <c r="MCL1" s="2"/>
      <c r="MCM1" s="2"/>
      <c r="MCN1" s="2"/>
      <c r="MCO1" s="2"/>
      <c r="MCP1" s="2"/>
      <c r="MCQ1" s="2"/>
      <c r="MCR1" s="2"/>
      <c r="MCS1" s="2"/>
      <c r="MCT1" s="2"/>
      <c r="MCU1" s="2"/>
      <c r="MCV1" s="2"/>
      <c r="MCW1" s="2"/>
      <c r="MCX1" s="2"/>
      <c r="MCY1" s="2"/>
      <c r="MCZ1" s="2"/>
      <c r="MDA1" s="2"/>
      <c r="MDB1" s="2"/>
      <c r="MDC1" s="2"/>
      <c r="MDD1" s="2"/>
      <c r="MDE1" s="2"/>
      <c r="MDF1" s="2"/>
      <c r="MDG1" s="2"/>
      <c r="MDH1" s="2"/>
      <c r="MDI1" s="2"/>
      <c r="MDJ1" s="2"/>
      <c r="MDK1" s="2"/>
      <c r="MDL1" s="2"/>
      <c r="MDM1" s="2"/>
      <c r="MDN1" s="2"/>
      <c r="MDO1" s="2"/>
      <c r="MDP1" s="2"/>
      <c r="MDQ1" s="2"/>
      <c r="MDR1" s="2"/>
      <c r="MDS1" s="2"/>
      <c r="MDT1" s="2"/>
      <c r="MDU1" s="2"/>
      <c r="MDV1" s="2"/>
      <c r="MDW1" s="2"/>
      <c r="MDX1" s="2"/>
      <c r="MDY1" s="2"/>
      <c r="MDZ1" s="2"/>
      <c r="MEA1" s="2"/>
      <c r="MEB1" s="2"/>
      <c r="MEC1" s="2"/>
      <c r="MED1" s="2"/>
      <c r="MEE1" s="2"/>
      <c r="MEF1" s="2"/>
      <c r="MEG1" s="2"/>
      <c r="MEH1" s="2"/>
      <c r="MEI1" s="2"/>
      <c r="MEJ1" s="2"/>
      <c r="MEK1" s="2"/>
      <c r="MEL1" s="2"/>
      <c r="MEM1" s="2"/>
      <c r="MEN1" s="2"/>
      <c r="MEO1" s="2"/>
      <c r="MEP1" s="2"/>
      <c r="MEQ1" s="2"/>
      <c r="MER1" s="2"/>
      <c r="MES1" s="2"/>
      <c r="MET1" s="2"/>
      <c r="MEU1" s="2"/>
      <c r="MEV1" s="2"/>
      <c r="MEW1" s="2"/>
      <c r="MEX1" s="2"/>
      <c r="MEY1" s="2"/>
      <c r="MEZ1" s="2"/>
      <c r="MFA1" s="2"/>
      <c r="MFB1" s="2"/>
      <c r="MFC1" s="2"/>
      <c r="MFD1" s="2"/>
      <c r="MFE1" s="2"/>
      <c r="MFF1" s="2"/>
      <c r="MFG1" s="2"/>
      <c r="MFH1" s="2"/>
      <c r="MFI1" s="2"/>
      <c r="MFJ1" s="2"/>
      <c r="MFK1" s="2"/>
      <c r="MFL1" s="2"/>
      <c r="MFM1" s="2"/>
      <c r="MFN1" s="2"/>
      <c r="MFO1" s="2"/>
      <c r="MFP1" s="2"/>
      <c r="MFQ1" s="2"/>
      <c r="MFR1" s="2"/>
      <c r="MFS1" s="2"/>
      <c r="MFT1" s="2"/>
      <c r="MFU1" s="2"/>
      <c r="MFV1" s="2"/>
      <c r="MFW1" s="2"/>
      <c r="MFX1" s="2"/>
      <c r="MFY1" s="2"/>
      <c r="MFZ1" s="2"/>
      <c r="MGA1" s="2"/>
      <c r="MGB1" s="2"/>
      <c r="MGC1" s="2"/>
      <c r="MGD1" s="2"/>
      <c r="MGE1" s="2"/>
      <c r="MGF1" s="2"/>
      <c r="MGG1" s="2"/>
      <c r="MGH1" s="2"/>
      <c r="MGI1" s="2"/>
      <c r="MGJ1" s="2"/>
      <c r="MGK1" s="2"/>
      <c r="MGL1" s="2"/>
      <c r="MGM1" s="2"/>
      <c r="MGN1" s="2"/>
      <c r="MGO1" s="2"/>
      <c r="MGP1" s="2"/>
      <c r="MGQ1" s="2"/>
      <c r="MGR1" s="2"/>
      <c r="MGS1" s="2"/>
      <c r="MGT1" s="2"/>
      <c r="MGU1" s="2"/>
      <c r="MGV1" s="2"/>
      <c r="MGW1" s="2"/>
      <c r="MGX1" s="2"/>
      <c r="MGY1" s="2"/>
      <c r="MGZ1" s="2"/>
      <c r="MHA1" s="2"/>
      <c r="MHB1" s="2"/>
      <c r="MHC1" s="2"/>
      <c r="MHD1" s="2"/>
      <c r="MHE1" s="2"/>
      <c r="MHF1" s="2"/>
      <c r="MHG1" s="2"/>
      <c r="MHH1" s="2"/>
      <c r="MHI1" s="2"/>
      <c r="MHJ1" s="2"/>
      <c r="MHK1" s="2"/>
      <c r="MHL1" s="2"/>
      <c r="MHM1" s="2"/>
      <c r="MHN1" s="2"/>
      <c r="MHO1" s="2"/>
      <c r="MHP1" s="2"/>
      <c r="MHQ1" s="2"/>
      <c r="MHR1" s="2"/>
      <c r="MHS1" s="2"/>
      <c r="MHT1" s="2"/>
      <c r="MHU1" s="2"/>
      <c r="MHV1" s="2"/>
      <c r="MHW1" s="2"/>
      <c r="MHX1" s="2"/>
      <c r="MHY1" s="2"/>
      <c r="MHZ1" s="2"/>
      <c r="MIA1" s="2"/>
      <c r="MIB1" s="2"/>
      <c r="MIC1" s="2"/>
      <c r="MID1" s="2"/>
      <c r="MIE1" s="2"/>
      <c r="MIF1" s="2"/>
      <c r="MIG1" s="2"/>
      <c r="MIH1" s="2"/>
      <c r="MII1" s="2"/>
      <c r="MIJ1" s="2"/>
      <c r="MIK1" s="2"/>
      <c r="MIL1" s="2"/>
      <c r="MIM1" s="2"/>
      <c r="MIN1" s="2"/>
      <c r="MIO1" s="2"/>
      <c r="MIP1" s="2"/>
      <c r="MIQ1" s="2"/>
      <c r="MIR1" s="2"/>
      <c r="MIS1" s="2"/>
      <c r="MIT1" s="2"/>
      <c r="MIU1" s="2"/>
      <c r="MIV1" s="2"/>
      <c r="MIW1" s="2"/>
      <c r="MIX1" s="2"/>
      <c r="MIY1" s="2"/>
      <c r="MIZ1" s="2"/>
      <c r="MJA1" s="2"/>
      <c r="MJB1" s="2"/>
      <c r="MJC1" s="2"/>
      <c r="MJD1" s="2"/>
      <c r="MJE1" s="2"/>
      <c r="MJF1" s="2"/>
      <c r="MJG1" s="2"/>
      <c r="MJH1" s="2"/>
      <c r="MJI1" s="2"/>
      <c r="MJJ1" s="2"/>
      <c r="MJK1" s="2"/>
      <c r="MJL1" s="2"/>
      <c r="MJM1" s="2"/>
      <c r="MJN1" s="2"/>
      <c r="MJO1" s="2"/>
      <c r="MJP1" s="2"/>
      <c r="MJQ1" s="2"/>
      <c r="MJR1" s="2"/>
      <c r="MJS1" s="2"/>
      <c r="MJT1" s="2"/>
      <c r="MJU1" s="2"/>
      <c r="MJV1" s="2"/>
      <c r="MJW1" s="2"/>
      <c r="MJX1" s="2"/>
      <c r="MJY1" s="2"/>
      <c r="MJZ1" s="2"/>
      <c r="MKA1" s="2"/>
      <c r="MKB1" s="2"/>
      <c r="MKC1" s="2"/>
      <c r="MKD1" s="2"/>
      <c r="MKE1" s="2"/>
      <c r="MKF1" s="2"/>
      <c r="MKG1" s="2"/>
      <c r="MKH1" s="2"/>
      <c r="MKI1" s="2"/>
      <c r="MKJ1" s="2"/>
      <c r="MKK1" s="2"/>
      <c r="MKL1" s="2"/>
      <c r="MKM1" s="2"/>
      <c r="MKN1" s="2"/>
      <c r="MKO1" s="2"/>
      <c r="MKP1" s="2"/>
      <c r="MKQ1" s="2"/>
      <c r="MKR1" s="2"/>
      <c r="MKS1" s="2"/>
      <c r="MKT1" s="2"/>
      <c r="MKU1" s="2"/>
      <c r="MKV1" s="2"/>
      <c r="MKW1" s="2"/>
      <c r="MKX1" s="2"/>
      <c r="MKY1" s="2"/>
      <c r="MKZ1" s="2"/>
      <c r="MLA1" s="2"/>
      <c r="MLB1" s="2"/>
      <c r="MLC1" s="2"/>
      <c r="MLD1" s="2"/>
      <c r="MLE1" s="2"/>
      <c r="MLF1" s="2"/>
      <c r="MLG1" s="2"/>
      <c r="MLH1" s="2"/>
      <c r="MLI1" s="2"/>
      <c r="MLJ1" s="2"/>
      <c r="MLK1" s="2"/>
      <c r="MLL1" s="2"/>
      <c r="MLM1" s="2"/>
      <c r="MLN1" s="2"/>
      <c r="MLO1" s="2"/>
      <c r="MLP1" s="2"/>
      <c r="MLQ1" s="2"/>
      <c r="MLR1" s="2"/>
      <c r="MLS1" s="2"/>
      <c r="MLT1" s="2"/>
      <c r="MLU1" s="2"/>
      <c r="MLV1" s="2"/>
      <c r="MLW1" s="2"/>
      <c r="MLX1" s="2"/>
      <c r="MLY1" s="2"/>
      <c r="MLZ1" s="2"/>
      <c r="MMA1" s="2"/>
      <c r="MMB1" s="2"/>
      <c r="MMC1" s="2"/>
      <c r="MMD1" s="2"/>
      <c r="MME1" s="2"/>
      <c r="MMF1" s="2"/>
      <c r="MMG1" s="2"/>
      <c r="MMH1" s="2"/>
      <c r="MMI1" s="2"/>
      <c r="MMJ1" s="2"/>
      <c r="MMK1" s="2"/>
      <c r="MML1" s="2"/>
      <c r="MMM1" s="2"/>
      <c r="MMN1" s="2"/>
      <c r="MMO1" s="2"/>
      <c r="MMP1" s="2"/>
      <c r="MMQ1" s="2"/>
      <c r="MMR1" s="2"/>
      <c r="MMS1" s="2"/>
      <c r="MMT1" s="2"/>
      <c r="MMU1" s="2"/>
      <c r="MMV1" s="2"/>
      <c r="MMW1" s="2"/>
      <c r="MMX1" s="2"/>
      <c r="MMY1" s="2"/>
      <c r="MMZ1" s="2"/>
      <c r="MNA1" s="2"/>
      <c r="MNB1" s="2"/>
      <c r="MNC1" s="2"/>
      <c r="MND1" s="2"/>
      <c r="MNE1" s="2"/>
      <c r="MNF1" s="2"/>
      <c r="MNG1" s="2"/>
      <c r="MNH1" s="2"/>
      <c r="MNI1" s="2"/>
      <c r="MNJ1" s="2"/>
      <c r="MNK1" s="2"/>
      <c r="MNL1" s="2"/>
      <c r="MNM1" s="2"/>
      <c r="MNN1" s="2"/>
      <c r="MNO1" s="2"/>
      <c r="MNP1" s="2"/>
      <c r="MNQ1" s="2"/>
      <c r="MNR1" s="2"/>
      <c r="MNS1" s="2"/>
      <c r="MNT1" s="2"/>
      <c r="MNU1" s="2"/>
      <c r="MNV1" s="2"/>
      <c r="MNW1" s="2"/>
      <c r="MNX1" s="2"/>
      <c r="MNY1" s="2"/>
      <c r="MNZ1" s="2"/>
      <c r="MOA1" s="2"/>
      <c r="MOB1" s="2"/>
      <c r="MOC1" s="2"/>
      <c r="MOD1" s="2"/>
      <c r="MOE1" s="2"/>
      <c r="MOF1" s="2"/>
      <c r="MOG1" s="2"/>
      <c r="MOH1" s="2"/>
      <c r="MOI1" s="2"/>
      <c r="MOJ1" s="2"/>
      <c r="MOK1" s="2"/>
      <c r="MOL1" s="2"/>
      <c r="MOM1" s="2"/>
      <c r="MON1" s="2"/>
      <c r="MOO1" s="2"/>
      <c r="MOP1" s="2"/>
      <c r="MOQ1" s="2"/>
      <c r="MOR1" s="2"/>
      <c r="MOS1" s="2"/>
      <c r="MOT1" s="2"/>
      <c r="MOU1" s="2"/>
      <c r="MOV1" s="2"/>
      <c r="MOW1" s="2"/>
      <c r="MOX1" s="2"/>
      <c r="MOY1" s="2"/>
      <c r="MOZ1" s="2"/>
      <c r="MPA1" s="2"/>
      <c r="MPB1" s="2"/>
      <c r="MPC1" s="2"/>
      <c r="MPD1" s="2"/>
      <c r="MPE1" s="2"/>
      <c r="MPF1" s="2"/>
      <c r="MPG1" s="2"/>
      <c r="MPH1" s="2"/>
      <c r="MPI1" s="2"/>
      <c r="MPJ1" s="2"/>
      <c r="MPK1" s="2"/>
      <c r="MPL1" s="2"/>
      <c r="MPM1" s="2"/>
      <c r="MPN1" s="2"/>
      <c r="MPO1" s="2"/>
      <c r="MPP1" s="2"/>
      <c r="MPQ1" s="2"/>
      <c r="MPR1" s="2"/>
      <c r="MPS1" s="2"/>
      <c r="MPT1" s="2"/>
      <c r="MPU1" s="2"/>
      <c r="MPV1" s="2"/>
      <c r="MPW1" s="2"/>
      <c r="MPX1" s="2"/>
      <c r="MPY1" s="2"/>
      <c r="MPZ1" s="2"/>
      <c r="MQA1" s="2"/>
      <c r="MQB1" s="2"/>
      <c r="MQC1" s="2"/>
      <c r="MQD1" s="2"/>
      <c r="MQE1" s="2"/>
      <c r="MQF1" s="2"/>
      <c r="MQG1" s="2"/>
      <c r="MQH1" s="2"/>
      <c r="MQI1" s="2"/>
      <c r="MQJ1" s="2"/>
      <c r="MQK1" s="2"/>
      <c r="MQL1" s="2"/>
      <c r="MQM1" s="2"/>
      <c r="MQN1" s="2"/>
      <c r="MQO1" s="2"/>
      <c r="MQP1" s="2"/>
      <c r="MQQ1" s="2"/>
      <c r="MQR1" s="2"/>
      <c r="MQS1" s="2"/>
      <c r="MQT1" s="2"/>
      <c r="MQU1" s="2"/>
      <c r="MQV1" s="2"/>
      <c r="MQW1" s="2"/>
      <c r="MQX1" s="2"/>
      <c r="MQY1" s="2"/>
      <c r="MQZ1" s="2"/>
      <c r="MRA1" s="2"/>
      <c r="MRB1" s="2"/>
      <c r="MRC1" s="2"/>
      <c r="MRD1" s="2"/>
      <c r="MRE1" s="2"/>
      <c r="MRF1" s="2"/>
      <c r="MRG1" s="2"/>
      <c r="MRH1" s="2"/>
      <c r="MRI1" s="2"/>
      <c r="MRJ1" s="2"/>
      <c r="MRK1" s="2"/>
      <c r="MRL1" s="2"/>
      <c r="MRM1" s="2"/>
      <c r="MRN1" s="2"/>
      <c r="MRO1" s="2"/>
      <c r="MRP1" s="2"/>
      <c r="MRQ1" s="2"/>
      <c r="MRR1" s="2"/>
      <c r="MRS1" s="2"/>
      <c r="MRT1" s="2"/>
      <c r="MRU1" s="2"/>
      <c r="MRV1" s="2"/>
      <c r="MRW1" s="2"/>
      <c r="MRX1" s="2"/>
      <c r="MRY1" s="2"/>
      <c r="MRZ1" s="2"/>
      <c r="MSA1" s="2"/>
      <c r="MSB1" s="2"/>
      <c r="MSC1" s="2"/>
      <c r="MSD1" s="2"/>
      <c r="MSE1" s="2"/>
      <c r="MSF1" s="2"/>
      <c r="MSG1" s="2"/>
      <c r="MSH1" s="2"/>
      <c r="MSI1" s="2"/>
      <c r="MSJ1" s="2"/>
      <c r="MSK1" s="2"/>
      <c r="MSL1" s="2"/>
      <c r="MSM1" s="2"/>
      <c r="MSN1" s="2"/>
      <c r="MSO1" s="2"/>
      <c r="MSP1" s="2"/>
      <c r="MSQ1" s="2"/>
      <c r="MSR1" s="2"/>
      <c r="MSS1" s="2"/>
      <c r="MST1" s="2"/>
      <c r="MSU1" s="2"/>
      <c r="MSV1" s="2"/>
      <c r="MSW1" s="2"/>
      <c r="MSX1" s="2"/>
      <c r="MSY1" s="2"/>
      <c r="MSZ1" s="2"/>
      <c r="MTA1" s="2"/>
      <c r="MTB1" s="2"/>
      <c r="MTC1" s="2"/>
      <c r="MTD1" s="2"/>
      <c r="MTE1" s="2"/>
      <c r="MTF1" s="2"/>
      <c r="MTG1" s="2"/>
      <c r="MTH1" s="2"/>
      <c r="MTI1" s="2"/>
      <c r="MTJ1" s="2"/>
      <c r="MTK1" s="2"/>
      <c r="MTL1" s="2"/>
      <c r="MTM1" s="2"/>
      <c r="MTN1" s="2"/>
      <c r="MTO1" s="2"/>
      <c r="MTP1" s="2"/>
      <c r="MTQ1" s="2"/>
      <c r="MTR1" s="2"/>
      <c r="MTS1" s="2"/>
      <c r="MTT1" s="2"/>
      <c r="MTU1" s="2"/>
      <c r="MTV1" s="2"/>
      <c r="MTW1" s="2"/>
      <c r="MTX1" s="2"/>
      <c r="MTY1" s="2"/>
      <c r="MTZ1" s="2"/>
      <c r="MUA1" s="2"/>
      <c r="MUB1" s="2"/>
      <c r="MUC1" s="2"/>
      <c r="MUD1" s="2"/>
      <c r="MUE1" s="2"/>
      <c r="MUF1" s="2"/>
      <c r="MUG1" s="2"/>
      <c r="MUH1" s="2"/>
      <c r="MUI1" s="2"/>
      <c r="MUJ1" s="2"/>
      <c r="MUK1" s="2"/>
      <c r="MUL1" s="2"/>
      <c r="MUM1" s="2"/>
      <c r="MUN1" s="2"/>
      <c r="MUO1" s="2"/>
      <c r="MUP1" s="2"/>
      <c r="MUQ1" s="2"/>
      <c r="MUR1" s="2"/>
      <c r="MUS1" s="2"/>
      <c r="MUT1" s="2"/>
      <c r="MUU1" s="2"/>
      <c r="MUV1" s="2"/>
      <c r="MUW1" s="2"/>
      <c r="MUX1" s="2"/>
      <c r="MUY1" s="2"/>
      <c r="MUZ1" s="2"/>
      <c r="MVA1" s="2"/>
      <c r="MVB1" s="2"/>
      <c r="MVC1" s="2"/>
      <c r="MVD1" s="2"/>
      <c r="MVE1" s="2"/>
      <c r="MVF1" s="2"/>
      <c r="MVG1" s="2"/>
      <c r="MVH1" s="2"/>
      <c r="MVI1" s="2"/>
      <c r="MVJ1" s="2"/>
      <c r="MVK1" s="2"/>
      <c r="MVL1" s="2"/>
      <c r="MVM1" s="2"/>
      <c r="MVN1" s="2"/>
      <c r="MVO1" s="2"/>
      <c r="MVP1" s="2"/>
      <c r="MVQ1" s="2"/>
      <c r="MVR1" s="2"/>
      <c r="MVS1" s="2"/>
      <c r="MVT1" s="2"/>
      <c r="MVU1" s="2"/>
      <c r="MVV1" s="2"/>
      <c r="MVW1" s="2"/>
      <c r="MVX1" s="2"/>
      <c r="MVY1" s="2"/>
      <c r="MVZ1" s="2"/>
      <c r="MWA1" s="2"/>
      <c r="MWB1" s="2"/>
      <c r="MWC1" s="2"/>
      <c r="MWD1" s="2"/>
      <c r="MWE1" s="2"/>
      <c r="MWF1" s="2"/>
      <c r="MWG1" s="2"/>
      <c r="MWH1" s="2"/>
      <c r="MWI1" s="2"/>
      <c r="MWJ1" s="2"/>
      <c r="MWK1" s="2"/>
      <c r="MWL1" s="2"/>
      <c r="MWM1" s="2"/>
      <c r="MWN1" s="2"/>
      <c r="MWO1" s="2"/>
      <c r="MWP1" s="2"/>
      <c r="MWQ1" s="2"/>
      <c r="MWR1" s="2"/>
      <c r="MWS1" s="2"/>
      <c r="MWT1" s="2"/>
      <c r="MWU1" s="2"/>
      <c r="MWV1" s="2"/>
      <c r="MWW1" s="2"/>
      <c r="MWX1" s="2"/>
      <c r="MWY1" s="2"/>
      <c r="MWZ1" s="2"/>
      <c r="MXA1" s="2"/>
      <c r="MXB1" s="2"/>
      <c r="MXC1" s="2"/>
      <c r="MXD1" s="2"/>
      <c r="MXE1" s="2"/>
      <c r="MXF1" s="2"/>
      <c r="MXG1" s="2"/>
      <c r="MXH1" s="2"/>
      <c r="MXI1" s="2"/>
      <c r="MXJ1" s="2"/>
      <c r="MXK1" s="2"/>
      <c r="MXL1" s="2"/>
      <c r="MXM1" s="2"/>
      <c r="MXN1" s="2"/>
      <c r="MXO1" s="2"/>
      <c r="MXP1" s="2"/>
      <c r="MXQ1" s="2"/>
      <c r="MXR1" s="2"/>
      <c r="MXS1" s="2"/>
      <c r="MXT1" s="2"/>
      <c r="MXU1" s="2"/>
      <c r="MXV1" s="2"/>
      <c r="MXW1" s="2"/>
      <c r="MXX1" s="2"/>
      <c r="MXY1" s="2"/>
      <c r="MXZ1" s="2"/>
      <c r="MYA1" s="2"/>
      <c r="MYB1" s="2"/>
      <c r="MYC1" s="2"/>
      <c r="MYD1" s="2"/>
      <c r="MYE1" s="2"/>
      <c r="MYF1" s="2"/>
      <c r="MYG1" s="2"/>
      <c r="MYH1" s="2"/>
      <c r="MYI1" s="2"/>
      <c r="MYJ1" s="2"/>
      <c r="MYK1" s="2"/>
      <c r="MYL1" s="2"/>
      <c r="MYM1" s="2"/>
      <c r="MYN1" s="2"/>
      <c r="MYO1" s="2"/>
      <c r="MYP1" s="2"/>
      <c r="MYQ1" s="2"/>
      <c r="MYR1" s="2"/>
      <c r="MYS1" s="2"/>
      <c r="MYT1" s="2"/>
      <c r="MYU1" s="2"/>
      <c r="MYV1" s="2"/>
      <c r="MYW1" s="2"/>
      <c r="MYX1" s="2"/>
      <c r="MYY1" s="2"/>
      <c r="MYZ1" s="2"/>
      <c r="MZA1" s="2"/>
      <c r="MZB1" s="2"/>
      <c r="MZC1" s="2"/>
      <c r="MZD1" s="2"/>
      <c r="MZE1" s="2"/>
      <c r="MZF1" s="2"/>
      <c r="MZG1" s="2"/>
      <c r="MZH1" s="2"/>
      <c r="MZI1" s="2"/>
      <c r="MZJ1" s="2"/>
      <c r="MZK1" s="2"/>
      <c r="MZL1" s="2"/>
      <c r="MZM1" s="2"/>
      <c r="MZN1" s="2"/>
      <c r="MZO1" s="2"/>
      <c r="MZP1" s="2"/>
      <c r="MZQ1" s="2"/>
      <c r="MZR1" s="2"/>
      <c r="MZS1" s="2"/>
      <c r="MZT1" s="2"/>
      <c r="MZU1" s="2"/>
      <c r="MZV1" s="2"/>
      <c r="MZW1" s="2"/>
      <c r="MZX1" s="2"/>
      <c r="MZY1" s="2"/>
      <c r="MZZ1" s="2"/>
      <c r="NAA1" s="2"/>
      <c r="NAB1" s="2"/>
      <c r="NAC1" s="2"/>
      <c r="NAD1" s="2"/>
      <c r="NAE1" s="2"/>
      <c r="NAF1" s="2"/>
      <c r="NAG1" s="2"/>
      <c r="NAH1" s="2"/>
      <c r="NAI1" s="2"/>
      <c r="NAJ1" s="2"/>
      <c r="NAK1" s="2"/>
      <c r="NAL1" s="2"/>
      <c r="NAM1" s="2"/>
      <c r="NAN1" s="2"/>
      <c r="NAO1" s="2"/>
      <c r="NAP1" s="2"/>
      <c r="NAQ1" s="2"/>
      <c r="NAR1" s="2"/>
      <c r="NAS1" s="2"/>
      <c r="NAT1" s="2"/>
      <c r="NAU1" s="2"/>
      <c r="NAV1" s="2"/>
      <c r="NAW1" s="2"/>
      <c r="NAX1" s="2"/>
      <c r="NAY1" s="2"/>
      <c r="NAZ1" s="2"/>
      <c r="NBA1" s="2"/>
      <c r="NBB1" s="2"/>
      <c r="NBC1" s="2"/>
      <c r="NBD1" s="2"/>
      <c r="NBE1" s="2"/>
      <c r="NBF1" s="2"/>
      <c r="NBG1" s="2"/>
      <c r="NBH1" s="2"/>
      <c r="NBI1" s="2"/>
      <c r="NBJ1" s="2"/>
      <c r="NBK1" s="2"/>
      <c r="NBL1" s="2"/>
      <c r="NBM1" s="2"/>
      <c r="NBN1" s="2"/>
      <c r="NBO1" s="2"/>
      <c r="NBP1" s="2"/>
      <c r="NBQ1" s="2"/>
      <c r="NBR1" s="2"/>
      <c r="NBS1" s="2"/>
      <c r="NBT1" s="2"/>
      <c r="NBU1" s="2"/>
      <c r="NBV1" s="2"/>
      <c r="NBW1" s="2"/>
      <c r="NBX1" s="2"/>
      <c r="NBY1" s="2"/>
      <c r="NBZ1" s="2"/>
      <c r="NCA1" s="2"/>
      <c r="NCB1" s="2"/>
      <c r="NCC1" s="2"/>
      <c r="NCD1" s="2"/>
      <c r="NCE1" s="2"/>
      <c r="NCF1" s="2"/>
      <c r="NCG1" s="2"/>
      <c r="NCH1" s="2"/>
      <c r="NCI1" s="2"/>
      <c r="NCJ1" s="2"/>
      <c r="NCK1" s="2"/>
      <c r="NCL1" s="2"/>
      <c r="NCM1" s="2"/>
      <c r="NCN1" s="2"/>
      <c r="NCO1" s="2"/>
      <c r="NCP1" s="2"/>
      <c r="NCQ1" s="2"/>
      <c r="NCR1" s="2"/>
      <c r="NCS1" s="2"/>
      <c r="NCT1" s="2"/>
      <c r="NCU1" s="2"/>
      <c r="NCV1" s="2"/>
      <c r="NCW1" s="2"/>
      <c r="NCX1" s="2"/>
      <c r="NCY1" s="2"/>
      <c r="NCZ1" s="2"/>
      <c r="NDA1" s="2"/>
      <c r="NDB1" s="2"/>
      <c r="NDC1" s="2"/>
      <c r="NDD1" s="2"/>
      <c r="NDE1" s="2"/>
      <c r="NDF1" s="2"/>
      <c r="NDG1" s="2"/>
      <c r="NDH1" s="2"/>
      <c r="NDI1" s="2"/>
      <c r="NDJ1" s="2"/>
      <c r="NDK1" s="2"/>
      <c r="NDL1" s="2"/>
      <c r="NDM1" s="2"/>
      <c r="NDN1" s="2"/>
      <c r="NDO1" s="2"/>
      <c r="NDP1" s="2"/>
      <c r="NDQ1" s="2"/>
      <c r="NDR1" s="2"/>
      <c r="NDS1" s="2"/>
      <c r="NDT1" s="2"/>
      <c r="NDU1" s="2"/>
      <c r="NDV1" s="2"/>
      <c r="NDW1" s="2"/>
      <c r="NDX1" s="2"/>
      <c r="NDY1" s="2"/>
      <c r="NDZ1" s="2"/>
      <c r="NEA1" s="2"/>
      <c r="NEB1" s="2"/>
      <c r="NEC1" s="2"/>
      <c r="NED1" s="2"/>
      <c r="NEE1" s="2"/>
      <c r="NEF1" s="2"/>
      <c r="NEG1" s="2"/>
      <c r="NEH1" s="2"/>
      <c r="NEI1" s="2"/>
      <c r="NEJ1" s="2"/>
      <c r="NEK1" s="2"/>
      <c r="NEL1" s="2"/>
      <c r="NEM1" s="2"/>
      <c r="NEN1" s="2"/>
      <c r="NEO1" s="2"/>
      <c r="NEP1" s="2"/>
      <c r="NEQ1" s="2"/>
      <c r="NER1" s="2"/>
      <c r="NES1" s="2"/>
      <c r="NET1" s="2"/>
      <c r="NEU1" s="2"/>
      <c r="NEV1" s="2"/>
      <c r="NEW1" s="2"/>
      <c r="NEX1" s="2"/>
      <c r="NEY1" s="2"/>
      <c r="NEZ1" s="2"/>
      <c r="NFA1" s="2"/>
      <c r="NFB1" s="2"/>
      <c r="NFC1" s="2"/>
      <c r="NFD1" s="2"/>
      <c r="NFE1" s="2"/>
      <c r="NFF1" s="2"/>
      <c r="NFG1" s="2"/>
      <c r="NFH1" s="2"/>
      <c r="NFI1" s="2"/>
      <c r="NFJ1" s="2"/>
      <c r="NFK1" s="2"/>
      <c r="NFL1" s="2"/>
      <c r="NFM1" s="2"/>
      <c r="NFN1" s="2"/>
      <c r="NFO1" s="2"/>
      <c r="NFP1" s="2"/>
      <c r="NFQ1" s="2"/>
      <c r="NFR1" s="2"/>
      <c r="NFS1" s="2"/>
      <c r="NFT1" s="2"/>
      <c r="NFU1" s="2"/>
      <c r="NFV1" s="2"/>
      <c r="NFW1" s="2"/>
      <c r="NFX1" s="2"/>
      <c r="NFY1" s="2"/>
      <c r="NFZ1" s="2"/>
      <c r="NGA1" s="2"/>
      <c r="NGB1" s="2"/>
      <c r="NGC1" s="2"/>
      <c r="NGD1" s="2"/>
      <c r="NGE1" s="2"/>
      <c r="NGF1" s="2"/>
      <c r="NGG1" s="2"/>
      <c r="NGH1" s="2"/>
      <c r="NGI1" s="2"/>
      <c r="NGJ1" s="2"/>
      <c r="NGK1" s="2"/>
      <c r="NGL1" s="2"/>
      <c r="NGM1" s="2"/>
      <c r="NGN1" s="2"/>
      <c r="NGO1" s="2"/>
      <c r="NGP1" s="2"/>
      <c r="NGQ1" s="2"/>
      <c r="NGR1" s="2"/>
      <c r="NGS1" s="2"/>
      <c r="NGT1" s="2"/>
      <c r="NGU1" s="2"/>
      <c r="NGV1" s="2"/>
      <c r="NGW1" s="2"/>
      <c r="NGX1" s="2"/>
      <c r="NGY1" s="2"/>
      <c r="NGZ1" s="2"/>
      <c r="NHA1" s="2"/>
      <c r="NHB1" s="2"/>
      <c r="NHC1" s="2"/>
      <c r="NHD1" s="2"/>
      <c r="NHE1" s="2"/>
      <c r="NHF1" s="2"/>
      <c r="NHG1" s="2"/>
      <c r="NHH1" s="2"/>
      <c r="NHI1" s="2"/>
      <c r="NHJ1" s="2"/>
      <c r="NHK1" s="2"/>
      <c r="NHL1" s="2"/>
      <c r="NHM1" s="2"/>
      <c r="NHN1" s="2"/>
      <c r="NHO1" s="2"/>
      <c r="NHP1" s="2"/>
      <c r="NHQ1" s="2"/>
      <c r="NHR1" s="2"/>
      <c r="NHS1" s="2"/>
      <c r="NHT1" s="2"/>
      <c r="NHU1" s="2"/>
      <c r="NHV1" s="2"/>
      <c r="NHW1" s="2"/>
      <c r="NHX1" s="2"/>
      <c r="NHY1" s="2"/>
      <c r="NHZ1" s="2"/>
      <c r="NIA1" s="2"/>
      <c r="NIB1" s="2"/>
      <c r="NIC1" s="2"/>
      <c r="NID1" s="2"/>
      <c r="NIE1" s="2"/>
      <c r="NIF1" s="2"/>
      <c r="NIG1" s="2"/>
      <c r="NIH1" s="2"/>
      <c r="NII1" s="2"/>
      <c r="NIJ1" s="2"/>
      <c r="NIK1" s="2"/>
      <c r="NIL1" s="2"/>
      <c r="NIM1" s="2"/>
      <c r="NIN1" s="2"/>
      <c r="NIO1" s="2"/>
      <c r="NIP1" s="2"/>
      <c r="NIQ1" s="2"/>
      <c r="NIR1" s="2"/>
      <c r="NIS1" s="2"/>
      <c r="NIT1" s="2"/>
      <c r="NIU1" s="2"/>
      <c r="NIV1" s="2"/>
      <c r="NIW1" s="2"/>
      <c r="NIX1" s="2"/>
      <c r="NIY1" s="2"/>
      <c r="NIZ1" s="2"/>
      <c r="NJA1" s="2"/>
      <c r="NJB1" s="2"/>
      <c r="NJC1" s="2"/>
      <c r="NJD1" s="2"/>
      <c r="NJE1" s="2"/>
      <c r="NJF1" s="2"/>
      <c r="NJG1" s="2"/>
      <c r="NJH1" s="2"/>
      <c r="NJI1" s="2"/>
      <c r="NJJ1" s="2"/>
      <c r="NJK1" s="2"/>
      <c r="NJL1" s="2"/>
      <c r="NJM1" s="2"/>
      <c r="NJN1" s="2"/>
      <c r="NJO1" s="2"/>
      <c r="NJP1" s="2"/>
      <c r="NJQ1" s="2"/>
      <c r="NJR1" s="2"/>
      <c r="NJS1" s="2"/>
      <c r="NJT1" s="2"/>
      <c r="NJU1" s="2"/>
      <c r="NJV1" s="2"/>
      <c r="NJW1" s="2"/>
      <c r="NJX1" s="2"/>
      <c r="NJY1" s="2"/>
      <c r="NJZ1" s="2"/>
      <c r="NKA1" s="2"/>
      <c r="NKB1" s="2"/>
      <c r="NKC1" s="2"/>
      <c r="NKD1" s="2"/>
      <c r="NKE1" s="2"/>
      <c r="NKF1" s="2"/>
      <c r="NKG1" s="2"/>
      <c r="NKH1" s="2"/>
      <c r="NKI1" s="2"/>
      <c r="NKJ1" s="2"/>
      <c r="NKK1" s="2"/>
      <c r="NKL1" s="2"/>
      <c r="NKM1" s="2"/>
      <c r="NKN1" s="2"/>
      <c r="NKO1" s="2"/>
      <c r="NKP1" s="2"/>
      <c r="NKQ1" s="2"/>
      <c r="NKR1" s="2"/>
      <c r="NKS1" s="2"/>
      <c r="NKT1" s="2"/>
      <c r="NKU1" s="2"/>
      <c r="NKV1" s="2"/>
      <c r="NKW1" s="2"/>
      <c r="NKX1" s="2"/>
      <c r="NKY1" s="2"/>
      <c r="NKZ1" s="2"/>
      <c r="NLA1" s="2"/>
      <c r="NLB1" s="2"/>
      <c r="NLC1" s="2"/>
      <c r="NLD1" s="2"/>
      <c r="NLE1" s="2"/>
      <c r="NLF1" s="2"/>
      <c r="NLG1" s="2"/>
      <c r="NLH1" s="2"/>
      <c r="NLI1" s="2"/>
      <c r="NLJ1" s="2"/>
      <c r="NLK1" s="2"/>
      <c r="NLL1" s="2"/>
      <c r="NLM1" s="2"/>
      <c r="NLN1" s="2"/>
      <c r="NLO1" s="2"/>
      <c r="NLP1" s="2"/>
      <c r="NLQ1" s="2"/>
      <c r="NLR1" s="2"/>
      <c r="NLS1" s="2"/>
      <c r="NLT1" s="2"/>
      <c r="NLU1" s="2"/>
      <c r="NLV1" s="2"/>
      <c r="NLW1" s="2"/>
      <c r="NLX1" s="2"/>
      <c r="NLY1" s="2"/>
      <c r="NLZ1" s="2"/>
      <c r="NMA1" s="2"/>
      <c r="NMB1" s="2"/>
      <c r="NMC1" s="2"/>
      <c r="NMD1" s="2"/>
      <c r="NME1" s="2"/>
      <c r="NMF1" s="2"/>
      <c r="NMG1" s="2"/>
      <c r="NMH1" s="2"/>
      <c r="NMI1" s="2"/>
      <c r="NMJ1" s="2"/>
      <c r="NMK1" s="2"/>
      <c r="NML1" s="2"/>
      <c r="NMM1" s="2"/>
      <c r="NMN1" s="2"/>
      <c r="NMO1" s="2"/>
      <c r="NMP1" s="2"/>
      <c r="NMQ1" s="2"/>
      <c r="NMR1" s="2"/>
      <c r="NMS1" s="2"/>
      <c r="NMT1" s="2"/>
      <c r="NMU1" s="2"/>
      <c r="NMV1" s="2"/>
      <c r="NMW1" s="2"/>
      <c r="NMX1" s="2"/>
      <c r="NMY1" s="2"/>
      <c r="NMZ1" s="2"/>
      <c r="NNA1" s="2"/>
      <c r="NNB1" s="2"/>
      <c r="NNC1" s="2"/>
      <c r="NND1" s="2"/>
      <c r="NNE1" s="2"/>
      <c r="NNF1" s="2"/>
      <c r="NNG1" s="2"/>
      <c r="NNH1" s="2"/>
      <c r="NNI1" s="2"/>
      <c r="NNJ1" s="2"/>
      <c r="NNK1" s="2"/>
      <c r="NNL1" s="2"/>
      <c r="NNM1" s="2"/>
      <c r="NNN1" s="2"/>
      <c r="NNO1" s="2"/>
      <c r="NNP1" s="2"/>
      <c r="NNQ1" s="2"/>
      <c r="NNR1" s="2"/>
      <c r="NNS1" s="2"/>
      <c r="NNT1" s="2"/>
      <c r="NNU1" s="2"/>
      <c r="NNV1" s="2"/>
      <c r="NNW1" s="2"/>
      <c r="NNX1" s="2"/>
      <c r="NNY1" s="2"/>
      <c r="NNZ1" s="2"/>
      <c r="NOA1" s="2"/>
      <c r="NOB1" s="2"/>
      <c r="NOC1" s="2"/>
      <c r="NOD1" s="2"/>
      <c r="NOE1" s="2"/>
      <c r="NOF1" s="2"/>
      <c r="NOG1" s="2"/>
      <c r="NOH1" s="2"/>
      <c r="NOI1" s="2"/>
      <c r="NOJ1" s="2"/>
      <c r="NOK1" s="2"/>
      <c r="NOL1" s="2"/>
      <c r="NOM1" s="2"/>
      <c r="NON1" s="2"/>
      <c r="NOO1" s="2"/>
      <c r="NOP1" s="2"/>
      <c r="NOQ1" s="2"/>
      <c r="NOR1" s="2"/>
      <c r="NOS1" s="2"/>
      <c r="NOT1" s="2"/>
      <c r="NOU1" s="2"/>
      <c r="NOV1" s="2"/>
      <c r="NOW1" s="2"/>
      <c r="NOX1" s="2"/>
      <c r="NOY1" s="2"/>
      <c r="NOZ1" s="2"/>
      <c r="NPA1" s="2"/>
      <c r="NPB1" s="2"/>
      <c r="NPC1" s="2"/>
      <c r="NPD1" s="2"/>
      <c r="NPE1" s="2"/>
      <c r="NPF1" s="2"/>
      <c r="NPG1" s="2"/>
      <c r="NPH1" s="2"/>
      <c r="NPI1" s="2"/>
      <c r="NPJ1" s="2"/>
      <c r="NPK1" s="2"/>
      <c r="NPL1" s="2"/>
      <c r="NPM1" s="2"/>
      <c r="NPN1" s="2"/>
      <c r="NPO1" s="2"/>
      <c r="NPP1" s="2"/>
      <c r="NPQ1" s="2"/>
      <c r="NPR1" s="2"/>
      <c r="NPS1" s="2"/>
      <c r="NPT1" s="2"/>
      <c r="NPU1" s="2"/>
      <c r="NPV1" s="2"/>
      <c r="NPW1" s="2"/>
      <c r="NPX1" s="2"/>
      <c r="NPY1" s="2"/>
      <c r="NPZ1" s="2"/>
      <c r="NQA1" s="2"/>
      <c r="NQB1" s="2"/>
      <c r="NQC1" s="2"/>
      <c r="NQD1" s="2"/>
      <c r="NQE1" s="2"/>
      <c r="NQF1" s="2"/>
      <c r="NQG1" s="2"/>
      <c r="NQH1" s="2"/>
      <c r="NQI1" s="2"/>
      <c r="NQJ1" s="2"/>
      <c r="NQK1" s="2"/>
      <c r="NQL1" s="2"/>
      <c r="NQM1" s="2"/>
      <c r="NQN1" s="2"/>
      <c r="NQO1" s="2"/>
      <c r="NQP1" s="2"/>
      <c r="NQQ1" s="2"/>
      <c r="NQR1" s="2"/>
      <c r="NQS1" s="2"/>
      <c r="NQT1" s="2"/>
      <c r="NQU1" s="2"/>
      <c r="NQV1" s="2"/>
      <c r="NQW1" s="2"/>
      <c r="NQX1" s="2"/>
      <c r="NQY1" s="2"/>
      <c r="NQZ1" s="2"/>
      <c r="NRA1" s="2"/>
      <c r="NRB1" s="2"/>
      <c r="NRC1" s="2"/>
      <c r="NRD1" s="2"/>
      <c r="NRE1" s="2"/>
      <c r="NRF1" s="2"/>
      <c r="NRG1" s="2"/>
      <c r="NRH1" s="2"/>
      <c r="NRI1" s="2"/>
      <c r="NRJ1" s="2"/>
      <c r="NRK1" s="2"/>
      <c r="NRL1" s="2"/>
      <c r="NRM1" s="2"/>
      <c r="NRN1" s="2"/>
      <c r="NRO1" s="2"/>
      <c r="NRP1" s="2"/>
      <c r="NRQ1" s="2"/>
      <c r="NRR1" s="2"/>
      <c r="NRS1" s="2"/>
      <c r="NRT1" s="2"/>
      <c r="NRU1" s="2"/>
      <c r="NRV1" s="2"/>
      <c r="NRW1" s="2"/>
      <c r="NRX1" s="2"/>
      <c r="NRY1" s="2"/>
      <c r="NRZ1" s="2"/>
      <c r="NSA1" s="2"/>
      <c r="NSB1" s="2"/>
      <c r="NSC1" s="2"/>
      <c r="NSD1" s="2"/>
      <c r="NSE1" s="2"/>
      <c r="NSF1" s="2"/>
      <c r="NSG1" s="2"/>
      <c r="NSH1" s="2"/>
      <c r="NSI1" s="2"/>
      <c r="NSJ1" s="2"/>
      <c r="NSK1" s="2"/>
      <c r="NSL1" s="2"/>
      <c r="NSM1" s="2"/>
      <c r="NSN1" s="2"/>
      <c r="NSO1" s="2"/>
      <c r="NSP1" s="2"/>
      <c r="NSQ1" s="2"/>
      <c r="NSR1" s="2"/>
      <c r="NSS1" s="2"/>
      <c r="NST1" s="2"/>
      <c r="NSU1" s="2"/>
      <c r="NSV1" s="2"/>
      <c r="NSW1" s="2"/>
      <c r="NSX1" s="2"/>
      <c r="NSY1" s="2"/>
      <c r="NSZ1" s="2"/>
      <c r="NTA1" s="2"/>
      <c r="NTB1" s="2"/>
      <c r="NTC1" s="2"/>
      <c r="NTD1" s="2"/>
      <c r="NTE1" s="2"/>
      <c r="NTF1" s="2"/>
      <c r="NTG1" s="2"/>
      <c r="NTH1" s="2"/>
      <c r="NTI1" s="2"/>
      <c r="NTJ1" s="2"/>
      <c r="NTK1" s="2"/>
      <c r="NTL1" s="2"/>
      <c r="NTM1" s="2"/>
      <c r="NTN1" s="2"/>
      <c r="NTO1" s="2"/>
      <c r="NTP1" s="2"/>
      <c r="NTQ1" s="2"/>
      <c r="NTR1" s="2"/>
      <c r="NTS1" s="2"/>
      <c r="NTT1" s="2"/>
      <c r="NTU1" s="2"/>
      <c r="NTV1" s="2"/>
      <c r="NTW1" s="2"/>
      <c r="NTX1" s="2"/>
      <c r="NTY1" s="2"/>
      <c r="NTZ1" s="2"/>
      <c r="NUA1" s="2"/>
      <c r="NUB1" s="2"/>
      <c r="NUC1" s="2"/>
      <c r="NUD1" s="2"/>
      <c r="NUE1" s="2"/>
      <c r="NUF1" s="2"/>
      <c r="NUG1" s="2"/>
      <c r="NUH1" s="2"/>
      <c r="NUI1" s="2"/>
      <c r="NUJ1" s="2"/>
      <c r="NUK1" s="2"/>
      <c r="NUL1" s="2"/>
      <c r="NUM1" s="2"/>
      <c r="NUN1" s="2"/>
      <c r="NUO1" s="2"/>
      <c r="NUP1" s="2"/>
      <c r="NUQ1" s="2"/>
      <c r="NUR1" s="2"/>
      <c r="NUS1" s="2"/>
      <c r="NUT1" s="2"/>
      <c r="NUU1" s="2"/>
      <c r="NUV1" s="2"/>
      <c r="NUW1" s="2"/>
      <c r="NUX1" s="2"/>
      <c r="NUY1" s="2"/>
      <c r="NUZ1" s="2"/>
      <c r="NVA1" s="2"/>
      <c r="NVB1" s="2"/>
      <c r="NVC1" s="2"/>
      <c r="NVD1" s="2"/>
      <c r="NVE1" s="2"/>
      <c r="NVF1" s="2"/>
      <c r="NVG1" s="2"/>
      <c r="NVH1" s="2"/>
      <c r="NVI1" s="2"/>
      <c r="NVJ1" s="2"/>
      <c r="NVK1" s="2"/>
      <c r="NVL1" s="2"/>
      <c r="NVM1" s="2"/>
      <c r="NVN1" s="2"/>
      <c r="NVO1" s="2"/>
      <c r="NVP1" s="2"/>
      <c r="NVQ1" s="2"/>
      <c r="NVR1" s="2"/>
      <c r="NVS1" s="2"/>
      <c r="NVT1" s="2"/>
      <c r="NVU1" s="2"/>
      <c r="NVV1" s="2"/>
      <c r="NVW1" s="2"/>
      <c r="NVX1" s="2"/>
      <c r="NVY1" s="2"/>
      <c r="NVZ1" s="2"/>
      <c r="NWA1" s="2"/>
      <c r="NWB1" s="2"/>
      <c r="NWC1" s="2"/>
      <c r="NWD1" s="2"/>
      <c r="NWE1" s="2"/>
      <c r="NWF1" s="2"/>
      <c r="NWG1" s="2"/>
      <c r="NWH1" s="2"/>
      <c r="NWI1" s="2"/>
      <c r="NWJ1" s="2"/>
      <c r="NWK1" s="2"/>
      <c r="NWL1" s="2"/>
      <c r="NWM1" s="2"/>
      <c r="NWN1" s="2"/>
      <c r="NWO1" s="2"/>
      <c r="NWP1" s="2"/>
      <c r="NWQ1" s="2"/>
      <c r="NWR1" s="2"/>
      <c r="NWS1" s="2"/>
      <c r="NWT1" s="2"/>
      <c r="NWU1" s="2"/>
      <c r="NWV1" s="2"/>
      <c r="NWW1" s="2"/>
      <c r="NWX1" s="2"/>
      <c r="NWY1" s="2"/>
      <c r="NWZ1" s="2"/>
      <c r="NXA1" s="2"/>
      <c r="NXB1" s="2"/>
      <c r="NXC1" s="2"/>
      <c r="NXD1" s="2"/>
      <c r="NXE1" s="2"/>
      <c r="NXF1" s="2"/>
      <c r="NXG1" s="2"/>
      <c r="NXH1" s="2"/>
      <c r="NXI1" s="2"/>
      <c r="NXJ1" s="2"/>
      <c r="NXK1" s="2"/>
      <c r="NXL1" s="2"/>
      <c r="NXM1" s="2"/>
      <c r="NXN1" s="2"/>
      <c r="NXO1" s="2"/>
      <c r="NXP1" s="2"/>
      <c r="NXQ1" s="2"/>
      <c r="NXR1" s="2"/>
      <c r="NXS1" s="2"/>
      <c r="NXT1" s="2"/>
      <c r="NXU1" s="2"/>
      <c r="NXV1" s="2"/>
      <c r="NXW1" s="2"/>
      <c r="NXX1" s="2"/>
      <c r="NXY1" s="2"/>
      <c r="NXZ1" s="2"/>
      <c r="NYA1" s="2"/>
      <c r="NYB1" s="2"/>
      <c r="NYC1" s="2"/>
      <c r="NYD1" s="2"/>
      <c r="NYE1" s="2"/>
      <c r="NYF1" s="2"/>
      <c r="NYG1" s="2"/>
      <c r="NYH1" s="2"/>
      <c r="NYI1" s="2"/>
      <c r="NYJ1" s="2"/>
      <c r="NYK1" s="2"/>
      <c r="NYL1" s="2"/>
      <c r="NYM1" s="2"/>
      <c r="NYN1" s="2"/>
      <c r="NYO1" s="2"/>
      <c r="NYP1" s="2"/>
      <c r="NYQ1" s="2"/>
      <c r="NYR1" s="2"/>
      <c r="NYS1" s="2"/>
      <c r="NYT1" s="2"/>
      <c r="NYU1" s="2"/>
      <c r="NYV1" s="2"/>
      <c r="NYW1" s="2"/>
      <c r="NYX1" s="2"/>
      <c r="NYY1" s="2"/>
      <c r="NYZ1" s="2"/>
      <c r="NZA1" s="2"/>
      <c r="NZB1" s="2"/>
      <c r="NZC1" s="2"/>
      <c r="NZD1" s="2"/>
      <c r="NZE1" s="2"/>
      <c r="NZF1" s="2"/>
      <c r="NZG1" s="2"/>
      <c r="NZH1" s="2"/>
      <c r="NZI1" s="2"/>
      <c r="NZJ1" s="2"/>
      <c r="NZK1" s="2"/>
      <c r="NZL1" s="2"/>
      <c r="NZM1" s="2"/>
      <c r="NZN1" s="2"/>
      <c r="NZO1" s="2"/>
      <c r="NZP1" s="2"/>
      <c r="NZQ1" s="2"/>
      <c r="NZR1" s="2"/>
      <c r="NZS1" s="2"/>
      <c r="NZT1" s="2"/>
      <c r="NZU1" s="2"/>
      <c r="NZV1" s="2"/>
      <c r="NZW1" s="2"/>
      <c r="NZX1" s="2"/>
      <c r="NZY1" s="2"/>
      <c r="NZZ1" s="2"/>
      <c r="OAA1" s="2"/>
      <c r="OAB1" s="2"/>
      <c r="OAC1" s="2"/>
      <c r="OAD1" s="2"/>
      <c r="OAE1" s="2"/>
      <c r="OAF1" s="2"/>
      <c r="OAG1" s="2"/>
      <c r="OAH1" s="2"/>
      <c r="OAI1" s="2"/>
      <c r="OAJ1" s="2"/>
      <c r="OAK1" s="2"/>
      <c r="OAL1" s="2"/>
      <c r="OAM1" s="2"/>
      <c r="OAN1" s="2"/>
      <c r="OAO1" s="2"/>
      <c r="OAP1" s="2"/>
      <c r="OAQ1" s="2"/>
      <c r="OAR1" s="2"/>
      <c r="OAS1" s="2"/>
      <c r="OAT1" s="2"/>
      <c r="OAU1" s="2"/>
      <c r="OAV1" s="2"/>
      <c r="OAW1" s="2"/>
      <c r="OAX1" s="2"/>
      <c r="OAY1" s="2"/>
      <c r="OAZ1" s="2"/>
      <c r="OBA1" s="2"/>
      <c r="OBB1" s="2"/>
      <c r="OBC1" s="2"/>
      <c r="OBD1" s="2"/>
      <c r="OBE1" s="2"/>
      <c r="OBF1" s="2"/>
      <c r="OBG1" s="2"/>
      <c r="OBH1" s="2"/>
      <c r="OBI1" s="2"/>
      <c r="OBJ1" s="2"/>
      <c r="OBK1" s="2"/>
      <c r="OBL1" s="2"/>
      <c r="OBM1" s="2"/>
      <c r="OBN1" s="2"/>
      <c r="OBO1" s="2"/>
      <c r="OBP1" s="2"/>
      <c r="OBQ1" s="2"/>
      <c r="OBR1" s="2"/>
      <c r="OBS1" s="2"/>
      <c r="OBT1" s="2"/>
      <c r="OBU1" s="2"/>
      <c r="OBV1" s="2"/>
      <c r="OBW1" s="2"/>
      <c r="OBX1" s="2"/>
      <c r="OBY1" s="2"/>
      <c r="OBZ1" s="2"/>
      <c r="OCA1" s="2"/>
      <c r="OCB1" s="2"/>
      <c r="OCC1" s="2"/>
      <c r="OCD1" s="2"/>
      <c r="OCE1" s="2"/>
      <c r="OCF1" s="2"/>
      <c r="OCG1" s="2"/>
      <c r="OCH1" s="2"/>
      <c r="OCI1" s="2"/>
      <c r="OCJ1" s="2"/>
      <c r="OCK1" s="2"/>
      <c r="OCL1" s="2"/>
      <c r="OCM1" s="2"/>
      <c r="OCN1" s="2"/>
      <c r="OCO1" s="2"/>
      <c r="OCP1" s="2"/>
      <c r="OCQ1" s="2"/>
      <c r="OCR1" s="2"/>
      <c r="OCS1" s="2"/>
      <c r="OCT1" s="2"/>
      <c r="OCU1" s="2"/>
      <c r="OCV1" s="2"/>
      <c r="OCW1" s="2"/>
      <c r="OCX1" s="2"/>
      <c r="OCY1" s="2"/>
      <c r="OCZ1" s="2"/>
      <c r="ODA1" s="2"/>
      <c r="ODB1" s="2"/>
      <c r="ODC1" s="2"/>
      <c r="ODD1" s="2"/>
      <c r="ODE1" s="2"/>
      <c r="ODF1" s="2"/>
      <c r="ODG1" s="2"/>
      <c r="ODH1" s="2"/>
      <c r="ODI1" s="2"/>
      <c r="ODJ1" s="2"/>
      <c r="ODK1" s="2"/>
      <c r="ODL1" s="2"/>
      <c r="ODM1" s="2"/>
      <c r="ODN1" s="2"/>
      <c r="ODO1" s="2"/>
      <c r="ODP1" s="2"/>
      <c r="ODQ1" s="2"/>
      <c r="ODR1" s="2"/>
      <c r="ODS1" s="2"/>
      <c r="ODT1" s="2"/>
      <c r="ODU1" s="2"/>
      <c r="ODV1" s="2"/>
      <c r="ODW1" s="2"/>
      <c r="ODX1" s="2"/>
      <c r="ODY1" s="2"/>
      <c r="ODZ1" s="2"/>
      <c r="OEA1" s="2"/>
      <c r="OEB1" s="2"/>
      <c r="OEC1" s="2"/>
      <c r="OED1" s="2"/>
      <c r="OEE1" s="2"/>
      <c r="OEF1" s="2"/>
      <c r="OEG1" s="2"/>
      <c r="OEH1" s="2"/>
      <c r="OEI1" s="2"/>
      <c r="OEJ1" s="2"/>
      <c r="OEK1" s="2"/>
      <c r="OEL1" s="2"/>
      <c r="OEM1" s="2"/>
      <c r="OEN1" s="2"/>
      <c r="OEO1" s="2"/>
      <c r="OEP1" s="2"/>
      <c r="OEQ1" s="2"/>
      <c r="OER1" s="2"/>
      <c r="OES1" s="2"/>
      <c r="OET1" s="2"/>
      <c r="OEU1" s="2"/>
      <c r="OEV1" s="2"/>
      <c r="OEW1" s="2"/>
      <c r="OEX1" s="2"/>
      <c r="OEY1" s="2"/>
      <c r="OEZ1" s="2"/>
      <c r="OFA1" s="2"/>
      <c r="OFB1" s="2"/>
      <c r="OFC1" s="2"/>
      <c r="OFD1" s="2"/>
      <c r="OFE1" s="2"/>
      <c r="OFF1" s="2"/>
      <c r="OFG1" s="2"/>
      <c r="OFH1" s="2"/>
      <c r="OFI1" s="2"/>
      <c r="OFJ1" s="2"/>
      <c r="OFK1" s="2"/>
      <c r="OFL1" s="2"/>
      <c r="OFM1" s="2"/>
      <c r="OFN1" s="2"/>
      <c r="OFO1" s="2"/>
      <c r="OFP1" s="2"/>
      <c r="OFQ1" s="2"/>
      <c r="OFR1" s="2"/>
      <c r="OFS1" s="2"/>
      <c r="OFT1" s="2"/>
      <c r="OFU1" s="2"/>
      <c r="OFV1" s="2"/>
      <c r="OFW1" s="2"/>
      <c r="OFX1" s="2"/>
      <c r="OFY1" s="2"/>
      <c r="OFZ1" s="2"/>
      <c r="OGA1" s="2"/>
      <c r="OGB1" s="2"/>
      <c r="OGC1" s="2"/>
      <c r="OGD1" s="2"/>
      <c r="OGE1" s="2"/>
      <c r="OGF1" s="2"/>
      <c r="OGG1" s="2"/>
      <c r="OGH1" s="2"/>
      <c r="OGI1" s="2"/>
      <c r="OGJ1" s="2"/>
      <c r="OGK1" s="2"/>
      <c r="OGL1" s="2"/>
      <c r="OGM1" s="2"/>
      <c r="OGN1" s="2"/>
      <c r="OGO1" s="2"/>
      <c r="OGP1" s="2"/>
      <c r="OGQ1" s="2"/>
      <c r="OGR1" s="2"/>
      <c r="OGS1" s="2"/>
      <c r="OGT1" s="2"/>
      <c r="OGU1" s="2"/>
      <c r="OGV1" s="2"/>
      <c r="OGW1" s="2"/>
      <c r="OGX1" s="2"/>
      <c r="OGY1" s="2"/>
      <c r="OGZ1" s="2"/>
      <c r="OHA1" s="2"/>
      <c r="OHB1" s="2"/>
      <c r="OHC1" s="2"/>
      <c r="OHD1" s="2"/>
      <c r="OHE1" s="2"/>
      <c r="OHF1" s="2"/>
      <c r="OHG1" s="2"/>
      <c r="OHH1" s="2"/>
      <c r="OHI1" s="2"/>
      <c r="OHJ1" s="2"/>
      <c r="OHK1" s="2"/>
      <c r="OHL1" s="2"/>
      <c r="OHM1" s="2"/>
      <c r="OHN1" s="2"/>
      <c r="OHO1" s="2"/>
      <c r="OHP1" s="2"/>
      <c r="OHQ1" s="2"/>
      <c r="OHR1" s="2"/>
      <c r="OHS1" s="2"/>
      <c r="OHT1" s="2"/>
      <c r="OHU1" s="2"/>
      <c r="OHV1" s="2"/>
      <c r="OHW1" s="2"/>
      <c r="OHX1" s="2"/>
      <c r="OHY1" s="2"/>
      <c r="OHZ1" s="2"/>
      <c r="OIA1" s="2"/>
      <c r="OIB1" s="2"/>
      <c r="OIC1" s="2"/>
      <c r="OID1" s="2"/>
      <c r="OIE1" s="2"/>
      <c r="OIF1" s="2"/>
      <c r="OIG1" s="2"/>
      <c r="OIH1" s="2"/>
      <c r="OII1" s="2"/>
      <c r="OIJ1" s="2"/>
      <c r="OIK1" s="2"/>
      <c r="OIL1" s="2"/>
      <c r="OIM1" s="2"/>
      <c r="OIN1" s="2"/>
      <c r="OIO1" s="2"/>
      <c r="OIP1" s="2"/>
      <c r="OIQ1" s="2"/>
      <c r="OIR1" s="2"/>
      <c r="OIS1" s="2"/>
      <c r="OIT1" s="2"/>
      <c r="OIU1" s="2"/>
      <c r="OIV1" s="2"/>
      <c r="OIW1" s="2"/>
      <c r="OIX1" s="2"/>
      <c r="OIY1" s="2"/>
      <c r="OIZ1" s="2"/>
      <c r="OJA1" s="2"/>
      <c r="OJB1" s="2"/>
      <c r="OJC1" s="2"/>
      <c r="OJD1" s="2"/>
      <c r="OJE1" s="2"/>
      <c r="OJF1" s="2"/>
      <c r="OJG1" s="2"/>
      <c r="OJH1" s="2"/>
      <c r="OJI1" s="2"/>
      <c r="OJJ1" s="2"/>
      <c r="OJK1" s="2"/>
      <c r="OJL1" s="2"/>
      <c r="OJM1" s="2"/>
      <c r="OJN1" s="2"/>
      <c r="OJO1" s="2"/>
      <c r="OJP1" s="2"/>
      <c r="OJQ1" s="2"/>
      <c r="OJR1" s="2"/>
      <c r="OJS1" s="2"/>
      <c r="OJT1" s="2"/>
      <c r="OJU1" s="2"/>
      <c r="OJV1" s="2"/>
      <c r="OJW1" s="2"/>
      <c r="OJX1" s="2"/>
      <c r="OJY1" s="2"/>
      <c r="OJZ1" s="2"/>
      <c r="OKA1" s="2"/>
      <c r="OKB1" s="2"/>
      <c r="OKC1" s="2"/>
      <c r="OKD1" s="2"/>
      <c r="OKE1" s="2"/>
      <c r="OKF1" s="2"/>
      <c r="OKG1" s="2"/>
      <c r="OKH1" s="2"/>
      <c r="OKI1" s="2"/>
      <c r="OKJ1" s="2"/>
      <c r="OKK1" s="2"/>
      <c r="OKL1" s="2"/>
      <c r="OKM1" s="2"/>
      <c r="OKN1" s="2"/>
      <c r="OKO1" s="2"/>
      <c r="OKP1" s="2"/>
      <c r="OKQ1" s="2"/>
      <c r="OKR1" s="2"/>
      <c r="OKS1" s="2"/>
      <c r="OKT1" s="2"/>
      <c r="OKU1" s="2"/>
      <c r="OKV1" s="2"/>
      <c r="OKW1" s="2"/>
      <c r="OKX1" s="2"/>
      <c r="OKY1" s="2"/>
      <c r="OKZ1" s="2"/>
      <c r="OLA1" s="2"/>
      <c r="OLB1" s="2"/>
      <c r="OLC1" s="2"/>
      <c r="OLD1" s="2"/>
      <c r="OLE1" s="2"/>
      <c r="OLF1" s="2"/>
      <c r="OLG1" s="2"/>
      <c r="OLH1" s="2"/>
      <c r="OLI1" s="2"/>
      <c r="OLJ1" s="2"/>
      <c r="OLK1" s="2"/>
      <c r="OLL1" s="2"/>
      <c r="OLM1" s="2"/>
      <c r="OLN1" s="2"/>
      <c r="OLO1" s="2"/>
      <c r="OLP1" s="2"/>
      <c r="OLQ1" s="2"/>
      <c r="OLR1" s="2"/>
      <c r="OLS1" s="2"/>
      <c r="OLT1" s="2"/>
      <c r="OLU1" s="2"/>
      <c r="OLV1" s="2"/>
      <c r="OLW1" s="2"/>
      <c r="OLX1" s="2"/>
      <c r="OLY1" s="2"/>
      <c r="OLZ1" s="2"/>
      <c r="OMA1" s="2"/>
      <c r="OMB1" s="2"/>
      <c r="OMC1" s="2"/>
      <c r="OMD1" s="2"/>
      <c r="OME1" s="2"/>
      <c r="OMF1" s="2"/>
      <c r="OMG1" s="2"/>
      <c r="OMH1" s="2"/>
      <c r="OMI1" s="2"/>
      <c r="OMJ1" s="2"/>
      <c r="OMK1" s="2"/>
      <c r="OML1" s="2"/>
      <c r="OMM1" s="2"/>
      <c r="OMN1" s="2"/>
      <c r="OMO1" s="2"/>
      <c r="OMP1" s="2"/>
      <c r="OMQ1" s="2"/>
      <c r="OMR1" s="2"/>
      <c r="OMS1" s="2"/>
      <c r="OMT1" s="2"/>
      <c r="OMU1" s="2"/>
      <c r="OMV1" s="2"/>
      <c r="OMW1" s="2"/>
      <c r="OMX1" s="2"/>
      <c r="OMY1" s="2"/>
      <c r="OMZ1" s="2"/>
      <c r="ONA1" s="2"/>
      <c r="ONB1" s="2"/>
      <c r="ONC1" s="2"/>
      <c r="OND1" s="2"/>
      <c r="ONE1" s="2"/>
      <c r="ONF1" s="2"/>
      <c r="ONG1" s="2"/>
      <c r="ONH1" s="2"/>
      <c r="ONI1" s="2"/>
      <c r="ONJ1" s="2"/>
      <c r="ONK1" s="2"/>
      <c r="ONL1" s="2"/>
      <c r="ONM1" s="2"/>
      <c r="ONN1" s="2"/>
      <c r="ONO1" s="2"/>
      <c r="ONP1" s="2"/>
      <c r="ONQ1" s="2"/>
      <c r="ONR1" s="2"/>
      <c r="ONS1" s="2"/>
      <c r="ONT1" s="2"/>
      <c r="ONU1" s="2"/>
      <c r="ONV1" s="2"/>
      <c r="ONW1" s="2"/>
      <c r="ONX1" s="2"/>
      <c r="ONY1" s="2"/>
      <c r="ONZ1" s="2"/>
      <c r="OOA1" s="2"/>
      <c r="OOB1" s="2"/>
      <c r="OOC1" s="2"/>
      <c r="OOD1" s="2"/>
      <c r="OOE1" s="2"/>
      <c r="OOF1" s="2"/>
      <c r="OOG1" s="2"/>
      <c r="OOH1" s="2"/>
      <c r="OOI1" s="2"/>
      <c r="OOJ1" s="2"/>
      <c r="OOK1" s="2"/>
      <c r="OOL1" s="2"/>
      <c r="OOM1" s="2"/>
      <c r="OON1" s="2"/>
      <c r="OOO1" s="2"/>
      <c r="OOP1" s="2"/>
      <c r="OOQ1" s="2"/>
      <c r="OOR1" s="2"/>
      <c r="OOS1" s="2"/>
      <c r="OOT1" s="2"/>
      <c r="OOU1" s="2"/>
      <c r="OOV1" s="2"/>
      <c r="OOW1" s="2"/>
      <c r="OOX1" s="2"/>
      <c r="OOY1" s="2"/>
      <c r="OOZ1" s="2"/>
      <c r="OPA1" s="2"/>
      <c r="OPB1" s="2"/>
      <c r="OPC1" s="2"/>
      <c r="OPD1" s="2"/>
      <c r="OPE1" s="2"/>
      <c r="OPF1" s="2"/>
      <c r="OPG1" s="2"/>
      <c r="OPH1" s="2"/>
      <c r="OPI1" s="2"/>
      <c r="OPJ1" s="2"/>
      <c r="OPK1" s="2"/>
      <c r="OPL1" s="2"/>
      <c r="OPM1" s="2"/>
      <c r="OPN1" s="2"/>
      <c r="OPO1" s="2"/>
      <c r="OPP1" s="2"/>
      <c r="OPQ1" s="2"/>
      <c r="OPR1" s="2"/>
      <c r="OPS1" s="2"/>
      <c r="OPT1" s="2"/>
      <c r="OPU1" s="2"/>
      <c r="OPV1" s="2"/>
      <c r="OPW1" s="2"/>
      <c r="OPX1" s="2"/>
      <c r="OPY1" s="2"/>
      <c r="OPZ1" s="2"/>
      <c r="OQA1" s="2"/>
      <c r="OQB1" s="2"/>
      <c r="OQC1" s="2"/>
      <c r="OQD1" s="2"/>
      <c r="OQE1" s="2"/>
      <c r="OQF1" s="2"/>
      <c r="OQG1" s="2"/>
      <c r="OQH1" s="2"/>
      <c r="OQI1" s="2"/>
      <c r="OQJ1" s="2"/>
      <c r="OQK1" s="2"/>
      <c r="OQL1" s="2"/>
      <c r="OQM1" s="2"/>
      <c r="OQN1" s="2"/>
      <c r="OQO1" s="2"/>
      <c r="OQP1" s="2"/>
      <c r="OQQ1" s="2"/>
      <c r="OQR1" s="2"/>
      <c r="OQS1" s="2"/>
      <c r="OQT1" s="2"/>
      <c r="OQU1" s="2"/>
      <c r="OQV1" s="2"/>
      <c r="OQW1" s="2"/>
      <c r="OQX1" s="2"/>
      <c r="OQY1" s="2"/>
      <c r="OQZ1" s="2"/>
      <c r="ORA1" s="2"/>
      <c r="ORB1" s="2"/>
      <c r="ORC1" s="2"/>
      <c r="ORD1" s="2"/>
      <c r="ORE1" s="2"/>
      <c r="ORF1" s="2"/>
      <c r="ORG1" s="2"/>
      <c r="ORH1" s="2"/>
      <c r="ORI1" s="2"/>
      <c r="ORJ1" s="2"/>
      <c r="ORK1" s="2"/>
      <c r="ORL1" s="2"/>
      <c r="ORM1" s="2"/>
      <c r="ORN1" s="2"/>
      <c r="ORO1" s="2"/>
      <c r="ORP1" s="2"/>
      <c r="ORQ1" s="2"/>
      <c r="ORR1" s="2"/>
      <c r="ORS1" s="2"/>
      <c r="ORT1" s="2"/>
      <c r="ORU1" s="2"/>
      <c r="ORV1" s="2"/>
      <c r="ORW1" s="2"/>
      <c r="ORX1" s="2"/>
      <c r="ORY1" s="2"/>
      <c r="ORZ1" s="2"/>
      <c r="OSA1" s="2"/>
      <c r="OSB1" s="2"/>
      <c r="OSC1" s="2"/>
      <c r="OSD1" s="2"/>
      <c r="OSE1" s="2"/>
      <c r="OSF1" s="2"/>
      <c r="OSG1" s="2"/>
      <c r="OSH1" s="2"/>
      <c r="OSI1" s="2"/>
      <c r="OSJ1" s="2"/>
      <c r="OSK1" s="2"/>
      <c r="OSL1" s="2"/>
      <c r="OSM1" s="2"/>
      <c r="OSN1" s="2"/>
      <c r="OSO1" s="2"/>
      <c r="OSP1" s="2"/>
      <c r="OSQ1" s="2"/>
      <c r="OSR1" s="2"/>
      <c r="OSS1" s="2"/>
      <c r="OST1" s="2"/>
      <c r="OSU1" s="2"/>
      <c r="OSV1" s="2"/>
      <c r="OSW1" s="2"/>
      <c r="OSX1" s="2"/>
      <c r="OSY1" s="2"/>
      <c r="OSZ1" s="2"/>
      <c r="OTA1" s="2"/>
      <c r="OTB1" s="2"/>
      <c r="OTC1" s="2"/>
      <c r="OTD1" s="2"/>
      <c r="OTE1" s="2"/>
      <c r="OTF1" s="2"/>
      <c r="OTG1" s="2"/>
      <c r="OTH1" s="2"/>
      <c r="OTI1" s="2"/>
      <c r="OTJ1" s="2"/>
      <c r="OTK1" s="2"/>
      <c r="OTL1" s="2"/>
      <c r="OTM1" s="2"/>
      <c r="OTN1" s="2"/>
      <c r="OTO1" s="2"/>
      <c r="OTP1" s="2"/>
      <c r="OTQ1" s="2"/>
      <c r="OTR1" s="2"/>
      <c r="OTS1" s="2"/>
      <c r="OTT1" s="2"/>
      <c r="OTU1" s="2"/>
      <c r="OTV1" s="2"/>
      <c r="OTW1" s="2"/>
      <c r="OTX1" s="2"/>
      <c r="OTY1" s="2"/>
      <c r="OTZ1" s="2"/>
      <c r="OUA1" s="2"/>
      <c r="OUB1" s="2"/>
      <c r="OUC1" s="2"/>
      <c r="OUD1" s="2"/>
      <c r="OUE1" s="2"/>
      <c r="OUF1" s="2"/>
      <c r="OUG1" s="2"/>
      <c r="OUH1" s="2"/>
      <c r="OUI1" s="2"/>
      <c r="OUJ1" s="2"/>
      <c r="OUK1" s="2"/>
      <c r="OUL1" s="2"/>
      <c r="OUM1" s="2"/>
      <c r="OUN1" s="2"/>
      <c r="OUO1" s="2"/>
      <c r="OUP1" s="2"/>
      <c r="OUQ1" s="2"/>
      <c r="OUR1" s="2"/>
      <c r="OUS1" s="2"/>
      <c r="OUT1" s="2"/>
      <c r="OUU1" s="2"/>
      <c r="OUV1" s="2"/>
      <c r="OUW1" s="2"/>
      <c r="OUX1" s="2"/>
      <c r="OUY1" s="2"/>
      <c r="OUZ1" s="2"/>
      <c r="OVA1" s="2"/>
      <c r="OVB1" s="2"/>
      <c r="OVC1" s="2"/>
      <c r="OVD1" s="2"/>
      <c r="OVE1" s="2"/>
      <c r="OVF1" s="2"/>
      <c r="OVG1" s="2"/>
      <c r="OVH1" s="2"/>
      <c r="OVI1" s="2"/>
      <c r="OVJ1" s="2"/>
      <c r="OVK1" s="2"/>
      <c r="OVL1" s="2"/>
      <c r="OVM1" s="2"/>
      <c r="OVN1" s="2"/>
      <c r="OVO1" s="2"/>
      <c r="OVP1" s="2"/>
      <c r="OVQ1" s="2"/>
      <c r="OVR1" s="2"/>
      <c r="OVS1" s="2"/>
      <c r="OVT1" s="2"/>
      <c r="OVU1" s="2"/>
      <c r="OVV1" s="2"/>
      <c r="OVW1" s="2"/>
      <c r="OVX1" s="2"/>
      <c r="OVY1" s="2"/>
      <c r="OVZ1" s="2"/>
      <c r="OWA1" s="2"/>
      <c r="OWB1" s="2"/>
      <c r="OWC1" s="2"/>
      <c r="OWD1" s="2"/>
      <c r="OWE1" s="2"/>
      <c r="OWF1" s="2"/>
      <c r="OWG1" s="2"/>
      <c r="OWH1" s="2"/>
      <c r="OWI1" s="2"/>
      <c r="OWJ1" s="2"/>
      <c r="OWK1" s="2"/>
      <c r="OWL1" s="2"/>
      <c r="OWM1" s="2"/>
      <c r="OWN1" s="2"/>
      <c r="OWO1" s="2"/>
      <c r="OWP1" s="2"/>
      <c r="OWQ1" s="2"/>
      <c r="OWR1" s="2"/>
      <c r="OWS1" s="2"/>
      <c r="OWT1" s="2"/>
      <c r="OWU1" s="2"/>
      <c r="OWV1" s="2"/>
      <c r="OWW1" s="2"/>
      <c r="OWX1" s="2"/>
      <c r="OWY1" s="2"/>
      <c r="OWZ1" s="2"/>
      <c r="OXA1" s="2"/>
      <c r="OXB1" s="2"/>
      <c r="OXC1" s="2"/>
      <c r="OXD1" s="2"/>
      <c r="OXE1" s="2"/>
      <c r="OXF1" s="2"/>
      <c r="OXG1" s="2"/>
      <c r="OXH1" s="2"/>
      <c r="OXI1" s="2"/>
      <c r="OXJ1" s="2"/>
      <c r="OXK1" s="2"/>
      <c r="OXL1" s="2"/>
      <c r="OXM1" s="2"/>
      <c r="OXN1" s="2"/>
      <c r="OXO1" s="2"/>
      <c r="OXP1" s="2"/>
      <c r="OXQ1" s="2"/>
      <c r="OXR1" s="2"/>
      <c r="OXS1" s="2"/>
      <c r="OXT1" s="2"/>
      <c r="OXU1" s="2"/>
      <c r="OXV1" s="2"/>
      <c r="OXW1" s="2"/>
      <c r="OXX1" s="2"/>
      <c r="OXY1" s="2"/>
      <c r="OXZ1" s="2"/>
      <c r="OYA1" s="2"/>
      <c r="OYB1" s="2"/>
      <c r="OYC1" s="2"/>
      <c r="OYD1" s="2"/>
      <c r="OYE1" s="2"/>
      <c r="OYF1" s="2"/>
      <c r="OYG1" s="2"/>
      <c r="OYH1" s="2"/>
      <c r="OYI1" s="2"/>
      <c r="OYJ1" s="2"/>
      <c r="OYK1" s="2"/>
      <c r="OYL1" s="2"/>
      <c r="OYM1" s="2"/>
      <c r="OYN1" s="2"/>
      <c r="OYO1" s="2"/>
      <c r="OYP1" s="2"/>
      <c r="OYQ1" s="2"/>
      <c r="OYR1" s="2"/>
      <c r="OYS1" s="2"/>
      <c r="OYT1" s="2"/>
      <c r="OYU1" s="2"/>
      <c r="OYV1" s="2"/>
      <c r="OYW1" s="2"/>
      <c r="OYX1" s="2"/>
      <c r="OYY1" s="2"/>
      <c r="OYZ1" s="2"/>
      <c r="OZA1" s="2"/>
      <c r="OZB1" s="2"/>
      <c r="OZC1" s="2"/>
      <c r="OZD1" s="2"/>
      <c r="OZE1" s="2"/>
      <c r="OZF1" s="2"/>
      <c r="OZG1" s="2"/>
      <c r="OZH1" s="2"/>
      <c r="OZI1" s="2"/>
      <c r="OZJ1" s="2"/>
      <c r="OZK1" s="2"/>
      <c r="OZL1" s="2"/>
      <c r="OZM1" s="2"/>
      <c r="OZN1" s="2"/>
      <c r="OZO1" s="2"/>
      <c r="OZP1" s="2"/>
      <c r="OZQ1" s="2"/>
      <c r="OZR1" s="2"/>
      <c r="OZS1" s="2"/>
      <c r="OZT1" s="2"/>
      <c r="OZU1" s="2"/>
      <c r="OZV1" s="2"/>
      <c r="OZW1" s="2"/>
      <c r="OZX1" s="2"/>
      <c r="OZY1" s="2"/>
      <c r="OZZ1" s="2"/>
      <c r="PAA1" s="2"/>
      <c r="PAB1" s="2"/>
      <c r="PAC1" s="2"/>
      <c r="PAD1" s="2"/>
      <c r="PAE1" s="2"/>
      <c r="PAF1" s="2"/>
      <c r="PAG1" s="2"/>
      <c r="PAH1" s="2"/>
      <c r="PAI1" s="2"/>
      <c r="PAJ1" s="2"/>
      <c r="PAK1" s="2"/>
      <c r="PAL1" s="2"/>
      <c r="PAM1" s="2"/>
      <c r="PAN1" s="2"/>
      <c r="PAO1" s="2"/>
      <c r="PAP1" s="2"/>
      <c r="PAQ1" s="2"/>
      <c r="PAR1" s="2"/>
      <c r="PAS1" s="2"/>
      <c r="PAT1" s="2"/>
      <c r="PAU1" s="2"/>
      <c r="PAV1" s="2"/>
      <c r="PAW1" s="2"/>
      <c r="PAX1" s="2"/>
      <c r="PAY1" s="2"/>
      <c r="PAZ1" s="2"/>
      <c r="PBA1" s="2"/>
      <c r="PBB1" s="2"/>
      <c r="PBC1" s="2"/>
      <c r="PBD1" s="2"/>
      <c r="PBE1" s="2"/>
      <c r="PBF1" s="2"/>
      <c r="PBG1" s="2"/>
      <c r="PBH1" s="2"/>
      <c r="PBI1" s="2"/>
      <c r="PBJ1" s="2"/>
      <c r="PBK1" s="2"/>
      <c r="PBL1" s="2"/>
      <c r="PBM1" s="2"/>
      <c r="PBN1" s="2"/>
      <c r="PBO1" s="2"/>
      <c r="PBP1" s="2"/>
      <c r="PBQ1" s="2"/>
      <c r="PBR1" s="2"/>
      <c r="PBS1" s="2"/>
      <c r="PBT1" s="2"/>
      <c r="PBU1" s="2"/>
      <c r="PBV1" s="2"/>
      <c r="PBW1" s="2"/>
      <c r="PBX1" s="2"/>
      <c r="PBY1" s="2"/>
      <c r="PBZ1" s="2"/>
      <c r="PCA1" s="2"/>
      <c r="PCB1" s="2"/>
      <c r="PCC1" s="2"/>
      <c r="PCD1" s="2"/>
      <c r="PCE1" s="2"/>
      <c r="PCF1" s="2"/>
      <c r="PCG1" s="2"/>
      <c r="PCH1" s="2"/>
      <c r="PCI1" s="2"/>
      <c r="PCJ1" s="2"/>
      <c r="PCK1" s="2"/>
      <c r="PCL1" s="2"/>
      <c r="PCM1" s="2"/>
      <c r="PCN1" s="2"/>
      <c r="PCO1" s="2"/>
      <c r="PCP1" s="2"/>
      <c r="PCQ1" s="2"/>
      <c r="PCR1" s="2"/>
      <c r="PCS1" s="2"/>
      <c r="PCT1" s="2"/>
      <c r="PCU1" s="2"/>
      <c r="PCV1" s="2"/>
      <c r="PCW1" s="2"/>
      <c r="PCX1" s="2"/>
      <c r="PCY1" s="2"/>
      <c r="PCZ1" s="2"/>
      <c r="PDA1" s="2"/>
      <c r="PDB1" s="2"/>
      <c r="PDC1" s="2"/>
      <c r="PDD1" s="2"/>
      <c r="PDE1" s="2"/>
      <c r="PDF1" s="2"/>
      <c r="PDG1" s="2"/>
      <c r="PDH1" s="2"/>
      <c r="PDI1" s="2"/>
      <c r="PDJ1" s="2"/>
      <c r="PDK1" s="2"/>
      <c r="PDL1" s="2"/>
      <c r="PDM1" s="2"/>
      <c r="PDN1" s="2"/>
      <c r="PDO1" s="2"/>
      <c r="PDP1" s="2"/>
      <c r="PDQ1" s="2"/>
      <c r="PDR1" s="2"/>
      <c r="PDS1" s="2"/>
      <c r="PDT1" s="2"/>
      <c r="PDU1" s="2"/>
      <c r="PDV1" s="2"/>
      <c r="PDW1" s="2"/>
      <c r="PDX1" s="2"/>
      <c r="PDY1" s="2"/>
      <c r="PDZ1" s="2"/>
      <c r="PEA1" s="2"/>
      <c r="PEB1" s="2"/>
      <c r="PEC1" s="2"/>
      <c r="PED1" s="2"/>
      <c r="PEE1" s="2"/>
      <c r="PEF1" s="2"/>
      <c r="PEG1" s="2"/>
      <c r="PEH1" s="2"/>
      <c r="PEI1" s="2"/>
      <c r="PEJ1" s="2"/>
      <c r="PEK1" s="2"/>
      <c r="PEL1" s="2"/>
      <c r="PEM1" s="2"/>
      <c r="PEN1" s="2"/>
      <c r="PEO1" s="2"/>
      <c r="PEP1" s="2"/>
      <c r="PEQ1" s="2"/>
      <c r="PER1" s="2"/>
      <c r="PES1" s="2"/>
      <c r="PET1" s="2"/>
      <c r="PEU1" s="2"/>
      <c r="PEV1" s="2"/>
      <c r="PEW1" s="2"/>
      <c r="PEX1" s="2"/>
      <c r="PEY1" s="2"/>
      <c r="PEZ1" s="2"/>
      <c r="PFA1" s="2"/>
      <c r="PFB1" s="2"/>
      <c r="PFC1" s="2"/>
      <c r="PFD1" s="2"/>
      <c r="PFE1" s="2"/>
      <c r="PFF1" s="2"/>
      <c r="PFG1" s="2"/>
      <c r="PFH1" s="2"/>
      <c r="PFI1" s="2"/>
      <c r="PFJ1" s="2"/>
      <c r="PFK1" s="2"/>
      <c r="PFL1" s="2"/>
      <c r="PFM1" s="2"/>
      <c r="PFN1" s="2"/>
      <c r="PFO1" s="2"/>
      <c r="PFP1" s="2"/>
      <c r="PFQ1" s="2"/>
      <c r="PFR1" s="2"/>
      <c r="PFS1" s="2"/>
      <c r="PFT1" s="2"/>
      <c r="PFU1" s="2"/>
      <c r="PFV1" s="2"/>
      <c r="PFW1" s="2"/>
      <c r="PFX1" s="2"/>
      <c r="PFY1" s="2"/>
      <c r="PFZ1" s="2"/>
      <c r="PGA1" s="2"/>
      <c r="PGB1" s="2"/>
      <c r="PGC1" s="2"/>
      <c r="PGD1" s="2"/>
      <c r="PGE1" s="2"/>
      <c r="PGF1" s="2"/>
      <c r="PGG1" s="2"/>
      <c r="PGH1" s="2"/>
      <c r="PGI1" s="2"/>
      <c r="PGJ1" s="2"/>
      <c r="PGK1" s="2"/>
      <c r="PGL1" s="2"/>
      <c r="PGM1" s="2"/>
      <c r="PGN1" s="2"/>
      <c r="PGO1" s="2"/>
      <c r="PGP1" s="2"/>
      <c r="PGQ1" s="2"/>
      <c r="PGR1" s="2"/>
      <c r="PGS1" s="2"/>
      <c r="PGT1" s="2"/>
      <c r="PGU1" s="2"/>
      <c r="PGV1" s="2"/>
      <c r="PGW1" s="2"/>
      <c r="PGX1" s="2"/>
      <c r="PGY1" s="2"/>
      <c r="PGZ1" s="2"/>
      <c r="PHA1" s="2"/>
      <c r="PHB1" s="2"/>
      <c r="PHC1" s="2"/>
      <c r="PHD1" s="2"/>
      <c r="PHE1" s="2"/>
      <c r="PHF1" s="2"/>
      <c r="PHG1" s="2"/>
      <c r="PHH1" s="2"/>
      <c r="PHI1" s="2"/>
      <c r="PHJ1" s="2"/>
      <c r="PHK1" s="2"/>
      <c r="PHL1" s="2"/>
      <c r="PHM1" s="2"/>
      <c r="PHN1" s="2"/>
      <c r="PHO1" s="2"/>
      <c r="PHP1" s="2"/>
      <c r="PHQ1" s="2"/>
      <c r="PHR1" s="2"/>
      <c r="PHS1" s="2"/>
      <c r="PHT1" s="2"/>
      <c r="PHU1" s="2"/>
      <c r="PHV1" s="2"/>
      <c r="PHW1" s="2"/>
      <c r="PHX1" s="2"/>
      <c r="PHY1" s="2"/>
      <c r="PHZ1" s="2"/>
      <c r="PIA1" s="2"/>
      <c r="PIB1" s="2"/>
      <c r="PIC1" s="2"/>
      <c r="PID1" s="2"/>
      <c r="PIE1" s="2"/>
      <c r="PIF1" s="2"/>
      <c r="PIG1" s="2"/>
      <c r="PIH1" s="2"/>
      <c r="PII1" s="2"/>
      <c r="PIJ1" s="2"/>
      <c r="PIK1" s="2"/>
      <c r="PIL1" s="2"/>
      <c r="PIM1" s="2"/>
      <c r="PIN1" s="2"/>
      <c r="PIO1" s="2"/>
      <c r="PIP1" s="2"/>
      <c r="PIQ1" s="2"/>
      <c r="PIR1" s="2"/>
      <c r="PIS1" s="2"/>
      <c r="PIT1" s="2"/>
      <c r="PIU1" s="2"/>
      <c r="PIV1" s="2"/>
      <c r="PIW1" s="2"/>
      <c r="PIX1" s="2"/>
      <c r="PIY1" s="2"/>
      <c r="PIZ1" s="2"/>
      <c r="PJA1" s="2"/>
      <c r="PJB1" s="2"/>
      <c r="PJC1" s="2"/>
      <c r="PJD1" s="2"/>
      <c r="PJE1" s="2"/>
      <c r="PJF1" s="2"/>
      <c r="PJG1" s="2"/>
      <c r="PJH1" s="2"/>
      <c r="PJI1" s="2"/>
      <c r="PJJ1" s="2"/>
      <c r="PJK1" s="2"/>
      <c r="PJL1" s="2"/>
      <c r="PJM1" s="2"/>
      <c r="PJN1" s="2"/>
      <c r="PJO1" s="2"/>
      <c r="PJP1" s="2"/>
      <c r="PJQ1" s="2"/>
      <c r="PJR1" s="2"/>
      <c r="PJS1" s="2"/>
      <c r="PJT1" s="2"/>
      <c r="PJU1" s="2"/>
      <c r="PJV1" s="2"/>
      <c r="PJW1" s="2"/>
      <c r="PJX1" s="2"/>
      <c r="PJY1" s="2"/>
      <c r="PJZ1" s="2"/>
      <c r="PKA1" s="2"/>
      <c r="PKB1" s="2"/>
      <c r="PKC1" s="2"/>
      <c r="PKD1" s="2"/>
      <c r="PKE1" s="2"/>
      <c r="PKF1" s="2"/>
      <c r="PKG1" s="2"/>
      <c r="PKH1" s="2"/>
      <c r="PKI1" s="2"/>
      <c r="PKJ1" s="2"/>
      <c r="PKK1" s="2"/>
      <c r="PKL1" s="2"/>
      <c r="PKM1" s="2"/>
      <c r="PKN1" s="2"/>
      <c r="PKO1" s="2"/>
      <c r="PKP1" s="2"/>
      <c r="PKQ1" s="2"/>
      <c r="PKR1" s="2"/>
      <c r="PKS1" s="2"/>
      <c r="PKT1" s="2"/>
      <c r="PKU1" s="2"/>
      <c r="PKV1" s="2"/>
      <c r="PKW1" s="2"/>
      <c r="PKX1" s="2"/>
      <c r="PKY1" s="2"/>
      <c r="PKZ1" s="2"/>
      <c r="PLA1" s="2"/>
      <c r="PLB1" s="2"/>
      <c r="PLC1" s="2"/>
      <c r="PLD1" s="2"/>
      <c r="PLE1" s="2"/>
      <c r="PLF1" s="2"/>
      <c r="PLG1" s="2"/>
      <c r="PLH1" s="2"/>
      <c r="PLI1" s="2"/>
      <c r="PLJ1" s="2"/>
      <c r="PLK1" s="2"/>
      <c r="PLL1" s="2"/>
      <c r="PLM1" s="2"/>
      <c r="PLN1" s="2"/>
      <c r="PLO1" s="2"/>
      <c r="PLP1" s="2"/>
      <c r="PLQ1" s="2"/>
      <c r="PLR1" s="2"/>
      <c r="PLS1" s="2"/>
      <c r="PLT1" s="2"/>
      <c r="PLU1" s="2"/>
      <c r="PLV1" s="2"/>
      <c r="PLW1" s="2"/>
      <c r="PLX1" s="2"/>
      <c r="PLY1" s="2"/>
      <c r="PLZ1" s="2"/>
      <c r="PMA1" s="2"/>
      <c r="PMB1" s="2"/>
      <c r="PMC1" s="2"/>
      <c r="PMD1" s="2"/>
      <c r="PME1" s="2"/>
      <c r="PMF1" s="2"/>
      <c r="PMG1" s="2"/>
      <c r="PMH1" s="2"/>
      <c r="PMI1" s="2"/>
      <c r="PMJ1" s="2"/>
      <c r="PMK1" s="2"/>
      <c r="PML1" s="2"/>
      <c r="PMM1" s="2"/>
      <c r="PMN1" s="2"/>
      <c r="PMO1" s="2"/>
      <c r="PMP1" s="2"/>
      <c r="PMQ1" s="2"/>
      <c r="PMR1" s="2"/>
      <c r="PMS1" s="2"/>
      <c r="PMT1" s="2"/>
      <c r="PMU1" s="2"/>
      <c r="PMV1" s="2"/>
      <c r="PMW1" s="2"/>
      <c r="PMX1" s="2"/>
      <c r="PMY1" s="2"/>
      <c r="PMZ1" s="2"/>
      <c r="PNA1" s="2"/>
      <c r="PNB1" s="2"/>
      <c r="PNC1" s="2"/>
      <c r="PND1" s="2"/>
      <c r="PNE1" s="2"/>
      <c r="PNF1" s="2"/>
      <c r="PNG1" s="2"/>
      <c r="PNH1" s="2"/>
      <c r="PNI1" s="2"/>
      <c r="PNJ1" s="2"/>
      <c r="PNK1" s="2"/>
      <c r="PNL1" s="2"/>
      <c r="PNM1" s="2"/>
      <c r="PNN1" s="2"/>
      <c r="PNO1" s="2"/>
      <c r="PNP1" s="2"/>
      <c r="PNQ1" s="2"/>
      <c r="PNR1" s="2"/>
      <c r="PNS1" s="2"/>
      <c r="PNT1" s="2"/>
      <c r="PNU1" s="2"/>
      <c r="PNV1" s="2"/>
      <c r="PNW1" s="2"/>
      <c r="PNX1" s="2"/>
      <c r="PNY1" s="2"/>
      <c r="PNZ1" s="2"/>
      <c r="POA1" s="2"/>
      <c r="POB1" s="2"/>
      <c r="POC1" s="2"/>
      <c r="POD1" s="2"/>
      <c r="POE1" s="2"/>
      <c r="POF1" s="2"/>
      <c r="POG1" s="2"/>
      <c r="POH1" s="2"/>
      <c r="POI1" s="2"/>
      <c r="POJ1" s="2"/>
      <c r="POK1" s="2"/>
      <c r="POL1" s="2"/>
      <c r="POM1" s="2"/>
      <c r="PON1" s="2"/>
      <c r="POO1" s="2"/>
      <c r="POP1" s="2"/>
      <c r="POQ1" s="2"/>
      <c r="POR1" s="2"/>
      <c r="POS1" s="2"/>
      <c r="POT1" s="2"/>
      <c r="POU1" s="2"/>
      <c r="POV1" s="2"/>
      <c r="POW1" s="2"/>
      <c r="POX1" s="2"/>
      <c r="POY1" s="2"/>
      <c r="POZ1" s="2"/>
      <c r="PPA1" s="2"/>
      <c r="PPB1" s="2"/>
      <c r="PPC1" s="2"/>
      <c r="PPD1" s="2"/>
      <c r="PPE1" s="2"/>
      <c r="PPF1" s="2"/>
      <c r="PPG1" s="2"/>
      <c r="PPH1" s="2"/>
      <c r="PPI1" s="2"/>
      <c r="PPJ1" s="2"/>
      <c r="PPK1" s="2"/>
      <c r="PPL1" s="2"/>
      <c r="PPM1" s="2"/>
      <c r="PPN1" s="2"/>
      <c r="PPO1" s="2"/>
      <c r="PPP1" s="2"/>
      <c r="PPQ1" s="2"/>
      <c r="PPR1" s="2"/>
      <c r="PPS1" s="2"/>
      <c r="PPT1" s="2"/>
      <c r="PPU1" s="2"/>
      <c r="PPV1" s="2"/>
      <c r="PPW1" s="2"/>
      <c r="PPX1" s="2"/>
      <c r="PPY1" s="2"/>
      <c r="PPZ1" s="2"/>
      <c r="PQA1" s="2"/>
      <c r="PQB1" s="2"/>
      <c r="PQC1" s="2"/>
      <c r="PQD1" s="2"/>
      <c r="PQE1" s="2"/>
      <c r="PQF1" s="2"/>
      <c r="PQG1" s="2"/>
      <c r="PQH1" s="2"/>
      <c r="PQI1" s="2"/>
      <c r="PQJ1" s="2"/>
      <c r="PQK1" s="2"/>
      <c r="PQL1" s="2"/>
      <c r="PQM1" s="2"/>
      <c r="PQN1" s="2"/>
      <c r="PQO1" s="2"/>
      <c r="PQP1" s="2"/>
      <c r="PQQ1" s="2"/>
      <c r="PQR1" s="2"/>
      <c r="PQS1" s="2"/>
      <c r="PQT1" s="2"/>
      <c r="PQU1" s="2"/>
      <c r="PQV1" s="2"/>
      <c r="PQW1" s="2"/>
      <c r="PQX1" s="2"/>
      <c r="PQY1" s="2"/>
      <c r="PQZ1" s="2"/>
      <c r="PRA1" s="2"/>
      <c r="PRB1" s="2"/>
      <c r="PRC1" s="2"/>
      <c r="PRD1" s="2"/>
      <c r="PRE1" s="2"/>
      <c r="PRF1" s="2"/>
      <c r="PRG1" s="2"/>
      <c r="PRH1" s="2"/>
      <c r="PRI1" s="2"/>
      <c r="PRJ1" s="2"/>
      <c r="PRK1" s="2"/>
      <c r="PRL1" s="2"/>
      <c r="PRM1" s="2"/>
      <c r="PRN1" s="2"/>
      <c r="PRO1" s="2"/>
      <c r="PRP1" s="2"/>
      <c r="PRQ1" s="2"/>
      <c r="PRR1" s="2"/>
      <c r="PRS1" s="2"/>
      <c r="PRT1" s="2"/>
      <c r="PRU1" s="2"/>
      <c r="PRV1" s="2"/>
      <c r="PRW1" s="2"/>
      <c r="PRX1" s="2"/>
      <c r="PRY1" s="2"/>
      <c r="PRZ1" s="2"/>
      <c r="PSA1" s="2"/>
      <c r="PSB1" s="2"/>
      <c r="PSC1" s="2"/>
      <c r="PSD1" s="2"/>
      <c r="PSE1" s="2"/>
      <c r="PSF1" s="2"/>
      <c r="PSG1" s="2"/>
      <c r="PSH1" s="2"/>
      <c r="PSI1" s="2"/>
      <c r="PSJ1" s="2"/>
      <c r="PSK1" s="2"/>
      <c r="PSL1" s="2"/>
      <c r="PSM1" s="2"/>
      <c r="PSN1" s="2"/>
      <c r="PSO1" s="2"/>
      <c r="PSP1" s="2"/>
      <c r="PSQ1" s="2"/>
      <c r="PSR1" s="2"/>
      <c r="PSS1" s="2"/>
      <c r="PST1" s="2"/>
      <c r="PSU1" s="2"/>
      <c r="PSV1" s="2"/>
      <c r="PSW1" s="2"/>
      <c r="PSX1" s="2"/>
      <c r="PSY1" s="2"/>
      <c r="PSZ1" s="2"/>
      <c r="PTA1" s="2"/>
      <c r="PTB1" s="2"/>
      <c r="PTC1" s="2"/>
      <c r="PTD1" s="2"/>
      <c r="PTE1" s="2"/>
      <c r="PTF1" s="2"/>
      <c r="PTG1" s="2"/>
      <c r="PTH1" s="2"/>
      <c r="PTI1" s="2"/>
      <c r="PTJ1" s="2"/>
      <c r="PTK1" s="2"/>
      <c r="PTL1" s="2"/>
      <c r="PTM1" s="2"/>
      <c r="PTN1" s="2"/>
      <c r="PTO1" s="2"/>
      <c r="PTP1" s="2"/>
      <c r="PTQ1" s="2"/>
      <c r="PTR1" s="2"/>
      <c r="PTS1" s="2"/>
      <c r="PTT1" s="2"/>
      <c r="PTU1" s="2"/>
      <c r="PTV1" s="2"/>
      <c r="PTW1" s="2"/>
      <c r="PTX1" s="2"/>
      <c r="PTY1" s="2"/>
      <c r="PTZ1" s="2"/>
      <c r="PUA1" s="2"/>
      <c r="PUB1" s="2"/>
      <c r="PUC1" s="2"/>
      <c r="PUD1" s="2"/>
      <c r="PUE1" s="2"/>
      <c r="PUF1" s="2"/>
      <c r="PUG1" s="2"/>
      <c r="PUH1" s="2"/>
      <c r="PUI1" s="2"/>
      <c r="PUJ1" s="2"/>
      <c r="PUK1" s="2"/>
      <c r="PUL1" s="2"/>
      <c r="PUM1" s="2"/>
      <c r="PUN1" s="2"/>
      <c r="PUO1" s="2"/>
      <c r="PUP1" s="2"/>
      <c r="PUQ1" s="2"/>
      <c r="PUR1" s="2"/>
      <c r="PUS1" s="2"/>
      <c r="PUT1" s="2"/>
      <c r="PUU1" s="2"/>
      <c r="PUV1" s="2"/>
      <c r="PUW1" s="2"/>
      <c r="PUX1" s="2"/>
      <c r="PUY1" s="2"/>
      <c r="PUZ1" s="2"/>
      <c r="PVA1" s="2"/>
      <c r="PVB1" s="2"/>
      <c r="PVC1" s="2"/>
      <c r="PVD1" s="2"/>
      <c r="PVE1" s="2"/>
      <c r="PVF1" s="2"/>
      <c r="PVG1" s="2"/>
      <c r="PVH1" s="2"/>
      <c r="PVI1" s="2"/>
      <c r="PVJ1" s="2"/>
      <c r="PVK1" s="2"/>
      <c r="PVL1" s="2"/>
      <c r="PVM1" s="2"/>
      <c r="PVN1" s="2"/>
      <c r="PVO1" s="2"/>
      <c r="PVP1" s="2"/>
      <c r="PVQ1" s="2"/>
      <c r="PVR1" s="2"/>
      <c r="PVS1" s="2"/>
      <c r="PVT1" s="2"/>
      <c r="PVU1" s="2"/>
      <c r="PVV1" s="2"/>
      <c r="PVW1" s="2"/>
      <c r="PVX1" s="2"/>
      <c r="PVY1" s="2"/>
      <c r="PVZ1" s="2"/>
      <c r="PWA1" s="2"/>
      <c r="PWB1" s="2"/>
      <c r="PWC1" s="2"/>
      <c r="PWD1" s="2"/>
      <c r="PWE1" s="2"/>
      <c r="PWF1" s="2"/>
      <c r="PWG1" s="2"/>
      <c r="PWH1" s="2"/>
      <c r="PWI1" s="2"/>
      <c r="PWJ1" s="2"/>
      <c r="PWK1" s="2"/>
      <c r="PWL1" s="2"/>
      <c r="PWM1" s="2"/>
      <c r="PWN1" s="2"/>
      <c r="PWO1" s="2"/>
      <c r="PWP1" s="2"/>
      <c r="PWQ1" s="2"/>
      <c r="PWR1" s="2"/>
      <c r="PWS1" s="2"/>
      <c r="PWT1" s="2"/>
      <c r="PWU1" s="2"/>
      <c r="PWV1" s="2"/>
      <c r="PWW1" s="2"/>
      <c r="PWX1" s="2"/>
      <c r="PWY1" s="2"/>
      <c r="PWZ1" s="2"/>
      <c r="PXA1" s="2"/>
      <c r="PXB1" s="2"/>
      <c r="PXC1" s="2"/>
      <c r="PXD1" s="2"/>
      <c r="PXE1" s="2"/>
      <c r="PXF1" s="2"/>
      <c r="PXG1" s="2"/>
      <c r="PXH1" s="2"/>
      <c r="PXI1" s="2"/>
      <c r="PXJ1" s="2"/>
      <c r="PXK1" s="2"/>
      <c r="PXL1" s="2"/>
      <c r="PXM1" s="2"/>
      <c r="PXN1" s="2"/>
      <c r="PXO1" s="2"/>
      <c r="PXP1" s="2"/>
      <c r="PXQ1" s="2"/>
      <c r="PXR1" s="2"/>
      <c r="PXS1" s="2"/>
      <c r="PXT1" s="2"/>
      <c r="PXU1" s="2"/>
      <c r="PXV1" s="2"/>
      <c r="PXW1" s="2"/>
      <c r="PXX1" s="2"/>
      <c r="PXY1" s="2"/>
      <c r="PXZ1" s="2"/>
      <c r="PYA1" s="2"/>
      <c r="PYB1" s="2"/>
      <c r="PYC1" s="2"/>
      <c r="PYD1" s="2"/>
      <c r="PYE1" s="2"/>
      <c r="PYF1" s="2"/>
      <c r="PYG1" s="2"/>
      <c r="PYH1" s="2"/>
      <c r="PYI1" s="2"/>
      <c r="PYJ1" s="2"/>
      <c r="PYK1" s="2"/>
      <c r="PYL1" s="2"/>
      <c r="PYM1" s="2"/>
      <c r="PYN1" s="2"/>
      <c r="PYO1" s="2"/>
      <c r="PYP1" s="2"/>
      <c r="PYQ1" s="2"/>
      <c r="PYR1" s="2"/>
      <c r="PYS1" s="2"/>
      <c r="PYT1" s="2"/>
      <c r="PYU1" s="2"/>
      <c r="PYV1" s="2"/>
      <c r="PYW1" s="2"/>
      <c r="PYX1" s="2"/>
      <c r="PYY1" s="2"/>
      <c r="PYZ1" s="2"/>
      <c r="PZA1" s="2"/>
      <c r="PZB1" s="2"/>
      <c r="PZC1" s="2"/>
      <c r="PZD1" s="2"/>
      <c r="PZE1" s="2"/>
      <c r="PZF1" s="2"/>
      <c r="PZG1" s="2"/>
      <c r="PZH1" s="2"/>
      <c r="PZI1" s="2"/>
      <c r="PZJ1" s="2"/>
      <c r="PZK1" s="2"/>
      <c r="PZL1" s="2"/>
      <c r="PZM1" s="2"/>
      <c r="PZN1" s="2"/>
      <c r="PZO1" s="2"/>
      <c r="PZP1" s="2"/>
      <c r="PZQ1" s="2"/>
      <c r="PZR1" s="2"/>
      <c r="PZS1" s="2"/>
      <c r="PZT1" s="2"/>
      <c r="PZU1" s="2"/>
      <c r="PZV1" s="2"/>
      <c r="PZW1" s="2"/>
      <c r="PZX1" s="2"/>
      <c r="PZY1" s="2"/>
      <c r="PZZ1" s="2"/>
      <c r="QAA1" s="2"/>
      <c r="QAB1" s="2"/>
      <c r="QAC1" s="2"/>
      <c r="QAD1" s="2"/>
      <c r="QAE1" s="2"/>
      <c r="QAF1" s="2"/>
      <c r="QAG1" s="2"/>
      <c r="QAH1" s="2"/>
      <c r="QAI1" s="2"/>
      <c r="QAJ1" s="2"/>
      <c r="QAK1" s="2"/>
      <c r="QAL1" s="2"/>
      <c r="QAM1" s="2"/>
      <c r="QAN1" s="2"/>
      <c r="QAO1" s="2"/>
      <c r="QAP1" s="2"/>
      <c r="QAQ1" s="2"/>
      <c r="QAR1" s="2"/>
      <c r="QAS1" s="2"/>
      <c r="QAT1" s="2"/>
      <c r="QAU1" s="2"/>
      <c r="QAV1" s="2"/>
      <c r="QAW1" s="2"/>
      <c r="QAX1" s="2"/>
      <c r="QAY1" s="2"/>
      <c r="QAZ1" s="2"/>
      <c r="QBA1" s="2"/>
      <c r="QBB1" s="2"/>
      <c r="QBC1" s="2"/>
      <c r="QBD1" s="2"/>
      <c r="QBE1" s="2"/>
      <c r="QBF1" s="2"/>
      <c r="QBG1" s="2"/>
      <c r="QBH1" s="2"/>
      <c r="QBI1" s="2"/>
      <c r="QBJ1" s="2"/>
      <c r="QBK1" s="2"/>
      <c r="QBL1" s="2"/>
      <c r="QBM1" s="2"/>
      <c r="QBN1" s="2"/>
      <c r="QBO1" s="2"/>
      <c r="QBP1" s="2"/>
      <c r="QBQ1" s="2"/>
      <c r="QBR1" s="2"/>
      <c r="QBS1" s="2"/>
      <c r="QBT1" s="2"/>
      <c r="QBU1" s="2"/>
      <c r="QBV1" s="2"/>
      <c r="QBW1" s="2"/>
      <c r="QBX1" s="2"/>
      <c r="QBY1" s="2"/>
      <c r="QBZ1" s="2"/>
      <c r="QCA1" s="2"/>
      <c r="QCB1" s="2"/>
      <c r="QCC1" s="2"/>
      <c r="QCD1" s="2"/>
      <c r="QCE1" s="2"/>
      <c r="QCF1" s="2"/>
      <c r="QCG1" s="2"/>
      <c r="QCH1" s="2"/>
      <c r="QCI1" s="2"/>
      <c r="QCJ1" s="2"/>
      <c r="QCK1" s="2"/>
      <c r="QCL1" s="2"/>
      <c r="QCM1" s="2"/>
      <c r="QCN1" s="2"/>
      <c r="QCO1" s="2"/>
      <c r="QCP1" s="2"/>
      <c r="QCQ1" s="2"/>
      <c r="QCR1" s="2"/>
      <c r="QCS1" s="2"/>
      <c r="QCT1" s="2"/>
      <c r="QCU1" s="2"/>
      <c r="QCV1" s="2"/>
      <c r="QCW1" s="2"/>
      <c r="QCX1" s="2"/>
      <c r="QCY1" s="2"/>
      <c r="QCZ1" s="2"/>
      <c r="QDA1" s="2"/>
      <c r="QDB1" s="2"/>
      <c r="QDC1" s="2"/>
      <c r="QDD1" s="2"/>
      <c r="QDE1" s="2"/>
      <c r="QDF1" s="2"/>
      <c r="QDG1" s="2"/>
      <c r="QDH1" s="2"/>
      <c r="QDI1" s="2"/>
      <c r="QDJ1" s="2"/>
      <c r="QDK1" s="2"/>
      <c r="QDL1" s="2"/>
      <c r="QDM1" s="2"/>
      <c r="QDN1" s="2"/>
      <c r="QDO1" s="2"/>
      <c r="QDP1" s="2"/>
      <c r="QDQ1" s="2"/>
      <c r="QDR1" s="2"/>
      <c r="QDS1" s="2"/>
      <c r="QDT1" s="2"/>
      <c r="QDU1" s="2"/>
      <c r="QDV1" s="2"/>
      <c r="QDW1" s="2"/>
      <c r="QDX1" s="2"/>
      <c r="QDY1" s="2"/>
      <c r="QDZ1" s="2"/>
      <c r="QEA1" s="2"/>
      <c r="QEB1" s="2"/>
      <c r="QEC1" s="2"/>
      <c r="QED1" s="2"/>
      <c r="QEE1" s="2"/>
      <c r="QEF1" s="2"/>
      <c r="QEG1" s="2"/>
      <c r="QEH1" s="2"/>
      <c r="QEI1" s="2"/>
      <c r="QEJ1" s="2"/>
      <c r="QEK1" s="2"/>
      <c r="QEL1" s="2"/>
      <c r="QEM1" s="2"/>
      <c r="QEN1" s="2"/>
      <c r="QEO1" s="2"/>
      <c r="QEP1" s="2"/>
      <c r="QEQ1" s="2"/>
      <c r="QER1" s="2"/>
      <c r="QES1" s="2"/>
      <c r="QET1" s="2"/>
      <c r="QEU1" s="2"/>
      <c r="QEV1" s="2"/>
      <c r="QEW1" s="2"/>
      <c r="QEX1" s="2"/>
      <c r="QEY1" s="2"/>
      <c r="QEZ1" s="2"/>
      <c r="QFA1" s="2"/>
      <c r="QFB1" s="2"/>
      <c r="QFC1" s="2"/>
      <c r="QFD1" s="2"/>
      <c r="QFE1" s="2"/>
      <c r="QFF1" s="2"/>
      <c r="QFG1" s="2"/>
      <c r="QFH1" s="2"/>
      <c r="QFI1" s="2"/>
      <c r="QFJ1" s="2"/>
      <c r="QFK1" s="2"/>
      <c r="QFL1" s="2"/>
      <c r="QFM1" s="2"/>
      <c r="QFN1" s="2"/>
      <c r="QFO1" s="2"/>
      <c r="QFP1" s="2"/>
      <c r="QFQ1" s="2"/>
      <c r="QFR1" s="2"/>
      <c r="QFS1" s="2"/>
      <c r="QFT1" s="2"/>
      <c r="QFU1" s="2"/>
      <c r="QFV1" s="2"/>
      <c r="QFW1" s="2"/>
      <c r="QFX1" s="2"/>
      <c r="QFY1" s="2"/>
      <c r="QFZ1" s="2"/>
      <c r="QGA1" s="2"/>
      <c r="QGB1" s="2"/>
      <c r="QGC1" s="2"/>
      <c r="QGD1" s="2"/>
      <c r="QGE1" s="2"/>
      <c r="QGF1" s="2"/>
      <c r="QGG1" s="2"/>
      <c r="QGH1" s="2"/>
      <c r="QGI1" s="2"/>
      <c r="QGJ1" s="2"/>
      <c r="QGK1" s="2"/>
      <c r="QGL1" s="2"/>
      <c r="QGM1" s="2"/>
      <c r="QGN1" s="2"/>
      <c r="QGO1" s="2"/>
      <c r="QGP1" s="2"/>
      <c r="QGQ1" s="2"/>
      <c r="QGR1" s="2"/>
      <c r="QGS1" s="2"/>
      <c r="QGT1" s="2"/>
      <c r="QGU1" s="2"/>
      <c r="QGV1" s="2"/>
      <c r="QGW1" s="2"/>
      <c r="QGX1" s="2"/>
      <c r="QGY1" s="2"/>
      <c r="QGZ1" s="2"/>
      <c r="QHA1" s="2"/>
      <c r="QHB1" s="2"/>
      <c r="QHC1" s="2"/>
      <c r="QHD1" s="2"/>
      <c r="QHE1" s="2"/>
      <c r="QHF1" s="2"/>
      <c r="QHG1" s="2"/>
      <c r="QHH1" s="2"/>
      <c r="QHI1" s="2"/>
      <c r="QHJ1" s="2"/>
      <c r="QHK1" s="2"/>
      <c r="QHL1" s="2"/>
      <c r="QHM1" s="2"/>
      <c r="QHN1" s="2"/>
      <c r="QHO1" s="2"/>
      <c r="QHP1" s="2"/>
      <c r="QHQ1" s="2"/>
      <c r="QHR1" s="2"/>
      <c r="QHS1" s="2"/>
      <c r="QHT1" s="2"/>
      <c r="QHU1" s="2"/>
      <c r="QHV1" s="2"/>
      <c r="QHW1" s="2"/>
      <c r="QHX1" s="2"/>
      <c r="QHY1" s="2"/>
      <c r="QHZ1" s="2"/>
      <c r="QIA1" s="2"/>
      <c r="QIB1" s="2"/>
      <c r="QIC1" s="2"/>
      <c r="QID1" s="2"/>
      <c r="QIE1" s="2"/>
      <c r="QIF1" s="2"/>
      <c r="QIG1" s="2"/>
      <c r="QIH1" s="2"/>
      <c r="QII1" s="2"/>
      <c r="QIJ1" s="2"/>
      <c r="QIK1" s="2"/>
      <c r="QIL1" s="2"/>
      <c r="QIM1" s="2"/>
      <c r="QIN1" s="2"/>
      <c r="QIO1" s="2"/>
      <c r="QIP1" s="2"/>
      <c r="QIQ1" s="2"/>
      <c r="QIR1" s="2"/>
      <c r="QIS1" s="2"/>
      <c r="QIT1" s="2"/>
      <c r="QIU1" s="2"/>
      <c r="QIV1" s="2"/>
      <c r="QIW1" s="2"/>
      <c r="QIX1" s="2"/>
      <c r="QIY1" s="2"/>
      <c r="QIZ1" s="2"/>
      <c r="QJA1" s="2"/>
      <c r="QJB1" s="2"/>
      <c r="QJC1" s="2"/>
      <c r="QJD1" s="2"/>
      <c r="QJE1" s="2"/>
      <c r="QJF1" s="2"/>
      <c r="QJG1" s="2"/>
      <c r="QJH1" s="2"/>
      <c r="QJI1" s="2"/>
      <c r="QJJ1" s="2"/>
      <c r="QJK1" s="2"/>
      <c r="QJL1" s="2"/>
      <c r="QJM1" s="2"/>
      <c r="QJN1" s="2"/>
      <c r="QJO1" s="2"/>
      <c r="QJP1" s="2"/>
      <c r="QJQ1" s="2"/>
      <c r="QJR1" s="2"/>
      <c r="QJS1" s="2"/>
      <c r="QJT1" s="2"/>
      <c r="QJU1" s="2"/>
      <c r="QJV1" s="2"/>
      <c r="QJW1" s="2"/>
      <c r="QJX1" s="2"/>
      <c r="QJY1" s="2"/>
      <c r="QJZ1" s="2"/>
      <c r="QKA1" s="2"/>
      <c r="QKB1" s="2"/>
      <c r="QKC1" s="2"/>
      <c r="QKD1" s="2"/>
      <c r="QKE1" s="2"/>
      <c r="QKF1" s="2"/>
      <c r="QKG1" s="2"/>
      <c r="QKH1" s="2"/>
      <c r="QKI1" s="2"/>
      <c r="QKJ1" s="2"/>
      <c r="QKK1" s="2"/>
      <c r="QKL1" s="2"/>
      <c r="QKM1" s="2"/>
      <c r="QKN1" s="2"/>
      <c r="QKO1" s="2"/>
      <c r="QKP1" s="2"/>
      <c r="QKQ1" s="2"/>
      <c r="QKR1" s="2"/>
      <c r="QKS1" s="2"/>
      <c r="QKT1" s="2"/>
      <c r="QKU1" s="2"/>
      <c r="QKV1" s="2"/>
      <c r="QKW1" s="2"/>
      <c r="QKX1" s="2"/>
      <c r="QKY1" s="2"/>
      <c r="QKZ1" s="2"/>
      <c r="QLA1" s="2"/>
      <c r="QLB1" s="2"/>
      <c r="QLC1" s="2"/>
      <c r="QLD1" s="2"/>
      <c r="QLE1" s="2"/>
      <c r="QLF1" s="2"/>
      <c r="QLG1" s="2"/>
      <c r="QLH1" s="2"/>
      <c r="QLI1" s="2"/>
      <c r="QLJ1" s="2"/>
      <c r="QLK1" s="2"/>
      <c r="QLL1" s="2"/>
      <c r="QLM1" s="2"/>
      <c r="QLN1" s="2"/>
      <c r="QLO1" s="2"/>
      <c r="QLP1" s="2"/>
      <c r="QLQ1" s="2"/>
      <c r="QLR1" s="2"/>
      <c r="QLS1" s="2"/>
      <c r="QLT1" s="2"/>
      <c r="QLU1" s="2"/>
      <c r="QLV1" s="2"/>
      <c r="QLW1" s="2"/>
      <c r="QLX1" s="2"/>
      <c r="QLY1" s="2"/>
      <c r="QLZ1" s="2"/>
      <c r="QMA1" s="2"/>
      <c r="QMB1" s="2"/>
      <c r="QMC1" s="2"/>
      <c r="QMD1" s="2"/>
      <c r="QME1" s="2"/>
      <c r="QMF1" s="2"/>
      <c r="QMG1" s="2"/>
      <c r="QMH1" s="2"/>
      <c r="QMI1" s="2"/>
      <c r="QMJ1" s="2"/>
      <c r="QMK1" s="2"/>
      <c r="QML1" s="2"/>
      <c r="QMM1" s="2"/>
      <c r="QMN1" s="2"/>
      <c r="QMO1" s="2"/>
      <c r="QMP1" s="2"/>
      <c r="QMQ1" s="2"/>
      <c r="QMR1" s="2"/>
      <c r="QMS1" s="2"/>
      <c r="QMT1" s="2"/>
      <c r="QMU1" s="2"/>
      <c r="QMV1" s="2"/>
      <c r="QMW1" s="2"/>
      <c r="QMX1" s="2"/>
      <c r="QMY1" s="2"/>
      <c r="QMZ1" s="2"/>
      <c r="QNA1" s="2"/>
      <c r="QNB1" s="2"/>
      <c r="QNC1" s="2"/>
      <c r="QND1" s="2"/>
      <c r="QNE1" s="2"/>
      <c r="QNF1" s="2"/>
      <c r="QNG1" s="2"/>
      <c r="QNH1" s="2"/>
      <c r="QNI1" s="2"/>
      <c r="QNJ1" s="2"/>
      <c r="QNK1" s="2"/>
      <c r="QNL1" s="2"/>
      <c r="QNM1" s="2"/>
      <c r="QNN1" s="2"/>
      <c r="QNO1" s="2"/>
      <c r="QNP1" s="2"/>
      <c r="QNQ1" s="2"/>
      <c r="QNR1" s="2"/>
      <c r="QNS1" s="2"/>
      <c r="QNT1" s="2"/>
      <c r="QNU1" s="2"/>
      <c r="QNV1" s="2"/>
      <c r="QNW1" s="2"/>
      <c r="QNX1" s="2"/>
      <c r="QNY1" s="2"/>
      <c r="QNZ1" s="2"/>
      <c r="QOA1" s="2"/>
      <c r="QOB1" s="2"/>
      <c r="QOC1" s="2"/>
      <c r="QOD1" s="2"/>
      <c r="QOE1" s="2"/>
      <c r="QOF1" s="2"/>
      <c r="QOG1" s="2"/>
      <c r="QOH1" s="2"/>
      <c r="QOI1" s="2"/>
      <c r="QOJ1" s="2"/>
      <c r="QOK1" s="2"/>
      <c r="QOL1" s="2"/>
      <c r="QOM1" s="2"/>
      <c r="QON1" s="2"/>
      <c r="QOO1" s="2"/>
      <c r="QOP1" s="2"/>
      <c r="QOQ1" s="2"/>
      <c r="QOR1" s="2"/>
      <c r="QOS1" s="2"/>
      <c r="QOT1" s="2"/>
      <c r="QOU1" s="2"/>
      <c r="QOV1" s="2"/>
      <c r="QOW1" s="2"/>
      <c r="QOX1" s="2"/>
      <c r="QOY1" s="2"/>
      <c r="QOZ1" s="2"/>
      <c r="QPA1" s="2"/>
      <c r="QPB1" s="2"/>
      <c r="QPC1" s="2"/>
      <c r="QPD1" s="2"/>
      <c r="QPE1" s="2"/>
      <c r="QPF1" s="2"/>
      <c r="QPG1" s="2"/>
      <c r="QPH1" s="2"/>
      <c r="QPI1" s="2"/>
      <c r="QPJ1" s="2"/>
      <c r="QPK1" s="2"/>
      <c r="QPL1" s="2"/>
      <c r="QPM1" s="2"/>
      <c r="QPN1" s="2"/>
      <c r="QPO1" s="2"/>
      <c r="QPP1" s="2"/>
      <c r="QPQ1" s="2"/>
      <c r="QPR1" s="2"/>
      <c r="QPS1" s="2"/>
      <c r="QPT1" s="2"/>
      <c r="QPU1" s="2"/>
      <c r="QPV1" s="2"/>
      <c r="QPW1" s="2"/>
      <c r="QPX1" s="2"/>
      <c r="QPY1" s="2"/>
      <c r="QPZ1" s="2"/>
      <c r="QQA1" s="2"/>
      <c r="QQB1" s="2"/>
      <c r="QQC1" s="2"/>
      <c r="QQD1" s="2"/>
      <c r="QQE1" s="2"/>
      <c r="QQF1" s="2"/>
      <c r="QQG1" s="2"/>
      <c r="QQH1" s="2"/>
      <c r="QQI1" s="2"/>
      <c r="QQJ1" s="2"/>
      <c r="QQK1" s="2"/>
      <c r="QQL1" s="2"/>
      <c r="QQM1" s="2"/>
      <c r="QQN1" s="2"/>
      <c r="QQO1" s="2"/>
      <c r="QQP1" s="2"/>
      <c r="QQQ1" s="2"/>
      <c r="QQR1" s="2"/>
      <c r="QQS1" s="2"/>
      <c r="QQT1" s="2"/>
      <c r="QQU1" s="2"/>
      <c r="QQV1" s="2"/>
      <c r="QQW1" s="2"/>
      <c r="QQX1" s="2"/>
      <c r="QQY1" s="2"/>
      <c r="QQZ1" s="2"/>
      <c r="QRA1" s="2"/>
      <c r="QRB1" s="2"/>
      <c r="QRC1" s="2"/>
      <c r="QRD1" s="2"/>
      <c r="QRE1" s="2"/>
      <c r="QRF1" s="2"/>
      <c r="QRG1" s="2"/>
      <c r="QRH1" s="2"/>
      <c r="QRI1" s="2"/>
      <c r="QRJ1" s="2"/>
      <c r="QRK1" s="2"/>
      <c r="QRL1" s="2"/>
      <c r="QRM1" s="2"/>
      <c r="QRN1" s="2"/>
      <c r="QRO1" s="2"/>
      <c r="QRP1" s="2"/>
      <c r="QRQ1" s="2"/>
      <c r="QRR1" s="2"/>
      <c r="QRS1" s="2"/>
      <c r="QRT1" s="2"/>
      <c r="QRU1" s="2"/>
      <c r="QRV1" s="2"/>
      <c r="QRW1" s="2"/>
      <c r="QRX1" s="2"/>
      <c r="QRY1" s="2"/>
      <c r="QRZ1" s="2"/>
      <c r="QSA1" s="2"/>
      <c r="QSB1" s="2"/>
      <c r="QSC1" s="2"/>
      <c r="QSD1" s="2"/>
      <c r="QSE1" s="2"/>
      <c r="QSF1" s="2"/>
      <c r="QSG1" s="2"/>
      <c r="QSH1" s="2"/>
      <c r="QSI1" s="2"/>
      <c r="QSJ1" s="2"/>
      <c r="QSK1" s="2"/>
      <c r="QSL1" s="2"/>
      <c r="QSM1" s="2"/>
      <c r="QSN1" s="2"/>
      <c r="QSO1" s="2"/>
      <c r="QSP1" s="2"/>
      <c r="QSQ1" s="2"/>
      <c r="QSR1" s="2"/>
      <c r="QSS1" s="2"/>
      <c r="QST1" s="2"/>
      <c r="QSU1" s="2"/>
      <c r="QSV1" s="2"/>
      <c r="QSW1" s="2"/>
      <c r="QSX1" s="2"/>
      <c r="QSY1" s="2"/>
      <c r="QSZ1" s="2"/>
      <c r="QTA1" s="2"/>
      <c r="QTB1" s="2"/>
      <c r="QTC1" s="2"/>
      <c r="QTD1" s="2"/>
      <c r="QTE1" s="2"/>
      <c r="QTF1" s="2"/>
      <c r="QTG1" s="2"/>
      <c r="QTH1" s="2"/>
      <c r="QTI1" s="2"/>
      <c r="QTJ1" s="2"/>
      <c r="QTK1" s="2"/>
      <c r="QTL1" s="2"/>
      <c r="QTM1" s="2"/>
      <c r="QTN1" s="2"/>
      <c r="QTO1" s="2"/>
      <c r="QTP1" s="2"/>
      <c r="QTQ1" s="2"/>
      <c r="QTR1" s="2"/>
      <c r="QTS1" s="2"/>
      <c r="QTT1" s="2"/>
      <c r="QTU1" s="2"/>
      <c r="QTV1" s="2"/>
      <c r="QTW1" s="2"/>
      <c r="QTX1" s="2"/>
      <c r="QTY1" s="2"/>
      <c r="QTZ1" s="2"/>
      <c r="QUA1" s="2"/>
      <c r="QUB1" s="2"/>
      <c r="QUC1" s="2"/>
      <c r="QUD1" s="2"/>
      <c r="QUE1" s="2"/>
      <c r="QUF1" s="2"/>
      <c r="QUG1" s="2"/>
      <c r="QUH1" s="2"/>
      <c r="QUI1" s="2"/>
      <c r="QUJ1" s="2"/>
      <c r="QUK1" s="2"/>
      <c r="QUL1" s="2"/>
      <c r="QUM1" s="2"/>
      <c r="QUN1" s="2"/>
      <c r="QUO1" s="2"/>
      <c r="QUP1" s="2"/>
      <c r="QUQ1" s="2"/>
      <c r="QUR1" s="2"/>
      <c r="QUS1" s="2"/>
      <c r="QUT1" s="2"/>
      <c r="QUU1" s="2"/>
      <c r="QUV1" s="2"/>
      <c r="QUW1" s="2"/>
      <c r="QUX1" s="2"/>
      <c r="QUY1" s="2"/>
      <c r="QUZ1" s="2"/>
      <c r="QVA1" s="2"/>
      <c r="QVB1" s="2"/>
      <c r="QVC1" s="2"/>
      <c r="QVD1" s="2"/>
      <c r="QVE1" s="2"/>
      <c r="QVF1" s="2"/>
      <c r="QVG1" s="2"/>
      <c r="QVH1" s="2"/>
      <c r="QVI1" s="2"/>
      <c r="QVJ1" s="2"/>
      <c r="QVK1" s="2"/>
      <c r="QVL1" s="2"/>
      <c r="QVM1" s="2"/>
      <c r="QVN1" s="2"/>
      <c r="QVO1" s="2"/>
      <c r="QVP1" s="2"/>
      <c r="QVQ1" s="2"/>
      <c r="QVR1" s="2"/>
      <c r="QVS1" s="2"/>
      <c r="QVT1" s="2"/>
      <c r="QVU1" s="2"/>
      <c r="QVV1" s="2"/>
      <c r="QVW1" s="2"/>
      <c r="QVX1" s="2"/>
      <c r="QVY1" s="2"/>
      <c r="QVZ1" s="2"/>
      <c r="QWA1" s="2"/>
      <c r="QWB1" s="2"/>
      <c r="QWC1" s="2"/>
      <c r="QWD1" s="2"/>
      <c r="QWE1" s="2"/>
      <c r="QWF1" s="2"/>
      <c r="QWG1" s="2"/>
      <c r="QWH1" s="2"/>
      <c r="QWI1" s="2"/>
      <c r="QWJ1" s="2"/>
      <c r="QWK1" s="2"/>
      <c r="QWL1" s="2"/>
      <c r="QWM1" s="2"/>
      <c r="QWN1" s="2"/>
      <c r="QWO1" s="2"/>
      <c r="QWP1" s="2"/>
      <c r="QWQ1" s="2"/>
      <c r="QWR1" s="2"/>
      <c r="QWS1" s="2"/>
      <c r="QWT1" s="2"/>
      <c r="QWU1" s="2"/>
      <c r="QWV1" s="2"/>
      <c r="QWW1" s="2"/>
      <c r="QWX1" s="2"/>
      <c r="QWY1" s="2"/>
      <c r="QWZ1" s="2"/>
      <c r="QXA1" s="2"/>
      <c r="QXB1" s="2"/>
      <c r="QXC1" s="2"/>
      <c r="QXD1" s="2"/>
      <c r="QXE1" s="2"/>
      <c r="QXF1" s="2"/>
      <c r="QXG1" s="2"/>
      <c r="QXH1" s="2"/>
      <c r="QXI1" s="2"/>
      <c r="QXJ1" s="2"/>
      <c r="QXK1" s="2"/>
      <c r="QXL1" s="2"/>
      <c r="QXM1" s="2"/>
      <c r="QXN1" s="2"/>
      <c r="QXO1" s="2"/>
      <c r="QXP1" s="2"/>
      <c r="QXQ1" s="2"/>
      <c r="QXR1" s="2"/>
      <c r="QXS1" s="2"/>
      <c r="QXT1" s="2"/>
      <c r="QXU1" s="2"/>
      <c r="QXV1" s="2"/>
      <c r="QXW1" s="2"/>
      <c r="QXX1" s="2"/>
      <c r="QXY1" s="2"/>
      <c r="QXZ1" s="2"/>
      <c r="QYA1" s="2"/>
      <c r="QYB1" s="2"/>
      <c r="QYC1" s="2"/>
      <c r="QYD1" s="2"/>
      <c r="QYE1" s="2"/>
      <c r="QYF1" s="2"/>
      <c r="QYG1" s="2"/>
      <c r="QYH1" s="2"/>
      <c r="QYI1" s="2"/>
      <c r="QYJ1" s="2"/>
      <c r="QYK1" s="2"/>
      <c r="QYL1" s="2"/>
      <c r="QYM1" s="2"/>
      <c r="QYN1" s="2"/>
      <c r="QYO1" s="2"/>
      <c r="QYP1" s="2"/>
      <c r="QYQ1" s="2"/>
      <c r="QYR1" s="2"/>
      <c r="QYS1" s="2"/>
      <c r="QYT1" s="2"/>
      <c r="QYU1" s="2"/>
      <c r="QYV1" s="2"/>
      <c r="QYW1" s="2"/>
      <c r="QYX1" s="2"/>
      <c r="QYY1" s="2"/>
      <c r="QYZ1" s="2"/>
      <c r="QZA1" s="2"/>
      <c r="QZB1" s="2"/>
      <c r="QZC1" s="2"/>
      <c r="QZD1" s="2"/>
      <c r="QZE1" s="2"/>
      <c r="QZF1" s="2"/>
      <c r="QZG1" s="2"/>
      <c r="QZH1" s="2"/>
      <c r="QZI1" s="2"/>
      <c r="QZJ1" s="2"/>
      <c r="QZK1" s="2"/>
      <c r="QZL1" s="2"/>
      <c r="QZM1" s="2"/>
      <c r="QZN1" s="2"/>
      <c r="QZO1" s="2"/>
      <c r="QZP1" s="2"/>
      <c r="QZQ1" s="2"/>
      <c r="QZR1" s="2"/>
      <c r="QZS1" s="2"/>
      <c r="QZT1" s="2"/>
      <c r="QZU1" s="2"/>
      <c r="QZV1" s="2"/>
      <c r="QZW1" s="2"/>
      <c r="QZX1" s="2"/>
      <c r="QZY1" s="2"/>
      <c r="QZZ1" s="2"/>
      <c r="RAA1" s="2"/>
      <c r="RAB1" s="2"/>
      <c r="RAC1" s="2"/>
      <c r="RAD1" s="2"/>
      <c r="RAE1" s="2"/>
      <c r="RAF1" s="2"/>
      <c r="RAG1" s="2"/>
      <c r="RAH1" s="2"/>
      <c r="RAI1" s="2"/>
      <c r="RAJ1" s="2"/>
      <c r="RAK1" s="2"/>
      <c r="RAL1" s="2"/>
      <c r="RAM1" s="2"/>
      <c r="RAN1" s="2"/>
      <c r="RAO1" s="2"/>
      <c r="RAP1" s="2"/>
      <c r="RAQ1" s="2"/>
      <c r="RAR1" s="2"/>
      <c r="RAS1" s="2"/>
      <c r="RAT1" s="2"/>
      <c r="RAU1" s="2"/>
      <c r="RAV1" s="2"/>
      <c r="RAW1" s="2"/>
      <c r="RAX1" s="2"/>
      <c r="RAY1" s="2"/>
      <c r="RAZ1" s="2"/>
      <c r="RBA1" s="2"/>
      <c r="RBB1" s="2"/>
      <c r="RBC1" s="2"/>
      <c r="RBD1" s="2"/>
      <c r="RBE1" s="2"/>
      <c r="RBF1" s="2"/>
      <c r="RBG1" s="2"/>
      <c r="RBH1" s="2"/>
      <c r="RBI1" s="2"/>
      <c r="RBJ1" s="2"/>
      <c r="RBK1" s="2"/>
      <c r="RBL1" s="2"/>
      <c r="RBM1" s="2"/>
      <c r="RBN1" s="2"/>
      <c r="RBO1" s="2"/>
      <c r="RBP1" s="2"/>
      <c r="RBQ1" s="2"/>
      <c r="RBR1" s="2"/>
      <c r="RBS1" s="2"/>
      <c r="RBT1" s="2"/>
      <c r="RBU1" s="2"/>
      <c r="RBV1" s="2"/>
      <c r="RBW1" s="2"/>
      <c r="RBX1" s="2"/>
      <c r="RBY1" s="2"/>
      <c r="RBZ1" s="2"/>
      <c r="RCA1" s="2"/>
      <c r="RCB1" s="2"/>
      <c r="RCC1" s="2"/>
      <c r="RCD1" s="2"/>
      <c r="RCE1" s="2"/>
      <c r="RCF1" s="2"/>
      <c r="RCG1" s="2"/>
      <c r="RCH1" s="2"/>
      <c r="RCI1" s="2"/>
      <c r="RCJ1" s="2"/>
      <c r="RCK1" s="2"/>
      <c r="RCL1" s="2"/>
      <c r="RCM1" s="2"/>
      <c r="RCN1" s="2"/>
      <c r="RCO1" s="2"/>
      <c r="RCP1" s="2"/>
      <c r="RCQ1" s="2"/>
      <c r="RCR1" s="2"/>
      <c r="RCS1" s="2"/>
      <c r="RCT1" s="2"/>
      <c r="RCU1" s="2"/>
      <c r="RCV1" s="2"/>
      <c r="RCW1" s="2"/>
      <c r="RCX1" s="2"/>
      <c r="RCY1" s="2"/>
      <c r="RCZ1" s="2"/>
      <c r="RDA1" s="2"/>
      <c r="RDB1" s="2"/>
      <c r="RDC1" s="2"/>
      <c r="RDD1" s="2"/>
      <c r="RDE1" s="2"/>
      <c r="RDF1" s="2"/>
      <c r="RDG1" s="2"/>
      <c r="RDH1" s="2"/>
      <c r="RDI1" s="2"/>
      <c r="RDJ1" s="2"/>
      <c r="RDK1" s="2"/>
      <c r="RDL1" s="2"/>
      <c r="RDM1" s="2"/>
      <c r="RDN1" s="2"/>
      <c r="RDO1" s="2"/>
      <c r="RDP1" s="2"/>
      <c r="RDQ1" s="2"/>
      <c r="RDR1" s="2"/>
      <c r="RDS1" s="2"/>
      <c r="RDT1" s="2"/>
      <c r="RDU1" s="2"/>
      <c r="RDV1" s="2"/>
      <c r="RDW1" s="2"/>
      <c r="RDX1" s="2"/>
      <c r="RDY1" s="2"/>
      <c r="RDZ1" s="2"/>
      <c r="REA1" s="2"/>
      <c r="REB1" s="2"/>
      <c r="REC1" s="2"/>
      <c r="RED1" s="2"/>
      <c r="REE1" s="2"/>
      <c r="REF1" s="2"/>
      <c r="REG1" s="2"/>
      <c r="REH1" s="2"/>
      <c r="REI1" s="2"/>
      <c r="REJ1" s="2"/>
      <c r="REK1" s="2"/>
      <c r="REL1" s="2"/>
      <c r="REM1" s="2"/>
      <c r="REN1" s="2"/>
      <c r="REO1" s="2"/>
      <c r="REP1" s="2"/>
      <c r="REQ1" s="2"/>
      <c r="RER1" s="2"/>
      <c r="RES1" s="2"/>
      <c r="RET1" s="2"/>
      <c r="REU1" s="2"/>
      <c r="REV1" s="2"/>
      <c r="REW1" s="2"/>
      <c r="REX1" s="2"/>
      <c r="REY1" s="2"/>
      <c r="REZ1" s="2"/>
      <c r="RFA1" s="2"/>
      <c r="RFB1" s="2"/>
      <c r="RFC1" s="2"/>
      <c r="RFD1" s="2"/>
      <c r="RFE1" s="2"/>
      <c r="RFF1" s="2"/>
      <c r="RFG1" s="2"/>
      <c r="RFH1" s="2"/>
      <c r="RFI1" s="2"/>
      <c r="RFJ1" s="2"/>
      <c r="RFK1" s="2"/>
      <c r="RFL1" s="2"/>
      <c r="RFM1" s="2"/>
      <c r="RFN1" s="2"/>
      <c r="RFO1" s="2"/>
      <c r="RFP1" s="2"/>
      <c r="RFQ1" s="2"/>
      <c r="RFR1" s="2"/>
      <c r="RFS1" s="2"/>
      <c r="RFT1" s="2"/>
      <c r="RFU1" s="2"/>
      <c r="RFV1" s="2"/>
      <c r="RFW1" s="2"/>
      <c r="RFX1" s="2"/>
      <c r="RFY1" s="2"/>
      <c r="RFZ1" s="2"/>
      <c r="RGA1" s="2"/>
      <c r="RGB1" s="2"/>
      <c r="RGC1" s="2"/>
      <c r="RGD1" s="2"/>
      <c r="RGE1" s="2"/>
      <c r="RGF1" s="2"/>
      <c r="RGG1" s="2"/>
      <c r="RGH1" s="2"/>
      <c r="RGI1" s="2"/>
      <c r="RGJ1" s="2"/>
      <c r="RGK1" s="2"/>
      <c r="RGL1" s="2"/>
      <c r="RGM1" s="2"/>
      <c r="RGN1" s="2"/>
      <c r="RGO1" s="2"/>
      <c r="RGP1" s="2"/>
      <c r="RGQ1" s="2"/>
      <c r="RGR1" s="2"/>
      <c r="RGS1" s="2"/>
      <c r="RGT1" s="2"/>
      <c r="RGU1" s="2"/>
      <c r="RGV1" s="2"/>
      <c r="RGW1" s="2"/>
      <c r="RGX1" s="2"/>
      <c r="RGY1" s="2"/>
      <c r="RGZ1" s="2"/>
      <c r="RHA1" s="2"/>
      <c r="RHB1" s="2"/>
      <c r="RHC1" s="2"/>
      <c r="RHD1" s="2"/>
      <c r="RHE1" s="2"/>
      <c r="RHF1" s="2"/>
      <c r="RHG1" s="2"/>
      <c r="RHH1" s="2"/>
      <c r="RHI1" s="2"/>
      <c r="RHJ1" s="2"/>
      <c r="RHK1" s="2"/>
      <c r="RHL1" s="2"/>
      <c r="RHM1" s="2"/>
      <c r="RHN1" s="2"/>
      <c r="RHO1" s="2"/>
      <c r="RHP1" s="2"/>
      <c r="RHQ1" s="2"/>
      <c r="RHR1" s="2"/>
      <c r="RHS1" s="2"/>
      <c r="RHT1" s="2"/>
      <c r="RHU1" s="2"/>
      <c r="RHV1" s="2"/>
      <c r="RHW1" s="2"/>
      <c r="RHX1" s="2"/>
      <c r="RHY1" s="2"/>
      <c r="RHZ1" s="2"/>
      <c r="RIA1" s="2"/>
      <c r="RIB1" s="2"/>
      <c r="RIC1" s="2"/>
      <c r="RID1" s="2"/>
      <c r="RIE1" s="2"/>
      <c r="RIF1" s="2"/>
      <c r="RIG1" s="2"/>
      <c r="RIH1" s="2"/>
      <c r="RII1" s="2"/>
      <c r="RIJ1" s="2"/>
      <c r="RIK1" s="2"/>
      <c r="RIL1" s="2"/>
      <c r="RIM1" s="2"/>
      <c r="RIN1" s="2"/>
      <c r="RIO1" s="2"/>
      <c r="RIP1" s="2"/>
      <c r="RIQ1" s="2"/>
      <c r="RIR1" s="2"/>
      <c r="RIS1" s="2"/>
      <c r="RIT1" s="2"/>
      <c r="RIU1" s="2"/>
      <c r="RIV1" s="2"/>
      <c r="RIW1" s="2"/>
      <c r="RIX1" s="2"/>
      <c r="RIY1" s="2"/>
      <c r="RIZ1" s="2"/>
      <c r="RJA1" s="2"/>
      <c r="RJB1" s="2"/>
      <c r="RJC1" s="2"/>
      <c r="RJD1" s="2"/>
      <c r="RJE1" s="2"/>
      <c r="RJF1" s="2"/>
      <c r="RJG1" s="2"/>
      <c r="RJH1" s="2"/>
      <c r="RJI1" s="2"/>
      <c r="RJJ1" s="2"/>
      <c r="RJK1" s="2"/>
      <c r="RJL1" s="2"/>
      <c r="RJM1" s="2"/>
      <c r="RJN1" s="2"/>
      <c r="RJO1" s="2"/>
      <c r="RJP1" s="2"/>
      <c r="RJQ1" s="2"/>
      <c r="RJR1" s="2"/>
      <c r="RJS1" s="2"/>
      <c r="RJT1" s="2"/>
      <c r="RJU1" s="2"/>
      <c r="RJV1" s="2"/>
      <c r="RJW1" s="2"/>
      <c r="RJX1" s="2"/>
      <c r="RJY1" s="2"/>
      <c r="RJZ1" s="2"/>
      <c r="RKA1" s="2"/>
      <c r="RKB1" s="2"/>
      <c r="RKC1" s="2"/>
      <c r="RKD1" s="2"/>
      <c r="RKE1" s="2"/>
      <c r="RKF1" s="2"/>
      <c r="RKG1" s="2"/>
      <c r="RKH1" s="2"/>
      <c r="RKI1" s="2"/>
      <c r="RKJ1" s="2"/>
      <c r="RKK1" s="2"/>
      <c r="RKL1" s="2"/>
      <c r="RKM1" s="2"/>
      <c r="RKN1" s="2"/>
      <c r="RKO1" s="2"/>
      <c r="RKP1" s="2"/>
      <c r="RKQ1" s="2"/>
      <c r="RKR1" s="2"/>
      <c r="RKS1" s="2"/>
      <c r="RKT1" s="2"/>
      <c r="RKU1" s="2"/>
      <c r="RKV1" s="2"/>
      <c r="RKW1" s="2"/>
      <c r="RKX1" s="2"/>
      <c r="RKY1" s="2"/>
      <c r="RKZ1" s="2"/>
      <c r="RLA1" s="2"/>
      <c r="RLB1" s="2"/>
      <c r="RLC1" s="2"/>
      <c r="RLD1" s="2"/>
      <c r="RLE1" s="2"/>
      <c r="RLF1" s="2"/>
      <c r="RLG1" s="2"/>
      <c r="RLH1" s="2"/>
      <c r="RLI1" s="2"/>
      <c r="RLJ1" s="2"/>
      <c r="RLK1" s="2"/>
      <c r="RLL1" s="2"/>
      <c r="RLM1" s="2"/>
      <c r="RLN1" s="2"/>
      <c r="RLO1" s="2"/>
      <c r="RLP1" s="2"/>
      <c r="RLQ1" s="2"/>
      <c r="RLR1" s="2"/>
      <c r="RLS1" s="2"/>
      <c r="RLT1" s="2"/>
      <c r="RLU1" s="2"/>
      <c r="RLV1" s="2"/>
      <c r="RLW1" s="2"/>
      <c r="RLX1" s="2"/>
      <c r="RLY1" s="2"/>
      <c r="RLZ1" s="2"/>
      <c r="RMA1" s="2"/>
      <c r="RMB1" s="2"/>
      <c r="RMC1" s="2"/>
      <c r="RMD1" s="2"/>
      <c r="RME1" s="2"/>
      <c r="RMF1" s="2"/>
      <c r="RMG1" s="2"/>
      <c r="RMH1" s="2"/>
      <c r="RMI1" s="2"/>
      <c r="RMJ1" s="2"/>
      <c r="RMK1" s="2"/>
      <c r="RML1" s="2"/>
      <c r="RMM1" s="2"/>
      <c r="RMN1" s="2"/>
      <c r="RMO1" s="2"/>
      <c r="RMP1" s="2"/>
      <c r="RMQ1" s="2"/>
      <c r="RMR1" s="2"/>
      <c r="RMS1" s="2"/>
      <c r="RMT1" s="2"/>
      <c r="RMU1" s="2"/>
      <c r="RMV1" s="2"/>
      <c r="RMW1" s="2"/>
      <c r="RMX1" s="2"/>
      <c r="RMY1" s="2"/>
      <c r="RMZ1" s="2"/>
      <c r="RNA1" s="2"/>
      <c r="RNB1" s="2"/>
      <c r="RNC1" s="2"/>
      <c r="RND1" s="2"/>
      <c r="RNE1" s="2"/>
      <c r="RNF1" s="2"/>
      <c r="RNG1" s="2"/>
      <c r="RNH1" s="2"/>
      <c r="RNI1" s="2"/>
      <c r="RNJ1" s="2"/>
      <c r="RNK1" s="2"/>
      <c r="RNL1" s="2"/>
      <c r="RNM1" s="2"/>
      <c r="RNN1" s="2"/>
      <c r="RNO1" s="2"/>
      <c r="RNP1" s="2"/>
      <c r="RNQ1" s="2"/>
      <c r="RNR1" s="2"/>
      <c r="RNS1" s="2"/>
      <c r="RNT1" s="2"/>
      <c r="RNU1" s="2"/>
      <c r="RNV1" s="2"/>
      <c r="RNW1" s="2"/>
      <c r="RNX1" s="2"/>
      <c r="RNY1" s="2"/>
      <c r="RNZ1" s="2"/>
      <c r="ROA1" s="2"/>
      <c r="ROB1" s="2"/>
      <c r="ROC1" s="2"/>
      <c r="ROD1" s="2"/>
      <c r="ROE1" s="2"/>
      <c r="ROF1" s="2"/>
      <c r="ROG1" s="2"/>
      <c r="ROH1" s="2"/>
      <c r="ROI1" s="2"/>
      <c r="ROJ1" s="2"/>
      <c r="ROK1" s="2"/>
      <c r="ROL1" s="2"/>
      <c r="ROM1" s="2"/>
      <c r="RON1" s="2"/>
      <c r="ROO1" s="2"/>
      <c r="ROP1" s="2"/>
      <c r="ROQ1" s="2"/>
      <c r="ROR1" s="2"/>
      <c r="ROS1" s="2"/>
      <c r="ROT1" s="2"/>
      <c r="ROU1" s="2"/>
      <c r="ROV1" s="2"/>
      <c r="ROW1" s="2"/>
      <c r="ROX1" s="2"/>
      <c r="ROY1" s="2"/>
      <c r="ROZ1" s="2"/>
      <c r="RPA1" s="2"/>
      <c r="RPB1" s="2"/>
      <c r="RPC1" s="2"/>
      <c r="RPD1" s="2"/>
      <c r="RPE1" s="2"/>
      <c r="RPF1" s="2"/>
      <c r="RPG1" s="2"/>
      <c r="RPH1" s="2"/>
      <c r="RPI1" s="2"/>
      <c r="RPJ1" s="2"/>
      <c r="RPK1" s="2"/>
      <c r="RPL1" s="2"/>
      <c r="RPM1" s="2"/>
      <c r="RPN1" s="2"/>
      <c r="RPO1" s="2"/>
      <c r="RPP1" s="2"/>
      <c r="RPQ1" s="2"/>
      <c r="RPR1" s="2"/>
      <c r="RPS1" s="2"/>
      <c r="RPT1" s="2"/>
      <c r="RPU1" s="2"/>
      <c r="RPV1" s="2"/>
      <c r="RPW1" s="2"/>
      <c r="RPX1" s="2"/>
      <c r="RPY1" s="2"/>
      <c r="RPZ1" s="2"/>
      <c r="RQA1" s="2"/>
      <c r="RQB1" s="2"/>
      <c r="RQC1" s="2"/>
      <c r="RQD1" s="2"/>
      <c r="RQE1" s="2"/>
      <c r="RQF1" s="2"/>
      <c r="RQG1" s="2"/>
      <c r="RQH1" s="2"/>
      <c r="RQI1" s="2"/>
      <c r="RQJ1" s="2"/>
      <c r="RQK1" s="2"/>
      <c r="RQL1" s="2"/>
      <c r="RQM1" s="2"/>
      <c r="RQN1" s="2"/>
      <c r="RQO1" s="2"/>
      <c r="RQP1" s="2"/>
      <c r="RQQ1" s="2"/>
      <c r="RQR1" s="2"/>
      <c r="RQS1" s="2"/>
      <c r="RQT1" s="2"/>
      <c r="RQU1" s="2"/>
      <c r="RQV1" s="2"/>
      <c r="RQW1" s="2"/>
      <c r="RQX1" s="2"/>
      <c r="RQY1" s="2"/>
      <c r="RQZ1" s="2"/>
      <c r="RRA1" s="2"/>
      <c r="RRB1" s="2"/>
      <c r="RRC1" s="2"/>
      <c r="RRD1" s="2"/>
      <c r="RRE1" s="2"/>
      <c r="RRF1" s="2"/>
      <c r="RRG1" s="2"/>
      <c r="RRH1" s="2"/>
      <c r="RRI1" s="2"/>
      <c r="RRJ1" s="2"/>
      <c r="RRK1" s="2"/>
      <c r="RRL1" s="2"/>
      <c r="RRM1" s="2"/>
      <c r="RRN1" s="2"/>
      <c r="RRO1" s="2"/>
      <c r="RRP1" s="2"/>
      <c r="RRQ1" s="2"/>
      <c r="RRR1" s="2"/>
      <c r="RRS1" s="2"/>
      <c r="RRT1" s="2"/>
      <c r="RRU1" s="2"/>
      <c r="RRV1" s="2"/>
      <c r="RRW1" s="2"/>
      <c r="RRX1" s="2"/>
      <c r="RRY1" s="2"/>
      <c r="RRZ1" s="2"/>
      <c r="RSA1" s="2"/>
      <c r="RSB1" s="2"/>
      <c r="RSC1" s="2"/>
      <c r="RSD1" s="2"/>
      <c r="RSE1" s="2"/>
      <c r="RSF1" s="2"/>
      <c r="RSG1" s="2"/>
      <c r="RSH1" s="2"/>
      <c r="RSI1" s="2"/>
      <c r="RSJ1" s="2"/>
      <c r="RSK1" s="2"/>
      <c r="RSL1" s="2"/>
      <c r="RSM1" s="2"/>
      <c r="RSN1" s="2"/>
      <c r="RSO1" s="2"/>
      <c r="RSP1" s="2"/>
      <c r="RSQ1" s="2"/>
      <c r="RSR1" s="2"/>
      <c r="RSS1" s="2"/>
      <c r="RST1" s="2"/>
      <c r="RSU1" s="2"/>
      <c r="RSV1" s="2"/>
      <c r="RSW1" s="2"/>
      <c r="RSX1" s="2"/>
      <c r="RSY1" s="2"/>
      <c r="RSZ1" s="2"/>
      <c r="RTA1" s="2"/>
      <c r="RTB1" s="2"/>
      <c r="RTC1" s="2"/>
      <c r="RTD1" s="2"/>
      <c r="RTE1" s="2"/>
      <c r="RTF1" s="2"/>
      <c r="RTG1" s="2"/>
      <c r="RTH1" s="2"/>
      <c r="RTI1" s="2"/>
      <c r="RTJ1" s="2"/>
      <c r="RTK1" s="2"/>
      <c r="RTL1" s="2"/>
      <c r="RTM1" s="2"/>
      <c r="RTN1" s="2"/>
      <c r="RTO1" s="2"/>
      <c r="RTP1" s="2"/>
      <c r="RTQ1" s="2"/>
      <c r="RTR1" s="2"/>
      <c r="RTS1" s="2"/>
      <c r="RTT1" s="2"/>
      <c r="RTU1" s="2"/>
      <c r="RTV1" s="2"/>
      <c r="RTW1" s="2"/>
      <c r="RTX1" s="2"/>
      <c r="RTY1" s="2"/>
      <c r="RTZ1" s="2"/>
      <c r="RUA1" s="2"/>
      <c r="RUB1" s="2"/>
      <c r="RUC1" s="2"/>
      <c r="RUD1" s="2"/>
      <c r="RUE1" s="2"/>
      <c r="RUF1" s="2"/>
      <c r="RUG1" s="2"/>
      <c r="RUH1" s="2"/>
      <c r="RUI1" s="2"/>
      <c r="RUJ1" s="2"/>
      <c r="RUK1" s="2"/>
      <c r="RUL1" s="2"/>
      <c r="RUM1" s="2"/>
      <c r="RUN1" s="2"/>
      <c r="RUO1" s="2"/>
      <c r="RUP1" s="2"/>
      <c r="RUQ1" s="2"/>
      <c r="RUR1" s="2"/>
      <c r="RUS1" s="2"/>
      <c r="RUT1" s="2"/>
      <c r="RUU1" s="2"/>
      <c r="RUV1" s="2"/>
      <c r="RUW1" s="2"/>
      <c r="RUX1" s="2"/>
      <c r="RUY1" s="2"/>
      <c r="RUZ1" s="2"/>
      <c r="RVA1" s="2"/>
      <c r="RVB1" s="2"/>
      <c r="RVC1" s="2"/>
      <c r="RVD1" s="2"/>
      <c r="RVE1" s="2"/>
      <c r="RVF1" s="2"/>
      <c r="RVG1" s="2"/>
      <c r="RVH1" s="2"/>
      <c r="RVI1" s="2"/>
      <c r="RVJ1" s="2"/>
      <c r="RVK1" s="2"/>
      <c r="RVL1" s="2"/>
      <c r="RVM1" s="2"/>
      <c r="RVN1" s="2"/>
      <c r="RVO1" s="2"/>
      <c r="RVP1" s="2"/>
      <c r="RVQ1" s="2"/>
      <c r="RVR1" s="2"/>
      <c r="RVS1" s="2"/>
      <c r="RVT1" s="2"/>
      <c r="RVU1" s="2"/>
      <c r="RVV1" s="2"/>
      <c r="RVW1" s="2"/>
      <c r="RVX1" s="2"/>
      <c r="RVY1" s="2"/>
      <c r="RVZ1" s="2"/>
      <c r="RWA1" s="2"/>
      <c r="RWB1" s="2"/>
      <c r="RWC1" s="2"/>
      <c r="RWD1" s="2"/>
      <c r="RWE1" s="2"/>
      <c r="RWF1" s="2"/>
      <c r="RWG1" s="2"/>
      <c r="RWH1" s="2"/>
      <c r="RWI1" s="2"/>
      <c r="RWJ1" s="2"/>
      <c r="RWK1" s="2"/>
      <c r="RWL1" s="2"/>
      <c r="RWM1" s="2"/>
      <c r="RWN1" s="2"/>
      <c r="RWO1" s="2"/>
      <c r="RWP1" s="2"/>
      <c r="RWQ1" s="2"/>
      <c r="RWR1" s="2"/>
      <c r="RWS1" s="2"/>
      <c r="RWT1" s="2"/>
      <c r="RWU1" s="2"/>
      <c r="RWV1" s="2"/>
      <c r="RWW1" s="2"/>
      <c r="RWX1" s="2"/>
      <c r="RWY1" s="2"/>
      <c r="RWZ1" s="2"/>
      <c r="RXA1" s="2"/>
      <c r="RXB1" s="2"/>
      <c r="RXC1" s="2"/>
      <c r="RXD1" s="2"/>
      <c r="RXE1" s="2"/>
      <c r="RXF1" s="2"/>
      <c r="RXG1" s="2"/>
      <c r="RXH1" s="2"/>
      <c r="RXI1" s="2"/>
      <c r="RXJ1" s="2"/>
      <c r="RXK1" s="2"/>
      <c r="RXL1" s="2"/>
      <c r="RXM1" s="2"/>
      <c r="RXN1" s="2"/>
      <c r="RXO1" s="2"/>
      <c r="RXP1" s="2"/>
      <c r="RXQ1" s="2"/>
      <c r="RXR1" s="2"/>
      <c r="RXS1" s="2"/>
      <c r="RXT1" s="2"/>
      <c r="RXU1" s="2"/>
      <c r="RXV1" s="2"/>
      <c r="RXW1" s="2"/>
      <c r="RXX1" s="2"/>
      <c r="RXY1" s="2"/>
      <c r="RXZ1" s="2"/>
      <c r="RYA1" s="2"/>
      <c r="RYB1" s="2"/>
      <c r="RYC1" s="2"/>
      <c r="RYD1" s="2"/>
      <c r="RYE1" s="2"/>
      <c r="RYF1" s="2"/>
      <c r="RYG1" s="2"/>
      <c r="RYH1" s="2"/>
      <c r="RYI1" s="2"/>
      <c r="RYJ1" s="2"/>
      <c r="RYK1" s="2"/>
      <c r="RYL1" s="2"/>
      <c r="RYM1" s="2"/>
      <c r="RYN1" s="2"/>
      <c r="RYO1" s="2"/>
      <c r="RYP1" s="2"/>
      <c r="RYQ1" s="2"/>
      <c r="RYR1" s="2"/>
      <c r="RYS1" s="2"/>
      <c r="RYT1" s="2"/>
      <c r="RYU1" s="2"/>
      <c r="RYV1" s="2"/>
      <c r="RYW1" s="2"/>
      <c r="RYX1" s="2"/>
      <c r="RYY1" s="2"/>
      <c r="RYZ1" s="2"/>
      <c r="RZA1" s="2"/>
      <c r="RZB1" s="2"/>
      <c r="RZC1" s="2"/>
      <c r="RZD1" s="2"/>
      <c r="RZE1" s="2"/>
      <c r="RZF1" s="2"/>
      <c r="RZG1" s="2"/>
      <c r="RZH1" s="2"/>
      <c r="RZI1" s="2"/>
      <c r="RZJ1" s="2"/>
      <c r="RZK1" s="2"/>
      <c r="RZL1" s="2"/>
      <c r="RZM1" s="2"/>
      <c r="RZN1" s="2"/>
      <c r="RZO1" s="2"/>
      <c r="RZP1" s="2"/>
      <c r="RZQ1" s="2"/>
      <c r="RZR1" s="2"/>
      <c r="RZS1" s="2"/>
      <c r="RZT1" s="2"/>
      <c r="RZU1" s="2"/>
      <c r="RZV1" s="2"/>
      <c r="RZW1" s="2"/>
      <c r="RZX1" s="2"/>
      <c r="RZY1" s="2"/>
      <c r="RZZ1" s="2"/>
      <c r="SAA1" s="2"/>
      <c r="SAB1" s="2"/>
      <c r="SAC1" s="2"/>
      <c r="SAD1" s="2"/>
      <c r="SAE1" s="2"/>
      <c r="SAF1" s="2"/>
      <c r="SAG1" s="2"/>
      <c r="SAH1" s="2"/>
      <c r="SAI1" s="2"/>
      <c r="SAJ1" s="2"/>
      <c r="SAK1" s="2"/>
      <c r="SAL1" s="2"/>
      <c r="SAM1" s="2"/>
      <c r="SAN1" s="2"/>
      <c r="SAO1" s="2"/>
      <c r="SAP1" s="2"/>
      <c r="SAQ1" s="2"/>
      <c r="SAR1" s="2"/>
      <c r="SAS1" s="2"/>
      <c r="SAT1" s="2"/>
      <c r="SAU1" s="2"/>
      <c r="SAV1" s="2"/>
      <c r="SAW1" s="2"/>
      <c r="SAX1" s="2"/>
      <c r="SAY1" s="2"/>
      <c r="SAZ1" s="2"/>
      <c r="SBA1" s="2"/>
      <c r="SBB1" s="2"/>
      <c r="SBC1" s="2"/>
      <c r="SBD1" s="2"/>
      <c r="SBE1" s="2"/>
      <c r="SBF1" s="2"/>
      <c r="SBG1" s="2"/>
      <c r="SBH1" s="2"/>
      <c r="SBI1" s="2"/>
      <c r="SBJ1" s="2"/>
      <c r="SBK1" s="2"/>
      <c r="SBL1" s="2"/>
      <c r="SBM1" s="2"/>
      <c r="SBN1" s="2"/>
      <c r="SBO1" s="2"/>
      <c r="SBP1" s="2"/>
      <c r="SBQ1" s="2"/>
      <c r="SBR1" s="2"/>
      <c r="SBS1" s="2"/>
      <c r="SBT1" s="2"/>
      <c r="SBU1" s="2"/>
      <c r="SBV1" s="2"/>
      <c r="SBW1" s="2"/>
      <c r="SBX1" s="2"/>
      <c r="SBY1" s="2"/>
      <c r="SBZ1" s="2"/>
      <c r="SCA1" s="2"/>
      <c r="SCB1" s="2"/>
      <c r="SCC1" s="2"/>
      <c r="SCD1" s="2"/>
      <c r="SCE1" s="2"/>
      <c r="SCF1" s="2"/>
      <c r="SCG1" s="2"/>
      <c r="SCH1" s="2"/>
      <c r="SCI1" s="2"/>
      <c r="SCJ1" s="2"/>
      <c r="SCK1" s="2"/>
      <c r="SCL1" s="2"/>
      <c r="SCM1" s="2"/>
      <c r="SCN1" s="2"/>
      <c r="SCO1" s="2"/>
      <c r="SCP1" s="2"/>
      <c r="SCQ1" s="2"/>
      <c r="SCR1" s="2"/>
      <c r="SCS1" s="2"/>
      <c r="SCT1" s="2"/>
      <c r="SCU1" s="2"/>
      <c r="SCV1" s="2"/>
      <c r="SCW1" s="2"/>
      <c r="SCX1" s="2"/>
      <c r="SCY1" s="2"/>
      <c r="SCZ1" s="2"/>
      <c r="SDA1" s="2"/>
      <c r="SDB1" s="2"/>
      <c r="SDC1" s="2"/>
      <c r="SDD1" s="2"/>
      <c r="SDE1" s="2"/>
      <c r="SDF1" s="2"/>
      <c r="SDG1" s="2"/>
      <c r="SDH1" s="2"/>
      <c r="SDI1" s="2"/>
      <c r="SDJ1" s="2"/>
      <c r="SDK1" s="2"/>
      <c r="SDL1" s="2"/>
      <c r="SDM1" s="2"/>
      <c r="SDN1" s="2"/>
      <c r="SDO1" s="2"/>
      <c r="SDP1" s="2"/>
      <c r="SDQ1" s="2"/>
      <c r="SDR1" s="2"/>
      <c r="SDS1" s="2"/>
      <c r="SDT1" s="2"/>
      <c r="SDU1" s="2"/>
      <c r="SDV1" s="2"/>
      <c r="SDW1" s="2"/>
      <c r="SDX1" s="2"/>
      <c r="SDY1" s="2"/>
      <c r="SDZ1" s="2"/>
      <c r="SEA1" s="2"/>
      <c r="SEB1" s="2"/>
      <c r="SEC1" s="2"/>
      <c r="SED1" s="2"/>
      <c r="SEE1" s="2"/>
      <c r="SEF1" s="2"/>
      <c r="SEG1" s="2"/>
      <c r="SEH1" s="2"/>
      <c r="SEI1" s="2"/>
      <c r="SEJ1" s="2"/>
      <c r="SEK1" s="2"/>
      <c r="SEL1" s="2"/>
      <c r="SEM1" s="2"/>
      <c r="SEN1" s="2"/>
      <c r="SEO1" s="2"/>
      <c r="SEP1" s="2"/>
      <c r="SEQ1" s="2"/>
      <c r="SER1" s="2"/>
      <c r="SES1" s="2"/>
      <c r="SET1" s="2"/>
      <c r="SEU1" s="2"/>
      <c r="SEV1" s="2"/>
      <c r="SEW1" s="2"/>
      <c r="SEX1" s="2"/>
      <c r="SEY1" s="2"/>
      <c r="SEZ1" s="2"/>
      <c r="SFA1" s="2"/>
      <c r="SFB1" s="2"/>
      <c r="SFC1" s="2"/>
      <c r="SFD1" s="2"/>
      <c r="SFE1" s="2"/>
      <c r="SFF1" s="2"/>
      <c r="SFG1" s="2"/>
      <c r="SFH1" s="2"/>
      <c r="SFI1" s="2"/>
      <c r="SFJ1" s="2"/>
      <c r="SFK1" s="2"/>
      <c r="SFL1" s="2"/>
      <c r="SFM1" s="2"/>
      <c r="SFN1" s="2"/>
      <c r="SFO1" s="2"/>
      <c r="SFP1" s="2"/>
      <c r="SFQ1" s="2"/>
      <c r="SFR1" s="2"/>
      <c r="SFS1" s="2"/>
      <c r="SFT1" s="2"/>
      <c r="SFU1" s="2"/>
      <c r="SFV1" s="2"/>
      <c r="SFW1" s="2"/>
      <c r="SFX1" s="2"/>
      <c r="SFY1" s="2"/>
      <c r="SFZ1" s="2"/>
      <c r="SGA1" s="2"/>
      <c r="SGB1" s="2"/>
      <c r="SGC1" s="2"/>
      <c r="SGD1" s="2"/>
      <c r="SGE1" s="2"/>
      <c r="SGF1" s="2"/>
      <c r="SGG1" s="2"/>
      <c r="SGH1" s="2"/>
      <c r="SGI1" s="2"/>
      <c r="SGJ1" s="2"/>
      <c r="SGK1" s="2"/>
      <c r="SGL1" s="2"/>
      <c r="SGM1" s="2"/>
      <c r="SGN1" s="2"/>
      <c r="SGO1" s="2"/>
      <c r="SGP1" s="2"/>
      <c r="SGQ1" s="2"/>
      <c r="SGR1" s="2"/>
      <c r="SGS1" s="2"/>
      <c r="SGT1" s="2"/>
      <c r="SGU1" s="2"/>
      <c r="SGV1" s="2"/>
      <c r="SGW1" s="2"/>
      <c r="SGX1" s="2"/>
      <c r="SGY1" s="2"/>
      <c r="SGZ1" s="2"/>
      <c r="SHA1" s="2"/>
      <c r="SHB1" s="2"/>
      <c r="SHC1" s="2"/>
      <c r="SHD1" s="2"/>
      <c r="SHE1" s="2"/>
      <c r="SHF1" s="2"/>
      <c r="SHG1" s="2"/>
      <c r="SHH1" s="2"/>
      <c r="SHI1" s="2"/>
      <c r="SHJ1" s="2"/>
      <c r="SHK1" s="2"/>
      <c r="SHL1" s="2"/>
      <c r="SHM1" s="2"/>
      <c r="SHN1" s="2"/>
      <c r="SHO1" s="2"/>
      <c r="SHP1" s="2"/>
      <c r="SHQ1" s="2"/>
      <c r="SHR1" s="2"/>
      <c r="SHS1" s="2"/>
      <c r="SHT1" s="2"/>
      <c r="SHU1" s="2"/>
      <c r="SHV1" s="2"/>
      <c r="SHW1" s="2"/>
      <c r="SHX1" s="2"/>
      <c r="SHY1" s="2"/>
      <c r="SHZ1" s="2"/>
      <c r="SIA1" s="2"/>
      <c r="SIB1" s="2"/>
      <c r="SIC1" s="2"/>
      <c r="SID1" s="2"/>
      <c r="SIE1" s="2"/>
      <c r="SIF1" s="2"/>
      <c r="SIG1" s="2"/>
      <c r="SIH1" s="2"/>
      <c r="SII1" s="2"/>
      <c r="SIJ1" s="2"/>
      <c r="SIK1" s="2"/>
      <c r="SIL1" s="2"/>
      <c r="SIM1" s="2"/>
      <c r="SIN1" s="2"/>
      <c r="SIO1" s="2"/>
      <c r="SIP1" s="2"/>
      <c r="SIQ1" s="2"/>
      <c r="SIR1" s="2"/>
      <c r="SIS1" s="2"/>
      <c r="SIT1" s="2"/>
      <c r="SIU1" s="2"/>
      <c r="SIV1" s="2"/>
      <c r="SIW1" s="2"/>
      <c r="SIX1" s="2"/>
      <c r="SIY1" s="2"/>
      <c r="SIZ1" s="2"/>
      <c r="SJA1" s="2"/>
      <c r="SJB1" s="2"/>
      <c r="SJC1" s="2"/>
      <c r="SJD1" s="2"/>
      <c r="SJE1" s="2"/>
      <c r="SJF1" s="2"/>
      <c r="SJG1" s="2"/>
      <c r="SJH1" s="2"/>
      <c r="SJI1" s="2"/>
      <c r="SJJ1" s="2"/>
      <c r="SJK1" s="2"/>
      <c r="SJL1" s="2"/>
      <c r="SJM1" s="2"/>
      <c r="SJN1" s="2"/>
      <c r="SJO1" s="2"/>
      <c r="SJP1" s="2"/>
      <c r="SJQ1" s="2"/>
      <c r="SJR1" s="2"/>
      <c r="SJS1" s="2"/>
      <c r="SJT1" s="2"/>
      <c r="SJU1" s="2"/>
      <c r="SJV1" s="2"/>
      <c r="SJW1" s="2"/>
      <c r="SJX1" s="2"/>
      <c r="SJY1" s="2"/>
      <c r="SJZ1" s="2"/>
      <c r="SKA1" s="2"/>
      <c r="SKB1" s="2"/>
      <c r="SKC1" s="2"/>
      <c r="SKD1" s="2"/>
      <c r="SKE1" s="2"/>
      <c r="SKF1" s="2"/>
      <c r="SKG1" s="2"/>
      <c r="SKH1" s="2"/>
      <c r="SKI1" s="2"/>
      <c r="SKJ1" s="2"/>
      <c r="SKK1" s="2"/>
      <c r="SKL1" s="2"/>
      <c r="SKM1" s="2"/>
      <c r="SKN1" s="2"/>
      <c r="SKO1" s="2"/>
      <c r="SKP1" s="2"/>
      <c r="SKQ1" s="2"/>
      <c r="SKR1" s="2"/>
      <c r="SKS1" s="2"/>
      <c r="SKT1" s="2"/>
      <c r="SKU1" s="2"/>
      <c r="SKV1" s="2"/>
      <c r="SKW1" s="2"/>
      <c r="SKX1" s="2"/>
      <c r="SKY1" s="2"/>
      <c r="SKZ1" s="2"/>
      <c r="SLA1" s="2"/>
      <c r="SLB1" s="2"/>
      <c r="SLC1" s="2"/>
      <c r="SLD1" s="2"/>
      <c r="SLE1" s="2"/>
      <c r="SLF1" s="2"/>
      <c r="SLG1" s="2"/>
      <c r="SLH1" s="2"/>
      <c r="SLI1" s="2"/>
      <c r="SLJ1" s="2"/>
      <c r="SLK1" s="2"/>
      <c r="SLL1" s="2"/>
      <c r="SLM1" s="2"/>
      <c r="SLN1" s="2"/>
      <c r="SLO1" s="2"/>
      <c r="SLP1" s="2"/>
      <c r="SLQ1" s="2"/>
      <c r="SLR1" s="2"/>
      <c r="SLS1" s="2"/>
      <c r="SLT1" s="2"/>
      <c r="SLU1" s="2"/>
      <c r="SLV1" s="2"/>
      <c r="SLW1" s="2"/>
      <c r="SLX1" s="2"/>
      <c r="SLY1" s="2"/>
      <c r="SLZ1" s="2"/>
      <c r="SMA1" s="2"/>
      <c r="SMB1" s="2"/>
      <c r="SMC1" s="2"/>
      <c r="SMD1" s="2"/>
      <c r="SME1" s="2"/>
      <c r="SMF1" s="2"/>
      <c r="SMG1" s="2"/>
      <c r="SMH1" s="2"/>
      <c r="SMI1" s="2"/>
      <c r="SMJ1" s="2"/>
      <c r="SMK1" s="2"/>
      <c r="SML1" s="2"/>
      <c r="SMM1" s="2"/>
      <c r="SMN1" s="2"/>
      <c r="SMO1" s="2"/>
      <c r="SMP1" s="2"/>
      <c r="SMQ1" s="2"/>
      <c r="SMR1" s="2"/>
      <c r="SMS1" s="2"/>
      <c r="SMT1" s="2"/>
      <c r="SMU1" s="2"/>
      <c r="SMV1" s="2"/>
      <c r="SMW1" s="2"/>
      <c r="SMX1" s="2"/>
      <c r="SMY1" s="2"/>
      <c r="SMZ1" s="2"/>
      <c r="SNA1" s="2"/>
      <c r="SNB1" s="2"/>
      <c r="SNC1" s="2"/>
      <c r="SND1" s="2"/>
      <c r="SNE1" s="2"/>
      <c r="SNF1" s="2"/>
      <c r="SNG1" s="2"/>
      <c r="SNH1" s="2"/>
      <c r="SNI1" s="2"/>
      <c r="SNJ1" s="2"/>
      <c r="SNK1" s="2"/>
      <c r="SNL1" s="2"/>
      <c r="SNM1" s="2"/>
      <c r="SNN1" s="2"/>
      <c r="SNO1" s="2"/>
      <c r="SNP1" s="2"/>
      <c r="SNQ1" s="2"/>
      <c r="SNR1" s="2"/>
      <c r="SNS1" s="2"/>
      <c r="SNT1" s="2"/>
      <c r="SNU1" s="2"/>
      <c r="SNV1" s="2"/>
      <c r="SNW1" s="2"/>
      <c r="SNX1" s="2"/>
      <c r="SNY1" s="2"/>
      <c r="SNZ1" s="2"/>
      <c r="SOA1" s="2"/>
      <c r="SOB1" s="2"/>
      <c r="SOC1" s="2"/>
      <c r="SOD1" s="2"/>
      <c r="SOE1" s="2"/>
      <c r="SOF1" s="2"/>
      <c r="SOG1" s="2"/>
      <c r="SOH1" s="2"/>
      <c r="SOI1" s="2"/>
      <c r="SOJ1" s="2"/>
      <c r="SOK1" s="2"/>
      <c r="SOL1" s="2"/>
      <c r="SOM1" s="2"/>
      <c r="SON1" s="2"/>
      <c r="SOO1" s="2"/>
      <c r="SOP1" s="2"/>
      <c r="SOQ1" s="2"/>
      <c r="SOR1" s="2"/>
      <c r="SOS1" s="2"/>
      <c r="SOT1" s="2"/>
      <c r="SOU1" s="2"/>
      <c r="SOV1" s="2"/>
      <c r="SOW1" s="2"/>
      <c r="SOX1" s="2"/>
      <c r="SOY1" s="2"/>
      <c r="SOZ1" s="2"/>
      <c r="SPA1" s="2"/>
      <c r="SPB1" s="2"/>
      <c r="SPC1" s="2"/>
      <c r="SPD1" s="2"/>
      <c r="SPE1" s="2"/>
      <c r="SPF1" s="2"/>
      <c r="SPG1" s="2"/>
      <c r="SPH1" s="2"/>
      <c r="SPI1" s="2"/>
      <c r="SPJ1" s="2"/>
      <c r="SPK1" s="2"/>
      <c r="SPL1" s="2"/>
      <c r="SPM1" s="2"/>
      <c r="SPN1" s="2"/>
      <c r="SPO1" s="2"/>
      <c r="SPP1" s="2"/>
      <c r="SPQ1" s="2"/>
      <c r="SPR1" s="2"/>
      <c r="SPS1" s="2"/>
      <c r="SPT1" s="2"/>
      <c r="SPU1" s="2"/>
      <c r="SPV1" s="2"/>
      <c r="SPW1" s="2"/>
      <c r="SPX1" s="2"/>
      <c r="SPY1" s="2"/>
      <c r="SPZ1" s="2"/>
      <c r="SQA1" s="2"/>
      <c r="SQB1" s="2"/>
      <c r="SQC1" s="2"/>
      <c r="SQD1" s="2"/>
      <c r="SQE1" s="2"/>
      <c r="SQF1" s="2"/>
      <c r="SQG1" s="2"/>
      <c r="SQH1" s="2"/>
      <c r="SQI1" s="2"/>
      <c r="SQJ1" s="2"/>
      <c r="SQK1" s="2"/>
      <c r="SQL1" s="2"/>
      <c r="SQM1" s="2"/>
      <c r="SQN1" s="2"/>
      <c r="SQO1" s="2"/>
      <c r="SQP1" s="2"/>
      <c r="SQQ1" s="2"/>
      <c r="SQR1" s="2"/>
      <c r="SQS1" s="2"/>
      <c r="SQT1" s="2"/>
      <c r="SQU1" s="2"/>
      <c r="SQV1" s="2"/>
      <c r="SQW1" s="2"/>
      <c r="SQX1" s="2"/>
      <c r="SQY1" s="2"/>
      <c r="SQZ1" s="2"/>
      <c r="SRA1" s="2"/>
      <c r="SRB1" s="2"/>
      <c r="SRC1" s="2"/>
      <c r="SRD1" s="2"/>
      <c r="SRE1" s="2"/>
      <c r="SRF1" s="2"/>
      <c r="SRG1" s="2"/>
      <c r="SRH1" s="2"/>
      <c r="SRI1" s="2"/>
      <c r="SRJ1" s="2"/>
      <c r="SRK1" s="2"/>
      <c r="SRL1" s="2"/>
      <c r="SRM1" s="2"/>
      <c r="SRN1" s="2"/>
      <c r="SRO1" s="2"/>
      <c r="SRP1" s="2"/>
      <c r="SRQ1" s="2"/>
      <c r="SRR1" s="2"/>
      <c r="SRS1" s="2"/>
      <c r="SRT1" s="2"/>
      <c r="SRU1" s="2"/>
      <c r="SRV1" s="2"/>
      <c r="SRW1" s="2"/>
      <c r="SRX1" s="2"/>
      <c r="SRY1" s="2"/>
      <c r="SRZ1" s="2"/>
      <c r="SSA1" s="2"/>
      <c r="SSB1" s="2"/>
      <c r="SSC1" s="2"/>
      <c r="SSD1" s="2"/>
      <c r="SSE1" s="2"/>
      <c r="SSF1" s="2"/>
      <c r="SSG1" s="2"/>
      <c r="SSH1" s="2"/>
      <c r="SSI1" s="2"/>
      <c r="SSJ1" s="2"/>
      <c r="SSK1" s="2"/>
      <c r="SSL1" s="2"/>
      <c r="SSM1" s="2"/>
      <c r="SSN1" s="2"/>
      <c r="SSO1" s="2"/>
      <c r="SSP1" s="2"/>
      <c r="SSQ1" s="2"/>
      <c r="SSR1" s="2"/>
      <c r="SSS1" s="2"/>
      <c r="SST1" s="2"/>
      <c r="SSU1" s="2"/>
      <c r="SSV1" s="2"/>
      <c r="SSW1" s="2"/>
      <c r="SSX1" s="2"/>
      <c r="SSY1" s="2"/>
      <c r="SSZ1" s="2"/>
      <c r="STA1" s="2"/>
      <c r="STB1" s="2"/>
      <c r="STC1" s="2"/>
      <c r="STD1" s="2"/>
      <c r="STE1" s="2"/>
      <c r="STF1" s="2"/>
      <c r="STG1" s="2"/>
      <c r="STH1" s="2"/>
      <c r="STI1" s="2"/>
      <c r="STJ1" s="2"/>
      <c r="STK1" s="2"/>
      <c r="STL1" s="2"/>
      <c r="STM1" s="2"/>
      <c r="STN1" s="2"/>
      <c r="STO1" s="2"/>
      <c r="STP1" s="2"/>
      <c r="STQ1" s="2"/>
      <c r="STR1" s="2"/>
      <c r="STS1" s="2"/>
      <c r="STT1" s="2"/>
      <c r="STU1" s="2"/>
      <c r="STV1" s="2"/>
      <c r="STW1" s="2"/>
      <c r="STX1" s="2"/>
      <c r="STY1" s="2"/>
      <c r="STZ1" s="2"/>
      <c r="SUA1" s="2"/>
      <c r="SUB1" s="2"/>
      <c r="SUC1" s="2"/>
      <c r="SUD1" s="2"/>
      <c r="SUE1" s="2"/>
      <c r="SUF1" s="2"/>
      <c r="SUG1" s="2"/>
      <c r="SUH1" s="2"/>
      <c r="SUI1" s="2"/>
      <c r="SUJ1" s="2"/>
      <c r="SUK1" s="2"/>
      <c r="SUL1" s="2"/>
      <c r="SUM1" s="2"/>
      <c r="SUN1" s="2"/>
      <c r="SUO1" s="2"/>
      <c r="SUP1" s="2"/>
      <c r="SUQ1" s="2"/>
      <c r="SUR1" s="2"/>
      <c r="SUS1" s="2"/>
      <c r="SUT1" s="2"/>
      <c r="SUU1" s="2"/>
      <c r="SUV1" s="2"/>
      <c r="SUW1" s="2"/>
      <c r="SUX1" s="2"/>
      <c r="SUY1" s="2"/>
      <c r="SUZ1" s="2"/>
      <c r="SVA1" s="2"/>
      <c r="SVB1" s="2"/>
      <c r="SVC1" s="2"/>
      <c r="SVD1" s="2"/>
      <c r="SVE1" s="2"/>
      <c r="SVF1" s="2"/>
      <c r="SVG1" s="2"/>
      <c r="SVH1" s="2"/>
      <c r="SVI1" s="2"/>
      <c r="SVJ1" s="2"/>
      <c r="SVK1" s="2"/>
      <c r="SVL1" s="2"/>
      <c r="SVM1" s="2"/>
      <c r="SVN1" s="2"/>
      <c r="SVO1" s="2"/>
      <c r="SVP1" s="2"/>
      <c r="SVQ1" s="2"/>
      <c r="SVR1" s="2"/>
      <c r="SVS1" s="2"/>
      <c r="SVT1" s="2"/>
      <c r="SVU1" s="2"/>
      <c r="SVV1" s="2"/>
      <c r="SVW1" s="2"/>
      <c r="SVX1" s="2"/>
      <c r="SVY1" s="2"/>
      <c r="SVZ1" s="2"/>
      <c r="SWA1" s="2"/>
      <c r="SWB1" s="2"/>
      <c r="SWC1" s="2"/>
      <c r="SWD1" s="2"/>
      <c r="SWE1" s="2"/>
      <c r="SWF1" s="2"/>
      <c r="SWG1" s="2"/>
      <c r="SWH1" s="2"/>
      <c r="SWI1" s="2"/>
      <c r="SWJ1" s="2"/>
      <c r="SWK1" s="2"/>
      <c r="SWL1" s="2"/>
      <c r="SWM1" s="2"/>
      <c r="SWN1" s="2"/>
      <c r="SWO1" s="2"/>
      <c r="SWP1" s="2"/>
      <c r="SWQ1" s="2"/>
      <c r="SWR1" s="2"/>
      <c r="SWS1" s="2"/>
      <c r="SWT1" s="2"/>
      <c r="SWU1" s="2"/>
      <c r="SWV1" s="2"/>
      <c r="SWW1" s="2"/>
      <c r="SWX1" s="2"/>
      <c r="SWY1" s="2"/>
      <c r="SWZ1" s="2"/>
      <c r="SXA1" s="2"/>
      <c r="SXB1" s="2"/>
      <c r="SXC1" s="2"/>
      <c r="SXD1" s="2"/>
      <c r="SXE1" s="2"/>
      <c r="SXF1" s="2"/>
      <c r="SXG1" s="2"/>
      <c r="SXH1" s="2"/>
      <c r="SXI1" s="2"/>
      <c r="SXJ1" s="2"/>
      <c r="SXK1" s="2"/>
      <c r="SXL1" s="2"/>
      <c r="SXM1" s="2"/>
      <c r="SXN1" s="2"/>
      <c r="SXO1" s="2"/>
      <c r="SXP1" s="2"/>
      <c r="SXQ1" s="2"/>
      <c r="SXR1" s="2"/>
      <c r="SXS1" s="2"/>
      <c r="SXT1" s="2"/>
      <c r="SXU1" s="2"/>
      <c r="SXV1" s="2"/>
      <c r="SXW1" s="2"/>
      <c r="SXX1" s="2"/>
      <c r="SXY1" s="2"/>
      <c r="SXZ1" s="2"/>
      <c r="SYA1" s="2"/>
      <c r="SYB1" s="2"/>
      <c r="SYC1" s="2"/>
      <c r="SYD1" s="2"/>
      <c r="SYE1" s="2"/>
      <c r="SYF1" s="2"/>
      <c r="SYG1" s="2"/>
      <c r="SYH1" s="2"/>
      <c r="SYI1" s="2"/>
      <c r="SYJ1" s="2"/>
      <c r="SYK1" s="2"/>
      <c r="SYL1" s="2"/>
      <c r="SYM1" s="2"/>
      <c r="SYN1" s="2"/>
      <c r="SYO1" s="2"/>
      <c r="SYP1" s="2"/>
      <c r="SYQ1" s="2"/>
      <c r="SYR1" s="2"/>
      <c r="SYS1" s="2"/>
      <c r="SYT1" s="2"/>
      <c r="SYU1" s="2"/>
      <c r="SYV1" s="2"/>
      <c r="SYW1" s="2"/>
      <c r="SYX1" s="2"/>
      <c r="SYY1" s="2"/>
      <c r="SYZ1" s="2"/>
      <c r="SZA1" s="2"/>
      <c r="SZB1" s="2"/>
      <c r="SZC1" s="2"/>
      <c r="SZD1" s="2"/>
      <c r="SZE1" s="2"/>
      <c r="SZF1" s="2"/>
      <c r="SZG1" s="2"/>
      <c r="SZH1" s="2"/>
      <c r="SZI1" s="2"/>
      <c r="SZJ1" s="2"/>
      <c r="SZK1" s="2"/>
      <c r="SZL1" s="2"/>
      <c r="SZM1" s="2"/>
      <c r="SZN1" s="2"/>
      <c r="SZO1" s="2"/>
      <c r="SZP1" s="2"/>
      <c r="SZQ1" s="2"/>
      <c r="SZR1" s="2"/>
      <c r="SZS1" s="2"/>
      <c r="SZT1" s="2"/>
      <c r="SZU1" s="2"/>
      <c r="SZV1" s="2"/>
      <c r="SZW1" s="2"/>
      <c r="SZX1" s="2"/>
      <c r="SZY1" s="2"/>
      <c r="SZZ1" s="2"/>
      <c r="TAA1" s="2"/>
      <c r="TAB1" s="2"/>
      <c r="TAC1" s="2"/>
      <c r="TAD1" s="2"/>
      <c r="TAE1" s="2"/>
      <c r="TAF1" s="2"/>
      <c r="TAG1" s="2"/>
      <c r="TAH1" s="2"/>
      <c r="TAI1" s="2"/>
      <c r="TAJ1" s="2"/>
      <c r="TAK1" s="2"/>
      <c r="TAL1" s="2"/>
      <c r="TAM1" s="2"/>
      <c r="TAN1" s="2"/>
      <c r="TAO1" s="2"/>
      <c r="TAP1" s="2"/>
      <c r="TAQ1" s="2"/>
      <c r="TAR1" s="2"/>
      <c r="TAS1" s="2"/>
      <c r="TAT1" s="2"/>
      <c r="TAU1" s="2"/>
      <c r="TAV1" s="2"/>
      <c r="TAW1" s="2"/>
      <c r="TAX1" s="2"/>
      <c r="TAY1" s="2"/>
      <c r="TAZ1" s="2"/>
      <c r="TBA1" s="2"/>
      <c r="TBB1" s="2"/>
      <c r="TBC1" s="2"/>
      <c r="TBD1" s="2"/>
      <c r="TBE1" s="2"/>
      <c r="TBF1" s="2"/>
      <c r="TBG1" s="2"/>
      <c r="TBH1" s="2"/>
      <c r="TBI1" s="2"/>
      <c r="TBJ1" s="2"/>
      <c r="TBK1" s="2"/>
      <c r="TBL1" s="2"/>
      <c r="TBM1" s="2"/>
      <c r="TBN1" s="2"/>
      <c r="TBO1" s="2"/>
      <c r="TBP1" s="2"/>
      <c r="TBQ1" s="2"/>
      <c r="TBR1" s="2"/>
      <c r="TBS1" s="2"/>
      <c r="TBT1" s="2"/>
      <c r="TBU1" s="2"/>
      <c r="TBV1" s="2"/>
      <c r="TBW1" s="2"/>
      <c r="TBX1" s="2"/>
      <c r="TBY1" s="2"/>
      <c r="TBZ1" s="2"/>
      <c r="TCA1" s="2"/>
      <c r="TCB1" s="2"/>
      <c r="TCC1" s="2"/>
      <c r="TCD1" s="2"/>
      <c r="TCE1" s="2"/>
      <c r="TCF1" s="2"/>
      <c r="TCG1" s="2"/>
      <c r="TCH1" s="2"/>
      <c r="TCI1" s="2"/>
      <c r="TCJ1" s="2"/>
      <c r="TCK1" s="2"/>
      <c r="TCL1" s="2"/>
      <c r="TCM1" s="2"/>
      <c r="TCN1" s="2"/>
      <c r="TCO1" s="2"/>
      <c r="TCP1" s="2"/>
      <c r="TCQ1" s="2"/>
      <c r="TCR1" s="2"/>
      <c r="TCS1" s="2"/>
      <c r="TCT1" s="2"/>
      <c r="TCU1" s="2"/>
      <c r="TCV1" s="2"/>
      <c r="TCW1" s="2"/>
      <c r="TCX1" s="2"/>
      <c r="TCY1" s="2"/>
      <c r="TCZ1" s="2"/>
      <c r="TDA1" s="2"/>
      <c r="TDB1" s="2"/>
      <c r="TDC1" s="2"/>
      <c r="TDD1" s="2"/>
      <c r="TDE1" s="2"/>
      <c r="TDF1" s="2"/>
      <c r="TDG1" s="2"/>
      <c r="TDH1" s="2"/>
      <c r="TDI1" s="2"/>
      <c r="TDJ1" s="2"/>
      <c r="TDK1" s="2"/>
      <c r="TDL1" s="2"/>
      <c r="TDM1" s="2"/>
      <c r="TDN1" s="2"/>
      <c r="TDO1" s="2"/>
      <c r="TDP1" s="2"/>
      <c r="TDQ1" s="2"/>
      <c r="TDR1" s="2"/>
      <c r="TDS1" s="2"/>
      <c r="TDT1" s="2"/>
      <c r="TDU1" s="2"/>
      <c r="TDV1" s="2"/>
      <c r="TDW1" s="2"/>
      <c r="TDX1" s="2"/>
      <c r="TDY1" s="2"/>
      <c r="TDZ1" s="2"/>
      <c r="TEA1" s="2"/>
      <c r="TEB1" s="2"/>
      <c r="TEC1" s="2"/>
      <c r="TED1" s="2"/>
      <c r="TEE1" s="2"/>
      <c r="TEF1" s="2"/>
      <c r="TEG1" s="2"/>
      <c r="TEH1" s="2"/>
      <c r="TEI1" s="2"/>
      <c r="TEJ1" s="2"/>
      <c r="TEK1" s="2"/>
      <c r="TEL1" s="2"/>
      <c r="TEM1" s="2"/>
      <c r="TEN1" s="2"/>
      <c r="TEO1" s="2"/>
      <c r="TEP1" s="2"/>
      <c r="TEQ1" s="2"/>
      <c r="TER1" s="2"/>
      <c r="TES1" s="2"/>
      <c r="TET1" s="2"/>
      <c r="TEU1" s="2"/>
      <c r="TEV1" s="2"/>
      <c r="TEW1" s="2"/>
      <c r="TEX1" s="2"/>
      <c r="TEY1" s="2"/>
      <c r="TEZ1" s="2"/>
      <c r="TFA1" s="2"/>
      <c r="TFB1" s="2"/>
      <c r="TFC1" s="2"/>
      <c r="TFD1" s="2"/>
      <c r="TFE1" s="2"/>
      <c r="TFF1" s="2"/>
      <c r="TFG1" s="2"/>
      <c r="TFH1" s="2"/>
      <c r="TFI1" s="2"/>
      <c r="TFJ1" s="2"/>
      <c r="TFK1" s="2"/>
      <c r="TFL1" s="2"/>
      <c r="TFM1" s="2"/>
      <c r="TFN1" s="2"/>
      <c r="TFO1" s="2"/>
      <c r="TFP1" s="2"/>
      <c r="TFQ1" s="2"/>
      <c r="TFR1" s="2"/>
      <c r="TFS1" s="2"/>
      <c r="TFT1" s="2"/>
      <c r="TFU1" s="2"/>
      <c r="TFV1" s="2"/>
      <c r="TFW1" s="2"/>
      <c r="TFX1" s="2"/>
      <c r="TFY1" s="2"/>
      <c r="TFZ1" s="2"/>
      <c r="TGA1" s="2"/>
      <c r="TGB1" s="2"/>
      <c r="TGC1" s="2"/>
      <c r="TGD1" s="2"/>
      <c r="TGE1" s="2"/>
      <c r="TGF1" s="2"/>
      <c r="TGG1" s="2"/>
      <c r="TGH1" s="2"/>
      <c r="TGI1" s="2"/>
      <c r="TGJ1" s="2"/>
      <c r="TGK1" s="2"/>
      <c r="TGL1" s="2"/>
      <c r="TGM1" s="2"/>
      <c r="TGN1" s="2"/>
      <c r="TGO1" s="2"/>
      <c r="TGP1" s="2"/>
      <c r="TGQ1" s="2"/>
      <c r="TGR1" s="2"/>
      <c r="TGS1" s="2"/>
      <c r="TGT1" s="2"/>
      <c r="TGU1" s="2"/>
      <c r="TGV1" s="2"/>
      <c r="TGW1" s="2"/>
      <c r="TGX1" s="2"/>
      <c r="TGY1" s="2"/>
      <c r="TGZ1" s="2"/>
      <c r="THA1" s="2"/>
      <c r="THB1" s="2"/>
      <c r="THC1" s="2"/>
      <c r="THD1" s="2"/>
      <c r="THE1" s="2"/>
      <c r="THF1" s="2"/>
      <c r="THG1" s="2"/>
      <c r="THH1" s="2"/>
      <c r="THI1" s="2"/>
      <c r="THJ1" s="2"/>
      <c r="THK1" s="2"/>
      <c r="THL1" s="2"/>
      <c r="THM1" s="2"/>
      <c r="THN1" s="2"/>
      <c r="THO1" s="2"/>
      <c r="THP1" s="2"/>
      <c r="THQ1" s="2"/>
      <c r="THR1" s="2"/>
      <c r="THS1" s="2"/>
      <c r="THT1" s="2"/>
      <c r="THU1" s="2"/>
      <c r="THV1" s="2"/>
      <c r="THW1" s="2"/>
      <c r="THX1" s="2"/>
      <c r="THY1" s="2"/>
      <c r="THZ1" s="2"/>
      <c r="TIA1" s="2"/>
      <c r="TIB1" s="2"/>
      <c r="TIC1" s="2"/>
      <c r="TID1" s="2"/>
      <c r="TIE1" s="2"/>
      <c r="TIF1" s="2"/>
      <c r="TIG1" s="2"/>
      <c r="TIH1" s="2"/>
      <c r="TII1" s="2"/>
      <c r="TIJ1" s="2"/>
      <c r="TIK1" s="2"/>
      <c r="TIL1" s="2"/>
      <c r="TIM1" s="2"/>
      <c r="TIN1" s="2"/>
      <c r="TIO1" s="2"/>
      <c r="TIP1" s="2"/>
      <c r="TIQ1" s="2"/>
      <c r="TIR1" s="2"/>
      <c r="TIS1" s="2"/>
      <c r="TIT1" s="2"/>
      <c r="TIU1" s="2"/>
      <c r="TIV1" s="2"/>
      <c r="TIW1" s="2"/>
      <c r="TIX1" s="2"/>
      <c r="TIY1" s="2"/>
      <c r="TIZ1" s="2"/>
      <c r="TJA1" s="2"/>
      <c r="TJB1" s="2"/>
      <c r="TJC1" s="2"/>
      <c r="TJD1" s="2"/>
      <c r="TJE1" s="2"/>
      <c r="TJF1" s="2"/>
      <c r="TJG1" s="2"/>
      <c r="TJH1" s="2"/>
      <c r="TJI1" s="2"/>
      <c r="TJJ1" s="2"/>
      <c r="TJK1" s="2"/>
      <c r="TJL1" s="2"/>
      <c r="TJM1" s="2"/>
      <c r="TJN1" s="2"/>
      <c r="TJO1" s="2"/>
      <c r="TJP1" s="2"/>
      <c r="TJQ1" s="2"/>
      <c r="TJR1" s="2"/>
      <c r="TJS1" s="2"/>
      <c r="TJT1" s="2"/>
      <c r="TJU1" s="2"/>
      <c r="TJV1" s="2"/>
      <c r="TJW1" s="2"/>
      <c r="TJX1" s="2"/>
      <c r="TJY1" s="2"/>
      <c r="TJZ1" s="2"/>
      <c r="TKA1" s="2"/>
      <c r="TKB1" s="2"/>
      <c r="TKC1" s="2"/>
      <c r="TKD1" s="2"/>
      <c r="TKE1" s="2"/>
      <c r="TKF1" s="2"/>
      <c r="TKG1" s="2"/>
      <c r="TKH1" s="2"/>
      <c r="TKI1" s="2"/>
      <c r="TKJ1" s="2"/>
      <c r="TKK1" s="2"/>
      <c r="TKL1" s="2"/>
      <c r="TKM1" s="2"/>
      <c r="TKN1" s="2"/>
      <c r="TKO1" s="2"/>
      <c r="TKP1" s="2"/>
      <c r="TKQ1" s="2"/>
      <c r="TKR1" s="2"/>
      <c r="TKS1" s="2"/>
      <c r="TKT1" s="2"/>
      <c r="TKU1" s="2"/>
      <c r="TKV1" s="2"/>
      <c r="TKW1" s="2"/>
      <c r="TKX1" s="2"/>
      <c r="TKY1" s="2"/>
      <c r="TKZ1" s="2"/>
      <c r="TLA1" s="2"/>
      <c r="TLB1" s="2"/>
      <c r="TLC1" s="2"/>
      <c r="TLD1" s="2"/>
      <c r="TLE1" s="2"/>
      <c r="TLF1" s="2"/>
      <c r="TLG1" s="2"/>
      <c r="TLH1" s="2"/>
      <c r="TLI1" s="2"/>
      <c r="TLJ1" s="2"/>
      <c r="TLK1" s="2"/>
      <c r="TLL1" s="2"/>
      <c r="TLM1" s="2"/>
      <c r="TLN1" s="2"/>
      <c r="TLO1" s="2"/>
      <c r="TLP1" s="2"/>
      <c r="TLQ1" s="2"/>
      <c r="TLR1" s="2"/>
      <c r="TLS1" s="2"/>
      <c r="TLT1" s="2"/>
      <c r="TLU1" s="2"/>
      <c r="TLV1" s="2"/>
      <c r="TLW1" s="2"/>
      <c r="TLX1" s="2"/>
      <c r="TLY1" s="2"/>
      <c r="TLZ1" s="2"/>
      <c r="TMA1" s="2"/>
      <c r="TMB1" s="2"/>
      <c r="TMC1" s="2"/>
      <c r="TMD1" s="2"/>
      <c r="TME1" s="2"/>
      <c r="TMF1" s="2"/>
      <c r="TMG1" s="2"/>
      <c r="TMH1" s="2"/>
      <c r="TMI1" s="2"/>
      <c r="TMJ1" s="2"/>
      <c r="TMK1" s="2"/>
      <c r="TML1" s="2"/>
      <c r="TMM1" s="2"/>
      <c r="TMN1" s="2"/>
      <c r="TMO1" s="2"/>
      <c r="TMP1" s="2"/>
      <c r="TMQ1" s="2"/>
      <c r="TMR1" s="2"/>
      <c r="TMS1" s="2"/>
      <c r="TMT1" s="2"/>
      <c r="TMU1" s="2"/>
      <c r="TMV1" s="2"/>
      <c r="TMW1" s="2"/>
      <c r="TMX1" s="2"/>
      <c r="TMY1" s="2"/>
      <c r="TMZ1" s="2"/>
      <c r="TNA1" s="2"/>
      <c r="TNB1" s="2"/>
      <c r="TNC1" s="2"/>
      <c r="TND1" s="2"/>
      <c r="TNE1" s="2"/>
      <c r="TNF1" s="2"/>
      <c r="TNG1" s="2"/>
      <c r="TNH1" s="2"/>
      <c r="TNI1" s="2"/>
      <c r="TNJ1" s="2"/>
      <c r="TNK1" s="2"/>
      <c r="TNL1" s="2"/>
      <c r="TNM1" s="2"/>
      <c r="TNN1" s="2"/>
      <c r="TNO1" s="2"/>
      <c r="TNP1" s="2"/>
      <c r="TNQ1" s="2"/>
      <c r="TNR1" s="2"/>
      <c r="TNS1" s="2"/>
      <c r="TNT1" s="2"/>
      <c r="TNU1" s="2"/>
      <c r="TNV1" s="2"/>
      <c r="TNW1" s="2"/>
      <c r="TNX1" s="2"/>
      <c r="TNY1" s="2"/>
      <c r="TNZ1" s="2"/>
      <c r="TOA1" s="2"/>
      <c r="TOB1" s="2"/>
      <c r="TOC1" s="2"/>
      <c r="TOD1" s="2"/>
      <c r="TOE1" s="2"/>
      <c r="TOF1" s="2"/>
      <c r="TOG1" s="2"/>
      <c r="TOH1" s="2"/>
      <c r="TOI1" s="2"/>
      <c r="TOJ1" s="2"/>
      <c r="TOK1" s="2"/>
      <c r="TOL1" s="2"/>
      <c r="TOM1" s="2"/>
      <c r="TON1" s="2"/>
      <c r="TOO1" s="2"/>
      <c r="TOP1" s="2"/>
      <c r="TOQ1" s="2"/>
      <c r="TOR1" s="2"/>
      <c r="TOS1" s="2"/>
      <c r="TOT1" s="2"/>
      <c r="TOU1" s="2"/>
      <c r="TOV1" s="2"/>
      <c r="TOW1" s="2"/>
      <c r="TOX1" s="2"/>
      <c r="TOY1" s="2"/>
      <c r="TOZ1" s="2"/>
      <c r="TPA1" s="2"/>
      <c r="TPB1" s="2"/>
      <c r="TPC1" s="2"/>
      <c r="TPD1" s="2"/>
      <c r="TPE1" s="2"/>
      <c r="TPF1" s="2"/>
      <c r="TPG1" s="2"/>
      <c r="TPH1" s="2"/>
      <c r="TPI1" s="2"/>
      <c r="TPJ1" s="2"/>
      <c r="TPK1" s="2"/>
      <c r="TPL1" s="2"/>
      <c r="TPM1" s="2"/>
      <c r="TPN1" s="2"/>
      <c r="TPO1" s="2"/>
      <c r="TPP1" s="2"/>
      <c r="TPQ1" s="2"/>
      <c r="TPR1" s="2"/>
      <c r="TPS1" s="2"/>
      <c r="TPT1" s="2"/>
      <c r="TPU1" s="2"/>
      <c r="TPV1" s="2"/>
      <c r="TPW1" s="2"/>
      <c r="TPX1" s="2"/>
      <c r="TPY1" s="2"/>
      <c r="TPZ1" s="2"/>
      <c r="TQA1" s="2"/>
      <c r="TQB1" s="2"/>
      <c r="TQC1" s="2"/>
      <c r="TQD1" s="2"/>
      <c r="TQE1" s="2"/>
      <c r="TQF1" s="2"/>
      <c r="TQG1" s="2"/>
      <c r="TQH1" s="2"/>
      <c r="TQI1" s="2"/>
      <c r="TQJ1" s="2"/>
      <c r="TQK1" s="2"/>
      <c r="TQL1" s="2"/>
      <c r="TQM1" s="2"/>
      <c r="TQN1" s="2"/>
      <c r="TQO1" s="2"/>
      <c r="TQP1" s="2"/>
      <c r="TQQ1" s="2"/>
      <c r="TQR1" s="2"/>
      <c r="TQS1" s="2"/>
      <c r="TQT1" s="2"/>
      <c r="TQU1" s="2"/>
      <c r="TQV1" s="2"/>
      <c r="TQW1" s="2"/>
      <c r="TQX1" s="2"/>
      <c r="TQY1" s="2"/>
      <c r="TQZ1" s="2"/>
      <c r="TRA1" s="2"/>
      <c r="TRB1" s="2"/>
      <c r="TRC1" s="2"/>
      <c r="TRD1" s="2"/>
      <c r="TRE1" s="2"/>
      <c r="TRF1" s="2"/>
      <c r="TRG1" s="2"/>
      <c r="TRH1" s="2"/>
      <c r="TRI1" s="2"/>
      <c r="TRJ1" s="2"/>
      <c r="TRK1" s="2"/>
      <c r="TRL1" s="2"/>
      <c r="TRM1" s="2"/>
      <c r="TRN1" s="2"/>
      <c r="TRO1" s="2"/>
      <c r="TRP1" s="2"/>
      <c r="TRQ1" s="2"/>
      <c r="TRR1" s="2"/>
      <c r="TRS1" s="2"/>
      <c r="TRT1" s="2"/>
      <c r="TRU1" s="2"/>
      <c r="TRV1" s="2"/>
      <c r="TRW1" s="2"/>
      <c r="TRX1" s="2"/>
      <c r="TRY1" s="2"/>
      <c r="TRZ1" s="2"/>
      <c r="TSA1" s="2"/>
      <c r="TSB1" s="2"/>
      <c r="TSC1" s="2"/>
      <c r="TSD1" s="2"/>
      <c r="TSE1" s="2"/>
      <c r="TSF1" s="2"/>
      <c r="TSG1" s="2"/>
      <c r="TSH1" s="2"/>
      <c r="TSI1" s="2"/>
      <c r="TSJ1" s="2"/>
      <c r="TSK1" s="2"/>
      <c r="TSL1" s="2"/>
      <c r="TSM1" s="2"/>
      <c r="TSN1" s="2"/>
      <c r="TSO1" s="2"/>
      <c r="TSP1" s="2"/>
      <c r="TSQ1" s="2"/>
      <c r="TSR1" s="2"/>
      <c r="TSS1" s="2"/>
      <c r="TST1" s="2"/>
      <c r="TSU1" s="2"/>
      <c r="TSV1" s="2"/>
      <c r="TSW1" s="2"/>
      <c r="TSX1" s="2"/>
      <c r="TSY1" s="2"/>
      <c r="TSZ1" s="2"/>
      <c r="TTA1" s="2"/>
      <c r="TTB1" s="2"/>
      <c r="TTC1" s="2"/>
      <c r="TTD1" s="2"/>
      <c r="TTE1" s="2"/>
      <c r="TTF1" s="2"/>
      <c r="TTG1" s="2"/>
      <c r="TTH1" s="2"/>
      <c r="TTI1" s="2"/>
      <c r="TTJ1" s="2"/>
      <c r="TTK1" s="2"/>
      <c r="TTL1" s="2"/>
      <c r="TTM1" s="2"/>
      <c r="TTN1" s="2"/>
      <c r="TTO1" s="2"/>
      <c r="TTP1" s="2"/>
      <c r="TTQ1" s="2"/>
      <c r="TTR1" s="2"/>
      <c r="TTS1" s="2"/>
      <c r="TTT1" s="2"/>
      <c r="TTU1" s="2"/>
      <c r="TTV1" s="2"/>
      <c r="TTW1" s="2"/>
      <c r="TTX1" s="2"/>
      <c r="TTY1" s="2"/>
      <c r="TTZ1" s="2"/>
      <c r="TUA1" s="2"/>
      <c r="TUB1" s="2"/>
      <c r="TUC1" s="2"/>
      <c r="TUD1" s="2"/>
      <c r="TUE1" s="2"/>
      <c r="TUF1" s="2"/>
      <c r="TUG1" s="2"/>
      <c r="TUH1" s="2"/>
      <c r="TUI1" s="2"/>
      <c r="TUJ1" s="2"/>
      <c r="TUK1" s="2"/>
      <c r="TUL1" s="2"/>
      <c r="TUM1" s="2"/>
      <c r="TUN1" s="2"/>
      <c r="TUO1" s="2"/>
      <c r="TUP1" s="2"/>
      <c r="TUQ1" s="2"/>
      <c r="TUR1" s="2"/>
      <c r="TUS1" s="2"/>
      <c r="TUT1" s="2"/>
      <c r="TUU1" s="2"/>
      <c r="TUV1" s="2"/>
      <c r="TUW1" s="2"/>
      <c r="TUX1" s="2"/>
      <c r="TUY1" s="2"/>
      <c r="TUZ1" s="2"/>
      <c r="TVA1" s="2"/>
      <c r="TVB1" s="2"/>
      <c r="TVC1" s="2"/>
      <c r="TVD1" s="2"/>
      <c r="TVE1" s="2"/>
      <c r="TVF1" s="2"/>
      <c r="TVG1" s="2"/>
      <c r="TVH1" s="2"/>
      <c r="TVI1" s="2"/>
      <c r="TVJ1" s="2"/>
      <c r="TVK1" s="2"/>
      <c r="TVL1" s="2"/>
      <c r="TVM1" s="2"/>
      <c r="TVN1" s="2"/>
      <c r="TVO1" s="2"/>
      <c r="TVP1" s="2"/>
      <c r="TVQ1" s="2"/>
      <c r="TVR1" s="2"/>
      <c r="TVS1" s="2"/>
      <c r="TVT1" s="2"/>
      <c r="TVU1" s="2"/>
      <c r="TVV1" s="2"/>
      <c r="TVW1" s="2"/>
      <c r="TVX1" s="2"/>
      <c r="TVY1" s="2"/>
      <c r="TVZ1" s="2"/>
      <c r="TWA1" s="2"/>
      <c r="TWB1" s="2"/>
      <c r="TWC1" s="2"/>
      <c r="TWD1" s="2"/>
      <c r="TWE1" s="2"/>
      <c r="TWF1" s="2"/>
      <c r="TWG1" s="2"/>
      <c r="TWH1" s="2"/>
      <c r="TWI1" s="2"/>
      <c r="TWJ1" s="2"/>
      <c r="TWK1" s="2"/>
      <c r="TWL1" s="2"/>
      <c r="TWM1" s="2"/>
      <c r="TWN1" s="2"/>
      <c r="TWO1" s="2"/>
      <c r="TWP1" s="2"/>
      <c r="TWQ1" s="2"/>
      <c r="TWR1" s="2"/>
      <c r="TWS1" s="2"/>
      <c r="TWT1" s="2"/>
      <c r="TWU1" s="2"/>
      <c r="TWV1" s="2"/>
      <c r="TWW1" s="2"/>
      <c r="TWX1" s="2"/>
      <c r="TWY1" s="2"/>
      <c r="TWZ1" s="2"/>
      <c r="TXA1" s="2"/>
      <c r="TXB1" s="2"/>
      <c r="TXC1" s="2"/>
      <c r="TXD1" s="2"/>
      <c r="TXE1" s="2"/>
      <c r="TXF1" s="2"/>
      <c r="TXG1" s="2"/>
      <c r="TXH1" s="2"/>
      <c r="TXI1" s="2"/>
      <c r="TXJ1" s="2"/>
      <c r="TXK1" s="2"/>
      <c r="TXL1" s="2"/>
      <c r="TXM1" s="2"/>
      <c r="TXN1" s="2"/>
      <c r="TXO1" s="2"/>
      <c r="TXP1" s="2"/>
      <c r="TXQ1" s="2"/>
      <c r="TXR1" s="2"/>
      <c r="TXS1" s="2"/>
      <c r="TXT1" s="2"/>
      <c r="TXU1" s="2"/>
      <c r="TXV1" s="2"/>
      <c r="TXW1" s="2"/>
      <c r="TXX1" s="2"/>
      <c r="TXY1" s="2"/>
      <c r="TXZ1" s="2"/>
      <c r="TYA1" s="2"/>
      <c r="TYB1" s="2"/>
      <c r="TYC1" s="2"/>
      <c r="TYD1" s="2"/>
      <c r="TYE1" s="2"/>
      <c r="TYF1" s="2"/>
      <c r="TYG1" s="2"/>
      <c r="TYH1" s="2"/>
      <c r="TYI1" s="2"/>
      <c r="TYJ1" s="2"/>
      <c r="TYK1" s="2"/>
      <c r="TYL1" s="2"/>
      <c r="TYM1" s="2"/>
      <c r="TYN1" s="2"/>
      <c r="TYO1" s="2"/>
      <c r="TYP1" s="2"/>
      <c r="TYQ1" s="2"/>
      <c r="TYR1" s="2"/>
      <c r="TYS1" s="2"/>
      <c r="TYT1" s="2"/>
      <c r="TYU1" s="2"/>
      <c r="TYV1" s="2"/>
      <c r="TYW1" s="2"/>
      <c r="TYX1" s="2"/>
      <c r="TYY1" s="2"/>
      <c r="TYZ1" s="2"/>
      <c r="TZA1" s="2"/>
      <c r="TZB1" s="2"/>
      <c r="TZC1" s="2"/>
      <c r="TZD1" s="2"/>
      <c r="TZE1" s="2"/>
      <c r="TZF1" s="2"/>
      <c r="TZG1" s="2"/>
      <c r="TZH1" s="2"/>
      <c r="TZI1" s="2"/>
      <c r="TZJ1" s="2"/>
      <c r="TZK1" s="2"/>
      <c r="TZL1" s="2"/>
      <c r="TZM1" s="2"/>
      <c r="TZN1" s="2"/>
      <c r="TZO1" s="2"/>
      <c r="TZP1" s="2"/>
      <c r="TZQ1" s="2"/>
      <c r="TZR1" s="2"/>
      <c r="TZS1" s="2"/>
      <c r="TZT1" s="2"/>
      <c r="TZU1" s="2"/>
      <c r="TZV1" s="2"/>
      <c r="TZW1" s="2"/>
      <c r="TZX1" s="2"/>
      <c r="TZY1" s="2"/>
      <c r="TZZ1" s="2"/>
      <c r="UAA1" s="2"/>
      <c r="UAB1" s="2"/>
      <c r="UAC1" s="2"/>
      <c r="UAD1" s="2"/>
      <c r="UAE1" s="2"/>
      <c r="UAF1" s="2"/>
      <c r="UAG1" s="2"/>
      <c r="UAH1" s="2"/>
      <c r="UAI1" s="2"/>
      <c r="UAJ1" s="2"/>
      <c r="UAK1" s="2"/>
      <c r="UAL1" s="2"/>
      <c r="UAM1" s="2"/>
      <c r="UAN1" s="2"/>
      <c r="UAO1" s="2"/>
      <c r="UAP1" s="2"/>
      <c r="UAQ1" s="2"/>
      <c r="UAR1" s="2"/>
      <c r="UAS1" s="2"/>
      <c r="UAT1" s="2"/>
      <c r="UAU1" s="2"/>
      <c r="UAV1" s="2"/>
      <c r="UAW1" s="2"/>
      <c r="UAX1" s="2"/>
      <c r="UAY1" s="2"/>
      <c r="UAZ1" s="2"/>
      <c r="UBA1" s="2"/>
      <c r="UBB1" s="2"/>
      <c r="UBC1" s="2"/>
      <c r="UBD1" s="2"/>
      <c r="UBE1" s="2"/>
      <c r="UBF1" s="2"/>
      <c r="UBG1" s="2"/>
      <c r="UBH1" s="2"/>
      <c r="UBI1" s="2"/>
      <c r="UBJ1" s="2"/>
      <c r="UBK1" s="2"/>
      <c r="UBL1" s="2"/>
      <c r="UBM1" s="2"/>
      <c r="UBN1" s="2"/>
      <c r="UBO1" s="2"/>
      <c r="UBP1" s="2"/>
      <c r="UBQ1" s="2"/>
      <c r="UBR1" s="2"/>
      <c r="UBS1" s="2"/>
      <c r="UBT1" s="2"/>
      <c r="UBU1" s="2"/>
      <c r="UBV1" s="2"/>
      <c r="UBW1" s="2"/>
      <c r="UBX1" s="2"/>
      <c r="UBY1" s="2"/>
      <c r="UBZ1" s="2"/>
      <c r="UCA1" s="2"/>
      <c r="UCB1" s="2"/>
      <c r="UCC1" s="2"/>
      <c r="UCD1" s="2"/>
      <c r="UCE1" s="2"/>
      <c r="UCF1" s="2"/>
      <c r="UCG1" s="2"/>
      <c r="UCH1" s="2"/>
      <c r="UCI1" s="2"/>
      <c r="UCJ1" s="2"/>
      <c r="UCK1" s="2"/>
      <c r="UCL1" s="2"/>
      <c r="UCM1" s="2"/>
      <c r="UCN1" s="2"/>
      <c r="UCO1" s="2"/>
      <c r="UCP1" s="2"/>
      <c r="UCQ1" s="2"/>
      <c r="UCR1" s="2"/>
      <c r="UCS1" s="2"/>
      <c r="UCT1" s="2"/>
      <c r="UCU1" s="2"/>
      <c r="UCV1" s="2"/>
      <c r="UCW1" s="2"/>
      <c r="UCX1" s="2"/>
      <c r="UCY1" s="2"/>
      <c r="UCZ1" s="2"/>
      <c r="UDA1" s="2"/>
      <c r="UDB1" s="2"/>
      <c r="UDC1" s="2"/>
      <c r="UDD1" s="2"/>
      <c r="UDE1" s="2"/>
      <c r="UDF1" s="2"/>
      <c r="UDG1" s="2"/>
      <c r="UDH1" s="2"/>
      <c r="UDI1" s="2"/>
      <c r="UDJ1" s="2"/>
      <c r="UDK1" s="2"/>
      <c r="UDL1" s="2"/>
      <c r="UDM1" s="2"/>
      <c r="UDN1" s="2"/>
      <c r="UDO1" s="2"/>
      <c r="UDP1" s="2"/>
      <c r="UDQ1" s="2"/>
      <c r="UDR1" s="2"/>
      <c r="UDS1" s="2"/>
      <c r="UDT1" s="2"/>
      <c r="UDU1" s="2"/>
      <c r="UDV1" s="2"/>
      <c r="UDW1" s="2"/>
      <c r="UDX1" s="2"/>
      <c r="UDY1" s="2"/>
      <c r="UDZ1" s="2"/>
      <c r="UEA1" s="2"/>
      <c r="UEB1" s="2"/>
      <c r="UEC1" s="2"/>
      <c r="UED1" s="2"/>
      <c r="UEE1" s="2"/>
      <c r="UEF1" s="2"/>
      <c r="UEG1" s="2"/>
      <c r="UEH1" s="2"/>
      <c r="UEI1" s="2"/>
      <c r="UEJ1" s="2"/>
      <c r="UEK1" s="2"/>
      <c r="UEL1" s="2"/>
      <c r="UEM1" s="2"/>
      <c r="UEN1" s="2"/>
      <c r="UEO1" s="2"/>
      <c r="UEP1" s="2"/>
      <c r="UEQ1" s="2"/>
      <c r="UER1" s="2"/>
      <c r="UES1" s="2"/>
      <c r="UET1" s="2"/>
      <c r="UEU1" s="2"/>
      <c r="UEV1" s="2"/>
      <c r="UEW1" s="2"/>
      <c r="UEX1" s="2"/>
      <c r="UEY1" s="2"/>
      <c r="UEZ1" s="2"/>
      <c r="UFA1" s="2"/>
      <c r="UFB1" s="2"/>
      <c r="UFC1" s="2"/>
      <c r="UFD1" s="2"/>
      <c r="UFE1" s="2"/>
      <c r="UFF1" s="2"/>
      <c r="UFG1" s="2"/>
      <c r="UFH1" s="2"/>
      <c r="UFI1" s="2"/>
      <c r="UFJ1" s="2"/>
      <c r="UFK1" s="2"/>
      <c r="UFL1" s="2"/>
      <c r="UFM1" s="2"/>
      <c r="UFN1" s="2"/>
      <c r="UFO1" s="2"/>
      <c r="UFP1" s="2"/>
      <c r="UFQ1" s="2"/>
      <c r="UFR1" s="2"/>
      <c r="UFS1" s="2"/>
      <c r="UFT1" s="2"/>
      <c r="UFU1" s="2"/>
      <c r="UFV1" s="2"/>
      <c r="UFW1" s="2"/>
      <c r="UFX1" s="2"/>
      <c r="UFY1" s="2"/>
      <c r="UFZ1" s="2"/>
      <c r="UGA1" s="2"/>
      <c r="UGB1" s="2"/>
      <c r="UGC1" s="2"/>
      <c r="UGD1" s="2"/>
      <c r="UGE1" s="2"/>
      <c r="UGF1" s="2"/>
      <c r="UGG1" s="2"/>
      <c r="UGH1" s="2"/>
      <c r="UGI1" s="2"/>
      <c r="UGJ1" s="2"/>
      <c r="UGK1" s="2"/>
      <c r="UGL1" s="2"/>
      <c r="UGM1" s="2"/>
      <c r="UGN1" s="2"/>
      <c r="UGO1" s="2"/>
      <c r="UGP1" s="2"/>
      <c r="UGQ1" s="2"/>
      <c r="UGR1" s="2"/>
      <c r="UGS1" s="2"/>
      <c r="UGT1" s="2"/>
      <c r="UGU1" s="2"/>
      <c r="UGV1" s="2"/>
      <c r="UGW1" s="2"/>
      <c r="UGX1" s="2"/>
      <c r="UGY1" s="2"/>
      <c r="UGZ1" s="2"/>
      <c r="UHA1" s="2"/>
      <c r="UHB1" s="2"/>
      <c r="UHC1" s="2"/>
      <c r="UHD1" s="2"/>
      <c r="UHE1" s="2"/>
      <c r="UHF1" s="2"/>
      <c r="UHG1" s="2"/>
      <c r="UHH1" s="2"/>
      <c r="UHI1" s="2"/>
      <c r="UHJ1" s="2"/>
      <c r="UHK1" s="2"/>
      <c r="UHL1" s="2"/>
      <c r="UHM1" s="2"/>
      <c r="UHN1" s="2"/>
      <c r="UHO1" s="2"/>
      <c r="UHP1" s="2"/>
      <c r="UHQ1" s="2"/>
      <c r="UHR1" s="2"/>
      <c r="UHS1" s="2"/>
      <c r="UHT1" s="2"/>
      <c r="UHU1" s="2"/>
      <c r="UHV1" s="2"/>
      <c r="UHW1" s="2"/>
      <c r="UHX1" s="2"/>
      <c r="UHY1" s="2"/>
      <c r="UHZ1" s="2"/>
      <c r="UIA1" s="2"/>
      <c r="UIB1" s="2"/>
      <c r="UIC1" s="2"/>
      <c r="UID1" s="2"/>
      <c r="UIE1" s="2"/>
      <c r="UIF1" s="2"/>
      <c r="UIG1" s="2"/>
      <c r="UIH1" s="2"/>
      <c r="UII1" s="2"/>
      <c r="UIJ1" s="2"/>
      <c r="UIK1" s="2"/>
      <c r="UIL1" s="2"/>
      <c r="UIM1" s="2"/>
      <c r="UIN1" s="2"/>
      <c r="UIO1" s="2"/>
      <c r="UIP1" s="2"/>
      <c r="UIQ1" s="2"/>
      <c r="UIR1" s="2"/>
      <c r="UIS1" s="2"/>
      <c r="UIT1" s="2"/>
      <c r="UIU1" s="2"/>
      <c r="UIV1" s="2"/>
      <c r="UIW1" s="2"/>
      <c r="UIX1" s="2"/>
      <c r="UIY1" s="2"/>
      <c r="UIZ1" s="2"/>
      <c r="UJA1" s="2"/>
      <c r="UJB1" s="2"/>
      <c r="UJC1" s="2"/>
      <c r="UJD1" s="2"/>
      <c r="UJE1" s="2"/>
      <c r="UJF1" s="2"/>
      <c r="UJG1" s="2"/>
      <c r="UJH1" s="2"/>
      <c r="UJI1" s="2"/>
      <c r="UJJ1" s="2"/>
      <c r="UJK1" s="2"/>
      <c r="UJL1" s="2"/>
      <c r="UJM1" s="2"/>
      <c r="UJN1" s="2"/>
      <c r="UJO1" s="2"/>
      <c r="UJP1" s="2"/>
      <c r="UJQ1" s="2"/>
      <c r="UJR1" s="2"/>
      <c r="UJS1" s="2"/>
      <c r="UJT1" s="2"/>
      <c r="UJU1" s="2"/>
      <c r="UJV1" s="2"/>
      <c r="UJW1" s="2"/>
      <c r="UJX1" s="2"/>
      <c r="UJY1" s="2"/>
      <c r="UJZ1" s="2"/>
      <c r="UKA1" s="2"/>
      <c r="UKB1" s="2"/>
      <c r="UKC1" s="2"/>
      <c r="UKD1" s="2"/>
      <c r="UKE1" s="2"/>
      <c r="UKF1" s="2"/>
      <c r="UKG1" s="2"/>
      <c r="UKH1" s="2"/>
      <c r="UKI1" s="2"/>
      <c r="UKJ1" s="2"/>
      <c r="UKK1" s="2"/>
      <c r="UKL1" s="2"/>
      <c r="UKM1" s="2"/>
      <c r="UKN1" s="2"/>
      <c r="UKO1" s="2"/>
      <c r="UKP1" s="2"/>
      <c r="UKQ1" s="2"/>
      <c r="UKR1" s="2"/>
      <c r="UKS1" s="2"/>
      <c r="UKT1" s="2"/>
      <c r="UKU1" s="2"/>
      <c r="UKV1" s="2"/>
      <c r="UKW1" s="2"/>
      <c r="UKX1" s="2"/>
      <c r="UKY1" s="2"/>
      <c r="UKZ1" s="2"/>
      <c r="ULA1" s="2"/>
      <c r="ULB1" s="2"/>
      <c r="ULC1" s="2"/>
      <c r="ULD1" s="2"/>
      <c r="ULE1" s="2"/>
      <c r="ULF1" s="2"/>
      <c r="ULG1" s="2"/>
      <c r="ULH1" s="2"/>
      <c r="ULI1" s="2"/>
      <c r="ULJ1" s="2"/>
      <c r="ULK1" s="2"/>
      <c r="ULL1" s="2"/>
      <c r="ULM1" s="2"/>
      <c r="ULN1" s="2"/>
      <c r="ULO1" s="2"/>
      <c r="ULP1" s="2"/>
      <c r="ULQ1" s="2"/>
      <c r="ULR1" s="2"/>
      <c r="ULS1" s="2"/>
      <c r="ULT1" s="2"/>
      <c r="ULU1" s="2"/>
      <c r="ULV1" s="2"/>
      <c r="ULW1" s="2"/>
      <c r="ULX1" s="2"/>
      <c r="ULY1" s="2"/>
      <c r="ULZ1" s="2"/>
      <c r="UMA1" s="2"/>
      <c r="UMB1" s="2"/>
      <c r="UMC1" s="2"/>
      <c r="UMD1" s="2"/>
      <c r="UME1" s="2"/>
      <c r="UMF1" s="2"/>
      <c r="UMG1" s="2"/>
      <c r="UMH1" s="2"/>
      <c r="UMI1" s="2"/>
      <c r="UMJ1" s="2"/>
      <c r="UMK1" s="2"/>
      <c r="UML1" s="2"/>
      <c r="UMM1" s="2"/>
      <c r="UMN1" s="2"/>
      <c r="UMO1" s="2"/>
      <c r="UMP1" s="2"/>
      <c r="UMQ1" s="2"/>
      <c r="UMR1" s="2"/>
      <c r="UMS1" s="2"/>
      <c r="UMT1" s="2"/>
      <c r="UMU1" s="2"/>
      <c r="UMV1" s="2"/>
      <c r="UMW1" s="2"/>
      <c r="UMX1" s="2"/>
      <c r="UMY1" s="2"/>
      <c r="UMZ1" s="2"/>
      <c r="UNA1" s="2"/>
      <c r="UNB1" s="2"/>
      <c r="UNC1" s="2"/>
      <c r="UND1" s="2"/>
      <c r="UNE1" s="2"/>
      <c r="UNF1" s="2"/>
      <c r="UNG1" s="2"/>
      <c r="UNH1" s="2"/>
      <c r="UNI1" s="2"/>
      <c r="UNJ1" s="2"/>
      <c r="UNK1" s="2"/>
      <c r="UNL1" s="2"/>
      <c r="UNM1" s="2"/>
      <c r="UNN1" s="2"/>
      <c r="UNO1" s="2"/>
      <c r="UNP1" s="2"/>
      <c r="UNQ1" s="2"/>
      <c r="UNR1" s="2"/>
      <c r="UNS1" s="2"/>
      <c r="UNT1" s="2"/>
      <c r="UNU1" s="2"/>
      <c r="UNV1" s="2"/>
      <c r="UNW1" s="2"/>
      <c r="UNX1" s="2"/>
      <c r="UNY1" s="2"/>
      <c r="UNZ1" s="2"/>
      <c r="UOA1" s="2"/>
      <c r="UOB1" s="2"/>
      <c r="UOC1" s="2"/>
      <c r="UOD1" s="2"/>
      <c r="UOE1" s="2"/>
      <c r="UOF1" s="2"/>
      <c r="UOG1" s="2"/>
      <c r="UOH1" s="2"/>
      <c r="UOI1" s="2"/>
      <c r="UOJ1" s="2"/>
      <c r="UOK1" s="2"/>
      <c r="UOL1" s="2"/>
      <c r="UOM1" s="2"/>
      <c r="UON1" s="2"/>
      <c r="UOO1" s="2"/>
      <c r="UOP1" s="2"/>
      <c r="UOQ1" s="2"/>
      <c r="UOR1" s="2"/>
      <c r="UOS1" s="2"/>
      <c r="UOT1" s="2"/>
      <c r="UOU1" s="2"/>
      <c r="UOV1" s="2"/>
      <c r="UOW1" s="2"/>
      <c r="UOX1" s="2"/>
      <c r="UOY1" s="2"/>
      <c r="UOZ1" s="2"/>
      <c r="UPA1" s="2"/>
      <c r="UPB1" s="2"/>
      <c r="UPC1" s="2"/>
      <c r="UPD1" s="2"/>
      <c r="UPE1" s="2"/>
      <c r="UPF1" s="2"/>
      <c r="UPG1" s="2"/>
      <c r="UPH1" s="2"/>
      <c r="UPI1" s="2"/>
      <c r="UPJ1" s="2"/>
      <c r="UPK1" s="2"/>
      <c r="UPL1" s="2"/>
      <c r="UPM1" s="2"/>
      <c r="UPN1" s="2"/>
      <c r="UPO1" s="2"/>
      <c r="UPP1" s="2"/>
      <c r="UPQ1" s="2"/>
      <c r="UPR1" s="2"/>
      <c r="UPS1" s="2"/>
      <c r="UPT1" s="2"/>
      <c r="UPU1" s="2"/>
      <c r="UPV1" s="2"/>
      <c r="UPW1" s="2"/>
      <c r="UPX1" s="2"/>
      <c r="UPY1" s="2"/>
      <c r="UPZ1" s="2"/>
      <c r="UQA1" s="2"/>
      <c r="UQB1" s="2"/>
      <c r="UQC1" s="2"/>
      <c r="UQD1" s="2"/>
      <c r="UQE1" s="2"/>
      <c r="UQF1" s="2"/>
      <c r="UQG1" s="2"/>
      <c r="UQH1" s="2"/>
      <c r="UQI1" s="2"/>
      <c r="UQJ1" s="2"/>
      <c r="UQK1" s="2"/>
      <c r="UQL1" s="2"/>
      <c r="UQM1" s="2"/>
      <c r="UQN1" s="2"/>
      <c r="UQO1" s="2"/>
      <c r="UQP1" s="2"/>
      <c r="UQQ1" s="2"/>
      <c r="UQR1" s="2"/>
      <c r="UQS1" s="2"/>
      <c r="UQT1" s="2"/>
      <c r="UQU1" s="2"/>
      <c r="UQV1" s="2"/>
      <c r="UQW1" s="2"/>
      <c r="UQX1" s="2"/>
      <c r="UQY1" s="2"/>
      <c r="UQZ1" s="2"/>
      <c r="URA1" s="2"/>
      <c r="URB1" s="2"/>
      <c r="URC1" s="2"/>
      <c r="URD1" s="2"/>
      <c r="URE1" s="2"/>
      <c r="URF1" s="2"/>
      <c r="URG1" s="2"/>
      <c r="URH1" s="2"/>
      <c r="URI1" s="2"/>
      <c r="URJ1" s="2"/>
      <c r="URK1" s="2"/>
      <c r="URL1" s="2"/>
      <c r="URM1" s="2"/>
      <c r="URN1" s="2"/>
      <c r="URO1" s="2"/>
      <c r="URP1" s="2"/>
      <c r="URQ1" s="2"/>
      <c r="URR1" s="2"/>
      <c r="URS1" s="2"/>
      <c r="URT1" s="2"/>
      <c r="URU1" s="2"/>
      <c r="URV1" s="2"/>
      <c r="URW1" s="2"/>
      <c r="URX1" s="2"/>
      <c r="URY1" s="2"/>
      <c r="URZ1" s="2"/>
      <c r="USA1" s="2"/>
      <c r="USB1" s="2"/>
      <c r="USC1" s="2"/>
      <c r="USD1" s="2"/>
      <c r="USE1" s="2"/>
      <c r="USF1" s="2"/>
      <c r="USG1" s="2"/>
      <c r="USH1" s="2"/>
      <c r="USI1" s="2"/>
      <c r="USJ1" s="2"/>
      <c r="USK1" s="2"/>
      <c r="USL1" s="2"/>
      <c r="USM1" s="2"/>
      <c r="USN1" s="2"/>
      <c r="USO1" s="2"/>
      <c r="USP1" s="2"/>
      <c r="USQ1" s="2"/>
      <c r="USR1" s="2"/>
      <c r="USS1" s="2"/>
      <c r="UST1" s="2"/>
      <c r="USU1" s="2"/>
      <c r="USV1" s="2"/>
      <c r="USW1" s="2"/>
      <c r="USX1" s="2"/>
      <c r="USY1" s="2"/>
      <c r="USZ1" s="2"/>
      <c r="UTA1" s="2"/>
      <c r="UTB1" s="2"/>
      <c r="UTC1" s="2"/>
      <c r="UTD1" s="2"/>
      <c r="UTE1" s="2"/>
      <c r="UTF1" s="2"/>
      <c r="UTG1" s="2"/>
      <c r="UTH1" s="2"/>
      <c r="UTI1" s="2"/>
      <c r="UTJ1" s="2"/>
      <c r="UTK1" s="2"/>
      <c r="UTL1" s="2"/>
      <c r="UTM1" s="2"/>
      <c r="UTN1" s="2"/>
      <c r="UTO1" s="2"/>
      <c r="UTP1" s="2"/>
      <c r="UTQ1" s="2"/>
      <c r="UTR1" s="2"/>
      <c r="UTS1" s="2"/>
      <c r="UTT1" s="2"/>
      <c r="UTU1" s="2"/>
      <c r="UTV1" s="2"/>
      <c r="UTW1" s="2"/>
      <c r="UTX1" s="2"/>
      <c r="UTY1" s="2"/>
      <c r="UTZ1" s="2"/>
      <c r="UUA1" s="2"/>
      <c r="UUB1" s="2"/>
      <c r="UUC1" s="2"/>
      <c r="UUD1" s="2"/>
      <c r="UUE1" s="2"/>
      <c r="UUF1" s="2"/>
      <c r="UUG1" s="2"/>
      <c r="UUH1" s="2"/>
      <c r="UUI1" s="2"/>
      <c r="UUJ1" s="2"/>
      <c r="UUK1" s="2"/>
      <c r="UUL1" s="2"/>
      <c r="UUM1" s="2"/>
      <c r="UUN1" s="2"/>
      <c r="UUO1" s="2"/>
      <c r="UUP1" s="2"/>
      <c r="UUQ1" s="2"/>
      <c r="UUR1" s="2"/>
      <c r="UUS1" s="2"/>
      <c r="UUT1" s="2"/>
      <c r="UUU1" s="2"/>
      <c r="UUV1" s="2"/>
      <c r="UUW1" s="2"/>
      <c r="UUX1" s="2"/>
      <c r="UUY1" s="2"/>
      <c r="UUZ1" s="2"/>
      <c r="UVA1" s="2"/>
      <c r="UVB1" s="2"/>
      <c r="UVC1" s="2"/>
      <c r="UVD1" s="2"/>
      <c r="UVE1" s="2"/>
      <c r="UVF1" s="2"/>
      <c r="UVG1" s="2"/>
      <c r="UVH1" s="2"/>
      <c r="UVI1" s="2"/>
      <c r="UVJ1" s="2"/>
      <c r="UVK1" s="2"/>
      <c r="UVL1" s="2"/>
      <c r="UVM1" s="2"/>
      <c r="UVN1" s="2"/>
      <c r="UVO1" s="2"/>
      <c r="UVP1" s="2"/>
      <c r="UVQ1" s="2"/>
      <c r="UVR1" s="2"/>
      <c r="UVS1" s="2"/>
      <c r="UVT1" s="2"/>
      <c r="UVU1" s="2"/>
      <c r="UVV1" s="2"/>
      <c r="UVW1" s="2"/>
      <c r="UVX1" s="2"/>
      <c r="UVY1" s="2"/>
      <c r="UVZ1" s="2"/>
      <c r="UWA1" s="2"/>
      <c r="UWB1" s="2"/>
      <c r="UWC1" s="2"/>
      <c r="UWD1" s="2"/>
      <c r="UWE1" s="2"/>
      <c r="UWF1" s="2"/>
      <c r="UWG1" s="2"/>
      <c r="UWH1" s="2"/>
      <c r="UWI1" s="2"/>
      <c r="UWJ1" s="2"/>
      <c r="UWK1" s="2"/>
      <c r="UWL1" s="2"/>
      <c r="UWM1" s="2"/>
      <c r="UWN1" s="2"/>
      <c r="UWO1" s="2"/>
      <c r="UWP1" s="2"/>
      <c r="UWQ1" s="2"/>
      <c r="UWR1" s="2"/>
      <c r="UWS1" s="2"/>
      <c r="UWT1" s="2"/>
      <c r="UWU1" s="2"/>
      <c r="UWV1" s="2"/>
      <c r="UWW1" s="2"/>
      <c r="UWX1" s="2"/>
      <c r="UWY1" s="2"/>
      <c r="UWZ1" s="2"/>
      <c r="UXA1" s="2"/>
      <c r="UXB1" s="2"/>
      <c r="UXC1" s="2"/>
      <c r="UXD1" s="2"/>
      <c r="UXE1" s="2"/>
      <c r="UXF1" s="2"/>
      <c r="UXG1" s="2"/>
      <c r="UXH1" s="2"/>
      <c r="UXI1" s="2"/>
      <c r="UXJ1" s="2"/>
      <c r="UXK1" s="2"/>
      <c r="UXL1" s="2"/>
      <c r="UXM1" s="2"/>
      <c r="UXN1" s="2"/>
      <c r="UXO1" s="2"/>
      <c r="UXP1" s="2"/>
      <c r="UXQ1" s="2"/>
      <c r="UXR1" s="2"/>
      <c r="UXS1" s="2"/>
      <c r="UXT1" s="2"/>
      <c r="UXU1" s="2"/>
      <c r="UXV1" s="2"/>
      <c r="UXW1" s="2"/>
      <c r="UXX1" s="2"/>
      <c r="UXY1" s="2"/>
      <c r="UXZ1" s="2"/>
      <c r="UYA1" s="2"/>
      <c r="UYB1" s="2"/>
      <c r="UYC1" s="2"/>
      <c r="UYD1" s="2"/>
      <c r="UYE1" s="2"/>
      <c r="UYF1" s="2"/>
      <c r="UYG1" s="2"/>
      <c r="UYH1" s="2"/>
      <c r="UYI1" s="2"/>
      <c r="UYJ1" s="2"/>
      <c r="UYK1" s="2"/>
      <c r="UYL1" s="2"/>
      <c r="UYM1" s="2"/>
      <c r="UYN1" s="2"/>
      <c r="UYO1" s="2"/>
      <c r="UYP1" s="2"/>
      <c r="UYQ1" s="2"/>
      <c r="UYR1" s="2"/>
      <c r="UYS1" s="2"/>
      <c r="UYT1" s="2"/>
      <c r="UYU1" s="2"/>
      <c r="UYV1" s="2"/>
      <c r="UYW1" s="2"/>
      <c r="UYX1" s="2"/>
      <c r="UYY1" s="2"/>
      <c r="UYZ1" s="2"/>
      <c r="UZA1" s="2"/>
      <c r="UZB1" s="2"/>
      <c r="UZC1" s="2"/>
      <c r="UZD1" s="2"/>
      <c r="UZE1" s="2"/>
      <c r="UZF1" s="2"/>
      <c r="UZG1" s="2"/>
      <c r="UZH1" s="2"/>
      <c r="UZI1" s="2"/>
      <c r="UZJ1" s="2"/>
      <c r="UZK1" s="2"/>
      <c r="UZL1" s="2"/>
      <c r="UZM1" s="2"/>
      <c r="UZN1" s="2"/>
      <c r="UZO1" s="2"/>
      <c r="UZP1" s="2"/>
      <c r="UZQ1" s="2"/>
      <c r="UZR1" s="2"/>
      <c r="UZS1" s="2"/>
      <c r="UZT1" s="2"/>
      <c r="UZU1" s="2"/>
      <c r="UZV1" s="2"/>
      <c r="UZW1" s="2"/>
      <c r="UZX1" s="2"/>
      <c r="UZY1" s="2"/>
      <c r="UZZ1" s="2"/>
      <c r="VAA1" s="2"/>
      <c r="VAB1" s="2"/>
      <c r="VAC1" s="2"/>
      <c r="VAD1" s="2"/>
      <c r="VAE1" s="2"/>
      <c r="VAF1" s="2"/>
      <c r="VAG1" s="2"/>
      <c r="VAH1" s="2"/>
      <c r="VAI1" s="2"/>
      <c r="VAJ1" s="2"/>
      <c r="VAK1" s="2"/>
      <c r="VAL1" s="2"/>
      <c r="VAM1" s="2"/>
      <c r="VAN1" s="2"/>
      <c r="VAO1" s="2"/>
      <c r="VAP1" s="2"/>
      <c r="VAQ1" s="2"/>
      <c r="VAR1" s="2"/>
      <c r="VAS1" s="2"/>
      <c r="VAT1" s="2"/>
      <c r="VAU1" s="2"/>
      <c r="VAV1" s="2"/>
      <c r="VAW1" s="2"/>
      <c r="VAX1" s="2"/>
      <c r="VAY1" s="2"/>
      <c r="VAZ1" s="2"/>
      <c r="VBA1" s="2"/>
      <c r="VBB1" s="2"/>
      <c r="VBC1" s="2"/>
      <c r="VBD1" s="2"/>
      <c r="VBE1" s="2"/>
      <c r="VBF1" s="2"/>
      <c r="VBG1" s="2"/>
      <c r="VBH1" s="2"/>
      <c r="VBI1" s="2"/>
      <c r="VBJ1" s="2"/>
      <c r="VBK1" s="2"/>
      <c r="VBL1" s="2"/>
      <c r="VBM1" s="2"/>
      <c r="VBN1" s="2"/>
      <c r="VBO1" s="2"/>
      <c r="VBP1" s="2"/>
      <c r="VBQ1" s="2"/>
      <c r="VBR1" s="2"/>
      <c r="VBS1" s="2"/>
      <c r="VBT1" s="2"/>
      <c r="VBU1" s="2"/>
      <c r="VBV1" s="2"/>
      <c r="VBW1" s="2"/>
      <c r="VBX1" s="2"/>
      <c r="VBY1" s="2"/>
      <c r="VBZ1" s="2"/>
      <c r="VCA1" s="2"/>
      <c r="VCB1" s="2"/>
      <c r="VCC1" s="2"/>
      <c r="VCD1" s="2"/>
      <c r="VCE1" s="2"/>
      <c r="VCF1" s="2"/>
      <c r="VCG1" s="2"/>
      <c r="VCH1" s="2"/>
      <c r="VCI1" s="2"/>
      <c r="VCJ1" s="2"/>
      <c r="VCK1" s="2"/>
      <c r="VCL1" s="2"/>
      <c r="VCM1" s="2"/>
      <c r="VCN1" s="2"/>
      <c r="VCO1" s="2"/>
      <c r="VCP1" s="2"/>
      <c r="VCQ1" s="2"/>
      <c r="VCR1" s="2"/>
      <c r="VCS1" s="2"/>
      <c r="VCT1" s="2"/>
      <c r="VCU1" s="2"/>
      <c r="VCV1" s="2"/>
      <c r="VCW1" s="2"/>
      <c r="VCX1" s="2"/>
      <c r="VCY1" s="2"/>
      <c r="VCZ1" s="2"/>
      <c r="VDA1" s="2"/>
      <c r="VDB1" s="2"/>
      <c r="VDC1" s="2"/>
      <c r="VDD1" s="2"/>
      <c r="VDE1" s="2"/>
      <c r="VDF1" s="2"/>
      <c r="VDG1" s="2"/>
      <c r="VDH1" s="2"/>
      <c r="VDI1" s="2"/>
      <c r="VDJ1" s="2"/>
      <c r="VDK1" s="2"/>
      <c r="VDL1" s="2"/>
      <c r="VDM1" s="2"/>
      <c r="VDN1" s="2"/>
      <c r="VDO1" s="2"/>
      <c r="VDP1" s="2"/>
      <c r="VDQ1" s="2"/>
      <c r="VDR1" s="2"/>
      <c r="VDS1" s="2"/>
      <c r="VDT1" s="2"/>
      <c r="VDU1" s="2"/>
      <c r="VDV1" s="2"/>
      <c r="VDW1" s="2"/>
      <c r="VDX1" s="2"/>
      <c r="VDY1" s="2"/>
      <c r="VDZ1" s="2"/>
      <c r="VEA1" s="2"/>
      <c r="VEB1" s="2"/>
      <c r="VEC1" s="2"/>
      <c r="VED1" s="2"/>
      <c r="VEE1" s="2"/>
      <c r="VEF1" s="2"/>
      <c r="VEG1" s="2"/>
      <c r="VEH1" s="2"/>
      <c r="VEI1" s="2"/>
      <c r="VEJ1" s="2"/>
      <c r="VEK1" s="2"/>
      <c r="VEL1" s="2"/>
      <c r="VEM1" s="2"/>
      <c r="VEN1" s="2"/>
      <c r="VEO1" s="2"/>
      <c r="VEP1" s="2"/>
      <c r="VEQ1" s="2"/>
      <c r="VER1" s="2"/>
      <c r="VES1" s="2"/>
      <c r="VET1" s="2"/>
      <c r="VEU1" s="2"/>
      <c r="VEV1" s="2"/>
      <c r="VEW1" s="2"/>
      <c r="VEX1" s="2"/>
      <c r="VEY1" s="2"/>
      <c r="VEZ1" s="2"/>
      <c r="VFA1" s="2"/>
      <c r="VFB1" s="2"/>
      <c r="VFC1" s="2"/>
      <c r="VFD1" s="2"/>
      <c r="VFE1" s="2"/>
      <c r="VFF1" s="2"/>
      <c r="VFG1" s="2"/>
      <c r="VFH1" s="2"/>
      <c r="VFI1" s="2"/>
      <c r="VFJ1" s="2"/>
      <c r="VFK1" s="2"/>
      <c r="VFL1" s="2"/>
      <c r="VFM1" s="2"/>
      <c r="VFN1" s="2"/>
      <c r="VFO1" s="2"/>
      <c r="VFP1" s="2"/>
      <c r="VFQ1" s="2"/>
      <c r="VFR1" s="2"/>
      <c r="VFS1" s="2"/>
      <c r="VFT1" s="2"/>
      <c r="VFU1" s="2"/>
      <c r="VFV1" s="2"/>
      <c r="VFW1" s="2"/>
      <c r="VFX1" s="2"/>
      <c r="VFY1" s="2"/>
      <c r="VFZ1" s="2"/>
      <c r="VGA1" s="2"/>
      <c r="VGB1" s="2"/>
      <c r="VGC1" s="2"/>
      <c r="VGD1" s="2"/>
      <c r="VGE1" s="2"/>
      <c r="VGF1" s="2"/>
      <c r="VGG1" s="2"/>
      <c r="VGH1" s="2"/>
      <c r="VGI1" s="2"/>
      <c r="VGJ1" s="2"/>
      <c r="VGK1" s="2"/>
      <c r="VGL1" s="2"/>
      <c r="VGM1" s="2"/>
      <c r="VGN1" s="2"/>
      <c r="VGO1" s="2"/>
      <c r="VGP1" s="2"/>
      <c r="VGQ1" s="2"/>
      <c r="VGR1" s="2"/>
      <c r="VGS1" s="2"/>
      <c r="VGT1" s="2"/>
      <c r="VGU1" s="2"/>
      <c r="VGV1" s="2"/>
      <c r="VGW1" s="2"/>
      <c r="VGX1" s="2"/>
      <c r="VGY1" s="2"/>
      <c r="VGZ1" s="2"/>
      <c r="VHA1" s="2"/>
      <c r="VHB1" s="2"/>
      <c r="VHC1" s="2"/>
      <c r="VHD1" s="2"/>
      <c r="VHE1" s="2"/>
      <c r="VHF1" s="2"/>
      <c r="VHG1" s="2"/>
      <c r="VHH1" s="2"/>
      <c r="VHI1" s="2"/>
      <c r="VHJ1" s="2"/>
      <c r="VHK1" s="2"/>
      <c r="VHL1" s="2"/>
      <c r="VHM1" s="2"/>
      <c r="VHN1" s="2"/>
      <c r="VHO1" s="2"/>
      <c r="VHP1" s="2"/>
      <c r="VHQ1" s="2"/>
      <c r="VHR1" s="2"/>
      <c r="VHS1" s="2"/>
      <c r="VHT1" s="2"/>
      <c r="VHU1" s="2"/>
      <c r="VHV1" s="2"/>
      <c r="VHW1" s="2"/>
      <c r="VHX1" s="2"/>
      <c r="VHY1" s="2"/>
      <c r="VHZ1" s="2"/>
      <c r="VIA1" s="2"/>
      <c r="VIB1" s="2"/>
      <c r="VIC1" s="2"/>
      <c r="VID1" s="2"/>
      <c r="VIE1" s="2"/>
      <c r="VIF1" s="2"/>
      <c r="VIG1" s="2"/>
      <c r="VIH1" s="2"/>
      <c r="VII1" s="2"/>
      <c r="VIJ1" s="2"/>
      <c r="VIK1" s="2"/>
      <c r="VIL1" s="2"/>
      <c r="VIM1" s="2"/>
      <c r="VIN1" s="2"/>
      <c r="VIO1" s="2"/>
      <c r="VIP1" s="2"/>
      <c r="VIQ1" s="2"/>
      <c r="VIR1" s="2"/>
      <c r="VIS1" s="2"/>
      <c r="VIT1" s="2"/>
      <c r="VIU1" s="2"/>
      <c r="VIV1" s="2"/>
      <c r="VIW1" s="2"/>
      <c r="VIX1" s="2"/>
      <c r="VIY1" s="2"/>
      <c r="VIZ1" s="2"/>
      <c r="VJA1" s="2"/>
      <c r="VJB1" s="2"/>
      <c r="VJC1" s="2"/>
      <c r="VJD1" s="2"/>
      <c r="VJE1" s="2"/>
      <c r="VJF1" s="2"/>
      <c r="VJG1" s="2"/>
      <c r="VJH1" s="2"/>
      <c r="VJI1" s="2"/>
      <c r="VJJ1" s="2"/>
      <c r="VJK1" s="2"/>
      <c r="VJL1" s="2"/>
      <c r="VJM1" s="2"/>
      <c r="VJN1" s="2"/>
      <c r="VJO1" s="2"/>
      <c r="VJP1" s="2"/>
      <c r="VJQ1" s="2"/>
      <c r="VJR1" s="2"/>
      <c r="VJS1" s="2"/>
      <c r="VJT1" s="2"/>
      <c r="VJU1" s="2"/>
      <c r="VJV1" s="2"/>
      <c r="VJW1" s="2"/>
      <c r="VJX1" s="2"/>
      <c r="VJY1" s="2"/>
      <c r="VJZ1" s="2"/>
      <c r="VKA1" s="2"/>
      <c r="VKB1" s="2"/>
      <c r="VKC1" s="2"/>
      <c r="VKD1" s="2"/>
      <c r="VKE1" s="2"/>
      <c r="VKF1" s="2"/>
      <c r="VKG1" s="2"/>
      <c r="VKH1" s="2"/>
      <c r="VKI1" s="2"/>
      <c r="VKJ1" s="2"/>
      <c r="VKK1" s="2"/>
      <c r="VKL1" s="2"/>
      <c r="VKM1" s="2"/>
      <c r="VKN1" s="2"/>
      <c r="VKO1" s="2"/>
      <c r="VKP1" s="2"/>
      <c r="VKQ1" s="2"/>
      <c r="VKR1" s="2"/>
      <c r="VKS1" s="2"/>
      <c r="VKT1" s="2"/>
      <c r="VKU1" s="2"/>
      <c r="VKV1" s="2"/>
      <c r="VKW1" s="2"/>
      <c r="VKX1" s="2"/>
      <c r="VKY1" s="2"/>
      <c r="VKZ1" s="2"/>
      <c r="VLA1" s="2"/>
      <c r="VLB1" s="2"/>
      <c r="VLC1" s="2"/>
      <c r="VLD1" s="2"/>
      <c r="VLE1" s="2"/>
      <c r="VLF1" s="2"/>
      <c r="VLG1" s="2"/>
      <c r="VLH1" s="2"/>
      <c r="VLI1" s="2"/>
      <c r="VLJ1" s="2"/>
      <c r="VLK1" s="2"/>
      <c r="VLL1" s="2"/>
      <c r="VLM1" s="2"/>
      <c r="VLN1" s="2"/>
      <c r="VLO1" s="2"/>
      <c r="VLP1" s="2"/>
      <c r="VLQ1" s="2"/>
      <c r="VLR1" s="2"/>
      <c r="VLS1" s="2"/>
      <c r="VLT1" s="2"/>
      <c r="VLU1" s="2"/>
      <c r="VLV1" s="2"/>
      <c r="VLW1" s="2"/>
      <c r="VLX1" s="2"/>
      <c r="VLY1" s="2"/>
      <c r="VLZ1" s="2"/>
      <c r="VMA1" s="2"/>
      <c r="VMB1" s="2"/>
      <c r="VMC1" s="2"/>
      <c r="VMD1" s="2"/>
      <c r="VME1" s="2"/>
      <c r="VMF1" s="2"/>
      <c r="VMG1" s="2"/>
      <c r="VMH1" s="2"/>
      <c r="VMI1" s="2"/>
      <c r="VMJ1" s="2"/>
      <c r="VMK1" s="2"/>
      <c r="VML1" s="2"/>
      <c r="VMM1" s="2"/>
      <c r="VMN1" s="2"/>
      <c r="VMO1" s="2"/>
      <c r="VMP1" s="2"/>
      <c r="VMQ1" s="2"/>
      <c r="VMR1" s="2"/>
      <c r="VMS1" s="2"/>
      <c r="VMT1" s="2"/>
      <c r="VMU1" s="2"/>
      <c r="VMV1" s="2"/>
      <c r="VMW1" s="2"/>
      <c r="VMX1" s="2"/>
      <c r="VMY1" s="2"/>
      <c r="VMZ1" s="2"/>
      <c r="VNA1" s="2"/>
      <c r="VNB1" s="2"/>
      <c r="VNC1" s="2"/>
      <c r="VND1" s="2"/>
      <c r="VNE1" s="2"/>
      <c r="VNF1" s="2"/>
      <c r="VNG1" s="2"/>
      <c r="VNH1" s="2"/>
      <c r="VNI1" s="2"/>
      <c r="VNJ1" s="2"/>
      <c r="VNK1" s="2"/>
      <c r="VNL1" s="2"/>
      <c r="VNM1" s="2"/>
      <c r="VNN1" s="2"/>
      <c r="VNO1" s="2"/>
      <c r="VNP1" s="2"/>
      <c r="VNQ1" s="2"/>
      <c r="VNR1" s="2"/>
      <c r="VNS1" s="2"/>
      <c r="VNT1" s="2"/>
      <c r="VNU1" s="2"/>
      <c r="VNV1" s="2"/>
      <c r="VNW1" s="2"/>
      <c r="VNX1" s="2"/>
      <c r="VNY1" s="2"/>
      <c r="VNZ1" s="2"/>
      <c r="VOA1" s="2"/>
      <c r="VOB1" s="2"/>
      <c r="VOC1" s="2"/>
      <c r="VOD1" s="2"/>
      <c r="VOE1" s="2"/>
      <c r="VOF1" s="2"/>
      <c r="VOG1" s="2"/>
      <c r="VOH1" s="2"/>
      <c r="VOI1" s="2"/>
      <c r="VOJ1" s="2"/>
      <c r="VOK1" s="2"/>
      <c r="VOL1" s="2"/>
      <c r="VOM1" s="2"/>
      <c r="VON1" s="2"/>
      <c r="VOO1" s="2"/>
      <c r="VOP1" s="2"/>
      <c r="VOQ1" s="2"/>
      <c r="VOR1" s="2"/>
      <c r="VOS1" s="2"/>
      <c r="VOT1" s="2"/>
      <c r="VOU1" s="2"/>
      <c r="VOV1" s="2"/>
      <c r="VOW1" s="2"/>
      <c r="VOX1" s="2"/>
      <c r="VOY1" s="2"/>
      <c r="VOZ1" s="2"/>
      <c r="VPA1" s="2"/>
      <c r="VPB1" s="2"/>
      <c r="VPC1" s="2"/>
      <c r="VPD1" s="2"/>
      <c r="VPE1" s="2"/>
      <c r="VPF1" s="2"/>
      <c r="VPG1" s="2"/>
      <c r="VPH1" s="2"/>
      <c r="VPI1" s="2"/>
      <c r="VPJ1" s="2"/>
      <c r="VPK1" s="2"/>
      <c r="VPL1" s="2"/>
      <c r="VPM1" s="2"/>
      <c r="VPN1" s="2"/>
      <c r="VPO1" s="2"/>
      <c r="VPP1" s="2"/>
      <c r="VPQ1" s="2"/>
      <c r="VPR1" s="2"/>
      <c r="VPS1" s="2"/>
      <c r="VPT1" s="2"/>
      <c r="VPU1" s="2"/>
      <c r="VPV1" s="2"/>
      <c r="VPW1" s="2"/>
      <c r="VPX1" s="2"/>
      <c r="VPY1" s="2"/>
      <c r="VPZ1" s="2"/>
      <c r="VQA1" s="2"/>
      <c r="VQB1" s="2"/>
      <c r="VQC1" s="2"/>
      <c r="VQD1" s="2"/>
      <c r="VQE1" s="2"/>
      <c r="VQF1" s="2"/>
      <c r="VQG1" s="2"/>
      <c r="VQH1" s="2"/>
      <c r="VQI1" s="2"/>
      <c r="VQJ1" s="2"/>
      <c r="VQK1" s="2"/>
      <c r="VQL1" s="2"/>
      <c r="VQM1" s="2"/>
      <c r="VQN1" s="2"/>
      <c r="VQO1" s="2"/>
      <c r="VQP1" s="2"/>
      <c r="VQQ1" s="2"/>
      <c r="VQR1" s="2"/>
      <c r="VQS1" s="2"/>
      <c r="VQT1" s="2"/>
      <c r="VQU1" s="2"/>
      <c r="VQV1" s="2"/>
      <c r="VQW1" s="2"/>
      <c r="VQX1" s="2"/>
      <c r="VQY1" s="2"/>
      <c r="VQZ1" s="2"/>
      <c r="VRA1" s="2"/>
      <c r="VRB1" s="2"/>
      <c r="VRC1" s="2"/>
      <c r="VRD1" s="2"/>
      <c r="VRE1" s="2"/>
      <c r="VRF1" s="2"/>
      <c r="VRG1" s="2"/>
      <c r="VRH1" s="2"/>
      <c r="VRI1" s="2"/>
      <c r="VRJ1" s="2"/>
      <c r="VRK1" s="2"/>
      <c r="VRL1" s="2"/>
      <c r="VRM1" s="2"/>
      <c r="VRN1" s="2"/>
      <c r="VRO1" s="2"/>
      <c r="VRP1" s="2"/>
      <c r="VRQ1" s="2"/>
      <c r="VRR1" s="2"/>
      <c r="VRS1" s="2"/>
      <c r="VRT1" s="2"/>
      <c r="VRU1" s="2"/>
      <c r="VRV1" s="2"/>
      <c r="VRW1" s="2"/>
      <c r="VRX1" s="2"/>
      <c r="VRY1" s="2"/>
      <c r="VRZ1" s="2"/>
      <c r="VSA1" s="2"/>
      <c r="VSB1" s="2"/>
      <c r="VSC1" s="2"/>
      <c r="VSD1" s="2"/>
      <c r="VSE1" s="2"/>
      <c r="VSF1" s="2"/>
      <c r="VSG1" s="2"/>
      <c r="VSH1" s="2"/>
      <c r="VSI1" s="2"/>
      <c r="VSJ1" s="2"/>
      <c r="VSK1" s="2"/>
      <c r="VSL1" s="2"/>
      <c r="VSM1" s="2"/>
      <c r="VSN1" s="2"/>
      <c r="VSO1" s="2"/>
      <c r="VSP1" s="2"/>
      <c r="VSQ1" s="2"/>
      <c r="VSR1" s="2"/>
      <c r="VSS1" s="2"/>
      <c r="VST1" s="2"/>
      <c r="VSU1" s="2"/>
      <c r="VSV1" s="2"/>
      <c r="VSW1" s="2"/>
      <c r="VSX1" s="2"/>
      <c r="VSY1" s="2"/>
      <c r="VSZ1" s="2"/>
      <c r="VTA1" s="2"/>
      <c r="VTB1" s="2"/>
      <c r="VTC1" s="2"/>
      <c r="VTD1" s="2"/>
      <c r="VTE1" s="2"/>
      <c r="VTF1" s="2"/>
      <c r="VTG1" s="2"/>
      <c r="VTH1" s="2"/>
      <c r="VTI1" s="2"/>
      <c r="VTJ1" s="2"/>
      <c r="VTK1" s="2"/>
      <c r="VTL1" s="2"/>
      <c r="VTM1" s="2"/>
      <c r="VTN1" s="2"/>
      <c r="VTO1" s="2"/>
      <c r="VTP1" s="2"/>
      <c r="VTQ1" s="2"/>
      <c r="VTR1" s="2"/>
      <c r="VTS1" s="2"/>
      <c r="VTT1" s="2"/>
      <c r="VTU1" s="2"/>
      <c r="VTV1" s="2"/>
      <c r="VTW1" s="2"/>
      <c r="VTX1" s="2"/>
      <c r="VTY1" s="2"/>
      <c r="VTZ1" s="2"/>
      <c r="VUA1" s="2"/>
      <c r="VUB1" s="2"/>
      <c r="VUC1" s="2"/>
      <c r="VUD1" s="2"/>
      <c r="VUE1" s="2"/>
      <c r="VUF1" s="2"/>
      <c r="VUG1" s="2"/>
      <c r="VUH1" s="2"/>
      <c r="VUI1" s="2"/>
      <c r="VUJ1" s="2"/>
      <c r="VUK1" s="2"/>
      <c r="VUL1" s="2"/>
      <c r="VUM1" s="2"/>
      <c r="VUN1" s="2"/>
      <c r="VUO1" s="2"/>
      <c r="VUP1" s="2"/>
      <c r="VUQ1" s="2"/>
      <c r="VUR1" s="2"/>
      <c r="VUS1" s="2"/>
      <c r="VUT1" s="2"/>
      <c r="VUU1" s="2"/>
      <c r="VUV1" s="2"/>
      <c r="VUW1" s="2"/>
      <c r="VUX1" s="2"/>
      <c r="VUY1" s="2"/>
      <c r="VUZ1" s="2"/>
      <c r="VVA1" s="2"/>
      <c r="VVB1" s="2"/>
      <c r="VVC1" s="2"/>
      <c r="VVD1" s="2"/>
      <c r="VVE1" s="2"/>
      <c r="VVF1" s="2"/>
      <c r="VVG1" s="2"/>
      <c r="VVH1" s="2"/>
      <c r="VVI1" s="2"/>
      <c r="VVJ1" s="2"/>
      <c r="VVK1" s="2"/>
      <c r="VVL1" s="2"/>
      <c r="VVM1" s="2"/>
      <c r="VVN1" s="2"/>
      <c r="VVO1" s="2"/>
      <c r="VVP1" s="2"/>
      <c r="VVQ1" s="2"/>
      <c r="VVR1" s="2"/>
      <c r="VVS1" s="2"/>
      <c r="VVT1" s="2"/>
      <c r="VVU1" s="2"/>
      <c r="VVV1" s="2"/>
      <c r="VVW1" s="2"/>
      <c r="VVX1" s="2"/>
      <c r="VVY1" s="2"/>
      <c r="VVZ1" s="2"/>
      <c r="VWA1" s="2"/>
      <c r="VWB1" s="2"/>
      <c r="VWC1" s="2"/>
      <c r="VWD1" s="2"/>
      <c r="VWE1" s="2"/>
      <c r="VWF1" s="2"/>
      <c r="VWG1" s="2"/>
      <c r="VWH1" s="2"/>
      <c r="VWI1" s="2"/>
      <c r="VWJ1" s="2"/>
      <c r="VWK1" s="2"/>
      <c r="VWL1" s="2"/>
      <c r="VWM1" s="2"/>
      <c r="VWN1" s="2"/>
      <c r="VWO1" s="2"/>
      <c r="VWP1" s="2"/>
      <c r="VWQ1" s="2"/>
      <c r="VWR1" s="2"/>
      <c r="VWS1" s="2"/>
      <c r="VWT1" s="2"/>
      <c r="VWU1" s="2"/>
      <c r="VWV1" s="2"/>
      <c r="VWW1" s="2"/>
      <c r="VWX1" s="2"/>
      <c r="VWY1" s="2"/>
      <c r="VWZ1" s="2"/>
      <c r="VXA1" s="2"/>
      <c r="VXB1" s="2"/>
      <c r="VXC1" s="2"/>
      <c r="VXD1" s="2"/>
      <c r="VXE1" s="2"/>
      <c r="VXF1" s="2"/>
      <c r="VXG1" s="2"/>
      <c r="VXH1" s="2"/>
      <c r="VXI1" s="2"/>
      <c r="VXJ1" s="2"/>
      <c r="VXK1" s="2"/>
      <c r="VXL1" s="2"/>
      <c r="VXM1" s="2"/>
      <c r="VXN1" s="2"/>
      <c r="VXO1" s="2"/>
      <c r="VXP1" s="2"/>
      <c r="VXQ1" s="2"/>
      <c r="VXR1" s="2"/>
      <c r="VXS1" s="2"/>
      <c r="VXT1" s="2"/>
      <c r="VXU1" s="2"/>
      <c r="VXV1" s="2"/>
      <c r="VXW1" s="2"/>
      <c r="VXX1" s="2"/>
      <c r="VXY1" s="2"/>
      <c r="VXZ1" s="2"/>
      <c r="VYA1" s="2"/>
      <c r="VYB1" s="2"/>
      <c r="VYC1" s="2"/>
      <c r="VYD1" s="2"/>
      <c r="VYE1" s="2"/>
      <c r="VYF1" s="2"/>
      <c r="VYG1" s="2"/>
      <c r="VYH1" s="2"/>
      <c r="VYI1" s="2"/>
      <c r="VYJ1" s="2"/>
      <c r="VYK1" s="2"/>
      <c r="VYL1" s="2"/>
      <c r="VYM1" s="2"/>
      <c r="VYN1" s="2"/>
      <c r="VYO1" s="2"/>
      <c r="VYP1" s="2"/>
      <c r="VYQ1" s="2"/>
      <c r="VYR1" s="2"/>
      <c r="VYS1" s="2"/>
      <c r="VYT1" s="2"/>
      <c r="VYU1" s="2"/>
      <c r="VYV1" s="2"/>
      <c r="VYW1" s="2"/>
      <c r="VYX1" s="2"/>
      <c r="VYY1" s="2"/>
      <c r="VYZ1" s="2"/>
      <c r="VZA1" s="2"/>
      <c r="VZB1" s="2"/>
      <c r="VZC1" s="2"/>
      <c r="VZD1" s="2"/>
      <c r="VZE1" s="2"/>
      <c r="VZF1" s="2"/>
      <c r="VZG1" s="2"/>
      <c r="VZH1" s="2"/>
      <c r="VZI1" s="2"/>
      <c r="VZJ1" s="2"/>
      <c r="VZK1" s="2"/>
      <c r="VZL1" s="2"/>
      <c r="VZM1" s="2"/>
      <c r="VZN1" s="2"/>
      <c r="VZO1" s="2"/>
      <c r="VZP1" s="2"/>
      <c r="VZQ1" s="2"/>
      <c r="VZR1" s="2"/>
      <c r="VZS1" s="2"/>
      <c r="VZT1" s="2"/>
      <c r="VZU1" s="2"/>
      <c r="VZV1" s="2"/>
      <c r="VZW1" s="2"/>
      <c r="VZX1" s="2"/>
      <c r="VZY1" s="2"/>
      <c r="VZZ1" s="2"/>
      <c r="WAA1" s="2"/>
      <c r="WAB1" s="2"/>
      <c r="WAC1" s="2"/>
      <c r="WAD1" s="2"/>
      <c r="WAE1" s="2"/>
      <c r="WAF1" s="2"/>
      <c r="WAG1" s="2"/>
      <c r="WAH1" s="2"/>
      <c r="WAI1" s="2"/>
      <c r="WAJ1" s="2"/>
      <c r="WAK1" s="2"/>
      <c r="WAL1" s="2"/>
      <c r="WAM1" s="2"/>
      <c r="WAN1" s="2"/>
      <c r="WAO1" s="2"/>
      <c r="WAP1" s="2"/>
      <c r="WAQ1" s="2"/>
      <c r="WAR1" s="2"/>
      <c r="WAS1" s="2"/>
      <c r="WAT1" s="2"/>
      <c r="WAU1" s="2"/>
      <c r="WAV1" s="2"/>
      <c r="WAW1" s="2"/>
      <c r="WAX1" s="2"/>
      <c r="WAY1" s="2"/>
      <c r="WAZ1" s="2"/>
      <c r="WBA1" s="2"/>
      <c r="WBB1" s="2"/>
      <c r="WBC1" s="2"/>
      <c r="WBD1" s="2"/>
      <c r="WBE1" s="2"/>
      <c r="WBF1" s="2"/>
      <c r="WBG1" s="2"/>
      <c r="WBH1" s="2"/>
      <c r="WBI1" s="2"/>
      <c r="WBJ1" s="2"/>
      <c r="WBK1" s="2"/>
      <c r="WBL1" s="2"/>
      <c r="WBM1" s="2"/>
      <c r="WBN1" s="2"/>
      <c r="WBO1" s="2"/>
      <c r="WBP1" s="2"/>
      <c r="WBQ1" s="2"/>
      <c r="WBR1" s="2"/>
      <c r="WBS1" s="2"/>
      <c r="WBT1" s="2"/>
      <c r="WBU1" s="2"/>
      <c r="WBV1" s="2"/>
      <c r="WBW1" s="2"/>
      <c r="WBX1" s="2"/>
      <c r="WBY1" s="2"/>
      <c r="WBZ1" s="2"/>
      <c r="WCA1" s="2"/>
      <c r="WCB1" s="2"/>
      <c r="WCC1" s="2"/>
      <c r="WCD1" s="2"/>
      <c r="WCE1" s="2"/>
      <c r="WCF1" s="2"/>
      <c r="WCG1" s="2"/>
      <c r="WCH1" s="2"/>
      <c r="WCI1" s="2"/>
      <c r="WCJ1" s="2"/>
      <c r="WCK1" s="2"/>
      <c r="WCL1" s="2"/>
      <c r="WCM1" s="2"/>
      <c r="WCN1" s="2"/>
      <c r="WCO1" s="2"/>
      <c r="WCP1" s="2"/>
      <c r="WCQ1" s="2"/>
      <c r="WCR1" s="2"/>
      <c r="WCS1" s="2"/>
      <c r="WCT1" s="2"/>
      <c r="WCU1" s="2"/>
      <c r="WCV1" s="2"/>
      <c r="WCW1" s="2"/>
      <c r="WCX1" s="2"/>
      <c r="WCY1" s="2"/>
      <c r="WCZ1" s="2"/>
      <c r="WDA1" s="2"/>
      <c r="WDB1" s="2"/>
      <c r="WDC1" s="2"/>
      <c r="WDD1" s="2"/>
      <c r="WDE1" s="2"/>
      <c r="WDF1" s="2"/>
      <c r="WDG1" s="2"/>
      <c r="WDH1" s="2"/>
      <c r="WDI1" s="2"/>
      <c r="WDJ1" s="2"/>
      <c r="WDK1" s="2"/>
      <c r="WDL1" s="2"/>
      <c r="WDM1" s="2"/>
      <c r="WDN1" s="2"/>
      <c r="WDO1" s="2"/>
      <c r="WDP1" s="2"/>
      <c r="WDQ1" s="2"/>
      <c r="WDR1" s="2"/>
      <c r="WDS1" s="2"/>
      <c r="WDT1" s="2"/>
      <c r="WDU1" s="2"/>
      <c r="WDV1" s="2"/>
      <c r="WDW1" s="2"/>
      <c r="WDX1" s="2"/>
      <c r="WDY1" s="2"/>
      <c r="WDZ1" s="2"/>
      <c r="WEA1" s="2"/>
      <c r="WEB1" s="2"/>
      <c r="WEC1" s="2"/>
      <c r="WED1" s="2"/>
      <c r="WEE1" s="2"/>
      <c r="WEF1" s="2"/>
      <c r="WEG1" s="2"/>
      <c r="WEH1" s="2"/>
      <c r="WEI1" s="2"/>
      <c r="WEJ1" s="2"/>
      <c r="WEK1" s="2"/>
      <c r="WEL1" s="2"/>
      <c r="WEM1" s="2"/>
      <c r="WEN1" s="2"/>
      <c r="WEO1" s="2"/>
      <c r="WEP1" s="2"/>
      <c r="WEQ1" s="2"/>
      <c r="WER1" s="2"/>
      <c r="WES1" s="2"/>
      <c r="WET1" s="2"/>
      <c r="WEU1" s="2"/>
      <c r="WEV1" s="2"/>
      <c r="WEW1" s="2"/>
      <c r="WEX1" s="2"/>
      <c r="WEY1" s="2"/>
      <c r="WEZ1" s="2"/>
      <c r="WFA1" s="2"/>
      <c r="WFB1" s="2"/>
      <c r="WFC1" s="2"/>
      <c r="WFD1" s="2"/>
      <c r="WFE1" s="2"/>
      <c r="WFF1" s="2"/>
      <c r="WFG1" s="2"/>
      <c r="WFH1" s="2"/>
      <c r="WFI1" s="2"/>
      <c r="WFJ1" s="2"/>
      <c r="WFK1" s="2"/>
      <c r="WFL1" s="2"/>
      <c r="WFM1" s="2"/>
      <c r="WFN1" s="2"/>
      <c r="WFO1" s="2"/>
      <c r="WFP1" s="2"/>
      <c r="WFQ1" s="2"/>
      <c r="WFR1" s="2"/>
      <c r="WFS1" s="2"/>
      <c r="WFT1" s="2"/>
      <c r="WFU1" s="2"/>
      <c r="WFV1" s="2"/>
      <c r="WFW1" s="2"/>
      <c r="WFX1" s="2"/>
      <c r="WFY1" s="2"/>
      <c r="WFZ1" s="2"/>
      <c r="WGA1" s="2"/>
      <c r="WGB1" s="2"/>
      <c r="WGC1" s="2"/>
      <c r="WGD1" s="2"/>
      <c r="WGE1" s="2"/>
      <c r="WGF1" s="2"/>
      <c r="WGG1" s="2"/>
      <c r="WGH1" s="2"/>
      <c r="WGI1" s="2"/>
      <c r="WGJ1" s="2"/>
      <c r="WGK1" s="2"/>
      <c r="WGL1" s="2"/>
      <c r="WGM1" s="2"/>
      <c r="WGN1" s="2"/>
      <c r="WGO1" s="2"/>
      <c r="WGP1" s="2"/>
      <c r="WGQ1" s="2"/>
      <c r="WGR1" s="2"/>
      <c r="WGS1" s="2"/>
      <c r="WGT1" s="2"/>
      <c r="WGU1" s="2"/>
      <c r="WGV1" s="2"/>
      <c r="WGW1" s="2"/>
      <c r="WGX1" s="2"/>
      <c r="WGY1" s="2"/>
      <c r="WGZ1" s="2"/>
      <c r="WHA1" s="2"/>
      <c r="WHB1" s="2"/>
      <c r="WHC1" s="2"/>
      <c r="WHD1" s="2"/>
      <c r="WHE1" s="2"/>
      <c r="WHF1" s="2"/>
      <c r="WHG1" s="2"/>
      <c r="WHH1" s="2"/>
      <c r="WHI1" s="2"/>
      <c r="WHJ1" s="2"/>
      <c r="WHK1" s="2"/>
      <c r="WHL1" s="2"/>
      <c r="WHM1" s="2"/>
      <c r="WHN1" s="2"/>
      <c r="WHO1" s="2"/>
      <c r="WHP1" s="2"/>
      <c r="WHQ1" s="2"/>
      <c r="WHR1" s="2"/>
      <c r="WHS1" s="2"/>
      <c r="WHT1" s="2"/>
      <c r="WHU1" s="2"/>
      <c r="WHV1" s="2"/>
      <c r="WHW1" s="2"/>
      <c r="WHX1" s="2"/>
      <c r="WHY1" s="2"/>
      <c r="WHZ1" s="2"/>
      <c r="WIA1" s="2"/>
      <c r="WIB1" s="2"/>
      <c r="WIC1" s="2"/>
      <c r="WID1" s="2"/>
      <c r="WIE1" s="2"/>
      <c r="WIF1" s="2"/>
      <c r="WIG1" s="2"/>
      <c r="WIH1" s="2"/>
      <c r="WII1" s="2"/>
      <c r="WIJ1" s="2"/>
      <c r="WIK1" s="2"/>
      <c r="WIL1" s="2"/>
      <c r="WIM1" s="2"/>
      <c r="WIN1" s="2"/>
      <c r="WIO1" s="2"/>
      <c r="WIP1" s="2"/>
      <c r="WIQ1" s="2"/>
      <c r="WIR1" s="2"/>
      <c r="WIS1" s="2"/>
      <c r="WIT1" s="2"/>
      <c r="WIU1" s="2"/>
      <c r="WIV1" s="2"/>
      <c r="WIW1" s="2"/>
      <c r="WIX1" s="2"/>
      <c r="WIY1" s="2"/>
      <c r="WIZ1" s="2"/>
      <c r="WJA1" s="2"/>
      <c r="WJB1" s="2"/>
      <c r="WJC1" s="2"/>
      <c r="WJD1" s="2"/>
      <c r="WJE1" s="2"/>
      <c r="WJF1" s="2"/>
      <c r="WJG1" s="2"/>
      <c r="WJH1" s="2"/>
      <c r="WJI1" s="2"/>
      <c r="WJJ1" s="2"/>
      <c r="WJK1" s="2"/>
      <c r="WJL1" s="2"/>
      <c r="WJM1" s="2"/>
      <c r="WJN1" s="2"/>
      <c r="WJO1" s="2"/>
      <c r="WJP1" s="2"/>
      <c r="WJQ1" s="2"/>
      <c r="WJR1" s="2"/>
      <c r="WJS1" s="2"/>
      <c r="WJT1" s="2"/>
      <c r="WJU1" s="2"/>
      <c r="WJV1" s="2"/>
      <c r="WJW1" s="2"/>
      <c r="WJX1" s="2"/>
      <c r="WJY1" s="2"/>
      <c r="WJZ1" s="2"/>
      <c r="WKA1" s="2"/>
      <c r="WKB1" s="2"/>
      <c r="WKC1" s="2"/>
      <c r="WKD1" s="2"/>
      <c r="WKE1" s="2"/>
      <c r="WKF1" s="2"/>
      <c r="WKG1" s="2"/>
      <c r="WKH1" s="2"/>
      <c r="WKI1" s="2"/>
      <c r="WKJ1" s="2"/>
      <c r="WKK1" s="2"/>
      <c r="WKL1" s="2"/>
      <c r="WKM1" s="2"/>
      <c r="WKN1" s="2"/>
      <c r="WKO1" s="2"/>
      <c r="WKP1" s="2"/>
      <c r="WKQ1" s="2"/>
      <c r="WKR1" s="2"/>
      <c r="WKS1" s="2"/>
      <c r="WKT1" s="2"/>
      <c r="WKU1" s="2"/>
      <c r="WKV1" s="2"/>
      <c r="WKW1" s="2"/>
      <c r="WKX1" s="2"/>
      <c r="WKY1" s="2"/>
      <c r="WKZ1" s="2"/>
      <c r="WLA1" s="2"/>
      <c r="WLB1" s="2"/>
      <c r="WLC1" s="2"/>
      <c r="WLD1" s="2"/>
      <c r="WLE1" s="2"/>
      <c r="WLF1" s="2"/>
      <c r="WLG1" s="2"/>
      <c r="WLH1" s="2"/>
      <c r="WLI1" s="2"/>
      <c r="WLJ1" s="2"/>
      <c r="WLK1" s="2"/>
      <c r="WLL1" s="2"/>
      <c r="WLM1" s="2"/>
      <c r="WLN1" s="2"/>
      <c r="WLO1" s="2"/>
      <c r="WLP1" s="2"/>
      <c r="WLQ1" s="2"/>
      <c r="WLR1" s="2"/>
      <c r="WLS1" s="2"/>
      <c r="WLT1" s="2"/>
      <c r="WLU1" s="2"/>
      <c r="WLV1" s="2"/>
      <c r="WLW1" s="2"/>
      <c r="WLX1" s="2"/>
      <c r="WLY1" s="2"/>
      <c r="WLZ1" s="2"/>
      <c r="WMA1" s="2"/>
      <c r="WMB1" s="2"/>
      <c r="WMC1" s="2"/>
      <c r="WMD1" s="2"/>
      <c r="WME1" s="2"/>
      <c r="WMF1" s="2"/>
      <c r="WMG1" s="2"/>
      <c r="WMH1" s="2"/>
      <c r="WMI1" s="2"/>
      <c r="WMJ1" s="2"/>
      <c r="WMK1" s="2"/>
      <c r="WML1" s="2"/>
      <c r="WMM1" s="2"/>
      <c r="WMN1" s="2"/>
      <c r="WMO1" s="2"/>
      <c r="WMP1" s="2"/>
      <c r="WMQ1" s="2"/>
      <c r="WMR1" s="2"/>
      <c r="WMS1" s="2"/>
      <c r="WMT1" s="2"/>
      <c r="WMU1" s="2"/>
      <c r="WMV1" s="2"/>
      <c r="WMW1" s="2"/>
      <c r="WMX1" s="2"/>
      <c r="WMY1" s="2"/>
      <c r="WMZ1" s="2"/>
      <c r="WNA1" s="2"/>
      <c r="WNB1" s="2"/>
      <c r="WNC1" s="2"/>
      <c r="WND1" s="2"/>
      <c r="WNE1" s="2"/>
      <c r="WNF1" s="2"/>
      <c r="WNG1" s="2"/>
      <c r="WNH1" s="2"/>
      <c r="WNI1" s="2"/>
      <c r="WNJ1" s="2"/>
      <c r="WNK1" s="2"/>
      <c r="WNL1" s="2"/>
      <c r="WNM1" s="2"/>
      <c r="WNN1" s="2"/>
      <c r="WNO1" s="2"/>
      <c r="WNP1" s="2"/>
      <c r="WNQ1" s="2"/>
      <c r="WNR1" s="2"/>
      <c r="WNS1" s="2"/>
      <c r="WNT1" s="2"/>
      <c r="WNU1" s="2"/>
      <c r="WNV1" s="2"/>
      <c r="WNW1" s="2"/>
      <c r="WNX1" s="2"/>
      <c r="WNY1" s="2"/>
      <c r="WNZ1" s="2"/>
      <c r="WOA1" s="2"/>
      <c r="WOB1" s="2"/>
      <c r="WOC1" s="2"/>
      <c r="WOD1" s="2"/>
      <c r="WOE1" s="2"/>
      <c r="WOF1" s="2"/>
      <c r="WOG1" s="2"/>
      <c r="WOH1" s="2"/>
      <c r="WOI1" s="2"/>
      <c r="WOJ1" s="2"/>
      <c r="WOK1" s="2"/>
      <c r="WOL1" s="2"/>
      <c r="WOM1" s="2"/>
      <c r="WON1" s="2"/>
      <c r="WOO1" s="2"/>
      <c r="WOP1" s="2"/>
      <c r="WOQ1" s="2"/>
      <c r="WOR1" s="2"/>
      <c r="WOS1" s="2"/>
      <c r="WOT1" s="2"/>
      <c r="WOU1" s="2"/>
      <c r="WOV1" s="2"/>
      <c r="WOW1" s="2"/>
      <c r="WOX1" s="2"/>
      <c r="WOY1" s="2"/>
      <c r="WOZ1" s="2"/>
      <c r="WPA1" s="2"/>
      <c r="WPB1" s="2"/>
      <c r="WPC1" s="2"/>
      <c r="WPD1" s="2"/>
      <c r="WPE1" s="2"/>
      <c r="WPF1" s="2"/>
      <c r="WPG1" s="2"/>
      <c r="WPH1" s="2"/>
      <c r="WPI1" s="2"/>
      <c r="WPJ1" s="2"/>
      <c r="WPK1" s="2"/>
      <c r="WPL1" s="2"/>
      <c r="WPM1" s="2"/>
      <c r="WPN1" s="2"/>
      <c r="WPO1" s="2"/>
      <c r="WPP1" s="2"/>
      <c r="WPQ1" s="2"/>
      <c r="WPR1" s="2"/>
      <c r="WPS1" s="2"/>
      <c r="WPT1" s="2"/>
      <c r="WPU1" s="2"/>
      <c r="WPV1" s="2"/>
      <c r="WPW1" s="2"/>
      <c r="WPX1" s="2"/>
      <c r="WPY1" s="2"/>
      <c r="WPZ1" s="2"/>
      <c r="WQA1" s="2"/>
      <c r="WQB1" s="2"/>
      <c r="WQC1" s="2"/>
      <c r="WQD1" s="2"/>
      <c r="WQE1" s="2"/>
      <c r="WQF1" s="2"/>
      <c r="WQG1" s="2"/>
      <c r="WQH1" s="2"/>
      <c r="WQI1" s="2"/>
      <c r="WQJ1" s="2"/>
      <c r="WQK1" s="2"/>
      <c r="WQL1" s="2"/>
      <c r="WQM1" s="2"/>
      <c r="WQN1" s="2"/>
      <c r="WQO1" s="2"/>
      <c r="WQP1" s="2"/>
      <c r="WQQ1" s="2"/>
      <c r="WQR1" s="2"/>
      <c r="WQS1" s="2"/>
      <c r="WQT1" s="2"/>
      <c r="WQU1" s="2"/>
      <c r="WQV1" s="2"/>
      <c r="WQW1" s="2"/>
      <c r="WQX1" s="2"/>
      <c r="WQY1" s="2"/>
      <c r="WQZ1" s="2"/>
      <c r="WRA1" s="2"/>
      <c r="WRB1" s="2"/>
      <c r="WRC1" s="2"/>
      <c r="WRD1" s="2"/>
      <c r="WRE1" s="2"/>
      <c r="WRF1" s="2"/>
      <c r="WRG1" s="2"/>
      <c r="WRH1" s="2"/>
      <c r="WRI1" s="2"/>
      <c r="WRJ1" s="2"/>
      <c r="WRK1" s="2"/>
      <c r="WRL1" s="2"/>
      <c r="WRM1" s="2"/>
      <c r="WRN1" s="2"/>
      <c r="WRO1" s="2"/>
      <c r="WRP1" s="2"/>
      <c r="WRQ1" s="2"/>
      <c r="WRR1" s="2"/>
      <c r="WRS1" s="2"/>
      <c r="WRT1" s="2"/>
      <c r="WRU1" s="2"/>
      <c r="WRV1" s="2"/>
      <c r="WRW1" s="2"/>
      <c r="WRX1" s="2"/>
      <c r="WRY1" s="2"/>
      <c r="WRZ1" s="2"/>
      <c r="WSA1" s="2"/>
      <c r="WSB1" s="2"/>
      <c r="WSC1" s="2"/>
      <c r="WSD1" s="2"/>
      <c r="WSE1" s="2"/>
      <c r="WSF1" s="2"/>
      <c r="WSG1" s="2"/>
      <c r="WSH1" s="2"/>
      <c r="WSI1" s="2"/>
      <c r="WSJ1" s="2"/>
      <c r="WSK1" s="2"/>
      <c r="WSL1" s="2"/>
      <c r="WSM1" s="2"/>
      <c r="WSN1" s="2"/>
      <c r="WSO1" s="2"/>
      <c r="WSP1" s="2"/>
      <c r="WSQ1" s="2"/>
      <c r="WSR1" s="2"/>
      <c r="WSS1" s="2"/>
      <c r="WST1" s="2"/>
      <c r="WSU1" s="2"/>
      <c r="WSV1" s="2"/>
      <c r="WSW1" s="2"/>
      <c r="WSX1" s="2"/>
      <c r="WSY1" s="2"/>
      <c r="WSZ1" s="2"/>
      <c r="WTA1" s="2"/>
      <c r="WTB1" s="2"/>
      <c r="WTC1" s="2"/>
      <c r="WTD1" s="2"/>
      <c r="WTE1" s="2"/>
      <c r="WTF1" s="2"/>
      <c r="WTG1" s="2"/>
      <c r="WTH1" s="2"/>
      <c r="WTI1" s="2"/>
      <c r="WTJ1" s="2"/>
      <c r="WTK1" s="2"/>
      <c r="WTL1" s="2"/>
      <c r="WTM1" s="2"/>
      <c r="WTN1" s="2"/>
      <c r="WTO1" s="2"/>
      <c r="WTP1" s="2"/>
      <c r="WTQ1" s="2"/>
      <c r="WTR1" s="2"/>
      <c r="WTS1" s="2"/>
      <c r="WTT1" s="2"/>
      <c r="WTU1" s="2"/>
      <c r="WTV1" s="2"/>
      <c r="WTW1" s="2"/>
      <c r="WTX1" s="2"/>
      <c r="WTY1" s="2"/>
      <c r="WTZ1" s="2"/>
      <c r="WUA1" s="2"/>
      <c r="WUB1" s="2"/>
      <c r="WUC1" s="2"/>
      <c r="WUD1" s="2"/>
      <c r="WUE1" s="2"/>
      <c r="WUF1" s="2"/>
      <c r="WUG1" s="2"/>
      <c r="WUH1" s="2"/>
      <c r="WUI1" s="2"/>
      <c r="WUJ1" s="2"/>
      <c r="WUK1" s="2"/>
      <c r="WUL1" s="2"/>
      <c r="WUM1" s="2"/>
      <c r="WUN1" s="2"/>
      <c r="WUO1" s="2"/>
      <c r="WUP1" s="2"/>
      <c r="WUQ1" s="2"/>
      <c r="WUR1" s="2"/>
      <c r="WUS1" s="2"/>
      <c r="WUT1" s="2"/>
      <c r="WUU1" s="2"/>
      <c r="WUV1" s="2"/>
      <c r="WUW1" s="2"/>
      <c r="WUX1" s="2"/>
      <c r="WUY1" s="2"/>
      <c r="WUZ1" s="2"/>
      <c r="WVA1" s="2"/>
      <c r="WVB1" s="2"/>
      <c r="WVC1" s="2"/>
      <c r="WVD1" s="2"/>
      <c r="WVE1" s="2"/>
      <c r="WVF1" s="2"/>
      <c r="WVG1" s="2"/>
      <c r="WVH1" s="2"/>
      <c r="WVI1" s="2"/>
      <c r="WVJ1" s="2"/>
      <c r="WVK1" s="2"/>
      <c r="WVL1" s="2"/>
      <c r="WVM1" s="2"/>
      <c r="WVN1" s="2"/>
      <c r="WVO1" s="2"/>
      <c r="WVP1" s="2"/>
      <c r="WVQ1" s="2"/>
      <c r="WVR1" s="2"/>
      <c r="WVS1" s="2"/>
      <c r="WVT1" s="2"/>
      <c r="WVU1" s="2"/>
      <c r="WVV1" s="2"/>
      <c r="WVW1" s="2"/>
      <c r="WVX1" s="2"/>
      <c r="WVY1" s="2"/>
      <c r="WVZ1" s="2"/>
      <c r="WWA1" s="2"/>
      <c r="WWB1" s="2"/>
      <c r="WWC1" s="2"/>
      <c r="WWD1" s="2"/>
      <c r="WWE1" s="2"/>
      <c r="WWF1" s="2"/>
      <c r="WWG1" s="2"/>
      <c r="WWH1" s="2"/>
      <c r="WWI1" s="2"/>
      <c r="WWJ1" s="2"/>
      <c r="WWK1" s="2"/>
      <c r="WWL1" s="2"/>
      <c r="WWM1" s="2"/>
      <c r="WWN1" s="2"/>
      <c r="WWO1" s="2"/>
      <c r="WWP1" s="2"/>
      <c r="WWQ1" s="2"/>
      <c r="WWR1" s="2"/>
      <c r="WWS1" s="2"/>
      <c r="WWT1" s="2"/>
      <c r="WWU1" s="2"/>
      <c r="WWV1" s="2"/>
      <c r="WWW1" s="2"/>
      <c r="WWX1" s="2"/>
      <c r="WWY1" s="2"/>
      <c r="WWZ1" s="2"/>
      <c r="WXA1" s="2"/>
      <c r="WXB1" s="2"/>
      <c r="WXC1" s="2"/>
      <c r="WXD1" s="2"/>
      <c r="WXE1" s="2"/>
      <c r="WXF1" s="2"/>
      <c r="WXG1" s="2"/>
      <c r="WXH1" s="2"/>
      <c r="WXI1" s="2"/>
      <c r="WXJ1" s="2"/>
      <c r="WXK1" s="2"/>
      <c r="WXL1" s="2"/>
      <c r="WXM1" s="2"/>
      <c r="WXN1" s="2"/>
      <c r="WXO1" s="2"/>
      <c r="WXP1" s="2"/>
      <c r="WXQ1" s="2"/>
      <c r="WXR1" s="2"/>
      <c r="WXS1" s="2"/>
      <c r="WXT1" s="2"/>
      <c r="WXU1" s="2"/>
      <c r="WXV1" s="2"/>
      <c r="WXW1" s="2"/>
      <c r="WXX1" s="2"/>
      <c r="WXY1" s="2"/>
      <c r="WXZ1" s="2"/>
      <c r="WYA1" s="2"/>
      <c r="WYB1" s="2"/>
      <c r="WYC1" s="2"/>
      <c r="WYD1" s="2"/>
      <c r="WYE1" s="2"/>
      <c r="WYF1" s="2"/>
      <c r="WYG1" s="2"/>
      <c r="WYH1" s="2"/>
      <c r="WYI1" s="2"/>
      <c r="WYJ1" s="2"/>
      <c r="WYK1" s="2"/>
      <c r="WYL1" s="2"/>
      <c r="WYM1" s="2"/>
      <c r="WYN1" s="2"/>
      <c r="WYO1" s="2"/>
      <c r="WYP1" s="2"/>
      <c r="WYQ1" s="2"/>
      <c r="WYR1" s="2"/>
      <c r="WYS1" s="2"/>
      <c r="WYT1" s="2"/>
      <c r="WYU1" s="2"/>
      <c r="WYV1" s="2"/>
      <c r="WYW1" s="2"/>
      <c r="WYX1" s="2"/>
      <c r="WYY1" s="2"/>
      <c r="WYZ1" s="2"/>
      <c r="WZA1" s="2"/>
      <c r="WZB1" s="2"/>
      <c r="WZC1" s="2"/>
      <c r="WZD1" s="2"/>
      <c r="WZE1" s="2"/>
      <c r="WZF1" s="2"/>
      <c r="WZG1" s="2"/>
      <c r="WZH1" s="2"/>
      <c r="WZI1" s="2"/>
      <c r="WZJ1" s="2"/>
      <c r="WZK1" s="2"/>
      <c r="WZL1" s="2"/>
      <c r="WZM1" s="2"/>
      <c r="WZN1" s="2"/>
      <c r="WZO1" s="2"/>
      <c r="WZP1" s="2"/>
      <c r="WZQ1" s="2"/>
      <c r="WZR1" s="2"/>
      <c r="WZS1" s="2"/>
      <c r="WZT1" s="2"/>
      <c r="WZU1" s="2"/>
      <c r="WZV1" s="2"/>
      <c r="WZW1" s="2"/>
      <c r="WZX1" s="2"/>
      <c r="WZY1" s="2"/>
      <c r="WZZ1" s="2"/>
      <c r="XAA1" s="2"/>
      <c r="XAB1" s="2"/>
      <c r="XAC1" s="2"/>
      <c r="XAD1" s="2"/>
      <c r="XAE1" s="2"/>
      <c r="XAF1" s="2"/>
      <c r="XAG1" s="2"/>
      <c r="XAH1" s="2"/>
      <c r="XAI1" s="2"/>
      <c r="XAJ1" s="2"/>
      <c r="XAK1" s="2"/>
      <c r="XAL1" s="2"/>
      <c r="XAM1" s="2"/>
      <c r="XAN1" s="2"/>
      <c r="XAO1" s="2"/>
      <c r="XAP1" s="2"/>
      <c r="XAQ1" s="2"/>
      <c r="XAR1" s="2"/>
      <c r="XAS1" s="2"/>
      <c r="XAT1" s="2"/>
      <c r="XAU1" s="2"/>
      <c r="XAV1" s="2"/>
      <c r="XAW1" s="2"/>
      <c r="XAX1" s="2"/>
      <c r="XAY1" s="2"/>
      <c r="XAZ1" s="2"/>
      <c r="XBA1" s="2"/>
      <c r="XBB1" s="2"/>
      <c r="XBC1" s="2"/>
      <c r="XBD1" s="2"/>
      <c r="XBE1" s="2"/>
      <c r="XBF1" s="2"/>
      <c r="XBG1" s="2"/>
      <c r="XBH1" s="2"/>
      <c r="XBI1" s="2"/>
      <c r="XBJ1" s="2"/>
      <c r="XBK1" s="2"/>
      <c r="XBL1" s="2"/>
      <c r="XBM1" s="2"/>
      <c r="XBN1" s="2"/>
      <c r="XBO1" s="2"/>
      <c r="XBP1" s="2"/>
      <c r="XBQ1" s="2"/>
      <c r="XBR1" s="2"/>
      <c r="XBS1" s="2"/>
      <c r="XBT1" s="2"/>
      <c r="XBU1" s="2"/>
      <c r="XBV1" s="2"/>
      <c r="XBW1" s="2"/>
      <c r="XBX1" s="2"/>
      <c r="XBY1" s="2"/>
      <c r="XBZ1" s="2"/>
      <c r="XCA1" s="2"/>
      <c r="XCB1" s="2"/>
      <c r="XCC1" s="2"/>
      <c r="XCD1" s="2"/>
      <c r="XCE1" s="2"/>
      <c r="XCF1" s="2"/>
      <c r="XCG1" s="2"/>
      <c r="XCH1" s="2"/>
      <c r="XCI1" s="2"/>
      <c r="XCJ1" s="2"/>
      <c r="XCK1" s="2"/>
      <c r="XCL1" s="2"/>
      <c r="XCM1" s="2"/>
      <c r="XCN1" s="2"/>
      <c r="XCO1" s="2"/>
      <c r="XCP1" s="2"/>
      <c r="XCQ1" s="2"/>
      <c r="XCR1" s="2"/>
      <c r="XCS1" s="2"/>
      <c r="XCT1" s="2"/>
      <c r="XCU1" s="2"/>
      <c r="XCV1" s="2"/>
      <c r="XCW1" s="2"/>
      <c r="XCX1" s="2"/>
      <c r="XCY1" s="2"/>
      <c r="XCZ1" s="2"/>
      <c r="XDA1" s="2"/>
      <c r="XDB1" s="2"/>
      <c r="XDC1" s="2"/>
      <c r="XDD1" s="2"/>
      <c r="XDE1" s="2"/>
      <c r="XDF1" s="2"/>
      <c r="XDG1" s="2"/>
      <c r="XDH1" s="2"/>
      <c r="XDI1" s="2"/>
      <c r="XDJ1" s="2"/>
      <c r="XDK1" s="2"/>
      <c r="XDL1" s="2"/>
      <c r="XDM1" s="2"/>
      <c r="XDN1" s="2"/>
      <c r="XDO1" s="2"/>
      <c r="XDP1" s="2"/>
      <c r="XDQ1" s="2"/>
      <c r="XDR1" s="2"/>
      <c r="XDS1" s="2"/>
      <c r="XDT1" s="2"/>
      <c r="XDU1" s="2"/>
      <c r="XDV1" s="2"/>
      <c r="XDW1" s="2"/>
      <c r="XDX1" s="2"/>
      <c r="XDY1" s="2"/>
      <c r="XDZ1" s="2"/>
      <c r="XEA1" s="2"/>
      <c r="XEB1" s="2"/>
      <c r="XEC1" s="2"/>
      <c r="XED1" s="2"/>
      <c r="XEE1" s="2"/>
      <c r="XEF1" s="2"/>
      <c r="XEG1" s="2"/>
      <c r="XEH1" s="2"/>
      <c r="XEI1" s="2"/>
      <c r="XEJ1" s="2"/>
      <c r="XEK1" s="2"/>
      <c r="XEL1" s="2"/>
      <c r="XEM1" s="2"/>
      <c r="XEN1" s="2"/>
      <c r="XEO1" s="2"/>
      <c r="XEP1" s="2"/>
      <c r="XEQ1" s="2"/>
      <c r="XER1" s="2"/>
      <c r="XES1" s="2"/>
      <c r="XET1" s="2"/>
      <c r="XEU1" s="2"/>
      <c r="XEV1" s="2"/>
      <c r="XEW1" s="2"/>
      <c r="XEX1" s="2"/>
      <c r="XEY1" s="2"/>
      <c r="XEZ1" s="2"/>
      <c r="XFA1" s="2"/>
      <c r="XFB1" s="2"/>
      <c r="XFC1" s="2"/>
    </row>
    <row r="2" spans="1:16383" x14ac:dyDescent="0.25">
      <c r="A2">
        <v>279</v>
      </c>
      <c r="B2" s="53">
        <v>2018</v>
      </c>
      <c r="C2" s="53">
        <v>1</v>
      </c>
      <c r="D2" s="53" t="str">
        <f>B2&amp;"-"&amp;C2</f>
        <v>2018-1</v>
      </c>
      <c r="E2" s="9" t="s">
        <v>615</v>
      </c>
      <c r="F2" s="1">
        <v>43101</v>
      </c>
      <c r="G2" s="1" t="s">
        <v>984</v>
      </c>
      <c r="H2" s="16"/>
      <c r="I2" s="16" t="s">
        <v>105</v>
      </c>
      <c r="J2" s="16" t="s">
        <v>687</v>
      </c>
      <c r="K2" s="16" t="s">
        <v>985</v>
      </c>
      <c r="L2" t="b">
        <v>0</v>
      </c>
      <c r="M2" s="36">
        <v>494.334</v>
      </c>
      <c r="N2" s="51">
        <v>1</v>
      </c>
      <c r="O2" s="29">
        <v>593.20079999999996</v>
      </c>
      <c r="P2" s="29" t="str">
        <f>Q2&amp;"%"</f>
        <v>20%</v>
      </c>
      <c r="Q2" s="27">
        <v>20</v>
      </c>
      <c r="R2" s="31">
        <v>98.866799999999998</v>
      </c>
      <c r="S2" s="31">
        <v>98.866799999999998</v>
      </c>
      <c r="T2" s="33">
        <v>494.334</v>
      </c>
      <c r="U2" s="29">
        <v>593.20079999999996</v>
      </c>
      <c r="V2" s="35">
        <v>43235</v>
      </c>
      <c r="W2" s="35"/>
      <c r="X2" s="27"/>
      <c r="Y2" s="58">
        <v>494.334</v>
      </c>
      <c r="Z2" s="31">
        <v>0</v>
      </c>
      <c r="AA2" t="b">
        <v>0</v>
      </c>
      <c r="AC2" s="49"/>
    </row>
    <row r="3" spans="1:16383" x14ac:dyDescent="0.25">
      <c r="A3">
        <v>280</v>
      </c>
      <c r="B3" s="53">
        <v>2018</v>
      </c>
      <c r="C3" s="53">
        <v>2</v>
      </c>
      <c r="D3" s="53" t="str">
        <f t="shared" ref="D3:D66" si="0">B3&amp;"-"&amp;C3</f>
        <v>2018-2</v>
      </c>
      <c r="E3" s="9" t="s">
        <v>621</v>
      </c>
      <c r="F3" s="1">
        <v>43102</v>
      </c>
      <c r="G3" t="s">
        <v>619</v>
      </c>
      <c r="H3" s="16"/>
      <c r="I3" s="16" t="s">
        <v>105</v>
      </c>
      <c r="J3" s="16" t="s">
        <v>683</v>
      </c>
      <c r="K3" s="16" t="s">
        <v>540</v>
      </c>
      <c r="L3" t="b">
        <v>0</v>
      </c>
      <c r="M3" s="36">
        <v>79.33</v>
      </c>
      <c r="N3" s="51">
        <v>1</v>
      </c>
      <c r="O3" s="29">
        <v>95.195999999999998</v>
      </c>
      <c r="P3" s="29" t="str">
        <f t="shared" ref="P3:P66" si="1">Q3&amp;"%"</f>
        <v>20%</v>
      </c>
      <c r="Q3" s="27">
        <v>20</v>
      </c>
      <c r="R3" s="31">
        <v>15.866</v>
      </c>
      <c r="S3" s="31">
        <v>15.866</v>
      </c>
      <c r="T3" s="33">
        <v>79.33</v>
      </c>
      <c r="U3" s="29">
        <v>95.195999999999998</v>
      </c>
      <c r="V3" s="35">
        <v>43235</v>
      </c>
      <c r="W3" s="35"/>
      <c r="X3" s="27"/>
      <c r="Y3" s="58">
        <v>79.33</v>
      </c>
      <c r="Z3" s="31">
        <v>0</v>
      </c>
      <c r="AA3" t="b">
        <v>0</v>
      </c>
    </row>
    <row r="4" spans="1:16383" x14ac:dyDescent="0.25">
      <c r="A4">
        <v>281</v>
      </c>
      <c r="B4" s="53">
        <v>2018</v>
      </c>
      <c r="C4" s="53">
        <v>3</v>
      </c>
      <c r="D4" s="53" t="str">
        <f t="shared" si="0"/>
        <v>2018-3</v>
      </c>
      <c r="E4" s="9" t="s">
        <v>620</v>
      </c>
      <c r="F4" s="1">
        <v>43103</v>
      </c>
      <c r="G4" t="s">
        <v>647</v>
      </c>
      <c r="H4" s="16"/>
      <c r="I4" s="16" t="s">
        <v>105</v>
      </c>
      <c r="J4" s="16" t="s">
        <v>703</v>
      </c>
      <c r="K4" s="16" t="s">
        <v>985</v>
      </c>
      <c r="L4" t="b">
        <v>0</v>
      </c>
      <c r="M4" s="36">
        <v>42.12</v>
      </c>
      <c r="N4" s="51">
        <v>0.34603255774311775</v>
      </c>
      <c r="O4" s="29">
        <v>16.782579050541209</v>
      </c>
      <c r="P4" s="29" t="str">
        <f t="shared" si="1"/>
        <v>gemischt%</v>
      </c>
      <c r="Q4" s="27" t="s">
        <v>14</v>
      </c>
      <c r="R4" s="31">
        <v>6.38</v>
      </c>
      <c r="S4" s="31">
        <v>2.207687718401091</v>
      </c>
      <c r="T4" s="33">
        <v>14.574891332140119</v>
      </c>
      <c r="U4" s="29">
        <v>48.5</v>
      </c>
      <c r="V4" s="35">
        <v>43235</v>
      </c>
      <c r="W4" s="35"/>
      <c r="X4" s="27"/>
      <c r="Y4" s="58">
        <v>14.574891332140119</v>
      </c>
      <c r="Z4" s="31">
        <v>0</v>
      </c>
      <c r="AA4" t="b">
        <v>0</v>
      </c>
    </row>
    <row r="5" spans="1:16383" x14ac:dyDescent="0.25">
      <c r="A5">
        <v>282</v>
      </c>
      <c r="B5" s="53">
        <v>2018</v>
      </c>
      <c r="C5" s="53">
        <v>4</v>
      </c>
      <c r="D5" s="53" t="str">
        <f t="shared" si="0"/>
        <v>2018-4</v>
      </c>
      <c r="E5" s="9" t="s">
        <v>622</v>
      </c>
      <c r="F5" s="1">
        <v>43111</v>
      </c>
      <c r="G5" t="s">
        <v>34</v>
      </c>
      <c r="H5" s="16"/>
      <c r="I5" s="16" t="s">
        <v>105</v>
      </c>
      <c r="J5" s="16" t="s">
        <v>703</v>
      </c>
      <c r="K5" s="16" t="s">
        <v>985</v>
      </c>
      <c r="L5" t="b">
        <v>0</v>
      </c>
      <c r="M5" s="36">
        <v>16.739999999999998</v>
      </c>
      <c r="N5" s="51">
        <v>1</v>
      </c>
      <c r="O5" s="29">
        <v>20.087999999999997</v>
      </c>
      <c r="P5" s="29" t="str">
        <f t="shared" si="1"/>
        <v>20%</v>
      </c>
      <c r="Q5" s="27">
        <v>20</v>
      </c>
      <c r="R5" s="31">
        <v>3.3479999999999994</v>
      </c>
      <c r="S5" s="31">
        <v>3.3479999999999994</v>
      </c>
      <c r="T5" s="33">
        <v>16.739999999999998</v>
      </c>
      <c r="U5" s="29">
        <v>20.087999999999997</v>
      </c>
      <c r="V5" s="35">
        <v>43235</v>
      </c>
      <c r="W5" s="35"/>
      <c r="X5" s="27"/>
      <c r="Y5" s="58">
        <v>16.739999999999998</v>
      </c>
      <c r="Z5" s="31">
        <v>0</v>
      </c>
      <c r="AA5" t="b">
        <v>0</v>
      </c>
    </row>
    <row r="6" spans="1:16383" x14ac:dyDescent="0.25">
      <c r="A6">
        <v>295</v>
      </c>
      <c r="B6" s="53">
        <v>2018</v>
      </c>
      <c r="C6" s="53">
        <v>5</v>
      </c>
      <c r="D6" s="53" t="str">
        <f t="shared" si="0"/>
        <v>2018-5</v>
      </c>
      <c r="E6" s="9">
        <v>14002676583</v>
      </c>
      <c r="F6" s="1">
        <v>43115</v>
      </c>
      <c r="G6" s="1" t="s">
        <v>795</v>
      </c>
      <c r="H6" s="16"/>
      <c r="I6" s="16" t="s">
        <v>105</v>
      </c>
      <c r="J6" s="16" t="s">
        <v>705</v>
      </c>
      <c r="K6" s="16" t="s">
        <v>985</v>
      </c>
      <c r="L6" t="b">
        <v>0</v>
      </c>
      <c r="M6" s="36">
        <v>82.5</v>
      </c>
      <c r="N6" s="51">
        <v>0.27320378419841473</v>
      </c>
      <c r="O6" s="29">
        <v>27.04717463564306</v>
      </c>
      <c r="P6" s="29" t="str">
        <f t="shared" si="1"/>
        <v>20%</v>
      </c>
      <c r="Q6" s="27">
        <v>20</v>
      </c>
      <c r="R6" s="31">
        <v>16.5</v>
      </c>
      <c r="S6" s="31">
        <v>4.5078624392738433</v>
      </c>
      <c r="T6" s="33">
        <v>22.539312196369217</v>
      </c>
      <c r="U6" s="29">
        <v>99</v>
      </c>
      <c r="V6" s="35">
        <v>43235</v>
      </c>
      <c r="W6" s="35">
        <v>43234</v>
      </c>
      <c r="X6" s="27"/>
      <c r="Y6" s="58">
        <v>22.539312196369217</v>
      </c>
      <c r="Z6" s="31">
        <v>0</v>
      </c>
      <c r="AA6" t="b">
        <v>0</v>
      </c>
    </row>
    <row r="7" spans="1:16383" x14ac:dyDescent="0.25">
      <c r="A7">
        <v>296</v>
      </c>
      <c r="B7" s="53">
        <v>2018</v>
      </c>
      <c r="C7" s="53">
        <v>6</v>
      </c>
      <c r="D7" s="53" t="str">
        <f t="shared" si="0"/>
        <v>2018-6</v>
      </c>
      <c r="E7" s="9" t="s">
        <v>648</v>
      </c>
      <c r="F7" s="1">
        <v>43115</v>
      </c>
      <c r="G7" s="1" t="s">
        <v>986</v>
      </c>
      <c r="H7" s="16"/>
      <c r="I7" s="16" t="s">
        <v>105</v>
      </c>
      <c r="J7" s="16" t="s">
        <v>705</v>
      </c>
      <c r="K7" s="16" t="s">
        <v>985</v>
      </c>
      <c r="L7" t="b">
        <v>0</v>
      </c>
      <c r="M7" s="36">
        <v>151.66999999999999</v>
      </c>
      <c r="N7" s="51">
        <v>0.27320378419841473</v>
      </c>
      <c r="O7" s="29">
        <v>49.724181539248278</v>
      </c>
      <c r="P7" s="29" t="str">
        <f t="shared" si="1"/>
        <v>20%</v>
      </c>
      <c r="Q7" s="27">
        <v>20</v>
      </c>
      <c r="R7" s="31">
        <v>30.333999999999996</v>
      </c>
      <c r="S7" s="31">
        <v>8.2873635898747118</v>
      </c>
      <c r="T7" s="33">
        <v>41.436817949373562</v>
      </c>
      <c r="U7" s="29">
        <v>182.00399999999999</v>
      </c>
      <c r="V7" s="35">
        <v>43235</v>
      </c>
      <c r="W7" s="35">
        <v>43234</v>
      </c>
      <c r="X7" s="27"/>
      <c r="Y7" s="58">
        <v>41.436817949373562</v>
      </c>
      <c r="Z7" s="31">
        <v>0</v>
      </c>
      <c r="AA7" t="b">
        <v>0</v>
      </c>
    </row>
    <row r="8" spans="1:16383" x14ac:dyDescent="0.25">
      <c r="A8">
        <v>297</v>
      </c>
      <c r="B8" s="53">
        <v>2018</v>
      </c>
      <c r="C8" s="53">
        <v>7</v>
      </c>
      <c r="D8" s="53" t="str">
        <f t="shared" si="0"/>
        <v>2018-7</v>
      </c>
      <c r="E8" s="9" t="s">
        <v>650</v>
      </c>
      <c r="F8" s="1">
        <v>43125</v>
      </c>
      <c r="G8" s="1" t="s">
        <v>909</v>
      </c>
      <c r="H8" s="16"/>
      <c r="I8" s="16" t="s">
        <v>105</v>
      </c>
      <c r="J8" s="16" t="s">
        <v>691</v>
      </c>
      <c r="K8" s="16" t="s">
        <v>985</v>
      </c>
      <c r="L8" t="b">
        <v>0</v>
      </c>
      <c r="M8" s="36">
        <v>725.09999999999991</v>
      </c>
      <c r="N8" s="51">
        <v>0.27320378419841473</v>
      </c>
      <c r="O8" s="29">
        <v>217.91007031449755</v>
      </c>
      <c r="P8" s="29" t="str">
        <f t="shared" si="1"/>
        <v>10%</v>
      </c>
      <c r="Q8" s="27">
        <v>10</v>
      </c>
      <c r="R8" s="31">
        <v>72.509999999999991</v>
      </c>
      <c r="S8" s="31">
        <v>19.810006392227049</v>
      </c>
      <c r="T8" s="33">
        <v>198.10006392227049</v>
      </c>
      <c r="U8" s="29">
        <v>797.6099999999999</v>
      </c>
      <c r="V8" s="35">
        <v>43235</v>
      </c>
      <c r="W8" s="35">
        <v>43234</v>
      </c>
      <c r="X8" s="27"/>
      <c r="Y8" s="58">
        <v>198.10006392227049</v>
      </c>
      <c r="Z8" s="31">
        <v>0</v>
      </c>
      <c r="AA8" t="b">
        <v>0</v>
      </c>
    </row>
    <row r="9" spans="1:16383" x14ac:dyDescent="0.25">
      <c r="A9">
        <v>298</v>
      </c>
      <c r="B9" s="53">
        <v>2018</v>
      </c>
      <c r="C9" s="53">
        <v>8</v>
      </c>
      <c r="D9" s="53" t="str">
        <f t="shared" si="0"/>
        <v>2018-8</v>
      </c>
      <c r="E9" s="9" t="s">
        <v>678</v>
      </c>
      <c r="F9" s="1">
        <v>43121</v>
      </c>
      <c r="G9" t="s">
        <v>651</v>
      </c>
      <c r="H9" s="16"/>
      <c r="I9" s="16" t="s">
        <v>105</v>
      </c>
      <c r="J9" s="16" t="s">
        <v>705</v>
      </c>
      <c r="K9" s="16" t="s">
        <v>985</v>
      </c>
      <c r="L9" t="b">
        <v>0</v>
      </c>
      <c r="M9" s="36">
        <v>15.3</v>
      </c>
      <c r="N9" s="51">
        <v>1</v>
      </c>
      <c r="O9" s="29">
        <v>18.36</v>
      </c>
      <c r="P9" s="29" t="str">
        <f t="shared" si="1"/>
        <v>20%</v>
      </c>
      <c r="Q9" s="27">
        <v>20</v>
      </c>
      <c r="R9" s="31">
        <v>3.06</v>
      </c>
      <c r="S9" s="31">
        <v>3.06</v>
      </c>
      <c r="T9" s="33">
        <v>15.3</v>
      </c>
      <c r="U9" s="29">
        <v>18.36</v>
      </c>
      <c r="V9" s="35">
        <v>43235</v>
      </c>
      <c r="W9" s="35">
        <v>43234</v>
      </c>
      <c r="X9" s="27"/>
      <c r="Y9" s="58">
        <v>15.3</v>
      </c>
      <c r="Z9" s="31">
        <v>0</v>
      </c>
      <c r="AA9" t="b">
        <v>0</v>
      </c>
    </row>
    <row r="10" spans="1:16383" x14ac:dyDescent="0.25">
      <c r="A10">
        <v>299</v>
      </c>
      <c r="B10" s="53">
        <v>2018</v>
      </c>
      <c r="C10" s="53">
        <v>9</v>
      </c>
      <c r="D10" s="53" t="str">
        <f t="shared" si="0"/>
        <v>2018-9</v>
      </c>
      <c r="E10" s="9" t="s">
        <v>653</v>
      </c>
      <c r="F10" s="1">
        <v>43121</v>
      </c>
      <c r="G10" s="1" t="s">
        <v>652</v>
      </c>
      <c r="H10" s="16"/>
      <c r="I10" s="16" t="s">
        <v>105</v>
      </c>
      <c r="J10" s="16" t="s">
        <v>705</v>
      </c>
      <c r="K10" s="16" t="s">
        <v>985</v>
      </c>
      <c r="L10" t="b">
        <v>0</v>
      </c>
      <c r="M10" s="36">
        <v>12.42</v>
      </c>
      <c r="N10" s="51">
        <v>1</v>
      </c>
      <c r="O10" s="29">
        <v>14.904</v>
      </c>
      <c r="P10" s="29" t="str">
        <f t="shared" si="1"/>
        <v>20%</v>
      </c>
      <c r="Q10" s="27">
        <v>20</v>
      </c>
      <c r="R10" s="31">
        <v>2.484</v>
      </c>
      <c r="S10" s="31">
        <v>2.484</v>
      </c>
      <c r="T10" s="33">
        <v>12.42</v>
      </c>
      <c r="U10" s="29">
        <v>14.904</v>
      </c>
      <c r="V10" s="35">
        <v>43235</v>
      </c>
      <c r="W10" s="35">
        <v>43234</v>
      </c>
      <c r="X10" s="27"/>
      <c r="Y10" s="58">
        <v>12.42</v>
      </c>
      <c r="Z10" s="31">
        <v>0</v>
      </c>
      <c r="AA10" t="b">
        <v>0</v>
      </c>
    </row>
    <row r="11" spans="1:16383" x14ac:dyDescent="0.25">
      <c r="A11">
        <v>312</v>
      </c>
      <c r="B11" s="53">
        <v>2018</v>
      </c>
      <c r="C11" s="53">
        <v>10</v>
      </c>
      <c r="D11" s="53" t="str">
        <f t="shared" si="0"/>
        <v>2018-10</v>
      </c>
      <c r="E11" s="9" t="s">
        <v>679</v>
      </c>
      <c r="F11" s="1">
        <v>43132</v>
      </c>
      <c r="G11" t="s">
        <v>34</v>
      </c>
      <c r="H11" s="16"/>
      <c r="I11" s="16" t="s">
        <v>105</v>
      </c>
      <c r="J11" s="16" t="s">
        <v>703</v>
      </c>
      <c r="K11" s="16" t="s">
        <v>985</v>
      </c>
      <c r="L11" t="b">
        <v>0</v>
      </c>
      <c r="M11" s="36">
        <v>15.58</v>
      </c>
      <c r="N11" s="51">
        <v>1</v>
      </c>
      <c r="O11" s="29">
        <v>18.696000000000002</v>
      </c>
      <c r="P11" s="29" t="str">
        <f t="shared" si="1"/>
        <v>20%</v>
      </c>
      <c r="Q11" s="27">
        <v>20</v>
      </c>
      <c r="R11" s="31">
        <v>3.1160000000000001</v>
      </c>
      <c r="S11" s="31">
        <v>3.1160000000000001</v>
      </c>
      <c r="T11" s="33">
        <v>15.58</v>
      </c>
      <c r="U11" s="29">
        <v>18.696000000000002</v>
      </c>
      <c r="V11" s="35">
        <v>43235</v>
      </c>
      <c r="W11" s="35">
        <v>43234</v>
      </c>
      <c r="X11" s="27"/>
      <c r="Y11" s="58">
        <v>15.58</v>
      </c>
      <c r="Z11" s="31">
        <v>0</v>
      </c>
      <c r="AA11" t="b">
        <v>0</v>
      </c>
    </row>
    <row r="12" spans="1:16383" x14ac:dyDescent="0.25">
      <c r="A12">
        <v>313</v>
      </c>
      <c r="B12" s="53">
        <v>2018</v>
      </c>
      <c r="C12" s="53">
        <v>11</v>
      </c>
      <c r="D12" s="53" t="str">
        <f t="shared" si="0"/>
        <v>2018-11</v>
      </c>
      <c r="E12" s="9" t="s">
        <v>680</v>
      </c>
      <c r="F12" s="1">
        <v>43132</v>
      </c>
      <c r="G12" t="s">
        <v>647</v>
      </c>
      <c r="H12" s="16"/>
      <c r="I12" s="16" t="s">
        <v>105</v>
      </c>
      <c r="J12" s="16" t="s">
        <v>703</v>
      </c>
      <c r="K12" s="16" t="s">
        <v>985</v>
      </c>
      <c r="L12" t="b">
        <v>0</v>
      </c>
      <c r="M12" s="36">
        <v>42.12</v>
      </c>
      <c r="N12" s="51">
        <v>0.34603255774311775</v>
      </c>
      <c r="O12" s="29">
        <v>16.782579050541209</v>
      </c>
      <c r="P12" s="29" t="str">
        <f t="shared" si="1"/>
        <v>gemischt%</v>
      </c>
      <c r="Q12" s="27" t="s">
        <v>14</v>
      </c>
      <c r="R12" s="31">
        <v>6.38</v>
      </c>
      <c r="S12" s="31">
        <v>2.207687718401091</v>
      </c>
      <c r="T12" s="33">
        <v>14.574891332140119</v>
      </c>
      <c r="U12" s="29">
        <v>48.5</v>
      </c>
      <c r="V12" s="35">
        <v>43235</v>
      </c>
      <c r="W12" s="35">
        <v>43234</v>
      </c>
      <c r="X12" s="27"/>
      <c r="Y12" s="58">
        <v>14.574891332140119</v>
      </c>
      <c r="Z12" s="31">
        <v>0</v>
      </c>
      <c r="AA12" t="b">
        <v>0</v>
      </c>
    </row>
    <row r="13" spans="1:16383" x14ac:dyDescent="0.25">
      <c r="A13">
        <v>314</v>
      </c>
      <c r="B13" s="53">
        <v>2018</v>
      </c>
      <c r="C13" s="53">
        <v>12</v>
      </c>
      <c r="D13" s="53" t="str">
        <f t="shared" si="0"/>
        <v>2018-12</v>
      </c>
      <c r="E13" s="9" t="s">
        <v>717</v>
      </c>
      <c r="F13" s="1">
        <v>43146</v>
      </c>
      <c r="G13" s="1" t="s">
        <v>795</v>
      </c>
      <c r="H13" s="16"/>
      <c r="I13" s="16" t="s">
        <v>105</v>
      </c>
      <c r="J13" s="16" t="s">
        <v>705</v>
      </c>
      <c r="K13" s="16" t="s">
        <v>985</v>
      </c>
      <c r="L13" t="b">
        <v>0</v>
      </c>
      <c r="M13" s="36">
        <v>82.5</v>
      </c>
      <c r="N13" s="51">
        <v>0.27320378419841473</v>
      </c>
      <c r="O13" s="29">
        <v>27.04717463564306</v>
      </c>
      <c r="P13" s="29" t="str">
        <f t="shared" si="1"/>
        <v>20%</v>
      </c>
      <c r="Q13" s="27">
        <v>20</v>
      </c>
      <c r="R13" s="31">
        <v>16.5</v>
      </c>
      <c r="S13" s="31">
        <v>4.5078624392738433</v>
      </c>
      <c r="T13" s="33">
        <v>22.539312196369217</v>
      </c>
      <c r="U13" s="29">
        <v>99</v>
      </c>
      <c r="V13" s="35">
        <v>43235</v>
      </c>
      <c r="W13" s="35">
        <v>43234</v>
      </c>
      <c r="X13" s="27"/>
      <c r="Y13" s="58">
        <v>22.539312196369217</v>
      </c>
      <c r="Z13" s="31">
        <v>0</v>
      </c>
      <c r="AA13" t="b">
        <v>0</v>
      </c>
    </row>
    <row r="14" spans="1:16383" x14ac:dyDescent="0.25">
      <c r="A14">
        <v>315</v>
      </c>
      <c r="B14" s="53">
        <v>2018</v>
      </c>
      <c r="C14" s="53">
        <v>13</v>
      </c>
      <c r="D14" s="53" t="str">
        <f t="shared" si="0"/>
        <v>2018-13</v>
      </c>
      <c r="E14" s="9" t="s">
        <v>711</v>
      </c>
      <c r="F14" s="1">
        <v>43152</v>
      </c>
      <c r="G14" t="s">
        <v>712</v>
      </c>
      <c r="H14" s="16"/>
      <c r="I14" s="16" t="s">
        <v>105</v>
      </c>
      <c r="J14" s="16" t="s">
        <v>705</v>
      </c>
      <c r="K14" s="16"/>
      <c r="L14" t="b">
        <v>0</v>
      </c>
      <c r="M14" s="36">
        <v>168.75</v>
      </c>
      <c r="N14" s="51">
        <v>1</v>
      </c>
      <c r="O14" s="29">
        <v>202.5</v>
      </c>
      <c r="P14" s="29" t="str">
        <f t="shared" si="1"/>
        <v>20%</v>
      </c>
      <c r="Q14" s="27">
        <v>20</v>
      </c>
      <c r="R14" s="31">
        <v>33.75</v>
      </c>
      <c r="S14" s="31">
        <v>33.75</v>
      </c>
      <c r="T14" s="33">
        <v>168.75</v>
      </c>
      <c r="U14" s="29">
        <v>202.5</v>
      </c>
      <c r="V14" s="35">
        <v>43235</v>
      </c>
      <c r="W14" s="35">
        <v>43234</v>
      </c>
      <c r="X14" s="27"/>
      <c r="Y14" s="58">
        <v>168.75</v>
      </c>
      <c r="Z14" s="31">
        <v>0</v>
      </c>
      <c r="AA14" t="b">
        <v>0</v>
      </c>
    </row>
    <row r="15" spans="1:16383" x14ac:dyDescent="0.25">
      <c r="B15" s="53">
        <v>2018</v>
      </c>
      <c r="C15" s="53">
        <v>14</v>
      </c>
      <c r="D15" s="53" t="str">
        <f t="shared" si="0"/>
        <v>2018-14</v>
      </c>
      <c r="E15" s="9" t="s">
        <v>650</v>
      </c>
      <c r="F15" s="1">
        <v>43157</v>
      </c>
      <c r="G15" s="1" t="s">
        <v>909</v>
      </c>
      <c r="H15" s="16"/>
      <c r="I15" s="16" t="s">
        <v>105</v>
      </c>
      <c r="J15" s="16" t="s">
        <v>691</v>
      </c>
      <c r="K15" s="16" t="s">
        <v>985</v>
      </c>
      <c r="L15" t="b">
        <v>0</v>
      </c>
      <c r="M15" s="36">
        <v>763.44</v>
      </c>
      <c r="N15" s="51">
        <v>0.27320378419841473</v>
      </c>
      <c r="O15" s="29">
        <v>229.43216670928155</v>
      </c>
      <c r="P15" s="29" t="str">
        <f t="shared" si="1"/>
        <v>10%</v>
      </c>
      <c r="Q15" s="27">
        <v>10</v>
      </c>
      <c r="R15" s="31">
        <v>76.344000000000008</v>
      </c>
      <c r="S15" s="31">
        <v>20.857469700843776</v>
      </c>
      <c r="T15" s="33">
        <v>208.57469700843777</v>
      </c>
      <c r="U15" s="29">
        <v>839.78400000000011</v>
      </c>
      <c r="V15" s="35">
        <v>43235</v>
      </c>
      <c r="W15" s="35">
        <v>43234</v>
      </c>
      <c r="X15" s="27"/>
      <c r="Y15" s="58">
        <v>208.57469700843777</v>
      </c>
      <c r="Z15" s="31">
        <v>0</v>
      </c>
      <c r="AA15" t="b">
        <v>0</v>
      </c>
    </row>
    <row r="16" spans="1:16383" x14ac:dyDescent="0.25">
      <c r="B16" s="53">
        <v>2018</v>
      </c>
      <c r="C16" s="53">
        <v>15</v>
      </c>
      <c r="D16" s="53" t="str">
        <f t="shared" si="0"/>
        <v>2018-15</v>
      </c>
      <c r="E16" s="9" t="s">
        <v>713</v>
      </c>
      <c r="F16" s="1">
        <v>43160</v>
      </c>
      <c r="G16" t="s">
        <v>647</v>
      </c>
      <c r="H16" s="16"/>
      <c r="I16" s="16" t="s">
        <v>105</v>
      </c>
      <c r="J16" s="16" t="s">
        <v>703</v>
      </c>
      <c r="K16" s="16" t="s">
        <v>985</v>
      </c>
      <c r="L16" t="b">
        <v>0</v>
      </c>
      <c r="M16" s="36">
        <v>42.12</v>
      </c>
      <c r="N16" s="51">
        <v>0.34603255774311775</v>
      </c>
      <c r="O16" s="29">
        <v>16.782579050541209</v>
      </c>
      <c r="P16" s="29" t="str">
        <f t="shared" si="1"/>
        <v>gemischt%</v>
      </c>
      <c r="Q16" s="27" t="s">
        <v>14</v>
      </c>
      <c r="R16" s="31">
        <v>6.38</v>
      </c>
      <c r="S16" s="31">
        <v>2.207687718401091</v>
      </c>
      <c r="T16" s="33">
        <v>14.574891332140119</v>
      </c>
      <c r="U16" s="29">
        <v>48.5</v>
      </c>
      <c r="V16" s="35">
        <v>43235</v>
      </c>
      <c r="W16" s="35">
        <v>43234</v>
      </c>
      <c r="X16" s="27"/>
      <c r="Y16" s="58">
        <v>14.574891332140119</v>
      </c>
      <c r="Z16" s="31">
        <v>0</v>
      </c>
      <c r="AA16" t="b">
        <v>0</v>
      </c>
    </row>
    <row r="17" spans="2:27" x14ac:dyDescent="0.25">
      <c r="B17" s="53">
        <v>2018</v>
      </c>
      <c r="C17" s="53">
        <v>16</v>
      </c>
      <c r="D17" s="53" t="str">
        <f t="shared" si="0"/>
        <v>2018-16</v>
      </c>
      <c r="E17" s="9" t="s">
        <v>714</v>
      </c>
      <c r="F17" s="1">
        <v>43167</v>
      </c>
      <c r="G17" t="s">
        <v>34</v>
      </c>
      <c r="H17" s="16"/>
      <c r="I17" s="16" t="s">
        <v>105</v>
      </c>
      <c r="J17" s="16" t="s">
        <v>703</v>
      </c>
      <c r="K17" s="16" t="s">
        <v>985</v>
      </c>
      <c r="L17" t="b">
        <v>0</v>
      </c>
      <c r="M17" s="36">
        <v>15.58</v>
      </c>
      <c r="N17" s="51">
        <v>1</v>
      </c>
      <c r="O17" s="29">
        <v>18.696000000000002</v>
      </c>
      <c r="P17" s="29" t="str">
        <f t="shared" si="1"/>
        <v>20%</v>
      </c>
      <c r="Q17" s="27">
        <v>20</v>
      </c>
      <c r="R17" s="31">
        <v>3.1160000000000001</v>
      </c>
      <c r="S17" s="31">
        <v>3.1160000000000001</v>
      </c>
      <c r="T17" s="33">
        <v>15.58</v>
      </c>
      <c r="U17" s="29">
        <v>18.696000000000002</v>
      </c>
      <c r="V17" s="35">
        <v>43235</v>
      </c>
      <c r="W17" s="35">
        <v>43234</v>
      </c>
      <c r="X17" s="27"/>
      <c r="Y17" s="58">
        <v>15.58</v>
      </c>
      <c r="Z17" s="31">
        <v>0</v>
      </c>
      <c r="AA17" t="b">
        <v>0</v>
      </c>
    </row>
    <row r="18" spans="2:27" x14ac:dyDescent="0.25">
      <c r="B18" s="53">
        <v>2018</v>
      </c>
      <c r="C18" s="53">
        <v>17</v>
      </c>
      <c r="D18" s="53" t="str">
        <f t="shared" si="0"/>
        <v>2018-17</v>
      </c>
      <c r="E18" s="9" t="s">
        <v>715</v>
      </c>
      <c r="F18" s="1">
        <v>43174</v>
      </c>
      <c r="G18" s="1" t="s">
        <v>795</v>
      </c>
      <c r="H18" s="16"/>
      <c r="I18" s="16" t="s">
        <v>105</v>
      </c>
      <c r="J18" s="16" t="s">
        <v>705</v>
      </c>
      <c r="K18" s="16" t="s">
        <v>985</v>
      </c>
      <c r="L18" t="b">
        <v>0</v>
      </c>
      <c r="M18" s="36">
        <v>82.5</v>
      </c>
      <c r="N18" s="51">
        <v>0.27320378419841473</v>
      </c>
      <c r="O18" s="29">
        <v>27.04717463564306</v>
      </c>
      <c r="P18" s="29" t="str">
        <f t="shared" si="1"/>
        <v>20%</v>
      </c>
      <c r="Q18" s="27">
        <v>20</v>
      </c>
      <c r="R18" s="31">
        <v>16.5</v>
      </c>
      <c r="S18" s="31">
        <v>4.5078624392738433</v>
      </c>
      <c r="T18" s="33">
        <v>22.539312196369217</v>
      </c>
      <c r="U18" s="29">
        <v>99</v>
      </c>
      <c r="V18" s="35">
        <v>43235</v>
      </c>
      <c r="W18" s="35">
        <v>43234</v>
      </c>
      <c r="X18" s="27"/>
      <c r="Y18" s="58">
        <v>22.539312196369217</v>
      </c>
      <c r="Z18" s="31">
        <v>0</v>
      </c>
      <c r="AA18" t="b">
        <v>0</v>
      </c>
    </row>
    <row r="19" spans="2:27" x14ac:dyDescent="0.25">
      <c r="B19" s="53">
        <v>2018</v>
      </c>
      <c r="C19" s="53">
        <v>18</v>
      </c>
      <c r="D19" s="53" t="str">
        <f t="shared" si="0"/>
        <v>2018-18</v>
      </c>
      <c r="E19" s="9" t="s">
        <v>716</v>
      </c>
      <c r="F19" s="1">
        <v>43152</v>
      </c>
      <c r="G19" t="s">
        <v>651</v>
      </c>
      <c r="H19" s="16"/>
      <c r="I19" s="16" t="s">
        <v>105</v>
      </c>
      <c r="J19" s="16" t="s">
        <v>705</v>
      </c>
      <c r="K19" s="16" t="s">
        <v>985</v>
      </c>
      <c r="L19" t="b">
        <v>0</v>
      </c>
      <c r="M19" s="36">
        <v>15.3</v>
      </c>
      <c r="N19" s="51">
        <v>1</v>
      </c>
      <c r="O19" s="29">
        <v>18.36</v>
      </c>
      <c r="P19" s="29" t="str">
        <f t="shared" si="1"/>
        <v>20%</v>
      </c>
      <c r="Q19" s="27">
        <v>20</v>
      </c>
      <c r="R19" s="31">
        <v>3.06</v>
      </c>
      <c r="S19" s="31">
        <v>3.06</v>
      </c>
      <c r="T19" s="33">
        <v>15.3</v>
      </c>
      <c r="U19" s="29">
        <v>18.36</v>
      </c>
      <c r="V19" s="35">
        <v>43235</v>
      </c>
      <c r="W19" s="35">
        <v>43234</v>
      </c>
      <c r="X19" s="27"/>
      <c r="Y19" s="58">
        <v>15.3</v>
      </c>
      <c r="Z19" s="31">
        <v>0</v>
      </c>
      <c r="AA19" t="b">
        <v>0</v>
      </c>
    </row>
    <row r="20" spans="2:27" x14ac:dyDescent="0.25">
      <c r="B20" s="53">
        <v>2018</v>
      </c>
      <c r="C20" s="53">
        <v>19</v>
      </c>
      <c r="D20" s="53" t="str">
        <f t="shared" si="0"/>
        <v>2018-19</v>
      </c>
      <c r="E20" s="9" t="s">
        <v>650</v>
      </c>
      <c r="F20" s="1">
        <v>43185</v>
      </c>
      <c r="G20" s="1" t="s">
        <v>909</v>
      </c>
      <c r="H20" s="16"/>
      <c r="I20" s="16" t="s">
        <v>105</v>
      </c>
      <c r="J20" s="16" t="s">
        <v>691</v>
      </c>
      <c r="K20" s="16" t="s">
        <v>985</v>
      </c>
      <c r="L20" t="b">
        <v>0</v>
      </c>
      <c r="M20" s="36">
        <v>763.44</v>
      </c>
      <c r="N20" s="51">
        <v>0.27320378419841473</v>
      </c>
      <c r="O20" s="29">
        <v>229.43216670928155</v>
      </c>
      <c r="P20" s="29" t="str">
        <f t="shared" si="1"/>
        <v>10%</v>
      </c>
      <c r="Q20" s="27">
        <v>10</v>
      </c>
      <c r="R20" s="31">
        <v>76.344000000000008</v>
      </c>
      <c r="S20" s="31">
        <v>20.857469700843776</v>
      </c>
      <c r="T20" s="33">
        <v>208.57469700843777</v>
      </c>
      <c r="U20" s="29">
        <v>839.78400000000011</v>
      </c>
      <c r="V20" s="35">
        <v>43235</v>
      </c>
      <c r="W20" s="35">
        <v>43234</v>
      </c>
      <c r="X20" s="27"/>
      <c r="Y20" s="58">
        <v>208.57469700843777</v>
      </c>
      <c r="Z20" s="31">
        <v>0</v>
      </c>
      <c r="AA20" t="b">
        <v>0</v>
      </c>
    </row>
    <row r="21" spans="2:27" x14ac:dyDescent="0.25">
      <c r="B21" s="53">
        <v>2018</v>
      </c>
      <c r="C21" s="53">
        <v>20</v>
      </c>
      <c r="D21" s="53" t="str">
        <f t="shared" si="0"/>
        <v>2018-20</v>
      </c>
      <c r="E21" s="9" t="s">
        <v>726</v>
      </c>
      <c r="F21" s="1">
        <v>43194</v>
      </c>
      <c r="G21" t="s">
        <v>647</v>
      </c>
      <c r="H21" s="16"/>
      <c r="I21" s="16" t="s">
        <v>105</v>
      </c>
      <c r="J21" s="16" t="s">
        <v>703</v>
      </c>
      <c r="K21" s="16"/>
      <c r="L21" t="b">
        <v>0</v>
      </c>
      <c r="M21" s="36">
        <v>57.02</v>
      </c>
      <c r="N21" s="56">
        <v>0.4356366187302701</v>
      </c>
      <c r="O21" s="29">
        <v>28.995973342686781</v>
      </c>
      <c r="P21" s="29" t="str">
        <f t="shared" si="1"/>
        <v>gemischt%</v>
      </c>
      <c r="Q21" s="27" t="s">
        <v>14</v>
      </c>
      <c r="R21" s="31">
        <v>9.5399999999999991</v>
      </c>
      <c r="S21" s="31">
        <v>4.1559733426867762</v>
      </c>
      <c r="T21" s="33">
        <v>24.840000000000003</v>
      </c>
      <c r="U21" s="29">
        <v>66.56</v>
      </c>
      <c r="V21" s="35">
        <v>43327</v>
      </c>
      <c r="W21" s="35">
        <v>43318</v>
      </c>
      <c r="X21" s="27"/>
      <c r="Y21" s="58">
        <v>24.840000000000003</v>
      </c>
      <c r="Z21" s="31">
        <v>0</v>
      </c>
      <c r="AA21" t="b">
        <v>0</v>
      </c>
    </row>
    <row r="22" spans="2:27" x14ac:dyDescent="0.25">
      <c r="B22" s="53">
        <v>2018</v>
      </c>
      <c r="C22" s="53">
        <v>21</v>
      </c>
      <c r="D22" s="53" t="str">
        <f t="shared" si="0"/>
        <v>2018-21</v>
      </c>
      <c r="E22" s="9" t="s">
        <v>725</v>
      </c>
      <c r="F22" s="1">
        <v>43196</v>
      </c>
      <c r="G22" t="s">
        <v>34</v>
      </c>
      <c r="H22" s="16"/>
      <c r="I22" s="16" t="s">
        <v>105</v>
      </c>
      <c r="J22" s="16" t="s">
        <v>703</v>
      </c>
      <c r="K22" s="16" t="s">
        <v>985</v>
      </c>
      <c r="L22" t="b">
        <v>0</v>
      </c>
      <c r="M22" s="36">
        <v>15.58</v>
      </c>
      <c r="N22" s="51">
        <v>1</v>
      </c>
      <c r="O22" s="29">
        <v>18.696000000000002</v>
      </c>
      <c r="P22" s="29" t="str">
        <f t="shared" si="1"/>
        <v>20%</v>
      </c>
      <c r="Q22" s="27">
        <v>20</v>
      </c>
      <c r="R22" s="31">
        <v>3.1160000000000001</v>
      </c>
      <c r="S22" s="31">
        <v>3.1160000000000001</v>
      </c>
      <c r="T22" s="33">
        <v>15.58</v>
      </c>
      <c r="U22" s="29">
        <v>18.696000000000002</v>
      </c>
      <c r="V22" s="35">
        <v>43327</v>
      </c>
      <c r="W22" s="35">
        <v>43318</v>
      </c>
      <c r="X22" s="27"/>
      <c r="Y22" s="58">
        <v>15.58</v>
      </c>
      <c r="Z22" s="31">
        <v>0</v>
      </c>
      <c r="AA22" t="b">
        <v>0</v>
      </c>
    </row>
    <row r="23" spans="2:27" x14ac:dyDescent="0.25">
      <c r="B23" s="53">
        <v>2018</v>
      </c>
      <c r="C23" s="53">
        <v>22</v>
      </c>
      <c r="D23" s="53" t="str">
        <f t="shared" si="0"/>
        <v>2018-22</v>
      </c>
      <c r="E23" s="9" t="s">
        <v>724</v>
      </c>
      <c r="F23" s="1">
        <v>43206</v>
      </c>
      <c r="G23" s="1" t="s">
        <v>986</v>
      </c>
      <c r="H23" s="16"/>
      <c r="I23" s="16" t="s">
        <v>105</v>
      </c>
      <c r="J23" s="16" t="s">
        <v>705</v>
      </c>
      <c r="K23" s="16" t="s">
        <v>985</v>
      </c>
      <c r="L23" t="b">
        <v>0</v>
      </c>
      <c r="M23" s="36">
        <v>151.66999999999999</v>
      </c>
      <c r="N23" s="51">
        <v>0.27320378419841473</v>
      </c>
      <c r="O23" s="29">
        <v>49.724181539248278</v>
      </c>
      <c r="P23" s="29" t="str">
        <f t="shared" si="1"/>
        <v>20%</v>
      </c>
      <c r="Q23" s="27">
        <v>20</v>
      </c>
      <c r="R23" s="31">
        <v>30.333999999999996</v>
      </c>
      <c r="S23" s="31">
        <v>8.2873635898747118</v>
      </c>
      <c r="T23" s="33">
        <v>41.436817949373562</v>
      </c>
      <c r="U23" s="29">
        <v>182.00399999999999</v>
      </c>
      <c r="V23" s="35">
        <v>43327</v>
      </c>
      <c r="W23" s="35">
        <v>43318</v>
      </c>
      <c r="X23" s="27"/>
      <c r="Y23" s="58">
        <v>41.436817949373562</v>
      </c>
      <c r="Z23" s="31">
        <v>0</v>
      </c>
      <c r="AA23" t="b">
        <v>0</v>
      </c>
    </row>
    <row r="24" spans="2:27" x14ac:dyDescent="0.25">
      <c r="B24" s="53">
        <v>2018</v>
      </c>
      <c r="C24" s="53">
        <v>23</v>
      </c>
      <c r="D24" s="53" t="str">
        <f t="shared" si="0"/>
        <v>2018-23</v>
      </c>
      <c r="E24" s="9" t="s">
        <v>723</v>
      </c>
      <c r="F24" s="1">
        <v>43206</v>
      </c>
      <c r="G24" s="1" t="s">
        <v>795</v>
      </c>
      <c r="H24" s="16"/>
      <c r="I24" s="16" t="s">
        <v>105</v>
      </c>
      <c r="J24" s="16" t="s">
        <v>705</v>
      </c>
      <c r="K24" s="16" t="s">
        <v>985</v>
      </c>
      <c r="L24" t="b">
        <v>0</v>
      </c>
      <c r="M24" s="36">
        <v>82.5</v>
      </c>
      <c r="N24" s="51">
        <v>0.27320378419841473</v>
      </c>
      <c r="O24" s="29">
        <v>27.04717463564306</v>
      </c>
      <c r="P24" s="29" t="str">
        <f t="shared" si="1"/>
        <v>20%</v>
      </c>
      <c r="Q24" s="27">
        <v>20</v>
      </c>
      <c r="R24" s="31">
        <v>16.5</v>
      </c>
      <c r="S24" s="31">
        <v>4.5078624392738433</v>
      </c>
      <c r="T24" s="33">
        <v>22.539312196369217</v>
      </c>
      <c r="U24" s="29">
        <v>99</v>
      </c>
      <c r="V24" s="35">
        <v>43327</v>
      </c>
      <c r="W24" s="35">
        <v>43318</v>
      </c>
      <c r="X24" s="27"/>
      <c r="Y24" s="58">
        <v>22.539312196369217</v>
      </c>
      <c r="Z24" s="31">
        <v>0</v>
      </c>
      <c r="AA24" t="b">
        <v>0</v>
      </c>
    </row>
    <row r="25" spans="2:27" x14ac:dyDescent="0.25">
      <c r="B25" s="53">
        <v>2018</v>
      </c>
      <c r="C25" s="53">
        <v>24</v>
      </c>
      <c r="D25" s="53" t="str">
        <f t="shared" si="0"/>
        <v>2018-24</v>
      </c>
      <c r="E25" s="9" t="s">
        <v>718</v>
      </c>
      <c r="F25" s="1">
        <v>43181</v>
      </c>
      <c r="G25" s="1" t="s">
        <v>728</v>
      </c>
      <c r="H25" s="16"/>
      <c r="I25" s="16" t="s">
        <v>105</v>
      </c>
      <c r="J25" s="16" t="s">
        <v>683</v>
      </c>
      <c r="K25" s="36" t="s">
        <v>540</v>
      </c>
      <c r="L25" t="b">
        <v>0</v>
      </c>
      <c r="M25" s="36">
        <v>30.24</v>
      </c>
      <c r="N25" s="51">
        <v>1</v>
      </c>
      <c r="O25" s="29">
        <v>36.287999999999997</v>
      </c>
      <c r="P25" s="29" t="str">
        <f t="shared" si="1"/>
        <v>20%</v>
      </c>
      <c r="Q25" s="27">
        <v>20</v>
      </c>
      <c r="R25" s="31">
        <v>6.0479999999999992</v>
      </c>
      <c r="S25" s="31">
        <v>6.0479999999999992</v>
      </c>
      <c r="T25" s="33">
        <v>30.24</v>
      </c>
      <c r="U25" s="29">
        <v>36.287999999999997</v>
      </c>
      <c r="V25" s="35">
        <v>43235</v>
      </c>
      <c r="W25" s="35">
        <v>43234</v>
      </c>
      <c r="X25" s="27"/>
      <c r="Y25" s="58">
        <v>30.24</v>
      </c>
      <c r="Z25" s="31">
        <v>0</v>
      </c>
      <c r="AA25" t="b">
        <v>0</v>
      </c>
    </row>
    <row r="26" spans="2:27" x14ac:dyDescent="0.25">
      <c r="B26" s="53">
        <v>2018</v>
      </c>
      <c r="C26" s="53">
        <v>25</v>
      </c>
      <c r="D26" s="53" t="str">
        <f t="shared" si="0"/>
        <v>2018-25</v>
      </c>
      <c r="E26" s="9" t="s">
        <v>650</v>
      </c>
      <c r="F26" s="1">
        <v>43215</v>
      </c>
      <c r="G26" s="1" t="s">
        <v>909</v>
      </c>
      <c r="H26" s="16"/>
      <c r="I26" s="16" t="s">
        <v>105</v>
      </c>
      <c r="J26" s="16" t="s">
        <v>691</v>
      </c>
      <c r="K26" s="16" t="s">
        <v>985</v>
      </c>
      <c r="L26" t="b">
        <v>0</v>
      </c>
      <c r="M26" s="36">
        <v>763.44</v>
      </c>
      <c r="N26" s="51">
        <v>0.27320378419841473</v>
      </c>
      <c r="O26" s="29">
        <v>229.43216670928155</v>
      </c>
      <c r="P26" s="29" t="str">
        <f t="shared" si="1"/>
        <v>10%</v>
      </c>
      <c r="Q26" s="27">
        <v>10</v>
      </c>
      <c r="R26" s="31">
        <v>76.344000000000008</v>
      </c>
      <c r="S26" s="31">
        <v>20.857469700843776</v>
      </c>
      <c r="T26" s="33">
        <v>208.57469700843777</v>
      </c>
      <c r="U26" s="29">
        <v>839.78400000000011</v>
      </c>
      <c r="V26" s="35">
        <v>43327</v>
      </c>
      <c r="W26" s="35">
        <v>43318</v>
      </c>
      <c r="X26" s="27"/>
      <c r="Y26" s="58">
        <v>208.57469700843777</v>
      </c>
      <c r="Z26" s="31">
        <v>0</v>
      </c>
      <c r="AA26" t="b">
        <v>0</v>
      </c>
    </row>
    <row r="27" spans="2:27" x14ac:dyDescent="0.25">
      <c r="B27" s="53">
        <v>2018</v>
      </c>
      <c r="C27" s="53">
        <v>26</v>
      </c>
      <c r="D27" s="53" t="str">
        <f t="shared" si="0"/>
        <v>2018-26</v>
      </c>
      <c r="E27" s="9" t="s">
        <v>720</v>
      </c>
      <c r="F27" s="1">
        <v>43224</v>
      </c>
      <c r="G27" t="s">
        <v>647</v>
      </c>
      <c r="H27" s="16"/>
      <c r="I27" s="16" t="s">
        <v>105</v>
      </c>
      <c r="J27" s="16" t="s">
        <v>703</v>
      </c>
      <c r="K27" s="16"/>
      <c r="L27" t="b">
        <v>0</v>
      </c>
      <c r="M27" s="36">
        <v>48.32</v>
      </c>
      <c r="N27" s="56">
        <v>0.39817880794701987</v>
      </c>
      <c r="O27" s="29">
        <v>22.313940397350997</v>
      </c>
      <c r="P27" s="29" t="str">
        <f t="shared" si="1"/>
        <v>gemischt%</v>
      </c>
      <c r="Q27" s="27" t="s">
        <v>14</v>
      </c>
      <c r="R27" s="31">
        <v>7.72</v>
      </c>
      <c r="S27" s="31">
        <v>3.0739403973509933</v>
      </c>
      <c r="T27" s="33">
        <v>19.240000000000002</v>
      </c>
      <c r="U27" s="29">
        <v>56.04</v>
      </c>
      <c r="V27" s="35">
        <v>43327</v>
      </c>
      <c r="W27" s="35">
        <v>43318</v>
      </c>
      <c r="X27" s="27"/>
      <c r="Y27" s="58">
        <v>19.240000000000002</v>
      </c>
      <c r="Z27" s="31">
        <v>0</v>
      </c>
      <c r="AA27" t="b">
        <v>0</v>
      </c>
    </row>
    <row r="28" spans="2:27" x14ac:dyDescent="0.25">
      <c r="B28" s="53">
        <v>2018</v>
      </c>
      <c r="C28" s="53">
        <v>27</v>
      </c>
      <c r="D28" s="53" t="str">
        <f t="shared" si="0"/>
        <v>2018-27</v>
      </c>
      <c r="E28" s="9" t="s">
        <v>719</v>
      </c>
      <c r="F28" s="1">
        <v>43227</v>
      </c>
      <c r="G28" t="s">
        <v>34</v>
      </c>
      <c r="H28" s="16"/>
      <c r="I28" s="16" t="s">
        <v>105</v>
      </c>
      <c r="J28" s="16" t="s">
        <v>703</v>
      </c>
      <c r="K28" s="16" t="s">
        <v>985</v>
      </c>
      <c r="L28" t="b">
        <v>0</v>
      </c>
      <c r="M28" s="36">
        <v>15</v>
      </c>
      <c r="N28" s="51">
        <v>1</v>
      </c>
      <c r="O28" s="29">
        <v>18</v>
      </c>
      <c r="P28" s="29" t="str">
        <f t="shared" si="1"/>
        <v>20%</v>
      </c>
      <c r="Q28" s="27">
        <v>20</v>
      </c>
      <c r="R28" s="31">
        <v>3</v>
      </c>
      <c r="S28" s="31">
        <v>3</v>
      </c>
      <c r="T28" s="33">
        <v>15</v>
      </c>
      <c r="U28" s="29">
        <v>18</v>
      </c>
      <c r="V28" s="35">
        <v>43327</v>
      </c>
      <c r="W28" s="35">
        <v>43318</v>
      </c>
      <c r="X28" s="27"/>
      <c r="Y28" s="58">
        <v>15</v>
      </c>
      <c r="Z28" s="31">
        <v>0</v>
      </c>
      <c r="AA28" t="b">
        <v>0</v>
      </c>
    </row>
    <row r="29" spans="2:27" x14ac:dyDescent="0.25">
      <c r="B29" s="53">
        <v>2018</v>
      </c>
      <c r="C29" s="53">
        <v>28</v>
      </c>
      <c r="D29" s="53" t="str">
        <f t="shared" si="0"/>
        <v>2018-28</v>
      </c>
      <c r="E29" s="9" t="s">
        <v>721</v>
      </c>
      <c r="F29" s="1">
        <v>43234</v>
      </c>
      <c r="G29" s="1" t="s">
        <v>987</v>
      </c>
      <c r="H29" s="16"/>
      <c r="I29" s="16" t="s">
        <v>105</v>
      </c>
      <c r="J29" s="16" t="s">
        <v>704</v>
      </c>
      <c r="K29" s="16"/>
      <c r="L29" t="b">
        <v>0</v>
      </c>
      <c r="M29" s="36">
        <v>65</v>
      </c>
      <c r="N29" s="51">
        <v>1</v>
      </c>
      <c r="O29" s="29">
        <v>65</v>
      </c>
      <c r="P29" s="29" t="str">
        <f t="shared" si="1"/>
        <v>0%</v>
      </c>
      <c r="Q29" s="27">
        <v>0</v>
      </c>
      <c r="R29" s="31">
        <v>0</v>
      </c>
      <c r="S29" s="31">
        <v>0</v>
      </c>
      <c r="T29" s="33">
        <v>65</v>
      </c>
      <c r="U29" s="29">
        <v>65</v>
      </c>
      <c r="V29" s="35">
        <v>43327</v>
      </c>
      <c r="W29" s="35">
        <v>43318</v>
      </c>
      <c r="X29" s="27"/>
      <c r="Y29" s="58">
        <v>65</v>
      </c>
      <c r="Z29" s="31">
        <v>0</v>
      </c>
      <c r="AA29" t="b">
        <v>0</v>
      </c>
    </row>
    <row r="30" spans="2:27" x14ac:dyDescent="0.25">
      <c r="B30" s="53">
        <v>2018</v>
      </c>
      <c r="C30" s="53">
        <v>29</v>
      </c>
      <c r="D30" s="53" t="str">
        <f t="shared" si="0"/>
        <v>2018-29</v>
      </c>
      <c r="E30" s="9" t="s">
        <v>722</v>
      </c>
      <c r="F30" s="1">
        <v>43235</v>
      </c>
      <c r="G30" s="1" t="s">
        <v>795</v>
      </c>
      <c r="H30" s="16"/>
      <c r="I30" s="16" t="s">
        <v>105</v>
      </c>
      <c r="J30" s="16" t="s">
        <v>705</v>
      </c>
      <c r="K30" s="16" t="s">
        <v>985</v>
      </c>
      <c r="L30" t="b">
        <v>0</v>
      </c>
      <c r="M30" s="36">
        <v>82.5</v>
      </c>
      <c r="N30" s="51">
        <v>0.27320378419841473</v>
      </c>
      <c r="O30" s="29">
        <v>27.04717463564306</v>
      </c>
      <c r="P30" s="29" t="str">
        <f t="shared" si="1"/>
        <v>20%</v>
      </c>
      <c r="Q30" s="27">
        <v>20</v>
      </c>
      <c r="R30" s="31">
        <v>16.5</v>
      </c>
      <c r="S30" s="31">
        <v>4.5078624392738433</v>
      </c>
      <c r="T30" s="33">
        <v>22.539312196369217</v>
      </c>
      <c r="U30" s="29">
        <v>99</v>
      </c>
      <c r="V30" s="35">
        <v>43327</v>
      </c>
      <c r="W30" s="35">
        <v>43318</v>
      </c>
      <c r="X30" s="27"/>
      <c r="Y30" s="58">
        <v>22.539312196369217</v>
      </c>
      <c r="Z30" s="31">
        <v>0</v>
      </c>
      <c r="AA30" t="b">
        <v>0</v>
      </c>
    </row>
    <row r="31" spans="2:27" x14ac:dyDescent="0.25">
      <c r="B31" s="53">
        <v>2018</v>
      </c>
      <c r="C31" s="53">
        <v>30</v>
      </c>
      <c r="D31" s="53" t="str">
        <f t="shared" si="0"/>
        <v>2018-30</v>
      </c>
      <c r="E31" s="9" t="s">
        <v>650</v>
      </c>
      <c r="F31" s="1">
        <v>43245</v>
      </c>
      <c r="G31" s="1" t="s">
        <v>909</v>
      </c>
      <c r="H31" s="16"/>
      <c r="I31" s="16" t="s">
        <v>105</v>
      </c>
      <c r="J31" s="16" t="s">
        <v>691</v>
      </c>
      <c r="K31" s="16" t="s">
        <v>985</v>
      </c>
      <c r="L31" t="b">
        <v>0</v>
      </c>
      <c r="M31" s="36">
        <v>763.44</v>
      </c>
      <c r="N31" s="51">
        <v>0.27320378419841473</v>
      </c>
      <c r="O31" s="29">
        <v>229.43216670928155</v>
      </c>
      <c r="P31" s="29" t="str">
        <f t="shared" si="1"/>
        <v>10%</v>
      </c>
      <c r="Q31" s="27">
        <v>10</v>
      </c>
      <c r="R31" s="31">
        <v>76.344000000000008</v>
      </c>
      <c r="S31" s="31">
        <v>20.857469700843776</v>
      </c>
      <c r="T31" s="33">
        <v>208.57469700843777</v>
      </c>
      <c r="U31" s="29">
        <v>839.78400000000011</v>
      </c>
      <c r="V31" s="35">
        <v>43327</v>
      </c>
      <c r="W31" s="35">
        <v>43318</v>
      </c>
      <c r="X31" s="27"/>
      <c r="Y31" s="58">
        <v>208.57469700843777</v>
      </c>
      <c r="Z31" s="31">
        <v>0</v>
      </c>
      <c r="AA31" t="b">
        <v>0</v>
      </c>
    </row>
    <row r="32" spans="2:27" x14ac:dyDescent="0.25">
      <c r="B32" s="53">
        <v>2018</v>
      </c>
      <c r="C32" s="53">
        <v>31</v>
      </c>
      <c r="D32" s="53" t="str">
        <f t="shared" si="0"/>
        <v>2018-31</v>
      </c>
      <c r="E32" s="9" t="s">
        <v>729</v>
      </c>
      <c r="F32" s="1">
        <v>43200</v>
      </c>
      <c r="G32" s="1" t="s">
        <v>727</v>
      </c>
      <c r="H32" s="16"/>
      <c r="I32" s="16" t="s">
        <v>105</v>
      </c>
      <c r="J32" s="16" t="s">
        <v>683</v>
      </c>
      <c r="K32" s="36" t="s">
        <v>540</v>
      </c>
      <c r="L32" t="b">
        <v>0</v>
      </c>
      <c r="M32" s="36">
        <v>78.13</v>
      </c>
      <c r="N32" s="51">
        <v>1</v>
      </c>
      <c r="O32" s="29">
        <v>93.756</v>
      </c>
      <c r="P32" s="29" t="str">
        <f t="shared" si="1"/>
        <v>20%</v>
      </c>
      <c r="Q32" s="27">
        <v>20</v>
      </c>
      <c r="R32" s="31">
        <v>15.625999999999999</v>
      </c>
      <c r="S32" s="31">
        <v>15.625999999999999</v>
      </c>
      <c r="T32" s="33">
        <v>78.13</v>
      </c>
      <c r="U32" s="29">
        <v>93.756</v>
      </c>
      <c r="V32" s="35">
        <v>43327</v>
      </c>
      <c r="W32" s="35">
        <v>43318</v>
      </c>
      <c r="X32" s="27"/>
      <c r="Y32" s="58">
        <v>30.24</v>
      </c>
      <c r="Z32" s="31">
        <v>0</v>
      </c>
      <c r="AA32" t="b">
        <v>0</v>
      </c>
    </row>
    <row r="33" spans="2:27" x14ac:dyDescent="0.25">
      <c r="B33" s="53">
        <v>2018</v>
      </c>
      <c r="C33" s="53">
        <v>32</v>
      </c>
      <c r="D33" s="53" t="str">
        <f t="shared" si="0"/>
        <v>2018-32</v>
      </c>
      <c r="E33" s="9" t="s">
        <v>730</v>
      </c>
      <c r="F33" s="1">
        <v>43196</v>
      </c>
      <c r="G33" t="s">
        <v>731</v>
      </c>
      <c r="H33" s="16"/>
      <c r="I33" s="16" t="s">
        <v>105</v>
      </c>
      <c r="J33" s="16" t="s">
        <v>683</v>
      </c>
      <c r="K33" s="16" t="s">
        <v>540</v>
      </c>
      <c r="L33" t="b">
        <v>0</v>
      </c>
      <c r="M33" s="36">
        <v>32.51</v>
      </c>
      <c r="N33" s="51">
        <v>1</v>
      </c>
      <c r="O33" s="29">
        <v>39.3371</v>
      </c>
      <c r="P33" s="29" t="str">
        <f t="shared" si="1"/>
        <v>21%</v>
      </c>
      <c r="Q33" s="27">
        <v>21</v>
      </c>
      <c r="R33" s="31">
        <v>6.8270999999999988</v>
      </c>
      <c r="S33" s="31">
        <v>6.8270999999999988</v>
      </c>
      <c r="T33" s="33">
        <v>32.51</v>
      </c>
      <c r="U33" s="29">
        <v>39.3371</v>
      </c>
      <c r="V33" s="35">
        <v>43327</v>
      </c>
      <c r="W33" s="35">
        <v>43318</v>
      </c>
      <c r="X33" s="27"/>
      <c r="Y33" s="58">
        <v>30.24</v>
      </c>
      <c r="Z33" s="31">
        <v>0</v>
      </c>
      <c r="AA33" t="b">
        <v>0</v>
      </c>
    </row>
    <row r="34" spans="2:27" x14ac:dyDescent="0.25">
      <c r="B34" s="53">
        <v>2018</v>
      </c>
      <c r="C34" s="53">
        <v>33</v>
      </c>
      <c r="D34" s="53" t="str">
        <f t="shared" si="0"/>
        <v>2018-33</v>
      </c>
      <c r="E34" s="9" t="s">
        <v>732</v>
      </c>
      <c r="F34" s="1">
        <v>43242</v>
      </c>
      <c r="G34" t="s">
        <v>651</v>
      </c>
      <c r="H34" s="16"/>
      <c r="I34" s="16" t="s">
        <v>105</v>
      </c>
      <c r="J34" s="16" t="s">
        <v>705</v>
      </c>
      <c r="K34" s="16" t="s">
        <v>985</v>
      </c>
      <c r="L34" t="b">
        <v>0</v>
      </c>
      <c r="M34" s="36">
        <v>15.3</v>
      </c>
      <c r="N34" s="51">
        <v>1</v>
      </c>
      <c r="O34" s="29">
        <v>18.36</v>
      </c>
      <c r="P34" s="29" t="str">
        <f t="shared" si="1"/>
        <v>20%</v>
      </c>
      <c r="Q34" s="27">
        <v>20</v>
      </c>
      <c r="R34" s="31">
        <v>3.06</v>
      </c>
      <c r="S34" s="31">
        <v>3.06</v>
      </c>
      <c r="T34" s="33">
        <v>15.3</v>
      </c>
      <c r="U34" s="29">
        <v>18.36</v>
      </c>
      <c r="V34" s="35">
        <v>43327</v>
      </c>
      <c r="W34" s="35">
        <v>43318</v>
      </c>
      <c r="X34" s="27"/>
      <c r="Y34" s="58">
        <v>15.3</v>
      </c>
      <c r="Z34" s="31">
        <v>0</v>
      </c>
      <c r="AA34" t="b">
        <v>0</v>
      </c>
    </row>
    <row r="35" spans="2:27" x14ac:dyDescent="0.25">
      <c r="B35" s="53">
        <v>2018</v>
      </c>
      <c r="C35" s="53">
        <v>34</v>
      </c>
      <c r="D35" s="53" t="str">
        <f t="shared" si="0"/>
        <v>2018-34</v>
      </c>
      <c r="E35" s="9" t="s">
        <v>734</v>
      </c>
      <c r="F35" s="1">
        <v>43102</v>
      </c>
      <c r="G35" s="1" t="s">
        <v>733</v>
      </c>
      <c r="H35" s="16"/>
      <c r="I35" s="16" t="s">
        <v>105</v>
      </c>
      <c r="J35" s="16"/>
      <c r="K35" s="16" t="s">
        <v>540</v>
      </c>
      <c r="L35" t="b">
        <v>0</v>
      </c>
      <c r="M35" s="36">
        <v>91.33</v>
      </c>
      <c r="N35" s="51">
        <v>1</v>
      </c>
      <c r="O35" s="29">
        <v>91.33</v>
      </c>
      <c r="P35" s="29" t="str">
        <f t="shared" si="1"/>
        <v>0%</v>
      </c>
      <c r="Q35" s="27">
        <v>0</v>
      </c>
      <c r="R35" s="31">
        <v>0</v>
      </c>
      <c r="S35" s="31">
        <v>0</v>
      </c>
      <c r="T35" s="33">
        <v>91.33</v>
      </c>
      <c r="U35" s="29">
        <v>91.33</v>
      </c>
      <c r="V35" s="35">
        <v>43235</v>
      </c>
      <c r="W35" s="35"/>
      <c r="X35" s="27"/>
      <c r="Y35" s="58">
        <v>91.33</v>
      </c>
      <c r="Z35" s="31">
        <v>0</v>
      </c>
      <c r="AA35" t="b">
        <v>0</v>
      </c>
    </row>
    <row r="36" spans="2:27" x14ac:dyDescent="0.25">
      <c r="B36" s="53">
        <v>2018</v>
      </c>
      <c r="C36" s="53">
        <v>35</v>
      </c>
      <c r="D36" s="53" t="str">
        <f t="shared" si="0"/>
        <v>2018-35</v>
      </c>
      <c r="E36" s="9" t="s">
        <v>735</v>
      </c>
      <c r="F36" s="1">
        <v>43181</v>
      </c>
      <c r="G36" t="s">
        <v>651</v>
      </c>
      <c r="H36" s="16"/>
      <c r="I36" s="16" t="s">
        <v>105</v>
      </c>
      <c r="J36" s="16" t="s">
        <v>705</v>
      </c>
      <c r="K36" s="16" t="s">
        <v>985</v>
      </c>
      <c r="L36" t="b">
        <v>0</v>
      </c>
      <c r="M36" s="36">
        <v>15.3</v>
      </c>
      <c r="N36" s="51">
        <v>1</v>
      </c>
      <c r="O36" s="29">
        <v>18.36</v>
      </c>
      <c r="P36" s="29" t="str">
        <f t="shared" si="1"/>
        <v>20%</v>
      </c>
      <c r="Q36" s="27">
        <v>20</v>
      </c>
      <c r="R36" s="31">
        <v>3.06</v>
      </c>
      <c r="S36" s="31">
        <v>3.06</v>
      </c>
      <c r="T36" s="33">
        <v>15.3</v>
      </c>
      <c r="U36" s="29">
        <v>18.36</v>
      </c>
      <c r="V36" s="35">
        <v>43235</v>
      </c>
      <c r="W36" s="35"/>
      <c r="X36" s="27"/>
      <c r="Y36" s="58">
        <v>15.3</v>
      </c>
      <c r="Z36" s="31">
        <v>0</v>
      </c>
      <c r="AA36" t="b">
        <v>0</v>
      </c>
    </row>
    <row r="37" spans="2:27" x14ac:dyDescent="0.25">
      <c r="B37" s="53">
        <v>2018</v>
      </c>
      <c r="C37" s="53">
        <v>36</v>
      </c>
      <c r="D37" s="53" t="str">
        <f t="shared" si="0"/>
        <v>2018-36</v>
      </c>
      <c r="E37" s="9" t="s">
        <v>736</v>
      </c>
      <c r="F37" s="1">
        <v>43178</v>
      </c>
      <c r="G37" s="1" t="s">
        <v>737</v>
      </c>
      <c r="H37" s="16"/>
      <c r="I37" s="16" t="s">
        <v>105</v>
      </c>
      <c r="J37" s="16" t="s">
        <v>683</v>
      </c>
      <c r="K37" s="36" t="s">
        <v>540</v>
      </c>
      <c r="L37" t="b">
        <v>0</v>
      </c>
      <c r="M37" s="36">
        <v>46.02</v>
      </c>
      <c r="N37" s="51">
        <v>1</v>
      </c>
      <c r="O37" s="29">
        <v>55.224000000000004</v>
      </c>
      <c r="P37" s="29" t="str">
        <f t="shared" si="1"/>
        <v>20%</v>
      </c>
      <c r="Q37" s="27">
        <v>20</v>
      </c>
      <c r="R37" s="31">
        <v>9.2040000000000006</v>
      </c>
      <c r="S37" s="31">
        <v>9.2040000000000006</v>
      </c>
      <c r="T37" s="33">
        <v>46.02</v>
      </c>
      <c r="U37" s="29">
        <v>55.224000000000004</v>
      </c>
      <c r="V37" s="35">
        <v>43235</v>
      </c>
      <c r="W37" s="35"/>
      <c r="X37" s="27"/>
      <c r="Y37" s="58">
        <v>30.24</v>
      </c>
      <c r="Z37" s="31">
        <v>0</v>
      </c>
      <c r="AA37" t="b">
        <v>0</v>
      </c>
    </row>
    <row r="38" spans="2:27" x14ac:dyDescent="0.25">
      <c r="B38" s="53">
        <v>2018</v>
      </c>
      <c r="C38" s="53">
        <v>37</v>
      </c>
      <c r="D38" s="53" t="str">
        <f t="shared" si="0"/>
        <v>2018-37</v>
      </c>
      <c r="E38" s="9" t="s">
        <v>739</v>
      </c>
      <c r="F38" s="1">
        <v>43238</v>
      </c>
      <c r="G38" s="1" t="s">
        <v>738</v>
      </c>
      <c r="H38" s="16"/>
      <c r="I38" s="16" t="s">
        <v>105</v>
      </c>
      <c r="J38" s="16" t="s">
        <v>701</v>
      </c>
      <c r="K38" s="16" t="s">
        <v>985</v>
      </c>
      <c r="L38" t="b">
        <v>0</v>
      </c>
      <c r="M38" s="36">
        <v>46.73</v>
      </c>
      <c r="N38" s="51">
        <v>1</v>
      </c>
      <c r="O38" s="29">
        <v>51.402999999999999</v>
      </c>
      <c r="P38" s="29" t="str">
        <f t="shared" si="1"/>
        <v>10%</v>
      </c>
      <c r="Q38" s="27">
        <v>10</v>
      </c>
      <c r="R38" s="31">
        <v>4.6729999999999992</v>
      </c>
      <c r="S38" s="31">
        <v>4.6729999999999992</v>
      </c>
      <c r="T38" s="33">
        <v>46.73</v>
      </c>
      <c r="U38" s="29">
        <v>51.402999999999999</v>
      </c>
      <c r="V38" s="35">
        <v>43327</v>
      </c>
      <c r="W38" s="35">
        <v>43318</v>
      </c>
      <c r="X38" s="27"/>
      <c r="Y38" s="58">
        <v>30.24</v>
      </c>
      <c r="Z38" s="31">
        <v>0</v>
      </c>
      <c r="AA38" t="b">
        <v>0</v>
      </c>
    </row>
    <row r="39" spans="2:27" x14ac:dyDescent="0.25">
      <c r="B39" s="53">
        <v>2018</v>
      </c>
      <c r="C39" s="53">
        <v>38</v>
      </c>
      <c r="D39" s="53" t="str">
        <f t="shared" si="0"/>
        <v>2018-38</v>
      </c>
      <c r="E39" s="9" t="s">
        <v>741</v>
      </c>
      <c r="F39" s="1">
        <v>43210</v>
      </c>
      <c r="G39" t="s">
        <v>740</v>
      </c>
      <c r="H39" s="16"/>
      <c r="I39" s="16" t="s">
        <v>105</v>
      </c>
      <c r="J39" s="16"/>
      <c r="K39" s="36" t="s">
        <v>540</v>
      </c>
      <c r="L39" t="b">
        <v>0</v>
      </c>
      <c r="M39" s="36">
        <v>20.9</v>
      </c>
      <c r="N39" s="51">
        <v>1</v>
      </c>
      <c r="O39" s="29">
        <v>25.08</v>
      </c>
      <c r="P39" s="29" t="str">
        <f t="shared" si="1"/>
        <v>20%</v>
      </c>
      <c r="Q39" s="27">
        <v>20</v>
      </c>
      <c r="R39" s="31">
        <v>4.18</v>
      </c>
      <c r="S39" s="31">
        <v>4.18</v>
      </c>
      <c r="T39" s="33">
        <v>20.9</v>
      </c>
      <c r="U39" s="29">
        <v>25.08</v>
      </c>
      <c r="V39" s="35">
        <v>43327</v>
      </c>
      <c r="W39" s="35">
        <v>43318</v>
      </c>
      <c r="X39" s="27"/>
      <c r="Y39" s="58">
        <v>30.24</v>
      </c>
      <c r="Z39" s="31">
        <v>0</v>
      </c>
      <c r="AA39" t="b">
        <v>0</v>
      </c>
    </row>
    <row r="40" spans="2:27" x14ac:dyDescent="0.25">
      <c r="B40" s="53">
        <v>2018</v>
      </c>
      <c r="C40" s="53">
        <v>39</v>
      </c>
      <c r="D40" s="53" t="str">
        <f t="shared" si="0"/>
        <v>2018-39</v>
      </c>
      <c r="E40" s="9" t="s">
        <v>742</v>
      </c>
      <c r="F40" s="1">
        <v>43213</v>
      </c>
      <c r="G40" t="s">
        <v>651</v>
      </c>
      <c r="H40" s="16"/>
      <c r="I40" s="16" t="s">
        <v>105</v>
      </c>
      <c r="J40" s="16" t="s">
        <v>705</v>
      </c>
      <c r="K40" s="16" t="s">
        <v>985</v>
      </c>
      <c r="L40" t="b">
        <v>0</v>
      </c>
      <c r="M40" s="36">
        <v>15.3</v>
      </c>
      <c r="N40" s="51">
        <v>1</v>
      </c>
      <c r="O40" s="29">
        <v>18.36</v>
      </c>
      <c r="P40" s="29" t="str">
        <f t="shared" si="1"/>
        <v>20%</v>
      </c>
      <c r="Q40" s="27">
        <v>20</v>
      </c>
      <c r="R40" s="31">
        <v>3.06</v>
      </c>
      <c r="S40" s="31">
        <v>3.06</v>
      </c>
      <c r="T40" s="33">
        <v>15.3</v>
      </c>
      <c r="U40" s="29">
        <v>18.36</v>
      </c>
      <c r="V40" s="35">
        <v>43327</v>
      </c>
      <c r="W40" s="35">
        <v>43318</v>
      </c>
      <c r="X40" s="27"/>
      <c r="Y40" s="58">
        <v>15.3</v>
      </c>
      <c r="Z40" s="31">
        <v>0</v>
      </c>
      <c r="AA40" t="b">
        <v>0</v>
      </c>
    </row>
    <row r="41" spans="2:27" x14ac:dyDescent="0.25">
      <c r="B41" s="53">
        <v>2018</v>
      </c>
      <c r="C41" s="53">
        <v>40</v>
      </c>
      <c r="D41" s="53" t="str">
        <f t="shared" si="0"/>
        <v>2018-40</v>
      </c>
      <c r="E41" s="9" t="s">
        <v>744</v>
      </c>
      <c r="F41" s="1">
        <v>43245</v>
      </c>
      <c r="G41" s="1" t="s">
        <v>743</v>
      </c>
      <c r="H41" s="16"/>
      <c r="I41" s="16" t="s">
        <v>105</v>
      </c>
      <c r="J41" s="16" t="s">
        <v>705</v>
      </c>
      <c r="K41" s="16" t="s">
        <v>985</v>
      </c>
      <c r="L41" t="b">
        <v>0</v>
      </c>
      <c r="M41" s="36">
        <v>12.42</v>
      </c>
      <c r="N41" s="51">
        <v>1</v>
      </c>
      <c r="O41" s="29">
        <v>14.904</v>
      </c>
      <c r="P41" s="29" t="str">
        <f t="shared" si="1"/>
        <v>20%</v>
      </c>
      <c r="Q41" s="27">
        <v>20</v>
      </c>
      <c r="R41" s="31">
        <v>2.484</v>
      </c>
      <c r="S41" s="31">
        <v>2.484</v>
      </c>
      <c r="T41" s="33">
        <v>12.42</v>
      </c>
      <c r="U41" s="29">
        <v>14.904</v>
      </c>
      <c r="V41" s="35">
        <v>43327</v>
      </c>
      <c r="W41" s="35">
        <v>43318</v>
      </c>
      <c r="X41" s="27"/>
      <c r="Y41" s="58">
        <v>12.42</v>
      </c>
      <c r="Z41" s="31">
        <v>0</v>
      </c>
      <c r="AA41" t="b">
        <v>0</v>
      </c>
    </row>
    <row r="42" spans="2:27" x14ac:dyDescent="0.25">
      <c r="B42" s="53">
        <v>2018</v>
      </c>
      <c r="C42" s="53">
        <v>41</v>
      </c>
      <c r="D42" s="53" t="str">
        <f t="shared" si="0"/>
        <v>2018-41</v>
      </c>
      <c r="E42" s="9" t="s">
        <v>746</v>
      </c>
      <c r="F42" s="1">
        <v>43229</v>
      </c>
      <c r="G42" t="s">
        <v>745</v>
      </c>
      <c r="H42" s="16"/>
      <c r="I42" s="16" t="s">
        <v>105</v>
      </c>
      <c r="J42" s="16" t="s">
        <v>689</v>
      </c>
      <c r="K42" s="16"/>
      <c r="L42" t="b">
        <v>0</v>
      </c>
      <c r="M42" s="36">
        <v>8.52</v>
      </c>
      <c r="N42" s="51">
        <v>1</v>
      </c>
      <c r="O42" s="29">
        <v>10.224</v>
      </c>
      <c r="P42" s="29" t="str">
        <f t="shared" si="1"/>
        <v>20%</v>
      </c>
      <c r="Q42" s="27">
        <v>20</v>
      </c>
      <c r="R42" s="31">
        <v>1.7039999999999997</v>
      </c>
      <c r="S42" s="31">
        <v>1.7039999999999997</v>
      </c>
      <c r="T42" s="33">
        <v>8.52</v>
      </c>
      <c r="U42" s="29">
        <v>10.224</v>
      </c>
      <c r="V42" s="35">
        <v>43327</v>
      </c>
      <c r="W42" s="35">
        <v>43318</v>
      </c>
      <c r="X42" s="27"/>
      <c r="Y42" s="58">
        <v>8.52</v>
      </c>
      <c r="Z42" s="31">
        <v>0</v>
      </c>
      <c r="AA42" t="b">
        <v>0</v>
      </c>
    </row>
    <row r="43" spans="2:27" x14ac:dyDescent="0.25">
      <c r="B43" s="53">
        <v>2018</v>
      </c>
      <c r="C43" s="53">
        <v>42</v>
      </c>
      <c r="D43" s="53" t="str">
        <f t="shared" si="0"/>
        <v>2018-42</v>
      </c>
      <c r="E43" s="9" t="s">
        <v>732</v>
      </c>
      <c r="F43" s="1">
        <v>43241</v>
      </c>
      <c r="G43" t="s">
        <v>651</v>
      </c>
      <c r="H43" s="16"/>
      <c r="I43" s="16" t="s">
        <v>105</v>
      </c>
      <c r="J43" s="16" t="s">
        <v>705</v>
      </c>
      <c r="K43" s="16"/>
      <c r="L43" t="b">
        <v>0</v>
      </c>
      <c r="M43" s="36">
        <v>15.3</v>
      </c>
      <c r="N43" s="51">
        <v>1</v>
      </c>
      <c r="O43" s="29">
        <v>18.36</v>
      </c>
      <c r="P43" s="29" t="str">
        <f t="shared" si="1"/>
        <v>20%</v>
      </c>
      <c r="Q43" s="27">
        <v>20</v>
      </c>
      <c r="R43" s="31">
        <v>3.06</v>
      </c>
      <c r="S43" s="31">
        <v>3.06</v>
      </c>
      <c r="T43" s="33">
        <v>15.3</v>
      </c>
      <c r="U43" s="29">
        <v>18.36</v>
      </c>
      <c r="V43" s="35">
        <v>43327</v>
      </c>
      <c r="W43" s="35">
        <v>43318</v>
      </c>
      <c r="X43" s="27"/>
      <c r="Y43" s="58">
        <v>15.3</v>
      </c>
      <c r="Z43" s="31">
        <v>0</v>
      </c>
      <c r="AA43" t="b">
        <v>0</v>
      </c>
    </row>
    <row r="44" spans="2:27" x14ac:dyDescent="0.25">
      <c r="B44" s="53">
        <v>2018</v>
      </c>
      <c r="C44" s="53">
        <v>43</v>
      </c>
      <c r="D44" s="53" t="str">
        <f t="shared" si="0"/>
        <v>2018-43</v>
      </c>
      <c r="E44" s="9" t="s">
        <v>747</v>
      </c>
      <c r="F44" s="1">
        <v>43253</v>
      </c>
      <c r="G44" t="s">
        <v>748</v>
      </c>
      <c r="H44" s="16"/>
      <c r="I44" s="16" t="s">
        <v>105</v>
      </c>
      <c r="J44" s="16" t="s">
        <v>705</v>
      </c>
      <c r="K44" s="16"/>
      <c r="L44" t="b">
        <v>0</v>
      </c>
      <c r="M44" s="36">
        <v>2.3199999999999998</v>
      </c>
      <c r="N44" s="51">
        <v>1</v>
      </c>
      <c r="O44" s="29">
        <v>2.3199999999999998</v>
      </c>
      <c r="P44" s="29" t="str">
        <f t="shared" si="1"/>
        <v>0%</v>
      </c>
      <c r="Q44" s="27">
        <v>0</v>
      </c>
      <c r="R44" s="31">
        <v>0</v>
      </c>
      <c r="S44" s="31">
        <v>0</v>
      </c>
      <c r="T44" s="33">
        <v>2.3199999999999998</v>
      </c>
      <c r="U44" s="29">
        <v>2.3199999999999998</v>
      </c>
      <c r="V44" s="35">
        <v>43327</v>
      </c>
      <c r="W44" s="35">
        <v>43318</v>
      </c>
      <c r="X44" s="27">
        <v>20</v>
      </c>
      <c r="Y44" s="58">
        <v>2.3199999999999998</v>
      </c>
      <c r="Z44" s="31">
        <v>0.46399999999999997</v>
      </c>
      <c r="AA44" t="b">
        <v>0</v>
      </c>
    </row>
    <row r="45" spans="2:27" x14ac:dyDescent="0.25">
      <c r="B45" s="53">
        <v>2018</v>
      </c>
      <c r="C45" s="53">
        <v>44</v>
      </c>
      <c r="D45" s="53" t="str">
        <f t="shared" si="0"/>
        <v>2018-44</v>
      </c>
      <c r="E45" s="9" t="s">
        <v>749</v>
      </c>
      <c r="F45" s="1">
        <v>43265</v>
      </c>
      <c r="G45" t="s">
        <v>34</v>
      </c>
      <c r="H45" s="16"/>
      <c r="I45" s="16" t="s">
        <v>105</v>
      </c>
      <c r="J45" s="16" t="s">
        <v>703</v>
      </c>
      <c r="K45" s="16"/>
      <c r="L45" t="b">
        <v>0</v>
      </c>
      <c r="M45" s="36">
        <v>15.58</v>
      </c>
      <c r="N45" s="51">
        <v>1</v>
      </c>
      <c r="O45" s="29">
        <v>18.696000000000002</v>
      </c>
      <c r="P45" s="29" t="str">
        <f t="shared" si="1"/>
        <v>20%</v>
      </c>
      <c r="Q45" s="27">
        <v>20</v>
      </c>
      <c r="R45" s="31">
        <v>3.1160000000000001</v>
      </c>
      <c r="S45" s="31">
        <v>3.1160000000000001</v>
      </c>
      <c r="T45" s="33">
        <v>15.58</v>
      </c>
      <c r="U45" s="29">
        <v>18.696000000000002</v>
      </c>
      <c r="V45" s="35">
        <v>43327</v>
      </c>
      <c r="W45" s="35">
        <v>43318</v>
      </c>
      <c r="X45" s="27"/>
      <c r="Y45" s="58">
        <v>15.58</v>
      </c>
      <c r="Z45" s="31">
        <v>0</v>
      </c>
      <c r="AA45" t="b">
        <v>0</v>
      </c>
    </row>
    <row r="46" spans="2:27" x14ac:dyDescent="0.25">
      <c r="B46" s="53">
        <v>2018</v>
      </c>
      <c r="C46" s="53">
        <v>45</v>
      </c>
      <c r="D46" s="53" t="str">
        <f t="shared" si="0"/>
        <v>2018-45</v>
      </c>
      <c r="E46" s="9" t="s">
        <v>750</v>
      </c>
      <c r="F46" s="1">
        <v>43256</v>
      </c>
      <c r="G46" t="s">
        <v>647</v>
      </c>
      <c r="H46" s="16"/>
      <c r="I46" s="16" t="s">
        <v>105</v>
      </c>
      <c r="J46" s="16" t="s">
        <v>703</v>
      </c>
      <c r="K46" s="16"/>
      <c r="L46" t="b">
        <v>0</v>
      </c>
      <c r="M46" s="36">
        <v>48.32</v>
      </c>
      <c r="N46" s="51">
        <v>0.39817880794701987</v>
      </c>
      <c r="O46" s="29">
        <v>22.313940397350997</v>
      </c>
      <c r="P46" s="29" t="str">
        <f t="shared" si="1"/>
        <v>gemischt%</v>
      </c>
      <c r="Q46" s="27" t="s">
        <v>14</v>
      </c>
      <c r="R46" s="31">
        <v>7.72</v>
      </c>
      <c r="S46" s="31">
        <v>3.0739403973509933</v>
      </c>
      <c r="T46" s="33">
        <v>19.240000000000002</v>
      </c>
      <c r="U46" s="29">
        <v>56.04</v>
      </c>
      <c r="V46" s="35">
        <v>43327</v>
      </c>
      <c r="W46" s="35">
        <v>43318</v>
      </c>
      <c r="X46" s="27"/>
      <c r="Y46" s="58">
        <v>19.240000000000002</v>
      </c>
      <c r="Z46" s="31">
        <v>0</v>
      </c>
      <c r="AA46" t="b">
        <v>0</v>
      </c>
    </row>
    <row r="47" spans="2:27" x14ac:dyDescent="0.25">
      <c r="B47" s="53">
        <v>2018</v>
      </c>
      <c r="C47" s="53">
        <v>46</v>
      </c>
      <c r="D47" s="53" t="str">
        <f t="shared" si="0"/>
        <v>2018-46</v>
      </c>
      <c r="E47" s="9" t="s">
        <v>751</v>
      </c>
      <c r="F47" s="1">
        <v>43266</v>
      </c>
      <c r="G47" s="1" t="s">
        <v>795</v>
      </c>
      <c r="H47" s="16"/>
      <c r="I47" s="16" t="s">
        <v>105</v>
      </c>
      <c r="J47" s="16" t="s">
        <v>705</v>
      </c>
      <c r="K47" s="16" t="s">
        <v>985</v>
      </c>
      <c r="L47" t="b">
        <v>0</v>
      </c>
      <c r="M47" s="36">
        <v>82.5</v>
      </c>
      <c r="N47" s="51">
        <v>0.27320378419841473</v>
      </c>
      <c r="O47" s="29">
        <v>27.04717463564306</v>
      </c>
      <c r="P47" s="29" t="str">
        <f t="shared" si="1"/>
        <v>20%</v>
      </c>
      <c r="Q47" s="27">
        <v>20</v>
      </c>
      <c r="R47" s="31">
        <v>16.5</v>
      </c>
      <c r="S47" s="31">
        <v>4.5078624392738433</v>
      </c>
      <c r="T47" s="33">
        <v>22.539312196369217</v>
      </c>
      <c r="U47" s="29">
        <v>99</v>
      </c>
      <c r="V47" s="35">
        <v>43327</v>
      </c>
      <c r="W47" s="35">
        <v>43318</v>
      </c>
      <c r="X47" s="27"/>
      <c r="Y47" s="58">
        <v>22.539312196369217</v>
      </c>
      <c r="Z47" s="31">
        <v>0</v>
      </c>
      <c r="AA47" t="b">
        <v>0</v>
      </c>
    </row>
    <row r="48" spans="2:27" x14ac:dyDescent="0.25">
      <c r="B48" s="53">
        <v>2018</v>
      </c>
      <c r="C48" s="53">
        <v>47</v>
      </c>
      <c r="D48" s="53" t="str">
        <f t="shared" si="0"/>
        <v>2018-47</v>
      </c>
      <c r="E48" s="9" t="s">
        <v>752</v>
      </c>
      <c r="F48" s="1">
        <v>43272</v>
      </c>
      <c r="G48" t="s">
        <v>651</v>
      </c>
      <c r="H48" s="16"/>
      <c r="I48" s="16" t="s">
        <v>105</v>
      </c>
      <c r="J48" s="16" t="s">
        <v>705</v>
      </c>
      <c r="K48" s="16"/>
      <c r="L48" t="b">
        <v>0</v>
      </c>
      <c r="M48" s="36">
        <v>57.5</v>
      </c>
      <c r="N48" s="51">
        <v>1</v>
      </c>
      <c r="O48" s="29">
        <v>69</v>
      </c>
      <c r="P48" s="29" t="str">
        <f t="shared" si="1"/>
        <v>20%</v>
      </c>
      <c r="Q48" s="27">
        <v>20</v>
      </c>
      <c r="R48" s="31">
        <v>11.5</v>
      </c>
      <c r="S48" s="31">
        <v>11.5</v>
      </c>
      <c r="T48" s="33">
        <v>57.5</v>
      </c>
      <c r="U48" s="29">
        <v>69</v>
      </c>
      <c r="V48" s="35">
        <v>43327</v>
      </c>
      <c r="W48" s="35">
        <v>43318</v>
      </c>
      <c r="X48" s="27"/>
      <c r="Y48" s="58">
        <v>57.5</v>
      </c>
      <c r="Z48" s="31">
        <v>0</v>
      </c>
      <c r="AA48" t="b">
        <v>0</v>
      </c>
    </row>
    <row r="49" spans="2:27" x14ac:dyDescent="0.25">
      <c r="B49" s="53">
        <v>2018</v>
      </c>
      <c r="C49" s="53">
        <v>48</v>
      </c>
      <c r="D49" s="53" t="str">
        <f t="shared" si="0"/>
        <v>2018-48</v>
      </c>
      <c r="E49" s="9" t="s">
        <v>753</v>
      </c>
      <c r="F49" s="1">
        <v>43273</v>
      </c>
      <c r="G49" t="s">
        <v>651</v>
      </c>
      <c r="H49" s="16"/>
      <c r="I49" s="16" t="s">
        <v>105</v>
      </c>
      <c r="J49" s="16" t="s">
        <v>705</v>
      </c>
      <c r="K49" s="16"/>
      <c r="L49" t="b">
        <v>0</v>
      </c>
      <c r="M49" s="36">
        <v>15.3</v>
      </c>
      <c r="N49" s="51">
        <v>1</v>
      </c>
      <c r="O49" s="29">
        <v>18.36</v>
      </c>
      <c r="P49" s="29" t="str">
        <f t="shared" si="1"/>
        <v>20%</v>
      </c>
      <c r="Q49" s="27">
        <v>20</v>
      </c>
      <c r="R49" s="31">
        <v>3.06</v>
      </c>
      <c r="S49" s="31">
        <v>3.06</v>
      </c>
      <c r="T49" s="33">
        <v>15.3</v>
      </c>
      <c r="U49" s="29">
        <v>18.36</v>
      </c>
      <c r="V49" s="35">
        <v>43327</v>
      </c>
      <c r="W49" s="35">
        <v>43318</v>
      </c>
      <c r="X49" s="27"/>
      <c r="Y49" s="58">
        <v>15.3</v>
      </c>
      <c r="Z49" s="31">
        <v>0</v>
      </c>
      <c r="AA49" t="b">
        <v>0</v>
      </c>
    </row>
    <row r="50" spans="2:27" x14ac:dyDescent="0.25">
      <c r="B50" s="53">
        <v>2018</v>
      </c>
      <c r="C50" s="53">
        <v>49</v>
      </c>
      <c r="D50" s="53" t="str">
        <f t="shared" si="0"/>
        <v>2018-49</v>
      </c>
      <c r="E50" s="9" t="s">
        <v>650</v>
      </c>
      <c r="F50" s="1">
        <v>43276</v>
      </c>
      <c r="G50" s="1" t="s">
        <v>909</v>
      </c>
      <c r="H50" s="16"/>
      <c r="I50" s="16" t="s">
        <v>105</v>
      </c>
      <c r="J50" s="16" t="s">
        <v>691</v>
      </c>
      <c r="K50" s="16" t="s">
        <v>985</v>
      </c>
      <c r="L50" t="b">
        <v>0</v>
      </c>
      <c r="M50" s="36">
        <v>763.44</v>
      </c>
      <c r="N50" s="51">
        <v>0.27320378419841473</v>
      </c>
      <c r="O50" s="29">
        <v>229.43216670928155</v>
      </c>
      <c r="P50" s="29" t="str">
        <f t="shared" si="1"/>
        <v>10%</v>
      </c>
      <c r="Q50" s="27">
        <v>10</v>
      </c>
      <c r="R50" s="31">
        <v>76.344000000000008</v>
      </c>
      <c r="S50" s="31">
        <v>20.857469700843776</v>
      </c>
      <c r="T50" s="33">
        <v>208.57469700843777</v>
      </c>
      <c r="U50" s="29">
        <v>839.78400000000011</v>
      </c>
      <c r="V50" s="35">
        <v>43327</v>
      </c>
      <c r="W50" s="35">
        <v>43318</v>
      </c>
      <c r="X50" s="27"/>
      <c r="Y50" s="58">
        <v>208.57469700843777</v>
      </c>
      <c r="Z50" s="31">
        <v>0</v>
      </c>
      <c r="AA50" t="b">
        <v>0</v>
      </c>
    </row>
    <row r="51" spans="2:27" x14ac:dyDescent="0.25">
      <c r="B51" s="53">
        <v>2018</v>
      </c>
      <c r="C51" s="53">
        <v>50</v>
      </c>
      <c r="D51" s="53" t="str">
        <f t="shared" si="0"/>
        <v>2018-50</v>
      </c>
      <c r="E51" s="9" t="s">
        <v>755</v>
      </c>
      <c r="F51" s="1">
        <v>43278</v>
      </c>
      <c r="G51" t="s">
        <v>754</v>
      </c>
      <c r="H51" s="16"/>
      <c r="I51" s="16" t="s">
        <v>105</v>
      </c>
      <c r="J51" s="16" t="s">
        <v>705</v>
      </c>
      <c r="K51" s="16"/>
      <c r="L51" t="b">
        <v>0</v>
      </c>
      <c r="M51" s="36">
        <v>27.09</v>
      </c>
      <c r="N51" s="51">
        <v>1</v>
      </c>
      <c r="O51" s="29">
        <v>29.798999999999999</v>
      </c>
      <c r="P51" s="29" t="str">
        <f t="shared" si="1"/>
        <v>10%</v>
      </c>
      <c r="Q51" s="27">
        <v>10</v>
      </c>
      <c r="R51" s="31">
        <v>2.7089999999999996</v>
      </c>
      <c r="S51" s="31">
        <v>2.7089999999999996</v>
      </c>
      <c r="T51" s="33">
        <v>27.09</v>
      </c>
      <c r="U51" s="29">
        <v>29.798999999999999</v>
      </c>
      <c r="V51" s="35">
        <v>43327</v>
      </c>
      <c r="W51" s="35">
        <v>43318</v>
      </c>
      <c r="X51" s="27"/>
      <c r="Y51" s="58">
        <v>27.09</v>
      </c>
      <c r="Z51" s="31">
        <v>0</v>
      </c>
      <c r="AA51" t="b">
        <v>0</v>
      </c>
    </row>
    <row r="52" spans="2:27" x14ac:dyDescent="0.25">
      <c r="B52" s="53">
        <v>2018</v>
      </c>
      <c r="C52" s="53">
        <v>51</v>
      </c>
      <c r="D52" s="53" t="str">
        <f t="shared" si="0"/>
        <v>2018-51</v>
      </c>
      <c r="E52" s="9" t="s">
        <v>770</v>
      </c>
      <c r="F52" s="1">
        <v>43278</v>
      </c>
      <c r="G52" t="s">
        <v>758</v>
      </c>
      <c r="H52" s="16"/>
      <c r="I52" s="16" t="s">
        <v>105</v>
      </c>
      <c r="J52" s="16" t="s">
        <v>705</v>
      </c>
      <c r="K52" s="16" t="s">
        <v>540</v>
      </c>
      <c r="L52" t="b">
        <v>0</v>
      </c>
      <c r="M52" s="36">
        <v>3132.56</v>
      </c>
      <c r="N52" s="51">
        <v>1</v>
      </c>
      <c r="O52" s="29">
        <v>3759.0720000000001</v>
      </c>
      <c r="P52" s="29" t="str">
        <f t="shared" si="1"/>
        <v>20%</v>
      </c>
      <c r="Q52" s="27">
        <v>20</v>
      </c>
      <c r="R52" s="31">
        <v>626.51199999999994</v>
      </c>
      <c r="S52" s="31">
        <v>626.51199999999994</v>
      </c>
      <c r="T52" s="33">
        <v>3132.56</v>
      </c>
      <c r="U52" s="29">
        <v>3759.0720000000001</v>
      </c>
      <c r="V52" s="35">
        <v>43327</v>
      </c>
      <c r="W52" s="35">
        <v>43318</v>
      </c>
      <c r="X52" s="27"/>
      <c r="Y52" s="58">
        <v>3132.56</v>
      </c>
      <c r="Z52" s="31">
        <v>0</v>
      </c>
      <c r="AA52" t="b">
        <v>0</v>
      </c>
    </row>
    <row r="53" spans="2:27" x14ac:dyDescent="0.25">
      <c r="B53" s="53">
        <v>2018</v>
      </c>
      <c r="C53" s="53">
        <v>52</v>
      </c>
      <c r="D53" s="53" t="str">
        <f t="shared" si="0"/>
        <v>2018-52</v>
      </c>
      <c r="E53" s="9" t="s">
        <v>756</v>
      </c>
      <c r="F53" s="1">
        <v>43280</v>
      </c>
      <c r="G53" t="s">
        <v>757</v>
      </c>
      <c r="H53" s="16"/>
      <c r="I53" s="16" t="s">
        <v>105</v>
      </c>
      <c r="J53" s="16" t="s">
        <v>705</v>
      </c>
      <c r="K53" s="16" t="s">
        <v>540</v>
      </c>
      <c r="L53" t="b">
        <v>0</v>
      </c>
      <c r="M53" s="36">
        <v>529.01</v>
      </c>
      <c r="N53" s="51">
        <v>1</v>
      </c>
      <c r="O53" s="29">
        <v>634.81200000000001</v>
      </c>
      <c r="P53" s="29" t="str">
        <f t="shared" si="1"/>
        <v>20%</v>
      </c>
      <c r="Q53" s="27">
        <v>20</v>
      </c>
      <c r="R53" s="31">
        <v>105.80200000000001</v>
      </c>
      <c r="S53" s="31">
        <v>105.80200000000001</v>
      </c>
      <c r="T53" s="33">
        <v>529.01</v>
      </c>
      <c r="U53" s="29">
        <v>634.81200000000001</v>
      </c>
      <c r="V53" s="35">
        <v>43327</v>
      </c>
      <c r="W53" s="35">
        <v>43318</v>
      </c>
      <c r="X53" s="27"/>
      <c r="Y53" s="58">
        <v>529.01</v>
      </c>
      <c r="Z53" s="31">
        <v>0</v>
      </c>
      <c r="AA53" t="b">
        <v>0</v>
      </c>
    </row>
    <row r="54" spans="2:27" x14ac:dyDescent="0.25">
      <c r="B54" s="53">
        <v>2018</v>
      </c>
      <c r="C54" s="53">
        <v>53</v>
      </c>
      <c r="D54" s="53" t="str">
        <f t="shared" si="0"/>
        <v>2018-53</v>
      </c>
      <c r="E54" s="9" t="s">
        <v>760</v>
      </c>
      <c r="F54" s="1">
        <v>43278</v>
      </c>
      <c r="G54" s="1" t="s">
        <v>759</v>
      </c>
      <c r="H54" s="16"/>
      <c r="I54" s="16" t="s">
        <v>105</v>
      </c>
      <c r="J54" s="16" t="s">
        <v>705</v>
      </c>
      <c r="K54" s="16" t="s">
        <v>540</v>
      </c>
      <c r="L54" t="b">
        <v>0</v>
      </c>
      <c r="M54" s="36">
        <v>51.540000000000006</v>
      </c>
      <c r="N54" s="51">
        <v>1</v>
      </c>
      <c r="O54" s="29">
        <v>61.848000000000006</v>
      </c>
      <c r="P54" s="29" t="str">
        <f t="shared" si="1"/>
        <v>20%</v>
      </c>
      <c r="Q54" s="27">
        <v>20</v>
      </c>
      <c r="R54" s="31">
        <v>10.308000000000002</v>
      </c>
      <c r="S54" s="31">
        <v>10.308000000000002</v>
      </c>
      <c r="T54" s="33">
        <v>51.540000000000006</v>
      </c>
      <c r="U54" s="29">
        <v>61.848000000000006</v>
      </c>
      <c r="V54" s="35">
        <v>43327</v>
      </c>
      <c r="W54" s="35">
        <v>43318</v>
      </c>
      <c r="X54" s="27"/>
      <c r="Y54" s="58">
        <v>51.540000000000006</v>
      </c>
      <c r="Z54" s="31">
        <v>0</v>
      </c>
      <c r="AA54" t="b">
        <v>0</v>
      </c>
    </row>
    <row r="55" spans="2:27" x14ac:dyDescent="0.25">
      <c r="B55" s="53">
        <v>2018</v>
      </c>
      <c r="C55" s="53">
        <v>54</v>
      </c>
      <c r="D55" s="53" t="str">
        <f t="shared" si="0"/>
        <v>2018-54</v>
      </c>
      <c r="E55" s="9" t="s">
        <v>761</v>
      </c>
      <c r="F55" s="1">
        <v>43278</v>
      </c>
      <c r="G55" t="s">
        <v>762</v>
      </c>
      <c r="H55" s="16"/>
      <c r="I55" s="16" t="s">
        <v>105</v>
      </c>
      <c r="J55" s="16" t="s">
        <v>705</v>
      </c>
      <c r="K55" s="16" t="s">
        <v>540</v>
      </c>
      <c r="L55" t="b">
        <v>0</v>
      </c>
      <c r="M55" s="36">
        <v>29.32</v>
      </c>
      <c r="N55" s="51">
        <v>1</v>
      </c>
      <c r="O55" s="29">
        <v>35.183999999999997</v>
      </c>
      <c r="P55" s="29" t="str">
        <f t="shared" si="1"/>
        <v>20%</v>
      </c>
      <c r="Q55" s="27">
        <v>20</v>
      </c>
      <c r="R55" s="31">
        <v>5.8639999999999999</v>
      </c>
      <c r="S55" s="31">
        <v>5.8639999999999999</v>
      </c>
      <c r="T55" s="33">
        <v>29.32</v>
      </c>
      <c r="U55" s="29">
        <v>35.183999999999997</v>
      </c>
      <c r="V55" s="35">
        <v>43327</v>
      </c>
      <c r="W55" s="35">
        <v>43318</v>
      </c>
      <c r="X55" s="27"/>
      <c r="Y55" s="58">
        <v>29.32</v>
      </c>
      <c r="Z55" s="31">
        <v>0</v>
      </c>
      <c r="AA55" t="b">
        <v>0</v>
      </c>
    </row>
    <row r="56" spans="2:27" x14ac:dyDescent="0.25">
      <c r="B56" s="53">
        <v>2018</v>
      </c>
      <c r="C56" s="53">
        <v>55</v>
      </c>
      <c r="D56" s="53" t="str">
        <f t="shared" si="0"/>
        <v>2018-55</v>
      </c>
      <c r="E56" s="9" t="s">
        <v>763</v>
      </c>
      <c r="F56" s="1">
        <v>43278</v>
      </c>
      <c r="G56" t="s">
        <v>764</v>
      </c>
      <c r="H56" s="16"/>
      <c r="I56" s="16" t="s">
        <v>105</v>
      </c>
      <c r="J56" s="16" t="s">
        <v>705</v>
      </c>
      <c r="K56" s="16" t="s">
        <v>540</v>
      </c>
      <c r="L56" t="b">
        <v>0</v>
      </c>
      <c r="M56" s="36">
        <v>42</v>
      </c>
      <c r="N56" s="51">
        <v>1</v>
      </c>
      <c r="O56" s="29">
        <v>50.4</v>
      </c>
      <c r="P56" s="29" t="str">
        <f t="shared" si="1"/>
        <v>20%</v>
      </c>
      <c r="Q56" s="27">
        <v>20</v>
      </c>
      <c r="R56" s="31">
        <v>8.4</v>
      </c>
      <c r="S56" s="31">
        <v>8.4</v>
      </c>
      <c r="T56" s="33">
        <v>42</v>
      </c>
      <c r="U56" s="29">
        <v>50.4</v>
      </c>
      <c r="V56" s="35">
        <v>43327</v>
      </c>
      <c r="W56" s="35">
        <v>43318</v>
      </c>
      <c r="X56" s="27"/>
      <c r="Y56" s="58">
        <v>42</v>
      </c>
      <c r="Z56" s="31">
        <v>0</v>
      </c>
      <c r="AA56" t="b">
        <v>0</v>
      </c>
    </row>
    <row r="57" spans="2:27" x14ac:dyDescent="0.25">
      <c r="B57" s="53">
        <v>2018</v>
      </c>
      <c r="C57" s="53">
        <v>56</v>
      </c>
      <c r="D57" s="53" t="str">
        <f t="shared" si="0"/>
        <v>2018-56</v>
      </c>
      <c r="E57" s="9" t="s">
        <v>765</v>
      </c>
      <c r="F57" s="1">
        <v>43284</v>
      </c>
      <c r="G57" t="s">
        <v>647</v>
      </c>
      <c r="H57" s="16"/>
      <c r="I57" s="16" t="s">
        <v>105</v>
      </c>
      <c r="J57" s="16" t="s">
        <v>703</v>
      </c>
      <c r="K57" s="16"/>
      <c r="L57" t="b">
        <v>0</v>
      </c>
      <c r="M57" s="36">
        <v>48.32</v>
      </c>
      <c r="N57" s="51">
        <v>0.39817880794701987</v>
      </c>
      <c r="O57" s="29">
        <v>22.313940397350997</v>
      </c>
      <c r="P57" s="29" t="str">
        <f t="shared" si="1"/>
        <v>gemischt%</v>
      </c>
      <c r="Q57" s="27" t="s">
        <v>14</v>
      </c>
      <c r="R57" s="31">
        <v>7.72</v>
      </c>
      <c r="S57" s="31">
        <v>3.0739403973509933</v>
      </c>
      <c r="T57" s="33">
        <v>19.240000000000002</v>
      </c>
      <c r="U57" s="29">
        <v>56.04</v>
      </c>
      <c r="V57" s="35">
        <v>43419</v>
      </c>
      <c r="W57" s="35">
        <v>43418</v>
      </c>
      <c r="X57" s="27"/>
      <c r="Y57" s="58">
        <v>19.240000000000002</v>
      </c>
      <c r="Z57" s="31">
        <v>0</v>
      </c>
      <c r="AA57" t="b">
        <v>0</v>
      </c>
    </row>
    <row r="58" spans="2:27" x14ac:dyDescent="0.25">
      <c r="B58" s="53">
        <v>2018</v>
      </c>
      <c r="C58" s="53">
        <v>57</v>
      </c>
      <c r="D58" s="53" t="str">
        <f t="shared" si="0"/>
        <v>2018-57</v>
      </c>
      <c r="E58" s="9" t="s">
        <v>766</v>
      </c>
      <c r="F58" s="1">
        <v>43287</v>
      </c>
      <c r="G58" t="s">
        <v>767</v>
      </c>
      <c r="H58" s="16"/>
      <c r="I58" s="16" t="s">
        <v>105</v>
      </c>
      <c r="J58" s="16" t="s">
        <v>705</v>
      </c>
      <c r="K58" s="16"/>
      <c r="L58" t="b">
        <v>0</v>
      </c>
      <c r="M58" s="36">
        <v>112.6</v>
      </c>
      <c r="N58" s="51">
        <v>1</v>
      </c>
      <c r="O58" s="29">
        <v>112.6</v>
      </c>
      <c r="P58" s="29" t="str">
        <f t="shared" si="1"/>
        <v>0%</v>
      </c>
      <c r="Q58" s="27">
        <v>0</v>
      </c>
      <c r="R58" s="31">
        <v>0</v>
      </c>
      <c r="S58" s="31">
        <v>0</v>
      </c>
      <c r="T58" s="33">
        <v>112.6</v>
      </c>
      <c r="U58" s="29">
        <v>112.6</v>
      </c>
      <c r="V58" s="35">
        <v>43419</v>
      </c>
      <c r="W58" s="35">
        <v>43418</v>
      </c>
      <c r="X58" s="27"/>
      <c r="Y58" s="58">
        <v>112.6</v>
      </c>
      <c r="Z58" s="31">
        <v>0</v>
      </c>
      <c r="AA58" t="b">
        <v>0</v>
      </c>
    </row>
    <row r="59" spans="2:27" x14ac:dyDescent="0.25">
      <c r="B59" s="53">
        <v>2018</v>
      </c>
      <c r="C59" s="53">
        <v>58</v>
      </c>
      <c r="D59" s="53" t="str">
        <f t="shared" si="0"/>
        <v>2018-58</v>
      </c>
      <c r="E59" s="9" t="s">
        <v>769</v>
      </c>
      <c r="F59" s="1">
        <v>43290</v>
      </c>
      <c r="G59" t="s">
        <v>768</v>
      </c>
      <c r="H59" s="16"/>
      <c r="I59" s="16" t="s">
        <v>105</v>
      </c>
      <c r="J59" s="16" t="s">
        <v>705</v>
      </c>
      <c r="K59" s="16" t="s">
        <v>540</v>
      </c>
      <c r="L59" t="b">
        <v>0</v>
      </c>
      <c r="M59" s="36">
        <v>12.9</v>
      </c>
      <c r="N59" s="51">
        <v>1</v>
      </c>
      <c r="O59" s="29">
        <v>15.48</v>
      </c>
      <c r="P59" s="29" t="str">
        <f t="shared" si="1"/>
        <v>20%</v>
      </c>
      <c r="Q59" s="27">
        <v>20</v>
      </c>
      <c r="R59" s="31">
        <v>2.58</v>
      </c>
      <c r="S59" s="31">
        <v>2.58</v>
      </c>
      <c r="T59" s="33">
        <v>12.9</v>
      </c>
      <c r="U59" s="29">
        <v>15.48</v>
      </c>
      <c r="V59" s="35">
        <v>43419</v>
      </c>
      <c r="W59" s="35">
        <v>43418</v>
      </c>
      <c r="X59" s="27"/>
      <c r="Y59" s="58">
        <v>12.9</v>
      </c>
      <c r="Z59" s="31">
        <v>0</v>
      </c>
      <c r="AA59" t="b">
        <v>0</v>
      </c>
    </row>
    <row r="60" spans="2:27" x14ac:dyDescent="0.25">
      <c r="B60" s="53">
        <v>2018</v>
      </c>
      <c r="C60" s="53">
        <v>59</v>
      </c>
      <c r="D60" s="53" t="str">
        <f t="shared" si="0"/>
        <v>2018-59</v>
      </c>
      <c r="E60" s="9" t="s">
        <v>771</v>
      </c>
      <c r="F60" s="1">
        <v>43290</v>
      </c>
      <c r="G60" t="s">
        <v>34</v>
      </c>
      <c r="H60" s="16"/>
      <c r="I60" s="16" t="s">
        <v>105</v>
      </c>
      <c r="J60" s="16" t="s">
        <v>703</v>
      </c>
      <c r="K60" s="16"/>
      <c r="L60" t="b">
        <v>0</v>
      </c>
      <c r="M60" s="36">
        <v>15</v>
      </c>
      <c r="N60" s="51">
        <v>1</v>
      </c>
      <c r="O60" s="29">
        <v>18</v>
      </c>
      <c r="P60" s="29" t="str">
        <f t="shared" si="1"/>
        <v>20%</v>
      </c>
      <c r="Q60" s="27">
        <v>20</v>
      </c>
      <c r="R60" s="31">
        <v>3</v>
      </c>
      <c r="S60" s="31">
        <v>3</v>
      </c>
      <c r="T60" s="33">
        <v>15</v>
      </c>
      <c r="U60" s="29">
        <v>18</v>
      </c>
      <c r="V60" s="35">
        <v>43419</v>
      </c>
      <c r="W60" s="35">
        <v>43418</v>
      </c>
      <c r="X60" s="27"/>
      <c r="Y60" s="58">
        <v>15</v>
      </c>
      <c r="Z60" s="31">
        <v>0</v>
      </c>
      <c r="AA60" t="b">
        <v>0</v>
      </c>
    </row>
    <row r="61" spans="2:27" x14ac:dyDescent="0.25">
      <c r="B61" s="53">
        <v>2018</v>
      </c>
      <c r="C61" s="53">
        <v>60</v>
      </c>
      <c r="D61" s="53" t="str">
        <f t="shared" si="0"/>
        <v>2018-60</v>
      </c>
      <c r="E61" s="9" t="s">
        <v>856</v>
      </c>
      <c r="F61" s="1">
        <v>43293</v>
      </c>
      <c r="G61" t="s">
        <v>857</v>
      </c>
      <c r="H61" s="16"/>
      <c r="I61" s="16" t="s">
        <v>105</v>
      </c>
      <c r="J61" s="16" t="s">
        <v>705</v>
      </c>
      <c r="K61" s="16" t="s">
        <v>540</v>
      </c>
      <c r="L61" t="b">
        <v>0</v>
      </c>
      <c r="M61" s="36">
        <v>8.99</v>
      </c>
      <c r="N61" s="51">
        <v>1</v>
      </c>
      <c r="O61" s="29">
        <v>8.99</v>
      </c>
      <c r="P61" s="29" t="str">
        <f t="shared" si="1"/>
        <v>0%</v>
      </c>
      <c r="Q61" s="27">
        <v>0</v>
      </c>
      <c r="R61" s="31">
        <v>0</v>
      </c>
      <c r="S61" s="31">
        <v>0</v>
      </c>
      <c r="T61" s="33">
        <v>8.99</v>
      </c>
      <c r="U61" s="29">
        <v>8.99</v>
      </c>
      <c r="V61" s="35">
        <v>43419</v>
      </c>
      <c r="W61" s="35">
        <v>43418</v>
      </c>
      <c r="X61" s="27"/>
      <c r="Y61" s="58">
        <v>8.99</v>
      </c>
      <c r="Z61" s="31">
        <v>0</v>
      </c>
      <c r="AA61" t="b">
        <v>0</v>
      </c>
    </row>
    <row r="62" spans="2:27" x14ac:dyDescent="0.25">
      <c r="B62" s="53">
        <v>2018</v>
      </c>
      <c r="C62" s="53">
        <v>61</v>
      </c>
      <c r="D62" s="53" t="str">
        <f t="shared" si="0"/>
        <v>2018-61</v>
      </c>
      <c r="E62" s="9" t="s">
        <v>772</v>
      </c>
      <c r="F62" s="1">
        <v>43297</v>
      </c>
      <c r="G62" s="1" t="s">
        <v>986</v>
      </c>
      <c r="H62" s="16"/>
      <c r="I62" s="16" t="s">
        <v>105</v>
      </c>
      <c r="J62" s="16" t="s">
        <v>705</v>
      </c>
      <c r="K62" s="16" t="s">
        <v>985</v>
      </c>
      <c r="L62" t="b">
        <v>0</v>
      </c>
      <c r="M62" s="36">
        <v>151.66999999999999</v>
      </c>
      <c r="N62" s="51">
        <v>0.27320378419841473</v>
      </c>
      <c r="O62" s="29">
        <v>49.724181539248278</v>
      </c>
      <c r="P62" s="29" t="str">
        <f t="shared" si="1"/>
        <v>20%</v>
      </c>
      <c r="Q62" s="27">
        <v>20</v>
      </c>
      <c r="R62" s="31">
        <v>30.333999999999996</v>
      </c>
      <c r="S62" s="31">
        <v>8.2873635898747118</v>
      </c>
      <c r="T62" s="33">
        <v>41.436817949373562</v>
      </c>
      <c r="U62" s="29">
        <v>182.00399999999999</v>
      </c>
      <c r="V62" s="35">
        <v>43419</v>
      </c>
      <c r="W62" s="35">
        <v>43418</v>
      </c>
      <c r="X62" s="27"/>
      <c r="Y62" s="58">
        <v>41.436817949373562</v>
      </c>
      <c r="Z62" s="31">
        <v>0</v>
      </c>
      <c r="AA62" t="b">
        <v>0</v>
      </c>
    </row>
    <row r="63" spans="2:27" x14ac:dyDescent="0.25">
      <c r="B63" s="53">
        <v>2018</v>
      </c>
      <c r="C63" s="53">
        <v>62</v>
      </c>
      <c r="D63" s="53" t="str">
        <f t="shared" si="0"/>
        <v>2018-62</v>
      </c>
      <c r="E63" s="9" t="s">
        <v>773</v>
      </c>
      <c r="F63" s="1">
        <v>43297</v>
      </c>
      <c r="G63" s="1" t="s">
        <v>795</v>
      </c>
      <c r="H63" s="16"/>
      <c r="I63" s="16" t="s">
        <v>105</v>
      </c>
      <c r="J63" s="16" t="s">
        <v>705</v>
      </c>
      <c r="K63" s="16" t="s">
        <v>985</v>
      </c>
      <c r="L63" t="b">
        <v>0</v>
      </c>
      <c r="M63" s="36">
        <v>82.5</v>
      </c>
      <c r="N63" s="51">
        <v>0.27320378419841473</v>
      </c>
      <c r="O63" s="29">
        <v>27.04717463564306</v>
      </c>
      <c r="P63" s="29" t="str">
        <f t="shared" si="1"/>
        <v>20%</v>
      </c>
      <c r="Q63" s="27">
        <v>20</v>
      </c>
      <c r="R63" s="31">
        <v>16.5</v>
      </c>
      <c r="S63" s="31">
        <v>4.5078624392738433</v>
      </c>
      <c r="T63" s="33">
        <v>22.539312196369217</v>
      </c>
      <c r="U63" s="29">
        <v>99</v>
      </c>
      <c r="V63" s="35">
        <v>43419</v>
      </c>
      <c r="W63" s="35">
        <v>43418</v>
      </c>
      <c r="X63" s="27"/>
      <c r="Y63" s="58">
        <v>22.539312196369217</v>
      </c>
      <c r="Z63" s="31">
        <v>0</v>
      </c>
      <c r="AA63" t="b">
        <v>0</v>
      </c>
    </row>
    <row r="64" spans="2:27" x14ac:dyDescent="0.25">
      <c r="B64" s="53">
        <v>2018</v>
      </c>
      <c r="C64" s="53">
        <v>63</v>
      </c>
      <c r="D64" s="53" t="str">
        <f t="shared" si="0"/>
        <v>2018-63</v>
      </c>
      <c r="E64" s="9" t="s">
        <v>774</v>
      </c>
      <c r="F64" s="1">
        <v>43304</v>
      </c>
      <c r="G64" t="s">
        <v>651</v>
      </c>
      <c r="H64" s="16"/>
      <c r="I64" s="16" t="s">
        <v>105</v>
      </c>
      <c r="J64" s="16" t="s">
        <v>705</v>
      </c>
      <c r="K64" s="16" t="s">
        <v>985</v>
      </c>
      <c r="L64" t="b">
        <v>0</v>
      </c>
      <c r="M64" s="36">
        <v>15.3</v>
      </c>
      <c r="N64" s="51">
        <v>1</v>
      </c>
      <c r="O64" s="29">
        <v>18.36</v>
      </c>
      <c r="P64" s="29" t="str">
        <f t="shared" si="1"/>
        <v>20%</v>
      </c>
      <c r="Q64" s="27">
        <v>20</v>
      </c>
      <c r="R64" s="31">
        <v>3.06</v>
      </c>
      <c r="S64" s="31">
        <v>3.06</v>
      </c>
      <c r="T64" s="33">
        <v>15.3</v>
      </c>
      <c r="U64" s="29">
        <v>18.36</v>
      </c>
      <c r="V64" s="35">
        <v>43419</v>
      </c>
      <c r="W64" s="35">
        <v>43418</v>
      </c>
      <c r="X64" s="27"/>
      <c r="Y64" s="58">
        <v>15.3</v>
      </c>
      <c r="Z64" s="31">
        <v>0</v>
      </c>
      <c r="AA64" t="b">
        <v>0</v>
      </c>
    </row>
    <row r="65" spans="2:27" x14ac:dyDescent="0.25">
      <c r="B65" s="53">
        <v>2018</v>
      </c>
      <c r="C65" s="53">
        <v>64</v>
      </c>
      <c r="D65" s="53" t="str">
        <f t="shared" si="0"/>
        <v>2018-64</v>
      </c>
      <c r="E65" s="9" t="s">
        <v>650</v>
      </c>
      <c r="F65" s="1">
        <v>43306</v>
      </c>
      <c r="G65" s="1" t="s">
        <v>909</v>
      </c>
      <c r="H65" s="16"/>
      <c r="I65" s="16" t="s">
        <v>105</v>
      </c>
      <c r="J65" s="16" t="s">
        <v>691</v>
      </c>
      <c r="K65" s="16" t="s">
        <v>985</v>
      </c>
      <c r="L65" t="b">
        <v>0</v>
      </c>
      <c r="M65" s="36">
        <v>763.44</v>
      </c>
      <c r="N65" s="51">
        <v>0.27320378419841473</v>
      </c>
      <c r="O65" s="29">
        <v>229.43216670928155</v>
      </c>
      <c r="P65" s="29" t="str">
        <f t="shared" si="1"/>
        <v>10%</v>
      </c>
      <c r="Q65" s="27">
        <v>10</v>
      </c>
      <c r="R65" s="31">
        <v>76.344000000000008</v>
      </c>
      <c r="S65" s="31">
        <v>20.857469700843776</v>
      </c>
      <c r="T65" s="33">
        <v>208.57469700843777</v>
      </c>
      <c r="U65" s="29">
        <v>839.78400000000011</v>
      </c>
      <c r="V65" s="35">
        <v>43419</v>
      </c>
      <c r="W65" s="35">
        <v>43418</v>
      </c>
      <c r="X65" s="27"/>
      <c r="Y65" s="58">
        <v>208.57469700843777</v>
      </c>
      <c r="Z65" s="31">
        <v>0</v>
      </c>
      <c r="AA65" t="b">
        <v>0</v>
      </c>
    </row>
    <row r="66" spans="2:27" x14ac:dyDescent="0.25">
      <c r="B66" s="53">
        <v>2018</v>
      </c>
      <c r="C66" s="53">
        <v>65</v>
      </c>
      <c r="D66" s="53" t="str">
        <f t="shared" si="0"/>
        <v>2018-65</v>
      </c>
      <c r="E66" s="9" t="s">
        <v>775</v>
      </c>
      <c r="F66" s="1">
        <v>43314</v>
      </c>
      <c r="G66" t="s">
        <v>647</v>
      </c>
      <c r="H66" s="16"/>
      <c r="I66" s="16" t="s">
        <v>105</v>
      </c>
      <c r="J66" s="16" t="s">
        <v>703</v>
      </c>
      <c r="K66" s="16"/>
      <c r="L66" t="b">
        <v>0</v>
      </c>
      <c r="M66" s="36">
        <v>48.32</v>
      </c>
      <c r="N66" s="51">
        <v>0.39817880794701987</v>
      </c>
      <c r="O66" s="29">
        <v>22.313940397350997</v>
      </c>
      <c r="P66" s="29" t="str">
        <f t="shared" si="1"/>
        <v>gemischt%</v>
      </c>
      <c r="Q66" s="27" t="s">
        <v>14</v>
      </c>
      <c r="R66" s="31">
        <v>7.72</v>
      </c>
      <c r="S66" s="31">
        <v>3.0739403973509933</v>
      </c>
      <c r="T66" s="33">
        <v>19.240000000000002</v>
      </c>
      <c r="U66" s="29">
        <v>56.04</v>
      </c>
      <c r="V66" s="35">
        <v>43419</v>
      </c>
      <c r="W66" s="35">
        <v>43418</v>
      </c>
      <c r="X66" s="27"/>
      <c r="Y66" s="58">
        <v>19.240000000000002</v>
      </c>
      <c r="Z66" s="31">
        <v>0</v>
      </c>
      <c r="AA66" t="b">
        <v>0</v>
      </c>
    </row>
    <row r="67" spans="2:27" x14ac:dyDescent="0.25">
      <c r="B67" s="53">
        <v>2018</v>
      </c>
      <c r="C67" s="53">
        <v>66</v>
      </c>
      <c r="D67" s="53" t="str">
        <f t="shared" ref="D67:D115" si="2">B67&amp;"-"&amp;C67</f>
        <v>2018-66</v>
      </c>
      <c r="E67" s="9" t="s">
        <v>776</v>
      </c>
      <c r="F67" s="1">
        <v>43315</v>
      </c>
      <c r="G67" t="s">
        <v>34</v>
      </c>
      <c r="H67" s="16"/>
      <c r="I67" s="16" t="s">
        <v>105</v>
      </c>
      <c r="J67" s="16" t="s">
        <v>703</v>
      </c>
      <c r="K67" s="16"/>
      <c r="L67" t="b">
        <v>0</v>
      </c>
      <c r="M67" s="36">
        <v>15</v>
      </c>
      <c r="N67" s="51">
        <v>1</v>
      </c>
      <c r="O67" s="29">
        <v>18</v>
      </c>
      <c r="P67" s="29" t="str">
        <f t="shared" ref="P67:P115" si="3">Q67&amp;"%"</f>
        <v>20%</v>
      </c>
      <c r="Q67" s="27">
        <v>20</v>
      </c>
      <c r="R67" s="31">
        <v>3</v>
      </c>
      <c r="S67" s="31">
        <v>3</v>
      </c>
      <c r="T67" s="33">
        <v>15</v>
      </c>
      <c r="U67" s="29">
        <v>18</v>
      </c>
      <c r="V67" s="35">
        <v>43419</v>
      </c>
      <c r="W67" s="35">
        <v>43418</v>
      </c>
      <c r="X67" s="27"/>
      <c r="Y67" s="58">
        <v>15</v>
      </c>
      <c r="Z67" s="31">
        <v>0</v>
      </c>
      <c r="AA67" t="b">
        <v>0</v>
      </c>
    </row>
    <row r="68" spans="2:27" x14ac:dyDescent="0.25">
      <c r="B68" s="53">
        <v>2018</v>
      </c>
      <c r="C68" s="53">
        <v>67</v>
      </c>
      <c r="D68" s="53" t="str">
        <f t="shared" si="2"/>
        <v>2018-67</v>
      </c>
      <c r="E68" s="9" t="s">
        <v>777</v>
      </c>
      <c r="F68" s="1">
        <v>43328</v>
      </c>
      <c r="G68" s="1" t="s">
        <v>795</v>
      </c>
      <c r="H68" s="16"/>
      <c r="I68" s="16" t="s">
        <v>105</v>
      </c>
      <c r="J68" s="16" t="s">
        <v>705</v>
      </c>
      <c r="K68" s="16" t="s">
        <v>985</v>
      </c>
      <c r="L68" t="b">
        <v>0</v>
      </c>
      <c r="M68" s="36">
        <v>82.5</v>
      </c>
      <c r="N68" s="51">
        <v>0.27320378419841473</v>
      </c>
      <c r="O68" s="29">
        <v>27.04717463564306</v>
      </c>
      <c r="P68" s="29" t="str">
        <f t="shared" si="3"/>
        <v>20%</v>
      </c>
      <c r="Q68" s="27">
        <v>20</v>
      </c>
      <c r="R68" s="31">
        <v>16.5</v>
      </c>
      <c r="S68" s="31">
        <v>4.5078624392738433</v>
      </c>
      <c r="T68" s="33">
        <v>22.539312196369217</v>
      </c>
      <c r="U68" s="29">
        <v>99</v>
      </c>
      <c r="V68" s="35">
        <v>43419</v>
      </c>
      <c r="W68" s="35">
        <v>43418</v>
      </c>
      <c r="X68" s="27"/>
      <c r="Y68" s="58">
        <v>22.539312196369217</v>
      </c>
      <c r="Z68" s="31">
        <v>0</v>
      </c>
      <c r="AA68" t="b">
        <v>0</v>
      </c>
    </row>
    <row r="69" spans="2:27" x14ac:dyDescent="0.25">
      <c r="B69" s="53">
        <v>2018</v>
      </c>
      <c r="C69" s="53">
        <v>68</v>
      </c>
      <c r="D69" s="53" t="str">
        <f t="shared" si="2"/>
        <v>2018-68</v>
      </c>
      <c r="E69" s="9" t="s">
        <v>650</v>
      </c>
      <c r="F69" s="1">
        <v>43339</v>
      </c>
      <c r="G69" s="1" t="s">
        <v>909</v>
      </c>
      <c r="H69" s="16"/>
      <c r="I69" s="16" t="s">
        <v>105</v>
      </c>
      <c r="J69" s="16" t="s">
        <v>691</v>
      </c>
      <c r="K69" s="16" t="s">
        <v>985</v>
      </c>
      <c r="L69" t="b">
        <v>0</v>
      </c>
      <c r="M69" s="36">
        <v>763.44</v>
      </c>
      <c r="N69" s="51">
        <v>0.27320378419841473</v>
      </c>
      <c r="O69" s="29">
        <v>229.43216670928155</v>
      </c>
      <c r="P69" s="29" t="str">
        <f t="shared" si="3"/>
        <v>10%</v>
      </c>
      <c r="Q69" s="27">
        <v>10</v>
      </c>
      <c r="R69" s="31">
        <v>76.344000000000008</v>
      </c>
      <c r="S69" s="31">
        <v>20.857469700843776</v>
      </c>
      <c r="T69" s="33">
        <v>208.57469700843777</v>
      </c>
      <c r="U69" s="29">
        <v>839.78400000000011</v>
      </c>
      <c r="V69" s="35">
        <v>43419</v>
      </c>
      <c r="W69" s="35">
        <v>43418</v>
      </c>
      <c r="X69" s="27"/>
      <c r="Y69" s="58">
        <v>208.57469700843777</v>
      </c>
      <c r="Z69" s="31">
        <v>0</v>
      </c>
      <c r="AA69" t="b">
        <v>0</v>
      </c>
    </row>
    <row r="70" spans="2:27" x14ac:dyDescent="0.25">
      <c r="B70" s="53">
        <v>2018</v>
      </c>
      <c r="C70" s="53">
        <v>69</v>
      </c>
      <c r="D70" s="53" t="str">
        <f t="shared" si="2"/>
        <v>2018-69</v>
      </c>
      <c r="E70" s="9" t="s">
        <v>778</v>
      </c>
      <c r="F70" s="1">
        <v>43343</v>
      </c>
      <c r="G70" t="s">
        <v>34</v>
      </c>
      <c r="H70" s="16"/>
      <c r="I70" s="16" t="s">
        <v>105</v>
      </c>
      <c r="J70" s="16" t="s">
        <v>703</v>
      </c>
      <c r="K70" s="16"/>
      <c r="L70" t="b">
        <v>0</v>
      </c>
      <c r="M70" s="36">
        <v>19.23</v>
      </c>
      <c r="N70" s="51">
        <v>1</v>
      </c>
      <c r="O70" s="29">
        <v>23.076000000000001</v>
      </c>
      <c r="P70" s="29" t="str">
        <f t="shared" si="3"/>
        <v>20%</v>
      </c>
      <c r="Q70" s="27">
        <v>20</v>
      </c>
      <c r="R70" s="31">
        <v>3.8460000000000001</v>
      </c>
      <c r="S70" s="31">
        <v>3.8460000000000001</v>
      </c>
      <c r="T70" s="33">
        <v>19.23</v>
      </c>
      <c r="U70" s="29">
        <v>23.076000000000001</v>
      </c>
      <c r="V70" s="35">
        <v>43419</v>
      </c>
      <c r="W70" s="35">
        <v>43418</v>
      </c>
      <c r="X70" s="27"/>
      <c r="Y70" s="58">
        <v>19.23</v>
      </c>
      <c r="Z70" s="31">
        <v>0</v>
      </c>
      <c r="AA70" t="b">
        <v>0</v>
      </c>
    </row>
    <row r="71" spans="2:27" x14ac:dyDescent="0.25">
      <c r="B71" s="53">
        <v>2018</v>
      </c>
      <c r="C71" s="53">
        <v>70</v>
      </c>
      <c r="D71" s="53" t="str">
        <f t="shared" si="2"/>
        <v>2018-70</v>
      </c>
      <c r="E71" s="9" t="s">
        <v>780</v>
      </c>
      <c r="F71" s="1">
        <v>43346</v>
      </c>
      <c r="G71" s="1" t="s">
        <v>779</v>
      </c>
      <c r="H71" s="16"/>
      <c r="I71" s="16" t="s">
        <v>105</v>
      </c>
      <c r="J71" s="16" t="s">
        <v>705</v>
      </c>
      <c r="K71" s="16" t="s">
        <v>985</v>
      </c>
      <c r="L71" t="b">
        <v>0</v>
      </c>
      <c r="M71" s="36">
        <v>13.25</v>
      </c>
      <c r="N71" s="51">
        <v>1</v>
      </c>
      <c r="O71" s="29">
        <v>15.9</v>
      </c>
      <c r="P71" s="29" t="str">
        <f t="shared" si="3"/>
        <v>20%</v>
      </c>
      <c r="Q71" s="27">
        <v>20</v>
      </c>
      <c r="R71" s="31">
        <v>2.65</v>
      </c>
      <c r="S71" s="31">
        <v>2.65</v>
      </c>
      <c r="T71" s="33">
        <v>13.25</v>
      </c>
      <c r="U71" s="29">
        <v>15.9</v>
      </c>
      <c r="V71" s="35">
        <v>43419</v>
      </c>
      <c r="W71" s="35">
        <v>43418</v>
      </c>
      <c r="X71" s="27"/>
      <c r="Y71" s="58">
        <v>13.25</v>
      </c>
      <c r="Z71" s="31">
        <v>0</v>
      </c>
      <c r="AA71" t="b">
        <v>0</v>
      </c>
    </row>
    <row r="72" spans="2:27" x14ac:dyDescent="0.25">
      <c r="B72" s="53">
        <v>2018</v>
      </c>
      <c r="C72" s="53">
        <v>71</v>
      </c>
      <c r="D72" s="53" t="str">
        <f t="shared" si="2"/>
        <v>2018-71</v>
      </c>
      <c r="E72" s="9" t="s">
        <v>781</v>
      </c>
      <c r="F72" s="1">
        <v>43347</v>
      </c>
      <c r="G72" t="s">
        <v>647</v>
      </c>
      <c r="H72" s="16"/>
      <c r="I72" s="16" t="s">
        <v>105</v>
      </c>
      <c r="J72" s="16" t="s">
        <v>703</v>
      </c>
      <c r="K72" s="16"/>
      <c r="L72" t="b">
        <v>0</v>
      </c>
      <c r="M72" s="36">
        <v>48.32</v>
      </c>
      <c r="N72" s="51">
        <v>0.39817880794701987</v>
      </c>
      <c r="O72" s="29">
        <v>22.313940397350997</v>
      </c>
      <c r="P72" s="29" t="str">
        <f t="shared" si="3"/>
        <v>gemischt%</v>
      </c>
      <c r="Q72" s="27" t="s">
        <v>14</v>
      </c>
      <c r="R72" s="31">
        <v>7.72</v>
      </c>
      <c r="S72" s="31">
        <v>3.0739403973509933</v>
      </c>
      <c r="T72" s="33">
        <v>19.240000000000002</v>
      </c>
      <c r="U72" s="29">
        <v>56.04</v>
      </c>
      <c r="V72" s="35">
        <v>43419</v>
      </c>
      <c r="W72" s="35">
        <v>43418</v>
      </c>
      <c r="X72" s="27"/>
      <c r="Y72" s="58">
        <v>19.240000000000002</v>
      </c>
      <c r="Z72" s="31">
        <v>0</v>
      </c>
      <c r="AA72" t="b">
        <v>0</v>
      </c>
    </row>
    <row r="73" spans="2:27" x14ac:dyDescent="0.25">
      <c r="B73" s="53">
        <v>2018</v>
      </c>
      <c r="C73" s="53">
        <v>72</v>
      </c>
      <c r="D73" s="53" t="str">
        <f t="shared" si="2"/>
        <v>2018-72</v>
      </c>
      <c r="E73" s="61"/>
      <c r="F73" s="1">
        <v>43346</v>
      </c>
      <c r="G73" s="59" t="s">
        <v>855</v>
      </c>
      <c r="H73" s="60"/>
      <c r="I73" s="16" t="s">
        <v>105</v>
      </c>
      <c r="J73" s="16" t="s">
        <v>705</v>
      </c>
      <c r="K73" s="16"/>
      <c r="L73" t="b">
        <v>0</v>
      </c>
      <c r="M73" s="36">
        <v>14.06</v>
      </c>
      <c r="N73" s="51">
        <v>1</v>
      </c>
      <c r="O73" s="29">
        <v>16.872</v>
      </c>
      <c r="P73" s="29" t="str">
        <f t="shared" si="3"/>
        <v>20%</v>
      </c>
      <c r="Q73" s="27">
        <v>20</v>
      </c>
      <c r="R73" s="31">
        <v>2.8119999999999998</v>
      </c>
      <c r="S73" s="31">
        <v>2.8119999999999998</v>
      </c>
      <c r="T73" s="33">
        <v>14.06</v>
      </c>
      <c r="U73" s="29">
        <v>16.872</v>
      </c>
      <c r="V73" s="35">
        <v>43419</v>
      </c>
      <c r="W73" s="35">
        <v>43418</v>
      </c>
      <c r="X73" s="27"/>
      <c r="Y73" s="58">
        <v>14.06</v>
      </c>
      <c r="Z73" s="31">
        <v>0</v>
      </c>
      <c r="AA73" t="b">
        <v>0</v>
      </c>
    </row>
    <row r="74" spans="2:27" x14ac:dyDescent="0.25">
      <c r="B74" s="53">
        <v>2018</v>
      </c>
      <c r="C74" s="53">
        <v>73</v>
      </c>
      <c r="D74" s="53" t="str">
        <f t="shared" si="2"/>
        <v>2018-73</v>
      </c>
      <c r="E74" s="9" t="s">
        <v>858</v>
      </c>
      <c r="F74" s="1">
        <v>43360</v>
      </c>
      <c r="G74" s="1" t="s">
        <v>795</v>
      </c>
      <c r="H74" s="16"/>
      <c r="I74" s="16" t="s">
        <v>105</v>
      </c>
      <c r="J74" s="16" t="s">
        <v>705</v>
      </c>
      <c r="K74" s="16" t="s">
        <v>985</v>
      </c>
      <c r="L74" t="b">
        <v>0</v>
      </c>
      <c r="M74" s="36">
        <v>82.5</v>
      </c>
      <c r="N74" s="51">
        <v>0.27320378419841473</v>
      </c>
      <c r="O74" s="29">
        <v>27.04717463564306</v>
      </c>
      <c r="P74" s="29" t="str">
        <f t="shared" si="3"/>
        <v>20%</v>
      </c>
      <c r="Q74" s="27">
        <v>20</v>
      </c>
      <c r="R74" s="31">
        <v>16.5</v>
      </c>
      <c r="S74" s="31">
        <v>4.5078624392738433</v>
      </c>
      <c r="T74" s="33">
        <v>22.539312196369217</v>
      </c>
      <c r="U74" s="29">
        <v>99</v>
      </c>
      <c r="V74" s="35">
        <v>43419</v>
      </c>
      <c r="W74" s="35">
        <v>43418</v>
      </c>
      <c r="X74" s="27"/>
      <c r="Y74" s="58">
        <v>22.539312196369217</v>
      </c>
      <c r="Z74" s="31">
        <v>0</v>
      </c>
      <c r="AA74" t="b">
        <v>0</v>
      </c>
    </row>
    <row r="75" spans="2:27" x14ac:dyDescent="0.25">
      <c r="B75" s="53">
        <v>2018</v>
      </c>
      <c r="C75" s="53">
        <v>74</v>
      </c>
      <c r="D75" s="53" t="str">
        <f t="shared" si="2"/>
        <v>2018-74</v>
      </c>
      <c r="E75" s="9" t="s">
        <v>859</v>
      </c>
      <c r="F75" s="1">
        <v>43363</v>
      </c>
      <c r="G75" s="1" t="s">
        <v>860</v>
      </c>
      <c r="H75" s="16"/>
      <c r="I75" s="16" t="s">
        <v>105</v>
      </c>
      <c r="J75" s="16" t="s">
        <v>691</v>
      </c>
      <c r="K75" s="16" t="s">
        <v>985</v>
      </c>
      <c r="L75" t="b">
        <v>0</v>
      </c>
      <c r="M75" s="36">
        <v>-551.95000000000005</v>
      </c>
      <c r="N75" s="51">
        <v>0.27320378419841473</v>
      </c>
      <c r="O75" s="29">
        <v>-165.87431155714651</v>
      </c>
      <c r="P75" s="29" t="str">
        <f t="shared" si="3"/>
        <v>10%</v>
      </c>
      <c r="Q75" s="27">
        <v>10</v>
      </c>
      <c r="R75" s="31">
        <v>-55.195</v>
      </c>
      <c r="S75" s="31">
        <v>-15.079482868831501</v>
      </c>
      <c r="T75" s="33">
        <v>-150.79482868831502</v>
      </c>
      <c r="U75" s="29">
        <v>-607.1450000000001</v>
      </c>
      <c r="V75" s="35">
        <v>43419</v>
      </c>
      <c r="W75" s="35">
        <v>43418</v>
      </c>
      <c r="X75" s="27"/>
      <c r="Y75" s="58">
        <v>-150.79482868831502</v>
      </c>
      <c r="Z75" s="31">
        <v>0</v>
      </c>
      <c r="AA75" t="b">
        <v>0</v>
      </c>
    </row>
    <row r="76" spans="2:27" x14ac:dyDescent="0.25">
      <c r="B76" s="53">
        <v>2018</v>
      </c>
      <c r="C76" s="53">
        <v>75</v>
      </c>
      <c r="D76" s="53" t="str">
        <f t="shared" si="2"/>
        <v>2018-75</v>
      </c>
      <c r="E76" s="9" t="s">
        <v>861</v>
      </c>
      <c r="F76" s="1">
        <v>43364</v>
      </c>
      <c r="G76" s="1" t="s">
        <v>862</v>
      </c>
      <c r="H76" s="16"/>
      <c r="I76" s="16" t="s">
        <v>105</v>
      </c>
      <c r="J76" s="16" t="s">
        <v>689</v>
      </c>
      <c r="K76" s="16"/>
      <c r="L76" t="b">
        <v>0</v>
      </c>
      <c r="M76" s="36">
        <v>10</v>
      </c>
      <c r="N76" s="51">
        <v>1</v>
      </c>
      <c r="O76" s="29">
        <v>11</v>
      </c>
      <c r="P76" s="29" t="str">
        <f t="shared" si="3"/>
        <v>10%</v>
      </c>
      <c r="Q76" s="27">
        <v>10</v>
      </c>
      <c r="R76" s="31">
        <v>1</v>
      </c>
      <c r="S76" s="31">
        <v>1</v>
      </c>
      <c r="T76" s="33">
        <v>10</v>
      </c>
      <c r="U76" s="29">
        <v>11</v>
      </c>
      <c r="V76" s="35">
        <v>43419</v>
      </c>
      <c r="W76" s="35">
        <v>43418</v>
      </c>
      <c r="X76" s="27"/>
      <c r="Y76" s="58">
        <v>10</v>
      </c>
      <c r="Z76" s="31">
        <v>0</v>
      </c>
      <c r="AA76" t="b">
        <v>0</v>
      </c>
    </row>
    <row r="77" spans="2:27" x14ac:dyDescent="0.25">
      <c r="B77" s="53">
        <v>2018</v>
      </c>
      <c r="C77" s="53">
        <v>76</v>
      </c>
      <c r="D77" s="53" t="str">
        <f t="shared" si="2"/>
        <v>2018-76</v>
      </c>
      <c r="E77" s="9" t="s">
        <v>650</v>
      </c>
      <c r="F77" s="1">
        <v>43368</v>
      </c>
      <c r="G77" s="1" t="s">
        <v>909</v>
      </c>
      <c r="H77" s="16"/>
      <c r="I77" s="16" t="s">
        <v>105</v>
      </c>
      <c r="J77" s="16" t="s">
        <v>691</v>
      </c>
      <c r="K77" s="16" t="s">
        <v>985</v>
      </c>
      <c r="L77" t="b">
        <v>0</v>
      </c>
      <c r="M77" s="36">
        <v>763.44</v>
      </c>
      <c r="N77" s="51">
        <v>0.27320378419841473</v>
      </c>
      <c r="O77" s="29">
        <v>229.43216670928155</v>
      </c>
      <c r="P77" s="29" t="str">
        <f t="shared" si="3"/>
        <v>10%</v>
      </c>
      <c r="Q77" s="27">
        <v>10</v>
      </c>
      <c r="R77" s="31">
        <v>76.344000000000008</v>
      </c>
      <c r="S77" s="31">
        <v>20.857469700843776</v>
      </c>
      <c r="T77" s="33">
        <v>208.57469700843777</v>
      </c>
      <c r="U77" s="29">
        <v>839.78400000000011</v>
      </c>
      <c r="V77" s="35">
        <v>43419</v>
      </c>
      <c r="W77" s="35">
        <v>43418</v>
      </c>
      <c r="X77" s="27"/>
      <c r="Y77" s="58">
        <v>208.57469700843777</v>
      </c>
      <c r="Z77" s="31">
        <v>0</v>
      </c>
      <c r="AA77" t="b">
        <v>0</v>
      </c>
    </row>
    <row r="78" spans="2:27" x14ac:dyDescent="0.25">
      <c r="B78" s="53">
        <v>2018</v>
      </c>
      <c r="C78" s="53">
        <v>77</v>
      </c>
      <c r="D78" s="53" t="str">
        <f t="shared" si="2"/>
        <v>2018-77</v>
      </c>
      <c r="E78" s="9" t="s">
        <v>863</v>
      </c>
      <c r="F78" s="1">
        <v>43369</v>
      </c>
      <c r="G78" s="1" t="s">
        <v>864</v>
      </c>
      <c r="H78" s="16"/>
      <c r="I78" s="16" t="s">
        <v>105</v>
      </c>
      <c r="J78" s="16" t="s">
        <v>704</v>
      </c>
      <c r="K78" s="16"/>
      <c r="L78" t="b">
        <v>0</v>
      </c>
      <c r="M78" s="36">
        <v>20.8</v>
      </c>
      <c r="N78" s="51">
        <v>1</v>
      </c>
      <c r="O78" s="29">
        <v>20.8</v>
      </c>
      <c r="P78" s="29" t="str">
        <f t="shared" si="3"/>
        <v>0%</v>
      </c>
      <c r="Q78" s="27">
        <v>0</v>
      </c>
      <c r="R78" s="31">
        <v>0</v>
      </c>
      <c r="S78" s="31">
        <v>0</v>
      </c>
      <c r="T78" s="33">
        <v>20.8</v>
      </c>
      <c r="U78" s="29">
        <v>20.8</v>
      </c>
      <c r="V78" s="35">
        <v>43419</v>
      </c>
      <c r="W78" s="35">
        <v>43418</v>
      </c>
      <c r="X78" s="27"/>
      <c r="Y78" s="58">
        <v>20.8</v>
      </c>
      <c r="Z78" s="31">
        <v>0</v>
      </c>
      <c r="AA78" t="b">
        <v>0</v>
      </c>
    </row>
    <row r="79" spans="2:27" x14ac:dyDescent="0.25">
      <c r="B79" s="53">
        <v>2018</v>
      </c>
      <c r="C79" s="53">
        <v>78</v>
      </c>
      <c r="D79" s="53" t="str">
        <f t="shared" si="2"/>
        <v>2018-78</v>
      </c>
      <c r="E79" s="9" t="s">
        <v>865</v>
      </c>
      <c r="F79" s="1">
        <v>43370</v>
      </c>
      <c r="G79" s="1" t="s">
        <v>866</v>
      </c>
      <c r="H79" s="16"/>
      <c r="I79" s="16" t="s">
        <v>105</v>
      </c>
      <c r="J79" s="16" t="s">
        <v>683</v>
      </c>
      <c r="K79" s="16" t="s">
        <v>540</v>
      </c>
      <c r="L79" t="b">
        <v>0</v>
      </c>
      <c r="M79" s="36">
        <v>299.16000000000003</v>
      </c>
      <c r="N79" s="51">
        <v>1</v>
      </c>
      <c r="O79" s="29">
        <v>358.99200000000002</v>
      </c>
      <c r="P79" s="29" t="str">
        <f t="shared" si="3"/>
        <v>20%</v>
      </c>
      <c r="Q79" s="27">
        <v>20</v>
      </c>
      <c r="R79" s="31">
        <v>59.832000000000008</v>
      </c>
      <c r="S79" s="31">
        <v>59.832000000000008</v>
      </c>
      <c r="T79" s="33">
        <v>299.16000000000003</v>
      </c>
      <c r="U79" s="29">
        <v>358.99200000000002</v>
      </c>
      <c r="V79" s="35">
        <v>43419</v>
      </c>
      <c r="W79" s="35">
        <v>43418</v>
      </c>
      <c r="X79" s="27"/>
      <c r="Y79" s="58">
        <v>299.16000000000003</v>
      </c>
      <c r="Z79" s="31">
        <v>0</v>
      </c>
      <c r="AA79" t="b">
        <v>0</v>
      </c>
    </row>
    <row r="80" spans="2:27" x14ac:dyDescent="0.25">
      <c r="B80" s="53">
        <v>2018</v>
      </c>
      <c r="C80" s="53">
        <v>79</v>
      </c>
      <c r="D80" s="53" t="str">
        <f t="shared" si="2"/>
        <v>2018-79</v>
      </c>
      <c r="E80" s="9" t="s">
        <v>870</v>
      </c>
      <c r="F80" s="1">
        <v>43377</v>
      </c>
      <c r="G80" t="s">
        <v>647</v>
      </c>
      <c r="H80" s="16"/>
      <c r="I80" s="16" t="s">
        <v>105</v>
      </c>
      <c r="J80" s="16" t="s">
        <v>703</v>
      </c>
      <c r="K80" s="16"/>
      <c r="L80" t="b">
        <v>0</v>
      </c>
      <c r="M80" s="36">
        <v>48.32</v>
      </c>
      <c r="N80" s="51">
        <v>0.39817880794701987</v>
      </c>
      <c r="O80" s="29">
        <v>22.313940397350997</v>
      </c>
      <c r="P80" s="29" t="str">
        <f t="shared" si="3"/>
        <v>gemischt%</v>
      </c>
      <c r="Q80" s="27" t="s">
        <v>14</v>
      </c>
      <c r="R80" s="31">
        <v>7.72</v>
      </c>
      <c r="S80" s="31">
        <v>3.0739403973509933</v>
      </c>
      <c r="T80" s="33">
        <v>19.240000000000002</v>
      </c>
      <c r="U80" s="29">
        <v>56.04</v>
      </c>
      <c r="V80" s="35">
        <v>43511</v>
      </c>
      <c r="W80" s="35"/>
      <c r="X80" s="27"/>
      <c r="Y80" s="58">
        <v>19.240000000000002</v>
      </c>
      <c r="Z80" s="31">
        <v>0</v>
      </c>
      <c r="AA80" t="b">
        <v>0</v>
      </c>
    </row>
    <row r="81" spans="2:27" x14ac:dyDescent="0.25">
      <c r="B81" s="53">
        <v>2018</v>
      </c>
      <c r="C81" s="53">
        <v>80</v>
      </c>
      <c r="D81" s="53" t="str">
        <f t="shared" si="2"/>
        <v>2018-80</v>
      </c>
      <c r="E81" s="9" t="s">
        <v>874</v>
      </c>
      <c r="F81" s="1">
        <v>43378</v>
      </c>
      <c r="G81" t="s">
        <v>34</v>
      </c>
      <c r="H81" s="16"/>
      <c r="I81" s="16" t="s">
        <v>105</v>
      </c>
      <c r="J81" s="16" t="s">
        <v>703</v>
      </c>
      <c r="K81" s="16"/>
      <c r="L81" t="b">
        <v>0</v>
      </c>
      <c r="M81" s="36">
        <v>15</v>
      </c>
      <c r="N81" s="51">
        <v>1</v>
      </c>
      <c r="O81" s="29">
        <v>18</v>
      </c>
      <c r="P81" s="29" t="str">
        <f t="shared" si="3"/>
        <v>20%</v>
      </c>
      <c r="Q81" s="27">
        <v>20</v>
      </c>
      <c r="R81" s="31">
        <v>3</v>
      </c>
      <c r="S81" s="31">
        <v>3</v>
      </c>
      <c r="T81" s="33">
        <v>15</v>
      </c>
      <c r="U81" s="29">
        <v>18</v>
      </c>
      <c r="V81" s="35">
        <v>43511</v>
      </c>
      <c r="W81" s="35"/>
      <c r="X81" s="27"/>
      <c r="Y81" s="58">
        <v>15</v>
      </c>
      <c r="Z81" s="31">
        <v>0</v>
      </c>
      <c r="AA81" t="b">
        <v>0</v>
      </c>
    </row>
    <row r="82" spans="2:27" x14ac:dyDescent="0.25">
      <c r="B82" s="53">
        <v>2018</v>
      </c>
      <c r="C82" s="53">
        <v>81</v>
      </c>
      <c r="D82" s="53" t="str">
        <f t="shared" si="2"/>
        <v>2018-81</v>
      </c>
      <c r="E82" s="9" t="s">
        <v>873</v>
      </c>
      <c r="F82" s="1">
        <v>43382</v>
      </c>
      <c r="G82" s="1" t="s">
        <v>871</v>
      </c>
      <c r="H82" s="16"/>
      <c r="I82" s="16" t="s">
        <v>105</v>
      </c>
      <c r="J82" s="16" t="s">
        <v>704</v>
      </c>
      <c r="K82" s="16"/>
      <c r="L82" t="b">
        <v>0</v>
      </c>
      <c r="M82" s="36">
        <v>64.8</v>
      </c>
      <c r="N82" s="51">
        <v>1</v>
      </c>
      <c r="O82" s="29">
        <v>64.8</v>
      </c>
      <c r="P82" s="29" t="str">
        <f t="shared" si="3"/>
        <v>0%</v>
      </c>
      <c r="Q82" s="27">
        <v>0</v>
      </c>
      <c r="R82" s="31">
        <v>0</v>
      </c>
      <c r="S82" s="31">
        <v>0</v>
      </c>
      <c r="T82" s="33">
        <v>64.8</v>
      </c>
      <c r="U82" s="29">
        <v>64.8</v>
      </c>
      <c r="V82" s="35">
        <v>43511</v>
      </c>
      <c r="W82" s="27"/>
      <c r="X82" s="27"/>
      <c r="Y82" s="58">
        <v>64.8</v>
      </c>
      <c r="Z82" s="31">
        <v>0</v>
      </c>
      <c r="AA82" t="b">
        <v>0</v>
      </c>
    </row>
    <row r="83" spans="2:27" x14ac:dyDescent="0.25">
      <c r="B83" s="53">
        <v>2018</v>
      </c>
      <c r="C83" s="53">
        <v>82</v>
      </c>
      <c r="D83" s="53" t="str">
        <f t="shared" si="2"/>
        <v>2018-82</v>
      </c>
      <c r="E83" s="9" t="s">
        <v>875</v>
      </c>
      <c r="F83" s="1">
        <v>43388</v>
      </c>
      <c r="G83" s="1" t="s">
        <v>986</v>
      </c>
      <c r="H83" s="16"/>
      <c r="I83" s="16" t="s">
        <v>105</v>
      </c>
      <c r="J83" s="16" t="s">
        <v>705</v>
      </c>
      <c r="K83" s="16" t="s">
        <v>985</v>
      </c>
      <c r="L83" t="b">
        <v>0</v>
      </c>
      <c r="M83" s="36">
        <v>151.66999999999999</v>
      </c>
      <c r="N83" s="51">
        <v>0.27320378419841473</v>
      </c>
      <c r="O83" s="29">
        <v>49.724181539248278</v>
      </c>
      <c r="P83" s="29" t="str">
        <f t="shared" si="3"/>
        <v>20%</v>
      </c>
      <c r="Q83" s="27">
        <v>20</v>
      </c>
      <c r="R83" s="31">
        <v>30.333999999999996</v>
      </c>
      <c r="S83" s="31">
        <v>8.2873635898747118</v>
      </c>
      <c r="T83" s="33">
        <v>41.436817949373562</v>
      </c>
      <c r="U83" s="29">
        <v>182.00399999999999</v>
      </c>
      <c r="V83" s="35">
        <v>43511</v>
      </c>
      <c r="W83" s="35"/>
      <c r="X83" s="27"/>
      <c r="Y83" s="58">
        <v>41.436817949373562</v>
      </c>
      <c r="Z83" s="31">
        <v>0</v>
      </c>
      <c r="AA83" t="b">
        <v>0</v>
      </c>
    </row>
    <row r="84" spans="2:27" x14ac:dyDescent="0.25">
      <c r="B84" s="53">
        <v>2018</v>
      </c>
      <c r="C84" s="53">
        <v>83</v>
      </c>
      <c r="D84" s="53" t="str">
        <f t="shared" si="2"/>
        <v>2018-83</v>
      </c>
      <c r="E84" s="9" t="s">
        <v>876</v>
      </c>
      <c r="F84" s="1">
        <v>43388</v>
      </c>
      <c r="G84" s="1" t="s">
        <v>795</v>
      </c>
      <c r="H84" s="16"/>
      <c r="I84" s="16" t="s">
        <v>105</v>
      </c>
      <c r="J84" s="16" t="s">
        <v>705</v>
      </c>
      <c r="K84" s="16" t="s">
        <v>985</v>
      </c>
      <c r="L84" t="b">
        <v>0</v>
      </c>
      <c r="M84" s="36">
        <v>82.5</v>
      </c>
      <c r="N84" s="51">
        <v>0.27320378419841473</v>
      </c>
      <c r="O84" s="29">
        <v>27.04717463564306</v>
      </c>
      <c r="P84" s="29" t="str">
        <f t="shared" si="3"/>
        <v>20%</v>
      </c>
      <c r="Q84" s="27">
        <v>20</v>
      </c>
      <c r="R84" s="31">
        <v>16.5</v>
      </c>
      <c r="S84" s="31">
        <v>4.5078624392738433</v>
      </c>
      <c r="T84" s="33">
        <v>22.539312196369217</v>
      </c>
      <c r="U84" s="29">
        <v>99</v>
      </c>
      <c r="V84" s="35">
        <v>43511</v>
      </c>
      <c r="W84" s="35"/>
      <c r="X84" s="27"/>
      <c r="Y84" s="58">
        <v>22.539312196369217</v>
      </c>
      <c r="Z84" s="31">
        <v>0</v>
      </c>
      <c r="AA84" t="b">
        <v>0</v>
      </c>
    </row>
    <row r="85" spans="2:27" x14ac:dyDescent="0.25">
      <c r="B85" s="53">
        <v>2018</v>
      </c>
      <c r="C85" s="53">
        <v>84</v>
      </c>
      <c r="D85" s="53" t="str">
        <f t="shared" si="2"/>
        <v>2018-84</v>
      </c>
      <c r="E85" s="9" t="s">
        <v>877</v>
      </c>
      <c r="F85" s="1">
        <v>43382</v>
      </c>
      <c r="G85" s="1" t="s">
        <v>868</v>
      </c>
      <c r="H85" s="16"/>
      <c r="I85" s="16" t="s">
        <v>105</v>
      </c>
      <c r="J85" s="16" t="s">
        <v>705</v>
      </c>
      <c r="K85" s="16" t="s">
        <v>985</v>
      </c>
      <c r="L85" t="b">
        <v>0</v>
      </c>
      <c r="M85" s="36">
        <v>12.42</v>
      </c>
      <c r="N85" s="51">
        <v>1</v>
      </c>
      <c r="O85" s="29">
        <v>14.904</v>
      </c>
      <c r="P85" s="29" t="str">
        <f t="shared" si="3"/>
        <v>20%</v>
      </c>
      <c r="Q85" s="27">
        <v>20</v>
      </c>
      <c r="R85" s="31">
        <v>2.484</v>
      </c>
      <c r="S85" s="31">
        <v>2.484</v>
      </c>
      <c r="T85" s="33">
        <v>12.42</v>
      </c>
      <c r="U85" s="29">
        <v>14.904</v>
      </c>
      <c r="V85" s="35">
        <v>43511</v>
      </c>
      <c r="W85" s="35"/>
      <c r="X85" s="27"/>
      <c r="Y85" s="58">
        <v>12.42</v>
      </c>
      <c r="Z85" s="31">
        <v>0</v>
      </c>
      <c r="AA85" t="b">
        <v>0</v>
      </c>
    </row>
    <row r="86" spans="2:27" x14ac:dyDescent="0.25">
      <c r="B86" s="53">
        <v>2018</v>
      </c>
      <c r="C86" s="53">
        <v>85</v>
      </c>
      <c r="D86" s="53" t="str">
        <f t="shared" si="2"/>
        <v>2018-85</v>
      </c>
      <c r="E86" s="9" t="s">
        <v>878</v>
      </c>
      <c r="F86" s="1">
        <v>43381</v>
      </c>
      <c r="G86" t="s">
        <v>869</v>
      </c>
      <c r="H86" s="16"/>
      <c r="I86" s="16" t="s">
        <v>105</v>
      </c>
      <c r="J86" s="16" t="s">
        <v>705</v>
      </c>
      <c r="K86" s="16" t="s">
        <v>985</v>
      </c>
      <c r="L86" t="b">
        <v>0</v>
      </c>
      <c r="M86" s="36">
        <v>100.8</v>
      </c>
      <c r="N86" s="51">
        <v>1</v>
      </c>
      <c r="O86" s="29">
        <v>120.96</v>
      </c>
      <c r="P86" s="29" t="str">
        <f t="shared" si="3"/>
        <v>20%</v>
      </c>
      <c r="Q86" s="27">
        <v>20</v>
      </c>
      <c r="R86" s="31">
        <v>20.16</v>
      </c>
      <c r="S86" s="31">
        <v>20.16</v>
      </c>
      <c r="T86" s="33">
        <v>100.8</v>
      </c>
      <c r="U86" s="29">
        <v>120.96</v>
      </c>
      <c r="V86" s="35">
        <v>43511</v>
      </c>
      <c r="W86" s="35"/>
      <c r="X86" s="27"/>
      <c r="Y86" s="58">
        <v>100.8</v>
      </c>
      <c r="Z86" s="31">
        <v>0</v>
      </c>
      <c r="AA86" t="b">
        <v>0</v>
      </c>
    </row>
    <row r="87" spans="2:27" x14ac:dyDescent="0.25">
      <c r="B87" s="53">
        <v>2018</v>
      </c>
      <c r="C87" s="53">
        <v>86</v>
      </c>
      <c r="D87" s="53" t="str">
        <f t="shared" si="2"/>
        <v>2018-86</v>
      </c>
      <c r="E87" s="9" t="s">
        <v>879</v>
      </c>
      <c r="F87" s="1">
        <v>43385</v>
      </c>
      <c r="G87" s="1" t="s">
        <v>867</v>
      </c>
      <c r="H87" s="16"/>
      <c r="I87" s="16" t="s">
        <v>105</v>
      </c>
      <c r="J87" s="16" t="s">
        <v>705</v>
      </c>
      <c r="K87" s="16" t="s">
        <v>985</v>
      </c>
      <c r="L87" t="b">
        <v>0</v>
      </c>
      <c r="M87" s="36">
        <v>6.67</v>
      </c>
      <c r="N87" s="51">
        <v>1</v>
      </c>
      <c r="O87" s="29">
        <v>8.0039999999999996</v>
      </c>
      <c r="P87" s="29" t="str">
        <f t="shared" si="3"/>
        <v>20%</v>
      </c>
      <c r="Q87" s="27">
        <v>20</v>
      </c>
      <c r="R87" s="31">
        <v>1.3340000000000001</v>
      </c>
      <c r="S87" s="31">
        <v>1.3340000000000001</v>
      </c>
      <c r="T87" s="33">
        <v>6.67</v>
      </c>
      <c r="U87" s="29">
        <v>8.0039999999999996</v>
      </c>
      <c r="V87" s="35">
        <v>43511</v>
      </c>
      <c r="W87" s="35"/>
      <c r="X87" s="27"/>
      <c r="Y87" s="58">
        <v>6.67</v>
      </c>
      <c r="Z87" s="31">
        <v>0</v>
      </c>
      <c r="AA87" t="b">
        <v>0</v>
      </c>
    </row>
    <row r="88" spans="2:27" x14ac:dyDescent="0.25">
      <c r="B88" s="53">
        <v>2018</v>
      </c>
      <c r="C88" s="53">
        <v>87</v>
      </c>
      <c r="D88" s="53" t="str">
        <f t="shared" si="2"/>
        <v>2018-87</v>
      </c>
      <c r="E88" s="9" t="s">
        <v>873</v>
      </c>
      <c r="F88" s="1">
        <v>43397</v>
      </c>
      <c r="G88" s="1" t="s">
        <v>872</v>
      </c>
      <c r="H88" s="16"/>
      <c r="I88" s="16" t="s">
        <v>105</v>
      </c>
      <c r="J88" s="16" t="s">
        <v>704</v>
      </c>
      <c r="K88" s="16"/>
      <c r="L88" t="b">
        <v>0</v>
      </c>
      <c r="M88" s="36">
        <v>91.4</v>
      </c>
      <c r="N88" s="51">
        <v>1</v>
      </c>
      <c r="O88" s="29">
        <v>109.68</v>
      </c>
      <c r="P88" s="29" t="str">
        <f t="shared" si="3"/>
        <v>20%</v>
      </c>
      <c r="Q88" s="27">
        <v>20</v>
      </c>
      <c r="R88" s="31">
        <v>18.28</v>
      </c>
      <c r="S88" s="31">
        <v>18.28</v>
      </c>
      <c r="T88" s="33">
        <v>91.4</v>
      </c>
      <c r="U88" s="29">
        <v>109.68</v>
      </c>
      <c r="V88" s="35">
        <v>43511</v>
      </c>
      <c r="W88" s="35"/>
      <c r="X88" s="27"/>
      <c r="Y88" s="58">
        <v>91.4</v>
      </c>
      <c r="Z88" s="31">
        <v>0</v>
      </c>
      <c r="AA88" t="b">
        <v>0</v>
      </c>
    </row>
    <row r="89" spans="2:27" x14ac:dyDescent="0.25">
      <c r="B89" s="53">
        <v>2018</v>
      </c>
      <c r="C89" s="53">
        <v>88</v>
      </c>
      <c r="D89" s="53" t="str">
        <f t="shared" si="2"/>
        <v>2018-88</v>
      </c>
      <c r="E89" s="9" t="s">
        <v>859</v>
      </c>
      <c r="F89" s="1">
        <v>43398</v>
      </c>
      <c r="G89" s="1" t="s">
        <v>909</v>
      </c>
      <c r="H89" s="16"/>
      <c r="I89" s="16" t="s">
        <v>105</v>
      </c>
      <c r="J89" s="16" t="s">
        <v>691</v>
      </c>
      <c r="K89" s="16" t="s">
        <v>985</v>
      </c>
      <c r="L89" t="b">
        <v>0</v>
      </c>
      <c r="M89" s="36">
        <v>763.44</v>
      </c>
      <c r="N89" s="51">
        <v>0.27320378419841473</v>
      </c>
      <c r="O89" s="29">
        <v>229.43216670928155</v>
      </c>
      <c r="P89" s="29" t="str">
        <f t="shared" si="3"/>
        <v>10%</v>
      </c>
      <c r="Q89" s="27">
        <v>10</v>
      </c>
      <c r="R89" s="31">
        <v>76.344000000000008</v>
      </c>
      <c r="S89" s="31">
        <v>20.857469700843776</v>
      </c>
      <c r="T89" s="33">
        <v>208.57469700843777</v>
      </c>
      <c r="U89" s="29">
        <v>839.78400000000011</v>
      </c>
      <c r="V89" s="35">
        <v>43511</v>
      </c>
      <c r="W89" s="35"/>
      <c r="X89" s="27"/>
      <c r="Y89" s="58">
        <v>208.57469700843777</v>
      </c>
      <c r="Z89" s="31">
        <v>0</v>
      </c>
      <c r="AA89" t="b">
        <v>0</v>
      </c>
    </row>
    <row r="90" spans="2:27" x14ac:dyDescent="0.25">
      <c r="B90" s="53">
        <v>2018</v>
      </c>
      <c r="C90" s="53">
        <v>89</v>
      </c>
      <c r="D90" s="53" t="str">
        <f t="shared" si="2"/>
        <v>2018-89</v>
      </c>
      <c r="E90" s="9" t="s">
        <v>880</v>
      </c>
      <c r="F90" s="1">
        <v>43403</v>
      </c>
      <c r="G90" s="1" t="s">
        <v>881</v>
      </c>
      <c r="H90" s="16"/>
      <c r="I90" s="16" t="s">
        <v>105</v>
      </c>
      <c r="J90" s="16" t="s">
        <v>693</v>
      </c>
      <c r="K90" s="16"/>
      <c r="L90" t="b">
        <v>0</v>
      </c>
      <c r="M90" s="36">
        <v>12.56</v>
      </c>
      <c r="N90" s="51">
        <v>1</v>
      </c>
      <c r="O90" s="29">
        <v>12.56</v>
      </c>
      <c r="P90" s="29" t="str">
        <f t="shared" si="3"/>
        <v>0%</v>
      </c>
      <c r="Q90" s="27">
        <v>0</v>
      </c>
      <c r="R90" s="31">
        <v>0</v>
      </c>
      <c r="S90" s="31">
        <v>0</v>
      </c>
      <c r="T90" s="33">
        <v>12.56</v>
      </c>
      <c r="U90" s="29">
        <v>12.56</v>
      </c>
      <c r="V90" s="35">
        <v>43511</v>
      </c>
      <c r="W90" s="35"/>
      <c r="X90" s="27">
        <v>20</v>
      </c>
      <c r="Y90" s="58">
        <v>12.56</v>
      </c>
      <c r="Z90" s="31">
        <v>2.5120000000000005</v>
      </c>
      <c r="AA90" t="b">
        <v>0</v>
      </c>
    </row>
    <row r="91" spans="2:27" x14ac:dyDescent="0.25">
      <c r="B91" s="53">
        <v>2018</v>
      </c>
      <c r="C91" s="53">
        <v>90</v>
      </c>
      <c r="D91" s="53" t="str">
        <f t="shared" si="2"/>
        <v>2018-90</v>
      </c>
      <c r="E91" s="9" t="s">
        <v>882</v>
      </c>
      <c r="F91" s="1">
        <v>43406</v>
      </c>
      <c r="G91" t="s">
        <v>34</v>
      </c>
      <c r="H91" s="16"/>
      <c r="I91" s="16" t="s">
        <v>105</v>
      </c>
      <c r="J91" s="16" t="s">
        <v>703</v>
      </c>
      <c r="K91" s="16"/>
      <c r="L91" t="b">
        <v>0</v>
      </c>
      <c r="M91" s="36">
        <v>17.32</v>
      </c>
      <c r="N91" s="51">
        <v>1</v>
      </c>
      <c r="O91" s="29">
        <v>20.783999999999999</v>
      </c>
      <c r="P91" s="29" t="str">
        <f t="shared" si="3"/>
        <v>20%</v>
      </c>
      <c r="Q91" s="27">
        <v>20</v>
      </c>
      <c r="R91" s="31">
        <v>3.464</v>
      </c>
      <c r="S91" s="31">
        <v>3.464</v>
      </c>
      <c r="T91" s="33">
        <v>17.32</v>
      </c>
      <c r="U91" s="29">
        <v>20.783999999999999</v>
      </c>
      <c r="V91" s="35">
        <v>43511</v>
      </c>
      <c r="W91" s="35"/>
      <c r="X91" s="27"/>
      <c r="Y91" s="58">
        <v>17.32</v>
      </c>
      <c r="Z91" s="31">
        <v>0</v>
      </c>
      <c r="AA91" t="b">
        <v>0</v>
      </c>
    </row>
    <row r="92" spans="2:27" x14ac:dyDescent="0.25">
      <c r="B92" s="53">
        <v>2018</v>
      </c>
      <c r="C92" s="53">
        <v>91</v>
      </c>
      <c r="D92" s="53" t="str">
        <f t="shared" si="2"/>
        <v>2018-91</v>
      </c>
      <c r="E92" s="9" t="s">
        <v>883</v>
      </c>
      <c r="F92" s="1">
        <v>43406</v>
      </c>
      <c r="G92" s="1" t="s">
        <v>884</v>
      </c>
      <c r="H92" s="16"/>
      <c r="I92" s="16" t="s">
        <v>105</v>
      </c>
      <c r="J92" s="16" t="s">
        <v>693</v>
      </c>
      <c r="K92" s="16"/>
      <c r="L92" t="b">
        <v>0</v>
      </c>
      <c r="M92" s="36">
        <v>29.99</v>
      </c>
      <c r="N92" s="51">
        <v>1</v>
      </c>
      <c r="O92" s="29">
        <v>29.99</v>
      </c>
      <c r="P92" s="29" t="str">
        <f t="shared" si="3"/>
        <v>0%</v>
      </c>
      <c r="Q92" s="27">
        <v>0</v>
      </c>
      <c r="R92" s="31">
        <v>0</v>
      </c>
      <c r="S92" s="31">
        <v>0</v>
      </c>
      <c r="T92" s="33">
        <v>29.99</v>
      </c>
      <c r="U92" s="29">
        <v>29.99</v>
      </c>
      <c r="V92" s="35">
        <v>43511</v>
      </c>
      <c r="W92" s="27"/>
      <c r="X92" s="27">
        <v>20</v>
      </c>
      <c r="Y92" s="58">
        <v>29.99</v>
      </c>
      <c r="Z92" s="31">
        <v>5.9980000000000002</v>
      </c>
      <c r="AA92" t="b">
        <v>0</v>
      </c>
    </row>
    <row r="93" spans="2:27" x14ac:dyDescent="0.25">
      <c r="B93" s="53">
        <v>2018</v>
      </c>
      <c r="C93" s="53">
        <v>92</v>
      </c>
      <c r="D93" s="53" t="str">
        <f t="shared" si="2"/>
        <v>2018-92</v>
      </c>
      <c r="E93" s="9" t="s">
        <v>885</v>
      </c>
      <c r="F93" s="1">
        <v>43409</v>
      </c>
      <c r="G93" t="s">
        <v>647</v>
      </c>
      <c r="H93" s="16"/>
      <c r="I93" s="16" t="s">
        <v>105</v>
      </c>
      <c r="J93" s="16" t="s">
        <v>703</v>
      </c>
      <c r="K93" s="16"/>
      <c r="L93" t="b">
        <v>0</v>
      </c>
      <c r="M93" s="36">
        <v>48.32</v>
      </c>
      <c r="N93" s="51">
        <v>0.39817880794701987</v>
      </c>
      <c r="O93" s="29">
        <v>22.313940397350997</v>
      </c>
      <c r="P93" s="29" t="str">
        <f t="shared" si="3"/>
        <v>gemischt%</v>
      </c>
      <c r="Q93" s="27" t="s">
        <v>14</v>
      </c>
      <c r="R93" s="31">
        <v>7.72</v>
      </c>
      <c r="S93" s="31">
        <v>3.0739403973509933</v>
      </c>
      <c r="T93" s="33">
        <v>19.240000000000002</v>
      </c>
      <c r="U93" s="29">
        <v>56.04</v>
      </c>
      <c r="V93" s="35">
        <v>43511</v>
      </c>
      <c r="W93" s="35"/>
      <c r="X93" s="27"/>
      <c r="Y93" s="58">
        <v>19.240000000000002</v>
      </c>
      <c r="Z93" s="31">
        <v>0</v>
      </c>
      <c r="AA93" t="b">
        <v>0</v>
      </c>
    </row>
    <row r="94" spans="2:27" x14ac:dyDescent="0.25">
      <c r="B94" s="53">
        <v>2018</v>
      </c>
      <c r="C94" s="53">
        <v>93</v>
      </c>
      <c r="D94" s="53" t="str">
        <f t="shared" si="2"/>
        <v>2018-93</v>
      </c>
      <c r="E94" s="9" t="s">
        <v>886</v>
      </c>
      <c r="F94" s="1">
        <v>43411</v>
      </c>
      <c r="G94" s="1" t="s">
        <v>887</v>
      </c>
      <c r="H94" s="16"/>
      <c r="I94" s="16" t="s">
        <v>105</v>
      </c>
      <c r="J94" s="16" t="s">
        <v>683</v>
      </c>
      <c r="K94" s="16" t="s">
        <v>540</v>
      </c>
      <c r="L94" t="b">
        <v>0</v>
      </c>
      <c r="M94" s="36">
        <v>202.17</v>
      </c>
      <c r="N94" s="51">
        <v>1</v>
      </c>
      <c r="O94" s="29">
        <v>242.60399999999998</v>
      </c>
      <c r="P94" s="29" t="str">
        <f t="shared" si="3"/>
        <v>20%</v>
      </c>
      <c r="Q94" s="27">
        <v>20</v>
      </c>
      <c r="R94" s="31">
        <v>40.433999999999997</v>
      </c>
      <c r="S94" s="31">
        <v>40.433999999999997</v>
      </c>
      <c r="T94" s="33">
        <v>202.17</v>
      </c>
      <c r="U94" s="29">
        <v>242.60399999999998</v>
      </c>
      <c r="V94" s="35">
        <v>43511</v>
      </c>
      <c r="W94" s="35"/>
      <c r="X94" s="27"/>
      <c r="Y94" s="58">
        <v>202.17</v>
      </c>
      <c r="Z94" s="31">
        <v>0</v>
      </c>
      <c r="AA94" t="b">
        <v>0</v>
      </c>
    </row>
    <row r="95" spans="2:27" x14ac:dyDescent="0.25">
      <c r="B95" s="53">
        <v>2018</v>
      </c>
      <c r="C95" s="53">
        <v>94</v>
      </c>
      <c r="D95" s="53" t="str">
        <f t="shared" si="2"/>
        <v>2018-94</v>
      </c>
      <c r="E95" s="9" t="s">
        <v>888</v>
      </c>
      <c r="F95" s="1">
        <v>43411</v>
      </c>
      <c r="G95" t="s">
        <v>889</v>
      </c>
      <c r="H95" s="16"/>
      <c r="I95" s="16" t="s">
        <v>105</v>
      </c>
      <c r="J95" s="16" t="s">
        <v>683</v>
      </c>
      <c r="K95" s="16" t="s">
        <v>540</v>
      </c>
      <c r="L95" t="b">
        <v>0</v>
      </c>
      <c r="M95" s="36">
        <v>126.08</v>
      </c>
      <c r="N95" s="51">
        <v>1</v>
      </c>
      <c r="O95" s="29">
        <v>151.29599999999999</v>
      </c>
      <c r="P95" s="29" t="str">
        <f t="shared" si="3"/>
        <v>20%</v>
      </c>
      <c r="Q95" s="27">
        <v>20</v>
      </c>
      <c r="R95" s="31">
        <v>25.215999999999998</v>
      </c>
      <c r="S95" s="31">
        <v>25.215999999999998</v>
      </c>
      <c r="T95" s="33">
        <v>126.08</v>
      </c>
      <c r="U95" s="29">
        <v>151.29599999999999</v>
      </c>
      <c r="V95" s="35">
        <v>43511</v>
      </c>
      <c r="W95" s="35"/>
      <c r="X95" s="27"/>
      <c r="Y95" s="58">
        <v>126.08</v>
      </c>
      <c r="Z95" s="31">
        <v>0</v>
      </c>
      <c r="AA95" t="b">
        <v>0</v>
      </c>
    </row>
    <row r="96" spans="2:27" x14ac:dyDescent="0.25">
      <c r="B96" s="53">
        <v>2018</v>
      </c>
      <c r="C96" s="53">
        <v>95</v>
      </c>
      <c r="D96" s="53" t="str">
        <f t="shared" si="2"/>
        <v>2018-95</v>
      </c>
      <c r="E96" s="9" t="s">
        <v>890</v>
      </c>
      <c r="F96" s="1">
        <v>43413</v>
      </c>
      <c r="G96" s="1" t="s">
        <v>891</v>
      </c>
      <c r="H96" s="16"/>
      <c r="I96" s="16" t="s">
        <v>105</v>
      </c>
      <c r="J96" s="16" t="s">
        <v>693</v>
      </c>
      <c r="K96" s="16"/>
      <c r="L96" t="b">
        <v>0</v>
      </c>
      <c r="M96" s="36">
        <v>31.01</v>
      </c>
      <c r="N96" s="51">
        <v>1</v>
      </c>
      <c r="O96" s="29">
        <v>37.212000000000003</v>
      </c>
      <c r="P96" s="29" t="str">
        <f t="shared" si="3"/>
        <v>20%</v>
      </c>
      <c r="Q96" s="27">
        <v>20</v>
      </c>
      <c r="R96" s="31">
        <v>6.2020000000000008</v>
      </c>
      <c r="S96" s="31">
        <v>6.2020000000000008</v>
      </c>
      <c r="T96" s="33">
        <v>31.01</v>
      </c>
      <c r="U96" s="29">
        <v>37.212000000000003</v>
      </c>
      <c r="V96" s="35">
        <v>43511</v>
      </c>
      <c r="W96" s="35"/>
      <c r="X96" s="27"/>
      <c r="Y96" s="58">
        <v>31.01</v>
      </c>
      <c r="Z96" s="31">
        <v>0</v>
      </c>
      <c r="AA96" t="b">
        <v>0</v>
      </c>
    </row>
    <row r="97" spans="2:27" x14ac:dyDescent="0.25">
      <c r="B97" s="53">
        <v>2018</v>
      </c>
      <c r="C97" s="53">
        <v>96</v>
      </c>
      <c r="D97" s="53" t="str">
        <f t="shared" si="2"/>
        <v>2018-96</v>
      </c>
      <c r="E97" s="9" t="s">
        <v>892</v>
      </c>
      <c r="F97" s="1">
        <v>43416</v>
      </c>
      <c r="G97" t="s">
        <v>893</v>
      </c>
      <c r="H97" s="16"/>
      <c r="I97" s="16" t="s">
        <v>105</v>
      </c>
      <c r="J97" s="16" t="s">
        <v>693</v>
      </c>
      <c r="K97" s="16"/>
      <c r="L97" t="b">
        <v>0</v>
      </c>
      <c r="M97" s="36">
        <v>35</v>
      </c>
      <c r="N97" s="51">
        <v>1</v>
      </c>
      <c r="O97" s="29">
        <v>35</v>
      </c>
      <c r="P97" s="29" t="str">
        <f t="shared" si="3"/>
        <v>0%</v>
      </c>
      <c r="Q97" s="27">
        <v>0</v>
      </c>
      <c r="R97" s="31">
        <v>0</v>
      </c>
      <c r="S97" s="31">
        <v>0</v>
      </c>
      <c r="T97" s="33">
        <v>35</v>
      </c>
      <c r="U97" s="29">
        <v>35</v>
      </c>
      <c r="V97" s="35">
        <v>43511</v>
      </c>
      <c r="W97" s="27"/>
      <c r="X97" s="27">
        <v>20</v>
      </c>
      <c r="Y97" s="58">
        <v>35</v>
      </c>
      <c r="Z97" s="31">
        <v>7</v>
      </c>
      <c r="AA97" t="b">
        <v>0</v>
      </c>
    </row>
    <row r="98" spans="2:27" x14ac:dyDescent="0.25">
      <c r="B98" s="53">
        <v>2018</v>
      </c>
      <c r="C98" s="53">
        <v>97</v>
      </c>
      <c r="D98" s="53" t="str">
        <f t="shared" si="2"/>
        <v>2018-97</v>
      </c>
      <c r="E98" s="9" t="s">
        <v>894</v>
      </c>
      <c r="F98" s="1">
        <v>43416</v>
      </c>
      <c r="G98" t="s">
        <v>893</v>
      </c>
      <c r="H98" s="16"/>
      <c r="I98" s="16" t="s">
        <v>105</v>
      </c>
      <c r="J98" s="16" t="s">
        <v>693</v>
      </c>
      <c r="K98" s="16"/>
      <c r="L98" t="b">
        <v>0</v>
      </c>
      <c r="M98" s="36">
        <v>35</v>
      </c>
      <c r="N98" s="51">
        <v>1</v>
      </c>
      <c r="O98" s="29">
        <v>35</v>
      </c>
      <c r="P98" s="29" t="str">
        <f t="shared" si="3"/>
        <v>0%</v>
      </c>
      <c r="Q98" s="27">
        <v>0</v>
      </c>
      <c r="R98" s="31">
        <v>0</v>
      </c>
      <c r="S98" s="31">
        <v>0</v>
      </c>
      <c r="T98" s="33">
        <v>35</v>
      </c>
      <c r="U98" s="29">
        <v>35</v>
      </c>
      <c r="V98" s="35">
        <v>43511</v>
      </c>
      <c r="W98" s="27"/>
      <c r="X98" s="27">
        <v>20</v>
      </c>
      <c r="Y98" s="58">
        <v>35</v>
      </c>
      <c r="Z98" s="31">
        <v>7</v>
      </c>
      <c r="AA98" t="b">
        <v>0</v>
      </c>
    </row>
    <row r="99" spans="2:27" x14ac:dyDescent="0.25">
      <c r="B99" s="53">
        <v>2018</v>
      </c>
      <c r="C99" s="53">
        <v>98</v>
      </c>
      <c r="D99" s="53" t="str">
        <f t="shared" si="2"/>
        <v>2018-98</v>
      </c>
      <c r="E99" s="9" t="s">
        <v>904</v>
      </c>
      <c r="F99" s="1">
        <v>43419</v>
      </c>
      <c r="G99" s="1" t="s">
        <v>920</v>
      </c>
      <c r="H99" s="16"/>
      <c r="I99" s="16" t="s">
        <v>105</v>
      </c>
      <c r="J99" s="16" t="s">
        <v>705</v>
      </c>
      <c r="K99" s="16"/>
      <c r="L99" t="b">
        <v>0</v>
      </c>
      <c r="M99" s="36">
        <v>22.64</v>
      </c>
      <c r="N99" s="51">
        <v>0.27320378419841473</v>
      </c>
      <c r="O99" s="29">
        <v>7.422400409102532</v>
      </c>
      <c r="P99" s="29" t="str">
        <f t="shared" si="3"/>
        <v>20%</v>
      </c>
      <c r="Q99" s="27">
        <v>20</v>
      </c>
      <c r="R99" s="31">
        <v>4.5280000000000005</v>
      </c>
      <c r="S99" s="31">
        <v>1.2370667348504221</v>
      </c>
      <c r="T99" s="33">
        <v>6.1853336742521101</v>
      </c>
      <c r="U99" s="29">
        <v>27.167999999999999</v>
      </c>
      <c r="V99" s="35">
        <v>43511</v>
      </c>
      <c r="W99" s="27"/>
      <c r="X99" s="27"/>
      <c r="Y99" s="58">
        <v>6.1853336742521101</v>
      </c>
      <c r="Z99" s="31">
        <v>0</v>
      </c>
      <c r="AA99" t="b">
        <v>0</v>
      </c>
    </row>
    <row r="100" spans="2:27" x14ac:dyDescent="0.25">
      <c r="B100" s="53">
        <v>2018</v>
      </c>
      <c r="C100" s="53">
        <v>99</v>
      </c>
      <c r="D100" s="53" t="str">
        <f t="shared" si="2"/>
        <v>2018-99</v>
      </c>
      <c r="E100" s="9" t="s">
        <v>903</v>
      </c>
      <c r="F100" s="1">
        <v>43420</v>
      </c>
      <c r="G100" s="1" t="s">
        <v>902</v>
      </c>
      <c r="H100" s="16"/>
      <c r="I100" s="16" t="s">
        <v>105</v>
      </c>
      <c r="J100" s="16" t="s">
        <v>705</v>
      </c>
      <c r="K100" s="16"/>
      <c r="L100" t="b">
        <v>0</v>
      </c>
      <c r="M100" s="36">
        <v>117.8</v>
      </c>
      <c r="N100" s="51">
        <v>1</v>
      </c>
      <c r="O100" s="29">
        <v>117.8</v>
      </c>
      <c r="P100" s="29" t="str">
        <f t="shared" si="3"/>
        <v>0%</v>
      </c>
      <c r="Q100" s="27">
        <v>0</v>
      </c>
      <c r="R100" s="31">
        <v>0</v>
      </c>
      <c r="S100" s="31">
        <v>0</v>
      </c>
      <c r="T100" s="33">
        <v>117.8</v>
      </c>
      <c r="U100" s="29">
        <v>117.8</v>
      </c>
      <c r="V100" s="35">
        <v>43511</v>
      </c>
      <c r="W100" s="27"/>
      <c r="X100" s="27"/>
      <c r="Y100" s="58">
        <v>117.8</v>
      </c>
      <c r="Z100" s="31">
        <v>0</v>
      </c>
      <c r="AA100" t="b">
        <v>0</v>
      </c>
    </row>
    <row r="101" spans="2:27" x14ac:dyDescent="0.25">
      <c r="B101" s="53">
        <v>2018</v>
      </c>
      <c r="C101" s="53">
        <v>100</v>
      </c>
      <c r="D101" s="53" t="str">
        <f t="shared" si="2"/>
        <v>2018-100</v>
      </c>
      <c r="E101" s="9" t="s">
        <v>239</v>
      </c>
      <c r="F101" s="1">
        <v>43425</v>
      </c>
      <c r="G101" s="1" t="s">
        <v>899</v>
      </c>
      <c r="H101" s="16"/>
      <c r="I101" s="16" t="s">
        <v>105</v>
      </c>
      <c r="J101" s="16" t="s">
        <v>705</v>
      </c>
      <c r="K101" s="16"/>
      <c r="L101" t="b">
        <v>0</v>
      </c>
      <c r="M101" s="36">
        <v>81.75</v>
      </c>
      <c r="N101" s="51">
        <v>0.27320378419841473</v>
      </c>
      <c r="O101" s="29">
        <v>22.334409358220405</v>
      </c>
      <c r="P101" s="29" t="str">
        <f t="shared" si="3"/>
        <v>0%</v>
      </c>
      <c r="Q101" s="27">
        <v>0</v>
      </c>
      <c r="R101" s="31">
        <v>0</v>
      </c>
      <c r="S101" s="31">
        <v>0</v>
      </c>
      <c r="T101" s="33">
        <v>22.334409358220405</v>
      </c>
      <c r="U101" s="29">
        <v>81.75</v>
      </c>
      <c r="V101" s="35">
        <v>43511</v>
      </c>
      <c r="W101" s="27"/>
      <c r="X101" s="27"/>
      <c r="Y101" s="58">
        <v>22.334409358220405</v>
      </c>
      <c r="Z101" s="31">
        <v>0</v>
      </c>
      <c r="AA101" t="b">
        <v>0</v>
      </c>
    </row>
    <row r="102" spans="2:27" x14ac:dyDescent="0.25">
      <c r="B102" s="53">
        <v>2018</v>
      </c>
      <c r="C102" s="53">
        <v>101</v>
      </c>
      <c r="D102" s="53" t="str">
        <f t="shared" si="2"/>
        <v>2018-101</v>
      </c>
      <c r="E102" s="9" t="s">
        <v>898</v>
      </c>
      <c r="F102" s="1">
        <v>43426</v>
      </c>
      <c r="G102" s="1" t="s">
        <v>897</v>
      </c>
      <c r="H102" s="16"/>
      <c r="I102" s="16" t="s">
        <v>105</v>
      </c>
      <c r="J102" s="16" t="s">
        <v>683</v>
      </c>
      <c r="K102" s="16" t="s">
        <v>540</v>
      </c>
      <c r="L102" t="b">
        <v>0</v>
      </c>
      <c r="M102" s="36">
        <v>243.78</v>
      </c>
      <c r="N102" s="51">
        <v>1</v>
      </c>
      <c r="O102" s="29">
        <v>292.536</v>
      </c>
      <c r="P102" s="29" t="str">
        <f t="shared" si="3"/>
        <v>20%</v>
      </c>
      <c r="Q102" s="27">
        <v>20</v>
      </c>
      <c r="R102" s="31">
        <v>48.756</v>
      </c>
      <c r="S102" s="31">
        <v>48.756</v>
      </c>
      <c r="T102" s="33">
        <v>243.78</v>
      </c>
      <c r="U102" s="29">
        <v>292.536</v>
      </c>
      <c r="V102" s="35">
        <v>43511</v>
      </c>
      <c r="W102" s="27"/>
      <c r="X102" s="27"/>
      <c r="Y102" s="58">
        <v>243.78</v>
      </c>
      <c r="Z102" s="31">
        <v>0</v>
      </c>
      <c r="AA102" t="b">
        <v>0</v>
      </c>
    </row>
    <row r="103" spans="2:27" x14ac:dyDescent="0.25">
      <c r="B103" s="53">
        <v>2018</v>
      </c>
      <c r="C103" s="53">
        <v>102</v>
      </c>
      <c r="D103" s="53" t="str">
        <f t="shared" si="2"/>
        <v>2018-102</v>
      </c>
      <c r="E103" s="9" t="s">
        <v>905</v>
      </c>
      <c r="F103" s="1">
        <v>43426</v>
      </c>
      <c r="G103" s="1" t="s">
        <v>912</v>
      </c>
      <c r="H103" s="16"/>
      <c r="I103" s="16" t="s">
        <v>105</v>
      </c>
      <c r="J103" s="16" t="s">
        <v>710</v>
      </c>
      <c r="K103" s="16"/>
      <c r="L103" t="b">
        <v>0</v>
      </c>
      <c r="M103" s="36">
        <v>-238.45</v>
      </c>
      <c r="N103" s="51">
        <v>1</v>
      </c>
      <c r="O103" s="29">
        <v>-286.14</v>
      </c>
      <c r="P103" s="29" t="str">
        <f t="shared" si="3"/>
        <v>20%</v>
      </c>
      <c r="Q103" s="27">
        <v>20</v>
      </c>
      <c r="R103" s="31">
        <v>-47.69</v>
      </c>
      <c r="S103" s="31">
        <v>-47.69</v>
      </c>
      <c r="T103" s="33">
        <v>-238.45</v>
      </c>
      <c r="U103" s="29">
        <v>-286.14</v>
      </c>
      <c r="V103" s="35">
        <v>43511</v>
      </c>
      <c r="W103" s="27"/>
      <c r="X103" s="27"/>
      <c r="Y103" s="58">
        <v>-238.45</v>
      </c>
      <c r="Z103" s="31">
        <v>0</v>
      </c>
      <c r="AA103" t="b">
        <v>0</v>
      </c>
    </row>
    <row r="104" spans="2:27" x14ac:dyDescent="0.25">
      <c r="B104" s="53">
        <v>2018</v>
      </c>
      <c r="C104" s="53">
        <v>103</v>
      </c>
      <c r="D104" s="53" t="str">
        <f t="shared" si="2"/>
        <v>2018-103</v>
      </c>
      <c r="E104" s="9" t="s">
        <v>905</v>
      </c>
      <c r="F104" s="1">
        <v>43427</v>
      </c>
      <c r="G104" s="1" t="s">
        <v>906</v>
      </c>
      <c r="H104" s="16"/>
      <c r="I104" s="16" t="s">
        <v>105</v>
      </c>
      <c r="J104" s="16" t="s">
        <v>683</v>
      </c>
      <c r="K104" s="16" t="s">
        <v>540</v>
      </c>
      <c r="L104" t="b">
        <v>0</v>
      </c>
      <c r="M104" s="36">
        <v>188.19</v>
      </c>
      <c r="N104" s="51">
        <v>1</v>
      </c>
      <c r="O104" s="29">
        <v>225.828</v>
      </c>
      <c r="P104" s="29" t="str">
        <f t="shared" si="3"/>
        <v>20%</v>
      </c>
      <c r="Q104" s="27">
        <v>20</v>
      </c>
      <c r="R104" s="31">
        <v>37.638000000000005</v>
      </c>
      <c r="S104" s="31">
        <v>37.638000000000005</v>
      </c>
      <c r="T104" s="33">
        <v>188.19</v>
      </c>
      <c r="U104" s="29">
        <v>225.828</v>
      </c>
      <c r="V104" s="35">
        <v>43511</v>
      </c>
      <c r="W104" s="27"/>
      <c r="X104" s="27"/>
      <c r="Y104" s="58">
        <v>188.19</v>
      </c>
      <c r="Z104" s="31">
        <v>0</v>
      </c>
      <c r="AA104" t="b">
        <v>0</v>
      </c>
    </row>
    <row r="105" spans="2:27" x14ac:dyDescent="0.25">
      <c r="B105" s="53">
        <v>2018</v>
      </c>
      <c r="C105" s="53">
        <v>104</v>
      </c>
      <c r="D105" s="53" t="str">
        <f t="shared" si="2"/>
        <v>2018-104</v>
      </c>
      <c r="E105" s="9" t="s">
        <v>650</v>
      </c>
      <c r="F105" s="1">
        <v>43430</v>
      </c>
      <c r="G105" s="1" t="s">
        <v>909</v>
      </c>
      <c r="H105" s="16"/>
      <c r="I105" s="16" t="s">
        <v>105</v>
      </c>
      <c r="J105" s="16" t="s">
        <v>691</v>
      </c>
      <c r="K105" s="16"/>
      <c r="L105" t="b">
        <v>0</v>
      </c>
      <c r="M105" s="36">
        <v>763.44</v>
      </c>
      <c r="N105" s="51">
        <v>0.27320378419841473</v>
      </c>
      <c r="O105" s="29">
        <v>229.43216670928155</v>
      </c>
      <c r="P105" s="29" t="str">
        <f t="shared" si="3"/>
        <v>10%</v>
      </c>
      <c r="Q105" s="27">
        <v>10</v>
      </c>
      <c r="R105" s="31">
        <v>76.344000000000008</v>
      </c>
      <c r="S105" s="31">
        <v>20.857469700843776</v>
      </c>
      <c r="T105" s="33">
        <v>208.57469700843777</v>
      </c>
      <c r="U105" s="29">
        <v>839.78400000000011</v>
      </c>
      <c r="V105" s="35">
        <v>43511</v>
      </c>
      <c r="W105" s="27"/>
      <c r="X105" s="27"/>
      <c r="Y105" s="58">
        <v>208.57469700843777</v>
      </c>
      <c r="Z105" s="31">
        <v>0</v>
      </c>
      <c r="AA105" t="b">
        <v>0</v>
      </c>
    </row>
    <row r="106" spans="2:27" x14ac:dyDescent="0.25">
      <c r="B106" s="53">
        <v>2018</v>
      </c>
      <c r="C106" s="53">
        <v>105</v>
      </c>
      <c r="D106" s="53" t="str">
        <f t="shared" si="2"/>
        <v>2018-105</v>
      </c>
      <c r="E106" s="9" t="s">
        <v>911</v>
      </c>
      <c r="F106" s="1">
        <v>43430</v>
      </c>
      <c r="G106" s="1" t="s">
        <v>910</v>
      </c>
      <c r="H106" s="16"/>
      <c r="I106" s="16" t="s">
        <v>105</v>
      </c>
      <c r="J106" s="16" t="s">
        <v>705</v>
      </c>
      <c r="K106" s="16"/>
      <c r="L106" t="b">
        <v>0</v>
      </c>
      <c r="M106" s="36">
        <v>855</v>
      </c>
      <c r="N106" s="51">
        <v>1</v>
      </c>
      <c r="O106" s="29">
        <v>1026</v>
      </c>
      <c r="P106" s="29" t="str">
        <f t="shared" si="3"/>
        <v>20%</v>
      </c>
      <c r="Q106" s="27">
        <v>20</v>
      </c>
      <c r="R106" s="31">
        <v>171</v>
      </c>
      <c r="S106" s="31">
        <v>171</v>
      </c>
      <c r="T106" s="33">
        <v>855</v>
      </c>
      <c r="U106" s="29">
        <v>1026</v>
      </c>
      <c r="V106" s="35">
        <v>43511</v>
      </c>
      <c r="W106" s="27"/>
      <c r="X106" s="27"/>
      <c r="Y106" s="58">
        <v>855</v>
      </c>
      <c r="Z106" s="31">
        <v>0</v>
      </c>
      <c r="AA106" t="b">
        <v>0</v>
      </c>
    </row>
    <row r="107" spans="2:27" x14ac:dyDescent="0.25">
      <c r="B107" s="53">
        <v>2018</v>
      </c>
      <c r="C107" s="53">
        <v>106</v>
      </c>
      <c r="D107" s="53" t="str">
        <f t="shared" si="2"/>
        <v>2018-106</v>
      </c>
      <c r="E107" s="9" t="s">
        <v>907</v>
      </c>
      <c r="F107" s="1">
        <v>43431</v>
      </c>
      <c r="G107" s="1" t="s">
        <v>908</v>
      </c>
      <c r="H107" s="16"/>
      <c r="I107" s="16" t="s">
        <v>105</v>
      </c>
      <c r="J107" s="16" t="s">
        <v>704</v>
      </c>
      <c r="K107" s="16"/>
      <c r="L107" t="b">
        <v>0</v>
      </c>
      <c r="M107" s="36">
        <v>11.5</v>
      </c>
      <c r="N107" s="51">
        <v>1</v>
      </c>
      <c r="O107" s="29">
        <v>11.5</v>
      </c>
      <c r="P107" s="29" t="str">
        <f t="shared" si="3"/>
        <v>0%</v>
      </c>
      <c r="Q107" s="27">
        <v>0</v>
      </c>
      <c r="R107" s="31">
        <v>0</v>
      </c>
      <c r="S107" s="31">
        <v>0</v>
      </c>
      <c r="T107" s="33">
        <v>11.5</v>
      </c>
      <c r="U107" s="29">
        <v>11.5</v>
      </c>
      <c r="V107" s="35">
        <v>43511</v>
      </c>
      <c r="W107" s="27"/>
      <c r="X107" s="27"/>
      <c r="Y107" s="58">
        <v>11.5</v>
      </c>
      <c r="Z107" s="31">
        <v>0</v>
      </c>
      <c r="AA107" t="b">
        <v>0</v>
      </c>
    </row>
    <row r="108" spans="2:27" x14ac:dyDescent="0.25">
      <c r="B108" s="53">
        <v>2018</v>
      </c>
      <c r="C108" s="53">
        <v>107</v>
      </c>
      <c r="D108" s="53" t="str">
        <f t="shared" si="2"/>
        <v>2018-107</v>
      </c>
      <c r="E108" s="9" t="s">
        <v>900</v>
      </c>
      <c r="F108" s="1">
        <v>43433</v>
      </c>
      <c r="G108" s="1" t="s">
        <v>901</v>
      </c>
      <c r="H108" s="16"/>
      <c r="I108" s="16" t="s">
        <v>105</v>
      </c>
      <c r="J108" s="16" t="s">
        <v>693</v>
      </c>
      <c r="K108" s="16"/>
      <c r="L108" t="b">
        <v>0</v>
      </c>
      <c r="M108" s="36">
        <v>24.88</v>
      </c>
      <c r="N108" s="51">
        <v>1</v>
      </c>
      <c r="O108" s="29">
        <v>24.88</v>
      </c>
      <c r="P108" s="29" t="str">
        <f t="shared" si="3"/>
        <v>0%</v>
      </c>
      <c r="Q108" s="27">
        <v>0</v>
      </c>
      <c r="R108" s="31">
        <v>0</v>
      </c>
      <c r="S108" s="31">
        <v>0</v>
      </c>
      <c r="T108" s="33">
        <v>24.88</v>
      </c>
      <c r="U108" s="29">
        <v>24.88</v>
      </c>
      <c r="V108" s="35">
        <v>43511</v>
      </c>
      <c r="W108" s="27"/>
      <c r="X108" s="27">
        <v>20</v>
      </c>
      <c r="Y108" s="58">
        <v>24.88</v>
      </c>
      <c r="Z108" s="31">
        <v>4.976</v>
      </c>
      <c r="AA108" t="b">
        <v>0</v>
      </c>
    </row>
    <row r="109" spans="2:27" x14ac:dyDescent="0.25">
      <c r="B109" s="53">
        <v>2018</v>
      </c>
      <c r="C109" s="53">
        <v>108</v>
      </c>
      <c r="D109" s="53" t="str">
        <f t="shared" si="2"/>
        <v>2018-108</v>
      </c>
      <c r="E109" s="9" t="s">
        <v>913</v>
      </c>
      <c r="F109" s="1">
        <v>43437</v>
      </c>
      <c r="G109" t="s">
        <v>647</v>
      </c>
      <c r="H109" s="16"/>
      <c r="I109" s="16" t="s">
        <v>105</v>
      </c>
      <c r="J109" s="16" t="s">
        <v>703</v>
      </c>
      <c r="K109" s="16"/>
      <c r="L109" t="b">
        <v>0</v>
      </c>
      <c r="M109" s="36">
        <v>48.32</v>
      </c>
      <c r="N109" s="51">
        <v>0.39817880794701987</v>
      </c>
      <c r="O109" s="29">
        <v>22.313940397350997</v>
      </c>
      <c r="P109" s="29" t="str">
        <f t="shared" si="3"/>
        <v>gemischt%</v>
      </c>
      <c r="Q109" s="27" t="s">
        <v>14</v>
      </c>
      <c r="R109" s="31">
        <v>7.72</v>
      </c>
      <c r="S109" s="31">
        <v>3.0739403973509933</v>
      </c>
      <c r="T109" s="33">
        <v>19.240000000000002</v>
      </c>
      <c r="U109" s="29">
        <v>56.04</v>
      </c>
      <c r="V109" s="35">
        <v>43511</v>
      </c>
      <c r="W109" s="35"/>
      <c r="X109" s="27"/>
      <c r="Y109" s="58">
        <v>19.240000000000002</v>
      </c>
      <c r="Z109" s="31">
        <v>0</v>
      </c>
      <c r="AA109" t="b">
        <v>0</v>
      </c>
    </row>
    <row r="110" spans="2:27" x14ac:dyDescent="0.25">
      <c r="B110" s="53">
        <v>2018</v>
      </c>
      <c r="C110" s="53">
        <v>109</v>
      </c>
      <c r="D110" s="53" t="str">
        <f t="shared" si="2"/>
        <v>2018-109</v>
      </c>
      <c r="E110" s="9" t="s">
        <v>914</v>
      </c>
      <c r="F110" s="1">
        <v>43437</v>
      </c>
      <c r="G110" t="s">
        <v>34</v>
      </c>
      <c r="H110" s="16"/>
      <c r="I110" s="16" t="s">
        <v>105</v>
      </c>
      <c r="J110" s="16" t="s">
        <v>703</v>
      </c>
      <c r="K110" s="16"/>
      <c r="L110" t="b">
        <v>0</v>
      </c>
      <c r="M110" s="36">
        <v>15</v>
      </c>
      <c r="N110" s="51">
        <v>1</v>
      </c>
      <c r="O110" s="29">
        <v>18</v>
      </c>
      <c r="P110" s="29" t="str">
        <f t="shared" si="3"/>
        <v>20%</v>
      </c>
      <c r="Q110" s="27">
        <v>20</v>
      </c>
      <c r="R110" s="31">
        <v>3</v>
      </c>
      <c r="S110" s="31">
        <v>3</v>
      </c>
      <c r="T110" s="33">
        <v>15</v>
      </c>
      <c r="U110" s="29">
        <v>18</v>
      </c>
      <c r="V110" s="35">
        <v>43511</v>
      </c>
      <c r="W110" s="27"/>
      <c r="X110" s="27"/>
      <c r="Y110" s="58">
        <v>15</v>
      </c>
      <c r="Z110" s="31">
        <v>0</v>
      </c>
      <c r="AA110" t="b">
        <v>0</v>
      </c>
    </row>
    <row r="111" spans="2:27" x14ac:dyDescent="0.25">
      <c r="B111" s="53">
        <v>2018</v>
      </c>
      <c r="C111" s="53">
        <v>110</v>
      </c>
      <c r="D111" s="53" t="str">
        <f t="shared" si="2"/>
        <v>2018-110</v>
      </c>
      <c r="E111" s="9" t="s">
        <v>915</v>
      </c>
      <c r="F111" s="1">
        <v>43437</v>
      </c>
      <c r="G111" s="1" t="s">
        <v>986</v>
      </c>
      <c r="H111" s="16"/>
      <c r="I111" s="16" t="s">
        <v>105</v>
      </c>
      <c r="J111" s="16" t="s">
        <v>705</v>
      </c>
      <c r="K111" s="16" t="s">
        <v>985</v>
      </c>
      <c r="L111" t="b">
        <v>0</v>
      </c>
      <c r="M111" s="36">
        <v>149.16999999999999</v>
      </c>
      <c r="N111" s="51">
        <v>0.27320378419841473</v>
      </c>
      <c r="O111" s="29">
        <v>48.904570186653032</v>
      </c>
      <c r="P111" s="29" t="str">
        <f t="shared" si="3"/>
        <v>20%</v>
      </c>
      <c r="Q111" s="27">
        <v>20</v>
      </c>
      <c r="R111" s="31">
        <v>29.833999999999996</v>
      </c>
      <c r="S111" s="31">
        <v>8.1507616977755042</v>
      </c>
      <c r="T111" s="33">
        <v>40.753808488877524</v>
      </c>
      <c r="U111" s="29">
        <v>179.00399999999999</v>
      </c>
      <c r="V111" s="35">
        <v>43511</v>
      </c>
      <c r="W111" s="27"/>
      <c r="X111" s="27"/>
      <c r="Y111" s="58">
        <v>40.753808488877524</v>
      </c>
      <c r="Z111" s="31">
        <v>0</v>
      </c>
      <c r="AA111" t="b">
        <v>0</v>
      </c>
    </row>
    <row r="112" spans="2:27" x14ac:dyDescent="0.25">
      <c r="B112" s="53">
        <v>2018</v>
      </c>
      <c r="C112" s="53">
        <v>111</v>
      </c>
      <c r="D112" s="53" t="str">
        <f t="shared" si="2"/>
        <v>2018-111</v>
      </c>
      <c r="E112" s="9" t="s">
        <v>916</v>
      </c>
      <c r="F112" s="1">
        <v>43451</v>
      </c>
      <c r="G112" s="1" t="s">
        <v>917</v>
      </c>
      <c r="H112" s="16"/>
      <c r="I112" s="16" t="s">
        <v>105</v>
      </c>
      <c r="J112" s="16" t="s">
        <v>701</v>
      </c>
      <c r="K112" s="16"/>
      <c r="L112" t="b">
        <v>0</v>
      </c>
      <c r="M112" s="36">
        <v>31.93</v>
      </c>
      <c r="N112" s="51">
        <v>1</v>
      </c>
      <c r="O112" s="29">
        <v>38.316000000000003</v>
      </c>
      <c r="P112" s="29" t="str">
        <f t="shared" si="3"/>
        <v>20%</v>
      </c>
      <c r="Q112" s="27">
        <v>20</v>
      </c>
      <c r="R112" s="31">
        <v>6.3860000000000001</v>
      </c>
      <c r="S112" s="31">
        <v>6.3860000000000001</v>
      </c>
      <c r="T112" s="33">
        <v>31.93</v>
      </c>
      <c r="U112" s="29">
        <v>38.316000000000003</v>
      </c>
      <c r="V112" s="35">
        <v>43511</v>
      </c>
      <c r="W112" s="27"/>
      <c r="X112" s="27"/>
      <c r="Y112" s="58">
        <v>31.93</v>
      </c>
      <c r="Z112" s="31">
        <v>0</v>
      </c>
      <c r="AA112" t="b">
        <v>0</v>
      </c>
    </row>
    <row r="113" spans="2:27" x14ac:dyDescent="0.25">
      <c r="B113" s="53">
        <v>2018</v>
      </c>
      <c r="C113" s="53">
        <v>112</v>
      </c>
      <c r="D113" s="53" t="str">
        <f t="shared" si="2"/>
        <v>2018-112</v>
      </c>
      <c r="E113" s="9" t="s">
        <v>918</v>
      </c>
      <c r="F113" s="1">
        <v>43451</v>
      </c>
      <c r="G113" s="1" t="s">
        <v>919</v>
      </c>
      <c r="H113" s="16"/>
      <c r="I113" s="16" t="s">
        <v>105</v>
      </c>
      <c r="J113" s="16" t="s">
        <v>339</v>
      </c>
      <c r="K113" s="16"/>
      <c r="L113" t="b">
        <v>0</v>
      </c>
      <c r="M113" s="36">
        <v>23.25</v>
      </c>
      <c r="N113" s="51">
        <v>1</v>
      </c>
      <c r="O113" s="29">
        <v>27.9</v>
      </c>
      <c r="P113" s="29" t="str">
        <f t="shared" si="3"/>
        <v>20%</v>
      </c>
      <c r="Q113" s="27">
        <v>20</v>
      </c>
      <c r="R113" s="31">
        <v>4.6500000000000004</v>
      </c>
      <c r="S113" s="31">
        <v>4.6500000000000004</v>
      </c>
      <c r="T113" s="33">
        <v>23.25</v>
      </c>
      <c r="U113" s="29">
        <v>27.9</v>
      </c>
      <c r="V113" s="35">
        <v>43511</v>
      </c>
      <c r="W113" s="27"/>
      <c r="X113" s="27"/>
      <c r="Y113" s="58">
        <v>23.25</v>
      </c>
      <c r="Z113" s="31">
        <v>0</v>
      </c>
      <c r="AA113" t="b">
        <v>0</v>
      </c>
    </row>
    <row r="114" spans="2:27" x14ac:dyDescent="0.25">
      <c r="B114" s="53">
        <v>2018</v>
      </c>
      <c r="C114" s="53">
        <v>113</v>
      </c>
      <c r="D114" s="53" t="str">
        <f t="shared" si="2"/>
        <v>2018-113</v>
      </c>
      <c r="E114" s="9" t="s">
        <v>921</v>
      </c>
      <c r="F114" s="1">
        <v>43451</v>
      </c>
      <c r="G114" s="1" t="s">
        <v>920</v>
      </c>
      <c r="H114" s="16"/>
      <c r="I114" s="16" t="s">
        <v>105</v>
      </c>
      <c r="J114" s="16" t="s">
        <v>705</v>
      </c>
      <c r="K114" s="16"/>
      <c r="L114" t="b">
        <v>0</v>
      </c>
      <c r="M114" s="36">
        <v>78.33</v>
      </c>
      <c r="N114" s="51">
        <v>0.27320378419841473</v>
      </c>
      <c r="O114" s="29">
        <v>25.680062899514191</v>
      </c>
      <c r="P114" s="29" t="str">
        <f t="shared" si="3"/>
        <v>20%</v>
      </c>
      <c r="Q114" s="27">
        <v>20</v>
      </c>
      <c r="R114" s="31">
        <v>15.665999999999999</v>
      </c>
      <c r="S114" s="31">
        <v>4.2800104832523651</v>
      </c>
      <c r="T114" s="33">
        <v>21.400052416261826</v>
      </c>
      <c r="U114" s="29">
        <v>93.995999999999995</v>
      </c>
      <c r="V114" s="35">
        <v>43511</v>
      </c>
      <c r="W114" s="27"/>
      <c r="X114" s="27"/>
      <c r="Y114" s="58">
        <v>21.400052416261826</v>
      </c>
      <c r="Z114" s="31">
        <v>0</v>
      </c>
      <c r="AA114" t="b">
        <v>0</v>
      </c>
    </row>
    <row r="115" spans="2:27" x14ac:dyDescent="0.25">
      <c r="B115" s="53">
        <v>2018</v>
      </c>
      <c r="C115" s="53">
        <v>114</v>
      </c>
      <c r="D115" s="53" t="str">
        <f t="shared" si="2"/>
        <v>2018-114</v>
      </c>
      <c r="E115" s="9" t="s">
        <v>650</v>
      </c>
      <c r="F115" s="1">
        <v>43461</v>
      </c>
      <c r="G115" s="1" t="s">
        <v>909</v>
      </c>
      <c r="H115" s="16"/>
      <c r="I115" s="16" t="s">
        <v>105</v>
      </c>
      <c r="J115" s="16" t="s">
        <v>691</v>
      </c>
      <c r="K115" s="16"/>
      <c r="L115" t="b">
        <v>0</v>
      </c>
      <c r="M115" s="36">
        <v>763.44</v>
      </c>
      <c r="N115" s="51">
        <v>0.27320378419841473</v>
      </c>
      <c r="O115" s="29">
        <v>229.43216670928155</v>
      </c>
      <c r="P115" s="29" t="str">
        <f t="shared" si="3"/>
        <v>10%</v>
      </c>
      <c r="Q115" s="27">
        <v>10</v>
      </c>
      <c r="R115" s="31">
        <v>76.344000000000008</v>
      </c>
      <c r="S115" s="31">
        <v>20.857469700843776</v>
      </c>
      <c r="T115" s="33">
        <v>208.57469700843777</v>
      </c>
      <c r="U115" s="29">
        <v>839.78400000000011</v>
      </c>
      <c r="V115" s="35">
        <v>43511</v>
      </c>
      <c r="W115" s="27"/>
      <c r="X115" s="27"/>
      <c r="Y115" s="58">
        <v>208.57469700843777</v>
      </c>
      <c r="Z115" s="31">
        <v>0</v>
      </c>
      <c r="AA115" t="b">
        <v>0</v>
      </c>
    </row>
  </sheetData>
  <conditionalFormatting sqref="F14:F15 F19:F33 F35 F37 F39:F41 F43:F76 F78:F85 F89:F92 F94:F97 F101:F102 F104:F115 F9:F12 F3:F7">
    <cfRule type="expression" dxfId="2027" priority="283">
      <formula>ISBLANK($G3)</formula>
    </cfRule>
  </conditionalFormatting>
  <conditionalFormatting sqref="F2">
    <cfRule type="expression" dxfId="2026" priority="282">
      <formula>ISBLANK($G2)</formula>
    </cfRule>
  </conditionalFormatting>
  <conditionalFormatting sqref="M14 M21 M35 M42:M45 M48:M49 M51:M54 M58:M59 M61 M73 M78:M79 M82 M90 M92 M113 M3:M5">
    <cfRule type="expression" dxfId="2025" priority="281">
      <formula>"$G$G&gt;400"</formula>
    </cfRule>
  </conditionalFormatting>
  <conditionalFormatting sqref="V2 V48:V49 V51:V53 V110:V113">
    <cfRule type="expression" dxfId="2024" priority="280">
      <formula>AND(AND($Z2&lt;TODAY(),$Z2&lt;&gt;""),$AA2="")</formula>
    </cfRule>
  </conditionalFormatting>
  <conditionalFormatting sqref="M2">
    <cfRule type="expression" dxfId="2023" priority="279">
      <formula>"$G$G&gt;400"</formula>
    </cfRule>
  </conditionalFormatting>
  <conditionalFormatting sqref="V3">
    <cfRule type="expression" dxfId="2022" priority="278">
      <formula>AND(AND($Z3&lt;TODAY(),$Z3&lt;&gt;""),$AA3="")</formula>
    </cfRule>
  </conditionalFormatting>
  <conditionalFormatting sqref="V4">
    <cfRule type="expression" dxfId="2021" priority="277">
      <formula>AND(AND($Z4&lt;TODAY(),$Z4&lt;&gt;""),$AA4="")</formula>
    </cfRule>
  </conditionalFormatting>
  <conditionalFormatting sqref="V5">
    <cfRule type="expression" dxfId="2020" priority="276">
      <formula>AND(AND($Z5&lt;TODAY(),$Z5&lt;&gt;""),$AA5="")</formula>
    </cfRule>
  </conditionalFormatting>
  <conditionalFormatting sqref="F8">
    <cfRule type="expression" dxfId="2019" priority="275">
      <formula>ISBLANK($G8)</formula>
    </cfRule>
  </conditionalFormatting>
  <conditionalFormatting sqref="V6">
    <cfRule type="expression" dxfId="2018" priority="274">
      <formula>AND(AND($Z6&lt;TODAY(),$Z6&lt;&gt;""),$AA6="")</formula>
    </cfRule>
  </conditionalFormatting>
  <conditionalFormatting sqref="M6">
    <cfRule type="expression" dxfId="2017" priority="273">
      <formula>"$G$G&gt;400"</formula>
    </cfRule>
  </conditionalFormatting>
  <conditionalFormatting sqref="M7">
    <cfRule type="expression" dxfId="2016" priority="272">
      <formula>"$G$G&gt;400"</formula>
    </cfRule>
  </conditionalFormatting>
  <conditionalFormatting sqref="V7">
    <cfRule type="expression" dxfId="2015" priority="271">
      <formula>AND(AND($Z7&lt;TODAY(),$Z7&lt;&gt;""),$AA7="")</formula>
    </cfRule>
  </conditionalFormatting>
  <conditionalFormatting sqref="V8">
    <cfRule type="expression" dxfId="2014" priority="270">
      <formula>AND(AND($Z8&lt;TODAY(),$Z8&lt;&gt;""),$AA8="")</formula>
    </cfRule>
  </conditionalFormatting>
  <conditionalFormatting sqref="V9">
    <cfRule type="expression" dxfId="2013" priority="269">
      <formula>AND(AND($Z9&lt;TODAY(),$Z9&lt;&gt;""),$AA9="")</formula>
    </cfRule>
  </conditionalFormatting>
  <conditionalFormatting sqref="V10">
    <cfRule type="expression" dxfId="2012" priority="268">
      <formula>AND(AND($Z10&lt;TODAY(),$Z10&lt;&gt;""),$AA10="")</formula>
    </cfRule>
  </conditionalFormatting>
  <conditionalFormatting sqref="M10">
    <cfRule type="expression" dxfId="2011" priority="267">
      <formula>"$G$G&gt;400"</formula>
    </cfRule>
  </conditionalFormatting>
  <conditionalFormatting sqref="M8">
    <cfRule type="expression" dxfId="2010" priority="266">
      <formula>"$G$G&gt;400"</formula>
    </cfRule>
  </conditionalFormatting>
  <conditionalFormatting sqref="M8">
    <cfRule type="expression" dxfId="2009" priority="265">
      <formula>"$G$G&gt;400"</formula>
    </cfRule>
  </conditionalFormatting>
  <conditionalFormatting sqref="M9">
    <cfRule type="expression" dxfId="2008" priority="264">
      <formula>"$G$G&gt;400"</formula>
    </cfRule>
  </conditionalFormatting>
  <conditionalFormatting sqref="F16">
    <cfRule type="expression" dxfId="2007" priority="263">
      <formula>ISBLANK($G16)</formula>
    </cfRule>
  </conditionalFormatting>
  <conditionalFormatting sqref="F17">
    <cfRule type="expression" dxfId="2006" priority="262">
      <formula>ISBLANK($G17)</formula>
    </cfRule>
  </conditionalFormatting>
  <conditionalFormatting sqref="F34">
    <cfRule type="expression" dxfId="2005" priority="261">
      <formula>ISBLANK($G34)</formula>
    </cfRule>
  </conditionalFormatting>
  <conditionalFormatting sqref="F36">
    <cfRule type="expression" dxfId="2004" priority="260">
      <formula>ISBLANK($G36)</formula>
    </cfRule>
  </conditionalFormatting>
  <conditionalFormatting sqref="F38">
    <cfRule type="expression" dxfId="2003" priority="259">
      <formula>ISBLANK($G38)</formula>
    </cfRule>
  </conditionalFormatting>
  <conditionalFormatting sqref="F42">
    <cfRule type="expression" dxfId="2002" priority="258">
      <formula>ISBLANK($G42)</formula>
    </cfRule>
  </conditionalFormatting>
  <conditionalFormatting sqref="F77">
    <cfRule type="expression" dxfId="2001" priority="257">
      <formula>ISBLANK($G77)</formula>
    </cfRule>
  </conditionalFormatting>
  <conditionalFormatting sqref="F88">
    <cfRule type="expression" dxfId="2000" priority="256">
      <formula>ISBLANK($G88)</formula>
    </cfRule>
  </conditionalFormatting>
  <conditionalFormatting sqref="F86">
    <cfRule type="expression" dxfId="1999" priority="255">
      <formula>ISBLANK($G86)</formula>
    </cfRule>
  </conditionalFormatting>
  <conditionalFormatting sqref="F87">
    <cfRule type="expression" dxfId="1998" priority="254">
      <formula>ISBLANK($G87)</formula>
    </cfRule>
  </conditionalFormatting>
  <conditionalFormatting sqref="F93">
    <cfRule type="expression" dxfId="1997" priority="253">
      <formula>ISBLANK($G93)</formula>
    </cfRule>
  </conditionalFormatting>
  <conditionalFormatting sqref="F98">
    <cfRule type="expression" dxfId="1996" priority="252">
      <formula>ISBLANK($G98)</formula>
    </cfRule>
  </conditionalFormatting>
  <conditionalFormatting sqref="F100">
    <cfRule type="expression" dxfId="1995" priority="251">
      <formula>ISBLANK($G100)</formula>
    </cfRule>
  </conditionalFormatting>
  <conditionalFormatting sqref="F99">
    <cfRule type="expression" dxfId="1994" priority="250">
      <formula>ISBLANK($G99)</formula>
    </cfRule>
  </conditionalFormatting>
  <conditionalFormatting sqref="F101">
    <cfRule type="expression" dxfId="1993" priority="249">
      <formula>ISBLANK($G101)</formula>
    </cfRule>
  </conditionalFormatting>
  <conditionalFormatting sqref="F100">
    <cfRule type="expression" dxfId="1992" priority="248">
      <formula>ISBLANK($G100)</formula>
    </cfRule>
  </conditionalFormatting>
  <conditionalFormatting sqref="F101">
    <cfRule type="expression" dxfId="1991" priority="247">
      <formula>ISBLANK($G101)</formula>
    </cfRule>
  </conditionalFormatting>
  <conditionalFormatting sqref="F100">
    <cfRule type="expression" dxfId="1990" priority="246">
      <formula>ISBLANK($G100)</formula>
    </cfRule>
  </conditionalFormatting>
  <conditionalFormatting sqref="F102">
    <cfRule type="expression" dxfId="1989" priority="245">
      <formula>ISBLANK($G102)</formula>
    </cfRule>
  </conditionalFormatting>
  <conditionalFormatting sqref="F101">
    <cfRule type="expression" dxfId="1988" priority="244">
      <formula>ISBLANK($G101)</formula>
    </cfRule>
  </conditionalFormatting>
  <conditionalFormatting sqref="V11">
    <cfRule type="expression" dxfId="1987" priority="243">
      <formula>AND(AND($Z11&lt;TODAY(),$Z11&lt;&gt;""),$AA11="")</formula>
    </cfRule>
  </conditionalFormatting>
  <conditionalFormatting sqref="M11">
    <cfRule type="expression" dxfId="1986" priority="242">
      <formula>"$G$G&gt;400"</formula>
    </cfRule>
  </conditionalFormatting>
  <conditionalFormatting sqref="M12">
    <cfRule type="expression" dxfId="1985" priority="241">
      <formula>"$G$G&gt;400"</formula>
    </cfRule>
  </conditionalFormatting>
  <conditionalFormatting sqref="V12">
    <cfRule type="expression" dxfId="1984" priority="240">
      <formula>AND(AND($Z12&lt;TODAY(),$Z12&lt;&gt;""),$AA12="")</formula>
    </cfRule>
  </conditionalFormatting>
  <conditionalFormatting sqref="V13">
    <cfRule type="expression" dxfId="1983" priority="239">
      <formula>AND(AND($Z13&lt;TODAY(),$Z13&lt;&gt;""),$AA13="")</formula>
    </cfRule>
  </conditionalFormatting>
  <conditionalFormatting sqref="M13">
    <cfRule type="expression" dxfId="1982" priority="238">
      <formula>"$G$G&gt;400"</formula>
    </cfRule>
  </conditionalFormatting>
  <conditionalFormatting sqref="V15">
    <cfRule type="expression" dxfId="1981" priority="237">
      <formula>AND(AND($Z15&lt;TODAY(),$Z15&lt;&gt;""),$AA15="")</formula>
    </cfRule>
  </conditionalFormatting>
  <conditionalFormatting sqref="M15">
    <cfRule type="expression" dxfId="1980" priority="236">
      <formula>"$G$G&gt;400"</formula>
    </cfRule>
  </conditionalFormatting>
  <conditionalFormatting sqref="M15">
    <cfRule type="expression" dxfId="1979" priority="235">
      <formula>"$G$G&gt;400"</formula>
    </cfRule>
  </conditionalFormatting>
  <conditionalFormatting sqref="M16">
    <cfRule type="expression" dxfId="1978" priority="234">
      <formula>"$G$G&gt;400"</formula>
    </cfRule>
  </conditionalFormatting>
  <conditionalFormatting sqref="V16">
    <cfRule type="expression" dxfId="1977" priority="233">
      <formula>AND(AND($Z16&lt;TODAY(),$Z16&lt;&gt;""),$AA16="")</formula>
    </cfRule>
  </conditionalFormatting>
  <conditionalFormatting sqref="V17">
    <cfRule type="expression" dxfId="1976" priority="232">
      <formula>AND(AND($Z17&lt;TODAY(),$Z17&lt;&gt;""),$AA17="")</formula>
    </cfRule>
  </conditionalFormatting>
  <conditionalFormatting sqref="M17">
    <cfRule type="expression" dxfId="1975" priority="231">
      <formula>"$G$G&gt;400"</formula>
    </cfRule>
  </conditionalFormatting>
  <conditionalFormatting sqref="V18">
    <cfRule type="expression" dxfId="1974" priority="230">
      <formula>AND(AND($Z18&lt;TODAY(),$Z18&lt;&gt;""),$AA18="")</formula>
    </cfRule>
  </conditionalFormatting>
  <conditionalFormatting sqref="M18">
    <cfRule type="expression" dxfId="1973" priority="229">
      <formula>"$G$G&gt;400"</formula>
    </cfRule>
  </conditionalFormatting>
  <conditionalFormatting sqref="V19">
    <cfRule type="expression" dxfId="1972" priority="228">
      <formula>AND(AND($Z19&lt;TODAY(),$Z19&lt;&gt;""),$AA19="")</formula>
    </cfRule>
  </conditionalFormatting>
  <conditionalFormatting sqref="V20">
    <cfRule type="expression" dxfId="1971" priority="227">
      <formula>AND(AND($Z20&lt;TODAY(),$Z20&lt;&gt;""),$AA20="")</formula>
    </cfRule>
  </conditionalFormatting>
  <conditionalFormatting sqref="M20">
    <cfRule type="expression" dxfId="1970" priority="226">
      <formula>"$G$G&gt;400"</formula>
    </cfRule>
  </conditionalFormatting>
  <conditionalFormatting sqref="M20">
    <cfRule type="expression" dxfId="1969" priority="225">
      <formula>"$G$G&gt;400"</formula>
    </cfRule>
  </conditionalFormatting>
  <conditionalFormatting sqref="V21">
    <cfRule type="expression" dxfId="1968" priority="224">
      <formula>AND(AND($Z21&lt;TODAY(),$Z21&lt;&gt;""),$AA21="")</formula>
    </cfRule>
  </conditionalFormatting>
  <conditionalFormatting sqref="V22">
    <cfRule type="expression" dxfId="1967" priority="223">
      <formula>AND(AND($Z22&lt;TODAY(),$Z22&lt;&gt;""),$AA22="")</formula>
    </cfRule>
  </conditionalFormatting>
  <conditionalFormatting sqref="M22">
    <cfRule type="expression" dxfId="1966" priority="222">
      <formula>"$G$G&gt;400"</formula>
    </cfRule>
  </conditionalFormatting>
  <conditionalFormatting sqref="M23">
    <cfRule type="expression" dxfId="1965" priority="221">
      <formula>"$G$G&gt;400"</formula>
    </cfRule>
  </conditionalFormatting>
  <conditionalFormatting sqref="V23">
    <cfRule type="expression" dxfId="1964" priority="220">
      <formula>AND(AND($Z23&lt;TODAY(),$Z23&lt;&gt;""),$AA23="")</formula>
    </cfRule>
  </conditionalFormatting>
  <conditionalFormatting sqref="V24">
    <cfRule type="expression" dxfId="1963" priority="219">
      <formula>AND(AND($Z24&lt;TODAY(),$Z24&lt;&gt;""),$AA24="")</formula>
    </cfRule>
  </conditionalFormatting>
  <conditionalFormatting sqref="M24">
    <cfRule type="expression" dxfId="1962" priority="218">
      <formula>"$G$G&gt;400"</formula>
    </cfRule>
  </conditionalFormatting>
  <conditionalFormatting sqref="M25 K25">
    <cfRule type="expression" dxfId="1961" priority="217">
      <formula>"$G$G&gt;400"</formula>
    </cfRule>
  </conditionalFormatting>
  <conditionalFormatting sqref="V14">
    <cfRule type="expression" dxfId="1960" priority="216">
      <formula>AND(AND($Z14&lt;TODAY(),$Z14&lt;&gt;""),$AA14="")</formula>
    </cfRule>
  </conditionalFormatting>
  <conditionalFormatting sqref="V26">
    <cfRule type="expression" dxfId="1959" priority="215">
      <formula>AND(AND($Z26&lt;TODAY(),$Z26&lt;&gt;""),$AA26="")</formula>
    </cfRule>
  </conditionalFormatting>
  <conditionalFormatting sqref="M26">
    <cfRule type="expression" dxfId="1958" priority="214">
      <formula>"$G$G&gt;400"</formula>
    </cfRule>
  </conditionalFormatting>
  <conditionalFormatting sqref="M26">
    <cfRule type="expression" dxfId="1957" priority="213">
      <formula>"$G$G&gt;400"</formula>
    </cfRule>
  </conditionalFormatting>
  <conditionalFormatting sqref="M27">
    <cfRule type="expression" dxfId="1956" priority="212">
      <formula>"$G$G&gt;400"</formula>
    </cfRule>
  </conditionalFormatting>
  <conditionalFormatting sqref="V27">
    <cfRule type="expression" dxfId="1955" priority="211">
      <formula>AND(AND($Z27&lt;TODAY(),$Z27&lt;&gt;""),$AA27="")</formula>
    </cfRule>
  </conditionalFormatting>
  <conditionalFormatting sqref="V28">
    <cfRule type="expression" dxfId="1954" priority="210">
      <formula>AND(AND($Z28&lt;TODAY(),$Z28&lt;&gt;""),$AA28="")</formula>
    </cfRule>
  </conditionalFormatting>
  <conditionalFormatting sqref="M28">
    <cfRule type="expression" dxfId="1953" priority="209">
      <formula>"$G$G&gt;400"</formula>
    </cfRule>
  </conditionalFormatting>
  <conditionalFormatting sqref="V29">
    <cfRule type="expression" dxfId="1952" priority="208">
      <formula>AND(AND($Z29&lt;TODAY(),$Z29&lt;&gt;""),$AA29="")</formula>
    </cfRule>
  </conditionalFormatting>
  <conditionalFormatting sqref="M29">
    <cfRule type="expression" dxfId="1951" priority="207">
      <formula>"$G$G&gt;400"</formula>
    </cfRule>
  </conditionalFormatting>
  <conditionalFormatting sqref="V30">
    <cfRule type="expression" dxfId="1950" priority="206">
      <formula>AND(AND($Z30&lt;TODAY(),$Z30&lt;&gt;""),$AA30="")</formula>
    </cfRule>
  </conditionalFormatting>
  <conditionalFormatting sqref="M30">
    <cfRule type="expression" dxfId="1949" priority="205">
      <formula>"$G$G&gt;400"</formula>
    </cfRule>
  </conditionalFormatting>
  <conditionalFormatting sqref="V31">
    <cfRule type="expression" dxfId="1948" priority="204">
      <formula>AND(AND($Z31&lt;TODAY(),$Z31&lt;&gt;""),$AA31="")</formula>
    </cfRule>
  </conditionalFormatting>
  <conditionalFormatting sqref="M31">
    <cfRule type="expression" dxfId="1947" priority="203">
      <formula>"$G$G&gt;400"</formula>
    </cfRule>
  </conditionalFormatting>
  <conditionalFormatting sqref="M31">
    <cfRule type="expression" dxfId="1946" priority="202">
      <formula>"$G$G&gt;400"</formula>
    </cfRule>
  </conditionalFormatting>
  <conditionalFormatting sqref="M32 K32">
    <cfRule type="expression" dxfId="1945" priority="201">
      <formula>"$G$G&gt;400"</formula>
    </cfRule>
  </conditionalFormatting>
  <conditionalFormatting sqref="V32">
    <cfRule type="expression" dxfId="1944" priority="200">
      <formula>AND(AND($Z32&lt;TODAY(),$Z32&lt;&gt;""),$AA32="")</formula>
    </cfRule>
  </conditionalFormatting>
  <conditionalFormatting sqref="V25">
    <cfRule type="expression" dxfId="1943" priority="199">
      <formula>AND(AND($Z25&lt;TODAY(),$Z25&lt;&gt;""),$AA25="")</formula>
    </cfRule>
  </conditionalFormatting>
  <conditionalFormatting sqref="M33">
    <cfRule type="expression" dxfId="1942" priority="198">
      <formula>"$G$G&gt;400"</formula>
    </cfRule>
  </conditionalFormatting>
  <conditionalFormatting sqref="V33">
    <cfRule type="expression" dxfId="1941" priority="197">
      <formula>AND(AND($Z33&lt;TODAY(),$Z33&lt;&gt;""),$AA33="")</formula>
    </cfRule>
  </conditionalFormatting>
  <conditionalFormatting sqref="V34">
    <cfRule type="expression" dxfId="1940" priority="196">
      <formula>AND(AND($Z34&lt;TODAY(),$Z34&lt;&gt;""),$AA34="")</formula>
    </cfRule>
  </conditionalFormatting>
  <conditionalFormatting sqref="V35">
    <cfRule type="expression" dxfId="1939" priority="195">
      <formula>AND(AND($Z35&lt;TODAY(),$Z35&lt;&gt;""),$AA35="")</formula>
    </cfRule>
  </conditionalFormatting>
  <conditionalFormatting sqref="V36">
    <cfRule type="expression" dxfId="1938" priority="194">
      <formula>AND(AND($Z36&lt;TODAY(),$Z36&lt;&gt;""),$AA36="")</formula>
    </cfRule>
  </conditionalFormatting>
  <conditionalFormatting sqref="M37 K37">
    <cfRule type="expression" dxfId="1937" priority="193">
      <formula>"$G$G&gt;400"</formula>
    </cfRule>
  </conditionalFormatting>
  <conditionalFormatting sqref="V37">
    <cfRule type="expression" dxfId="1936" priority="192">
      <formula>AND(AND($Z37&lt;TODAY(),$Z37&lt;&gt;""),$AA37="")</formula>
    </cfRule>
  </conditionalFormatting>
  <conditionalFormatting sqref="M38">
    <cfRule type="expression" dxfId="1935" priority="191">
      <formula>"$G$G&gt;400"</formula>
    </cfRule>
  </conditionalFormatting>
  <conditionalFormatting sqref="V38">
    <cfRule type="expression" dxfId="1934" priority="190">
      <formula>AND(AND($Z38&lt;TODAY(),$Z38&lt;&gt;""),$AA38="")</formula>
    </cfRule>
  </conditionalFormatting>
  <conditionalFormatting sqref="K39">
    <cfRule type="expression" dxfId="1933" priority="189">
      <formula>"$G$G&gt;400"</formula>
    </cfRule>
  </conditionalFormatting>
  <conditionalFormatting sqref="M39">
    <cfRule type="expression" dxfId="1932" priority="188">
      <formula>"$G$G&gt;400"</formula>
    </cfRule>
  </conditionalFormatting>
  <conditionalFormatting sqref="V39">
    <cfRule type="expression" dxfId="1931" priority="187">
      <formula>AND(AND($Z39&lt;TODAY(),$Z39&lt;&gt;""),$AA39="")</formula>
    </cfRule>
  </conditionalFormatting>
  <conditionalFormatting sqref="M40">
    <cfRule type="expression" dxfId="1930" priority="186">
      <formula>"$G$G&gt;400"</formula>
    </cfRule>
  </conditionalFormatting>
  <conditionalFormatting sqref="V40">
    <cfRule type="expression" dxfId="1929" priority="185">
      <formula>AND(AND($Z40&lt;TODAY(),$Z40&lt;&gt;""),$AA40="")</formula>
    </cfRule>
  </conditionalFormatting>
  <conditionalFormatting sqref="M34">
    <cfRule type="expression" dxfId="1928" priority="184">
      <formula>"$G$G&gt;400"</formula>
    </cfRule>
  </conditionalFormatting>
  <conditionalFormatting sqref="M19">
    <cfRule type="expression" dxfId="1927" priority="183">
      <formula>"$G$G&gt;400"</formula>
    </cfRule>
  </conditionalFormatting>
  <conditionalFormatting sqref="V41">
    <cfRule type="expression" dxfId="1926" priority="182">
      <formula>AND(AND($Z41&lt;TODAY(),$Z41&lt;&gt;""),$AA41="")</formula>
    </cfRule>
  </conditionalFormatting>
  <conditionalFormatting sqref="M41">
    <cfRule type="expression" dxfId="1925" priority="181">
      <formula>"$G$G&gt;400"</formula>
    </cfRule>
  </conditionalFormatting>
  <conditionalFormatting sqref="M36">
    <cfRule type="expression" dxfId="1924" priority="180">
      <formula>"$G$G&gt;400"</formula>
    </cfRule>
  </conditionalFormatting>
  <conditionalFormatting sqref="V52">
    <cfRule type="expression" dxfId="1923" priority="179">
      <formula>AND(AND($Z52&lt;TODAY(),$Z52&lt;&gt;""),$AA52="")</formula>
    </cfRule>
  </conditionalFormatting>
  <conditionalFormatting sqref="V42:V45">
    <cfRule type="expression" dxfId="1922" priority="178">
      <formula>AND(AND($Z42&lt;TODAY(),$Z42&lt;&gt;""),$AA42="")</formula>
    </cfRule>
  </conditionalFormatting>
  <conditionalFormatting sqref="V51">
    <cfRule type="expression" dxfId="1921" priority="177">
      <formula>AND(AND($Z51&lt;TODAY(),$Z51&lt;&gt;""),$AA51="")</formula>
    </cfRule>
  </conditionalFormatting>
  <conditionalFormatting sqref="V53">
    <cfRule type="expression" dxfId="1920" priority="176">
      <formula>AND(AND($Z53&lt;TODAY(),$Z53&lt;&gt;""),$AA53="")</formula>
    </cfRule>
  </conditionalFormatting>
  <conditionalFormatting sqref="V52">
    <cfRule type="expression" dxfId="1919" priority="175">
      <formula>AND(AND($Z52&lt;TODAY(),$Z52&lt;&gt;""),$AA52="")</formula>
    </cfRule>
  </conditionalFormatting>
  <conditionalFormatting sqref="M46">
    <cfRule type="expression" dxfId="1918" priority="174">
      <formula>"$G$G&gt;400"</formula>
    </cfRule>
  </conditionalFormatting>
  <conditionalFormatting sqref="V46">
    <cfRule type="expression" dxfId="1917" priority="173">
      <formula>AND(AND($Z46&lt;TODAY(),$Z46&lt;&gt;""),$AA46="")</formula>
    </cfRule>
  </conditionalFormatting>
  <conditionalFormatting sqref="V47">
    <cfRule type="expression" dxfId="1916" priority="172">
      <formula>AND(AND($Z47&lt;TODAY(),$Z47&lt;&gt;""),$AA47="")</formula>
    </cfRule>
  </conditionalFormatting>
  <conditionalFormatting sqref="M47">
    <cfRule type="expression" dxfId="1915" priority="171">
      <formula>"$G$G&gt;400"</formula>
    </cfRule>
  </conditionalFormatting>
  <conditionalFormatting sqref="V53">
    <cfRule type="expression" dxfId="1914" priority="170">
      <formula>AND(AND($Z53&lt;TODAY(),$Z53&lt;&gt;""),$AA53="")</formula>
    </cfRule>
  </conditionalFormatting>
  <conditionalFormatting sqref="V52">
    <cfRule type="expression" dxfId="1913" priority="169">
      <formula>AND(AND($Z52&lt;TODAY(),$Z52&lt;&gt;""),$AA52="")</formula>
    </cfRule>
  </conditionalFormatting>
  <conditionalFormatting sqref="V53">
    <cfRule type="expression" dxfId="1912" priority="168">
      <formula>AND(AND($Z53&lt;TODAY(),$Z53&lt;&gt;""),$AA53="")</formula>
    </cfRule>
  </conditionalFormatting>
  <conditionalFormatting sqref="V50">
    <cfRule type="expression" dxfId="1911" priority="167">
      <formula>AND(AND($Z50&lt;TODAY(),$Z50&lt;&gt;""),$AA50="")</formula>
    </cfRule>
  </conditionalFormatting>
  <conditionalFormatting sqref="M50">
    <cfRule type="expression" dxfId="1910" priority="166">
      <formula>"$G$G&gt;400"</formula>
    </cfRule>
  </conditionalFormatting>
  <conditionalFormatting sqref="M50">
    <cfRule type="expression" dxfId="1909" priority="165">
      <formula>"$G$G&gt;400"</formula>
    </cfRule>
  </conditionalFormatting>
  <conditionalFormatting sqref="V53">
    <cfRule type="expression" dxfId="1908" priority="164">
      <formula>AND(AND($Z53&lt;TODAY(),$Z53&lt;&gt;""),$AA53="")</formula>
    </cfRule>
  </conditionalFormatting>
  <conditionalFormatting sqref="V52">
    <cfRule type="expression" dxfId="1907" priority="163">
      <formula>AND(AND($Z52&lt;TODAY(),$Z52&lt;&gt;""),$AA52="")</formula>
    </cfRule>
  </conditionalFormatting>
  <conditionalFormatting sqref="V53">
    <cfRule type="expression" dxfId="1906" priority="162">
      <formula>AND(AND($Z53&lt;TODAY(),$Z53&lt;&gt;""),$AA53="")</formula>
    </cfRule>
  </conditionalFormatting>
  <conditionalFormatting sqref="V53">
    <cfRule type="expression" dxfId="1905" priority="161">
      <formula>AND(AND($Z53&lt;TODAY(),$Z53&lt;&gt;""),$AA53="")</formula>
    </cfRule>
  </conditionalFormatting>
  <conditionalFormatting sqref="V53">
    <cfRule type="expression" dxfId="1904" priority="160">
      <formula>AND(AND($Z53&lt;TODAY(),$Z53&lt;&gt;""),$AA53="")</formula>
    </cfRule>
  </conditionalFormatting>
  <conditionalFormatting sqref="V53">
    <cfRule type="expression" dxfId="1903" priority="159">
      <formula>AND(AND($Z53&lt;TODAY(),$Z53&lt;&gt;""),$AA53="")</formula>
    </cfRule>
  </conditionalFormatting>
  <conditionalFormatting sqref="V53">
    <cfRule type="expression" dxfId="1902" priority="158">
      <formula>AND(AND($Z53&lt;TODAY(),$Z53&lt;&gt;""),$AA53="")</formula>
    </cfRule>
  </conditionalFormatting>
  <conditionalFormatting sqref="V53">
    <cfRule type="expression" dxfId="1901" priority="157">
      <formula>AND(AND($Z53&lt;TODAY(),$Z53&lt;&gt;""),$AA53="")</formula>
    </cfRule>
  </conditionalFormatting>
  <conditionalFormatting sqref="V55:V56">
    <cfRule type="expression" dxfId="1900" priority="156">
      <formula>AND(AND($Z55&lt;TODAY(),$Z55&lt;&gt;""),$AA55="")</formula>
    </cfRule>
  </conditionalFormatting>
  <conditionalFormatting sqref="M55:M56">
    <cfRule type="expression" dxfId="1899" priority="155">
      <formula>"$G$G&gt;400"</formula>
    </cfRule>
  </conditionalFormatting>
  <conditionalFormatting sqref="V55:V56">
    <cfRule type="expression" dxfId="1898" priority="154">
      <formula>AND(AND($Z55&lt;TODAY(),$Z55&lt;&gt;""),$AA55="")</formula>
    </cfRule>
  </conditionalFormatting>
  <conditionalFormatting sqref="V55">
    <cfRule type="expression" dxfId="1897" priority="153">
      <formula>AND(AND($Z55&lt;TODAY(),$Z55&lt;&gt;""),$AA55="")</formula>
    </cfRule>
  </conditionalFormatting>
  <conditionalFormatting sqref="V55">
    <cfRule type="expression" dxfId="1896" priority="152">
      <formula>AND(AND($Z55&lt;TODAY(),$Z55&lt;&gt;""),$AA55="")</formula>
    </cfRule>
  </conditionalFormatting>
  <conditionalFormatting sqref="V56">
    <cfRule type="expression" dxfId="1895" priority="151">
      <formula>AND(AND($Z56&lt;TODAY(),$Z56&lt;&gt;""),$AA56="")</formula>
    </cfRule>
  </conditionalFormatting>
  <conditionalFormatting sqref="V55">
    <cfRule type="expression" dxfId="1894" priority="150">
      <formula>AND(AND($Z55&lt;TODAY(),$Z55&lt;&gt;""),$AA55="")</formula>
    </cfRule>
  </conditionalFormatting>
  <conditionalFormatting sqref="V55">
    <cfRule type="expression" dxfId="1893" priority="149">
      <formula>AND(AND($Z55&lt;TODAY(),$Z55&lt;&gt;""),$AA55="")</formula>
    </cfRule>
  </conditionalFormatting>
  <conditionalFormatting sqref="V56">
    <cfRule type="expression" dxfId="1892" priority="148">
      <formula>AND(AND($Z56&lt;TODAY(),$Z56&lt;&gt;""),$AA56="")</formula>
    </cfRule>
  </conditionalFormatting>
  <conditionalFormatting sqref="V55">
    <cfRule type="expression" dxfId="1891" priority="147">
      <formula>AND(AND($Z55&lt;TODAY(),$Z55&lt;&gt;""),$AA55="")</formula>
    </cfRule>
  </conditionalFormatting>
  <conditionalFormatting sqref="V56">
    <cfRule type="expression" dxfId="1890" priority="146">
      <formula>AND(AND($Z56&lt;TODAY(),$Z56&lt;&gt;""),$AA56="")</formula>
    </cfRule>
  </conditionalFormatting>
  <conditionalFormatting sqref="V55">
    <cfRule type="expression" dxfId="1889" priority="145">
      <formula>AND(AND($Z55&lt;TODAY(),$Z55&lt;&gt;""),$AA55="")</formula>
    </cfRule>
  </conditionalFormatting>
  <conditionalFormatting sqref="V56">
    <cfRule type="expression" dxfId="1888" priority="144">
      <formula>AND(AND($Z56&lt;TODAY(),$Z56&lt;&gt;""),$AA56="")</formula>
    </cfRule>
  </conditionalFormatting>
  <conditionalFormatting sqref="V55">
    <cfRule type="expression" dxfId="1887" priority="143">
      <formula>AND(AND($Z55&lt;TODAY(),$Z55&lt;&gt;""),$AA55="")</formula>
    </cfRule>
  </conditionalFormatting>
  <conditionalFormatting sqref="V56">
    <cfRule type="expression" dxfId="1886" priority="142">
      <formula>AND(AND($Z56&lt;TODAY(),$Z56&lt;&gt;""),$AA56="")</formula>
    </cfRule>
  </conditionalFormatting>
  <conditionalFormatting sqref="V55">
    <cfRule type="expression" dxfId="1885" priority="141">
      <formula>AND(AND($Z55&lt;TODAY(),$Z55&lt;&gt;""),$AA55="")</formula>
    </cfRule>
  </conditionalFormatting>
  <conditionalFormatting sqref="V56">
    <cfRule type="expression" dxfId="1884" priority="140">
      <formula>AND(AND($Z56&lt;TODAY(),$Z56&lt;&gt;""),$AA56="")</formula>
    </cfRule>
  </conditionalFormatting>
  <conditionalFormatting sqref="V55">
    <cfRule type="expression" dxfId="1883" priority="139">
      <formula>AND(AND($Z55&lt;TODAY(),$Z55&lt;&gt;""),$AA55="")</formula>
    </cfRule>
  </conditionalFormatting>
  <conditionalFormatting sqref="V56">
    <cfRule type="expression" dxfId="1882" priority="138">
      <formula>AND(AND($Z56&lt;TODAY(),$Z56&lt;&gt;""),$AA56="")</formula>
    </cfRule>
  </conditionalFormatting>
  <conditionalFormatting sqref="V56">
    <cfRule type="expression" dxfId="1881" priority="137">
      <formula>AND(AND($Z56&lt;TODAY(),$Z56&lt;&gt;""),$AA56="")</formula>
    </cfRule>
  </conditionalFormatting>
  <conditionalFormatting sqref="V55">
    <cfRule type="expression" dxfId="1880" priority="136">
      <formula>AND(AND($Z55&lt;TODAY(),$Z55&lt;&gt;""),$AA55="")</formula>
    </cfRule>
  </conditionalFormatting>
  <conditionalFormatting sqref="V56">
    <cfRule type="expression" dxfId="1879" priority="135">
      <formula>AND(AND($Z56&lt;TODAY(),$Z56&lt;&gt;""),$AA56="")</formula>
    </cfRule>
  </conditionalFormatting>
  <conditionalFormatting sqref="V56">
    <cfRule type="expression" dxfId="1878" priority="134">
      <formula>AND(AND($Z56&lt;TODAY(),$Z56&lt;&gt;""),$AA56="")</formula>
    </cfRule>
  </conditionalFormatting>
  <conditionalFormatting sqref="V54">
    <cfRule type="expression" dxfId="1877" priority="133">
      <formula>AND(AND($Z54&lt;TODAY(),$Z54&lt;&gt;""),$AA54="")</formula>
    </cfRule>
  </conditionalFormatting>
  <conditionalFormatting sqref="V54">
    <cfRule type="expression" dxfId="1876" priority="132">
      <formula>AND(AND($Z54&lt;TODAY(),$Z54&lt;&gt;""),$AA54="")</formula>
    </cfRule>
  </conditionalFormatting>
  <conditionalFormatting sqref="V54">
    <cfRule type="expression" dxfId="1875" priority="131">
      <formula>AND(AND($Z54&lt;TODAY(),$Z54&lt;&gt;""),$AA54="")</formula>
    </cfRule>
  </conditionalFormatting>
  <conditionalFormatting sqref="V54">
    <cfRule type="expression" dxfId="1874" priority="130">
      <formula>AND(AND($Z54&lt;TODAY(),$Z54&lt;&gt;""),$AA54="")</formula>
    </cfRule>
  </conditionalFormatting>
  <conditionalFormatting sqref="V54">
    <cfRule type="expression" dxfId="1873" priority="129">
      <formula>AND(AND($Z54&lt;TODAY(),$Z54&lt;&gt;""),$AA54="")</formula>
    </cfRule>
  </conditionalFormatting>
  <conditionalFormatting sqref="V54">
    <cfRule type="expression" dxfId="1872" priority="128">
      <formula>AND(AND($Z54&lt;TODAY(),$Z54&lt;&gt;""),$AA54="")</formula>
    </cfRule>
  </conditionalFormatting>
  <conditionalFormatting sqref="V54">
    <cfRule type="expression" dxfId="1871" priority="127">
      <formula>AND(AND($Z54&lt;TODAY(),$Z54&lt;&gt;""),$AA54="")</formula>
    </cfRule>
  </conditionalFormatting>
  <conditionalFormatting sqref="V54">
    <cfRule type="expression" dxfId="1870" priority="126">
      <formula>AND(AND($Z54&lt;TODAY(),$Z54&lt;&gt;""),$AA54="")</formula>
    </cfRule>
  </conditionalFormatting>
  <conditionalFormatting sqref="V54">
    <cfRule type="expression" dxfId="1869" priority="125">
      <formula>AND(AND($Z54&lt;TODAY(),$Z54&lt;&gt;""),$AA54="")</formula>
    </cfRule>
  </conditionalFormatting>
  <conditionalFormatting sqref="V54">
    <cfRule type="expression" dxfId="1868" priority="124">
      <formula>AND(AND($Z54&lt;TODAY(),$Z54&lt;&gt;""),$AA54="")</formula>
    </cfRule>
  </conditionalFormatting>
  <conditionalFormatting sqref="V54">
    <cfRule type="expression" dxfId="1867" priority="123">
      <formula>AND(AND($Z54&lt;TODAY(),$Z54&lt;&gt;""),$AA54="")</formula>
    </cfRule>
  </conditionalFormatting>
  <conditionalFormatting sqref="V54">
    <cfRule type="expression" dxfId="1866" priority="122">
      <formula>AND(AND($Z54&lt;TODAY(),$Z54&lt;&gt;""),$AA54="")</formula>
    </cfRule>
  </conditionalFormatting>
  <conditionalFormatting sqref="M57">
    <cfRule type="expression" dxfId="1865" priority="121">
      <formula>"$G$G&gt;400"</formula>
    </cfRule>
  </conditionalFormatting>
  <conditionalFormatting sqref="V57">
    <cfRule type="expression" dxfId="1864" priority="120">
      <formula>AND(AND($Z57&lt;TODAY(),$Z57&lt;&gt;""),$AA57="")</formula>
    </cfRule>
  </conditionalFormatting>
  <conditionalFormatting sqref="V58:V59">
    <cfRule type="expression" dxfId="1863" priority="119">
      <formula>AND(AND($Z58&lt;TODAY(),$Z58&lt;&gt;""),$AA58="")</formula>
    </cfRule>
  </conditionalFormatting>
  <conditionalFormatting sqref="V58:V59">
    <cfRule type="expression" dxfId="1862" priority="118">
      <formula>AND(AND($Z58&lt;TODAY(),$Z58&lt;&gt;""),$AA58="")</formula>
    </cfRule>
  </conditionalFormatting>
  <conditionalFormatting sqref="V58:V59">
    <cfRule type="expression" dxfId="1861" priority="117">
      <formula>AND(AND($Z58&lt;TODAY(),$Z58&lt;&gt;""),$AA58="")</formula>
    </cfRule>
  </conditionalFormatting>
  <conditionalFormatting sqref="V58:V59">
    <cfRule type="expression" dxfId="1860" priority="116">
      <formula>AND(AND($Z58&lt;TODAY(),$Z58&lt;&gt;""),$AA58="")</formula>
    </cfRule>
  </conditionalFormatting>
  <conditionalFormatting sqref="V58:V59">
    <cfRule type="expression" dxfId="1859" priority="115">
      <formula>AND(AND($Z58&lt;TODAY(),$Z58&lt;&gt;""),$AA58="")</formula>
    </cfRule>
  </conditionalFormatting>
  <conditionalFormatting sqref="V58:V59">
    <cfRule type="expression" dxfId="1858" priority="114">
      <formula>AND(AND($Z58&lt;TODAY(),$Z58&lt;&gt;""),$AA58="")</formula>
    </cfRule>
  </conditionalFormatting>
  <conditionalFormatting sqref="V58:V59">
    <cfRule type="expression" dxfId="1857" priority="113">
      <formula>AND(AND($Z58&lt;TODAY(),$Z58&lt;&gt;""),$AA58="")</formula>
    </cfRule>
  </conditionalFormatting>
  <conditionalFormatting sqref="V58:V59">
    <cfRule type="expression" dxfId="1856" priority="112">
      <formula>AND(AND($Z58&lt;TODAY(),$Z58&lt;&gt;""),$AA58="")</formula>
    </cfRule>
  </conditionalFormatting>
  <conditionalFormatting sqref="V58:V59">
    <cfRule type="expression" dxfId="1855" priority="111">
      <formula>AND(AND($Z58&lt;TODAY(),$Z58&lt;&gt;""),$AA58="")</formula>
    </cfRule>
  </conditionalFormatting>
  <conditionalFormatting sqref="V58:V59">
    <cfRule type="expression" dxfId="1854" priority="110">
      <formula>AND(AND($Z58&lt;TODAY(),$Z58&lt;&gt;""),$AA58="")</formula>
    </cfRule>
  </conditionalFormatting>
  <conditionalFormatting sqref="V58:V59">
    <cfRule type="expression" dxfId="1853" priority="109">
      <formula>AND(AND($Z58&lt;TODAY(),$Z58&lt;&gt;""),$AA58="")</formula>
    </cfRule>
  </conditionalFormatting>
  <conditionalFormatting sqref="V58:V59">
    <cfRule type="expression" dxfId="1852" priority="108">
      <formula>AND(AND($Z58&lt;TODAY(),$Z58&lt;&gt;""),$AA58="")</formula>
    </cfRule>
  </conditionalFormatting>
  <conditionalFormatting sqref="M60">
    <cfRule type="expression" dxfId="1851" priority="107">
      <formula>"$G$G&gt;400"</formula>
    </cfRule>
  </conditionalFormatting>
  <conditionalFormatting sqref="V60">
    <cfRule type="expression" dxfId="1850" priority="106">
      <formula>AND(AND($Z60&lt;TODAY(),$Z60&lt;&gt;""),$AA60="")</formula>
    </cfRule>
  </conditionalFormatting>
  <conditionalFormatting sqref="V61">
    <cfRule type="expression" dxfId="1849" priority="105">
      <formula>AND(AND($Z61&lt;TODAY(),$Z61&lt;&gt;""),$AA61="")</formula>
    </cfRule>
  </conditionalFormatting>
  <conditionalFormatting sqref="M62">
    <cfRule type="expression" dxfId="1848" priority="104">
      <formula>"$G$G&gt;400"</formula>
    </cfRule>
  </conditionalFormatting>
  <conditionalFormatting sqref="V62">
    <cfRule type="expression" dxfId="1847" priority="103">
      <formula>AND(AND($Z62&lt;TODAY(),$Z62&lt;&gt;""),$AA62="")</formula>
    </cfRule>
  </conditionalFormatting>
  <conditionalFormatting sqref="V63">
    <cfRule type="expression" dxfId="1846" priority="102">
      <formula>AND(AND($Z63&lt;TODAY(),$Z63&lt;&gt;""),$AA63="")</formula>
    </cfRule>
  </conditionalFormatting>
  <conditionalFormatting sqref="M63">
    <cfRule type="expression" dxfId="1845" priority="101">
      <formula>"$G$G&gt;400"</formula>
    </cfRule>
  </conditionalFormatting>
  <conditionalFormatting sqref="V64">
    <cfRule type="expression" dxfId="1844" priority="100">
      <formula>AND(AND($Z64&lt;TODAY(),$Z64&lt;&gt;""),$AA64="")</formula>
    </cfRule>
  </conditionalFormatting>
  <conditionalFormatting sqref="M64">
    <cfRule type="expression" dxfId="1843" priority="99">
      <formula>"$G$G&gt;400"</formula>
    </cfRule>
  </conditionalFormatting>
  <conditionalFormatting sqref="V65">
    <cfRule type="expression" dxfId="1842" priority="98">
      <formula>AND(AND($Z65&lt;TODAY(),$Z65&lt;&gt;""),$AA65="")</formula>
    </cfRule>
  </conditionalFormatting>
  <conditionalFormatting sqref="M65">
    <cfRule type="expression" dxfId="1841" priority="97">
      <formula>"$G$G&gt;400"</formula>
    </cfRule>
  </conditionalFormatting>
  <conditionalFormatting sqref="M65">
    <cfRule type="expression" dxfId="1840" priority="96">
      <formula>"$G$G&gt;400"</formula>
    </cfRule>
  </conditionalFormatting>
  <conditionalFormatting sqref="M66">
    <cfRule type="expression" dxfId="1839" priority="95">
      <formula>"$G$G&gt;400"</formula>
    </cfRule>
  </conditionalFormatting>
  <conditionalFormatting sqref="V66">
    <cfRule type="expression" dxfId="1838" priority="94">
      <formula>AND(AND($Z66&lt;TODAY(),$Z66&lt;&gt;""),$AA66="")</formula>
    </cfRule>
  </conditionalFormatting>
  <conditionalFormatting sqref="M67">
    <cfRule type="expression" dxfId="1837" priority="93">
      <formula>"$G$G&gt;400"</formula>
    </cfRule>
  </conditionalFormatting>
  <conditionalFormatting sqref="V67">
    <cfRule type="expression" dxfId="1836" priority="92">
      <formula>AND(AND($Z67&lt;TODAY(),$Z67&lt;&gt;""),$AA67="")</formula>
    </cfRule>
  </conditionalFormatting>
  <conditionalFormatting sqref="V68">
    <cfRule type="expression" dxfId="1835" priority="91">
      <formula>AND(AND($Z68&lt;TODAY(),$Z68&lt;&gt;""),$AA68="")</formula>
    </cfRule>
  </conditionalFormatting>
  <conditionalFormatting sqref="M68">
    <cfRule type="expression" dxfId="1834" priority="90">
      <formula>"$G$G&gt;400"</formula>
    </cfRule>
  </conditionalFormatting>
  <conditionalFormatting sqref="V69">
    <cfRule type="expression" dxfId="1833" priority="89">
      <formula>AND(AND($Z69&lt;TODAY(),$Z69&lt;&gt;""),$AA69="")</formula>
    </cfRule>
  </conditionalFormatting>
  <conditionalFormatting sqref="M69">
    <cfRule type="expression" dxfId="1832" priority="88">
      <formula>"$G$G&gt;400"</formula>
    </cfRule>
  </conditionalFormatting>
  <conditionalFormatting sqref="M69">
    <cfRule type="expression" dxfId="1831" priority="87">
      <formula>"$G$G&gt;400"</formula>
    </cfRule>
  </conditionalFormatting>
  <conditionalFormatting sqref="M70">
    <cfRule type="expression" dxfId="1830" priority="86">
      <formula>"$G$G&gt;400"</formula>
    </cfRule>
  </conditionalFormatting>
  <conditionalFormatting sqref="V70">
    <cfRule type="expression" dxfId="1829" priority="85">
      <formula>AND(AND($Z70&lt;TODAY(),$Z70&lt;&gt;""),$AA70="")</formula>
    </cfRule>
  </conditionalFormatting>
  <conditionalFormatting sqref="V71">
    <cfRule type="expression" dxfId="1828" priority="84">
      <formula>AND(AND($Z71&lt;TODAY(),$Z71&lt;&gt;""),$AA71="")</formula>
    </cfRule>
  </conditionalFormatting>
  <conditionalFormatting sqref="M71">
    <cfRule type="expression" dxfId="1827" priority="83">
      <formula>"$G$G&gt;400"</formula>
    </cfRule>
  </conditionalFormatting>
  <conditionalFormatting sqref="M72">
    <cfRule type="expression" dxfId="1826" priority="82">
      <formula>"$G$G&gt;400"</formula>
    </cfRule>
  </conditionalFormatting>
  <conditionalFormatting sqref="V72">
    <cfRule type="expression" dxfId="1825" priority="81">
      <formula>AND(AND($Z72&lt;TODAY(),$Z72&lt;&gt;""),$AA72="")</formula>
    </cfRule>
  </conditionalFormatting>
  <conditionalFormatting sqref="V73">
    <cfRule type="expression" dxfId="1824" priority="80">
      <formula>AND(AND($Z73&lt;TODAY(),$Z73&lt;&gt;""),$AA73="")</formula>
    </cfRule>
  </conditionalFormatting>
  <conditionalFormatting sqref="V74">
    <cfRule type="expression" dxfId="1823" priority="79">
      <formula>AND(AND($Z74&lt;TODAY(),$Z74&lt;&gt;""),$AA74="")</formula>
    </cfRule>
  </conditionalFormatting>
  <conditionalFormatting sqref="M74">
    <cfRule type="expression" dxfId="1822" priority="78">
      <formula>"$G$G&gt;400"</formula>
    </cfRule>
  </conditionalFormatting>
  <conditionalFormatting sqref="V75">
    <cfRule type="expression" dxfId="1821" priority="77">
      <formula>AND(AND($Z75&lt;TODAY(),$Z75&lt;&gt;""),$AA75="")</formula>
    </cfRule>
  </conditionalFormatting>
  <conditionalFormatting sqref="M75">
    <cfRule type="expression" dxfId="1820" priority="76">
      <formula>"$G$G&gt;400"</formula>
    </cfRule>
  </conditionalFormatting>
  <conditionalFormatting sqref="M75">
    <cfRule type="expression" dxfId="1819" priority="75">
      <formula>"$G$G&gt;400"</formula>
    </cfRule>
  </conditionalFormatting>
  <conditionalFormatting sqref="M76">
    <cfRule type="expression" dxfId="1818" priority="74">
      <formula>"$G$G&gt;400"</formula>
    </cfRule>
  </conditionalFormatting>
  <conditionalFormatting sqref="V76">
    <cfRule type="expression" dxfId="1817" priority="73">
      <formula>AND(AND($Z76&lt;TODAY(),$Z76&lt;&gt;""),$AA76="")</formula>
    </cfRule>
  </conditionalFormatting>
  <conditionalFormatting sqref="V77">
    <cfRule type="expression" dxfId="1816" priority="72">
      <formula>AND(AND($Z77&lt;TODAY(),$Z77&lt;&gt;""),$AA77="")</formula>
    </cfRule>
  </conditionalFormatting>
  <conditionalFormatting sqref="M77">
    <cfRule type="expression" dxfId="1815" priority="71">
      <formula>"$G$G&gt;400"</formula>
    </cfRule>
  </conditionalFormatting>
  <conditionalFormatting sqref="M77">
    <cfRule type="expression" dxfId="1814" priority="70">
      <formula>"$G$G&gt;400"</formula>
    </cfRule>
  </conditionalFormatting>
  <conditionalFormatting sqref="V78">
    <cfRule type="expression" dxfId="1813" priority="69">
      <formula>AND(AND($Z78&lt;TODAY(),$Z78&lt;&gt;""),$AA78="")</formula>
    </cfRule>
  </conditionalFormatting>
  <conditionalFormatting sqref="V79">
    <cfRule type="expression" dxfId="1812" priority="68">
      <formula>AND(AND($Z79&lt;TODAY(),$Z79&lt;&gt;""),$AA79="")</formula>
    </cfRule>
  </conditionalFormatting>
  <conditionalFormatting sqref="M80">
    <cfRule type="expression" dxfId="1811" priority="67">
      <formula>"$G$G&gt;400"</formula>
    </cfRule>
  </conditionalFormatting>
  <conditionalFormatting sqref="M81">
    <cfRule type="expression" dxfId="1810" priority="66">
      <formula>"$G$G&gt;400"</formula>
    </cfRule>
  </conditionalFormatting>
  <conditionalFormatting sqref="M83">
    <cfRule type="expression" dxfId="1809" priority="65">
      <formula>"$G$G&gt;400"</formula>
    </cfRule>
  </conditionalFormatting>
  <conditionalFormatting sqref="M84">
    <cfRule type="expression" dxfId="1808" priority="64">
      <formula>"$G$G&gt;400"</formula>
    </cfRule>
  </conditionalFormatting>
  <conditionalFormatting sqref="V83">
    <cfRule type="expression" dxfId="1807" priority="63">
      <formula>AND(AND($Z83&lt;TODAY(),$Z83&lt;&gt;""),$AA83="")</formula>
    </cfRule>
  </conditionalFormatting>
  <conditionalFormatting sqref="V84">
    <cfRule type="expression" dxfId="1806" priority="62">
      <formula>AND(AND($Z84&lt;TODAY(),$Z84&lt;&gt;""),$AA84="")</formula>
    </cfRule>
  </conditionalFormatting>
  <conditionalFormatting sqref="V81">
    <cfRule type="expression" dxfId="1805" priority="61">
      <formula>AND(AND($Z81&lt;TODAY(),$Z81&lt;&gt;""),$AA81="")</formula>
    </cfRule>
  </conditionalFormatting>
  <conditionalFormatting sqref="V80">
    <cfRule type="expression" dxfId="1804" priority="60">
      <formula>AND(AND($Z80&lt;TODAY(),$Z80&lt;&gt;""),$AA80="")</formula>
    </cfRule>
  </conditionalFormatting>
  <conditionalFormatting sqref="V85">
    <cfRule type="expression" dxfId="1803" priority="59">
      <formula>AND(AND($Z85&lt;TODAY(),$Z85&lt;&gt;""),$AA85="")</formula>
    </cfRule>
  </conditionalFormatting>
  <conditionalFormatting sqref="M85">
    <cfRule type="expression" dxfId="1802" priority="58">
      <formula>"$G$G&gt;400"</formula>
    </cfRule>
  </conditionalFormatting>
  <conditionalFormatting sqref="V86">
    <cfRule type="expression" dxfId="1801" priority="57">
      <formula>AND(AND($Z86&lt;TODAY(),$Z86&lt;&gt;""),$AA86="")</formula>
    </cfRule>
  </conditionalFormatting>
  <conditionalFormatting sqref="M86">
    <cfRule type="expression" dxfId="1800" priority="56">
      <formula>"$G$G&gt;400"</formula>
    </cfRule>
  </conditionalFormatting>
  <conditionalFormatting sqref="V87">
    <cfRule type="expression" dxfId="1799" priority="55">
      <formula>AND(AND($Z87&lt;TODAY(),$Z87&lt;&gt;""),$AA87="")</formula>
    </cfRule>
  </conditionalFormatting>
  <conditionalFormatting sqref="M87">
    <cfRule type="expression" dxfId="1798" priority="54">
      <formula>"$G$G&gt;400"</formula>
    </cfRule>
  </conditionalFormatting>
  <conditionalFormatting sqref="V88">
    <cfRule type="expression" dxfId="1797" priority="53">
      <formula>AND(AND($Z88&lt;TODAY(),$Z88&lt;&gt;""),$AA88="")</formula>
    </cfRule>
  </conditionalFormatting>
  <conditionalFormatting sqref="M88">
    <cfRule type="expression" dxfId="1796" priority="52">
      <formula>"$G$G&gt;400"</formula>
    </cfRule>
  </conditionalFormatting>
  <conditionalFormatting sqref="V89">
    <cfRule type="expression" dxfId="1795" priority="51">
      <formula>AND(AND($Z89&lt;TODAY(),$Z89&lt;&gt;""),$AA89="")</formula>
    </cfRule>
  </conditionalFormatting>
  <conditionalFormatting sqref="M89">
    <cfRule type="expression" dxfId="1794" priority="50">
      <formula>"$G$G&gt;400"</formula>
    </cfRule>
  </conditionalFormatting>
  <conditionalFormatting sqref="M89">
    <cfRule type="expression" dxfId="1793" priority="49">
      <formula>"$G$G&gt;400"</formula>
    </cfRule>
  </conditionalFormatting>
  <conditionalFormatting sqref="V90">
    <cfRule type="expression" dxfId="1792" priority="48">
      <formula>AND(AND($Z90&lt;TODAY(),$Z90&lt;&gt;""),$AA90="")</formula>
    </cfRule>
  </conditionalFormatting>
  <conditionalFormatting sqref="M91">
    <cfRule type="expression" dxfId="1791" priority="47">
      <formula>"$G$G&gt;400"</formula>
    </cfRule>
  </conditionalFormatting>
  <conditionalFormatting sqref="V91">
    <cfRule type="expression" dxfId="1790" priority="46">
      <formula>AND(AND($Z91&lt;TODAY(),$Z91&lt;&gt;""),$AA91="")</formula>
    </cfRule>
  </conditionalFormatting>
  <conditionalFormatting sqref="M93">
    <cfRule type="expression" dxfId="1789" priority="45">
      <formula>"$G$G&gt;400"</formula>
    </cfRule>
  </conditionalFormatting>
  <conditionalFormatting sqref="V93">
    <cfRule type="expression" dxfId="1788" priority="44">
      <formula>AND(AND($Z93&lt;TODAY(),$Z93&lt;&gt;""),$AA93="")</formula>
    </cfRule>
  </conditionalFormatting>
  <conditionalFormatting sqref="M94:M96">
    <cfRule type="expression" dxfId="1787" priority="43">
      <formula>"$G$G&gt;400"</formula>
    </cfRule>
  </conditionalFormatting>
  <conditionalFormatting sqref="V94:V96">
    <cfRule type="expression" dxfId="1786" priority="42">
      <formula>AND(AND($Z94&lt;TODAY(),$Z94&lt;&gt;""),$AA94="")</formula>
    </cfRule>
  </conditionalFormatting>
  <conditionalFormatting sqref="M97">
    <cfRule type="expression" dxfId="1785" priority="41">
      <formula>"$G$G&gt;400"</formula>
    </cfRule>
  </conditionalFormatting>
  <conditionalFormatting sqref="V97">
    <cfRule type="expression" dxfId="1784" priority="40">
      <formula>AND(AND($Z97&lt;TODAY(),$Z97&lt;&gt;""),$AA97="")</formula>
    </cfRule>
  </conditionalFormatting>
  <conditionalFormatting sqref="M98">
    <cfRule type="expression" dxfId="1783" priority="39">
      <formula>"$G$G&gt;400"</formula>
    </cfRule>
  </conditionalFormatting>
  <conditionalFormatting sqref="V98">
    <cfRule type="expression" dxfId="1782" priority="38">
      <formula>AND(AND($Z98&lt;TODAY(),$Z98&lt;&gt;""),$AA98="")</formula>
    </cfRule>
  </conditionalFormatting>
  <conditionalFormatting sqref="V82">
    <cfRule type="expression" dxfId="1781" priority="37">
      <formula>AND(AND($Z82&lt;TODAY(),$Z82&lt;&gt;""),$AA82="")</formula>
    </cfRule>
  </conditionalFormatting>
  <conditionalFormatting sqref="V92">
    <cfRule type="expression" dxfId="1780" priority="36">
      <formula>AND(AND($Z92&lt;TODAY(),$Z92&lt;&gt;""),$AA92="")</formula>
    </cfRule>
  </conditionalFormatting>
  <conditionalFormatting sqref="M101 M104">
    <cfRule type="expression" dxfId="1779" priority="35">
      <formula>"$G$G&gt;400"</formula>
    </cfRule>
  </conditionalFormatting>
  <conditionalFormatting sqref="V99:V102">
    <cfRule type="expression" dxfId="1778" priority="34">
      <formula>AND(AND($Z99&lt;TODAY(),$Z99&lt;&gt;""),$AA99="")</formula>
    </cfRule>
  </conditionalFormatting>
  <conditionalFormatting sqref="M100">
    <cfRule type="expression" dxfId="1777" priority="33">
      <formula>"$G$G&gt;400"</formula>
    </cfRule>
  </conditionalFormatting>
  <conditionalFormatting sqref="M102">
    <cfRule type="expression" dxfId="1776" priority="32">
      <formula>"$G$G&gt;400"</formula>
    </cfRule>
  </conditionalFormatting>
  <conditionalFormatting sqref="M101">
    <cfRule type="expression" dxfId="1775" priority="31">
      <formula>"$G$G&gt;400"</formula>
    </cfRule>
  </conditionalFormatting>
  <conditionalFormatting sqref="M100">
    <cfRule type="expression" dxfId="1774" priority="30">
      <formula>"$G$G&gt;400"</formula>
    </cfRule>
  </conditionalFormatting>
  <conditionalFormatting sqref="M102">
    <cfRule type="expression" dxfId="1773" priority="29">
      <formula>"$G$G&gt;400"</formula>
    </cfRule>
  </conditionalFormatting>
  <conditionalFormatting sqref="M101">
    <cfRule type="expression" dxfId="1772" priority="28">
      <formula>"$G$G&gt;400"</formula>
    </cfRule>
  </conditionalFormatting>
  <conditionalFormatting sqref="M104">
    <cfRule type="expression" dxfId="1771" priority="27">
      <formula>"$G$G&gt;400"</formula>
    </cfRule>
  </conditionalFormatting>
  <conditionalFormatting sqref="M100">
    <cfRule type="expression" dxfId="1770" priority="26">
      <formula>"$G$G&gt;400"</formula>
    </cfRule>
  </conditionalFormatting>
  <conditionalFormatting sqref="M102">
    <cfRule type="expression" dxfId="1769" priority="25">
      <formula>"$G$G&gt;400"</formula>
    </cfRule>
  </conditionalFormatting>
  <conditionalFormatting sqref="M101">
    <cfRule type="expression" dxfId="1768" priority="24">
      <formula>"$G$G&gt;400"</formula>
    </cfRule>
  </conditionalFormatting>
  <conditionalFormatting sqref="M107">
    <cfRule type="expression" dxfId="1767" priority="23">
      <formula>"$G$G&gt;400"</formula>
    </cfRule>
  </conditionalFormatting>
  <conditionalFormatting sqref="M107">
    <cfRule type="expression" dxfId="1766" priority="22">
      <formula>"$G$G&gt;400"</formula>
    </cfRule>
  </conditionalFormatting>
  <conditionalFormatting sqref="M108">
    <cfRule type="expression" dxfId="1765" priority="21">
      <formula>"$G$G&gt;400"</formula>
    </cfRule>
  </conditionalFormatting>
  <conditionalFormatting sqref="M108">
    <cfRule type="expression" dxfId="1764" priority="20">
      <formula>"$G$G&gt;400"</formula>
    </cfRule>
  </conditionalFormatting>
  <conditionalFormatting sqref="M106">
    <cfRule type="expression" dxfId="1763" priority="19">
      <formula>"$G$G&gt;400"</formula>
    </cfRule>
  </conditionalFormatting>
  <conditionalFormatting sqref="M106">
    <cfRule type="expression" dxfId="1762" priority="18">
      <formula>"$G$G&gt;400"</formula>
    </cfRule>
  </conditionalFormatting>
  <conditionalFormatting sqref="M105">
    <cfRule type="expression" dxfId="1761" priority="17">
      <formula>"$G$G&gt;400"</formula>
    </cfRule>
  </conditionalFormatting>
  <conditionalFormatting sqref="M105">
    <cfRule type="expression" dxfId="1760" priority="16">
      <formula>"$G$G&gt;400"</formula>
    </cfRule>
  </conditionalFormatting>
  <conditionalFormatting sqref="M109">
    <cfRule type="expression" dxfId="1759" priority="15">
      <formula>"$G$G&gt;400"</formula>
    </cfRule>
  </conditionalFormatting>
  <conditionalFormatting sqref="M110">
    <cfRule type="expression" dxfId="1758" priority="14">
      <formula>"$G$G&gt;400"</formula>
    </cfRule>
  </conditionalFormatting>
  <conditionalFormatting sqref="M112">
    <cfRule type="expression" dxfId="1757" priority="13">
      <formula>"$G$G&gt;400"</formula>
    </cfRule>
  </conditionalFormatting>
  <conditionalFormatting sqref="M99">
    <cfRule type="expression" dxfId="1756" priority="12">
      <formula>"$G$G&gt;400"</formula>
    </cfRule>
  </conditionalFormatting>
  <conditionalFormatting sqref="V103:V108">
    <cfRule type="expression" dxfId="1755" priority="11">
      <formula>AND(AND($Z103&lt;TODAY(),$Z103&lt;&gt;""),$AA103="")</formula>
    </cfRule>
  </conditionalFormatting>
  <conditionalFormatting sqref="V109">
    <cfRule type="expression" dxfId="1754" priority="10">
      <formula>AND(AND($Z109&lt;TODAY(),$Z109&lt;&gt;""),$AA109="")</formula>
    </cfRule>
  </conditionalFormatting>
  <conditionalFormatting sqref="M111">
    <cfRule type="expression" dxfId="1753" priority="9">
      <formula>"$G$G&gt;400"</formula>
    </cfRule>
  </conditionalFormatting>
  <conditionalFormatting sqref="V115">
    <cfRule type="expression" dxfId="1752" priority="4">
      <formula>AND(AND($Z115&lt;TODAY(),$Z115&lt;&gt;""),$AA115="")</formula>
    </cfRule>
  </conditionalFormatting>
  <conditionalFormatting sqref="V114">
    <cfRule type="expression" dxfId="1751" priority="8">
      <formula>AND(AND($Z114&lt;TODAY(),$Z114&lt;&gt;""),$AA114="")</formula>
    </cfRule>
  </conditionalFormatting>
  <conditionalFormatting sqref="M114">
    <cfRule type="expression" dxfId="1750" priority="7">
      <formula>"$G$G&gt;400"</formula>
    </cfRule>
  </conditionalFormatting>
  <conditionalFormatting sqref="M115">
    <cfRule type="expression" dxfId="1749" priority="6">
      <formula>"$G$G&gt;400"</formula>
    </cfRule>
  </conditionalFormatting>
  <conditionalFormatting sqref="M115">
    <cfRule type="expression" dxfId="1748" priority="5">
      <formula>"$G$G&gt;400"</formula>
    </cfRule>
  </conditionalFormatting>
  <conditionalFormatting sqref="F1">
    <cfRule type="expression" dxfId="1747" priority="3">
      <formula>ISBLANK($G1)</formula>
    </cfRule>
  </conditionalFormatting>
  <conditionalFormatting sqref="M1">
    <cfRule type="expression" dxfId="1746" priority="2">
      <formula>"$G$G&gt;400"</formula>
    </cfRule>
  </conditionalFormatting>
  <conditionalFormatting sqref="AB1">
    <cfRule type="iconSet" priority="1">
      <iconSet iconSet="3Symbols2">
        <cfvo type="percent" val="0"/>
        <cfvo type="percent" val="33"/>
        <cfvo type="percent" val="67"/>
      </iconSet>
    </cfRule>
  </conditionalFormatting>
  <dataValidations count="1">
    <dataValidation type="list" allowBlank="1" showInputMessage="1" showErrorMessage="1" sqref="J2:J115" xr:uid="{7AA79AF0-523F-4614-A660-AE6933AD675E}">
      <formula1>Spesenart</formula1>
    </dataValidation>
  </dataValidations>
  <pageMargins left="0.7" right="0.7" top="0.78740157499999996" bottom="0.78740157499999996" header="0.3" footer="0.3"/>
  <pageSetup paperSize="9" orientation="portrait"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12D13-617C-4E3E-A5D9-0A9E6A619122}">
  <sheetPr codeName="Tabelle17"/>
  <dimension ref="A1:Q16"/>
  <sheetViews>
    <sheetView workbookViewId="0">
      <selection sqref="A1:P12"/>
    </sheetView>
  </sheetViews>
  <sheetFormatPr baseColWidth="10" defaultRowHeight="15" x14ac:dyDescent="0.25"/>
  <cols>
    <col min="2" max="3" width="0" hidden="1" customWidth="1"/>
    <col min="5" max="5" width="0" hidden="1" customWidth="1"/>
    <col min="7" max="7" width="0" hidden="1" customWidth="1"/>
    <col min="11" max="11" width="0" hidden="1" customWidth="1"/>
    <col min="14" max="15" width="0" hidden="1" customWidth="1"/>
  </cols>
  <sheetData>
    <row r="1" spans="1:17" x14ac:dyDescent="0.25">
      <c r="A1" s="40" t="s">
        <v>0</v>
      </c>
      <c r="B1" s="40" t="s">
        <v>27</v>
      </c>
      <c r="C1" s="40" t="s">
        <v>122</v>
      </c>
      <c r="D1" s="40" t="s">
        <v>7</v>
      </c>
      <c r="E1" s="40" t="s">
        <v>230</v>
      </c>
      <c r="F1" s="40" t="s">
        <v>26</v>
      </c>
      <c r="G1" s="40" t="s">
        <v>1</v>
      </c>
      <c r="H1" s="2" t="s">
        <v>706</v>
      </c>
      <c r="I1" s="2" t="s">
        <v>682</v>
      </c>
      <c r="J1" s="41" t="s">
        <v>5</v>
      </c>
      <c r="K1" s="40" t="s">
        <v>3</v>
      </c>
      <c r="L1" s="2" t="s">
        <v>3</v>
      </c>
      <c r="M1" s="41" t="s">
        <v>4</v>
      </c>
      <c r="N1" s="42" t="s">
        <v>46</v>
      </c>
      <c r="O1" s="40" t="s">
        <v>45</v>
      </c>
      <c r="P1" s="41" t="s">
        <v>2</v>
      </c>
      <c r="Q1" s="40"/>
    </row>
    <row r="2" spans="1:17" x14ac:dyDescent="0.25">
      <c r="A2">
        <v>12018001</v>
      </c>
      <c r="B2" s="44">
        <v>43215</v>
      </c>
      <c r="C2" s="1">
        <v>43229</v>
      </c>
      <c r="D2" s="44">
        <v>43215</v>
      </c>
      <c r="E2" s="43"/>
      <c r="F2" s="43" t="s">
        <v>59</v>
      </c>
      <c r="G2" s="43" t="s">
        <v>175</v>
      </c>
      <c r="H2" s="43" t="s">
        <v>708</v>
      </c>
      <c r="I2" s="43" t="s">
        <v>709</v>
      </c>
      <c r="J2" s="45">
        <v>417.17999999999995</v>
      </c>
      <c r="K2">
        <v>20</v>
      </c>
      <c r="L2" t="str">
        <f>K2&amp;"%"</f>
        <v>20%</v>
      </c>
      <c r="M2" s="45">
        <v>69.53</v>
      </c>
      <c r="N2" s="44">
        <v>43327</v>
      </c>
      <c r="O2" s="1">
        <v>43318</v>
      </c>
      <c r="P2" s="45">
        <v>347.65</v>
      </c>
      <c r="Q2" s="43"/>
    </row>
    <row r="3" spans="1:17" x14ac:dyDescent="0.25">
      <c r="A3">
        <v>12018002</v>
      </c>
      <c r="B3" s="1">
        <v>43220</v>
      </c>
      <c r="C3" s="1">
        <v>43234</v>
      </c>
      <c r="D3" s="44">
        <v>43223</v>
      </c>
      <c r="E3" s="43"/>
      <c r="F3" t="s">
        <v>536</v>
      </c>
      <c r="G3" s="43"/>
      <c r="H3" s="43" t="s">
        <v>708</v>
      </c>
      <c r="I3" s="43" t="s">
        <v>709</v>
      </c>
      <c r="J3" s="45">
        <v>1006.836</v>
      </c>
      <c r="K3">
        <v>20</v>
      </c>
      <c r="L3" t="str">
        <f t="shared" ref="L3:L12" si="0">K3&amp;"%"</f>
        <v>20%</v>
      </c>
      <c r="M3" s="45">
        <v>167.80599999999998</v>
      </c>
      <c r="N3" s="44">
        <v>43327</v>
      </c>
      <c r="O3" s="1">
        <v>43318</v>
      </c>
      <c r="P3" s="45">
        <v>839.03</v>
      </c>
      <c r="Q3" s="43"/>
    </row>
    <row r="4" spans="1:17" x14ac:dyDescent="0.25">
      <c r="A4">
        <v>12018003</v>
      </c>
      <c r="B4" s="44">
        <v>43287</v>
      </c>
      <c r="C4" s="1">
        <v>43301</v>
      </c>
      <c r="D4" s="44">
        <v>43290</v>
      </c>
      <c r="E4" s="43"/>
      <c r="F4" s="43" t="s">
        <v>90</v>
      </c>
      <c r="G4" s="43"/>
      <c r="H4" s="43" t="s">
        <v>708</v>
      </c>
      <c r="I4" s="43" t="s">
        <v>709</v>
      </c>
      <c r="J4" s="45">
        <v>2800.4279999999999</v>
      </c>
      <c r="K4">
        <v>20</v>
      </c>
      <c r="L4" t="str">
        <f t="shared" si="0"/>
        <v>20%</v>
      </c>
      <c r="M4" s="45">
        <v>466.73800000000006</v>
      </c>
      <c r="N4" s="44">
        <v>43419</v>
      </c>
      <c r="O4" s="44">
        <v>43418</v>
      </c>
      <c r="P4" s="45">
        <v>2333.69</v>
      </c>
      <c r="Q4" s="43"/>
    </row>
    <row r="5" spans="1:17" x14ac:dyDescent="0.25">
      <c r="A5">
        <v>12018004</v>
      </c>
      <c r="B5" s="44">
        <v>43290</v>
      </c>
      <c r="C5" s="1">
        <v>43304</v>
      </c>
      <c r="D5" s="44">
        <v>43292</v>
      </c>
      <c r="E5" s="43"/>
      <c r="F5" t="s">
        <v>536</v>
      </c>
      <c r="G5" s="43"/>
      <c r="H5" s="43" t="s">
        <v>708</v>
      </c>
      <c r="I5" s="43" t="s">
        <v>709</v>
      </c>
      <c r="J5" s="45">
        <v>837.18</v>
      </c>
      <c r="K5">
        <v>20</v>
      </c>
      <c r="L5" t="str">
        <f t="shared" si="0"/>
        <v>20%</v>
      </c>
      <c r="M5" s="45">
        <v>139.53</v>
      </c>
      <c r="N5" s="44">
        <v>43419</v>
      </c>
      <c r="O5" s="44">
        <v>43418</v>
      </c>
      <c r="P5" s="45">
        <v>697.65</v>
      </c>
      <c r="Q5" s="43"/>
    </row>
    <row r="6" spans="1:17" x14ac:dyDescent="0.25">
      <c r="A6">
        <v>12018005</v>
      </c>
      <c r="B6" s="44">
        <v>43289</v>
      </c>
      <c r="C6" s="1">
        <v>43303</v>
      </c>
      <c r="D6" s="44">
        <v>43291</v>
      </c>
      <c r="E6" s="43"/>
      <c r="F6" s="43" t="s">
        <v>59</v>
      </c>
      <c r="G6" s="43" t="s">
        <v>175</v>
      </c>
      <c r="H6" s="43" t="s">
        <v>708</v>
      </c>
      <c r="I6" s="43" t="s">
        <v>709</v>
      </c>
      <c r="J6" s="45">
        <v>12.384</v>
      </c>
      <c r="K6">
        <v>20</v>
      </c>
      <c r="L6" t="str">
        <f t="shared" si="0"/>
        <v>20%</v>
      </c>
      <c r="M6" s="45">
        <v>2.0640000000000001</v>
      </c>
      <c r="N6" s="44">
        <v>43419</v>
      </c>
      <c r="O6" s="44">
        <v>43418</v>
      </c>
      <c r="P6" s="45">
        <v>10.32</v>
      </c>
      <c r="Q6" s="43"/>
    </row>
    <row r="7" spans="1:17" x14ac:dyDescent="0.25">
      <c r="A7">
        <v>12018006</v>
      </c>
      <c r="B7" s="44">
        <v>43314</v>
      </c>
      <c r="C7" s="1">
        <v>43328</v>
      </c>
      <c r="D7" s="44">
        <v>43315</v>
      </c>
      <c r="E7" s="43"/>
      <c r="F7" s="43" t="s">
        <v>90</v>
      </c>
      <c r="G7" s="43"/>
      <c r="H7" s="43" t="s">
        <v>708</v>
      </c>
      <c r="I7" s="43" t="s">
        <v>709</v>
      </c>
      <c r="J7" s="45">
        <v>14576.19</v>
      </c>
      <c r="K7">
        <v>20</v>
      </c>
      <c r="L7" t="str">
        <f t="shared" si="0"/>
        <v>20%</v>
      </c>
      <c r="M7" s="45">
        <v>2429.364</v>
      </c>
      <c r="N7" s="44">
        <v>43419</v>
      </c>
      <c r="O7" s="44">
        <v>43418</v>
      </c>
      <c r="P7" s="45">
        <v>12146.82</v>
      </c>
      <c r="Q7" s="43"/>
    </row>
    <row r="8" spans="1:17" x14ac:dyDescent="0.25">
      <c r="A8">
        <v>12018007</v>
      </c>
      <c r="B8" s="44">
        <v>43376</v>
      </c>
      <c r="C8" s="1">
        <v>43390</v>
      </c>
      <c r="D8" s="44">
        <v>43358</v>
      </c>
      <c r="E8" s="43"/>
      <c r="F8" s="43" t="s">
        <v>59</v>
      </c>
      <c r="G8" s="43" t="s">
        <v>175</v>
      </c>
      <c r="H8" s="43" t="s">
        <v>708</v>
      </c>
      <c r="I8" s="43" t="s">
        <v>709</v>
      </c>
      <c r="J8" s="45">
        <v>359.988</v>
      </c>
      <c r="K8">
        <v>20</v>
      </c>
      <c r="L8" t="str">
        <f t="shared" si="0"/>
        <v>20%</v>
      </c>
      <c r="M8" s="45">
        <v>59.998000000000005</v>
      </c>
      <c r="N8" s="44">
        <v>43419</v>
      </c>
      <c r="O8" s="44">
        <v>43418</v>
      </c>
      <c r="P8" s="45">
        <v>299.99</v>
      </c>
    </row>
    <row r="9" spans="1:17" x14ac:dyDescent="0.25">
      <c r="A9">
        <v>12018008</v>
      </c>
      <c r="B9" s="44">
        <v>43376</v>
      </c>
      <c r="C9" s="1">
        <v>43390</v>
      </c>
      <c r="D9" s="44">
        <v>43409</v>
      </c>
      <c r="E9" s="44">
        <v>43397</v>
      </c>
      <c r="F9" t="s">
        <v>536</v>
      </c>
      <c r="G9" s="43"/>
      <c r="H9" s="43" t="s">
        <v>708</v>
      </c>
      <c r="I9" s="43" t="s">
        <v>709</v>
      </c>
      <c r="J9" s="45">
        <v>369.72</v>
      </c>
      <c r="K9">
        <v>20</v>
      </c>
      <c r="L9" t="str">
        <f t="shared" si="0"/>
        <v>20%</v>
      </c>
      <c r="M9" s="45">
        <v>61.62</v>
      </c>
      <c r="N9" s="44">
        <v>43511</v>
      </c>
      <c r="O9" s="43"/>
      <c r="P9" s="45">
        <v>308.10000000000002</v>
      </c>
      <c r="Q9" s="43"/>
    </row>
    <row r="10" spans="1:17" x14ac:dyDescent="0.25">
      <c r="A10">
        <v>12018009</v>
      </c>
      <c r="B10" s="44">
        <v>43418</v>
      </c>
      <c r="C10" s="1">
        <v>43432</v>
      </c>
      <c r="D10" s="44">
        <v>43388</v>
      </c>
      <c r="E10" s="43"/>
      <c r="F10" s="43" t="s">
        <v>59</v>
      </c>
      <c r="G10" s="43" t="s">
        <v>175</v>
      </c>
      <c r="H10" s="43" t="s">
        <v>708</v>
      </c>
      <c r="I10" s="43" t="s">
        <v>709</v>
      </c>
      <c r="J10" s="45">
        <v>586.29600000000005</v>
      </c>
      <c r="K10">
        <v>20</v>
      </c>
      <c r="L10" t="str">
        <f t="shared" si="0"/>
        <v>20%</v>
      </c>
      <c r="M10" s="45">
        <v>97.716000000000008</v>
      </c>
      <c r="N10" s="44">
        <v>43511</v>
      </c>
      <c r="O10" s="44"/>
      <c r="P10" s="45">
        <v>488.58</v>
      </c>
      <c r="Q10" s="43"/>
    </row>
    <row r="11" spans="1:17" x14ac:dyDescent="0.25">
      <c r="A11">
        <v>12018010</v>
      </c>
      <c r="B11" s="44">
        <v>43454</v>
      </c>
      <c r="C11" s="44">
        <v>43468</v>
      </c>
      <c r="D11" s="44">
        <v>43462</v>
      </c>
      <c r="E11" s="43"/>
      <c r="F11" t="s">
        <v>597</v>
      </c>
      <c r="G11" s="43"/>
      <c r="H11" s="43" t="s">
        <v>708</v>
      </c>
      <c r="I11" s="43" t="s">
        <v>709</v>
      </c>
      <c r="J11" s="45">
        <v>952.53599999999994</v>
      </c>
      <c r="K11">
        <v>20</v>
      </c>
      <c r="L11" t="str">
        <f t="shared" si="0"/>
        <v>20%</v>
      </c>
      <c r="M11" s="45">
        <v>158.75599999999997</v>
      </c>
      <c r="N11" s="44">
        <v>43511</v>
      </c>
      <c r="O11" s="43"/>
      <c r="P11" s="45">
        <v>793.78</v>
      </c>
      <c r="Q11" s="43"/>
    </row>
    <row r="12" spans="1:17" x14ac:dyDescent="0.25">
      <c r="A12">
        <v>12018014</v>
      </c>
      <c r="B12" s="44">
        <v>43461</v>
      </c>
      <c r="C12" s="1">
        <v>43475</v>
      </c>
      <c r="D12" s="44">
        <v>43461</v>
      </c>
      <c r="E12" s="43"/>
      <c r="F12" s="43" t="s">
        <v>59</v>
      </c>
      <c r="G12" s="43"/>
      <c r="H12" s="43" t="s">
        <v>708</v>
      </c>
      <c r="I12" s="43" t="s">
        <v>709</v>
      </c>
      <c r="J12" s="45">
        <v>10125.755999999999</v>
      </c>
      <c r="K12">
        <v>20</v>
      </c>
      <c r="L12" t="str">
        <f t="shared" si="0"/>
        <v>20%</v>
      </c>
      <c r="M12" s="45">
        <v>1687.6259999999997</v>
      </c>
      <c r="N12" s="44">
        <v>43511</v>
      </c>
      <c r="O12" s="43"/>
      <c r="P12" s="45">
        <v>8438.1299999999992</v>
      </c>
      <c r="Q12" s="43"/>
    </row>
    <row r="13" spans="1:17" x14ac:dyDescent="0.25">
      <c r="B13" s="44"/>
      <c r="C13" s="1"/>
      <c r="D13" s="44"/>
      <c r="E13" s="43"/>
      <c r="F13" s="43"/>
      <c r="G13" s="43"/>
      <c r="H13" s="43"/>
      <c r="I13" s="43"/>
      <c r="J13" s="45"/>
      <c r="M13" s="45"/>
      <c r="N13" s="44"/>
      <c r="O13" s="43"/>
      <c r="P13" s="45"/>
      <c r="Q13" s="43"/>
    </row>
    <row r="14" spans="1:17" x14ac:dyDescent="0.25">
      <c r="B14" s="44"/>
      <c r="C14" s="1"/>
      <c r="D14" s="44"/>
      <c r="E14" s="43"/>
      <c r="G14" s="43"/>
      <c r="H14" s="43"/>
      <c r="I14" s="43"/>
      <c r="J14" s="45"/>
      <c r="M14" s="45"/>
      <c r="N14" s="44"/>
      <c r="O14" s="43"/>
      <c r="P14" s="45"/>
      <c r="Q14" s="43"/>
    </row>
    <row r="15" spans="1:17" x14ac:dyDescent="0.25">
      <c r="B15" s="44"/>
      <c r="C15" s="44"/>
      <c r="D15" s="44"/>
      <c r="E15" s="43"/>
      <c r="G15" s="43"/>
      <c r="H15" s="43"/>
      <c r="I15" s="43"/>
      <c r="J15" s="45"/>
      <c r="M15" s="45"/>
      <c r="N15" s="44"/>
      <c r="O15" s="43"/>
      <c r="P15" s="45"/>
      <c r="Q15" s="43"/>
    </row>
    <row r="16" spans="1:17" x14ac:dyDescent="0.25">
      <c r="H16" s="43"/>
      <c r="I16" s="43"/>
    </row>
  </sheetData>
  <conditionalFormatting sqref="N1 N11:N13">
    <cfRule type="expression" dxfId="1745" priority="14">
      <formula>AND(AND($S1&lt;TODAY(),$S1&lt;&gt;""),$T1="")</formula>
    </cfRule>
  </conditionalFormatting>
  <conditionalFormatting sqref="E1:E6 E8:E15">
    <cfRule type="expression" dxfId="1744" priority="13">
      <formula>OR(AND($C1&lt;TODAY(),ISBLANK($D1)),$D1&gt;$C1)</formula>
    </cfRule>
  </conditionalFormatting>
  <conditionalFormatting sqref="N2">
    <cfRule type="expression" dxfId="1743" priority="12">
      <formula>AND(AND($S2&lt;TODAY(),$S2&lt;&gt;""),$T2="")</formula>
    </cfRule>
  </conditionalFormatting>
  <conditionalFormatting sqref="N3">
    <cfRule type="expression" dxfId="1742" priority="11">
      <formula>AND(AND($S3&lt;TODAY(),$S3&lt;&gt;""),$T3="")</formula>
    </cfRule>
  </conditionalFormatting>
  <conditionalFormatting sqref="E7">
    <cfRule type="expression" dxfId="1741" priority="10">
      <formula>OR(AND($C7&lt;TODAY(),ISBLANK($D7)),$D7&gt;$C7)</formula>
    </cfRule>
  </conditionalFormatting>
  <conditionalFormatting sqref="N5:N7">
    <cfRule type="expression" dxfId="1740" priority="9">
      <formula>AND(AND($S5&lt;TODAY(),$S5&lt;&gt;""),$T5="")</formula>
    </cfRule>
  </conditionalFormatting>
  <conditionalFormatting sqref="N4">
    <cfRule type="expression" dxfId="1739" priority="8">
      <formula>AND(AND($S4&lt;TODAY(),$S4&lt;&gt;""),$T4="")</formula>
    </cfRule>
  </conditionalFormatting>
  <conditionalFormatting sqref="N8">
    <cfRule type="expression" dxfId="1738" priority="7">
      <formula>AND(AND($S8&lt;TODAY(),$S8&lt;&gt;""),$T8="")</formula>
    </cfRule>
  </conditionalFormatting>
  <conditionalFormatting sqref="N9">
    <cfRule type="expression" dxfId="1737" priority="6">
      <formula>AND(AND($S9&lt;TODAY(),$S9&lt;&gt;""),$T9="")</formula>
    </cfRule>
  </conditionalFormatting>
  <conditionalFormatting sqref="N10">
    <cfRule type="expression" dxfId="1736" priority="5">
      <formula>AND(AND($S10&lt;TODAY(),$S10&lt;&gt;""),$T10="")</formula>
    </cfRule>
  </conditionalFormatting>
  <conditionalFormatting sqref="N14:N15">
    <cfRule type="expression" dxfId="1735" priority="3">
      <formula>AND(AND($S14&lt;TODAY(),$S14&lt;&gt;""),$T14="")</formula>
    </cfRule>
  </conditionalFormatting>
  <pageMargins left="0.7" right="0.7" top="0.78740157499999996" bottom="0.78740157499999996"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F36E1-E0C1-4AFC-8EE9-63F231BEBDB5}">
  <sheetPr codeName="Tabelle18"/>
  <dimension ref="A1:XFC131"/>
  <sheetViews>
    <sheetView topLeftCell="D1" workbookViewId="0">
      <pane xSplit="1" ySplit="1" topLeftCell="E2" activePane="bottomRight" state="frozen"/>
      <selection activeCell="D1" sqref="D1"/>
      <selection pane="topRight" activeCell="E1" sqref="E1"/>
      <selection pane="bottomLeft" activeCell="D2" sqref="D2"/>
      <selection pane="bottomRight" activeCell="J2" sqref="J2"/>
    </sheetView>
  </sheetViews>
  <sheetFormatPr baseColWidth="10" defaultRowHeight="15" x14ac:dyDescent="0.25"/>
  <cols>
    <col min="1" max="3" width="0" hidden="1" customWidth="1"/>
    <col min="5" max="5" width="11.42578125" hidden="1" customWidth="1"/>
    <col min="8" max="8" width="11.42578125" hidden="1" customWidth="1"/>
    <col min="10" max="10" width="36.7109375" customWidth="1"/>
    <col min="11" max="11" width="14" hidden="1" customWidth="1"/>
    <col min="12" max="12" width="7.5703125" hidden="1" customWidth="1"/>
    <col min="13" max="13" width="16.42578125" hidden="1" customWidth="1"/>
    <col min="14" max="14" width="10.28515625" hidden="1" customWidth="1"/>
    <col min="15" max="15" width="15.28515625" customWidth="1"/>
    <col min="17" max="17" width="9" hidden="1" customWidth="1"/>
    <col min="18" max="18" width="16.85546875" hidden="1" customWidth="1"/>
    <col min="19" max="19" width="16.85546875" bestFit="1" customWidth="1"/>
    <col min="20" max="20" width="18.85546875" bestFit="1" customWidth="1"/>
    <col min="21" max="21" width="13" hidden="1" customWidth="1"/>
    <col min="22" max="27" width="11.42578125" hidden="1" customWidth="1"/>
  </cols>
  <sheetData>
    <row r="1" spans="1:16383" ht="22.5" x14ac:dyDescent="0.25">
      <c r="A1" s="2" t="s">
        <v>231</v>
      </c>
      <c r="B1" s="2" t="s">
        <v>47</v>
      </c>
      <c r="C1" s="2" t="s">
        <v>681</v>
      </c>
      <c r="D1" s="63" t="s">
        <v>845</v>
      </c>
      <c r="E1" s="8" t="s">
        <v>0</v>
      </c>
      <c r="F1" s="63" t="s">
        <v>846</v>
      </c>
      <c r="G1" s="63" t="s">
        <v>847</v>
      </c>
      <c r="H1" s="15" t="s">
        <v>180</v>
      </c>
      <c r="I1" s="63" t="s">
        <v>706</v>
      </c>
      <c r="J1" s="63" t="s">
        <v>682</v>
      </c>
      <c r="K1" s="15" t="s">
        <v>540</v>
      </c>
      <c r="L1" s="2" t="s">
        <v>177</v>
      </c>
      <c r="M1" s="11" t="s">
        <v>219</v>
      </c>
      <c r="N1" s="52" t="s">
        <v>36</v>
      </c>
      <c r="O1" s="63" t="s">
        <v>848</v>
      </c>
      <c r="P1" s="63" t="s">
        <v>844</v>
      </c>
      <c r="Q1" s="26" t="s">
        <v>9</v>
      </c>
      <c r="R1" s="30" t="s">
        <v>25</v>
      </c>
      <c r="S1" s="63" t="s">
        <v>849</v>
      </c>
      <c r="T1" s="63" t="s">
        <v>236</v>
      </c>
      <c r="U1" s="28" t="s">
        <v>419</v>
      </c>
      <c r="V1" s="34" t="s">
        <v>46</v>
      </c>
      <c r="W1" s="26" t="s">
        <v>45</v>
      </c>
      <c r="X1" s="26" t="s">
        <v>211</v>
      </c>
      <c r="Y1" s="57" t="s">
        <v>215</v>
      </c>
      <c r="Z1" s="26" t="s">
        <v>214</v>
      </c>
      <c r="AA1" s="2" t="s">
        <v>388</v>
      </c>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c r="AMK1" s="2"/>
      <c r="AML1" s="2"/>
      <c r="AMM1" s="2"/>
      <c r="AMN1" s="2"/>
      <c r="AMO1" s="2"/>
      <c r="AMP1" s="2"/>
      <c r="AMQ1" s="2"/>
      <c r="AMR1" s="2"/>
      <c r="AMS1" s="2"/>
      <c r="AMT1" s="2"/>
      <c r="AMU1" s="2"/>
      <c r="AMV1" s="2"/>
      <c r="AMW1" s="2"/>
      <c r="AMX1" s="2"/>
      <c r="AMY1" s="2"/>
      <c r="AMZ1" s="2"/>
      <c r="ANA1" s="2"/>
      <c r="ANB1" s="2"/>
      <c r="ANC1" s="2"/>
      <c r="AND1" s="2"/>
      <c r="ANE1" s="2"/>
      <c r="ANF1" s="2"/>
      <c r="ANG1" s="2"/>
      <c r="ANH1" s="2"/>
      <c r="ANI1" s="2"/>
      <c r="ANJ1" s="2"/>
      <c r="ANK1" s="2"/>
      <c r="ANL1" s="2"/>
      <c r="ANM1" s="2"/>
      <c r="ANN1" s="2"/>
      <c r="ANO1" s="2"/>
      <c r="ANP1" s="2"/>
      <c r="ANQ1" s="2"/>
      <c r="ANR1" s="2"/>
      <c r="ANS1" s="2"/>
      <c r="ANT1" s="2"/>
      <c r="ANU1" s="2"/>
      <c r="ANV1" s="2"/>
      <c r="ANW1" s="2"/>
      <c r="ANX1" s="2"/>
      <c r="ANY1" s="2"/>
      <c r="ANZ1" s="2"/>
      <c r="AOA1" s="2"/>
      <c r="AOB1" s="2"/>
      <c r="AOC1" s="2"/>
      <c r="AOD1" s="2"/>
      <c r="AOE1" s="2"/>
      <c r="AOF1" s="2"/>
      <c r="AOG1" s="2"/>
      <c r="AOH1" s="2"/>
      <c r="AOI1" s="2"/>
      <c r="AOJ1" s="2"/>
      <c r="AOK1" s="2"/>
      <c r="AOL1" s="2"/>
      <c r="AOM1" s="2"/>
      <c r="AON1" s="2"/>
      <c r="AOO1" s="2"/>
      <c r="AOP1" s="2"/>
      <c r="AOQ1" s="2"/>
      <c r="AOR1" s="2"/>
      <c r="AOS1" s="2"/>
      <c r="AOT1" s="2"/>
      <c r="AOU1" s="2"/>
      <c r="AOV1" s="2"/>
      <c r="AOW1" s="2"/>
      <c r="AOX1" s="2"/>
      <c r="AOY1" s="2"/>
      <c r="AOZ1" s="2"/>
      <c r="APA1" s="2"/>
      <c r="APB1" s="2"/>
      <c r="APC1" s="2"/>
      <c r="APD1" s="2"/>
      <c r="APE1" s="2"/>
      <c r="APF1" s="2"/>
      <c r="APG1" s="2"/>
      <c r="APH1" s="2"/>
      <c r="API1" s="2"/>
      <c r="APJ1" s="2"/>
      <c r="APK1" s="2"/>
      <c r="APL1" s="2"/>
      <c r="APM1" s="2"/>
      <c r="APN1" s="2"/>
      <c r="APO1" s="2"/>
      <c r="APP1" s="2"/>
      <c r="APQ1" s="2"/>
      <c r="APR1" s="2"/>
      <c r="APS1" s="2"/>
      <c r="APT1" s="2"/>
      <c r="APU1" s="2"/>
      <c r="APV1" s="2"/>
      <c r="APW1" s="2"/>
      <c r="APX1" s="2"/>
      <c r="APY1" s="2"/>
      <c r="APZ1" s="2"/>
      <c r="AQA1" s="2"/>
      <c r="AQB1" s="2"/>
      <c r="AQC1" s="2"/>
      <c r="AQD1" s="2"/>
      <c r="AQE1" s="2"/>
      <c r="AQF1" s="2"/>
      <c r="AQG1" s="2"/>
      <c r="AQH1" s="2"/>
      <c r="AQI1" s="2"/>
      <c r="AQJ1" s="2"/>
      <c r="AQK1" s="2"/>
      <c r="AQL1" s="2"/>
      <c r="AQM1" s="2"/>
      <c r="AQN1" s="2"/>
      <c r="AQO1" s="2"/>
      <c r="AQP1" s="2"/>
      <c r="AQQ1" s="2"/>
      <c r="AQR1" s="2"/>
      <c r="AQS1" s="2"/>
      <c r="AQT1" s="2"/>
      <c r="AQU1" s="2"/>
      <c r="AQV1" s="2"/>
      <c r="AQW1" s="2"/>
      <c r="AQX1" s="2"/>
      <c r="AQY1" s="2"/>
      <c r="AQZ1" s="2"/>
      <c r="ARA1" s="2"/>
      <c r="ARB1" s="2"/>
      <c r="ARC1" s="2"/>
      <c r="ARD1" s="2"/>
      <c r="ARE1" s="2"/>
      <c r="ARF1" s="2"/>
      <c r="ARG1" s="2"/>
      <c r="ARH1" s="2"/>
      <c r="ARI1" s="2"/>
      <c r="ARJ1" s="2"/>
      <c r="ARK1" s="2"/>
      <c r="ARL1" s="2"/>
      <c r="ARM1" s="2"/>
      <c r="ARN1" s="2"/>
      <c r="ARO1" s="2"/>
      <c r="ARP1" s="2"/>
      <c r="ARQ1" s="2"/>
      <c r="ARR1" s="2"/>
      <c r="ARS1" s="2"/>
      <c r="ART1" s="2"/>
      <c r="ARU1" s="2"/>
      <c r="ARV1" s="2"/>
      <c r="ARW1" s="2"/>
      <c r="ARX1" s="2"/>
      <c r="ARY1" s="2"/>
      <c r="ARZ1" s="2"/>
      <c r="ASA1" s="2"/>
      <c r="ASB1" s="2"/>
      <c r="ASC1" s="2"/>
      <c r="ASD1" s="2"/>
      <c r="ASE1" s="2"/>
      <c r="ASF1" s="2"/>
      <c r="ASG1" s="2"/>
      <c r="ASH1" s="2"/>
      <c r="ASI1" s="2"/>
      <c r="ASJ1" s="2"/>
      <c r="ASK1" s="2"/>
      <c r="ASL1" s="2"/>
      <c r="ASM1" s="2"/>
      <c r="ASN1" s="2"/>
      <c r="ASO1" s="2"/>
      <c r="ASP1" s="2"/>
      <c r="ASQ1" s="2"/>
      <c r="ASR1" s="2"/>
      <c r="ASS1" s="2"/>
      <c r="AST1" s="2"/>
      <c r="ASU1" s="2"/>
      <c r="ASV1" s="2"/>
      <c r="ASW1" s="2"/>
      <c r="ASX1" s="2"/>
      <c r="ASY1" s="2"/>
      <c r="ASZ1" s="2"/>
      <c r="ATA1" s="2"/>
      <c r="ATB1" s="2"/>
      <c r="ATC1" s="2"/>
      <c r="ATD1" s="2"/>
      <c r="ATE1" s="2"/>
      <c r="ATF1" s="2"/>
      <c r="ATG1" s="2"/>
      <c r="ATH1" s="2"/>
      <c r="ATI1" s="2"/>
      <c r="ATJ1" s="2"/>
      <c r="ATK1" s="2"/>
      <c r="ATL1" s="2"/>
      <c r="ATM1" s="2"/>
      <c r="ATN1" s="2"/>
      <c r="ATO1" s="2"/>
      <c r="ATP1" s="2"/>
      <c r="ATQ1" s="2"/>
      <c r="ATR1" s="2"/>
      <c r="ATS1" s="2"/>
      <c r="ATT1" s="2"/>
      <c r="ATU1" s="2"/>
      <c r="ATV1" s="2"/>
      <c r="ATW1" s="2"/>
      <c r="ATX1" s="2"/>
      <c r="ATY1" s="2"/>
      <c r="ATZ1" s="2"/>
      <c r="AUA1" s="2"/>
      <c r="AUB1" s="2"/>
      <c r="AUC1" s="2"/>
      <c r="AUD1" s="2"/>
      <c r="AUE1" s="2"/>
      <c r="AUF1" s="2"/>
      <c r="AUG1" s="2"/>
      <c r="AUH1" s="2"/>
      <c r="AUI1" s="2"/>
      <c r="AUJ1" s="2"/>
      <c r="AUK1" s="2"/>
      <c r="AUL1" s="2"/>
      <c r="AUM1" s="2"/>
      <c r="AUN1" s="2"/>
      <c r="AUO1" s="2"/>
      <c r="AUP1" s="2"/>
      <c r="AUQ1" s="2"/>
      <c r="AUR1" s="2"/>
      <c r="AUS1" s="2"/>
      <c r="AUT1" s="2"/>
      <c r="AUU1" s="2"/>
      <c r="AUV1" s="2"/>
      <c r="AUW1" s="2"/>
      <c r="AUX1" s="2"/>
      <c r="AUY1" s="2"/>
      <c r="AUZ1" s="2"/>
      <c r="AVA1" s="2"/>
      <c r="AVB1" s="2"/>
      <c r="AVC1" s="2"/>
      <c r="AVD1" s="2"/>
      <c r="AVE1" s="2"/>
      <c r="AVF1" s="2"/>
      <c r="AVG1" s="2"/>
      <c r="AVH1" s="2"/>
      <c r="AVI1" s="2"/>
      <c r="AVJ1" s="2"/>
      <c r="AVK1" s="2"/>
      <c r="AVL1" s="2"/>
      <c r="AVM1" s="2"/>
      <c r="AVN1" s="2"/>
      <c r="AVO1" s="2"/>
      <c r="AVP1" s="2"/>
      <c r="AVQ1" s="2"/>
      <c r="AVR1" s="2"/>
      <c r="AVS1" s="2"/>
      <c r="AVT1" s="2"/>
      <c r="AVU1" s="2"/>
      <c r="AVV1" s="2"/>
      <c r="AVW1" s="2"/>
      <c r="AVX1" s="2"/>
      <c r="AVY1" s="2"/>
      <c r="AVZ1" s="2"/>
      <c r="AWA1" s="2"/>
      <c r="AWB1" s="2"/>
      <c r="AWC1" s="2"/>
      <c r="AWD1" s="2"/>
      <c r="AWE1" s="2"/>
      <c r="AWF1" s="2"/>
      <c r="AWG1" s="2"/>
      <c r="AWH1" s="2"/>
      <c r="AWI1" s="2"/>
      <c r="AWJ1" s="2"/>
      <c r="AWK1" s="2"/>
      <c r="AWL1" s="2"/>
      <c r="AWM1" s="2"/>
      <c r="AWN1" s="2"/>
      <c r="AWO1" s="2"/>
      <c r="AWP1" s="2"/>
      <c r="AWQ1" s="2"/>
      <c r="AWR1" s="2"/>
      <c r="AWS1" s="2"/>
      <c r="AWT1" s="2"/>
      <c r="AWU1" s="2"/>
      <c r="AWV1" s="2"/>
      <c r="AWW1" s="2"/>
      <c r="AWX1" s="2"/>
      <c r="AWY1" s="2"/>
      <c r="AWZ1" s="2"/>
      <c r="AXA1" s="2"/>
      <c r="AXB1" s="2"/>
      <c r="AXC1" s="2"/>
      <c r="AXD1" s="2"/>
      <c r="AXE1" s="2"/>
      <c r="AXF1" s="2"/>
      <c r="AXG1" s="2"/>
      <c r="AXH1" s="2"/>
      <c r="AXI1" s="2"/>
      <c r="AXJ1" s="2"/>
      <c r="AXK1" s="2"/>
      <c r="AXL1" s="2"/>
      <c r="AXM1" s="2"/>
      <c r="AXN1" s="2"/>
      <c r="AXO1" s="2"/>
      <c r="AXP1" s="2"/>
      <c r="AXQ1" s="2"/>
      <c r="AXR1" s="2"/>
      <c r="AXS1" s="2"/>
      <c r="AXT1" s="2"/>
      <c r="AXU1" s="2"/>
      <c r="AXV1" s="2"/>
      <c r="AXW1" s="2"/>
      <c r="AXX1" s="2"/>
      <c r="AXY1" s="2"/>
      <c r="AXZ1" s="2"/>
      <c r="AYA1" s="2"/>
      <c r="AYB1" s="2"/>
      <c r="AYC1" s="2"/>
      <c r="AYD1" s="2"/>
      <c r="AYE1" s="2"/>
      <c r="AYF1" s="2"/>
      <c r="AYG1" s="2"/>
      <c r="AYH1" s="2"/>
      <c r="AYI1" s="2"/>
      <c r="AYJ1" s="2"/>
      <c r="AYK1" s="2"/>
      <c r="AYL1" s="2"/>
      <c r="AYM1" s="2"/>
      <c r="AYN1" s="2"/>
      <c r="AYO1" s="2"/>
      <c r="AYP1" s="2"/>
      <c r="AYQ1" s="2"/>
      <c r="AYR1" s="2"/>
      <c r="AYS1" s="2"/>
      <c r="AYT1" s="2"/>
      <c r="AYU1" s="2"/>
      <c r="AYV1" s="2"/>
      <c r="AYW1" s="2"/>
      <c r="AYX1" s="2"/>
      <c r="AYY1" s="2"/>
      <c r="AYZ1" s="2"/>
      <c r="AZA1" s="2"/>
      <c r="AZB1" s="2"/>
      <c r="AZC1" s="2"/>
      <c r="AZD1" s="2"/>
      <c r="AZE1" s="2"/>
      <c r="AZF1" s="2"/>
      <c r="AZG1" s="2"/>
      <c r="AZH1" s="2"/>
      <c r="AZI1" s="2"/>
      <c r="AZJ1" s="2"/>
      <c r="AZK1" s="2"/>
      <c r="AZL1" s="2"/>
      <c r="AZM1" s="2"/>
      <c r="AZN1" s="2"/>
      <c r="AZO1" s="2"/>
      <c r="AZP1" s="2"/>
      <c r="AZQ1" s="2"/>
      <c r="AZR1" s="2"/>
      <c r="AZS1" s="2"/>
      <c r="AZT1" s="2"/>
      <c r="AZU1" s="2"/>
      <c r="AZV1" s="2"/>
      <c r="AZW1" s="2"/>
      <c r="AZX1" s="2"/>
      <c r="AZY1" s="2"/>
      <c r="AZZ1" s="2"/>
      <c r="BAA1" s="2"/>
      <c r="BAB1" s="2"/>
      <c r="BAC1" s="2"/>
      <c r="BAD1" s="2"/>
      <c r="BAE1" s="2"/>
      <c r="BAF1" s="2"/>
      <c r="BAG1" s="2"/>
      <c r="BAH1" s="2"/>
      <c r="BAI1" s="2"/>
      <c r="BAJ1" s="2"/>
      <c r="BAK1" s="2"/>
      <c r="BAL1" s="2"/>
      <c r="BAM1" s="2"/>
      <c r="BAN1" s="2"/>
      <c r="BAO1" s="2"/>
      <c r="BAP1" s="2"/>
      <c r="BAQ1" s="2"/>
      <c r="BAR1" s="2"/>
      <c r="BAS1" s="2"/>
      <c r="BAT1" s="2"/>
      <c r="BAU1" s="2"/>
      <c r="BAV1" s="2"/>
      <c r="BAW1" s="2"/>
      <c r="BAX1" s="2"/>
      <c r="BAY1" s="2"/>
      <c r="BAZ1" s="2"/>
      <c r="BBA1" s="2"/>
      <c r="BBB1" s="2"/>
      <c r="BBC1" s="2"/>
      <c r="BBD1" s="2"/>
      <c r="BBE1" s="2"/>
      <c r="BBF1" s="2"/>
      <c r="BBG1" s="2"/>
      <c r="BBH1" s="2"/>
      <c r="BBI1" s="2"/>
      <c r="BBJ1" s="2"/>
      <c r="BBK1" s="2"/>
      <c r="BBL1" s="2"/>
      <c r="BBM1" s="2"/>
      <c r="BBN1" s="2"/>
      <c r="BBO1" s="2"/>
      <c r="BBP1" s="2"/>
      <c r="BBQ1" s="2"/>
      <c r="BBR1" s="2"/>
      <c r="BBS1" s="2"/>
      <c r="BBT1" s="2"/>
      <c r="BBU1" s="2"/>
      <c r="BBV1" s="2"/>
      <c r="BBW1" s="2"/>
      <c r="BBX1" s="2"/>
      <c r="BBY1" s="2"/>
      <c r="BBZ1" s="2"/>
      <c r="BCA1" s="2"/>
      <c r="BCB1" s="2"/>
      <c r="BCC1" s="2"/>
      <c r="BCD1" s="2"/>
      <c r="BCE1" s="2"/>
      <c r="BCF1" s="2"/>
      <c r="BCG1" s="2"/>
      <c r="BCH1" s="2"/>
      <c r="BCI1" s="2"/>
      <c r="BCJ1" s="2"/>
      <c r="BCK1" s="2"/>
      <c r="BCL1" s="2"/>
      <c r="BCM1" s="2"/>
      <c r="BCN1" s="2"/>
      <c r="BCO1" s="2"/>
      <c r="BCP1" s="2"/>
      <c r="BCQ1" s="2"/>
      <c r="BCR1" s="2"/>
      <c r="BCS1" s="2"/>
      <c r="BCT1" s="2"/>
      <c r="BCU1" s="2"/>
      <c r="BCV1" s="2"/>
      <c r="BCW1" s="2"/>
      <c r="BCX1" s="2"/>
      <c r="BCY1" s="2"/>
      <c r="BCZ1" s="2"/>
      <c r="BDA1" s="2"/>
      <c r="BDB1" s="2"/>
      <c r="BDC1" s="2"/>
      <c r="BDD1" s="2"/>
      <c r="BDE1" s="2"/>
      <c r="BDF1" s="2"/>
      <c r="BDG1" s="2"/>
      <c r="BDH1" s="2"/>
      <c r="BDI1" s="2"/>
      <c r="BDJ1" s="2"/>
      <c r="BDK1" s="2"/>
      <c r="BDL1" s="2"/>
      <c r="BDM1" s="2"/>
      <c r="BDN1" s="2"/>
      <c r="BDO1" s="2"/>
      <c r="BDP1" s="2"/>
      <c r="BDQ1" s="2"/>
      <c r="BDR1" s="2"/>
      <c r="BDS1" s="2"/>
      <c r="BDT1" s="2"/>
      <c r="BDU1" s="2"/>
      <c r="BDV1" s="2"/>
      <c r="BDW1" s="2"/>
      <c r="BDX1" s="2"/>
      <c r="BDY1" s="2"/>
      <c r="BDZ1" s="2"/>
      <c r="BEA1" s="2"/>
      <c r="BEB1" s="2"/>
      <c r="BEC1" s="2"/>
      <c r="BED1" s="2"/>
      <c r="BEE1" s="2"/>
      <c r="BEF1" s="2"/>
      <c r="BEG1" s="2"/>
      <c r="BEH1" s="2"/>
      <c r="BEI1" s="2"/>
      <c r="BEJ1" s="2"/>
      <c r="BEK1" s="2"/>
      <c r="BEL1" s="2"/>
      <c r="BEM1" s="2"/>
      <c r="BEN1" s="2"/>
      <c r="BEO1" s="2"/>
      <c r="BEP1" s="2"/>
      <c r="BEQ1" s="2"/>
      <c r="BER1" s="2"/>
      <c r="BES1" s="2"/>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c r="DKL1" s="2"/>
      <c r="DKM1" s="2"/>
      <c r="DKN1" s="2"/>
      <c r="DKO1" s="2"/>
      <c r="DKP1" s="2"/>
      <c r="DKQ1" s="2"/>
      <c r="DKR1" s="2"/>
      <c r="DKS1" s="2"/>
      <c r="DKT1" s="2"/>
      <c r="DKU1" s="2"/>
      <c r="DKV1" s="2"/>
      <c r="DKW1" s="2"/>
      <c r="DKX1" s="2"/>
      <c r="DKY1" s="2"/>
      <c r="DKZ1" s="2"/>
      <c r="DLA1" s="2"/>
      <c r="DLB1" s="2"/>
      <c r="DLC1" s="2"/>
      <c r="DLD1" s="2"/>
      <c r="DLE1" s="2"/>
      <c r="DLF1" s="2"/>
      <c r="DLG1" s="2"/>
      <c r="DLH1" s="2"/>
      <c r="DLI1" s="2"/>
      <c r="DLJ1" s="2"/>
      <c r="DLK1" s="2"/>
      <c r="DLL1" s="2"/>
      <c r="DLM1" s="2"/>
      <c r="DLN1" s="2"/>
      <c r="DLO1" s="2"/>
      <c r="DLP1" s="2"/>
      <c r="DLQ1" s="2"/>
      <c r="DLR1" s="2"/>
      <c r="DLS1" s="2"/>
      <c r="DLT1" s="2"/>
      <c r="DLU1" s="2"/>
      <c r="DLV1" s="2"/>
      <c r="DLW1" s="2"/>
      <c r="DLX1" s="2"/>
      <c r="DLY1" s="2"/>
      <c r="DLZ1" s="2"/>
      <c r="DMA1" s="2"/>
      <c r="DMB1" s="2"/>
      <c r="DMC1" s="2"/>
      <c r="DMD1" s="2"/>
      <c r="DME1" s="2"/>
      <c r="DMF1" s="2"/>
      <c r="DMG1" s="2"/>
      <c r="DMH1" s="2"/>
      <c r="DMI1" s="2"/>
      <c r="DMJ1" s="2"/>
      <c r="DMK1" s="2"/>
      <c r="DML1" s="2"/>
      <c r="DMM1" s="2"/>
      <c r="DMN1" s="2"/>
      <c r="DMO1" s="2"/>
      <c r="DMP1" s="2"/>
      <c r="DMQ1" s="2"/>
      <c r="DMR1" s="2"/>
      <c r="DMS1" s="2"/>
      <c r="DMT1" s="2"/>
      <c r="DMU1" s="2"/>
      <c r="DMV1" s="2"/>
      <c r="DMW1" s="2"/>
      <c r="DMX1" s="2"/>
      <c r="DMY1" s="2"/>
      <c r="DMZ1" s="2"/>
      <c r="DNA1" s="2"/>
      <c r="DNB1" s="2"/>
      <c r="DNC1" s="2"/>
      <c r="DND1" s="2"/>
      <c r="DNE1" s="2"/>
      <c r="DNF1" s="2"/>
      <c r="DNG1" s="2"/>
      <c r="DNH1" s="2"/>
      <c r="DNI1" s="2"/>
      <c r="DNJ1" s="2"/>
      <c r="DNK1" s="2"/>
      <c r="DNL1" s="2"/>
      <c r="DNM1" s="2"/>
      <c r="DNN1" s="2"/>
      <c r="DNO1" s="2"/>
      <c r="DNP1" s="2"/>
      <c r="DNQ1" s="2"/>
      <c r="DNR1" s="2"/>
      <c r="DNS1" s="2"/>
      <c r="DNT1" s="2"/>
      <c r="DNU1" s="2"/>
      <c r="DNV1" s="2"/>
      <c r="DNW1" s="2"/>
      <c r="DNX1" s="2"/>
      <c r="DNY1" s="2"/>
      <c r="DNZ1" s="2"/>
      <c r="DOA1" s="2"/>
      <c r="DOB1" s="2"/>
      <c r="DOC1" s="2"/>
      <c r="DOD1" s="2"/>
      <c r="DOE1" s="2"/>
      <c r="DOF1" s="2"/>
      <c r="DOG1" s="2"/>
      <c r="DOH1" s="2"/>
      <c r="DOI1" s="2"/>
      <c r="DOJ1" s="2"/>
      <c r="DOK1" s="2"/>
      <c r="DOL1" s="2"/>
      <c r="DOM1" s="2"/>
      <c r="DON1" s="2"/>
      <c r="DOO1" s="2"/>
      <c r="DOP1" s="2"/>
      <c r="DOQ1" s="2"/>
      <c r="DOR1" s="2"/>
      <c r="DOS1" s="2"/>
      <c r="DOT1" s="2"/>
      <c r="DOU1" s="2"/>
      <c r="DOV1" s="2"/>
      <c r="DOW1" s="2"/>
      <c r="DOX1" s="2"/>
      <c r="DOY1" s="2"/>
      <c r="DOZ1" s="2"/>
      <c r="DPA1" s="2"/>
      <c r="DPB1" s="2"/>
      <c r="DPC1" s="2"/>
      <c r="DPD1" s="2"/>
      <c r="DPE1" s="2"/>
      <c r="DPF1" s="2"/>
      <c r="DPG1" s="2"/>
      <c r="DPH1" s="2"/>
      <c r="DPI1" s="2"/>
      <c r="DPJ1" s="2"/>
      <c r="DPK1" s="2"/>
      <c r="DPL1" s="2"/>
      <c r="DPM1" s="2"/>
      <c r="DPN1" s="2"/>
      <c r="DPO1" s="2"/>
      <c r="DPP1" s="2"/>
      <c r="DPQ1" s="2"/>
      <c r="DPR1" s="2"/>
      <c r="DPS1" s="2"/>
      <c r="DPT1" s="2"/>
      <c r="DPU1" s="2"/>
      <c r="DPV1" s="2"/>
      <c r="DPW1" s="2"/>
      <c r="DPX1" s="2"/>
      <c r="DPY1" s="2"/>
      <c r="DPZ1" s="2"/>
      <c r="DQA1" s="2"/>
      <c r="DQB1" s="2"/>
      <c r="DQC1" s="2"/>
      <c r="DQD1" s="2"/>
      <c r="DQE1" s="2"/>
      <c r="DQF1" s="2"/>
      <c r="DQG1" s="2"/>
      <c r="DQH1" s="2"/>
      <c r="DQI1" s="2"/>
      <c r="DQJ1" s="2"/>
      <c r="DQK1" s="2"/>
      <c r="DQL1" s="2"/>
      <c r="DQM1" s="2"/>
      <c r="DQN1" s="2"/>
      <c r="DQO1" s="2"/>
      <c r="DQP1" s="2"/>
      <c r="DQQ1" s="2"/>
      <c r="DQR1" s="2"/>
      <c r="DQS1" s="2"/>
      <c r="DQT1" s="2"/>
      <c r="DQU1" s="2"/>
      <c r="DQV1" s="2"/>
      <c r="DQW1" s="2"/>
      <c r="DQX1" s="2"/>
      <c r="DQY1" s="2"/>
      <c r="DQZ1" s="2"/>
      <c r="DRA1" s="2"/>
      <c r="DRB1" s="2"/>
      <c r="DRC1" s="2"/>
      <c r="DRD1" s="2"/>
      <c r="DRE1" s="2"/>
      <c r="DRF1" s="2"/>
      <c r="DRG1" s="2"/>
      <c r="DRH1" s="2"/>
      <c r="DRI1" s="2"/>
      <c r="DRJ1" s="2"/>
      <c r="DRK1" s="2"/>
      <c r="DRL1" s="2"/>
      <c r="DRM1" s="2"/>
      <c r="DRN1" s="2"/>
      <c r="DRO1" s="2"/>
      <c r="DRP1" s="2"/>
      <c r="DRQ1" s="2"/>
      <c r="DRR1" s="2"/>
      <c r="DRS1" s="2"/>
      <c r="DRT1" s="2"/>
      <c r="DRU1" s="2"/>
      <c r="DRV1" s="2"/>
      <c r="DRW1" s="2"/>
      <c r="DRX1" s="2"/>
      <c r="DRY1" s="2"/>
      <c r="DRZ1" s="2"/>
      <c r="DSA1" s="2"/>
      <c r="DSB1" s="2"/>
      <c r="DSC1" s="2"/>
      <c r="DSD1" s="2"/>
      <c r="DSE1" s="2"/>
      <c r="DSF1" s="2"/>
      <c r="DSG1" s="2"/>
      <c r="DSH1" s="2"/>
      <c r="DSI1" s="2"/>
      <c r="DSJ1" s="2"/>
      <c r="DSK1" s="2"/>
      <c r="DSL1" s="2"/>
      <c r="DSM1" s="2"/>
      <c r="DSN1" s="2"/>
      <c r="DSO1" s="2"/>
      <c r="DSP1" s="2"/>
      <c r="DSQ1" s="2"/>
      <c r="DSR1" s="2"/>
      <c r="DSS1" s="2"/>
      <c r="DST1" s="2"/>
      <c r="DSU1" s="2"/>
      <c r="DSV1" s="2"/>
      <c r="DSW1" s="2"/>
      <c r="DSX1" s="2"/>
      <c r="DSY1" s="2"/>
      <c r="DSZ1" s="2"/>
      <c r="DTA1" s="2"/>
      <c r="DTB1" s="2"/>
      <c r="DTC1" s="2"/>
      <c r="DTD1" s="2"/>
      <c r="DTE1" s="2"/>
      <c r="DTF1" s="2"/>
      <c r="DTG1" s="2"/>
      <c r="DTH1" s="2"/>
      <c r="DTI1" s="2"/>
      <c r="DTJ1" s="2"/>
      <c r="DTK1" s="2"/>
      <c r="DTL1" s="2"/>
      <c r="DTM1" s="2"/>
      <c r="DTN1" s="2"/>
      <c r="DTO1" s="2"/>
      <c r="DTP1" s="2"/>
      <c r="DTQ1" s="2"/>
      <c r="DTR1" s="2"/>
      <c r="DTS1" s="2"/>
      <c r="DTT1" s="2"/>
      <c r="DTU1" s="2"/>
      <c r="DTV1" s="2"/>
      <c r="DTW1" s="2"/>
      <c r="DTX1" s="2"/>
      <c r="DTY1" s="2"/>
      <c r="DTZ1" s="2"/>
      <c r="DUA1" s="2"/>
      <c r="DUB1" s="2"/>
      <c r="DUC1" s="2"/>
      <c r="DUD1" s="2"/>
      <c r="DUE1" s="2"/>
      <c r="DUF1" s="2"/>
      <c r="DUG1" s="2"/>
      <c r="DUH1" s="2"/>
      <c r="DUI1" s="2"/>
      <c r="DUJ1" s="2"/>
      <c r="DUK1" s="2"/>
      <c r="DUL1" s="2"/>
      <c r="DUM1" s="2"/>
      <c r="DUN1" s="2"/>
      <c r="DUO1" s="2"/>
      <c r="DUP1" s="2"/>
      <c r="DUQ1" s="2"/>
      <c r="DUR1" s="2"/>
      <c r="DUS1" s="2"/>
      <c r="DUT1" s="2"/>
      <c r="DUU1" s="2"/>
      <c r="DUV1" s="2"/>
      <c r="DUW1" s="2"/>
      <c r="DUX1" s="2"/>
      <c r="DUY1" s="2"/>
      <c r="DUZ1" s="2"/>
      <c r="DVA1" s="2"/>
      <c r="DVB1" s="2"/>
      <c r="DVC1" s="2"/>
      <c r="DVD1" s="2"/>
      <c r="DVE1" s="2"/>
      <c r="DVF1" s="2"/>
      <c r="DVG1" s="2"/>
      <c r="DVH1" s="2"/>
      <c r="DVI1" s="2"/>
      <c r="DVJ1" s="2"/>
      <c r="DVK1" s="2"/>
      <c r="DVL1" s="2"/>
      <c r="DVM1" s="2"/>
      <c r="DVN1" s="2"/>
      <c r="DVO1" s="2"/>
      <c r="DVP1" s="2"/>
      <c r="DVQ1" s="2"/>
      <c r="DVR1" s="2"/>
      <c r="DVS1" s="2"/>
      <c r="DVT1" s="2"/>
      <c r="DVU1" s="2"/>
      <c r="DVV1" s="2"/>
      <c r="DVW1" s="2"/>
      <c r="DVX1" s="2"/>
      <c r="DVY1" s="2"/>
      <c r="DVZ1" s="2"/>
      <c r="DWA1" s="2"/>
      <c r="DWB1" s="2"/>
      <c r="DWC1" s="2"/>
      <c r="DWD1" s="2"/>
      <c r="DWE1" s="2"/>
      <c r="DWF1" s="2"/>
      <c r="DWG1" s="2"/>
      <c r="DWH1" s="2"/>
      <c r="DWI1" s="2"/>
      <c r="DWJ1" s="2"/>
      <c r="DWK1" s="2"/>
      <c r="DWL1" s="2"/>
      <c r="DWM1" s="2"/>
      <c r="DWN1" s="2"/>
      <c r="DWO1" s="2"/>
      <c r="DWP1" s="2"/>
      <c r="DWQ1" s="2"/>
      <c r="DWR1" s="2"/>
      <c r="DWS1" s="2"/>
      <c r="DWT1" s="2"/>
      <c r="DWU1" s="2"/>
      <c r="DWV1" s="2"/>
      <c r="DWW1" s="2"/>
      <c r="DWX1" s="2"/>
      <c r="DWY1" s="2"/>
      <c r="DWZ1" s="2"/>
      <c r="DXA1" s="2"/>
      <c r="DXB1" s="2"/>
      <c r="DXC1" s="2"/>
      <c r="DXD1" s="2"/>
      <c r="DXE1" s="2"/>
      <c r="DXF1" s="2"/>
      <c r="DXG1" s="2"/>
      <c r="DXH1" s="2"/>
      <c r="DXI1" s="2"/>
      <c r="DXJ1" s="2"/>
      <c r="DXK1" s="2"/>
      <c r="DXL1" s="2"/>
      <c r="DXM1" s="2"/>
      <c r="DXN1" s="2"/>
      <c r="DXO1" s="2"/>
      <c r="DXP1" s="2"/>
      <c r="DXQ1" s="2"/>
      <c r="DXR1" s="2"/>
      <c r="DXS1" s="2"/>
      <c r="DXT1" s="2"/>
      <c r="DXU1" s="2"/>
      <c r="DXV1" s="2"/>
      <c r="DXW1" s="2"/>
      <c r="DXX1" s="2"/>
      <c r="DXY1" s="2"/>
      <c r="DXZ1" s="2"/>
      <c r="DYA1" s="2"/>
      <c r="DYB1" s="2"/>
      <c r="DYC1" s="2"/>
      <c r="DYD1" s="2"/>
      <c r="DYE1" s="2"/>
      <c r="DYF1" s="2"/>
      <c r="DYG1" s="2"/>
      <c r="DYH1" s="2"/>
      <c r="DYI1" s="2"/>
      <c r="DYJ1" s="2"/>
      <c r="DYK1" s="2"/>
      <c r="DYL1" s="2"/>
      <c r="DYM1" s="2"/>
      <c r="DYN1" s="2"/>
      <c r="DYO1" s="2"/>
      <c r="DYP1" s="2"/>
      <c r="DYQ1" s="2"/>
      <c r="DYR1" s="2"/>
      <c r="DYS1" s="2"/>
      <c r="DYT1" s="2"/>
      <c r="DYU1" s="2"/>
      <c r="DYV1" s="2"/>
      <c r="DYW1" s="2"/>
      <c r="DYX1" s="2"/>
      <c r="DYY1" s="2"/>
      <c r="DYZ1" s="2"/>
      <c r="DZA1" s="2"/>
      <c r="DZB1" s="2"/>
      <c r="DZC1" s="2"/>
      <c r="DZD1" s="2"/>
      <c r="DZE1" s="2"/>
      <c r="DZF1" s="2"/>
      <c r="DZG1" s="2"/>
      <c r="DZH1" s="2"/>
      <c r="DZI1" s="2"/>
      <c r="DZJ1" s="2"/>
      <c r="DZK1" s="2"/>
      <c r="DZL1" s="2"/>
      <c r="DZM1" s="2"/>
      <c r="DZN1" s="2"/>
      <c r="DZO1" s="2"/>
      <c r="DZP1" s="2"/>
      <c r="DZQ1" s="2"/>
      <c r="DZR1" s="2"/>
      <c r="DZS1" s="2"/>
      <c r="DZT1" s="2"/>
      <c r="DZU1" s="2"/>
      <c r="DZV1" s="2"/>
      <c r="DZW1" s="2"/>
      <c r="DZX1" s="2"/>
      <c r="DZY1" s="2"/>
      <c r="DZZ1" s="2"/>
      <c r="EAA1" s="2"/>
      <c r="EAB1" s="2"/>
      <c r="EAC1" s="2"/>
      <c r="EAD1" s="2"/>
      <c r="EAE1" s="2"/>
      <c r="EAF1" s="2"/>
      <c r="EAG1" s="2"/>
      <c r="EAH1" s="2"/>
      <c r="EAI1" s="2"/>
      <c r="EAJ1" s="2"/>
      <c r="EAK1" s="2"/>
      <c r="EAL1" s="2"/>
      <c r="EAM1" s="2"/>
      <c r="EAN1" s="2"/>
      <c r="EAO1" s="2"/>
      <c r="EAP1" s="2"/>
      <c r="EAQ1" s="2"/>
      <c r="EAR1" s="2"/>
      <c r="EAS1" s="2"/>
      <c r="EAT1" s="2"/>
      <c r="EAU1" s="2"/>
      <c r="EAV1" s="2"/>
      <c r="EAW1" s="2"/>
      <c r="EAX1" s="2"/>
      <c r="EAY1" s="2"/>
      <c r="EAZ1" s="2"/>
      <c r="EBA1" s="2"/>
      <c r="EBB1" s="2"/>
      <c r="EBC1" s="2"/>
      <c r="EBD1" s="2"/>
      <c r="EBE1" s="2"/>
      <c r="EBF1" s="2"/>
      <c r="EBG1" s="2"/>
      <c r="EBH1" s="2"/>
      <c r="EBI1" s="2"/>
      <c r="EBJ1" s="2"/>
      <c r="EBK1" s="2"/>
      <c r="EBL1" s="2"/>
      <c r="EBM1" s="2"/>
      <c r="EBN1" s="2"/>
      <c r="EBO1" s="2"/>
      <c r="EBP1" s="2"/>
      <c r="EBQ1" s="2"/>
      <c r="EBR1" s="2"/>
      <c r="EBS1" s="2"/>
      <c r="EBT1" s="2"/>
      <c r="EBU1" s="2"/>
      <c r="EBV1" s="2"/>
      <c r="EBW1" s="2"/>
      <c r="EBX1" s="2"/>
      <c r="EBY1" s="2"/>
      <c r="EBZ1" s="2"/>
      <c r="ECA1" s="2"/>
      <c r="ECB1" s="2"/>
      <c r="ECC1" s="2"/>
      <c r="ECD1" s="2"/>
      <c r="ECE1" s="2"/>
      <c r="ECF1" s="2"/>
      <c r="ECG1" s="2"/>
      <c r="ECH1" s="2"/>
      <c r="ECI1" s="2"/>
      <c r="ECJ1" s="2"/>
      <c r="ECK1" s="2"/>
      <c r="ECL1" s="2"/>
      <c r="ECM1" s="2"/>
      <c r="ECN1" s="2"/>
      <c r="ECO1" s="2"/>
      <c r="ECP1" s="2"/>
      <c r="ECQ1" s="2"/>
      <c r="ECR1" s="2"/>
      <c r="ECS1" s="2"/>
      <c r="ECT1" s="2"/>
      <c r="ECU1" s="2"/>
      <c r="ECV1" s="2"/>
      <c r="ECW1" s="2"/>
      <c r="ECX1" s="2"/>
      <c r="ECY1" s="2"/>
      <c r="ECZ1" s="2"/>
      <c r="EDA1" s="2"/>
      <c r="EDB1" s="2"/>
      <c r="EDC1" s="2"/>
      <c r="EDD1" s="2"/>
      <c r="EDE1" s="2"/>
      <c r="EDF1" s="2"/>
      <c r="EDG1" s="2"/>
      <c r="EDH1" s="2"/>
      <c r="EDI1" s="2"/>
      <c r="EDJ1" s="2"/>
      <c r="EDK1" s="2"/>
      <c r="EDL1" s="2"/>
      <c r="EDM1" s="2"/>
      <c r="EDN1" s="2"/>
      <c r="EDO1" s="2"/>
      <c r="EDP1" s="2"/>
      <c r="EDQ1" s="2"/>
      <c r="EDR1" s="2"/>
      <c r="EDS1" s="2"/>
      <c r="EDT1" s="2"/>
      <c r="EDU1" s="2"/>
      <c r="EDV1" s="2"/>
      <c r="EDW1" s="2"/>
      <c r="EDX1" s="2"/>
      <c r="EDY1" s="2"/>
      <c r="EDZ1" s="2"/>
      <c r="EEA1" s="2"/>
      <c r="EEB1" s="2"/>
      <c r="EEC1" s="2"/>
      <c r="EED1" s="2"/>
      <c r="EEE1" s="2"/>
      <c r="EEF1" s="2"/>
      <c r="EEG1" s="2"/>
      <c r="EEH1" s="2"/>
      <c r="EEI1" s="2"/>
      <c r="EEJ1" s="2"/>
      <c r="EEK1" s="2"/>
      <c r="EEL1" s="2"/>
      <c r="EEM1" s="2"/>
      <c r="EEN1" s="2"/>
      <c r="EEO1" s="2"/>
      <c r="EEP1" s="2"/>
      <c r="EEQ1" s="2"/>
      <c r="EER1" s="2"/>
      <c r="EES1" s="2"/>
      <c r="EET1" s="2"/>
      <c r="EEU1" s="2"/>
      <c r="EEV1" s="2"/>
      <c r="EEW1" s="2"/>
      <c r="EEX1" s="2"/>
      <c r="EEY1" s="2"/>
      <c r="EEZ1" s="2"/>
      <c r="EFA1" s="2"/>
      <c r="EFB1" s="2"/>
      <c r="EFC1" s="2"/>
      <c r="EFD1" s="2"/>
      <c r="EFE1" s="2"/>
      <c r="EFF1" s="2"/>
      <c r="EFG1" s="2"/>
      <c r="EFH1" s="2"/>
      <c r="EFI1" s="2"/>
      <c r="EFJ1" s="2"/>
      <c r="EFK1" s="2"/>
      <c r="EFL1" s="2"/>
      <c r="EFM1" s="2"/>
      <c r="EFN1" s="2"/>
      <c r="EFO1" s="2"/>
      <c r="EFP1" s="2"/>
      <c r="EFQ1" s="2"/>
      <c r="EFR1" s="2"/>
      <c r="EFS1" s="2"/>
      <c r="EFT1" s="2"/>
      <c r="EFU1" s="2"/>
      <c r="EFV1" s="2"/>
      <c r="EFW1" s="2"/>
      <c r="EFX1" s="2"/>
      <c r="EFY1" s="2"/>
      <c r="EFZ1" s="2"/>
      <c r="EGA1" s="2"/>
      <c r="EGB1" s="2"/>
      <c r="EGC1" s="2"/>
      <c r="EGD1" s="2"/>
      <c r="EGE1" s="2"/>
      <c r="EGF1" s="2"/>
      <c r="EGG1" s="2"/>
      <c r="EGH1" s="2"/>
      <c r="EGI1" s="2"/>
      <c r="EGJ1" s="2"/>
      <c r="EGK1" s="2"/>
      <c r="EGL1" s="2"/>
      <c r="EGM1" s="2"/>
      <c r="EGN1" s="2"/>
      <c r="EGO1" s="2"/>
      <c r="EGP1" s="2"/>
      <c r="EGQ1" s="2"/>
      <c r="EGR1" s="2"/>
      <c r="EGS1" s="2"/>
      <c r="EGT1" s="2"/>
      <c r="EGU1" s="2"/>
      <c r="EGV1" s="2"/>
      <c r="EGW1" s="2"/>
      <c r="EGX1" s="2"/>
      <c r="EGY1" s="2"/>
      <c r="EGZ1" s="2"/>
      <c r="EHA1" s="2"/>
      <c r="EHB1" s="2"/>
      <c r="EHC1" s="2"/>
      <c r="EHD1" s="2"/>
      <c r="EHE1" s="2"/>
      <c r="EHF1" s="2"/>
      <c r="EHG1" s="2"/>
      <c r="EHH1" s="2"/>
      <c r="EHI1" s="2"/>
      <c r="EHJ1" s="2"/>
      <c r="EHK1" s="2"/>
      <c r="EHL1" s="2"/>
      <c r="EHM1" s="2"/>
      <c r="EHN1" s="2"/>
      <c r="EHO1" s="2"/>
      <c r="EHP1" s="2"/>
      <c r="EHQ1" s="2"/>
      <c r="EHR1" s="2"/>
      <c r="EHS1" s="2"/>
      <c r="EHT1" s="2"/>
      <c r="EHU1" s="2"/>
      <c r="EHV1" s="2"/>
      <c r="EHW1" s="2"/>
      <c r="EHX1" s="2"/>
      <c r="EHY1" s="2"/>
      <c r="EHZ1" s="2"/>
      <c r="EIA1" s="2"/>
      <c r="EIB1" s="2"/>
      <c r="EIC1" s="2"/>
      <c r="EID1" s="2"/>
      <c r="EIE1" s="2"/>
      <c r="EIF1" s="2"/>
      <c r="EIG1" s="2"/>
      <c r="EIH1" s="2"/>
      <c r="EII1" s="2"/>
      <c r="EIJ1" s="2"/>
      <c r="EIK1" s="2"/>
      <c r="EIL1" s="2"/>
      <c r="EIM1" s="2"/>
      <c r="EIN1" s="2"/>
      <c r="EIO1" s="2"/>
      <c r="EIP1" s="2"/>
      <c r="EIQ1" s="2"/>
      <c r="EIR1" s="2"/>
      <c r="EIS1" s="2"/>
      <c r="EIT1" s="2"/>
      <c r="EIU1" s="2"/>
      <c r="EIV1" s="2"/>
      <c r="EIW1" s="2"/>
      <c r="EIX1" s="2"/>
      <c r="EIY1" s="2"/>
      <c r="EIZ1" s="2"/>
      <c r="EJA1" s="2"/>
      <c r="EJB1" s="2"/>
      <c r="EJC1" s="2"/>
      <c r="EJD1" s="2"/>
      <c r="EJE1" s="2"/>
      <c r="EJF1" s="2"/>
      <c r="EJG1" s="2"/>
      <c r="EJH1" s="2"/>
      <c r="EJI1" s="2"/>
      <c r="EJJ1" s="2"/>
      <c r="EJK1" s="2"/>
      <c r="EJL1" s="2"/>
      <c r="EJM1" s="2"/>
      <c r="EJN1" s="2"/>
      <c r="EJO1" s="2"/>
      <c r="EJP1" s="2"/>
      <c r="EJQ1" s="2"/>
      <c r="EJR1" s="2"/>
      <c r="EJS1" s="2"/>
      <c r="EJT1" s="2"/>
      <c r="EJU1" s="2"/>
      <c r="EJV1" s="2"/>
      <c r="EJW1" s="2"/>
      <c r="EJX1" s="2"/>
      <c r="EJY1" s="2"/>
      <c r="EJZ1" s="2"/>
      <c r="EKA1" s="2"/>
      <c r="EKB1" s="2"/>
      <c r="EKC1" s="2"/>
      <c r="EKD1" s="2"/>
      <c r="EKE1" s="2"/>
      <c r="EKF1" s="2"/>
      <c r="EKG1" s="2"/>
      <c r="EKH1" s="2"/>
      <c r="EKI1" s="2"/>
      <c r="EKJ1" s="2"/>
      <c r="EKK1" s="2"/>
      <c r="EKL1" s="2"/>
      <c r="EKM1" s="2"/>
      <c r="EKN1" s="2"/>
      <c r="EKO1" s="2"/>
      <c r="EKP1" s="2"/>
      <c r="EKQ1" s="2"/>
      <c r="EKR1" s="2"/>
      <c r="EKS1" s="2"/>
      <c r="EKT1" s="2"/>
      <c r="EKU1" s="2"/>
      <c r="EKV1" s="2"/>
      <c r="EKW1" s="2"/>
      <c r="EKX1" s="2"/>
      <c r="EKY1" s="2"/>
      <c r="EKZ1" s="2"/>
      <c r="ELA1" s="2"/>
      <c r="ELB1" s="2"/>
      <c r="ELC1" s="2"/>
      <c r="ELD1" s="2"/>
      <c r="ELE1" s="2"/>
      <c r="ELF1" s="2"/>
      <c r="ELG1" s="2"/>
      <c r="ELH1" s="2"/>
      <c r="ELI1" s="2"/>
      <c r="ELJ1" s="2"/>
      <c r="ELK1" s="2"/>
      <c r="ELL1" s="2"/>
      <c r="ELM1" s="2"/>
      <c r="ELN1" s="2"/>
      <c r="ELO1" s="2"/>
      <c r="ELP1" s="2"/>
      <c r="ELQ1" s="2"/>
      <c r="ELR1" s="2"/>
      <c r="ELS1" s="2"/>
      <c r="ELT1" s="2"/>
      <c r="ELU1" s="2"/>
      <c r="ELV1" s="2"/>
      <c r="ELW1" s="2"/>
      <c r="ELX1" s="2"/>
      <c r="ELY1" s="2"/>
      <c r="ELZ1" s="2"/>
      <c r="EMA1" s="2"/>
      <c r="EMB1" s="2"/>
      <c r="EMC1" s="2"/>
      <c r="EMD1" s="2"/>
      <c r="EME1" s="2"/>
      <c r="EMF1" s="2"/>
      <c r="EMG1" s="2"/>
      <c r="EMH1" s="2"/>
      <c r="EMI1" s="2"/>
      <c r="EMJ1" s="2"/>
      <c r="EMK1" s="2"/>
      <c r="EML1" s="2"/>
      <c r="EMM1" s="2"/>
      <c r="EMN1" s="2"/>
      <c r="EMO1" s="2"/>
      <c r="EMP1" s="2"/>
      <c r="EMQ1" s="2"/>
      <c r="EMR1" s="2"/>
      <c r="EMS1" s="2"/>
      <c r="EMT1" s="2"/>
      <c r="EMU1" s="2"/>
      <c r="EMV1" s="2"/>
      <c r="EMW1" s="2"/>
      <c r="EMX1" s="2"/>
      <c r="EMY1" s="2"/>
      <c r="EMZ1" s="2"/>
      <c r="ENA1" s="2"/>
      <c r="ENB1" s="2"/>
      <c r="ENC1" s="2"/>
      <c r="END1" s="2"/>
      <c r="ENE1" s="2"/>
      <c r="ENF1" s="2"/>
      <c r="ENG1" s="2"/>
      <c r="ENH1" s="2"/>
      <c r="ENI1" s="2"/>
      <c r="ENJ1" s="2"/>
      <c r="ENK1" s="2"/>
      <c r="ENL1" s="2"/>
      <c r="ENM1" s="2"/>
      <c r="ENN1" s="2"/>
      <c r="ENO1" s="2"/>
      <c r="ENP1" s="2"/>
      <c r="ENQ1" s="2"/>
      <c r="ENR1" s="2"/>
      <c r="ENS1" s="2"/>
      <c r="ENT1" s="2"/>
      <c r="ENU1" s="2"/>
      <c r="ENV1" s="2"/>
      <c r="ENW1" s="2"/>
      <c r="ENX1" s="2"/>
      <c r="ENY1" s="2"/>
      <c r="ENZ1" s="2"/>
      <c r="EOA1" s="2"/>
      <c r="EOB1" s="2"/>
      <c r="EOC1" s="2"/>
      <c r="EOD1" s="2"/>
      <c r="EOE1" s="2"/>
      <c r="EOF1" s="2"/>
      <c r="EOG1" s="2"/>
      <c r="EOH1" s="2"/>
      <c r="EOI1" s="2"/>
      <c r="EOJ1" s="2"/>
      <c r="EOK1" s="2"/>
      <c r="EOL1" s="2"/>
      <c r="EOM1" s="2"/>
      <c r="EON1" s="2"/>
      <c r="EOO1" s="2"/>
      <c r="EOP1" s="2"/>
      <c r="EOQ1" s="2"/>
      <c r="EOR1" s="2"/>
      <c r="EOS1" s="2"/>
      <c r="EOT1" s="2"/>
      <c r="EOU1" s="2"/>
      <c r="EOV1" s="2"/>
      <c r="EOW1" s="2"/>
      <c r="EOX1" s="2"/>
      <c r="EOY1" s="2"/>
      <c r="EOZ1" s="2"/>
      <c r="EPA1" s="2"/>
      <c r="EPB1" s="2"/>
      <c r="EPC1" s="2"/>
      <c r="EPD1" s="2"/>
      <c r="EPE1" s="2"/>
      <c r="EPF1" s="2"/>
      <c r="EPG1" s="2"/>
      <c r="EPH1" s="2"/>
      <c r="EPI1" s="2"/>
      <c r="EPJ1" s="2"/>
      <c r="EPK1" s="2"/>
      <c r="EPL1" s="2"/>
      <c r="EPM1" s="2"/>
      <c r="EPN1" s="2"/>
      <c r="EPO1" s="2"/>
      <c r="EPP1" s="2"/>
      <c r="EPQ1" s="2"/>
      <c r="EPR1" s="2"/>
      <c r="EPS1" s="2"/>
      <c r="EPT1" s="2"/>
      <c r="EPU1" s="2"/>
      <c r="EPV1" s="2"/>
      <c r="EPW1" s="2"/>
      <c r="EPX1" s="2"/>
      <c r="EPY1" s="2"/>
      <c r="EPZ1" s="2"/>
      <c r="EQA1" s="2"/>
      <c r="EQB1" s="2"/>
      <c r="EQC1" s="2"/>
      <c r="EQD1" s="2"/>
      <c r="EQE1" s="2"/>
      <c r="EQF1" s="2"/>
      <c r="EQG1" s="2"/>
      <c r="EQH1" s="2"/>
      <c r="EQI1" s="2"/>
      <c r="EQJ1" s="2"/>
      <c r="EQK1" s="2"/>
      <c r="EQL1" s="2"/>
      <c r="EQM1" s="2"/>
      <c r="EQN1" s="2"/>
      <c r="EQO1" s="2"/>
      <c r="EQP1" s="2"/>
      <c r="EQQ1" s="2"/>
      <c r="EQR1" s="2"/>
      <c r="EQS1" s="2"/>
      <c r="EQT1" s="2"/>
      <c r="EQU1" s="2"/>
      <c r="EQV1" s="2"/>
      <c r="EQW1" s="2"/>
      <c r="EQX1" s="2"/>
      <c r="EQY1" s="2"/>
      <c r="EQZ1" s="2"/>
      <c r="ERA1" s="2"/>
      <c r="ERB1" s="2"/>
      <c r="ERC1" s="2"/>
      <c r="ERD1" s="2"/>
      <c r="ERE1" s="2"/>
      <c r="ERF1" s="2"/>
      <c r="ERG1" s="2"/>
      <c r="ERH1" s="2"/>
      <c r="ERI1" s="2"/>
      <c r="ERJ1" s="2"/>
      <c r="ERK1" s="2"/>
      <c r="ERL1" s="2"/>
      <c r="ERM1" s="2"/>
      <c r="ERN1" s="2"/>
      <c r="ERO1" s="2"/>
      <c r="ERP1" s="2"/>
      <c r="ERQ1" s="2"/>
      <c r="ERR1" s="2"/>
      <c r="ERS1" s="2"/>
      <c r="ERT1" s="2"/>
      <c r="ERU1" s="2"/>
      <c r="ERV1" s="2"/>
      <c r="ERW1" s="2"/>
      <c r="ERX1" s="2"/>
      <c r="ERY1" s="2"/>
      <c r="ERZ1" s="2"/>
      <c r="ESA1" s="2"/>
      <c r="ESB1" s="2"/>
      <c r="ESC1" s="2"/>
      <c r="ESD1" s="2"/>
      <c r="ESE1" s="2"/>
      <c r="ESF1" s="2"/>
      <c r="ESG1" s="2"/>
      <c r="ESH1" s="2"/>
      <c r="ESI1" s="2"/>
      <c r="ESJ1" s="2"/>
      <c r="ESK1" s="2"/>
      <c r="ESL1" s="2"/>
      <c r="ESM1" s="2"/>
      <c r="ESN1" s="2"/>
      <c r="ESO1" s="2"/>
      <c r="ESP1" s="2"/>
      <c r="ESQ1" s="2"/>
      <c r="ESR1" s="2"/>
      <c r="ESS1" s="2"/>
      <c r="EST1" s="2"/>
      <c r="ESU1" s="2"/>
      <c r="ESV1" s="2"/>
      <c r="ESW1" s="2"/>
      <c r="ESX1" s="2"/>
      <c r="ESY1" s="2"/>
      <c r="ESZ1" s="2"/>
      <c r="ETA1" s="2"/>
      <c r="ETB1" s="2"/>
      <c r="ETC1" s="2"/>
      <c r="ETD1" s="2"/>
      <c r="ETE1" s="2"/>
      <c r="ETF1" s="2"/>
      <c r="ETG1" s="2"/>
      <c r="ETH1" s="2"/>
      <c r="ETI1" s="2"/>
      <c r="ETJ1" s="2"/>
      <c r="ETK1" s="2"/>
      <c r="ETL1" s="2"/>
      <c r="ETM1" s="2"/>
      <c r="ETN1" s="2"/>
      <c r="ETO1" s="2"/>
      <c r="ETP1" s="2"/>
      <c r="ETQ1" s="2"/>
      <c r="ETR1" s="2"/>
      <c r="ETS1" s="2"/>
      <c r="ETT1" s="2"/>
      <c r="ETU1" s="2"/>
      <c r="ETV1" s="2"/>
      <c r="ETW1" s="2"/>
      <c r="ETX1" s="2"/>
      <c r="ETY1" s="2"/>
      <c r="ETZ1" s="2"/>
      <c r="EUA1" s="2"/>
      <c r="EUB1" s="2"/>
      <c r="EUC1" s="2"/>
      <c r="EUD1" s="2"/>
      <c r="EUE1" s="2"/>
      <c r="EUF1" s="2"/>
      <c r="EUG1" s="2"/>
      <c r="EUH1" s="2"/>
      <c r="EUI1" s="2"/>
      <c r="EUJ1" s="2"/>
      <c r="EUK1" s="2"/>
      <c r="EUL1" s="2"/>
      <c r="EUM1" s="2"/>
      <c r="EUN1" s="2"/>
      <c r="EUO1" s="2"/>
      <c r="EUP1" s="2"/>
      <c r="EUQ1" s="2"/>
      <c r="EUR1" s="2"/>
      <c r="EUS1" s="2"/>
      <c r="EUT1" s="2"/>
      <c r="EUU1" s="2"/>
      <c r="EUV1" s="2"/>
      <c r="EUW1" s="2"/>
      <c r="EUX1" s="2"/>
      <c r="EUY1" s="2"/>
      <c r="EUZ1" s="2"/>
      <c r="EVA1" s="2"/>
      <c r="EVB1" s="2"/>
      <c r="EVC1" s="2"/>
      <c r="EVD1" s="2"/>
      <c r="EVE1" s="2"/>
      <c r="EVF1" s="2"/>
      <c r="EVG1" s="2"/>
      <c r="EVH1" s="2"/>
      <c r="EVI1" s="2"/>
      <c r="EVJ1" s="2"/>
      <c r="EVK1" s="2"/>
      <c r="EVL1" s="2"/>
      <c r="EVM1" s="2"/>
      <c r="EVN1" s="2"/>
      <c r="EVO1" s="2"/>
      <c r="EVP1" s="2"/>
      <c r="EVQ1" s="2"/>
      <c r="EVR1" s="2"/>
      <c r="EVS1" s="2"/>
      <c r="EVT1" s="2"/>
      <c r="EVU1" s="2"/>
      <c r="EVV1" s="2"/>
      <c r="EVW1" s="2"/>
      <c r="EVX1" s="2"/>
      <c r="EVY1" s="2"/>
      <c r="EVZ1" s="2"/>
      <c r="EWA1" s="2"/>
      <c r="EWB1" s="2"/>
      <c r="EWC1" s="2"/>
      <c r="EWD1" s="2"/>
      <c r="EWE1" s="2"/>
      <c r="EWF1" s="2"/>
      <c r="EWG1" s="2"/>
      <c r="EWH1" s="2"/>
      <c r="EWI1" s="2"/>
      <c r="EWJ1" s="2"/>
      <c r="EWK1" s="2"/>
      <c r="EWL1" s="2"/>
      <c r="EWM1" s="2"/>
      <c r="EWN1" s="2"/>
      <c r="EWO1" s="2"/>
      <c r="EWP1" s="2"/>
      <c r="EWQ1" s="2"/>
      <c r="EWR1" s="2"/>
      <c r="EWS1" s="2"/>
      <c r="EWT1" s="2"/>
      <c r="EWU1" s="2"/>
      <c r="EWV1" s="2"/>
      <c r="EWW1" s="2"/>
      <c r="EWX1" s="2"/>
      <c r="EWY1" s="2"/>
      <c r="EWZ1" s="2"/>
      <c r="EXA1" s="2"/>
      <c r="EXB1" s="2"/>
      <c r="EXC1" s="2"/>
      <c r="EXD1" s="2"/>
      <c r="EXE1" s="2"/>
      <c r="EXF1" s="2"/>
      <c r="EXG1" s="2"/>
      <c r="EXH1" s="2"/>
      <c r="EXI1" s="2"/>
      <c r="EXJ1" s="2"/>
      <c r="EXK1" s="2"/>
      <c r="EXL1" s="2"/>
      <c r="EXM1" s="2"/>
      <c r="EXN1" s="2"/>
      <c r="EXO1" s="2"/>
      <c r="EXP1" s="2"/>
      <c r="EXQ1" s="2"/>
      <c r="EXR1" s="2"/>
      <c r="EXS1" s="2"/>
      <c r="EXT1" s="2"/>
      <c r="EXU1" s="2"/>
      <c r="EXV1" s="2"/>
      <c r="EXW1" s="2"/>
      <c r="EXX1" s="2"/>
      <c r="EXY1" s="2"/>
      <c r="EXZ1" s="2"/>
      <c r="EYA1" s="2"/>
      <c r="EYB1" s="2"/>
      <c r="EYC1" s="2"/>
      <c r="EYD1" s="2"/>
      <c r="EYE1" s="2"/>
      <c r="EYF1" s="2"/>
      <c r="EYG1" s="2"/>
      <c r="EYH1" s="2"/>
      <c r="EYI1" s="2"/>
      <c r="EYJ1" s="2"/>
      <c r="EYK1" s="2"/>
      <c r="EYL1" s="2"/>
      <c r="EYM1" s="2"/>
      <c r="EYN1" s="2"/>
      <c r="EYO1" s="2"/>
      <c r="EYP1" s="2"/>
      <c r="EYQ1" s="2"/>
      <c r="EYR1" s="2"/>
      <c r="EYS1" s="2"/>
      <c r="EYT1" s="2"/>
      <c r="EYU1" s="2"/>
      <c r="EYV1" s="2"/>
      <c r="EYW1" s="2"/>
      <c r="EYX1" s="2"/>
      <c r="EYY1" s="2"/>
      <c r="EYZ1" s="2"/>
      <c r="EZA1" s="2"/>
      <c r="EZB1" s="2"/>
      <c r="EZC1" s="2"/>
      <c r="EZD1" s="2"/>
      <c r="EZE1" s="2"/>
      <c r="EZF1" s="2"/>
      <c r="EZG1" s="2"/>
      <c r="EZH1" s="2"/>
      <c r="EZI1" s="2"/>
      <c r="EZJ1" s="2"/>
      <c r="EZK1" s="2"/>
      <c r="EZL1" s="2"/>
      <c r="EZM1" s="2"/>
      <c r="EZN1" s="2"/>
      <c r="EZO1" s="2"/>
      <c r="EZP1" s="2"/>
      <c r="EZQ1" s="2"/>
      <c r="EZR1" s="2"/>
      <c r="EZS1" s="2"/>
      <c r="EZT1" s="2"/>
      <c r="EZU1" s="2"/>
      <c r="EZV1" s="2"/>
      <c r="EZW1" s="2"/>
      <c r="EZX1" s="2"/>
      <c r="EZY1" s="2"/>
      <c r="EZZ1" s="2"/>
      <c r="FAA1" s="2"/>
      <c r="FAB1" s="2"/>
      <c r="FAC1" s="2"/>
      <c r="FAD1" s="2"/>
      <c r="FAE1" s="2"/>
      <c r="FAF1" s="2"/>
      <c r="FAG1" s="2"/>
      <c r="FAH1" s="2"/>
      <c r="FAI1" s="2"/>
      <c r="FAJ1" s="2"/>
      <c r="FAK1" s="2"/>
      <c r="FAL1" s="2"/>
      <c r="FAM1" s="2"/>
      <c r="FAN1" s="2"/>
      <c r="FAO1" s="2"/>
      <c r="FAP1" s="2"/>
      <c r="FAQ1" s="2"/>
      <c r="FAR1" s="2"/>
      <c r="FAS1" s="2"/>
      <c r="FAT1" s="2"/>
      <c r="FAU1" s="2"/>
      <c r="FAV1" s="2"/>
      <c r="FAW1" s="2"/>
      <c r="FAX1" s="2"/>
      <c r="FAY1" s="2"/>
      <c r="FAZ1" s="2"/>
      <c r="FBA1" s="2"/>
      <c r="FBB1" s="2"/>
      <c r="FBC1" s="2"/>
      <c r="FBD1" s="2"/>
      <c r="FBE1" s="2"/>
      <c r="FBF1" s="2"/>
      <c r="FBG1" s="2"/>
      <c r="FBH1" s="2"/>
      <c r="FBI1" s="2"/>
      <c r="FBJ1" s="2"/>
      <c r="FBK1" s="2"/>
      <c r="FBL1" s="2"/>
      <c r="FBM1" s="2"/>
      <c r="FBN1" s="2"/>
      <c r="FBO1" s="2"/>
      <c r="FBP1" s="2"/>
      <c r="FBQ1" s="2"/>
      <c r="FBR1" s="2"/>
      <c r="FBS1" s="2"/>
      <c r="FBT1" s="2"/>
      <c r="FBU1" s="2"/>
      <c r="FBV1" s="2"/>
      <c r="FBW1" s="2"/>
      <c r="FBX1" s="2"/>
      <c r="FBY1" s="2"/>
      <c r="FBZ1" s="2"/>
      <c r="FCA1" s="2"/>
      <c r="FCB1" s="2"/>
      <c r="FCC1" s="2"/>
      <c r="FCD1" s="2"/>
      <c r="FCE1" s="2"/>
      <c r="FCF1" s="2"/>
      <c r="FCG1" s="2"/>
      <c r="FCH1" s="2"/>
      <c r="FCI1" s="2"/>
      <c r="FCJ1" s="2"/>
      <c r="FCK1" s="2"/>
      <c r="FCL1" s="2"/>
      <c r="FCM1" s="2"/>
      <c r="FCN1" s="2"/>
      <c r="FCO1" s="2"/>
      <c r="FCP1" s="2"/>
      <c r="FCQ1" s="2"/>
      <c r="FCR1" s="2"/>
      <c r="FCS1" s="2"/>
      <c r="FCT1" s="2"/>
      <c r="FCU1" s="2"/>
      <c r="FCV1" s="2"/>
      <c r="FCW1" s="2"/>
      <c r="FCX1" s="2"/>
      <c r="FCY1" s="2"/>
      <c r="FCZ1" s="2"/>
      <c r="FDA1" s="2"/>
      <c r="FDB1" s="2"/>
      <c r="FDC1" s="2"/>
      <c r="FDD1" s="2"/>
      <c r="FDE1" s="2"/>
      <c r="FDF1" s="2"/>
      <c r="FDG1" s="2"/>
      <c r="FDH1" s="2"/>
      <c r="FDI1" s="2"/>
      <c r="FDJ1" s="2"/>
      <c r="FDK1" s="2"/>
      <c r="FDL1" s="2"/>
      <c r="FDM1" s="2"/>
      <c r="FDN1" s="2"/>
      <c r="FDO1" s="2"/>
      <c r="FDP1" s="2"/>
      <c r="FDQ1" s="2"/>
      <c r="FDR1" s="2"/>
      <c r="FDS1" s="2"/>
      <c r="FDT1" s="2"/>
      <c r="FDU1" s="2"/>
      <c r="FDV1" s="2"/>
      <c r="FDW1" s="2"/>
      <c r="FDX1" s="2"/>
      <c r="FDY1" s="2"/>
      <c r="FDZ1" s="2"/>
      <c r="FEA1" s="2"/>
      <c r="FEB1" s="2"/>
      <c r="FEC1" s="2"/>
      <c r="FED1" s="2"/>
      <c r="FEE1" s="2"/>
      <c r="FEF1" s="2"/>
      <c r="FEG1" s="2"/>
      <c r="FEH1" s="2"/>
      <c r="FEI1" s="2"/>
      <c r="FEJ1" s="2"/>
      <c r="FEK1" s="2"/>
      <c r="FEL1" s="2"/>
      <c r="FEM1" s="2"/>
      <c r="FEN1" s="2"/>
      <c r="FEO1" s="2"/>
      <c r="FEP1" s="2"/>
      <c r="FEQ1" s="2"/>
      <c r="FER1" s="2"/>
      <c r="FES1" s="2"/>
      <c r="FET1" s="2"/>
      <c r="FEU1" s="2"/>
      <c r="FEV1" s="2"/>
      <c r="FEW1" s="2"/>
      <c r="FEX1" s="2"/>
      <c r="FEY1" s="2"/>
      <c r="FEZ1" s="2"/>
      <c r="FFA1" s="2"/>
      <c r="FFB1" s="2"/>
      <c r="FFC1" s="2"/>
      <c r="FFD1" s="2"/>
      <c r="FFE1" s="2"/>
      <c r="FFF1" s="2"/>
      <c r="FFG1" s="2"/>
      <c r="FFH1" s="2"/>
      <c r="FFI1" s="2"/>
      <c r="FFJ1" s="2"/>
      <c r="FFK1" s="2"/>
      <c r="FFL1" s="2"/>
      <c r="FFM1" s="2"/>
      <c r="FFN1" s="2"/>
      <c r="FFO1" s="2"/>
      <c r="FFP1" s="2"/>
      <c r="FFQ1" s="2"/>
      <c r="FFR1" s="2"/>
      <c r="FFS1" s="2"/>
      <c r="FFT1" s="2"/>
      <c r="FFU1" s="2"/>
      <c r="FFV1" s="2"/>
      <c r="FFW1" s="2"/>
      <c r="FFX1" s="2"/>
      <c r="FFY1" s="2"/>
      <c r="FFZ1" s="2"/>
      <c r="FGA1" s="2"/>
      <c r="FGB1" s="2"/>
      <c r="FGC1" s="2"/>
      <c r="FGD1" s="2"/>
      <c r="FGE1" s="2"/>
      <c r="FGF1" s="2"/>
      <c r="FGG1" s="2"/>
      <c r="FGH1" s="2"/>
      <c r="FGI1" s="2"/>
      <c r="FGJ1" s="2"/>
      <c r="FGK1" s="2"/>
      <c r="FGL1" s="2"/>
      <c r="FGM1" s="2"/>
      <c r="FGN1" s="2"/>
      <c r="FGO1" s="2"/>
      <c r="FGP1" s="2"/>
      <c r="FGQ1" s="2"/>
      <c r="FGR1" s="2"/>
      <c r="FGS1" s="2"/>
      <c r="FGT1" s="2"/>
      <c r="FGU1" s="2"/>
      <c r="FGV1" s="2"/>
      <c r="FGW1" s="2"/>
      <c r="FGX1" s="2"/>
      <c r="FGY1" s="2"/>
      <c r="FGZ1" s="2"/>
      <c r="FHA1" s="2"/>
      <c r="FHB1" s="2"/>
      <c r="FHC1" s="2"/>
      <c r="FHD1" s="2"/>
      <c r="FHE1" s="2"/>
      <c r="FHF1" s="2"/>
      <c r="FHG1" s="2"/>
      <c r="FHH1" s="2"/>
      <c r="FHI1" s="2"/>
      <c r="FHJ1" s="2"/>
      <c r="FHK1" s="2"/>
      <c r="FHL1" s="2"/>
      <c r="FHM1" s="2"/>
      <c r="FHN1" s="2"/>
      <c r="FHO1" s="2"/>
      <c r="FHP1" s="2"/>
      <c r="FHQ1" s="2"/>
      <c r="FHR1" s="2"/>
      <c r="FHS1" s="2"/>
      <c r="FHT1" s="2"/>
      <c r="FHU1" s="2"/>
      <c r="FHV1" s="2"/>
      <c r="FHW1" s="2"/>
      <c r="FHX1" s="2"/>
      <c r="FHY1" s="2"/>
      <c r="FHZ1" s="2"/>
      <c r="FIA1" s="2"/>
      <c r="FIB1" s="2"/>
      <c r="FIC1" s="2"/>
      <c r="FID1" s="2"/>
      <c r="FIE1" s="2"/>
      <c r="FIF1" s="2"/>
      <c r="FIG1" s="2"/>
      <c r="FIH1" s="2"/>
      <c r="FII1" s="2"/>
      <c r="FIJ1" s="2"/>
      <c r="FIK1" s="2"/>
      <c r="FIL1" s="2"/>
      <c r="FIM1" s="2"/>
      <c r="FIN1" s="2"/>
      <c r="FIO1" s="2"/>
      <c r="FIP1" s="2"/>
      <c r="FIQ1" s="2"/>
      <c r="FIR1" s="2"/>
      <c r="FIS1" s="2"/>
      <c r="FIT1" s="2"/>
      <c r="FIU1" s="2"/>
      <c r="FIV1" s="2"/>
      <c r="FIW1" s="2"/>
      <c r="FIX1" s="2"/>
      <c r="FIY1" s="2"/>
      <c r="FIZ1" s="2"/>
      <c r="FJA1" s="2"/>
      <c r="FJB1" s="2"/>
      <c r="FJC1" s="2"/>
      <c r="FJD1" s="2"/>
      <c r="FJE1" s="2"/>
      <c r="FJF1" s="2"/>
      <c r="FJG1" s="2"/>
      <c r="FJH1" s="2"/>
      <c r="FJI1" s="2"/>
      <c r="FJJ1" s="2"/>
      <c r="FJK1" s="2"/>
      <c r="FJL1" s="2"/>
      <c r="FJM1" s="2"/>
      <c r="FJN1" s="2"/>
      <c r="FJO1" s="2"/>
      <c r="FJP1" s="2"/>
      <c r="FJQ1" s="2"/>
      <c r="FJR1" s="2"/>
      <c r="FJS1" s="2"/>
      <c r="FJT1" s="2"/>
      <c r="FJU1" s="2"/>
      <c r="FJV1" s="2"/>
      <c r="FJW1" s="2"/>
      <c r="FJX1" s="2"/>
      <c r="FJY1" s="2"/>
      <c r="FJZ1" s="2"/>
      <c r="FKA1" s="2"/>
      <c r="FKB1" s="2"/>
      <c r="FKC1" s="2"/>
      <c r="FKD1" s="2"/>
      <c r="FKE1" s="2"/>
      <c r="FKF1" s="2"/>
      <c r="FKG1" s="2"/>
      <c r="FKH1" s="2"/>
      <c r="FKI1" s="2"/>
      <c r="FKJ1" s="2"/>
      <c r="FKK1" s="2"/>
      <c r="FKL1" s="2"/>
      <c r="FKM1" s="2"/>
      <c r="FKN1" s="2"/>
      <c r="FKO1" s="2"/>
      <c r="FKP1" s="2"/>
      <c r="FKQ1" s="2"/>
      <c r="FKR1" s="2"/>
      <c r="FKS1" s="2"/>
      <c r="FKT1" s="2"/>
      <c r="FKU1" s="2"/>
      <c r="FKV1" s="2"/>
      <c r="FKW1" s="2"/>
      <c r="FKX1" s="2"/>
      <c r="FKY1" s="2"/>
      <c r="FKZ1" s="2"/>
      <c r="FLA1" s="2"/>
      <c r="FLB1" s="2"/>
      <c r="FLC1" s="2"/>
      <c r="FLD1" s="2"/>
      <c r="FLE1" s="2"/>
      <c r="FLF1" s="2"/>
      <c r="FLG1" s="2"/>
      <c r="FLH1" s="2"/>
      <c r="FLI1" s="2"/>
      <c r="FLJ1" s="2"/>
      <c r="FLK1" s="2"/>
      <c r="FLL1" s="2"/>
      <c r="FLM1" s="2"/>
      <c r="FLN1" s="2"/>
      <c r="FLO1" s="2"/>
      <c r="FLP1" s="2"/>
      <c r="FLQ1" s="2"/>
      <c r="FLR1" s="2"/>
      <c r="FLS1" s="2"/>
      <c r="FLT1" s="2"/>
      <c r="FLU1" s="2"/>
      <c r="FLV1" s="2"/>
      <c r="FLW1" s="2"/>
      <c r="FLX1" s="2"/>
      <c r="FLY1" s="2"/>
      <c r="FLZ1" s="2"/>
      <c r="FMA1" s="2"/>
      <c r="FMB1" s="2"/>
      <c r="FMC1" s="2"/>
      <c r="FMD1" s="2"/>
      <c r="FME1" s="2"/>
      <c r="FMF1" s="2"/>
      <c r="FMG1" s="2"/>
      <c r="FMH1" s="2"/>
      <c r="FMI1" s="2"/>
      <c r="FMJ1" s="2"/>
      <c r="FMK1" s="2"/>
      <c r="FML1" s="2"/>
      <c r="FMM1" s="2"/>
      <c r="FMN1" s="2"/>
      <c r="FMO1" s="2"/>
      <c r="FMP1" s="2"/>
      <c r="FMQ1" s="2"/>
      <c r="FMR1" s="2"/>
      <c r="FMS1" s="2"/>
      <c r="FMT1" s="2"/>
      <c r="FMU1" s="2"/>
      <c r="FMV1" s="2"/>
      <c r="FMW1" s="2"/>
      <c r="FMX1" s="2"/>
      <c r="FMY1" s="2"/>
      <c r="FMZ1" s="2"/>
      <c r="FNA1" s="2"/>
      <c r="FNB1" s="2"/>
      <c r="FNC1" s="2"/>
      <c r="FND1" s="2"/>
      <c r="FNE1" s="2"/>
      <c r="FNF1" s="2"/>
      <c r="FNG1" s="2"/>
      <c r="FNH1" s="2"/>
      <c r="FNI1" s="2"/>
      <c r="FNJ1" s="2"/>
      <c r="FNK1" s="2"/>
      <c r="FNL1" s="2"/>
      <c r="FNM1" s="2"/>
      <c r="FNN1" s="2"/>
      <c r="FNO1" s="2"/>
      <c r="FNP1" s="2"/>
      <c r="FNQ1" s="2"/>
      <c r="FNR1" s="2"/>
      <c r="FNS1" s="2"/>
      <c r="FNT1" s="2"/>
      <c r="FNU1" s="2"/>
      <c r="FNV1" s="2"/>
      <c r="FNW1" s="2"/>
      <c r="FNX1" s="2"/>
      <c r="FNY1" s="2"/>
      <c r="FNZ1" s="2"/>
      <c r="FOA1" s="2"/>
      <c r="FOB1" s="2"/>
      <c r="FOC1" s="2"/>
      <c r="FOD1" s="2"/>
      <c r="FOE1" s="2"/>
      <c r="FOF1" s="2"/>
      <c r="FOG1" s="2"/>
      <c r="FOH1" s="2"/>
      <c r="FOI1" s="2"/>
      <c r="FOJ1" s="2"/>
      <c r="FOK1" s="2"/>
      <c r="FOL1" s="2"/>
      <c r="FOM1" s="2"/>
      <c r="FON1" s="2"/>
      <c r="FOO1" s="2"/>
      <c r="FOP1" s="2"/>
      <c r="FOQ1" s="2"/>
      <c r="FOR1" s="2"/>
      <c r="FOS1" s="2"/>
      <c r="FOT1" s="2"/>
      <c r="FOU1" s="2"/>
      <c r="FOV1" s="2"/>
      <c r="FOW1" s="2"/>
      <c r="FOX1" s="2"/>
      <c r="FOY1" s="2"/>
      <c r="FOZ1" s="2"/>
      <c r="FPA1" s="2"/>
      <c r="FPB1" s="2"/>
      <c r="FPC1" s="2"/>
      <c r="FPD1" s="2"/>
      <c r="FPE1" s="2"/>
      <c r="FPF1" s="2"/>
      <c r="FPG1" s="2"/>
      <c r="FPH1" s="2"/>
      <c r="FPI1" s="2"/>
      <c r="FPJ1" s="2"/>
      <c r="FPK1" s="2"/>
      <c r="FPL1" s="2"/>
      <c r="FPM1" s="2"/>
      <c r="FPN1" s="2"/>
      <c r="FPO1" s="2"/>
      <c r="FPP1" s="2"/>
      <c r="FPQ1" s="2"/>
      <c r="FPR1" s="2"/>
      <c r="FPS1" s="2"/>
      <c r="FPT1" s="2"/>
      <c r="FPU1" s="2"/>
      <c r="FPV1" s="2"/>
      <c r="FPW1" s="2"/>
      <c r="FPX1" s="2"/>
      <c r="FPY1" s="2"/>
      <c r="FPZ1" s="2"/>
      <c r="FQA1" s="2"/>
      <c r="FQB1" s="2"/>
      <c r="FQC1" s="2"/>
      <c r="FQD1" s="2"/>
      <c r="FQE1" s="2"/>
      <c r="FQF1" s="2"/>
      <c r="FQG1" s="2"/>
      <c r="FQH1" s="2"/>
      <c r="FQI1" s="2"/>
      <c r="FQJ1" s="2"/>
      <c r="FQK1" s="2"/>
      <c r="FQL1" s="2"/>
      <c r="FQM1" s="2"/>
      <c r="FQN1" s="2"/>
      <c r="FQO1" s="2"/>
      <c r="FQP1" s="2"/>
      <c r="FQQ1" s="2"/>
      <c r="FQR1" s="2"/>
      <c r="FQS1" s="2"/>
      <c r="FQT1" s="2"/>
      <c r="FQU1" s="2"/>
      <c r="FQV1" s="2"/>
      <c r="FQW1" s="2"/>
      <c r="FQX1" s="2"/>
      <c r="FQY1" s="2"/>
      <c r="FQZ1" s="2"/>
      <c r="FRA1" s="2"/>
      <c r="FRB1" s="2"/>
      <c r="FRC1" s="2"/>
      <c r="FRD1" s="2"/>
      <c r="FRE1" s="2"/>
      <c r="FRF1" s="2"/>
      <c r="FRG1" s="2"/>
      <c r="FRH1" s="2"/>
      <c r="FRI1" s="2"/>
      <c r="FRJ1" s="2"/>
      <c r="FRK1" s="2"/>
      <c r="FRL1" s="2"/>
      <c r="FRM1" s="2"/>
      <c r="FRN1" s="2"/>
      <c r="FRO1" s="2"/>
      <c r="FRP1" s="2"/>
      <c r="FRQ1" s="2"/>
      <c r="FRR1" s="2"/>
      <c r="FRS1" s="2"/>
      <c r="FRT1" s="2"/>
      <c r="FRU1" s="2"/>
      <c r="FRV1" s="2"/>
      <c r="FRW1" s="2"/>
      <c r="FRX1" s="2"/>
      <c r="FRY1" s="2"/>
      <c r="FRZ1" s="2"/>
      <c r="FSA1" s="2"/>
      <c r="FSB1" s="2"/>
      <c r="FSC1" s="2"/>
      <c r="FSD1" s="2"/>
      <c r="FSE1" s="2"/>
      <c r="FSF1" s="2"/>
      <c r="FSG1" s="2"/>
      <c r="FSH1" s="2"/>
      <c r="FSI1" s="2"/>
      <c r="FSJ1" s="2"/>
      <c r="FSK1" s="2"/>
      <c r="FSL1" s="2"/>
      <c r="FSM1" s="2"/>
      <c r="FSN1" s="2"/>
      <c r="FSO1" s="2"/>
      <c r="FSP1" s="2"/>
      <c r="FSQ1" s="2"/>
      <c r="FSR1" s="2"/>
      <c r="FSS1" s="2"/>
      <c r="FST1" s="2"/>
      <c r="FSU1" s="2"/>
      <c r="FSV1" s="2"/>
      <c r="FSW1" s="2"/>
      <c r="FSX1" s="2"/>
      <c r="FSY1" s="2"/>
      <c r="FSZ1" s="2"/>
      <c r="FTA1" s="2"/>
      <c r="FTB1" s="2"/>
      <c r="FTC1" s="2"/>
      <c r="FTD1" s="2"/>
      <c r="FTE1" s="2"/>
      <c r="FTF1" s="2"/>
      <c r="FTG1" s="2"/>
      <c r="FTH1" s="2"/>
      <c r="FTI1" s="2"/>
      <c r="FTJ1" s="2"/>
      <c r="FTK1" s="2"/>
      <c r="FTL1" s="2"/>
      <c r="FTM1" s="2"/>
      <c r="FTN1" s="2"/>
      <c r="FTO1" s="2"/>
      <c r="FTP1" s="2"/>
      <c r="FTQ1" s="2"/>
      <c r="FTR1" s="2"/>
      <c r="FTS1" s="2"/>
      <c r="FTT1" s="2"/>
      <c r="FTU1" s="2"/>
      <c r="FTV1" s="2"/>
      <c r="FTW1" s="2"/>
      <c r="FTX1" s="2"/>
      <c r="FTY1" s="2"/>
      <c r="FTZ1" s="2"/>
      <c r="FUA1" s="2"/>
      <c r="FUB1" s="2"/>
      <c r="FUC1" s="2"/>
      <c r="FUD1" s="2"/>
      <c r="FUE1" s="2"/>
      <c r="FUF1" s="2"/>
      <c r="FUG1" s="2"/>
      <c r="FUH1" s="2"/>
      <c r="FUI1" s="2"/>
      <c r="FUJ1" s="2"/>
      <c r="FUK1" s="2"/>
      <c r="FUL1" s="2"/>
      <c r="FUM1" s="2"/>
      <c r="FUN1" s="2"/>
      <c r="FUO1" s="2"/>
      <c r="FUP1" s="2"/>
      <c r="FUQ1" s="2"/>
      <c r="FUR1" s="2"/>
      <c r="FUS1" s="2"/>
      <c r="FUT1" s="2"/>
      <c r="FUU1" s="2"/>
      <c r="FUV1" s="2"/>
      <c r="FUW1" s="2"/>
      <c r="FUX1" s="2"/>
      <c r="FUY1" s="2"/>
      <c r="FUZ1" s="2"/>
      <c r="FVA1" s="2"/>
      <c r="FVB1" s="2"/>
      <c r="FVC1" s="2"/>
      <c r="FVD1" s="2"/>
      <c r="FVE1" s="2"/>
      <c r="FVF1" s="2"/>
      <c r="FVG1" s="2"/>
      <c r="FVH1" s="2"/>
      <c r="FVI1" s="2"/>
      <c r="FVJ1" s="2"/>
      <c r="FVK1" s="2"/>
      <c r="FVL1" s="2"/>
      <c r="FVM1" s="2"/>
      <c r="FVN1" s="2"/>
      <c r="FVO1" s="2"/>
      <c r="FVP1" s="2"/>
      <c r="FVQ1" s="2"/>
      <c r="FVR1" s="2"/>
      <c r="FVS1" s="2"/>
      <c r="FVT1" s="2"/>
      <c r="FVU1" s="2"/>
      <c r="FVV1" s="2"/>
      <c r="FVW1" s="2"/>
      <c r="FVX1" s="2"/>
      <c r="FVY1" s="2"/>
      <c r="FVZ1" s="2"/>
      <c r="FWA1" s="2"/>
      <c r="FWB1" s="2"/>
      <c r="FWC1" s="2"/>
      <c r="FWD1" s="2"/>
      <c r="FWE1" s="2"/>
      <c r="FWF1" s="2"/>
      <c r="FWG1" s="2"/>
      <c r="FWH1" s="2"/>
      <c r="FWI1" s="2"/>
      <c r="FWJ1" s="2"/>
      <c r="FWK1" s="2"/>
      <c r="FWL1" s="2"/>
      <c r="FWM1" s="2"/>
      <c r="FWN1" s="2"/>
      <c r="FWO1" s="2"/>
      <c r="FWP1" s="2"/>
      <c r="FWQ1" s="2"/>
      <c r="FWR1" s="2"/>
      <c r="FWS1" s="2"/>
      <c r="FWT1" s="2"/>
      <c r="FWU1" s="2"/>
      <c r="FWV1" s="2"/>
      <c r="FWW1" s="2"/>
      <c r="FWX1" s="2"/>
      <c r="FWY1" s="2"/>
      <c r="FWZ1" s="2"/>
      <c r="FXA1" s="2"/>
      <c r="FXB1" s="2"/>
      <c r="FXC1" s="2"/>
      <c r="FXD1" s="2"/>
      <c r="FXE1" s="2"/>
      <c r="FXF1" s="2"/>
      <c r="FXG1" s="2"/>
      <c r="FXH1" s="2"/>
      <c r="FXI1" s="2"/>
      <c r="FXJ1" s="2"/>
      <c r="FXK1" s="2"/>
      <c r="FXL1" s="2"/>
      <c r="FXM1" s="2"/>
      <c r="FXN1" s="2"/>
      <c r="FXO1" s="2"/>
      <c r="FXP1" s="2"/>
      <c r="FXQ1" s="2"/>
      <c r="FXR1" s="2"/>
      <c r="FXS1" s="2"/>
      <c r="FXT1" s="2"/>
      <c r="FXU1" s="2"/>
      <c r="FXV1" s="2"/>
      <c r="FXW1" s="2"/>
      <c r="FXX1" s="2"/>
      <c r="FXY1" s="2"/>
      <c r="FXZ1" s="2"/>
      <c r="FYA1" s="2"/>
      <c r="FYB1" s="2"/>
      <c r="FYC1" s="2"/>
      <c r="FYD1" s="2"/>
      <c r="FYE1" s="2"/>
      <c r="FYF1" s="2"/>
      <c r="FYG1" s="2"/>
      <c r="FYH1" s="2"/>
      <c r="FYI1" s="2"/>
      <c r="FYJ1" s="2"/>
      <c r="FYK1" s="2"/>
      <c r="FYL1" s="2"/>
      <c r="FYM1" s="2"/>
      <c r="FYN1" s="2"/>
      <c r="FYO1" s="2"/>
      <c r="FYP1" s="2"/>
      <c r="FYQ1" s="2"/>
      <c r="FYR1" s="2"/>
      <c r="FYS1" s="2"/>
      <c r="FYT1" s="2"/>
      <c r="FYU1" s="2"/>
      <c r="FYV1" s="2"/>
      <c r="FYW1" s="2"/>
      <c r="FYX1" s="2"/>
      <c r="FYY1" s="2"/>
      <c r="FYZ1" s="2"/>
      <c r="FZA1" s="2"/>
      <c r="FZB1" s="2"/>
      <c r="FZC1" s="2"/>
      <c r="FZD1" s="2"/>
      <c r="FZE1" s="2"/>
      <c r="FZF1" s="2"/>
      <c r="FZG1" s="2"/>
      <c r="FZH1" s="2"/>
      <c r="FZI1" s="2"/>
      <c r="FZJ1" s="2"/>
      <c r="FZK1" s="2"/>
      <c r="FZL1" s="2"/>
      <c r="FZM1" s="2"/>
      <c r="FZN1" s="2"/>
      <c r="FZO1" s="2"/>
      <c r="FZP1" s="2"/>
      <c r="FZQ1" s="2"/>
      <c r="FZR1" s="2"/>
      <c r="FZS1" s="2"/>
      <c r="FZT1" s="2"/>
      <c r="FZU1" s="2"/>
      <c r="FZV1" s="2"/>
      <c r="FZW1" s="2"/>
      <c r="FZX1" s="2"/>
      <c r="FZY1" s="2"/>
      <c r="FZZ1" s="2"/>
      <c r="GAA1" s="2"/>
      <c r="GAB1" s="2"/>
      <c r="GAC1" s="2"/>
      <c r="GAD1" s="2"/>
      <c r="GAE1" s="2"/>
      <c r="GAF1" s="2"/>
      <c r="GAG1" s="2"/>
      <c r="GAH1" s="2"/>
      <c r="GAI1" s="2"/>
      <c r="GAJ1" s="2"/>
      <c r="GAK1" s="2"/>
      <c r="GAL1" s="2"/>
      <c r="GAM1" s="2"/>
      <c r="GAN1" s="2"/>
      <c r="GAO1" s="2"/>
      <c r="GAP1" s="2"/>
      <c r="GAQ1" s="2"/>
      <c r="GAR1" s="2"/>
      <c r="GAS1" s="2"/>
      <c r="GAT1" s="2"/>
      <c r="GAU1" s="2"/>
      <c r="GAV1" s="2"/>
      <c r="GAW1" s="2"/>
      <c r="GAX1" s="2"/>
      <c r="GAY1" s="2"/>
      <c r="GAZ1" s="2"/>
      <c r="GBA1" s="2"/>
      <c r="GBB1" s="2"/>
      <c r="GBC1" s="2"/>
      <c r="GBD1" s="2"/>
      <c r="GBE1" s="2"/>
      <c r="GBF1" s="2"/>
      <c r="GBG1" s="2"/>
      <c r="GBH1" s="2"/>
      <c r="GBI1" s="2"/>
      <c r="GBJ1" s="2"/>
      <c r="GBK1" s="2"/>
      <c r="GBL1" s="2"/>
      <c r="GBM1" s="2"/>
      <c r="GBN1" s="2"/>
      <c r="GBO1" s="2"/>
      <c r="GBP1" s="2"/>
      <c r="GBQ1" s="2"/>
      <c r="GBR1" s="2"/>
      <c r="GBS1" s="2"/>
      <c r="GBT1" s="2"/>
      <c r="GBU1" s="2"/>
      <c r="GBV1" s="2"/>
      <c r="GBW1" s="2"/>
      <c r="GBX1" s="2"/>
      <c r="GBY1" s="2"/>
      <c r="GBZ1" s="2"/>
      <c r="GCA1" s="2"/>
      <c r="GCB1" s="2"/>
      <c r="GCC1" s="2"/>
      <c r="GCD1" s="2"/>
      <c r="GCE1" s="2"/>
      <c r="GCF1" s="2"/>
      <c r="GCG1" s="2"/>
      <c r="GCH1" s="2"/>
      <c r="GCI1" s="2"/>
      <c r="GCJ1" s="2"/>
      <c r="GCK1" s="2"/>
      <c r="GCL1" s="2"/>
      <c r="GCM1" s="2"/>
      <c r="GCN1" s="2"/>
      <c r="GCO1" s="2"/>
      <c r="GCP1" s="2"/>
      <c r="GCQ1" s="2"/>
      <c r="GCR1" s="2"/>
      <c r="GCS1" s="2"/>
      <c r="GCT1" s="2"/>
      <c r="GCU1" s="2"/>
      <c r="GCV1" s="2"/>
      <c r="GCW1" s="2"/>
      <c r="GCX1" s="2"/>
      <c r="GCY1" s="2"/>
      <c r="GCZ1" s="2"/>
      <c r="GDA1" s="2"/>
      <c r="GDB1" s="2"/>
      <c r="GDC1" s="2"/>
      <c r="GDD1" s="2"/>
      <c r="GDE1" s="2"/>
      <c r="GDF1" s="2"/>
      <c r="GDG1" s="2"/>
      <c r="GDH1" s="2"/>
      <c r="GDI1" s="2"/>
      <c r="GDJ1" s="2"/>
      <c r="GDK1" s="2"/>
      <c r="GDL1" s="2"/>
      <c r="GDM1" s="2"/>
      <c r="GDN1" s="2"/>
      <c r="GDO1" s="2"/>
      <c r="GDP1" s="2"/>
      <c r="GDQ1" s="2"/>
      <c r="GDR1" s="2"/>
      <c r="GDS1" s="2"/>
      <c r="GDT1" s="2"/>
      <c r="GDU1" s="2"/>
      <c r="GDV1" s="2"/>
      <c r="GDW1" s="2"/>
      <c r="GDX1" s="2"/>
      <c r="GDY1" s="2"/>
      <c r="GDZ1" s="2"/>
      <c r="GEA1" s="2"/>
      <c r="GEB1" s="2"/>
      <c r="GEC1" s="2"/>
      <c r="GED1" s="2"/>
      <c r="GEE1" s="2"/>
      <c r="GEF1" s="2"/>
      <c r="GEG1" s="2"/>
      <c r="GEH1" s="2"/>
      <c r="GEI1" s="2"/>
      <c r="GEJ1" s="2"/>
      <c r="GEK1" s="2"/>
      <c r="GEL1" s="2"/>
      <c r="GEM1" s="2"/>
      <c r="GEN1" s="2"/>
      <c r="GEO1" s="2"/>
      <c r="GEP1" s="2"/>
      <c r="GEQ1" s="2"/>
      <c r="GER1" s="2"/>
      <c r="GES1" s="2"/>
      <c r="GET1" s="2"/>
      <c r="GEU1" s="2"/>
      <c r="GEV1" s="2"/>
      <c r="GEW1" s="2"/>
      <c r="GEX1" s="2"/>
      <c r="GEY1" s="2"/>
      <c r="GEZ1" s="2"/>
      <c r="GFA1" s="2"/>
      <c r="GFB1" s="2"/>
      <c r="GFC1" s="2"/>
      <c r="GFD1" s="2"/>
      <c r="GFE1" s="2"/>
      <c r="GFF1" s="2"/>
      <c r="GFG1" s="2"/>
      <c r="GFH1" s="2"/>
      <c r="GFI1" s="2"/>
      <c r="GFJ1" s="2"/>
      <c r="GFK1" s="2"/>
      <c r="GFL1" s="2"/>
      <c r="GFM1" s="2"/>
      <c r="GFN1" s="2"/>
      <c r="GFO1" s="2"/>
      <c r="GFP1" s="2"/>
      <c r="GFQ1" s="2"/>
      <c r="GFR1" s="2"/>
      <c r="GFS1" s="2"/>
      <c r="GFT1" s="2"/>
      <c r="GFU1" s="2"/>
      <c r="GFV1" s="2"/>
      <c r="GFW1" s="2"/>
      <c r="GFX1" s="2"/>
      <c r="GFY1" s="2"/>
      <c r="GFZ1" s="2"/>
      <c r="GGA1" s="2"/>
      <c r="GGB1" s="2"/>
      <c r="GGC1" s="2"/>
      <c r="GGD1" s="2"/>
      <c r="GGE1" s="2"/>
      <c r="GGF1" s="2"/>
      <c r="GGG1" s="2"/>
      <c r="GGH1" s="2"/>
      <c r="GGI1" s="2"/>
      <c r="GGJ1" s="2"/>
      <c r="GGK1" s="2"/>
      <c r="GGL1" s="2"/>
      <c r="GGM1" s="2"/>
      <c r="GGN1" s="2"/>
      <c r="GGO1" s="2"/>
      <c r="GGP1" s="2"/>
      <c r="GGQ1" s="2"/>
      <c r="GGR1" s="2"/>
      <c r="GGS1" s="2"/>
      <c r="GGT1" s="2"/>
      <c r="GGU1" s="2"/>
      <c r="GGV1" s="2"/>
      <c r="GGW1" s="2"/>
      <c r="GGX1" s="2"/>
      <c r="GGY1" s="2"/>
      <c r="GGZ1" s="2"/>
      <c r="GHA1" s="2"/>
      <c r="GHB1" s="2"/>
      <c r="GHC1" s="2"/>
      <c r="GHD1" s="2"/>
      <c r="GHE1" s="2"/>
      <c r="GHF1" s="2"/>
      <c r="GHG1" s="2"/>
      <c r="GHH1" s="2"/>
      <c r="GHI1" s="2"/>
      <c r="GHJ1" s="2"/>
      <c r="GHK1" s="2"/>
      <c r="GHL1" s="2"/>
      <c r="GHM1" s="2"/>
      <c r="GHN1" s="2"/>
      <c r="GHO1" s="2"/>
      <c r="GHP1" s="2"/>
      <c r="GHQ1" s="2"/>
      <c r="GHR1" s="2"/>
      <c r="GHS1" s="2"/>
      <c r="GHT1" s="2"/>
      <c r="GHU1" s="2"/>
      <c r="GHV1" s="2"/>
      <c r="GHW1" s="2"/>
      <c r="GHX1" s="2"/>
      <c r="GHY1" s="2"/>
      <c r="GHZ1" s="2"/>
      <c r="GIA1" s="2"/>
      <c r="GIB1" s="2"/>
      <c r="GIC1" s="2"/>
      <c r="GID1" s="2"/>
      <c r="GIE1" s="2"/>
      <c r="GIF1" s="2"/>
      <c r="GIG1" s="2"/>
      <c r="GIH1" s="2"/>
      <c r="GII1" s="2"/>
      <c r="GIJ1" s="2"/>
      <c r="GIK1" s="2"/>
      <c r="GIL1" s="2"/>
      <c r="GIM1" s="2"/>
      <c r="GIN1" s="2"/>
      <c r="GIO1" s="2"/>
      <c r="GIP1" s="2"/>
      <c r="GIQ1" s="2"/>
      <c r="GIR1" s="2"/>
      <c r="GIS1" s="2"/>
      <c r="GIT1" s="2"/>
      <c r="GIU1" s="2"/>
      <c r="GIV1" s="2"/>
      <c r="GIW1" s="2"/>
      <c r="GIX1" s="2"/>
      <c r="GIY1" s="2"/>
      <c r="GIZ1" s="2"/>
      <c r="GJA1" s="2"/>
      <c r="GJB1" s="2"/>
      <c r="GJC1" s="2"/>
      <c r="GJD1" s="2"/>
      <c r="GJE1" s="2"/>
      <c r="GJF1" s="2"/>
      <c r="GJG1" s="2"/>
      <c r="GJH1" s="2"/>
      <c r="GJI1" s="2"/>
      <c r="GJJ1" s="2"/>
      <c r="GJK1" s="2"/>
      <c r="GJL1" s="2"/>
      <c r="GJM1" s="2"/>
      <c r="GJN1" s="2"/>
      <c r="GJO1" s="2"/>
      <c r="GJP1" s="2"/>
      <c r="GJQ1" s="2"/>
      <c r="GJR1" s="2"/>
      <c r="GJS1" s="2"/>
      <c r="GJT1" s="2"/>
      <c r="GJU1" s="2"/>
      <c r="GJV1" s="2"/>
      <c r="GJW1" s="2"/>
      <c r="GJX1" s="2"/>
      <c r="GJY1" s="2"/>
      <c r="GJZ1" s="2"/>
      <c r="GKA1" s="2"/>
      <c r="GKB1" s="2"/>
      <c r="GKC1" s="2"/>
      <c r="GKD1" s="2"/>
      <c r="GKE1" s="2"/>
      <c r="GKF1" s="2"/>
      <c r="GKG1" s="2"/>
      <c r="GKH1" s="2"/>
      <c r="GKI1" s="2"/>
      <c r="GKJ1" s="2"/>
      <c r="GKK1" s="2"/>
      <c r="GKL1" s="2"/>
      <c r="GKM1" s="2"/>
      <c r="GKN1" s="2"/>
      <c r="GKO1" s="2"/>
      <c r="GKP1" s="2"/>
      <c r="GKQ1" s="2"/>
      <c r="GKR1" s="2"/>
      <c r="GKS1" s="2"/>
      <c r="GKT1" s="2"/>
      <c r="GKU1" s="2"/>
      <c r="GKV1" s="2"/>
      <c r="GKW1" s="2"/>
      <c r="GKX1" s="2"/>
      <c r="GKY1" s="2"/>
      <c r="GKZ1" s="2"/>
      <c r="GLA1" s="2"/>
      <c r="GLB1" s="2"/>
      <c r="GLC1" s="2"/>
      <c r="GLD1" s="2"/>
      <c r="GLE1" s="2"/>
      <c r="GLF1" s="2"/>
      <c r="GLG1" s="2"/>
      <c r="GLH1" s="2"/>
      <c r="GLI1" s="2"/>
      <c r="GLJ1" s="2"/>
      <c r="GLK1" s="2"/>
      <c r="GLL1" s="2"/>
      <c r="GLM1" s="2"/>
      <c r="GLN1" s="2"/>
      <c r="GLO1" s="2"/>
      <c r="GLP1" s="2"/>
      <c r="GLQ1" s="2"/>
      <c r="GLR1" s="2"/>
      <c r="GLS1" s="2"/>
      <c r="GLT1" s="2"/>
      <c r="GLU1" s="2"/>
      <c r="GLV1" s="2"/>
      <c r="GLW1" s="2"/>
      <c r="GLX1" s="2"/>
      <c r="GLY1" s="2"/>
      <c r="GLZ1" s="2"/>
      <c r="GMA1" s="2"/>
      <c r="GMB1" s="2"/>
      <c r="GMC1" s="2"/>
      <c r="GMD1" s="2"/>
      <c r="GME1" s="2"/>
      <c r="GMF1" s="2"/>
      <c r="GMG1" s="2"/>
      <c r="GMH1" s="2"/>
      <c r="GMI1" s="2"/>
      <c r="GMJ1" s="2"/>
      <c r="GMK1" s="2"/>
      <c r="GML1" s="2"/>
      <c r="GMM1" s="2"/>
      <c r="GMN1" s="2"/>
      <c r="GMO1" s="2"/>
      <c r="GMP1" s="2"/>
      <c r="GMQ1" s="2"/>
      <c r="GMR1" s="2"/>
      <c r="GMS1" s="2"/>
      <c r="GMT1" s="2"/>
      <c r="GMU1" s="2"/>
      <c r="GMV1" s="2"/>
      <c r="GMW1" s="2"/>
      <c r="GMX1" s="2"/>
      <c r="GMY1" s="2"/>
      <c r="GMZ1" s="2"/>
      <c r="GNA1" s="2"/>
      <c r="GNB1" s="2"/>
      <c r="GNC1" s="2"/>
      <c r="GND1" s="2"/>
      <c r="GNE1" s="2"/>
      <c r="GNF1" s="2"/>
      <c r="GNG1" s="2"/>
      <c r="GNH1" s="2"/>
      <c r="GNI1" s="2"/>
      <c r="GNJ1" s="2"/>
      <c r="GNK1" s="2"/>
      <c r="GNL1" s="2"/>
      <c r="GNM1" s="2"/>
      <c r="GNN1" s="2"/>
      <c r="GNO1" s="2"/>
      <c r="GNP1" s="2"/>
      <c r="GNQ1" s="2"/>
      <c r="GNR1" s="2"/>
      <c r="GNS1" s="2"/>
      <c r="GNT1" s="2"/>
      <c r="GNU1" s="2"/>
      <c r="GNV1" s="2"/>
      <c r="GNW1" s="2"/>
      <c r="GNX1" s="2"/>
      <c r="GNY1" s="2"/>
      <c r="GNZ1" s="2"/>
      <c r="GOA1" s="2"/>
      <c r="GOB1" s="2"/>
      <c r="GOC1" s="2"/>
      <c r="GOD1" s="2"/>
      <c r="GOE1" s="2"/>
      <c r="GOF1" s="2"/>
      <c r="GOG1" s="2"/>
      <c r="GOH1" s="2"/>
      <c r="GOI1" s="2"/>
      <c r="GOJ1" s="2"/>
      <c r="GOK1" s="2"/>
      <c r="GOL1" s="2"/>
      <c r="GOM1" s="2"/>
      <c r="GON1" s="2"/>
      <c r="GOO1" s="2"/>
      <c r="GOP1" s="2"/>
      <c r="GOQ1" s="2"/>
      <c r="GOR1" s="2"/>
      <c r="GOS1" s="2"/>
      <c r="GOT1" s="2"/>
      <c r="GOU1" s="2"/>
      <c r="GOV1" s="2"/>
      <c r="GOW1" s="2"/>
      <c r="GOX1" s="2"/>
      <c r="GOY1" s="2"/>
      <c r="GOZ1" s="2"/>
      <c r="GPA1" s="2"/>
      <c r="GPB1" s="2"/>
      <c r="GPC1" s="2"/>
      <c r="GPD1" s="2"/>
      <c r="GPE1" s="2"/>
      <c r="GPF1" s="2"/>
      <c r="GPG1" s="2"/>
      <c r="GPH1" s="2"/>
      <c r="GPI1" s="2"/>
      <c r="GPJ1" s="2"/>
      <c r="GPK1" s="2"/>
      <c r="GPL1" s="2"/>
      <c r="GPM1" s="2"/>
      <c r="GPN1" s="2"/>
      <c r="GPO1" s="2"/>
      <c r="GPP1" s="2"/>
      <c r="GPQ1" s="2"/>
      <c r="GPR1" s="2"/>
      <c r="GPS1" s="2"/>
      <c r="GPT1" s="2"/>
      <c r="GPU1" s="2"/>
      <c r="GPV1" s="2"/>
      <c r="GPW1" s="2"/>
      <c r="GPX1" s="2"/>
      <c r="GPY1" s="2"/>
      <c r="GPZ1" s="2"/>
      <c r="GQA1" s="2"/>
      <c r="GQB1" s="2"/>
      <c r="GQC1" s="2"/>
      <c r="GQD1" s="2"/>
      <c r="GQE1" s="2"/>
      <c r="GQF1" s="2"/>
      <c r="GQG1" s="2"/>
      <c r="GQH1" s="2"/>
      <c r="GQI1" s="2"/>
      <c r="GQJ1" s="2"/>
      <c r="GQK1" s="2"/>
      <c r="GQL1" s="2"/>
      <c r="GQM1" s="2"/>
      <c r="GQN1" s="2"/>
      <c r="GQO1" s="2"/>
      <c r="GQP1" s="2"/>
      <c r="GQQ1" s="2"/>
      <c r="GQR1" s="2"/>
      <c r="GQS1" s="2"/>
      <c r="GQT1" s="2"/>
      <c r="GQU1" s="2"/>
      <c r="GQV1" s="2"/>
      <c r="GQW1" s="2"/>
      <c r="GQX1" s="2"/>
      <c r="GQY1" s="2"/>
      <c r="GQZ1" s="2"/>
      <c r="GRA1" s="2"/>
      <c r="GRB1" s="2"/>
      <c r="GRC1" s="2"/>
      <c r="GRD1" s="2"/>
      <c r="GRE1" s="2"/>
      <c r="GRF1" s="2"/>
      <c r="GRG1" s="2"/>
      <c r="GRH1" s="2"/>
      <c r="GRI1" s="2"/>
      <c r="GRJ1" s="2"/>
      <c r="GRK1" s="2"/>
      <c r="GRL1" s="2"/>
      <c r="GRM1" s="2"/>
      <c r="GRN1" s="2"/>
      <c r="GRO1" s="2"/>
      <c r="GRP1" s="2"/>
      <c r="GRQ1" s="2"/>
      <c r="GRR1" s="2"/>
      <c r="GRS1" s="2"/>
      <c r="GRT1" s="2"/>
      <c r="GRU1" s="2"/>
      <c r="GRV1" s="2"/>
      <c r="GRW1" s="2"/>
      <c r="GRX1" s="2"/>
      <c r="GRY1" s="2"/>
      <c r="GRZ1" s="2"/>
      <c r="GSA1" s="2"/>
      <c r="GSB1" s="2"/>
      <c r="GSC1" s="2"/>
      <c r="GSD1" s="2"/>
      <c r="GSE1" s="2"/>
      <c r="GSF1" s="2"/>
      <c r="GSG1" s="2"/>
      <c r="GSH1" s="2"/>
      <c r="GSI1" s="2"/>
      <c r="GSJ1" s="2"/>
      <c r="GSK1" s="2"/>
      <c r="GSL1" s="2"/>
      <c r="GSM1" s="2"/>
      <c r="GSN1" s="2"/>
      <c r="GSO1" s="2"/>
      <c r="GSP1" s="2"/>
      <c r="GSQ1" s="2"/>
      <c r="GSR1" s="2"/>
      <c r="GSS1" s="2"/>
      <c r="GST1" s="2"/>
      <c r="GSU1" s="2"/>
      <c r="GSV1" s="2"/>
      <c r="GSW1" s="2"/>
      <c r="GSX1" s="2"/>
      <c r="GSY1" s="2"/>
      <c r="GSZ1" s="2"/>
      <c r="GTA1" s="2"/>
      <c r="GTB1" s="2"/>
      <c r="GTC1" s="2"/>
      <c r="GTD1" s="2"/>
      <c r="GTE1" s="2"/>
      <c r="GTF1" s="2"/>
      <c r="GTG1" s="2"/>
      <c r="GTH1" s="2"/>
      <c r="GTI1" s="2"/>
      <c r="GTJ1" s="2"/>
      <c r="GTK1" s="2"/>
      <c r="GTL1" s="2"/>
      <c r="GTM1" s="2"/>
      <c r="GTN1" s="2"/>
      <c r="GTO1" s="2"/>
      <c r="GTP1" s="2"/>
      <c r="GTQ1" s="2"/>
      <c r="GTR1" s="2"/>
      <c r="GTS1" s="2"/>
      <c r="GTT1" s="2"/>
      <c r="GTU1" s="2"/>
      <c r="GTV1" s="2"/>
      <c r="GTW1" s="2"/>
      <c r="GTX1" s="2"/>
      <c r="GTY1" s="2"/>
      <c r="GTZ1" s="2"/>
      <c r="GUA1" s="2"/>
      <c r="GUB1" s="2"/>
      <c r="GUC1" s="2"/>
      <c r="GUD1" s="2"/>
      <c r="GUE1" s="2"/>
      <c r="GUF1" s="2"/>
      <c r="GUG1" s="2"/>
      <c r="GUH1" s="2"/>
      <c r="GUI1" s="2"/>
      <c r="GUJ1" s="2"/>
      <c r="GUK1" s="2"/>
      <c r="GUL1" s="2"/>
      <c r="GUM1" s="2"/>
      <c r="GUN1" s="2"/>
      <c r="GUO1" s="2"/>
      <c r="GUP1" s="2"/>
      <c r="GUQ1" s="2"/>
      <c r="GUR1" s="2"/>
      <c r="GUS1" s="2"/>
      <c r="GUT1" s="2"/>
      <c r="GUU1" s="2"/>
      <c r="GUV1" s="2"/>
      <c r="GUW1" s="2"/>
      <c r="GUX1" s="2"/>
      <c r="GUY1" s="2"/>
      <c r="GUZ1" s="2"/>
      <c r="GVA1" s="2"/>
      <c r="GVB1" s="2"/>
      <c r="GVC1" s="2"/>
      <c r="GVD1" s="2"/>
      <c r="GVE1" s="2"/>
      <c r="GVF1" s="2"/>
      <c r="GVG1" s="2"/>
      <c r="GVH1" s="2"/>
      <c r="GVI1" s="2"/>
      <c r="GVJ1" s="2"/>
      <c r="GVK1" s="2"/>
      <c r="GVL1" s="2"/>
      <c r="GVM1" s="2"/>
      <c r="GVN1" s="2"/>
      <c r="GVO1" s="2"/>
      <c r="GVP1" s="2"/>
      <c r="GVQ1" s="2"/>
      <c r="GVR1" s="2"/>
      <c r="GVS1" s="2"/>
      <c r="GVT1" s="2"/>
      <c r="GVU1" s="2"/>
      <c r="GVV1" s="2"/>
      <c r="GVW1" s="2"/>
      <c r="GVX1" s="2"/>
      <c r="GVY1" s="2"/>
      <c r="GVZ1" s="2"/>
      <c r="GWA1" s="2"/>
      <c r="GWB1" s="2"/>
      <c r="GWC1" s="2"/>
      <c r="GWD1" s="2"/>
      <c r="GWE1" s="2"/>
      <c r="GWF1" s="2"/>
      <c r="GWG1" s="2"/>
      <c r="GWH1" s="2"/>
      <c r="GWI1" s="2"/>
      <c r="GWJ1" s="2"/>
      <c r="GWK1" s="2"/>
      <c r="GWL1" s="2"/>
      <c r="GWM1" s="2"/>
      <c r="GWN1" s="2"/>
      <c r="GWO1" s="2"/>
      <c r="GWP1" s="2"/>
      <c r="GWQ1" s="2"/>
      <c r="GWR1" s="2"/>
      <c r="GWS1" s="2"/>
      <c r="GWT1" s="2"/>
      <c r="GWU1" s="2"/>
      <c r="GWV1" s="2"/>
      <c r="GWW1" s="2"/>
      <c r="GWX1" s="2"/>
      <c r="GWY1" s="2"/>
      <c r="GWZ1" s="2"/>
      <c r="GXA1" s="2"/>
      <c r="GXB1" s="2"/>
      <c r="GXC1" s="2"/>
      <c r="GXD1" s="2"/>
      <c r="GXE1" s="2"/>
      <c r="GXF1" s="2"/>
      <c r="GXG1" s="2"/>
      <c r="GXH1" s="2"/>
      <c r="GXI1" s="2"/>
      <c r="GXJ1" s="2"/>
      <c r="GXK1" s="2"/>
      <c r="GXL1" s="2"/>
      <c r="GXM1" s="2"/>
      <c r="GXN1" s="2"/>
      <c r="GXO1" s="2"/>
      <c r="GXP1" s="2"/>
      <c r="GXQ1" s="2"/>
      <c r="GXR1" s="2"/>
      <c r="GXS1" s="2"/>
      <c r="GXT1" s="2"/>
      <c r="GXU1" s="2"/>
      <c r="GXV1" s="2"/>
      <c r="GXW1" s="2"/>
      <c r="GXX1" s="2"/>
      <c r="GXY1" s="2"/>
      <c r="GXZ1" s="2"/>
      <c r="GYA1" s="2"/>
      <c r="GYB1" s="2"/>
      <c r="GYC1" s="2"/>
      <c r="GYD1" s="2"/>
      <c r="GYE1" s="2"/>
      <c r="GYF1" s="2"/>
      <c r="GYG1" s="2"/>
      <c r="GYH1" s="2"/>
      <c r="GYI1" s="2"/>
      <c r="GYJ1" s="2"/>
      <c r="GYK1" s="2"/>
      <c r="GYL1" s="2"/>
      <c r="GYM1" s="2"/>
      <c r="GYN1" s="2"/>
      <c r="GYO1" s="2"/>
      <c r="GYP1" s="2"/>
      <c r="GYQ1" s="2"/>
      <c r="GYR1" s="2"/>
      <c r="GYS1" s="2"/>
      <c r="GYT1" s="2"/>
      <c r="GYU1" s="2"/>
      <c r="GYV1" s="2"/>
      <c r="GYW1" s="2"/>
      <c r="GYX1" s="2"/>
      <c r="GYY1" s="2"/>
      <c r="GYZ1" s="2"/>
      <c r="GZA1" s="2"/>
      <c r="GZB1" s="2"/>
      <c r="GZC1" s="2"/>
      <c r="GZD1" s="2"/>
      <c r="GZE1" s="2"/>
      <c r="GZF1" s="2"/>
      <c r="GZG1" s="2"/>
      <c r="GZH1" s="2"/>
      <c r="GZI1" s="2"/>
      <c r="GZJ1" s="2"/>
      <c r="GZK1" s="2"/>
      <c r="GZL1" s="2"/>
      <c r="GZM1" s="2"/>
      <c r="GZN1" s="2"/>
      <c r="GZO1" s="2"/>
      <c r="GZP1" s="2"/>
      <c r="GZQ1" s="2"/>
      <c r="GZR1" s="2"/>
      <c r="GZS1" s="2"/>
      <c r="GZT1" s="2"/>
      <c r="GZU1" s="2"/>
      <c r="GZV1" s="2"/>
      <c r="GZW1" s="2"/>
      <c r="GZX1" s="2"/>
      <c r="GZY1" s="2"/>
      <c r="GZZ1" s="2"/>
      <c r="HAA1" s="2"/>
      <c r="HAB1" s="2"/>
      <c r="HAC1" s="2"/>
      <c r="HAD1" s="2"/>
      <c r="HAE1" s="2"/>
      <c r="HAF1" s="2"/>
      <c r="HAG1" s="2"/>
      <c r="HAH1" s="2"/>
      <c r="HAI1" s="2"/>
      <c r="HAJ1" s="2"/>
      <c r="HAK1" s="2"/>
      <c r="HAL1" s="2"/>
      <c r="HAM1" s="2"/>
      <c r="HAN1" s="2"/>
      <c r="HAO1" s="2"/>
      <c r="HAP1" s="2"/>
      <c r="HAQ1" s="2"/>
      <c r="HAR1" s="2"/>
      <c r="HAS1" s="2"/>
      <c r="HAT1" s="2"/>
      <c r="HAU1" s="2"/>
      <c r="HAV1" s="2"/>
      <c r="HAW1" s="2"/>
      <c r="HAX1" s="2"/>
      <c r="HAY1" s="2"/>
      <c r="HAZ1" s="2"/>
      <c r="HBA1" s="2"/>
      <c r="HBB1" s="2"/>
      <c r="HBC1" s="2"/>
      <c r="HBD1" s="2"/>
      <c r="HBE1" s="2"/>
      <c r="HBF1" s="2"/>
      <c r="HBG1" s="2"/>
      <c r="HBH1" s="2"/>
      <c r="HBI1" s="2"/>
      <c r="HBJ1" s="2"/>
      <c r="HBK1" s="2"/>
      <c r="HBL1" s="2"/>
      <c r="HBM1" s="2"/>
      <c r="HBN1" s="2"/>
      <c r="HBO1" s="2"/>
      <c r="HBP1" s="2"/>
      <c r="HBQ1" s="2"/>
      <c r="HBR1" s="2"/>
      <c r="HBS1" s="2"/>
      <c r="HBT1" s="2"/>
      <c r="HBU1" s="2"/>
      <c r="HBV1" s="2"/>
      <c r="HBW1" s="2"/>
      <c r="HBX1" s="2"/>
      <c r="HBY1" s="2"/>
      <c r="HBZ1" s="2"/>
      <c r="HCA1" s="2"/>
      <c r="HCB1" s="2"/>
      <c r="HCC1" s="2"/>
      <c r="HCD1" s="2"/>
      <c r="HCE1" s="2"/>
      <c r="HCF1" s="2"/>
      <c r="HCG1" s="2"/>
      <c r="HCH1" s="2"/>
      <c r="HCI1" s="2"/>
      <c r="HCJ1" s="2"/>
      <c r="HCK1" s="2"/>
      <c r="HCL1" s="2"/>
      <c r="HCM1" s="2"/>
      <c r="HCN1" s="2"/>
      <c r="HCO1" s="2"/>
      <c r="HCP1" s="2"/>
      <c r="HCQ1" s="2"/>
      <c r="HCR1" s="2"/>
      <c r="HCS1" s="2"/>
      <c r="HCT1" s="2"/>
      <c r="HCU1" s="2"/>
      <c r="HCV1" s="2"/>
      <c r="HCW1" s="2"/>
      <c r="HCX1" s="2"/>
      <c r="HCY1" s="2"/>
      <c r="HCZ1" s="2"/>
      <c r="HDA1" s="2"/>
      <c r="HDB1" s="2"/>
      <c r="HDC1" s="2"/>
      <c r="HDD1" s="2"/>
      <c r="HDE1" s="2"/>
      <c r="HDF1" s="2"/>
      <c r="HDG1" s="2"/>
      <c r="HDH1" s="2"/>
      <c r="HDI1" s="2"/>
      <c r="HDJ1" s="2"/>
      <c r="HDK1" s="2"/>
      <c r="HDL1" s="2"/>
      <c r="HDM1" s="2"/>
      <c r="HDN1" s="2"/>
      <c r="HDO1" s="2"/>
      <c r="HDP1" s="2"/>
      <c r="HDQ1" s="2"/>
      <c r="HDR1" s="2"/>
      <c r="HDS1" s="2"/>
      <c r="HDT1" s="2"/>
      <c r="HDU1" s="2"/>
      <c r="HDV1" s="2"/>
      <c r="HDW1" s="2"/>
      <c r="HDX1" s="2"/>
      <c r="HDY1" s="2"/>
      <c r="HDZ1" s="2"/>
      <c r="HEA1" s="2"/>
      <c r="HEB1" s="2"/>
      <c r="HEC1" s="2"/>
      <c r="HED1" s="2"/>
      <c r="HEE1" s="2"/>
      <c r="HEF1" s="2"/>
      <c r="HEG1" s="2"/>
      <c r="HEH1" s="2"/>
      <c r="HEI1" s="2"/>
      <c r="HEJ1" s="2"/>
      <c r="HEK1" s="2"/>
      <c r="HEL1" s="2"/>
      <c r="HEM1" s="2"/>
      <c r="HEN1" s="2"/>
      <c r="HEO1" s="2"/>
      <c r="HEP1" s="2"/>
      <c r="HEQ1" s="2"/>
      <c r="HER1" s="2"/>
      <c r="HES1" s="2"/>
      <c r="HET1" s="2"/>
      <c r="HEU1" s="2"/>
      <c r="HEV1" s="2"/>
      <c r="HEW1" s="2"/>
      <c r="HEX1" s="2"/>
      <c r="HEY1" s="2"/>
      <c r="HEZ1" s="2"/>
      <c r="HFA1" s="2"/>
      <c r="HFB1" s="2"/>
      <c r="HFC1" s="2"/>
      <c r="HFD1" s="2"/>
      <c r="HFE1" s="2"/>
      <c r="HFF1" s="2"/>
      <c r="HFG1" s="2"/>
      <c r="HFH1" s="2"/>
      <c r="HFI1" s="2"/>
      <c r="HFJ1" s="2"/>
      <c r="HFK1" s="2"/>
      <c r="HFL1" s="2"/>
      <c r="HFM1" s="2"/>
      <c r="HFN1" s="2"/>
      <c r="HFO1" s="2"/>
      <c r="HFP1" s="2"/>
      <c r="HFQ1" s="2"/>
      <c r="HFR1" s="2"/>
      <c r="HFS1" s="2"/>
      <c r="HFT1" s="2"/>
      <c r="HFU1" s="2"/>
      <c r="HFV1" s="2"/>
      <c r="HFW1" s="2"/>
      <c r="HFX1" s="2"/>
      <c r="HFY1" s="2"/>
      <c r="HFZ1" s="2"/>
      <c r="HGA1" s="2"/>
      <c r="HGB1" s="2"/>
      <c r="HGC1" s="2"/>
      <c r="HGD1" s="2"/>
      <c r="HGE1" s="2"/>
      <c r="HGF1" s="2"/>
      <c r="HGG1" s="2"/>
      <c r="HGH1" s="2"/>
      <c r="HGI1" s="2"/>
      <c r="HGJ1" s="2"/>
      <c r="HGK1" s="2"/>
      <c r="HGL1" s="2"/>
      <c r="HGM1" s="2"/>
      <c r="HGN1" s="2"/>
      <c r="HGO1" s="2"/>
      <c r="HGP1" s="2"/>
      <c r="HGQ1" s="2"/>
      <c r="HGR1" s="2"/>
      <c r="HGS1" s="2"/>
      <c r="HGT1" s="2"/>
      <c r="HGU1" s="2"/>
      <c r="HGV1" s="2"/>
      <c r="HGW1" s="2"/>
      <c r="HGX1" s="2"/>
      <c r="HGY1" s="2"/>
      <c r="HGZ1" s="2"/>
      <c r="HHA1" s="2"/>
      <c r="HHB1" s="2"/>
      <c r="HHC1" s="2"/>
      <c r="HHD1" s="2"/>
      <c r="HHE1" s="2"/>
      <c r="HHF1" s="2"/>
      <c r="HHG1" s="2"/>
      <c r="HHH1" s="2"/>
      <c r="HHI1" s="2"/>
      <c r="HHJ1" s="2"/>
      <c r="HHK1" s="2"/>
      <c r="HHL1" s="2"/>
      <c r="HHM1" s="2"/>
      <c r="HHN1" s="2"/>
      <c r="HHO1" s="2"/>
      <c r="HHP1" s="2"/>
      <c r="HHQ1" s="2"/>
      <c r="HHR1" s="2"/>
      <c r="HHS1" s="2"/>
      <c r="HHT1" s="2"/>
      <c r="HHU1" s="2"/>
      <c r="HHV1" s="2"/>
      <c r="HHW1" s="2"/>
      <c r="HHX1" s="2"/>
      <c r="HHY1" s="2"/>
      <c r="HHZ1" s="2"/>
      <c r="HIA1" s="2"/>
      <c r="HIB1" s="2"/>
      <c r="HIC1" s="2"/>
      <c r="HID1" s="2"/>
      <c r="HIE1" s="2"/>
      <c r="HIF1" s="2"/>
      <c r="HIG1" s="2"/>
      <c r="HIH1" s="2"/>
      <c r="HII1" s="2"/>
      <c r="HIJ1" s="2"/>
      <c r="HIK1" s="2"/>
      <c r="HIL1" s="2"/>
      <c r="HIM1" s="2"/>
      <c r="HIN1" s="2"/>
      <c r="HIO1" s="2"/>
      <c r="HIP1" s="2"/>
      <c r="HIQ1" s="2"/>
      <c r="HIR1" s="2"/>
      <c r="HIS1" s="2"/>
      <c r="HIT1" s="2"/>
      <c r="HIU1" s="2"/>
      <c r="HIV1" s="2"/>
      <c r="HIW1" s="2"/>
      <c r="HIX1" s="2"/>
      <c r="HIY1" s="2"/>
      <c r="HIZ1" s="2"/>
      <c r="HJA1" s="2"/>
      <c r="HJB1" s="2"/>
      <c r="HJC1" s="2"/>
      <c r="HJD1" s="2"/>
      <c r="HJE1" s="2"/>
      <c r="HJF1" s="2"/>
      <c r="HJG1" s="2"/>
      <c r="HJH1" s="2"/>
      <c r="HJI1" s="2"/>
      <c r="HJJ1" s="2"/>
      <c r="HJK1" s="2"/>
      <c r="HJL1" s="2"/>
      <c r="HJM1" s="2"/>
      <c r="HJN1" s="2"/>
      <c r="HJO1" s="2"/>
      <c r="HJP1" s="2"/>
      <c r="HJQ1" s="2"/>
      <c r="HJR1" s="2"/>
      <c r="HJS1" s="2"/>
      <c r="HJT1" s="2"/>
      <c r="HJU1" s="2"/>
      <c r="HJV1" s="2"/>
      <c r="HJW1" s="2"/>
      <c r="HJX1" s="2"/>
      <c r="HJY1" s="2"/>
      <c r="HJZ1" s="2"/>
      <c r="HKA1" s="2"/>
      <c r="HKB1" s="2"/>
      <c r="HKC1" s="2"/>
      <c r="HKD1" s="2"/>
      <c r="HKE1" s="2"/>
      <c r="HKF1" s="2"/>
      <c r="HKG1" s="2"/>
      <c r="HKH1" s="2"/>
      <c r="HKI1" s="2"/>
      <c r="HKJ1" s="2"/>
      <c r="HKK1" s="2"/>
      <c r="HKL1" s="2"/>
      <c r="HKM1" s="2"/>
      <c r="HKN1" s="2"/>
      <c r="HKO1" s="2"/>
      <c r="HKP1" s="2"/>
      <c r="HKQ1" s="2"/>
      <c r="HKR1" s="2"/>
      <c r="HKS1" s="2"/>
      <c r="HKT1" s="2"/>
      <c r="HKU1" s="2"/>
      <c r="HKV1" s="2"/>
      <c r="HKW1" s="2"/>
      <c r="HKX1" s="2"/>
      <c r="HKY1" s="2"/>
      <c r="HKZ1" s="2"/>
      <c r="HLA1" s="2"/>
      <c r="HLB1" s="2"/>
      <c r="HLC1" s="2"/>
      <c r="HLD1" s="2"/>
      <c r="HLE1" s="2"/>
      <c r="HLF1" s="2"/>
      <c r="HLG1" s="2"/>
      <c r="HLH1" s="2"/>
      <c r="HLI1" s="2"/>
      <c r="HLJ1" s="2"/>
      <c r="HLK1" s="2"/>
      <c r="HLL1" s="2"/>
      <c r="HLM1" s="2"/>
      <c r="HLN1" s="2"/>
      <c r="HLO1" s="2"/>
      <c r="HLP1" s="2"/>
      <c r="HLQ1" s="2"/>
      <c r="HLR1" s="2"/>
      <c r="HLS1" s="2"/>
      <c r="HLT1" s="2"/>
      <c r="HLU1" s="2"/>
      <c r="HLV1" s="2"/>
      <c r="HLW1" s="2"/>
      <c r="HLX1" s="2"/>
      <c r="HLY1" s="2"/>
      <c r="HLZ1" s="2"/>
      <c r="HMA1" s="2"/>
      <c r="HMB1" s="2"/>
      <c r="HMC1" s="2"/>
      <c r="HMD1" s="2"/>
      <c r="HME1" s="2"/>
      <c r="HMF1" s="2"/>
      <c r="HMG1" s="2"/>
      <c r="HMH1" s="2"/>
      <c r="HMI1" s="2"/>
      <c r="HMJ1" s="2"/>
      <c r="HMK1" s="2"/>
      <c r="HML1" s="2"/>
      <c r="HMM1" s="2"/>
      <c r="HMN1" s="2"/>
      <c r="HMO1" s="2"/>
      <c r="HMP1" s="2"/>
      <c r="HMQ1" s="2"/>
      <c r="HMR1" s="2"/>
      <c r="HMS1" s="2"/>
      <c r="HMT1" s="2"/>
      <c r="HMU1" s="2"/>
      <c r="HMV1" s="2"/>
      <c r="HMW1" s="2"/>
      <c r="HMX1" s="2"/>
      <c r="HMY1" s="2"/>
      <c r="HMZ1" s="2"/>
      <c r="HNA1" s="2"/>
      <c r="HNB1" s="2"/>
      <c r="HNC1" s="2"/>
      <c r="HND1" s="2"/>
      <c r="HNE1" s="2"/>
      <c r="HNF1" s="2"/>
      <c r="HNG1" s="2"/>
      <c r="HNH1" s="2"/>
      <c r="HNI1" s="2"/>
      <c r="HNJ1" s="2"/>
      <c r="HNK1" s="2"/>
      <c r="HNL1" s="2"/>
      <c r="HNM1" s="2"/>
      <c r="HNN1" s="2"/>
      <c r="HNO1" s="2"/>
      <c r="HNP1" s="2"/>
      <c r="HNQ1" s="2"/>
      <c r="HNR1" s="2"/>
      <c r="HNS1" s="2"/>
      <c r="HNT1" s="2"/>
      <c r="HNU1" s="2"/>
      <c r="HNV1" s="2"/>
      <c r="HNW1" s="2"/>
      <c r="HNX1" s="2"/>
      <c r="HNY1" s="2"/>
      <c r="HNZ1" s="2"/>
      <c r="HOA1" s="2"/>
      <c r="HOB1" s="2"/>
      <c r="HOC1" s="2"/>
      <c r="HOD1" s="2"/>
      <c r="HOE1" s="2"/>
      <c r="HOF1" s="2"/>
      <c r="HOG1" s="2"/>
      <c r="HOH1" s="2"/>
      <c r="HOI1" s="2"/>
      <c r="HOJ1" s="2"/>
      <c r="HOK1" s="2"/>
      <c r="HOL1" s="2"/>
      <c r="HOM1" s="2"/>
      <c r="HON1" s="2"/>
      <c r="HOO1" s="2"/>
      <c r="HOP1" s="2"/>
      <c r="HOQ1" s="2"/>
      <c r="HOR1" s="2"/>
      <c r="HOS1" s="2"/>
      <c r="HOT1" s="2"/>
      <c r="HOU1" s="2"/>
      <c r="HOV1" s="2"/>
      <c r="HOW1" s="2"/>
      <c r="HOX1" s="2"/>
      <c r="HOY1" s="2"/>
      <c r="HOZ1" s="2"/>
      <c r="HPA1" s="2"/>
      <c r="HPB1" s="2"/>
      <c r="HPC1" s="2"/>
      <c r="HPD1" s="2"/>
      <c r="HPE1" s="2"/>
      <c r="HPF1" s="2"/>
      <c r="HPG1" s="2"/>
      <c r="HPH1" s="2"/>
      <c r="HPI1" s="2"/>
      <c r="HPJ1" s="2"/>
      <c r="HPK1" s="2"/>
      <c r="HPL1" s="2"/>
      <c r="HPM1" s="2"/>
      <c r="HPN1" s="2"/>
      <c r="HPO1" s="2"/>
      <c r="HPP1" s="2"/>
      <c r="HPQ1" s="2"/>
      <c r="HPR1" s="2"/>
      <c r="HPS1" s="2"/>
      <c r="HPT1" s="2"/>
      <c r="HPU1" s="2"/>
      <c r="HPV1" s="2"/>
      <c r="HPW1" s="2"/>
      <c r="HPX1" s="2"/>
      <c r="HPY1" s="2"/>
      <c r="HPZ1" s="2"/>
      <c r="HQA1" s="2"/>
      <c r="HQB1" s="2"/>
      <c r="HQC1" s="2"/>
      <c r="HQD1" s="2"/>
      <c r="HQE1" s="2"/>
      <c r="HQF1" s="2"/>
      <c r="HQG1" s="2"/>
      <c r="HQH1" s="2"/>
      <c r="HQI1" s="2"/>
      <c r="HQJ1" s="2"/>
      <c r="HQK1" s="2"/>
      <c r="HQL1" s="2"/>
      <c r="HQM1" s="2"/>
      <c r="HQN1" s="2"/>
      <c r="HQO1" s="2"/>
      <c r="HQP1" s="2"/>
      <c r="HQQ1" s="2"/>
      <c r="HQR1" s="2"/>
      <c r="HQS1" s="2"/>
      <c r="HQT1" s="2"/>
      <c r="HQU1" s="2"/>
      <c r="HQV1" s="2"/>
      <c r="HQW1" s="2"/>
      <c r="HQX1" s="2"/>
      <c r="HQY1" s="2"/>
      <c r="HQZ1" s="2"/>
      <c r="HRA1" s="2"/>
      <c r="HRB1" s="2"/>
      <c r="HRC1" s="2"/>
      <c r="HRD1" s="2"/>
      <c r="HRE1" s="2"/>
      <c r="HRF1" s="2"/>
      <c r="HRG1" s="2"/>
      <c r="HRH1" s="2"/>
      <c r="HRI1" s="2"/>
      <c r="HRJ1" s="2"/>
      <c r="HRK1" s="2"/>
      <c r="HRL1" s="2"/>
      <c r="HRM1" s="2"/>
      <c r="HRN1" s="2"/>
      <c r="HRO1" s="2"/>
      <c r="HRP1" s="2"/>
      <c r="HRQ1" s="2"/>
      <c r="HRR1" s="2"/>
      <c r="HRS1" s="2"/>
      <c r="HRT1" s="2"/>
      <c r="HRU1" s="2"/>
      <c r="HRV1" s="2"/>
      <c r="HRW1" s="2"/>
      <c r="HRX1" s="2"/>
      <c r="HRY1" s="2"/>
      <c r="HRZ1" s="2"/>
      <c r="HSA1" s="2"/>
      <c r="HSB1" s="2"/>
      <c r="HSC1" s="2"/>
      <c r="HSD1" s="2"/>
      <c r="HSE1" s="2"/>
      <c r="HSF1" s="2"/>
      <c r="HSG1" s="2"/>
      <c r="HSH1" s="2"/>
      <c r="HSI1" s="2"/>
      <c r="HSJ1" s="2"/>
      <c r="HSK1" s="2"/>
      <c r="HSL1" s="2"/>
      <c r="HSM1" s="2"/>
      <c r="HSN1" s="2"/>
      <c r="HSO1" s="2"/>
      <c r="HSP1" s="2"/>
      <c r="HSQ1" s="2"/>
      <c r="HSR1" s="2"/>
      <c r="HSS1" s="2"/>
      <c r="HST1" s="2"/>
      <c r="HSU1" s="2"/>
      <c r="HSV1" s="2"/>
      <c r="HSW1" s="2"/>
      <c r="HSX1" s="2"/>
      <c r="HSY1" s="2"/>
      <c r="HSZ1" s="2"/>
      <c r="HTA1" s="2"/>
      <c r="HTB1" s="2"/>
      <c r="HTC1" s="2"/>
      <c r="HTD1" s="2"/>
      <c r="HTE1" s="2"/>
      <c r="HTF1" s="2"/>
      <c r="HTG1" s="2"/>
      <c r="HTH1" s="2"/>
      <c r="HTI1" s="2"/>
      <c r="HTJ1" s="2"/>
      <c r="HTK1" s="2"/>
      <c r="HTL1" s="2"/>
      <c r="HTM1" s="2"/>
      <c r="HTN1" s="2"/>
      <c r="HTO1" s="2"/>
      <c r="HTP1" s="2"/>
      <c r="HTQ1" s="2"/>
      <c r="HTR1" s="2"/>
      <c r="HTS1" s="2"/>
      <c r="HTT1" s="2"/>
      <c r="HTU1" s="2"/>
      <c r="HTV1" s="2"/>
      <c r="HTW1" s="2"/>
      <c r="HTX1" s="2"/>
      <c r="HTY1" s="2"/>
      <c r="HTZ1" s="2"/>
      <c r="HUA1" s="2"/>
      <c r="HUB1" s="2"/>
      <c r="HUC1" s="2"/>
      <c r="HUD1" s="2"/>
      <c r="HUE1" s="2"/>
      <c r="HUF1" s="2"/>
      <c r="HUG1" s="2"/>
      <c r="HUH1" s="2"/>
      <c r="HUI1" s="2"/>
      <c r="HUJ1" s="2"/>
      <c r="HUK1" s="2"/>
      <c r="HUL1" s="2"/>
      <c r="HUM1" s="2"/>
      <c r="HUN1" s="2"/>
      <c r="HUO1" s="2"/>
      <c r="HUP1" s="2"/>
      <c r="HUQ1" s="2"/>
      <c r="HUR1" s="2"/>
      <c r="HUS1" s="2"/>
      <c r="HUT1" s="2"/>
      <c r="HUU1" s="2"/>
      <c r="HUV1" s="2"/>
      <c r="HUW1" s="2"/>
      <c r="HUX1" s="2"/>
      <c r="HUY1" s="2"/>
      <c r="HUZ1" s="2"/>
      <c r="HVA1" s="2"/>
      <c r="HVB1" s="2"/>
      <c r="HVC1" s="2"/>
      <c r="HVD1" s="2"/>
      <c r="HVE1" s="2"/>
      <c r="HVF1" s="2"/>
      <c r="HVG1" s="2"/>
      <c r="HVH1" s="2"/>
      <c r="HVI1" s="2"/>
      <c r="HVJ1" s="2"/>
      <c r="HVK1" s="2"/>
      <c r="HVL1" s="2"/>
      <c r="HVM1" s="2"/>
      <c r="HVN1" s="2"/>
      <c r="HVO1" s="2"/>
      <c r="HVP1" s="2"/>
      <c r="HVQ1" s="2"/>
      <c r="HVR1" s="2"/>
      <c r="HVS1" s="2"/>
      <c r="HVT1" s="2"/>
      <c r="HVU1" s="2"/>
      <c r="HVV1" s="2"/>
      <c r="HVW1" s="2"/>
      <c r="HVX1" s="2"/>
      <c r="HVY1" s="2"/>
      <c r="HVZ1" s="2"/>
      <c r="HWA1" s="2"/>
      <c r="HWB1" s="2"/>
      <c r="HWC1" s="2"/>
      <c r="HWD1" s="2"/>
      <c r="HWE1" s="2"/>
      <c r="HWF1" s="2"/>
      <c r="HWG1" s="2"/>
      <c r="HWH1" s="2"/>
      <c r="HWI1" s="2"/>
      <c r="HWJ1" s="2"/>
      <c r="HWK1" s="2"/>
      <c r="HWL1" s="2"/>
      <c r="HWM1" s="2"/>
      <c r="HWN1" s="2"/>
      <c r="HWO1" s="2"/>
      <c r="HWP1" s="2"/>
      <c r="HWQ1" s="2"/>
      <c r="HWR1" s="2"/>
      <c r="HWS1" s="2"/>
      <c r="HWT1" s="2"/>
      <c r="HWU1" s="2"/>
      <c r="HWV1" s="2"/>
      <c r="HWW1" s="2"/>
      <c r="HWX1" s="2"/>
      <c r="HWY1" s="2"/>
      <c r="HWZ1" s="2"/>
      <c r="HXA1" s="2"/>
      <c r="HXB1" s="2"/>
      <c r="HXC1" s="2"/>
      <c r="HXD1" s="2"/>
      <c r="HXE1" s="2"/>
      <c r="HXF1" s="2"/>
      <c r="HXG1" s="2"/>
      <c r="HXH1" s="2"/>
      <c r="HXI1" s="2"/>
      <c r="HXJ1" s="2"/>
      <c r="HXK1" s="2"/>
      <c r="HXL1" s="2"/>
      <c r="HXM1" s="2"/>
      <c r="HXN1" s="2"/>
      <c r="HXO1" s="2"/>
      <c r="HXP1" s="2"/>
      <c r="HXQ1" s="2"/>
      <c r="HXR1" s="2"/>
      <c r="HXS1" s="2"/>
      <c r="HXT1" s="2"/>
      <c r="HXU1" s="2"/>
      <c r="HXV1" s="2"/>
      <c r="HXW1" s="2"/>
      <c r="HXX1" s="2"/>
      <c r="HXY1" s="2"/>
      <c r="HXZ1" s="2"/>
      <c r="HYA1" s="2"/>
      <c r="HYB1" s="2"/>
      <c r="HYC1" s="2"/>
      <c r="HYD1" s="2"/>
      <c r="HYE1" s="2"/>
      <c r="HYF1" s="2"/>
      <c r="HYG1" s="2"/>
      <c r="HYH1" s="2"/>
      <c r="HYI1" s="2"/>
      <c r="HYJ1" s="2"/>
      <c r="HYK1" s="2"/>
      <c r="HYL1" s="2"/>
      <c r="HYM1" s="2"/>
      <c r="HYN1" s="2"/>
      <c r="HYO1" s="2"/>
      <c r="HYP1" s="2"/>
      <c r="HYQ1" s="2"/>
      <c r="HYR1" s="2"/>
      <c r="HYS1" s="2"/>
      <c r="HYT1" s="2"/>
      <c r="HYU1" s="2"/>
      <c r="HYV1" s="2"/>
      <c r="HYW1" s="2"/>
      <c r="HYX1" s="2"/>
      <c r="HYY1" s="2"/>
      <c r="HYZ1" s="2"/>
      <c r="HZA1" s="2"/>
      <c r="HZB1" s="2"/>
      <c r="HZC1" s="2"/>
      <c r="HZD1" s="2"/>
      <c r="HZE1" s="2"/>
      <c r="HZF1" s="2"/>
      <c r="HZG1" s="2"/>
      <c r="HZH1" s="2"/>
      <c r="HZI1" s="2"/>
      <c r="HZJ1" s="2"/>
      <c r="HZK1" s="2"/>
      <c r="HZL1" s="2"/>
      <c r="HZM1" s="2"/>
      <c r="HZN1" s="2"/>
      <c r="HZO1" s="2"/>
      <c r="HZP1" s="2"/>
      <c r="HZQ1" s="2"/>
      <c r="HZR1" s="2"/>
      <c r="HZS1" s="2"/>
      <c r="HZT1" s="2"/>
      <c r="HZU1" s="2"/>
      <c r="HZV1" s="2"/>
      <c r="HZW1" s="2"/>
      <c r="HZX1" s="2"/>
      <c r="HZY1" s="2"/>
      <c r="HZZ1" s="2"/>
      <c r="IAA1" s="2"/>
      <c r="IAB1" s="2"/>
      <c r="IAC1" s="2"/>
      <c r="IAD1" s="2"/>
      <c r="IAE1" s="2"/>
      <c r="IAF1" s="2"/>
      <c r="IAG1" s="2"/>
      <c r="IAH1" s="2"/>
      <c r="IAI1" s="2"/>
      <c r="IAJ1" s="2"/>
      <c r="IAK1" s="2"/>
      <c r="IAL1" s="2"/>
      <c r="IAM1" s="2"/>
      <c r="IAN1" s="2"/>
      <c r="IAO1" s="2"/>
      <c r="IAP1" s="2"/>
      <c r="IAQ1" s="2"/>
      <c r="IAR1" s="2"/>
      <c r="IAS1" s="2"/>
      <c r="IAT1" s="2"/>
      <c r="IAU1" s="2"/>
      <c r="IAV1" s="2"/>
      <c r="IAW1" s="2"/>
      <c r="IAX1" s="2"/>
      <c r="IAY1" s="2"/>
      <c r="IAZ1" s="2"/>
      <c r="IBA1" s="2"/>
      <c r="IBB1" s="2"/>
      <c r="IBC1" s="2"/>
      <c r="IBD1" s="2"/>
      <c r="IBE1" s="2"/>
      <c r="IBF1" s="2"/>
      <c r="IBG1" s="2"/>
      <c r="IBH1" s="2"/>
      <c r="IBI1" s="2"/>
      <c r="IBJ1" s="2"/>
      <c r="IBK1" s="2"/>
      <c r="IBL1" s="2"/>
      <c r="IBM1" s="2"/>
      <c r="IBN1" s="2"/>
      <c r="IBO1" s="2"/>
      <c r="IBP1" s="2"/>
      <c r="IBQ1" s="2"/>
      <c r="IBR1" s="2"/>
      <c r="IBS1" s="2"/>
      <c r="IBT1" s="2"/>
      <c r="IBU1" s="2"/>
      <c r="IBV1" s="2"/>
      <c r="IBW1" s="2"/>
      <c r="IBX1" s="2"/>
      <c r="IBY1" s="2"/>
      <c r="IBZ1" s="2"/>
      <c r="ICA1" s="2"/>
      <c r="ICB1" s="2"/>
      <c r="ICC1" s="2"/>
      <c r="ICD1" s="2"/>
      <c r="ICE1" s="2"/>
      <c r="ICF1" s="2"/>
      <c r="ICG1" s="2"/>
      <c r="ICH1" s="2"/>
      <c r="ICI1" s="2"/>
      <c r="ICJ1" s="2"/>
      <c r="ICK1" s="2"/>
      <c r="ICL1" s="2"/>
      <c r="ICM1" s="2"/>
      <c r="ICN1" s="2"/>
      <c r="ICO1" s="2"/>
      <c r="ICP1" s="2"/>
      <c r="ICQ1" s="2"/>
      <c r="ICR1" s="2"/>
      <c r="ICS1" s="2"/>
      <c r="ICT1" s="2"/>
      <c r="ICU1" s="2"/>
      <c r="ICV1" s="2"/>
      <c r="ICW1" s="2"/>
      <c r="ICX1" s="2"/>
      <c r="ICY1" s="2"/>
      <c r="ICZ1" s="2"/>
      <c r="IDA1" s="2"/>
      <c r="IDB1" s="2"/>
      <c r="IDC1" s="2"/>
      <c r="IDD1" s="2"/>
      <c r="IDE1" s="2"/>
      <c r="IDF1" s="2"/>
      <c r="IDG1" s="2"/>
      <c r="IDH1" s="2"/>
      <c r="IDI1" s="2"/>
      <c r="IDJ1" s="2"/>
      <c r="IDK1" s="2"/>
      <c r="IDL1" s="2"/>
      <c r="IDM1" s="2"/>
      <c r="IDN1" s="2"/>
      <c r="IDO1" s="2"/>
      <c r="IDP1" s="2"/>
      <c r="IDQ1" s="2"/>
      <c r="IDR1" s="2"/>
      <c r="IDS1" s="2"/>
      <c r="IDT1" s="2"/>
      <c r="IDU1" s="2"/>
      <c r="IDV1" s="2"/>
      <c r="IDW1" s="2"/>
      <c r="IDX1" s="2"/>
      <c r="IDY1" s="2"/>
      <c r="IDZ1" s="2"/>
      <c r="IEA1" s="2"/>
      <c r="IEB1" s="2"/>
      <c r="IEC1" s="2"/>
      <c r="IED1" s="2"/>
      <c r="IEE1" s="2"/>
      <c r="IEF1" s="2"/>
      <c r="IEG1" s="2"/>
      <c r="IEH1" s="2"/>
      <c r="IEI1" s="2"/>
      <c r="IEJ1" s="2"/>
      <c r="IEK1" s="2"/>
      <c r="IEL1" s="2"/>
      <c r="IEM1" s="2"/>
      <c r="IEN1" s="2"/>
      <c r="IEO1" s="2"/>
      <c r="IEP1" s="2"/>
      <c r="IEQ1" s="2"/>
      <c r="IER1" s="2"/>
      <c r="IES1" s="2"/>
      <c r="IET1" s="2"/>
      <c r="IEU1" s="2"/>
      <c r="IEV1" s="2"/>
      <c r="IEW1" s="2"/>
      <c r="IEX1" s="2"/>
      <c r="IEY1" s="2"/>
      <c r="IEZ1" s="2"/>
      <c r="IFA1" s="2"/>
      <c r="IFB1" s="2"/>
      <c r="IFC1" s="2"/>
      <c r="IFD1" s="2"/>
      <c r="IFE1" s="2"/>
      <c r="IFF1" s="2"/>
      <c r="IFG1" s="2"/>
      <c r="IFH1" s="2"/>
      <c r="IFI1" s="2"/>
      <c r="IFJ1" s="2"/>
      <c r="IFK1" s="2"/>
      <c r="IFL1" s="2"/>
      <c r="IFM1" s="2"/>
      <c r="IFN1" s="2"/>
      <c r="IFO1" s="2"/>
      <c r="IFP1" s="2"/>
      <c r="IFQ1" s="2"/>
      <c r="IFR1" s="2"/>
      <c r="IFS1" s="2"/>
      <c r="IFT1" s="2"/>
      <c r="IFU1" s="2"/>
      <c r="IFV1" s="2"/>
      <c r="IFW1" s="2"/>
      <c r="IFX1" s="2"/>
      <c r="IFY1" s="2"/>
      <c r="IFZ1" s="2"/>
      <c r="IGA1" s="2"/>
      <c r="IGB1" s="2"/>
      <c r="IGC1" s="2"/>
      <c r="IGD1" s="2"/>
      <c r="IGE1" s="2"/>
      <c r="IGF1" s="2"/>
      <c r="IGG1" s="2"/>
      <c r="IGH1" s="2"/>
      <c r="IGI1" s="2"/>
      <c r="IGJ1" s="2"/>
      <c r="IGK1" s="2"/>
      <c r="IGL1" s="2"/>
      <c r="IGM1" s="2"/>
      <c r="IGN1" s="2"/>
      <c r="IGO1" s="2"/>
      <c r="IGP1" s="2"/>
      <c r="IGQ1" s="2"/>
      <c r="IGR1" s="2"/>
      <c r="IGS1" s="2"/>
      <c r="IGT1" s="2"/>
      <c r="IGU1" s="2"/>
      <c r="IGV1" s="2"/>
      <c r="IGW1" s="2"/>
      <c r="IGX1" s="2"/>
      <c r="IGY1" s="2"/>
      <c r="IGZ1" s="2"/>
      <c r="IHA1" s="2"/>
      <c r="IHB1" s="2"/>
      <c r="IHC1" s="2"/>
      <c r="IHD1" s="2"/>
      <c r="IHE1" s="2"/>
      <c r="IHF1" s="2"/>
      <c r="IHG1" s="2"/>
      <c r="IHH1" s="2"/>
      <c r="IHI1" s="2"/>
      <c r="IHJ1" s="2"/>
      <c r="IHK1" s="2"/>
      <c r="IHL1" s="2"/>
      <c r="IHM1" s="2"/>
      <c r="IHN1" s="2"/>
      <c r="IHO1" s="2"/>
      <c r="IHP1" s="2"/>
      <c r="IHQ1" s="2"/>
      <c r="IHR1" s="2"/>
      <c r="IHS1" s="2"/>
      <c r="IHT1" s="2"/>
      <c r="IHU1" s="2"/>
      <c r="IHV1" s="2"/>
      <c r="IHW1" s="2"/>
      <c r="IHX1" s="2"/>
      <c r="IHY1" s="2"/>
      <c r="IHZ1" s="2"/>
      <c r="IIA1" s="2"/>
      <c r="IIB1" s="2"/>
      <c r="IIC1" s="2"/>
      <c r="IID1" s="2"/>
      <c r="IIE1" s="2"/>
      <c r="IIF1" s="2"/>
      <c r="IIG1" s="2"/>
      <c r="IIH1" s="2"/>
      <c r="III1" s="2"/>
      <c r="IIJ1" s="2"/>
      <c r="IIK1" s="2"/>
      <c r="IIL1" s="2"/>
      <c r="IIM1" s="2"/>
      <c r="IIN1" s="2"/>
      <c r="IIO1" s="2"/>
      <c r="IIP1" s="2"/>
      <c r="IIQ1" s="2"/>
      <c r="IIR1" s="2"/>
      <c r="IIS1" s="2"/>
      <c r="IIT1" s="2"/>
      <c r="IIU1" s="2"/>
      <c r="IIV1" s="2"/>
      <c r="IIW1" s="2"/>
      <c r="IIX1" s="2"/>
      <c r="IIY1" s="2"/>
      <c r="IIZ1" s="2"/>
      <c r="IJA1" s="2"/>
      <c r="IJB1" s="2"/>
      <c r="IJC1" s="2"/>
      <c r="IJD1" s="2"/>
      <c r="IJE1" s="2"/>
      <c r="IJF1" s="2"/>
      <c r="IJG1" s="2"/>
      <c r="IJH1" s="2"/>
      <c r="IJI1" s="2"/>
      <c r="IJJ1" s="2"/>
      <c r="IJK1" s="2"/>
      <c r="IJL1" s="2"/>
      <c r="IJM1" s="2"/>
      <c r="IJN1" s="2"/>
      <c r="IJO1" s="2"/>
      <c r="IJP1" s="2"/>
      <c r="IJQ1" s="2"/>
      <c r="IJR1" s="2"/>
      <c r="IJS1" s="2"/>
      <c r="IJT1" s="2"/>
      <c r="IJU1" s="2"/>
      <c r="IJV1" s="2"/>
      <c r="IJW1" s="2"/>
      <c r="IJX1" s="2"/>
      <c r="IJY1" s="2"/>
      <c r="IJZ1" s="2"/>
      <c r="IKA1" s="2"/>
      <c r="IKB1" s="2"/>
      <c r="IKC1" s="2"/>
      <c r="IKD1" s="2"/>
      <c r="IKE1" s="2"/>
      <c r="IKF1" s="2"/>
      <c r="IKG1" s="2"/>
      <c r="IKH1" s="2"/>
      <c r="IKI1" s="2"/>
      <c r="IKJ1" s="2"/>
      <c r="IKK1" s="2"/>
      <c r="IKL1" s="2"/>
      <c r="IKM1" s="2"/>
      <c r="IKN1" s="2"/>
      <c r="IKO1" s="2"/>
      <c r="IKP1" s="2"/>
      <c r="IKQ1" s="2"/>
      <c r="IKR1" s="2"/>
      <c r="IKS1" s="2"/>
      <c r="IKT1" s="2"/>
      <c r="IKU1" s="2"/>
      <c r="IKV1" s="2"/>
      <c r="IKW1" s="2"/>
      <c r="IKX1" s="2"/>
      <c r="IKY1" s="2"/>
      <c r="IKZ1" s="2"/>
      <c r="ILA1" s="2"/>
      <c r="ILB1" s="2"/>
      <c r="ILC1" s="2"/>
      <c r="ILD1" s="2"/>
      <c r="ILE1" s="2"/>
      <c r="ILF1" s="2"/>
      <c r="ILG1" s="2"/>
      <c r="ILH1" s="2"/>
      <c r="ILI1" s="2"/>
      <c r="ILJ1" s="2"/>
      <c r="ILK1" s="2"/>
      <c r="ILL1" s="2"/>
      <c r="ILM1" s="2"/>
      <c r="ILN1" s="2"/>
      <c r="ILO1" s="2"/>
      <c r="ILP1" s="2"/>
      <c r="ILQ1" s="2"/>
      <c r="ILR1" s="2"/>
      <c r="ILS1" s="2"/>
      <c r="ILT1" s="2"/>
      <c r="ILU1" s="2"/>
      <c r="ILV1" s="2"/>
      <c r="ILW1" s="2"/>
      <c r="ILX1" s="2"/>
      <c r="ILY1" s="2"/>
      <c r="ILZ1" s="2"/>
      <c r="IMA1" s="2"/>
      <c r="IMB1" s="2"/>
      <c r="IMC1" s="2"/>
      <c r="IMD1" s="2"/>
      <c r="IME1" s="2"/>
      <c r="IMF1" s="2"/>
      <c r="IMG1" s="2"/>
      <c r="IMH1" s="2"/>
      <c r="IMI1" s="2"/>
      <c r="IMJ1" s="2"/>
      <c r="IMK1" s="2"/>
      <c r="IML1" s="2"/>
      <c r="IMM1" s="2"/>
      <c r="IMN1" s="2"/>
      <c r="IMO1" s="2"/>
      <c r="IMP1" s="2"/>
      <c r="IMQ1" s="2"/>
      <c r="IMR1" s="2"/>
      <c r="IMS1" s="2"/>
      <c r="IMT1" s="2"/>
      <c r="IMU1" s="2"/>
      <c r="IMV1" s="2"/>
      <c r="IMW1" s="2"/>
      <c r="IMX1" s="2"/>
      <c r="IMY1" s="2"/>
      <c r="IMZ1" s="2"/>
      <c r="INA1" s="2"/>
      <c r="INB1" s="2"/>
      <c r="INC1" s="2"/>
      <c r="IND1" s="2"/>
      <c r="INE1" s="2"/>
      <c r="INF1" s="2"/>
      <c r="ING1" s="2"/>
      <c r="INH1" s="2"/>
      <c r="INI1" s="2"/>
      <c r="INJ1" s="2"/>
      <c r="INK1" s="2"/>
      <c r="INL1" s="2"/>
      <c r="INM1" s="2"/>
      <c r="INN1" s="2"/>
      <c r="INO1" s="2"/>
      <c r="INP1" s="2"/>
      <c r="INQ1" s="2"/>
      <c r="INR1" s="2"/>
      <c r="INS1" s="2"/>
      <c r="INT1" s="2"/>
      <c r="INU1" s="2"/>
      <c r="INV1" s="2"/>
      <c r="INW1" s="2"/>
      <c r="INX1" s="2"/>
      <c r="INY1" s="2"/>
      <c r="INZ1" s="2"/>
      <c r="IOA1" s="2"/>
      <c r="IOB1" s="2"/>
      <c r="IOC1" s="2"/>
      <c r="IOD1" s="2"/>
      <c r="IOE1" s="2"/>
      <c r="IOF1" s="2"/>
      <c r="IOG1" s="2"/>
      <c r="IOH1" s="2"/>
      <c r="IOI1" s="2"/>
      <c r="IOJ1" s="2"/>
      <c r="IOK1" s="2"/>
      <c r="IOL1" s="2"/>
      <c r="IOM1" s="2"/>
      <c r="ION1" s="2"/>
      <c r="IOO1" s="2"/>
      <c r="IOP1" s="2"/>
      <c r="IOQ1" s="2"/>
      <c r="IOR1" s="2"/>
      <c r="IOS1" s="2"/>
      <c r="IOT1" s="2"/>
      <c r="IOU1" s="2"/>
      <c r="IOV1" s="2"/>
      <c r="IOW1" s="2"/>
      <c r="IOX1" s="2"/>
      <c r="IOY1" s="2"/>
      <c r="IOZ1" s="2"/>
      <c r="IPA1" s="2"/>
      <c r="IPB1" s="2"/>
      <c r="IPC1" s="2"/>
      <c r="IPD1" s="2"/>
      <c r="IPE1" s="2"/>
      <c r="IPF1" s="2"/>
      <c r="IPG1" s="2"/>
      <c r="IPH1" s="2"/>
      <c r="IPI1" s="2"/>
      <c r="IPJ1" s="2"/>
      <c r="IPK1" s="2"/>
      <c r="IPL1" s="2"/>
      <c r="IPM1" s="2"/>
      <c r="IPN1" s="2"/>
      <c r="IPO1" s="2"/>
      <c r="IPP1" s="2"/>
      <c r="IPQ1" s="2"/>
      <c r="IPR1" s="2"/>
      <c r="IPS1" s="2"/>
      <c r="IPT1" s="2"/>
      <c r="IPU1" s="2"/>
      <c r="IPV1" s="2"/>
      <c r="IPW1" s="2"/>
      <c r="IPX1" s="2"/>
      <c r="IPY1" s="2"/>
      <c r="IPZ1" s="2"/>
      <c r="IQA1" s="2"/>
      <c r="IQB1" s="2"/>
      <c r="IQC1" s="2"/>
      <c r="IQD1" s="2"/>
      <c r="IQE1" s="2"/>
      <c r="IQF1" s="2"/>
      <c r="IQG1" s="2"/>
      <c r="IQH1" s="2"/>
      <c r="IQI1" s="2"/>
      <c r="IQJ1" s="2"/>
      <c r="IQK1" s="2"/>
      <c r="IQL1" s="2"/>
      <c r="IQM1" s="2"/>
      <c r="IQN1" s="2"/>
      <c r="IQO1" s="2"/>
      <c r="IQP1" s="2"/>
      <c r="IQQ1" s="2"/>
      <c r="IQR1" s="2"/>
      <c r="IQS1" s="2"/>
      <c r="IQT1" s="2"/>
      <c r="IQU1" s="2"/>
      <c r="IQV1" s="2"/>
      <c r="IQW1" s="2"/>
      <c r="IQX1" s="2"/>
      <c r="IQY1" s="2"/>
      <c r="IQZ1" s="2"/>
      <c r="IRA1" s="2"/>
      <c r="IRB1" s="2"/>
      <c r="IRC1" s="2"/>
      <c r="IRD1" s="2"/>
      <c r="IRE1" s="2"/>
      <c r="IRF1" s="2"/>
      <c r="IRG1" s="2"/>
      <c r="IRH1" s="2"/>
      <c r="IRI1" s="2"/>
      <c r="IRJ1" s="2"/>
      <c r="IRK1" s="2"/>
      <c r="IRL1" s="2"/>
      <c r="IRM1" s="2"/>
      <c r="IRN1" s="2"/>
      <c r="IRO1" s="2"/>
      <c r="IRP1" s="2"/>
      <c r="IRQ1" s="2"/>
      <c r="IRR1" s="2"/>
      <c r="IRS1" s="2"/>
      <c r="IRT1" s="2"/>
      <c r="IRU1" s="2"/>
      <c r="IRV1" s="2"/>
      <c r="IRW1" s="2"/>
      <c r="IRX1" s="2"/>
      <c r="IRY1" s="2"/>
      <c r="IRZ1" s="2"/>
      <c r="ISA1" s="2"/>
      <c r="ISB1" s="2"/>
      <c r="ISC1" s="2"/>
      <c r="ISD1" s="2"/>
      <c r="ISE1" s="2"/>
      <c r="ISF1" s="2"/>
      <c r="ISG1" s="2"/>
      <c r="ISH1" s="2"/>
      <c r="ISI1" s="2"/>
      <c r="ISJ1" s="2"/>
      <c r="ISK1" s="2"/>
      <c r="ISL1" s="2"/>
      <c r="ISM1" s="2"/>
      <c r="ISN1" s="2"/>
      <c r="ISO1" s="2"/>
      <c r="ISP1" s="2"/>
      <c r="ISQ1" s="2"/>
      <c r="ISR1" s="2"/>
      <c r="ISS1" s="2"/>
      <c r="IST1" s="2"/>
      <c r="ISU1" s="2"/>
      <c r="ISV1" s="2"/>
      <c r="ISW1" s="2"/>
      <c r="ISX1" s="2"/>
      <c r="ISY1" s="2"/>
      <c r="ISZ1" s="2"/>
      <c r="ITA1" s="2"/>
      <c r="ITB1" s="2"/>
      <c r="ITC1" s="2"/>
      <c r="ITD1" s="2"/>
      <c r="ITE1" s="2"/>
      <c r="ITF1" s="2"/>
      <c r="ITG1" s="2"/>
      <c r="ITH1" s="2"/>
      <c r="ITI1" s="2"/>
      <c r="ITJ1" s="2"/>
      <c r="ITK1" s="2"/>
      <c r="ITL1" s="2"/>
      <c r="ITM1" s="2"/>
      <c r="ITN1" s="2"/>
      <c r="ITO1" s="2"/>
      <c r="ITP1" s="2"/>
      <c r="ITQ1" s="2"/>
      <c r="ITR1" s="2"/>
      <c r="ITS1" s="2"/>
      <c r="ITT1" s="2"/>
      <c r="ITU1" s="2"/>
      <c r="ITV1" s="2"/>
      <c r="ITW1" s="2"/>
      <c r="ITX1" s="2"/>
      <c r="ITY1" s="2"/>
      <c r="ITZ1" s="2"/>
      <c r="IUA1" s="2"/>
      <c r="IUB1" s="2"/>
      <c r="IUC1" s="2"/>
      <c r="IUD1" s="2"/>
      <c r="IUE1" s="2"/>
      <c r="IUF1" s="2"/>
      <c r="IUG1" s="2"/>
      <c r="IUH1" s="2"/>
      <c r="IUI1" s="2"/>
      <c r="IUJ1" s="2"/>
      <c r="IUK1" s="2"/>
      <c r="IUL1" s="2"/>
      <c r="IUM1" s="2"/>
      <c r="IUN1" s="2"/>
      <c r="IUO1" s="2"/>
      <c r="IUP1" s="2"/>
      <c r="IUQ1" s="2"/>
      <c r="IUR1" s="2"/>
      <c r="IUS1" s="2"/>
      <c r="IUT1" s="2"/>
      <c r="IUU1" s="2"/>
      <c r="IUV1" s="2"/>
      <c r="IUW1" s="2"/>
      <c r="IUX1" s="2"/>
      <c r="IUY1" s="2"/>
      <c r="IUZ1" s="2"/>
      <c r="IVA1" s="2"/>
      <c r="IVB1" s="2"/>
      <c r="IVC1" s="2"/>
      <c r="IVD1" s="2"/>
      <c r="IVE1" s="2"/>
      <c r="IVF1" s="2"/>
      <c r="IVG1" s="2"/>
      <c r="IVH1" s="2"/>
      <c r="IVI1" s="2"/>
      <c r="IVJ1" s="2"/>
      <c r="IVK1" s="2"/>
      <c r="IVL1" s="2"/>
      <c r="IVM1" s="2"/>
      <c r="IVN1" s="2"/>
      <c r="IVO1" s="2"/>
      <c r="IVP1" s="2"/>
      <c r="IVQ1" s="2"/>
      <c r="IVR1" s="2"/>
      <c r="IVS1" s="2"/>
      <c r="IVT1" s="2"/>
      <c r="IVU1" s="2"/>
      <c r="IVV1" s="2"/>
      <c r="IVW1" s="2"/>
      <c r="IVX1" s="2"/>
      <c r="IVY1" s="2"/>
      <c r="IVZ1" s="2"/>
      <c r="IWA1" s="2"/>
      <c r="IWB1" s="2"/>
      <c r="IWC1" s="2"/>
      <c r="IWD1" s="2"/>
      <c r="IWE1" s="2"/>
      <c r="IWF1" s="2"/>
      <c r="IWG1" s="2"/>
      <c r="IWH1" s="2"/>
      <c r="IWI1" s="2"/>
      <c r="IWJ1" s="2"/>
      <c r="IWK1" s="2"/>
      <c r="IWL1" s="2"/>
      <c r="IWM1" s="2"/>
      <c r="IWN1" s="2"/>
      <c r="IWO1" s="2"/>
      <c r="IWP1" s="2"/>
      <c r="IWQ1" s="2"/>
      <c r="IWR1" s="2"/>
      <c r="IWS1" s="2"/>
      <c r="IWT1" s="2"/>
      <c r="IWU1" s="2"/>
      <c r="IWV1" s="2"/>
      <c r="IWW1" s="2"/>
      <c r="IWX1" s="2"/>
      <c r="IWY1" s="2"/>
      <c r="IWZ1" s="2"/>
      <c r="IXA1" s="2"/>
      <c r="IXB1" s="2"/>
      <c r="IXC1" s="2"/>
      <c r="IXD1" s="2"/>
      <c r="IXE1" s="2"/>
      <c r="IXF1" s="2"/>
      <c r="IXG1" s="2"/>
      <c r="IXH1" s="2"/>
      <c r="IXI1" s="2"/>
      <c r="IXJ1" s="2"/>
      <c r="IXK1" s="2"/>
      <c r="IXL1" s="2"/>
      <c r="IXM1" s="2"/>
      <c r="IXN1" s="2"/>
      <c r="IXO1" s="2"/>
      <c r="IXP1" s="2"/>
      <c r="IXQ1" s="2"/>
      <c r="IXR1" s="2"/>
      <c r="IXS1" s="2"/>
      <c r="IXT1" s="2"/>
      <c r="IXU1" s="2"/>
      <c r="IXV1" s="2"/>
      <c r="IXW1" s="2"/>
      <c r="IXX1" s="2"/>
      <c r="IXY1" s="2"/>
      <c r="IXZ1" s="2"/>
      <c r="IYA1" s="2"/>
      <c r="IYB1" s="2"/>
      <c r="IYC1" s="2"/>
      <c r="IYD1" s="2"/>
      <c r="IYE1" s="2"/>
      <c r="IYF1" s="2"/>
      <c r="IYG1" s="2"/>
      <c r="IYH1" s="2"/>
      <c r="IYI1" s="2"/>
      <c r="IYJ1" s="2"/>
      <c r="IYK1" s="2"/>
      <c r="IYL1" s="2"/>
      <c r="IYM1" s="2"/>
      <c r="IYN1" s="2"/>
      <c r="IYO1" s="2"/>
      <c r="IYP1" s="2"/>
      <c r="IYQ1" s="2"/>
      <c r="IYR1" s="2"/>
      <c r="IYS1" s="2"/>
      <c r="IYT1" s="2"/>
      <c r="IYU1" s="2"/>
      <c r="IYV1" s="2"/>
      <c r="IYW1" s="2"/>
      <c r="IYX1" s="2"/>
      <c r="IYY1" s="2"/>
      <c r="IYZ1" s="2"/>
      <c r="IZA1" s="2"/>
      <c r="IZB1" s="2"/>
      <c r="IZC1" s="2"/>
      <c r="IZD1" s="2"/>
      <c r="IZE1" s="2"/>
      <c r="IZF1" s="2"/>
      <c r="IZG1" s="2"/>
      <c r="IZH1" s="2"/>
      <c r="IZI1" s="2"/>
      <c r="IZJ1" s="2"/>
      <c r="IZK1" s="2"/>
      <c r="IZL1" s="2"/>
      <c r="IZM1" s="2"/>
      <c r="IZN1" s="2"/>
      <c r="IZO1" s="2"/>
      <c r="IZP1" s="2"/>
      <c r="IZQ1" s="2"/>
      <c r="IZR1" s="2"/>
      <c r="IZS1" s="2"/>
      <c r="IZT1" s="2"/>
      <c r="IZU1" s="2"/>
      <c r="IZV1" s="2"/>
      <c r="IZW1" s="2"/>
      <c r="IZX1" s="2"/>
      <c r="IZY1" s="2"/>
      <c r="IZZ1" s="2"/>
      <c r="JAA1" s="2"/>
      <c r="JAB1" s="2"/>
      <c r="JAC1" s="2"/>
      <c r="JAD1" s="2"/>
      <c r="JAE1" s="2"/>
      <c r="JAF1" s="2"/>
      <c r="JAG1" s="2"/>
      <c r="JAH1" s="2"/>
      <c r="JAI1" s="2"/>
      <c r="JAJ1" s="2"/>
      <c r="JAK1" s="2"/>
      <c r="JAL1" s="2"/>
      <c r="JAM1" s="2"/>
      <c r="JAN1" s="2"/>
      <c r="JAO1" s="2"/>
      <c r="JAP1" s="2"/>
      <c r="JAQ1" s="2"/>
      <c r="JAR1" s="2"/>
      <c r="JAS1" s="2"/>
      <c r="JAT1" s="2"/>
      <c r="JAU1" s="2"/>
      <c r="JAV1" s="2"/>
      <c r="JAW1" s="2"/>
      <c r="JAX1" s="2"/>
      <c r="JAY1" s="2"/>
      <c r="JAZ1" s="2"/>
      <c r="JBA1" s="2"/>
      <c r="JBB1" s="2"/>
      <c r="JBC1" s="2"/>
      <c r="JBD1" s="2"/>
      <c r="JBE1" s="2"/>
      <c r="JBF1" s="2"/>
      <c r="JBG1" s="2"/>
      <c r="JBH1" s="2"/>
      <c r="JBI1" s="2"/>
      <c r="JBJ1" s="2"/>
      <c r="JBK1" s="2"/>
      <c r="JBL1" s="2"/>
      <c r="JBM1" s="2"/>
      <c r="JBN1" s="2"/>
      <c r="JBO1" s="2"/>
      <c r="JBP1" s="2"/>
      <c r="JBQ1" s="2"/>
      <c r="JBR1" s="2"/>
      <c r="JBS1" s="2"/>
      <c r="JBT1" s="2"/>
      <c r="JBU1" s="2"/>
      <c r="JBV1" s="2"/>
      <c r="JBW1" s="2"/>
      <c r="JBX1" s="2"/>
      <c r="JBY1" s="2"/>
      <c r="JBZ1" s="2"/>
      <c r="JCA1" s="2"/>
      <c r="JCB1" s="2"/>
      <c r="JCC1" s="2"/>
      <c r="JCD1" s="2"/>
      <c r="JCE1" s="2"/>
      <c r="JCF1" s="2"/>
      <c r="JCG1" s="2"/>
      <c r="JCH1" s="2"/>
      <c r="JCI1" s="2"/>
      <c r="JCJ1" s="2"/>
      <c r="JCK1" s="2"/>
      <c r="JCL1" s="2"/>
      <c r="JCM1" s="2"/>
      <c r="JCN1" s="2"/>
      <c r="JCO1" s="2"/>
      <c r="JCP1" s="2"/>
      <c r="JCQ1" s="2"/>
      <c r="JCR1" s="2"/>
      <c r="JCS1" s="2"/>
      <c r="JCT1" s="2"/>
      <c r="JCU1" s="2"/>
      <c r="JCV1" s="2"/>
      <c r="JCW1" s="2"/>
      <c r="JCX1" s="2"/>
      <c r="JCY1" s="2"/>
      <c r="JCZ1" s="2"/>
      <c r="JDA1" s="2"/>
      <c r="JDB1" s="2"/>
      <c r="JDC1" s="2"/>
      <c r="JDD1" s="2"/>
      <c r="JDE1" s="2"/>
      <c r="JDF1" s="2"/>
      <c r="JDG1" s="2"/>
      <c r="JDH1" s="2"/>
      <c r="JDI1" s="2"/>
      <c r="JDJ1" s="2"/>
      <c r="JDK1" s="2"/>
      <c r="JDL1" s="2"/>
      <c r="JDM1" s="2"/>
      <c r="JDN1" s="2"/>
      <c r="JDO1" s="2"/>
      <c r="JDP1" s="2"/>
      <c r="JDQ1" s="2"/>
      <c r="JDR1" s="2"/>
      <c r="JDS1" s="2"/>
      <c r="JDT1" s="2"/>
      <c r="JDU1" s="2"/>
      <c r="JDV1" s="2"/>
      <c r="JDW1" s="2"/>
      <c r="JDX1" s="2"/>
      <c r="JDY1" s="2"/>
      <c r="JDZ1" s="2"/>
      <c r="JEA1" s="2"/>
      <c r="JEB1" s="2"/>
      <c r="JEC1" s="2"/>
      <c r="JED1" s="2"/>
      <c r="JEE1" s="2"/>
      <c r="JEF1" s="2"/>
      <c r="JEG1" s="2"/>
      <c r="JEH1" s="2"/>
      <c r="JEI1" s="2"/>
      <c r="JEJ1" s="2"/>
      <c r="JEK1" s="2"/>
      <c r="JEL1" s="2"/>
      <c r="JEM1" s="2"/>
      <c r="JEN1" s="2"/>
      <c r="JEO1" s="2"/>
      <c r="JEP1" s="2"/>
      <c r="JEQ1" s="2"/>
      <c r="JER1" s="2"/>
      <c r="JES1" s="2"/>
      <c r="JET1" s="2"/>
      <c r="JEU1" s="2"/>
      <c r="JEV1" s="2"/>
      <c r="JEW1" s="2"/>
      <c r="JEX1" s="2"/>
      <c r="JEY1" s="2"/>
      <c r="JEZ1" s="2"/>
      <c r="JFA1" s="2"/>
      <c r="JFB1" s="2"/>
      <c r="JFC1" s="2"/>
      <c r="JFD1" s="2"/>
      <c r="JFE1" s="2"/>
      <c r="JFF1" s="2"/>
      <c r="JFG1" s="2"/>
      <c r="JFH1" s="2"/>
      <c r="JFI1" s="2"/>
      <c r="JFJ1" s="2"/>
      <c r="JFK1" s="2"/>
      <c r="JFL1" s="2"/>
      <c r="JFM1" s="2"/>
      <c r="JFN1" s="2"/>
      <c r="JFO1" s="2"/>
      <c r="JFP1" s="2"/>
      <c r="JFQ1" s="2"/>
      <c r="JFR1" s="2"/>
      <c r="JFS1" s="2"/>
      <c r="JFT1" s="2"/>
      <c r="JFU1" s="2"/>
      <c r="JFV1" s="2"/>
      <c r="JFW1" s="2"/>
      <c r="JFX1" s="2"/>
      <c r="JFY1" s="2"/>
      <c r="JFZ1" s="2"/>
      <c r="JGA1" s="2"/>
      <c r="JGB1" s="2"/>
      <c r="JGC1" s="2"/>
      <c r="JGD1" s="2"/>
      <c r="JGE1" s="2"/>
      <c r="JGF1" s="2"/>
      <c r="JGG1" s="2"/>
      <c r="JGH1" s="2"/>
      <c r="JGI1" s="2"/>
      <c r="JGJ1" s="2"/>
      <c r="JGK1" s="2"/>
      <c r="JGL1" s="2"/>
      <c r="JGM1" s="2"/>
      <c r="JGN1" s="2"/>
      <c r="JGO1" s="2"/>
      <c r="JGP1" s="2"/>
      <c r="JGQ1" s="2"/>
      <c r="JGR1" s="2"/>
      <c r="JGS1" s="2"/>
      <c r="JGT1" s="2"/>
      <c r="JGU1" s="2"/>
      <c r="JGV1" s="2"/>
      <c r="JGW1" s="2"/>
      <c r="JGX1" s="2"/>
      <c r="JGY1" s="2"/>
      <c r="JGZ1" s="2"/>
      <c r="JHA1" s="2"/>
      <c r="JHB1" s="2"/>
      <c r="JHC1" s="2"/>
      <c r="JHD1" s="2"/>
      <c r="JHE1" s="2"/>
      <c r="JHF1" s="2"/>
      <c r="JHG1" s="2"/>
      <c r="JHH1" s="2"/>
      <c r="JHI1" s="2"/>
      <c r="JHJ1" s="2"/>
      <c r="JHK1" s="2"/>
      <c r="JHL1" s="2"/>
      <c r="JHM1" s="2"/>
      <c r="JHN1" s="2"/>
      <c r="JHO1" s="2"/>
      <c r="JHP1" s="2"/>
      <c r="JHQ1" s="2"/>
      <c r="JHR1" s="2"/>
      <c r="JHS1" s="2"/>
      <c r="JHT1" s="2"/>
      <c r="JHU1" s="2"/>
      <c r="JHV1" s="2"/>
      <c r="JHW1" s="2"/>
      <c r="JHX1" s="2"/>
      <c r="JHY1" s="2"/>
      <c r="JHZ1" s="2"/>
      <c r="JIA1" s="2"/>
      <c r="JIB1" s="2"/>
      <c r="JIC1" s="2"/>
      <c r="JID1" s="2"/>
      <c r="JIE1" s="2"/>
      <c r="JIF1" s="2"/>
      <c r="JIG1" s="2"/>
      <c r="JIH1" s="2"/>
      <c r="JII1" s="2"/>
      <c r="JIJ1" s="2"/>
      <c r="JIK1" s="2"/>
      <c r="JIL1" s="2"/>
      <c r="JIM1" s="2"/>
      <c r="JIN1" s="2"/>
      <c r="JIO1" s="2"/>
      <c r="JIP1" s="2"/>
      <c r="JIQ1" s="2"/>
      <c r="JIR1" s="2"/>
      <c r="JIS1" s="2"/>
      <c r="JIT1" s="2"/>
      <c r="JIU1" s="2"/>
      <c r="JIV1" s="2"/>
      <c r="JIW1" s="2"/>
      <c r="JIX1" s="2"/>
      <c r="JIY1" s="2"/>
      <c r="JIZ1" s="2"/>
      <c r="JJA1" s="2"/>
      <c r="JJB1" s="2"/>
      <c r="JJC1" s="2"/>
      <c r="JJD1" s="2"/>
      <c r="JJE1" s="2"/>
      <c r="JJF1" s="2"/>
      <c r="JJG1" s="2"/>
      <c r="JJH1" s="2"/>
      <c r="JJI1" s="2"/>
      <c r="JJJ1" s="2"/>
      <c r="JJK1" s="2"/>
      <c r="JJL1" s="2"/>
      <c r="JJM1" s="2"/>
      <c r="JJN1" s="2"/>
      <c r="JJO1" s="2"/>
      <c r="JJP1" s="2"/>
      <c r="JJQ1" s="2"/>
      <c r="JJR1" s="2"/>
      <c r="JJS1" s="2"/>
      <c r="JJT1" s="2"/>
      <c r="JJU1" s="2"/>
      <c r="JJV1" s="2"/>
      <c r="JJW1" s="2"/>
      <c r="JJX1" s="2"/>
      <c r="JJY1" s="2"/>
      <c r="JJZ1" s="2"/>
      <c r="JKA1" s="2"/>
      <c r="JKB1" s="2"/>
      <c r="JKC1" s="2"/>
      <c r="JKD1" s="2"/>
      <c r="JKE1" s="2"/>
      <c r="JKF1" s="2"/>
      <c r="JKG1" s="2"/>
      <c r="JKH1" s="2"/>
      <c r="JKI1" s="2"/>
      <c r="JKJ1" s="2"/>
      <c r="JKK1" s="2"/>
      <c r="JKL1" s="2"/>
      <c r="JKM1" s="2"/>
      <c r="JKN1" s="2"/>
      <c r="JKO1" s="2"/>
      <c r="JKP1" s="2"/>
      <c r="JKQ1" s="2"/>
      <c r="JKR1" s="2"/>
      <c r="JKS1" s="2"/>
      <c r="JKT1" s="2"/>
      <c r="JKU1" s="2"/>
      <c r="JKV1" s="2"/>
      <c r="JKW1" s="2"/>
      <c r="JKX1" s="2"/>
      <c r="JKY1" s="2"/>
      <c r="JKZ1" s="2"/>
      <c r="JLA1" s="2"/>
      <c r="JLB1" s="2"/>
      <c r="JLC1" s="2"/>
      <c r="JLD1" s="2"/>
      <c r="JLE1" s="2"/>
      <c r="JLF1" s="2"/>
      <c r="JLG1" s="2"/>
      <c r="JLH1" s="2"/>
      <c r="JLI1" s="2"/>
      <c r="JLJ1" s="2"/>
      <c r="JLK1" s="2"/>
      <c r="JLL1" s="2"/>
      <c r="JLM1" s="2"/>
      <c r="JLN1" s="2"/>
      <c r="JLO1" s="2"/>
      <c r="JLP1" s="2"/>
      <c r="JLQ1" s="2"/>
      <c r="JLR1" s="2"/>
      <c r="JLS1" s="2"/>
      <c r="JLT1" s="2"/>
      <c r="JLU1" s="2"/>
      <c r="JLV1" s="2"/>
      <c r="JLW1" s="2"/>
      <c r="JLX1" s="2"/>
      <c r="JLY1" s="2"/>
      <c r="JLZ1" s="2"/>
      <c r="JMA1" s="2"/>
      <c r="JMB1" s="2"/>
      <c r="JMC1" s="2"/>
      <c r="JMD1" s="2"/>
      <c r="JME1" s="2"/>
      <c r="JMF1" s="2"/>
      <c r="JMG1" s="2"/>
      <c r="JMH1" s="2"/>
      <c r="JMI1" s="2"/>
      <c r="JMJ1" s="2"/>
      <c r="JMK1" s="2"/>
      <c r="JML1" s="2"/>
      <c r="JMM1" s="2"/>
      <c r="JMN1" s="2"/>
      <c r="JMO1" s="2"/>
      <c r="JMP1" s="2"/>
      <c r="JMQ1" s="2"/>
      <c r="JMR1" s="2"/>
      <c r="JMS1" s="2"/>
      <c r="JMT1" s="2"/>
      <c r="JMU1" s="2"/>
      <c r="JMV1" s="2"/>
      <c r="JMW1" s="2"/>
      <c r="JMX1" s="2"/>
      <c r="JMY1" s="2"/>
      <c r="JMZ1" s="2"/>
      <c r="JNA1" s="2"/>
      <c r="JNB1" s="2"/>
      <c r="JNC1" s="2"/>
      <c r="JND1" s="2"/>
      <c r="JNE1" s="2"/>
      <c r="JNF1" s="2"/>
      <c r="JNG1" s="2"/>
      <c r="JNH1" s="2"/>
      <c r="JNI1" s="2"/>
      <c r="JNJ1" s="2"/>
      <c r="JNK1" s="2"/>
      <c r="JNL1" s="2"/>
      <c r="JNM1" s="2"/>
      <c r="JNN1" s="2"/>
      <c r="JNO1" s="2"/>
      <c r="JNP1" s="2"/>
      <c r="JNQ1" s="2"/>
      <c r="JNR1" s="2"/>
      <c r="JNS1" s="2"/>
      <c r="JNT1" s="2"/>
      <c r="JNU1" s="2"/>
      <c r="JNV1" s="2"/>
      <c r="JNW1" s="2"/>
      <c r="JNX1" s="2"/>
      <c r="JNY1" s="2"/>
      <c r="JNZ1" s="2"/>
      <c r="JOA1" s="2"/>
      <c r="JOB1" s="2"/>
      <c r="JOC1" s="2"/>
      <c r="JOD1" s="2"/>
      <c r="JOE1" s="2"/>
      <c r="JOF1" s="2"/>
      <c r="JOG1" s="2"/>
      <c r="JOH1" s="2"/>
      <c r="JOI1" s="2"/>
      <c r="JOJ1" s="2"/>
      <c r="JOK1" s="2"/>
      <c r="JOL1" s="2"/>
      <c r="JOM1" s="2"/>
      <c r="JON1" s="2"/>
      <c r="JOO1" s="2"/>
      <c r="JOP1" s="2"/>
      <c r="JOQ1" s="2"/>
      <c r="JOR1" s="2"/>
      <c r="JOS1" s="2"/>
      <c r="JOT1" s="2"/>
      <c r="JOU1" s="2"/>
      <c r="JOV1" s="2"/>
      <c r="JOW1" s="2"/>
      <c r="JOX1" s="2"/>
      <c r="JOY1" s="2"/>
      <c r="JOZ1" s="2"/>
      <c r="JPA1" s="2"/>
      <c r="JPB1" s="2"/>
      <c r="JPC1" s="2"/>
      <c r="JPD1" s="2"/>
      <c r="JPE1" s="2"/>
      <c r="JPF1" s="2"/>
      <c r="JPG1" s="2"/>
      <c r="JPH1" s="2"/>
      <c r="JPI1" s="2"/>
      <c r="JPJ1" s="2"/>
      <c r="JPK1" s="2"/>
      <c r="JPL1" s="2"/>
      <c r="JPM1" s="2"/>
      <c r="JPN1" s="2"/>
      <c r="JPO1" s="2"/>
      <c r="JPP1" s="2"/>
      <c r="JPQ1" s="2"/>
      <c r="JPR1" s="2"/>
      <c r="JPS1" s="2"/>
      <c r="JPT1" s="2"/>
      <c r="JPU1" s="2"/>
      <c r="JPV1" s="2"/>
      <c r="JPW1" s="2"/>
      <c r="JPX1" s="2"/>
      <c r="JPY1" s="2"/>
      <c r="JPZ1" s="2"/>
      <c r="JQA1" s="2"/>
      <c r="JQB1" s="2"/>
      <c r="JQC1" s="2"/>
      <c r="JQD1" s="2"/>
      <c r="JQE1" s="2"/>
      <c r="JQF1" s="2"/>
      <c r="JQG1" s="2"/>
      <c r="JQH1" s="2"/>
      <c r="JQI1" s="2"/>
      <c r="JQJ1" s="2"/>
      <c r="JQK1" s="2"/>
      <c r="JQL1" s="2"/>
      <c r="JQM1" s="2"/>
      <c r="JQN1" s="2"/>
      <c r="JQO1" s="2"/>
      <c r="JQP1" s="2"/>
      <c r="JQQ1" s="2"/>
      <c r="JQR1" s="2"/>
      <c r="JQS1" s="2"/>
      <c r="JQT1" s="2"/>
      <c r="JQU1" s="2"/>
      <c r="JQV1" s="2"/>
      <c r="JQW1" s="2"/>
      <c r="JQX1" s="2"/>
      <c r="JQY1" s="2"/>
      <c r="JQZ1" s="2"/>
      <c r="JRA1" s="2"/>
      <c r="JRB1" s="2"/>
      <c r="JRC1" s="2"/>
      <c r="JRD1" s="2"/>
      <c r="JRE1" s="2"/>
      <c r="JRF1" s="2"/>
      <c r="JRG1" s="2"/>
      <c r="JRH1" s="2"/>
      <c r="JRI1" s="2"/>
      <c r="JRJ1" s="2"/>
      <c r="JRK1" s="2"/>
      <c r="JRL1" s="2"/>
      <c r="JRM1" s="2"/>
      <c r="JRN1" s="2"/>
      <c r="JRO1" s="2"/>
      <c r="JRP1" s="2"/>
      <c r="JRQ1" s="2"/>
      <c r="JRR1" s="2"/>
      <c r="JRS1" s="2"/>
      <c r="JRT1" s="2"/>
      <c r="JRU1" s="2"/>
      <c r="JRV1" s="2"/>
      <c r="JRW1" s="2"/>
      <c r="JRX1" s="2"/>
      <c r="JRY1" s="2"/>
      <c r="JRZ1" s="2"/>
      <c r="JSA1" s="2"/>
      <c r="JSB1" s="2"/>
      <c r="JSC1" s="2"/>
      <c r="JSD1" s="2"/>
      <c r="JSE1" s="2"/>
      <c r="JSF1" s="2"/>
      <c r="JSG1" s="2"/>
      <c r="JSH1" s="2"/>
      <c r="JSI1" s="2"/>
      <c r="JSJ1" s="2"/>
      <c r="JSK1" s="2"/>
      <c r="JSL1" s="2"/>
      <c r="JSM1" s="2"/>
      <c r="JSN1" s="2"/>
      <c r="JSO1" s="2"/>
      <c r="JSP1" s="2"/>
      <c r="JSQ1" s="2"/>
      <c r="JSR1" s="2"/>
      <c r="JSS1" s="2"/>
      <c r="JST1" s="2"/>
      <c r="JSU1" s="2"/>
      <c r="JSV1" s="2"/>
      <c r="JSW1" s="2"/>
      <c r="JSX1" s="2"/>
      <c r="JSY1" s="2"/>
      <c r="JSZ1" s="2"/>
      <c r="JTA1" s="2"/>
      <c r="JTB1" s="2"/>
      <c r="JTC1" s="2"/>
      <c r="JTD1" s="2"/>
      <c r="JTE1" s="2"/>
      <c r="JTF1" s="2"/>
      <c r="JTG1" s="2"/>
      <c r="JTH1" s="2"/>
      <c r="JTI1" s="2"/>
      <c r="JTJ1" s="2"/>
      <c r="JTK1" s="2"/>
      <c r="JTL1" s="2"/>
      <c r="JTM1" s="2"/>
      <c r="JTN1" s="2"/>
      <c r="JTO1" s="2"/>
      <c r="JTP1" s="2"/>
      <c r="JTQ1" s="2"/>
      <c r="JTR1" s="2"/>
      <c r="JTS1" s="2"/>
      <c r="JTT1" s="2"/>
      <c r="JTU1" s="2"/>
      <c r="JTV1" s="2"/>
      <c r="JTW1" s="2"/>
      <c r="JTX1" s="2"/>
      <c r="JTY1" s="2"/>
      <c r="JTZ1" s="2"/>
      <c r="JUA1" s="2"/>
      <c r="JUB1" s="2"/>
      <c r="JUC1" s="2"/>
      <c r="JUD1" s="2"/>
      <c r="JUE1" s="2"/>
      <c r="JUF1" s="2"/>
      <c r="JUG1" s="2"/>
      <c r="JUH1" s="2"/>
      <c r="JUI1" s="2"/>
      <c r="JUJ1" s="2"/>
      <c r="JUK1" s="2"/>
      <c r="JUL1" s="2"/>
      <c r="JUM1" s="2"/>
      <c r="JUN1" s="2"/>
      <c r="JUO1" s="2"/>
      <c r="JUP1" s="2"/>
      <c r="JUQ1" s="2"/>
      <c r="JUR1" s="2"/>
      <c r="JUS1" s="2"/>
      <c r="JUT1" s="2"/>
      <c r="JUU1" s="2"/>
      <c r="JUV1" s="2"/>
      <c r="JUW1" s="2"/>
      <c r="JUX1" s="2"/>
      <c r="JUY1" s="2"/>
      <c r="JUZ1" s="2"/>
      <c r="JVA1" s="2"/>
      <c r="JVB1" s="2"/>
      <c r="JVC1" s="2"/>
      <c r="JVD1" s="2"/>
      <c r="JVE1" s="2"/>
      <c r="JVF1" s="2"/>
      <c r="JVG1" s="2"/>
      <c r="JVH1" s="2"/>
      <c r="JVI1" s="2"/>
      <c r="JVJ1" s="2"/>
      <c r="JVK1" s="2"/>
      <c r="JVL1" s="2"/>
      <c r="JVM1" s="2"/>
      <c r="JVN1" s="2"/>
      <c r="JVO1" s="2"/>
      <c r="JVP1" s="2"/>
      <c r="JVQ1" s="2"/>
      <c r="JVR1" s="2"/>
      <c r="JVS1" s="2"/>
      <c r="JVT1" s="2"/>
      <c r="JVU1" s="2"/>
      <c r="JVV1" s="2"/>
      <c r="JVW1" s="2"/>
      <c r="JVX1" s="2"/>
      <c r="JVY1" s="2"/>
      <c r="JVZ1" s="2"/>
      <c r="JWA1" s="2"/>
      <c r="JWB1" s="2"/>
      <c r="JWC1" s="2"/>
      <c r="JWD1" s="2"/>
      <c r="JWE1" s="2"/>
      <c r="JWF1" s="2"/>
      <c r="JWG1" s="2"/>
      <c r="JWH1" s="2"/>
      <c r="JWI1" s="2"/>
      <c r="JWJ1" s="2"/>
      <c r="JWK1" s="2"/>
      <c r="JWL1" s="2"/>
      <c r="JWM1" s="2"/>
      <c r="JWN1" s="2"/>
      <c r="JWO1" s="2"/>
      <c r="JWP1" s="2"/>
      <c r="JWQ1" s="2"/>
      <c r="JWR1" s="2"/>
      <c r="JWS1" s="2"/>
      <c r="JWT1" s="2"/>
      <c r="JWU1" s="2"/>
      <c r="JWV1" s="2"/>
      <c r="JWW1" s="2"/>
      <c r="JWX1" s="2"/>
      <c r="JWY1" s="2"/>
      <c r="JWZ1" s="2"/>
      <c r="JXA1" s="2"/>
      <c r="JXB1" s="2"/>
      <c r="JXC1" s="2"/>
      <c r="JXD1" s="2"/>
      <c r="JXE1" s="2"/>
      <c r="JXF1" s="2"/>
      <c r="JXG1" s="2"/>
      <c r="JXH1" s="2"/>
      <c r="JXI1" s="2"/>
      <c r="JXJ1" s="2"/>
      <c r="JXK1" s="2"/>
      <c r="JXL1" s="2"/>
      <c r="JXM1" s="2"/>
      <c r="JXN1" s="2"/>
      <c r="JXO1" s="2"/>
      <c r="JXP1" s="2"/>
      <c r="JXQ1" s="2"/>
      <c r="JXR1" s="2"/>
      <c r="JXS1" s="2"/>
      <c r="JXT1" s="2"/>
      <c r="JXU1" s="2"/>
      <c r="JXV1" s="2"/>
      <c r="JXW1" s="2"/>
      <c r="JXX1" s="2"/>
      <c r="JXY1" s="2"/>
      <c r="JXZ1" s="2"/>
      <c r="JYA1" s="2"/>
      <c r="JYB1" s="2"/>
      <c r="JYC1" s="2"/>
      <c r="JYD1" s="2"/>
      <c r="JYE1" s="2"/>
      <c r="JYF1" s="2"/>
      <c r="JYG1" s="2"/>
      <c r="JYH1" s="2"/>
      <c r="JYI1" s="2"/>
      <c r="JYJ1" s="2"/>
      <c r="JYK1" s="2"/>
      <c r="JYL1" s="2"/>
      <c r="JYM1" s="2"/>
      <c r="JYN1" s="2"/>
      <c r="JYO1" s="2"/>
      <c r="JYP1" s="2"/>
      <c r="JYQ1" s="2"/>
      <c r="JYR1" s="2"/>
      <c r="JYS1" s="2"/>
      <c r="JYT1" s="2"/>
      <c r="JYU1" s="2"/>
      <c r="JYV1" s="2"/>
      <c r="JYW1" s="2"/>
      <c r="JYX1" s="2"/>
      <c r="JYY1" s="2"/>
      <c r="JYZ1" s="2"/>
      <c r="JZA1" s="2"/>
      <c r="JZB1" s="2"/>
      <c r="JZC1" s="2"/>
      <c r="JZD1" s="2"/>
      <c r="JZE1" s="2"/>
      <c r="JZF1" s="2"/>
      <c r="JZG1" s="2"/>
      <c r="JZH1" s="2"/>
      <c r="JZI1" s="2"/>
      <c r="JZJ1" s="2"/>
      <c r="JZK1" s="2"/>
      <c r="JZL1" s="2"/>
      <c r="JZM1" s="2"/>
      <c r="JZN1" s="2"/>
      <c r="JZO1" s="2"/>
      <c r="JZP1" s="2"/>
      <c r="JZQ1" s="2"/>
      <c r="JZR1" s="2"/>
      <c r="JZS1" s="2"/>
      <c r="JZT1" s="2"/>
      <c r="JZU1" s="2"/>
      <c r="JZV1" s="2"/>
      <c r="JZW1" s="2"/>
      <c r="JZX1" s="2"/>
      <c r="JZY1" s="2"/>
      <c r="JZZ1" s="2"/>
      <c r="KAA1" s="2"/>
      <c r="KAB1" s="2"/>
      <c r="KAC1" s="2"/>
      <c r="KAD1" s="2"/>
      <c r="KAE1" s="2"/>
      <c r="KAF1" s="2"/>
      <c r="KAG1" s="2"/>
      <c r="KAH1" s="2"/>
      <c r="KAI1" s="2"/>
      <c r="KAJ1" s="2"/>
      <c r="KAK1" s="2"/>
      <c r="KAL1" s="2"/>
      <c r="KAM1" s="2"/>
      <c r="KAN1" s="2"/>
      <c r="KAO1" s="2"/>
      <c r="KAP1" s="2"/>
      <c r="KAQ1" s="2"/>
      <c r="KAR1" s="2"/>
      <c r="KAS1" s="2"/>
      <c r="KAT1" s="2"/>
      <c r="KAU1" s="2"/>
      <c r="KAV1" s="2"/>
      <c r="KAW1" s="2"/>
      <c r="KAX1" s="2"/>
      <c r="KAY1" s="2"/>
      <c r="KAZ1" s="2"/>
      <c r="KBA1" s="2"/>
      <c r="KBB1" s="2"/>
      <c r="KBC1" s="2"/>
      <c r="KBD1" s="2"/>
      <c r="KBE1" s="2"/>
      <c r="KBF1" s="2"/>
      <c r="KBG1" s="2"/>
      <c r="KBH1" s="2"/>
      <c r="KBI1" s="2"/>
      <c r="KBJ1" s="2"/>
      <c r="KBK1" s="2"/>
      <c r="KBL1" s="2"/>
      <c r="KBM1" s="2"/>
      <c r="KBN1" s="2"/>
      <c r="KBO1" s="2"/>
      <c r="KBP1" s="2"/>
      <c r="KBQ1" s="2"/>
      <c r="KBR1" s="2"/>
      <c r="KBS1" s="2"/>
      <c r="KBT1" s="2"/>
      <c r="KBU1" s="2"/>
      <c r="KBV1" s="2"/>
      <c r="KBW1" s="2"/>
      <c r="KBX1" s="2"/>
      <c r="KBY1" s="2"/>
      <c r="KBZ1" s="2"/>
      <c r="KCA1" s="2"/>
      <c r="KCB1" s="2"/>
      <c r="KCC1" s="2"/>
      <c r="KCD1" s="2"/>
      <c r="KCE1" s="2"/>
      <c r="KCF1" s="2"/>
      <c r="KCG1" s="2"/>
      <c r="KCH1" s="2"/>
      <c r="KCI1" s="2"/>
      <c r="KCJ1" s="2"/>
      <c r="KCK1" s="2"/>
      <c r="KCL1" s="2"/>
      <c r="KCM1" s="2"/>
      <c r="KCN1" s="2"/>
      <c r="KCO1" s="2"/>
      <c r="KCP1" s="2"/>
      <c r="KCQ1" s="2"/>
      <c r="KCR1" s="2"/>
      <c r="KCS1" s="2"/>
      <c r="KCT1" s="2"/>
      <c r="KCU1" s="2"/>
      <c r="KCV1" s="2"/>
      <c r="KCW1" s="2"/>
      <c r="KCX1" s="2"/>
      <c r="KCY1" s="2"/>
      <c r="KCZ1" s="2"/>
      <c r="KDA1" s="2"/>
      <c r="KDB1" s="2"/>
      <c r="KDC1" s="2"/>
      <c r="KDD1" s="2"/>
      <c r="KDE1" s="2"/>
      <c r="KDF1" s="2"/>
      <c r="KDG1" s="2"/>
      <c r="KDH1" s="2"/>
      <c r="KDI1" s="2"/>
      <c r="KDJ1" s="2"/>
      <c r="KDK1" s="2"/>
      <c r="KDL1" s="2"/>
      <c r="KDM1" s="2"/>
      <c r="KDN1" s="2"/>
      <c r="KDO1" s="2"/>
      <c r="KDP1" s="2"/>
      <c r="KDQ1" s="2"/>
      <c r="KDR1" s="2"/>
      <c r="KDS1" s="2"/>
      <c r="KDT1" s="2"/>
      <c r="KDU1" s="2"/>
      <c r="KDV1" s="2"/>
      <c r="KDW1" s="2"/>
      <c r="KDX1" s="2"/>
      <c r="KDY1" s="2"/>
      <c r="KDZ1" s="2"/>
      <c r="KEA1" s="2"/>
      <c r="KEB1" s="2"/>
      <c r="KEC1" s="2"/>
      <c r="KED1" s="2"/>
      <c r="KEE1" s="2"/>
      <c r="KEF1" s="2"/>
      <c r="KEG1" s="2"/>
      <c r="KEH1" s="2"/>
      <c r="KEI1" s="2"/>
      <c r="KEJ1" s="2"/>
      <c r="KEK1" s="2"/>
      <c r="KEL1" s="2"/>
      <c r="KEM1" s="2"/>
      <c r="KEN1" s="2"/>
      <c r="KEO1" s="2"/>
      <c r="KEP1" s="2"/>
      <c r="KEQ1" s="2"/>
      <c r="KER1" s="2"/>
      <c r="KES1" s="2"/>
      <c r="KET1" s="2"/>
      <c r="KEU1" s="2"/>
      <c r="KEV1" s="2"/>
      <c r="KEW1" s="2"/>
      <c r="KEX1" s="2"/>
      <c r="KEY1" s="2"/>
      <c r="KEZ1" s="2"/>
      <c r="KFA1" s="2"/>
      <c r="KFB1" s="2"/>
      <c r="KFC1" s="2"/>
      <c r="KFD1" s="2"/>
      <c r="KFE1" s="2"/>
      <c r="KFF1" s="2"/>
      <c r="KFG1" s="2"/>
      <c r="KFH1" s="2"/>
      <c r="KFI1" s="2"/>
      <c r="KFJ1" s="2"/>
      <c r="KFK1" s="2"/>
      <c r="KFL1" s="2"/>
      <c r="KFM1" s="2"/>
      <c r="KFN1" s="2"/>
      <c r="KFO1" s="2"/>
      <c r="KFP1" s="2"/>
      <c r="KFQ1" s="2"/>
      <c r="KFR1" s="2"/>
      <c r="KFS1" s="2"/>
      <c r="KFT1" s="2"/>
      <c r="KFU1" s="2"/>
      <c r="KFV1" s="2"/>
      <c r="KFW1" s="2"/>
      <c r="KFX1" s="2"/>
      <c r="KFY1" s="2"/>
      <c r="KFZ1" s="2"/>
      <c r="KGA1" s="2"/>
      <c r="KGB1" s="2"/>
      <c r="KGC1" s="2"/>
      <c r="KGD1" s="2"/>
      <c r="KGE1" s="2"/>
      <c r="KGF1" s="2"/>
      <c r="KGG1" s="2"/>
      <c r="KGH1" s="2"/>
      <c r="KGI1" s="2"/>
      <c r="KGJ1" s="2"/>
      <c r="KGK1" s="2"/>
      <c r="KGL1" s="2"/>
      <c r="KGM1" s="2"/>
      <c r="KGN1" s="2"/>
      <c r="KGO1" s="2"/>
      <c r="KGP1" s="2"/>
      <c r="KGQ1" s="2"/>
      <c r="KGR1" s="2"/>
      <c r="KGS1" s="2"/>
      <c r="KGT1" s="2"/>
      <c r="KGU1" s="2"/>
      <c r="KGV1" s="2"/>
      <c r="KGW1" s="2"/>
      <c r="KGX1" s="2"/>
      <c r="KGY1" s="2"/>
      <c r="KGZ1" s="2"/>
      <c r="KHA1" s="2"/>
      <c r="KHB1" s="2"/>
      <c r="KHC1" s="2"/>
      <c r="KHD1" s="2"/>
      <c r="KHE1" s="2"/>
      <c r="KHF1" s="2"/>
      <c r="KHG1" s="2"/>
      <c r="KHH1" s="2"/>
      <c r="KHI1" s="2"/>
      <c r="KHJ1" s="2"/>
      <c r="KHK1" s="2"/>
      <c r="KHL1" s="2"/>
      <c r="KHM1" s="2"/>
      <c r="KHN1" s="2"/>
      <c r="KHO1" s="2"/>
      <c r="KHP1" s="2"/>
      <c r="KHQ1" s="2"/>
      <c r="KHR1" s="2"/>
      <c r="KHS1" s="2"/>
      <c r="KHT1" s="2"/>
      <c r="KHU1" s="2"/>
      <c r="KHV1" s="2"/>
      <c r="KHW1" s="2"/>
      <c r="KHX1" s="2"/>
      <c r="KHY1" s="2"/>
      <c r="KHZ1" s="2"/>
      <c r="KIA1" s="2"/>
      <c r="KIB1" s="2"/>
      <c r="KIC1" s="2"/>
      <c r="KID1" s="2"/>
      <c r="KIE1" s="2"/>
      <c r="KIF1" s="2"/>
      <c r="KIG1" s="2"/>
      <c r="KIH1" s="2"/>
      <c r="KII1" s="2"/>
      <c r="KIJ1" s="2"/>
      <c r="KIK1" s="2"/>
      <c r="KIL1" s="2"/>
      <c r="KIM1" s="2"/>
      <c r="KIN1" s="2"/>
      <c r="KIO1" s="2"/>
      <c r="KIP1" s="2"/>
      <c r="KIQ1" s="2"/>
      <c r="KIR1" s="2"/>
      <c r="KIS1" s="2"/>
      <c r="KIT1" s="2"/>
      <c r="KIU1" s="2"/>
      <c r="KIV1" s="2"/>
      <c r="KIW1" s="2"/>
      <c r="KIX1" s="2"/>
      <c r="KIY1" s="2"/>
      <c r="KIZ1" s="2"/>
      <c r="KJA1" s="2"/>
      <c r="KJB1" s="2"/>
      <c r="KJC1" s="2"/>
      <c r="KJD1" s="2"/>
      <c r="KJE1" s="2"/>
      <c r="KJF1" s="2"/>
      <c r="KJG1" s="2"/>
      <c r="KJH1" s="2"/>
      <c r="KJI1" s="2"/>
      <c r="KJJ1" s="2"/>
      <c r="KJK1" s="2"/>
      <c r="KJL1" s="2"/>
      <c r="KJM1" s="2"/>
      <c r="KJN1" s="2"/>
      <c r="KJO1" s="2"/>
      <c r="KJP1" s="2"/>
      <c r="KJQ1" s="2"/>
      <c r="KJR1" s="2"/>
      <c r="KJS1" s="2"/>
      <c r="KJT1" s="2"/>
      <c r="KJU1" s="2"/>
      <c r="KJV1" s="2"/>
      <c r="KJW1" s="2"/>
      <c r="KJX1" s="2"/>
      <c r="KJY1" s="2"/>
      <c r="KJZ1" s="2"/>
      <c r="KKA1" s="2"/>
      <c r="KKB1" s="2"/>
      <c r="KKC1" s="2"/>
      <c r="KKD1" s="2"/>
      <c r="KKE1" s="2"/>
      <c r="KKF1" s="2"/>
      <c r="KKG1" s="2"/>
      <c r="KKH1" s="2"/>
      <c r="KKI1" s="2"/>
      <c r="KKJ1" s="2"/>
      <c r="KKK1" s="2"/>
      <c r="KKL1" s="2"/>
      <c r="KKM1" s="2"/>
      <c r="KKN1" s="2"/>
      <c r="KKO1" s="2"/>
      <c r="KKP1" s="2"/>
      <c r="KKQ1" s="2"/>
      <c r="KKR1" s="2"/>
      <c r="KKS1" s="2"/>
      <c r="KKT1" s="2"/>
      <c r="KKU1" s="2"/>
      <c r="KKV1" s="2"/>
      <c r="KKW1" s="2"/>
      <c r="KKX1" s="2"/>
      <c r="KKY1" s="2"/>
      <c r="KKZ1" s="2"/>
      <c r="KLA1" s="2"/>
      <c r="KLB1" s="2"/>
      <c r="KLC1" s="2"/>
      <c r="KLD1" s="2"/>
      <c r="KLE1" s="2"/>
      <c r="KLF1" s="2"/>
      <c r="KLG1" s="2"/>
      <c r="KLH1" s="2"/>
      <c r="KLI1" s="2"/>
      <c r="KLJ1" s="2"/>
      <c r="KLK1" s="2"/>
      <c r="KLL1" s="2"/>
      <c r="KLM1" s="2"/>
      <c r="KLN1" s="2"/>
      <c r="KLO1" s="2"/>
      <c r="KLP1" s="2"/>
      <c r="KLQ1" s="2"/>
      <c r="KLR1" s="2"/>
      <c r="KLS1" s="2"/>
      <c r="KLT1" s="2"/>
      <c r="KLU1" s="2"/>
      <c r="KLV1" s="2"/>
      <c r="KLW1" s="2"/>
      <c r="KLX1" s="2"/>
      <c r="KLY1" s="2"/>
      <c r="KLZ1" s="2"/>
      <c r="KMA1" s="2"/>
      <c r="KMB1" s="2"/>
      <c r="KMC1" s="2"/>
      <c r="KMD1" s="2"/>
      <c r="KME1" s="2"/>
      <c r="KMF1" s="2"/>
      <c r="KMG1" s="2"/>
      <c r="KMH1" s="2"/>
      <c r="KMI1" s="2"/>
      <c r="KMJ1" s="2"/>
      <c r="KMK1" s="2"/>
      <c r="KML1" s="2"/>
      <c r="KMM1" s="2"/>
      <c r="KMN1" s="2"/>
      <c r="KMO1" s="2"/>
      <c r="KMP1" s="2"/>
      <c r="KMQ1" s="2"/>
      <c r="KMR1" s="2"/>
      <c r="KMS1" s="2"/>
      <c r="KMT1" s="2"/>
      <c r="KMU1" s="2"/>
      <c r="KMV1" s="2"/>
      <c r="KMW1" s="2"/>
      <c r="KMX1" s="2"/>
      <c r="KMY1" s="2"/>
      <c r="KMZ1" s="2"/>
      <c r="KNA1" s="2"/>
      <c r="KNB1" s="2"/>
      <c r="KNC1" s="2"/>
      <c r="KND1" s="2"/>
      <c r="KNE1" s="2"/>
      <c r="KNF1" s="2"/>
      <c r="KNG1" s="2"/>
      <c r="KNH1" s="2"/>
      <c r="KNI1" s="2"/>
      <c r="KNJ1" s="2"/>
      <c r="KNK1" s="2"/>
      <c r="KNL1" s="2"/>
      <c r="KNM1" s="2"/>
      <c r="KNN1" s="2"/>
      <c r="KNO1" s="2"/>
      <c r="KNP1" s="2"/>
      <c r="KNQ1" s="2"/>
      <c r="KNR1" s="2"/>
      <c r="KNS1" s="2"/>
      <c r="KNT1" s="2"/>
      <c r="KNU1" s="2"/>
      <c r="KNV1" s="2"/>
      <c r="KNW1" s="2"/>
      <c r="KNX1" s="2"/>
      <c r="KNY1" s="2"/>
      <c r="KNZ1" s="2"/>
      <c r="KOA1" s="2"/>
      <c r="KOB1" s="2"/>
      <c r="KOC1" s="2"/>
      <c r="KOD1" s="2"/>
      <c r="KOE1" s="2"/>
      <c r="KOF1" s="2"/>
      <c r="KOG1" s="2"/>
      <c r="KOH1" s="2"/>
      <c r="KOI1" s="2"/>
      <c r="KOJ1" s="2"/>
      <c r="KOK1" s="2"/>
      <c r="KOL1" s="2"/>
      <c r="KOM1" s="2"/>
      <c r="KON1" s="2"/>
      <c r="KOO1" s="2"/>
      <c r="KOP1" s="2"/>
      <c r="KOQ1" s="2"/>
      <c r="KOR1" s="2"/>
      <c r="KOS1" s="2"/>
      <c r="KOT1" s="2"/>
      <c r="KOU1" s="2"/>
      <c r="KOV1" s="2"/>
      <c r="KOW1" s="2"/>
      <c r="KOX1" s="2"/>
      <c r="KOY1" s="2"/>
      <c r="KOZ1" s="2"/>
      <c r="KPA1" s="2"/>
      <c r="KPB1" s="2"/>
      <c r="KPC1" s="2"/>
      <c r="KPD1" s="2"/>
      <c r="KPE1" s="2"/>
      <c r="KPF1" s="2"/>
      <c r="KPG1" s="2"/>
      <c r="KPH1" s="2"/>
      <c r="KPI1" s="2"/>
      <c r="KPJ1" s="2"/>
      <c r="KPK1" s="2"/>
      <c r="KPL1" s="2"/>
      <c r="KPM1" s="2"/>
      <c r="KPN1" s="2"/>
      <c r="KPO1" s="2"/>
      <c r="KPP1" s="2"/>
      <c r="KPQ1" s="2"/>
      <c r="KPR1" s="2"/>
      <c r="KPS1" s="2"/>
      <c r="KPT1" s="2"/>
      <c r="KPU1" s="2"/>
      <c r="KPV1" s="2"/>
      <c r="KPW1" s="2"/>
      <c r="KPX1" s="2"/>
      <c r="KPY1" s="2"/>
      <c r="KPZ1" s="2"/>
      <c r="KQA1" s="2"/>
      <c r="KQB1" s="2"/>
      <c r="KQC1" s="2"/>
      <c r="KQD1" s="2"/>
      <c r="KQE1" s="2"/>
      <c r="KQF1" s="2"/>
      <c r="KQG1" s="2"/>
      <c r="KQH1" s="2"/>
      <c r="KQI1" s="2"/>
      <c r="KQJ1" s="2"/>
      <c r="KQK1" s="2"/>
      <c r="KQL1" s="2"/>
      <c r="KQM1" s="2"/>
      <c r="KQN1" s="2"/>
      <c r="KQO1" s="2"/>
      <c r="KQP1" s="2"/>
      <c r="KQQ1" s="2"/>
      <c r="KQR1" s="2"/>
      <c r="KQS1" s="2"/>
      <c r="KQT1" s="2"/>
      <c r="KQU1" s="2"/>
      <c r="KQV1" s="2"/>
      <c r="KQW1" s="2"/>
      <c r="KQX1" s="2"/>
      <c r="KQY1" s="2"/>
      <c r="KQZ1" s="2"/>
      <c r="KRA1" s="2"/>
      <c r="KRB1" s="2"/>
      <c r="KRC1" s="2"/>
      <c r="KRD1" s="2"/>
      <c r="KRE1" s="2"/>
      <c r="KRF1" s="2"/>
      <c r="KRG1" s="2"/>
      <c r="KRH1" s="2"/>
      <c r="KRI1" s="2"/>
      <c r="KRJ1" s="2"/>
      <c r="KRK1" s="2"/>
      <c r="KRL1" s="2"/>
      <c r="KRM1" s="2"/>
      <c r="KRN1" s="2"/>
      <c r="KRO1" s="2"/>
      <c r="KRP1" s="2"/>
      <c r="KRQ1" s="2"/>
      <c r="KRR1" s="2"/>
      <c r="KRS1" s="2"/>
      <c r="KRT1" s="2"/>
      <c r="KRU1" s="2"/>
      <c r="KRV1" s="2"/>
      <c r="KRW1" s="2"/>
      <c r="KRX1" s="2"/>
      <c r="KRY1" s="2"/>
      <c r="KRZ1" s="2"/>
      <c r="KSA1" s="2"/>
      <c r="KSB1" s="2"/>
      <c r="KSC1" s="2"/>
      <c r="KSD1" s="2"/>
      <c r="KSE1" s="2"/>
      <c r="KSF1" s="2"/>
      <c r="KSG1" s="2"/>
      <c r="KSH1" s="2"/>
      <c r="KSI1" s="2"/>
      <c r="KSJ1" s="2"/>
      <c r="KSK1" s="2"/>
      <c r="KSL1" s="2"/>
      <c r="KSM1" s="2"/>
      <c r="KSN1" s="2"/>
      <c r="KSO1" s="2"/>
      <c r="KSP1" s="2"/>
      <c r="KSQ1" s="2"/>
      <c r="KSR1" s="2"/>
      <c r="KSS1" s="2"/>
      <c r="KST1" s="2"/>
      <c r="KSU1" s="2"/>
      <c r="KSV1" s="2"/>
      <c r="KSW1" s="2"/>
      <c r="KSX1" s="2"/>
      <c r="KSY1" s="2"/>
      <c r="KSZ1" s="2"/>
      <c r="KTA1" s="2"/>
      <c r="KTB1" s="2"/>
      <c r="KTC1" s="2"/>
      <c r="KTD1" s="2"/>
      <c r="KTE1" s="2"/>
      <c r="KTF1" s="2"/>
      <c r="KTG1" s="2"/>
      <c r="KTH1" s="2"/>
      <c r="KTI1" s="2"/>
      <c r="KTJ1" s="2"/>
      <c r="KTK1" s="2"/>
      <c r="KTL1" s="2"/>
      <c r="KTM1" s="2"/>
      <c r="KTN1" s="2"/>
      <c r="KTO1" s="2"/>
      <c r="KTP1" s="2"/>
      <c r="KTQ1" s="2"/>
      <c r="KTR1" s="2"/>
      <c r="KTS1" s="2"/>
      <c r="KTT1" s="2"/>
      <c r="KTU1" s="2"/>
      <c r="KTV1" s="2"/>
      <c r="KTW1" s="2"/>
      <c r="KTX1" s="2"/>
      <c r="KTY1" s="2"/>
      <c r="KTZ1" s="2"/>
      <c r="KUA1" s="2"/>
      <c r="KUB1" s="2"/>
      <c r="KUC1" s="2"/>
      <c r="KUD1" s="2"/>
      <c r="KUE1" s="2"/>
      <c r="KUF1" s="2"/>
      <c r="KUG1" s="2"/>
      <c r="KUH1" s="2"/>
      <c r="KUI1" s="2"/>
      <c r="KUJ1" s="2"/>
      <c r="KUK1" s="2"/>
      <c r="KUL1" s="2"/>
      <c r="KUM1" s="2"/>
      <c r="KUN1" s="2"/>
      <c r="KUO1" s="2"/>
      <c r="KUP1" s="2"/>
      <c r="KUQ1" s="2"/>
      <c r="KUR1" s="2"/>
      <c r="KUS1" s="2"/>
      <c r="KUT1" s="2"/>
      <c r="KUU1" s="2"/>
      <c r="KUV1" s="2"/>
      <c r="KUW1" s="2"/>
      <c r="KUX1" s="2"/>
      <c r="KUY1" s="2"/>
      <c r="KUZ1" s="2"/>
      <c r="KVA1" s="2"/>
      <c r="KVB1" s="2"/>
      <c r="KVC1" s="2"/>
      <c r="KVD1" s="2"/>
      <c r="KVE1" s="2"/>
      <c r="KVF1" s="2"/>
      <c r="KVG1" s="2"/>
      <c r="KVH1" s="2"/>
      <c r="KVI1" s="2"/>
      <c r="KVJ1" s="2"/>
      <c r="KVK1" s="2"/>
      <c r="KVL1" s="2"/>
      <c r="KVM1" s="2"/>
      <c r="KVN1" s="2"/>
      <c r="KVO1" s="2"/>
      <c r="KVP1" s="2"/>
      <c r="KVQ1" s="2"/>
      <c r="KVR1" s="2"/>
      <c r="KVS1" s="2"/>
      <c r="KVT1" s="2"/>
      <c r="KVU1" s="2"/>
      <c r="KVV1" s="2"/>
      <c r="KVW1" s="2"/>
      <c r="KVX1" s="2"/>
      <c r="KVY1" s="2"/>
      <c r="KVZ1" s="2"/>
      <c r="KWA1" s="2"/>
      <c r="KWB1" s="2"/>
      <c r="KWC1" s="2"/>
      <c r="KWD1" s="2"/>
      <c r="KWE1" s="2"/>
      <c r="KWF1" s="2"/>
      <c r="KWG1" s="2"/>
      <c r="KWH1" s="2"/>
      <c r="KWI1" s="2"/>
      <c r="KWJ1" s="2"/>
      <c r="KWK1" s="2"/>
      <c r="KWL1" s="2"/>
      <c r="KWM1" s="2"/>
      <c r="KWN1" s="2"/>
      <c r="KWO1" s="2"/>
      <c r="KWP1" s="2"/>
      <c r="KWQ1" s="2"/>
      <c r="KWR1" s="2"/>
      <c r="KWS1" s="2"/>
      <c r="KWT1" s="2"/>
      <c r="KWU1" s="2"/>
      <c r="KWV1" s="2"/>
      <c r="KWW1" s="2"/>
      <c r="KWX1" s="2"/>
      <c r="KWY1" s="2"/>
      <c r="KWZ1" s="2"/>
      <c r="KXA1" s="2"/>
      <c r="KXB1" s="2"/>
      <c r="KXC1" s="2"/>
      <c r="KXD1" s="2"/>
      <c r="KXE1" s="2"/>
      <c r="KXF1" s="2"/>
      <c r="KXG1" s="2"/>
      <c r="KXH1" s="2"/>
      <c r="KXI1" s="2"/>
      <c r="KXJ1" s="2"/>
      <c r="KXK1" s="2"/>
      <c r="KXL1" s="2"/>
      <c r="KXM1" s="2"/>
      <c r="KXN1" s="2"/>
      <c r="KXO1" s="2"/>
      <c r="KXP1" s="2"/>
      <c r="KXQ1" s="2"/>
      <c r="KXR1" s="2"/>
      <c r="KXS1" s="2"/>
      <c r="KXT1" s="2"/>
      <c r="KXU1" s="2"/>
      <c r="KXV1" s="2"/>
      <c r="KXW1" s="2"/>
      <c r="KXX1" s="2"/>
      <c r="KXY1" s="2"/>
      <c r="KXZ1" s="2"/>
      <c r="KYA1" s="2"/>
      <c r="KYB1" s="2"/>
      <c r="KYC1" s="2"/>
      <c r="KYD1" s="2"/>
      <c r="KYE1" s="2"/>
      <c r="KYF1" s="2"/>
      <c r="KYG1" s="2"/>
      <c r="KYH1" s="2"/>
      <c r="KYI1" s="2"/>
      <c r="KYJ1" s="2"/>
      <c r="KYK1" s="2"/>
      <c r="KYL1" s="2"/>
      <c r="KYM1" s="2"/>
      <c r="KYN1" s="2"/>
      <c r="KYO1" s="2"/>
      <c r="KYP1" s="2"/>
      <c r="KYQ1" s="2"/>
      <c r="KYR1" s="2"/>
      <c r="KYS1" s="2"/>
      <c r="KYT1" s="2"/>
      <c r="KYU1" s="2"/>
      <c r="KYV1" s="2"/>
      <c r="KYW1" s="2"/>
      <c r="KYX1" s="2"/>
      <c r="KYY1" s="2"/>
      <c r="KYZ1" s="2"/>
      <c r="KZA1" s="2"/>
      <c r="KZB1" s="2"/>
      <c r="KZC1" s="2"/>
      <c r="KZD1" s="2"/>
      <c r="KZE1" s="2"/>
      <c r="KZF1" s="2"/>
      <c r="KZG1" s="2"/>
      <c r="KZH1" s="2"/>
      <c r="KZI1" s="2"/>
      <c r="KZJ1" s="2"/>
      <c r="KZK1" s="2"/>
      <c r="KZL1" s="2"/>
      <c r="KZM1" s="2"/>
      <c r="KZN1" s="2"/>
      <c r="KZO1" s="2"/>
      <c r="KZP1" s="2"/>
      <c r="KZQ1" s="2"/>
      <c r="KZR1" s="2"/>
      <c r="KZS1" s="2"/>
      <c r="KZT1" s="2"/>
      <c r="KZU1" s="2"/>
      <c r="KZV1" s="2"/>
      <c r="KZW1" s="2"/>
      <c r="KZX1" s="2"/>
      <c r="KZY1" s="2"/>
      <c r="KZZ1" s="2"/>
      <c r="LAA1" s="2"/>
      <c r="LAB1" s="2"/>
      <c r="LAC1" s="2"/>
      <c r="LAD1" s="2"/>
      <c r="LAE1" s="2"/>
      <c r="LAF1" s="2"/>
      <c r="LAG1" s="2"/>
      <c r="LAH1" s="2"/>
      <c r="LAI1" s="2"/>
      <c r="LAJ1" s="2"/>
      <c r="LAK1" s="2"/>
      <c r="LAL1" s="2"/>
      <c r="LAM1" s="2"/>
      <c r="LAN1" s="2"/>
      <c r="LAO1" s="2"/>
      <c r="LAP1" s="2"/>
      <c r="LAQ1" s="2"/>
      <c r="LAR1" s="2"/>
      <c r="LAS1" s="2"/>
      <c r="LAT1" s="2"/>
      <c r="LAU1" s="2"/>
      <c r="LAV1" s="2"/>
      <c r="LAW1" s="2"/>
      <c r="LAX1" s="2"/>
      <c r="LAY1" s="2"/>
      <c r="LAZ1" s="2"/>
      <c r="LBA1" s="2"/>
      <c r="LBB1" s="2"/>
      <c r="LBC1" s="2"/>
      <c r="LBD1" s="2"/>
      <c r="LBE1" s="2"/>
      <c r="LBF1" s="2"/>
      <c r="LBG1" s="2"/>
      <c r="LBH1" s="2"/>
      <c r="LBI1" s="2"/>
      <c r="LBJ1" s="2"/>
      <c r="LBK1" s="2"/>
      <c r="LBL1" s="2"/>
      <c r="LBM1" s="2"/>
      <c r="LBN1" s="2"/>
      <c r="LBO1" s="2"/>
      <c r="LBP1" s="2"/>
      <c r="LBQ1" s="2"/>
      <c r="LBR1" s="2"/>
      <c r="LBS1" s="2"/>
      <c r="LBT1" s="2"/>
      <c r="LBU1" s="2"/>
      <c r="LBV1" s="2"/>
      <c r="LBW1" s="2"/>
      <c r="LBX1" s="2"/>
      <c r="LBY1" s="2"/>
      <c r="LBZ1" s="2"/>
      <c r="LCA1" s="2"/>
      <c r="LCB1" s="2"/>
      <c r="LCC1" s="2"/>
      <c r="LCD1" s="2"/>
      <c r="LCE1" s="2"/>
      <c r="LCF1" s="2"/>
      <c r="LCG1" s="2"/>
      <c r="LCH1" s="2"/>
      <c r="LCI1" s="2"/>
      <c r="LCJ1" s="2"/>
      <c r="LCK1" s="2"/>
      <c r="LCL1" s="2"/>
      <c r="LCM1" s="2"/>
      <c r="LCN1" s="2"/>
      <c r="LCO1" s="2"/>
      <c r="LCP1" s="2"/>
      <c r="LCQ1" s="2"/>
      <c r="LCR1" s="2"/>
      <c r="LCS1" s="2"/>
      <c r="LCT1" s="2"/>
      <c r="LCU1" s="2"/>
      <c r="LCV1" s="2"/>
      <c r="LCW1" s="2"/>
      <c r="LCX1" s="2"/>
      <c r="LCY1" s="2"/>
      <c r="LCZ1" s="2"/>
      <c r="LDA1" s="2"/>
      <c r="LDB1" s="2"/>
      <c r="LDC1" s="2"/>
      <c r="LDD1" s="2"/>
      <c r="LDE1" s="2"/>
      <c r="LDF1" s="2"/>
      <c r="LDG1" s="2"/>
      <c r="LDH1" s="2"/>
      <c r="LDI1" s="2"/>
      <c r="LDJ1" s="2"/>
      <c r="LDK1" s="2"/>
      <c r="LDL1" s="2"/>
      <c r="LDM1" s="2"/>
      <c r="LDN1" s="2"/>
      <c r="LDO1" s="2"/>
      <c r="LDP1" s="2"/>
      <c r="LDQ1" s="2"/>
      <c r="LDR1" s="2"/>
      <c r="LDS1" s="2"/>
      <c r="LDT1" s="2"/>
      <c r="LDU1" s="2"/>
      <c r="LDV1" s="2"/>
      <c r="LDW1" s="2"/>
      <c r="LDX1" s="2"/>
      <c r="LDY1" s="2"/>
      <c r="LDZ1" s="2"/>
      <c r="LEA1" s="2"/>
      <c r="LEB1" s="2"/>
      <c r="LEC1" s="2"/>
      <c r="LED1" s="2"/>
      <c r="LEE1" s="2"/>
      <c r="LEF1" s="2"/>
      <c r="LEG1" s="2"/>
      <c r="LEH1" s="2"/>
      <c r="LEI1" s="2"/>
      <c r="LEJ1" s="2"/>
      <c r="LEK1" s="2"/>
      <c r="LEL1" s="2"/>
      <c r="LEM1" s="2"/>
      <c r="LEN1" s="2"/>
      <c r="LEO1" s="2"/>
      <c r="LEP1" s="2"/>
      <c r="LEQ1" s="2"/>
      <c r="LER1" s="2"/>
      <c r="LES1" s="2"/>
      <c r="LET1" s="2"/>
      <c r="LEU1" s="2"/>
      <c r="LEV1" s="2"/>
      <c r="LEW1" s="2"/>
      <c r="LEX1" s="2"/>
      <c r="LEY1" s="2"/>
      <c r="LEZ1" s="2"/>
      <c r="LFA1" s="2"/>
      <c r="LFB1" s="2"/>
      <c r="LFC1" s="2"/>
      <c r="LFD1" s="2"/>
      <c r="LFE1" s="2"/>
      <c r="LFF1" s="2"/>
      <c r="LFG1" s="2"/>
      <c r="LFH1" s="2"/>
      <c r="LFI1" s="2"/>
      <c r="LFJ1" s="2"/>
      <c r="LFK1" s="2"/>
      <c r="LFL1" s="2"/>
      <c r="LFM1" s="2"/>
      <c r="LFN1" s="2"/>
      <c r="LFO1" s="2"/>
      <c r="LFP1" s="2"/>
      <c r="LFQ1" s="2"/>
      <c r="LFR1" s="2"/>
      <c r="LFS1" s="2"/>
      <c r="LFT1" s="2"/>
      <c r="LFU1" s="2"/>
      <c r="LFV1" s="2"/>
      <c r="LFW1" s="2"/>
      <c r="LFX1" s="2"/>
      <c r="LFY1" s="2"/>
      <c r="LFZ1" s="2"/>
      <c r="LGA1" s="2"/>
      <c r="LGB1" s="2"/>
      <c r="LGC1" s="2"/>
      <c r="LGD1" s="2"/>
      <c r="LGE1" s="2"/>
      <c r="LGF1" s="2"/>
      <c r="LGG1" s="2"/>
      <c r="LGH1" s="2"/>
      <c r="LGI1" s="2"/>
      <c r="LGJ1" s="2"/>
      <c r="LGK1" s="2"/>
      <c r="LGL1" s="2"/>
      <c r="LGM1" s="2"/>
      <c r="LGN1" s="2"/>
      <c r="LGO1" s="2"/>
      <c r="LGP1" s="2"/>
      <c r="LGQ1" s="2"/>
      <c r="LGR1" s="2"/>
      <c r="LGS1" s="2"/>
      <c r="LGT1" s="2"/>
      <c r="LGU1" s="2"/>
      <c r="LGV1" s="2"/>
      <c r="LGW1" s="2"/>
      <c r="LGX1" s="2"/>
      <c r="LGY1" s="2"/>
      <c r="LGZ1" s="2"/>
      <c r="LHA1" s="2"/>
      <c r="LHB1" s="2"/>
      <c r="LHC1" s="2"/>
      <c r="LHD1" s="2"/>
      <c r="LHE1" s="2"/>
      <c r="LHF1" s="2"/>
      <c r="LHG1" s="2"/>
      <c r="LHH1" s="2"/>
      <c r="LHI1" s="2"/>
      <c r="LHJ1" s="2"/>
      <c r="LHK1" s="2"/>
      <c r="LHL1" s="2"/>
      <c r="LHM1" s="2"/>
      <c r="LHN1" s="2"/>
      <c r="LHO1" s="2"/>
      <c r="LHP1" s="2"/>
      <c r="LHQ1" s="2"/>
      <c r="LHR1" s="2"/>
      <c r="LHS1" s="2"/>
      <c r="LHT1" s="2"/>
      <c r="LHU1" s="2"/>
      <c r="LHV1" s="2"/>
      <c r="LHW1" s="2"/>
      <c r="LHX1" s="2"/>
      <c r="LHY1" s="2"/>
      <c r="LHZ1" s="2"/>
      <c r="LIA1" s="2"/>
      <c r="LIB1" s="2"/>
      <c r="LIC1" s="2"/>
      <c r="LID1" s="2"/>
      <c r="LIE1" s="2"/>
      <c r="LIF1" s="2"/>
      <c r="LIG1" s="2"/>
      <c r="LIH1" s="2"/>
      <c r="LII1" s="2"/>
      <c r="LIJ1" s="2"/>
      <c r="LIK1" s="2"/>
      <c r="LIL1" s="2"/>
      <c r="LIM1" s="2"/>
      <c r="LIN1" s="2"/>
      <c r="LIO1" s="2"/>
      <c r="LIP1" s="2"/>
      <c r="LIQ1" s="2"/>
      <c r="LIR1" s="2"/>
      <c r="LIS1" s="2"/>
      <c r="LIT1" s="2"/>
      <c r="LIU1" s="2"/>
      <c r="LIV1" s="2"/>
      <c r="LIW1" s="2"/>
      <c r="LIX1" s="2"/>
      <c r="LIY1" s="2"/>
      <c r="LIZ1" s="2"/>
      <c r="LJA1" s="2"/>
      <c r="LJB1" s="2"/>
      <c r="LJC1" s="2"/>
      <c r="LJD1" s="2"/>
      <c r="LJE1" s="2"/>
      <c r="LJF1" s="2"/>
      <c r="LJG1" s="2"/>
      <c r="LJH1" s="2"/>
      <c r="LJI1" s="2"/>
      <c r="LJJ1" s="2"/>
      <c r="LJK1" s="2"/>
      <c r="LJL1" s="2"/>
      <c r="LJM1" s="2"/>
      <c r="LJN1" s="2"/>
      <c r="LJO1" s="2"/>
      <c r="LJP1" s="2"/>
      <c r="LJQ1" s="2"/>
      <c r="LJR1" s="2"/>
      <c r="LJS1" s="2"/>
      <c r="LJT1" s="2"/>
      <c r="LJU1" s="2"/>
      <c r="LJV1" s="2"/>
      <c r="LJW1" s="2"/>
      <c r="LJX1" s="2"/>
      <c r="LJY1" s="2"/>
      <c r="LJZ1" s="2"/>
      <c r="LKA1" s="2"/>
      <c r="LKB1" s="2"/>
      <c r="LKC1" s="2"/>
      <c r="LKD1" s="2"/>
      <c r="LKE1" s="2"/>
      <c r="LKF1" s="2"/>
      <c r="LKG1" s="2"/>
      <c r="LKH1" s="2"/>
      <c r="LKI1" s="2"/>
      <c r="LKJ1" s="2"/>
      <c r="LKK1" s="2"/>
      <c r="LKL1" s="2"/>
      <c r="LKM1" s="2"/>
      <c r="LKN1" s="2"/>
      <c r="LKO1" s="2"/>
      <c r="LKP1" s="2"/>
      <c r="LKQ1" s="2"/>
      <c r="LKR1" s="2"/>
      <c r="LKS1" s="2"/>
      <c r="LKT1" s="2"/>
      <c r="LKU1" s="2"/>
      <c r="LKV1" s="2"/>
      <c r="LKW1" s="2"/>
      <c r="LKX1" s="2"/>
      <c r="LKY1" s="2"/>
      <c r="LKZ1" s="2"/>
      <c r="LLA1" s="2"/>
      <c r="LLB1" s="2"/>
      <c r="LLC1" s="2"/>
      <c r="LLD1" s="2"/>
      <c r="LLE1" s="2"/>
      <c r="LLF1" s="2"/>
      <c r="LLG1" s="2"/>
      <c r="LLH1" s="2"/>
      <c r="LLI1" s="2"/>
      <c r="LLJ1" s="2"/>
      <c r="LLK1" s="2"/>
      <c r="LLL1" s="2"/>
      <c r="LLM1" s="2"/>
      <c r="LLN1" s="2"/>
      <c r="LLO1" s="2"/>
      <c r="LLP1" s="2"/>
      <c r="LLQ1" s="2"/>
      <c r="LLR1" s="2"/>
      <c r="LLS1" s="2"/>
      <c r="LLT1" s="2"/>
      <c r="LLU1" s="2"/>
      <c r="LLV1" s="2"/>
      <c r="LLW1" s="2"/>
      <c r="LLX1" s="2"/>
      <c r="LLY1" s="2"/>
      <c r="LLZ1" s="2"/>
      <c r="LMA1" s="2"/>
      <c r="LMB1" s="2"/>
      <c r="LMC1" s="2"/>
      <c r="LMD1" s="2"/>
      <c r="LME1" s="2"/>
      <c r="LMF1" s="2"/>
      <c r="LMG1" s="2"/>
      <c r="LMH1" s="2"/>
      <c r="LMI1" s="2"/>
      <c r="LMJ1" s="2"/>
      <c r="LMK1" s="2"/>
      <c r="LML1" s="2"/>
      <c r="LMM1" s="2"/>
      <c r="LMN1" s="2"/>
      <c r="LMO1" s="2"/>
      <c r="LMP1" s="2"/>
      <c r="LMQ1" s="2"/>
      <c r="LMR1" s="2"/>
      <c r="LMS1" s="2"/>
      <c r="LMT1" s="2"/>
      <c r="LMU1" s="2"/>
      <c r="LMV1" s="2"/>
      <c r="LMW1" s="2"/>
      <c r="LMX1" s="2"/>
      <c r="LMY1" s="2"/>
      <c r="LMZ1" s="2"/>
      <c r="LNA1" s="2"/>
      <c r="LNB1" s="2"/>
      <c r="LNC1" s="2"/>
      <c r="LND1" s="2"/>
      <c r="LNE1" s="2"/>
      <c r="LNF1" s="2"/>
      <c r="LNG1" s="2"/>
      <c r="LNH1" s="2"/>
      <c r="LNI1" s="2"/>
      <c r="LNJ1" s="2"/>
      <c r="LNK1" s="2"/>
      <c r="LNL1" s="2"/>
      <c r="LNM1" s="2"/>
      <c r="LNN1" s="2"/>
      <c r="LNO1" s="2"/>
      <c r="LNP1" s="2"/>
      <c r="LNQ1" s="2"/>
      <c r="LNR1" s="2"/>
      <c r="LNS1" s="2"/>
      <c r="LNT1" s="2"/>
      <c r="LNU1" s="2"/>
      <c r="LNV1" s="2"/>
      <c r="LNW1" s="2"/>
      <c r="LNX1" s="2"/>
      <c r="LNY1" s="2"/>
      <c r="LNZ1" s="2"/>
      <c r="LOA1" s="2"/>
      <c r="LOB1" s="2"/>
      <c r="LOC1" s="2"/>
      <c r="LOD1" s="2"/>
      <c r="LOE1" s="2"/>
      <c r="LOF1" s="2"/>
      <c r="LOG1" s="2"/>
      <c r="LOH1" s="2"/>
      <c r="LOI1" s="2"/>
      <c r="LOJ1" s="2"/>
      <c r="LOK1" s="2"/>
      <c r="LOL1" s="2"/>
      <c r="LOM1" s="2"/>
      <c r="LON1" s="2"/>
      <c r="LOO1" s="2"/>
      <c r="LOP1" s="2"/>
      <c r="LOQ1" s="2"/>
      <c r="LOR1" s="2"/>
      <c r="LOS1" s="2"/>
      <c r="LOT1" s="2"/>
      <c r="LOU1" s="2"/>
      <c r="LOV1" s="2"/>
      <c r="LOW1" s="2"/>
      <c r="LOX1" s="2"/>
      <c r="LOY1" s="2"/>
      <c r="LOZ1" s="2"/>
      <c r="LPA1" s="2"/>
      <c r="LPB1" s="2"/>
      <c r="LPC1" s="2"/>
      <c r="LPD1" s="2"/>
      <c r="LPE1" s="2"/>
      <c r="LPF1" s="2"/>
      <c r="LPG1" s="2"/>
      <c r="LPH1" s="2"/>
      <c r="LPI1" s="2"/>
      <c r="LPJ1" s="2"/>
      <c r="LPK1" s="2"/>
      <c r="LPL1" s="2"/>
      <c r="LPM1" s="2"/>
      <c r="LPN1" s="2"/>
      <c r="LPO1" s="2"/>
      <c r="LPP1" s="2"/>
      <c r="LPQ1" s="2"/>
      <c r="LPR1" s="2"/>
      <c r="LPS1" s="2"/>
      <c r="LPT1" s="2"/>
      <c r="LPU1" s="2"/>
      <c r="LPV1" s="2"/>
      <c r="LPW1" s="2"/>
      <c r="LPX1" s="2"/>
      <c r="LPY1" s="2"/>
      <c r="LPZ1" s="2"/>
      <c r="LQA1" s="2"/>
      <c r="LQB1" s="2"/>
      <c r="LQC1" s="2"/>
      <c r="LQD1" s="2"/>
      <c r="LQE1" s="2"/>
      <c r="LQF1" s="2"/>
      <c r="LQG1" s="2"/>
      <c r="LQH1" s="2"/>
      <c r="LQI1" s="2"/>
      <c r="LQJ1" s="2"/>
      <c r="LQK1" s="2"/>
      <c r="LQL1" s="2"/>
      <c r="LQM1" s="2"/>
      <c r="LQN1" s="2"/>
      <c r="LQO1" s="2"/>
      <c r="LQP1" s="2"/>
      <c r="LQQ1" s="2"/>
      <c r="LQR1" s="2"/>
      <c r="LQS1" s="2"/>
      <c r="LQT1" s="2"/>
      <c r="LQU1" s="2"/>
      <c r="LQV1" s="2"/>
      <c r="LQW1" s="2"/>
      <c r="LQX1" s="2"/>
      <c r="LQY1" s="2"/>
      <c r="LQZ1" s="2"/>
      <c r="LRA1" s="2"/>
      <c r="LRB1" s="2"/>
      <c r="LRC1" s="2"/>
      <c r="LRD1" s="2"/>
      <c r="LRE1" s="2"/>
      <c r="LRF1" s="2"/>
      <c r="LRG1" s="2"/>
      <c r="LRH1" s="2"/>
      <c r="LRI1" s="2"/>
      <c r="LRJ1" s="2"/>
      <c r="LRK1" s="2"/>
      <c r="LRL1" s="2"/>
      <c r="LRM1" s="2"/>
      <c r="LRN1" s="2"/>
      <c r="LRO1" s="2"/>
      <c r="LRP1" s="2"/>
      <c r="LRQ1" s="2"/>
      <c r="LRR1" s="2"/>
      <c r="LRS1" s="2"/>
      <c r="LRT1" s="2"/>
      <c r="LRU1" s="2"/>
      <c r="LRV1" s="2"/>
      <c r="LRW1" s="2"/>
      <c r="LRX1" s="2"/>
      <c r="LRY1" s="2"/>
      <c r="LRZ1" s="2"/>
      <c r="LSA1" s="2"/>
      <c r="LSB1" s="2"/>
      <c r="LSC1" s="2"/>
      <c r="LSD1" s="2"/>
      <c r="LSE1" s="2"/>
      <c r="LSF1" s="2"/>
      <c r="LSG1" s="2"/>
      <c r="LSH1" s="2"/>
      <c r="LSI1" s="2"/>
      <c r="LSJ1" s="2"/>
      <c r="LSK1" s="2"/>
      <c r="LSL1" s="2"/>
      <c r="LSM1" s="2"/>
      <c r="LSN1" s="2"/>
      <c r="LSO1" s="2"/>
      <c r="LSP1" s="2"/>
      <c r="LSQ1" s="2"/>
      <c r="LSR1" s="2"/>
      <c r="LSS1" s="2"/>
      <c r="LST1" s="2"/>
      <c r="LSU1" s="2"/>
      <c r="LSV1" s="2"/>
      <c r="LSW1" s="2"/>
      <c r="LSX1" s="2"/>
      <c r="LSY1" s="2"/>
      <c r="LSZ1" s="2"/>
      <c r="LTA1" s="2"/>
      <c r="LTB1" s="2"/>
      <c r="LTC1" s="2"/>
      <c r="LTD1" s="2"/>
      <c r="LTE1" s="2"/>
      <c r="LTF1" s="2"/>
      <c r="LTG1" s="2"/>
      <c r="LTH1" s="2"/>
      <c r="LTI1" s="2"/>
      <c r="LTJ1" s="2"/>
      <c r="LTK1" s="2"/>
      <c r="LTL1" s="2"/>
      <c r="LTM1" s="2"/>
      <c r="LTN1" s="2"/>
      <c r="LTO1" s="2"/>
      <c r="LTP1" s="2"/>
      <c r="LTQ1" s="2"/>
      <c r="LTR1" s="2"/>
      <c r="LTS1" s="2"/>
      <c r="LTT1" s="2"/>
      <c r="LTU1" s="2"/>
      <c r="LTV1" s="2"/>
      <c r="LTW1" s="2"/>
      <c r="LTX1" s="2"/>
      <c r="LTY1" s="2"/>
      <c r="LTZ1" s="2"/>
      <c r="LUA1" s="2"/>
      <c r="LUB1" s="2"/>
      <c r="LUC1" s="2"/>
      <c r="LUD1" s="2"/>
      <c r="LUE1" s="2"/>
      <c r="LUF1" s="2"/>
      <c r="LUG1" s="2"/>
      <c r="LUH1" s="2"/>
      <c r="LUI1" s="2"/>
      <c r="LUJ1" s="2"/>
      <c r="LUK1" s="2"/>
      <c r="LUL1" s="2"/>
      <c r="LUM1" s="2"/>
      <c r="LUN1" s="2"/>
      <c r="LUO1" s="2"/>
      <c r="LUP1" s="2"/>
      <c r="LUQ1" s="2"/>
      <c r="LUR1" s="2"/>
      <c r="LUS1" s="2"/>
      <c r="LUT1" s="2"/>
      <c r="LUU1" s="2"/>
      <c r="LUV1" s="2"/>
      <c r="LUW1" s="2"/>
      <c r="LUX1" s="2"/>
      <c r="LUY1" s="2"/>
      <c r="LUZ1" s="2"/>
      <c r="LVA1" s="2"/>
      <c r="LVB1" s="2"/>
      <c r="LVC1" s="2"/>
      <c r="LVD1" s="2"/>
      <c r="LVE1" s="2"/>
      <c r="LVF1" s="2"/>
      <c r="LVG1" s="2"/>
      <c r="LVH1" s="2"/>
      <c r="LVI1" s="2"/>
      <c r="LVJ1" s="2"/>
      <c r="LVK1" s="2"/>
      <c r="LVL1" s="2"/>
      <c r="LVM1" s="2"/>
      <c r="LVN1" s="2"/>
      <c r="LVO1" s="2"/>
      <c r="LVP1" s="2"/>
      <c r="LVQ1" s="2"/>
      <c r="LVR1" s="2"/>
      <c r="LVS1" s="2"/>
      <c r="LVT1" s="2"/>
      <c r="LVU1" s="2"/>
      <c r="LVV1" s="2"/>
      <c r="LVW1" s="2"/>
      <c r="LVX1" s="2"/>
      <c r="LVY1" s="2"/>
      <c r="LVZ1" s="2"/>
      <c r="LWA1" s="2"/>
      <c r="LWB1" s="2"/>
      <c r="LWC1" s="2"/>
      <c r="LWD1" s="2"/>
      <c r="LWE1" s="2"/>
      <c r="LWF1" s="2"/>
      <c r="LWG1" s="2"/>
      <c r="LWH1" s="2"/>
      <c r="LWI1" s="2"/>
      <c r="LWJ1" s="2"/>
      <c r="LWK1" s="2"/>
      <c r="LWL1" s="2"/>
      <c r="LWM1" s="2"/>
      <c r="LWN1" s="2"/>
      <c r="LWO1" s="2"/>
      <c r="LWP1" s="2"/>
      <c r="LWQ1" s="2"/>
      <c r="LWR1" s="2"/>
      <c r="LWS1" s="2"/>
      <c r="LWT1" s="2"/>
      <c r="LWU1" s="2"/>
      <c r="LWV1" s="2"/>
      <c r="LWW1" s="2"/>
      <c r="LWX1" s="2"/>
      <c r="LWY1" s="2"/>
      <c r="LWZ1" s="2"/>
      <c r="LXA1" s="2"/>
      <c r="LXB1" s="2"/>
      <c r="LXC1" s="2"/>
      <c r="LXD1" s="2"/>
      <c r="LXE1" s="2"/>
      <c r="LXF1" s="2"/>
      <c r="LXG1" s="2"/>
      <c r="LXH1" s="2"/>
      <c r="LXI1" s="2"/>
      <c r="LXJ1" s="2"/>
      <c r="LXK1" s="2"/>
      <c r="LXL1" s="2"/>
      <c r="LXM1" s="2"/>
      <c r="LXN1" s="2"/>
      <c r="LXO1" s="2"/>
      <c r="LXP1" s="2"/>
      <c r="LXQ1" s="2"/>
      <c r="LXR1" s="2"/>
      <c r="LXS1" s="2"/>
      <c r="LXT1" s="2"/>
      <c r="LXU1" s="2"/>
      <c r="LXV1" s="2"/>
      <c r="LXW1" s="2"/>
      <c r="LXX1" s="2"/>
      <c r="LXY1" s="2"/>
      <c r="LXZ1" s="2"/>
      <c r="LYA1" s="2"/>
      <c r="LYB1" s="2"/>
      <c r="LYC1" s="2"/>
      <c r="LYD1" s="2"/>
      <c r="LYE1" s="2"/>
      <c r="LYF1" s="2"/>
      <c r="LYG1" s="2"/>
      <c r="LYH1" s="2"/>
      <c r="LYI1" s="2"/>
      <c r="LYJ1" s="2"/>
      <c r="LYK1" s="2"/>
      <c r="LYL1" s="2"/>
      <c r="LYM1" s="2"/>
      <c r="LYN1" s="2"/>
      <c r="LYO1" s="2"/>
      <c r="LYP1" s="2"/>
      <c r="LYQ1" s="2"/>
      <c r="LYR1" s="2"/>
      <c r="LYS1" s="2"/>
      <c r="LYT1" s="2"/>
      <c r="LYU1" s="2"/>
      <c r="LYV1" s="2"/>
      <c r="LYW1" s="2"/>
      <c r="LYX1" s="2"/>
      <c r="LYY1" s="2"/>
      <c r="LYZ1" s="2"/>
      <c r="LZA1" s="2"/>
      <c r="LZB1" s="2"/>
      <c r="LZC1" s="2"/>
      <c r="LZD1" s="2"/>
      <c r="LZE1" s="2"/>
      <c r="LZF1" s="2"/>
      <c r="LZG1" s="2"/>
      <c r="LZH1" s="2"/>
      <c r="LZI1" s="2"/>
      <c r="LZJ1" s="2"/>
      <c r="LZK1" s="2"/>
      <c r="LZL1" s="2"/>
      <c r="LZM1" s="2"/>
      <c r="LZN1" s="2"/>
      <c r="LZO1" s="2"/>
      <c r="LZP1" s="2"/>
      <c r="LZQ1" s="2"/>
      <c r="LZR1" s="2"/>
      <c r="LZS1" s="2"/>
      <c r="LZT1" s="2"/>
      <c r="LZU1" s="2"/>
      <c r="LZV1" s="2"/>
      <c r="LZW1" s="2"/>
      <c r="LZX1" s="2"/>
      <c r="LZY1" s="2"/>
      <c r="LZZ1" s="2"/>
      <c r="MAA1" s="2"/>
      <c r="MAB1" s="2"/>
      <c r="MAC1" s="2"/>
      <c r="MAD1" s="2"/>
      <c r="MAE1" s="2"/>
      <c r="MAF1" s="2"/>
      <c r="MAG1" s="2"/>
      <c r="MAH1" s="2"/>
      <c r="MAI1" s="2"/>
      <c r="MAJ1" s="2"/>
      <c r="MAK1" s="2"/>
      <c r="MAL1" s="2"/>
      <c r="MAM1" s="2"/>
      <c r="MAN1" s="2"/>
      <c r="MAO1" s="2"/>
      <c r="MAP1" s="2"/>
      <c r="MAQ1" s="2"/>
      <c r="MAR1" s="2"/>
      <c r="MAS1" s="2"/>
      <c r="MAT1" s="2"/>
      <c r="MAU1" s="2"/>
      <c r="MAV1" s="2"/>
      <c r="MAW1" s="2"/>
      <c r="MAX1" s="2"/>
      <c r="MAY1" s="2"/>
      <c r="MAZ1" s="2"/>
      <c r="MBA1" s="2"/>
      <c r="MBB1" s="2"/>
      <c r="MBC1" s="2"/>
      <c r="MBD1" s="2"/>
      <c r="MBE1" s="2"/>
      <c r="MBF1" s="2"/>
      <c r="MBG1" s="2"/>
      <c r="MBH1" s="2"/>
      <c r="MBI1" s="2"/>
      <c r="MBJ1" s="2"/>
      <c r="MBK1" s="2"/>
      <c r="MBL1" s="2"/>
      <c r="MBM1" s="2"/>
      <c r="MBN1" s="2"/>
      <c r="MBO1" s="2"/>
      <c r="MBP1" s="2"/>
      <c r="MBQ1" s="2"/>
      <c r="MBR1" s="2"/>
      <c r="MBS1" s="2"/>
      <c r="MBT1" s="2"/>
      <c r="MBU1" s="2"/>
      <c r="MBV1" s="2"/>
      <c r="MBW1" s="2"/>
      <c r="MBX1" s="2"/>
      <c r="MBY1" s="2"/>
      <c r="MBZ1" s="2"/>
      <c r="MCA1" s="2"/>
      <c r="MCB1" s="2"/>
      <c r="MCC1" s="2"/>
      <c r="MCD1" s="2"/>
      <c r="MCE1" s="2"/>
      <c r="MCF1" s="2"/>
      <c r="MCG1" s="2"/>
      <c r="MCH1" s="2"/>
      <c r="MCI1" s="2"/>
      <c r="MCJ1" s="2"/>
      <c r="MCK1" s="2"/>
      <c r="MCL1" s="2"/>
      <c r="MCM1" s="2"/>
      <c r="MCN1" s="2"/>
      <c r="MCO1" s="2"/>
      <c r="MCP1" s="2"/>
      <c r="MCQ1" s="2"/>
      <c r="MCR1" s="2"/>
      <c r="MCS1" s="2"/>
      <c r="MCT1" s="2"/>
      <c r="MCU1" s="2"/>
      <c r="MCV1" s="2"/>
      <c r="MCW1" s="2"/>
      <c r="MCX1" s="2"/>
      <c r="MCY1" s="2"/>
      <c r="MCZ1" s="2"/>
      <c r="MDA1" s="2"/>
      <c r="MDB1" s="2"/>
      <c r="MDC1" s="2"/>
      <c r="MDD1" s="2"/>
      <c r="MDE1" s="2"/>
      <c r="MDF1" s="2"/>
      <c r="MDG1" s="2"/>
      <c r="MDH1" s="2"/>
      <c r="MDI1" s="2"/>
      <c r="MDJ1" s="2"/>
      <c r="MDK1" s="2"/>
      <c r="MDL1" s="2"/>
      <c r="MDM1" s="2"/>
      <c r="MDN1" s="2"/>
      <c r="MDO1" s="2"/>
      <c r="MDP1" s="2"/>
      <c r="MDQ1" s="2"/>
      <c r="MDR1" s="2"/>
      <c r="MDS1" s="2"/>
      <c r="MDT1" s="2"/>
      <c r="MDU1" s="2"/>
      <c r="MDV1" s="2"/>
      <c r="MDW1" s="2"/>
      <c r="MDX1" s="2"/>
      <c r="MDY1" s="2"/>
      <c r="MDZ1" s="2"/>
      <c r="MEA1" s="2"/>
      <c r="MEB1" s="2"/>
      <c r="MEC1" s="2"/>
      <c r="MED1" s="2"/>
      <c r="MEE1" s="2"/>
      <c r="MEF1" s="2"/>
      <c r="MEG1" s="2"/>
      <c r="MEH1" s="2"/>
      <c r="MEI1" s="2"/>
      <c r="MEJ1" s="2"/>
      <c r="MEK1" s="2"/>
      <c r="MEL1" s="2"/>
      <c r="MEM1" s="2"/>
      <c r="MEN1" s="2"/>
      <c r="MEO1" s="2"/>
      <c r="MEP1" s="2"/>
      <c r="MEQ1" s="2"/>
      <c r="MER1" s="2"/>
      <c r="MES1" s="2"/>
      <c r="MET1" s="2"/>
      <c r="MEU1" s="2"/>
      <c r="MEV1" s="2"/>
      <c r="MEW1" s="2"/>
      <c r="MEX1" s="2"/>
      <c r="MEY1" s="2"/>
      <c r="MEZ1" s="2"/>
      <c r="MFA1" s="2"/>
      <c r="MFB1" s="2"/>
      <c r="MFC1" s="2"/>
      <c r="MFD1" s="2"/>
      <c r="MFE1" s="2"/>
      <c r="MFF1" s="2"/>
      <c r="MFG1" s="2"/>
      <c r="MFH1" s="2"/>
      <c r="MFI1" s="2"/>
      <c r="MFJ1" s="2"/>
      <c r="MFK1" s="2"/>
      <c r="MFL1" s="2"/>
      <c r="MFM1" s="2"/>
      <c r="MFN1" s="2"/>
      <c r="MFO1" s="2"/>
      <c r="MFP1" s="2"/>
      <c r="MFQ1" s="2"/>
      <c r="MFR1" s="2"/>
      <c r="MFS1" s="2"/>
      <c r="MFT1" s="2"/>
      <c r="MFU1" s="2"/>
      <c r="MFV1" s="2"/>
      <c r="MFW1" s="2"/>
      <c r="MFX1" s="2"/>
      <c r="MFY1" s="2"/>
      <c r="MFZ1" s="2"/>
      <c r="MGA1" s="2"/>
      <c r="MGB1" s="2"/>
      <c r="MGC1" s="2"/>
      <c r="MGD1" s="2"/>
      <c r="MGE1" s="2"/>
      <c r="MGF1" s="2"/>
      <c r="MGG1" s="2"/>
      <c r="MGH1" s="2"/>
      <c r="MGI1" s="2"/>
      <c r="MGJ1" s="2"/>
      <c r="MGK1" s="2"/>
      <c r="MGL1" s="2"/>
      <c r="MGM1" s="2"/>
      <c r="MGN1" s="2"/>
      <c r="MGO1" s="2"/>
      <c r="MGP1" s="2"/>
      <c r="MGQ1" s="2"/>
      <c r="MGR1" s="2"/>
      <c r="MGS1" s="2"/>
      <c r="MGT1" s="2"/>
      <c r="MGU1" s="2"/>
      <c r="MGV1" s="2"/>
      <c r="MGW1" s="2"/>
      <c r="MGX1" s="2"/>
      <c r="MGY1" s="2"/>
      <c r="MGZ1" s="2"/>
      <c r="MHA1" s="2"/>
      <c r="MHB1" s="2"/>
      <c r="MHC1" s="2"/>
      <c r="MHD1" s="2"/>
      <c r="MHE1" s="2"/>
      <c r="MHF1" s="2"/>
      <c r="MHG1" s="2"/>
      <c r="MHH1" s="2"/>
      <c r="MHI1" s="2"/>
      <c r="MHJ1" s="2"/>
      <c r="MHK1" s="2"/>
      <c r="MHL1" s="2"/>
      <c r="MHM1" s="2"/>
      <c r="MHN1" s="2"/>
      <c r="MHO1" s="2"/>
      <c r="MHP1" s="2"/>
      <c r="MHQ1" s="2"/>
      <c r="MHR1" s="2"/>
      <c r="MHS1" s="2"/>
      <c r="MHT1" s="2"/>
      <c r="MHU1" s="2"/>
      <c r="MHV1" s="2"/>
      <c r="MHW1" s="2"/>
      <c r="MHX1" s="2"/>
      <c r="MHY1" s="2"/>
      <c r="MHZ1" s="2"/>
      <c r="MIA1" s="2"/>
      <c r="MIB1" s="2"/>
      <c r="MIC1" s="2"/>
      <c r="MID1" s="2"/>
      <c r="MIE1" s="2"/>
      <c r="MIF1" s="2"/>
      <c r="MIG1" s="2"/>
      <c r="MIH1" s="2"/>
      <c r="MII1" s="2"/>
      <c r="MIJ1" s="2"/>
      <c r="MIK1" s="2"/>
      <c r="MIL1" s="2"/>
      <c r="MIM1" s="2"/>
      <c r="MIN1" s="2"/>
      <c r="MIO1" s="2"/>
      <c r="MIP1" s="2"/>
      <c r="MIQ1" s="2"/>
      <c r="MIR1" s="2"/>
      <c r="MIS1" s="2"/>
      <c r="MIT1" s="2"/>
      <c r="MIU1" s="2"/>
      <c r="MIV1" s="2"/>
      <c r="MIW1" s="2"/>
      <c r="MIX1" s="2"/>
      <c r="MIY1" s="2"/>
      <c r="MIZ1" s="2"/>
      <c r="MJA1" s="2"/>
      <c r="MJB1" s="2"/>
      <c r="MJC1" s="2"/>
      <c r="MJD1" s="2"/>
      <c r="MJE1" s="2"/>
      <c r="MJF1" s="2"/>
      <c r="MJG1" s="2"/>
      <c r="MJH1" s="2"/>
      <c r="MJI1" s="2"/>
      <c r="MJJ1" s="2"/>
      <c r="MJK1" s="2"/>
      <c r="MJL1" s="2"/>
      <c r="MJM1" s="2"/>
      <c r="MJN1" s="2"/>
      <c r="MJO1" s="2"/>
      <c r="MJP1" s="2"/>
      <c r="MJQ1" s="2"/>
      <c r="MJR1" s="2"/>
      <c r="MJS1" s="2"/>
      <c r="MJT1" s="2"/>
      <c r="MJU1" s="2"/>
      <c r="MJV1" s="2"/>
      <c r="MJW1" s="2"/>
      <c r="MJX1" s="2"/>
      <c r="MJY1" s="2"/>
      <c r="MJZ1" s="2"/>
      <c r="MKA1" s="2"/>
      <c r="MKB1" s="2"/>
      <c r="MKC1" s="2"/>
      <c r="MKD1" s="2"/>
      <c r="MKE1" s="2"/>
      <c r="MKF1" s="2"/>
      <c r="MKG1" s="2"/>
      <c r="MKH1" s="2"/>
      <c r="MKI1" s="2"/>
      <c r="MKJ1" s="2"/>
      <c r="MKK1" s="2"/>
      <c r="MKL1" s="2"/>
      <c r="MKM1" s="2"/>
      <c r="MKN1" s="2"/>
      <c r="MKO1" s="2"/>
      <c r="MKP1" s="2"/>
      <c r="MKQ1" s="2"/>
      <c r="MKR1" s="2"/>
      <c r="MKS1" s="2"/>
      <c r="MKT1" s="2"/>
      <c r="MKU1" s="2"/>
      <c r="MKV1" s="2"/>
      <c r="MKW1" s="2"/>
      <c r="MKX1" s="2"/>
      <c r="MKY1" s="2"/>
      <c r="MKZ1" s="2"/>
      <c r="MLA1" s="2"/>
      <c r="MLB1" s="2"/>
      <c r="MLC1" s="2"/>
      <c r="MLD1" s="2"/>
      <c r="MLE1" s="2"/>
      <c r="MLF1" s="2"/>
      <c r="MLG1" s="2"/>
      <c r="MLH1" s="2"/>
      <c r="MLI1" s="2"/>
      <c r="MLJ1" s="2"/>
      <c r="MLK1" s="2"/>
      <c r="MLL1" s="2"/>
      <c r="MLM1" s="2"/>
      <c r="MLN1" s="2"/>
      <c r="MLO1" s="2"/>
      <c r="MLP1" s="2"/>
      <c r="MLQ1" s="2"/>
      <c r="MLR1" s="2"/>
      <c r="MLS1" s="2"/>
      <c r="MLT1" s="2"/>
      <c r="MLU1" s="2"/>
      <c r="MLV1" s="2"/>
      <c r="MLW1" s="2"/>
      <c r="MLX1" s="2"/>
      <c r="MLY1" s="2"/>
      <c r="MLZ1" s="2"/>
      <c r="MMA1" s="2"/>
      <c r="MMB1" s="2"/>
      <c r="MMC1" s="2"/>
      <c r="MMD1" s="2"/>
      <c r="MME1" s="2"/>
      <c r="MMF1" s="2"/>
      <c r="MMG1" s="2"/>
      <c r="MMH1" s="2"/>
      <c r="MMI1" s="2"/>
      <c r="MMJ1" s="2"/>
      <c r="MMK1" s="2"/>
      <c r="MML1" s="2"/>
      <c r="MMM1" s="2"/>
      <c r="MMN1" s="2"/>
      <c r="MMO1" s="2"/>
      <c r="MMP1" s="2"/>
      <c r="MMQ1" s="2"/>
      <c r="MMR1" s="2"/>
      <c r="MMS1" s="2"/>
      <c r="MMT1" s="2"/>
      <c r="MMU1" s="2"/>
      <c r="MMV1" s="2"/>
      <c r="MMW1" s="2"/>
      <c r="MMX1" s="2"/>
      <c r="MMY1" s="2"/>
      <c r="MMZ1" s="2"/>
      <c r="MNA1" s="2"/>
      <c r="MNB1" s="2"/>
      <c r="MNC1" s="2"/>
      <c r="MND1" s="2"/>
      <c r="MNE1" s="2"/>
      <c r="MNF1" s="2"/>
      <c r="MNG1" s="2"/>
      <c r="MNH1" s="2"/>
      <c r="MNI1" s="2"/>
      <c r="MNJ1" s="2"/>
      <c r="MNK1" s="2"/>
      <c r="MNL1" s="2"/>
      <c r="MNM1" s="2"/>
      <c r="MNN1" s="2"/>
      <c r="MNO1" s="2"/>
      <c r="MNP1" s="2"/>
      <c r="MNQ1" s="2"/>
      <c r="MNR1" s="2"/>
      <c r="MNS1" s="2"/>
      <c r="MNT1" s="2"/>
      <c r="MNU1" s="2"/>
      <c r="MNV1" s="2"/>
      <c r="MNW1" s="2"/>
      <c r="MNX1" s="2"/>
      <c r="MNY1" s="2"/>
      <c r="MNZ1" s="2"/>
      <c r="MOA1" s="2"/>
      <c r="MOB1" s="2"/>
      <c r="MOC1" s="2"/>
      <c r="MOD1" s="2"/>
      <c r="MOE1" s="2"/>
      <c r="MOF1" s="2"/>
      <c r="MOG1" s="2"/>
      <c r="MOH1" s="2"/>
      <c r="MOI1" s="2"/>
      <c r="MOJ1" s="2"/>
      <c r="MOK1" s="2"/>
      <c r="MOL1" s="2"/>
      <c r="MOM1" s="2"/>
      <c r="MON1" s="2"/>
      <c r="MOO1" s="2"/>
      <c r="MOP1" s="2"/>
      <c r="MOQ1" s="2"/>
      <c r="MOR1" s="2"/>
      <c r="MOS1" s="2"/>
      <c r="MOT1" s="2"/>
      <c r="MOU1" s="2"/>
      <c r="MOV1" s="2"/>
      <c r="MOW1" s="2"/>
      <c r="MOX1" s="2"/>
      <c r="MOY1" s="2"/>
      <c r="MOZ1" s="2"/>
      <c r="MPA1" s="2"/>
      <c r="MPB1" s="2"/>
      <c r="MPC1" s="2"/>
      <c r="MPD1" s="2"/>
      <c r="MPE1" s="2"/>
      <c r="MPF1" s="2"/>
      <c r="MPG1" s="2"/>
      <c r="MPH1" s="2"/>
      <c r="MPI1" s="2"/>
      <c r="MPJ1" s="2"/>
      <c r="MPK1" s="2"/>
      <c r="MPL1" s="2"/>
      <c r="MPM1" s="2"/>
      <c r="MPN1" s="2"/>
      <c r="MPO1" s="2"/>
      <c r="MPP1" s="2"/>
      <c r="MPQ1" s="2"/>
      <c r="MPR1" s="2"/>
      <c r="MPS1" s="2"/>
      <c r="MPT1" s="2"/>
      <c r="MPU1" s="2"/>
      <c r="MPV1" s="2"/>
      <c r="MPW1" s="2"/>
      <c r="MPX1" s="2"/>
      <c r="MPY1" s="2"/>
      <c r="MPZ1" s="2"/>
      <c r="MQA1" s="2"/>
      <c r="MQB1" s="2"/>
      <c r="MQC1" s="2"/>
      <c r="MQD1" s="2"/>
      <c r="MQE1" s="2"/>
      <c r="MQF1" s="2"/>
      <c r="MQG1" s="2"/>
      <c r="MQH1" s="2"/>
      <c r="MQI1" s="2"/>
      <c r="MQJ1" s="2"/>
      <c r="MQK1" s="2"/>
      <c r="MQL1" s="2"/>
      <c r="MQM1" s="2"/>
      <c r="MQN1" s="2"/>
      <c r="MQO1" s="2"/>
      <c r="MQP1" s="2"/>
      <c r="MQQ1" s="2"/>
      <c r="MQR1" s="2"/>
      <c r="MQS1" s="2"/>
      <c r="MQT1" s="2"/>
      <c r="MQU1" s="2"/>
      <c r="MQV1" s="2"/>
      <c r="MQW1" s="2"/>
      <c r="MQX1" s="2"/>
      <c r="MQY1" s="2"/>
      <c r="MQZ1" s="2"/>
      <c r="MRA1" s="2"/>
      <c r="MRB1" s="2"/>
      <c r="MRC1" s="2"/>
      <c r="MRD1" s="2"/>
      <c r="MRE1" s="2"/>
      <c r="MRF1" s="2"/>
      <c r="MRG1" s="2"/>
      <c r="MRH1" s="2"/>
      <c r="MRI1" s="2"/>
      <c r="MRJ1" s="2"/>
      <c r="MRK1" s="2"/>
      <c r="MRL1" s="2"/>
      <c r="MRM1" s="2"/>
      <c r="MRN1" s="2"/>
      <c r="MRO1" s="2"/>
      <c r="MRP1" s="2"/>
      <c r="MRQ1" s="2"/>
      <c r="MRR1" s="2"/>
      <c r="MRS1" s="2"/>
      <c r="MRT1" s="2"/>
      <c r="MRU1" s="2"/>
      <c r="MRV1" s="2"/>
      <c r="MRW1" s="2"/>
      <c r="MRX1" s="2"/>
      <c r="MRY1" s="2"/>
      <c r="MRZ1" s="2"/>
      <c r="MSA1" s="2"/>
      <c r="MSB1" s="2"/>
      <c r="MSC1" s="2"/>
      <c r="MSD1" s="2"/>
      <c r="MSE1" s="2"/>
      <c r="MSF1" s="2"/>
      <c r="MSG1" s="2"/>
      <c r="MSH1" s="2"/>
      <c r="MSI1" s="2"/>
      <c r="MSJ1" s="2"/>
      <c r="MSK1" s="2"/>
      <c r="MSL1" s="2"/>
      <c r="MSM1" s="2"/>
      <c r="MSN1" s="2"/>
      <c r="MSO1" s="2"/>
      <c r="MSP1" s="2"/>
      <c r="MSQ1" s="2"/>
      <c r="MSR1" s="2"/>
      <c r="MSS1" s="2"/>
      <c r="MST1" s="2"/>
      <c r="MSU1" s="2"/>
      <c r="MSV1" s="2"/>
      <c r="MSW1" s="2"/>
      <c r="MSX1" s="2"/>
      <c r="MSY1" s="2"/>
      <c r="MSZ1" s="2"/>
      <c r="MTA1" s="2"/>
      <c r="MTB1" s="2"/>
      <c r="MTC1" s="2"/>
      <c r="MTD1" s="2"/>
      <c r="MTE1" s="2"/>
      <c r="MTF1" s="2"/>
      <c r="MTG1" s="2"/>
      <c r="MTH1" s="2"/>
      <c r="MTI1" s="2"/>
      <c r="MTJ1" s="2"/>
      <c r="MTK1" s="2"/>
      <c r="MTL1" s="2"/>
      <c r="MTM1" s="2"/>
      <c r="MTN1" s="2"/>
      <c r="MTO1" s="2"/>
      <c r="MTP1" s="2"/>
      <c r="MTQ1" s="2"/>
      <c r="MTR1" s="2"/>
      <c r="MTS1" s="2"/>
      <c r="MTT1" s="2"/>
      <c r="MTU1" s="2"/>
      <c r="MTV1" s="2"/>
      <c r="MTW1" s="2"/>
      <c r="MTX1" s="2"/>
      <c r="MTY1" s="2"/>
      <c r="MTZ1" s="2"/>
      <c r="MUA1" s="2"/>
      <c r="MUB1" s="2"/>
      <c r="MUC1" s="2"/>
      <c r="MUD1" s="2"/>
      <c r="MUE1" s="2"/>
      <c r="MUF1" s="2"/>
      <c r="MUG1" s="2"/>
      <c r="MUH1" s="2"/>
      <c r="MUI1" s="2"/>
      <c r="MUJ1" s="2"/>
      <c r="MUK1" s="2"/>
      <c r="MUL1" s="2"/>
      <c r="MUM1" s="2"/>
      <c r="MUN1" s="2"/>
      <c r="MUO1" s="2"/>
      <c r="MUP1" s="2"/>
      <c r="MUQ1" s="2"/>
      <c r="MUR1" s="2"/>
      <c r="MUS1" s="2"/>
      <c r="MUT1" s="2"/>
      <c r="MUU1" s="2"/>
      <c r="MUV1" s="2"/>
      <c r="MUW1" s="2"/>
      <c r="MUX1" s="2"/>
      <c r="MUY1" s="2"/>
      <c r="MUZ1" s="2"/>
      <c r="MVA1" s="2"/>
      <c r="MVB1" s="2"/>
      <c r="MVC1" s="2"/>
      <c r="MVD1" s="2"/>
      <c r="MVE1" s="2"/>
      <c r="MVF1" s="2"/>
      <c r="MVG1" s="2"/>
      <c r="MVH1" s="2"/>
      <c r="MVI1" s="2"/>
      <c r="MVJ1" s="2"/>
      <c r="MVK1" s="2"/>
      <c r="MVL1" s="2"/>
      <c r="MVM1" s="2"/>
      <c r="MVN1" s="2"/>
      <c r="MVO1" s="2"/>
      <c r="MVP1" s="2"/>
      <c r="MVQ1" s="2"/>
      <c r="MVR1" s="2"/>
      <c r="MVS1" s="2"/>
      <c r="MVT1" s="2"/>
      <c r="MVU1" s="2"/>
      <c r="MVV1" s="2"/>
      <c r="MVW1" s="2"/>
      <c r="MVX1" s="2"/>
      <c r="MVY1" s="2"/>
      <c r="MVZ1" s="2"/>
      <c r="MWA1" s="2"/>
      <c r="MWB1" s="2"/>
      <c r="MWC1" s="2"/>
      <c r="MWD1" s="2"/>
      <c r="MWE1" s="2"/>
      <c r="MWF1" s="2"/>
      <c r="MWG1" s="2"/>
      <c r="MWH1" s="2"/>
      <c r="MWI1" s="2"/>
      <c r="MWJ1" s="2"/>
      <c r="MWK1" s="2"/>
      <c r="MWL1" s="2"/>
      <c r="MWM1" s="2"/>
      <c r="MWN1" s="2"/>
      <c r="MWO1" s="2"/>
      <c r="MWP1" s="2"/>
      <c r="MWQ1" s="2"/>
      <c r="MWR1" s="2"/>
      <c r="MWS1" s="2"/>
      <c r="MWT1" s="2"/>
      <c r="MWU1" s="2"/>
      <c r="MWV1" s="2"/>
      <c r="MWW1" s="2"/>
      <c r="MWX1" s="2"/>
      <c r="MWY1" s="2"/>
      <c r="MWZ1" s="2"/>
      <c r="MXA1" s="2"/>
      <c r="MXB1" s="2"/>
      <c r="MXC1" s="2"/>
      <c r="MXD1" s="2"/>
      <c r="MXE1" s="2"/>
      <c r="MXF1" s="2"/>
      <c r="MXG1" s="2"/>
      <c r="MXH1" s="2"/>
      <c r="MXI1" s="2"/>
      <c r="MXJ1" s="2"/>
      <c r="MXK1" s="2"/>
      <c r="MXL1" s="2"/>
      <c r="MXM1" s="2"/>
      <c r="MXN1" s="2"/>
      <c r="MXO1" s="2"/>
      <c r="MXP1" s="2"/>
      <c r="MXQ1" s="2"/>
      <c r="MXR1" s="2"/>
      <c r="MXS1" s="2"/>
      <c r="MXT1" s="2"/>
      <c r="MXU1" s="2"/>
      <c r="MXV1" s="2"/>
      <c r="MXW1" s="2"/>
      <c r="MXX1" s="2"/>
      <c r="MXY1" s="2"/>
      <c r="MXZ1" s="2"/>
      <c r="MYA1" s="2"/>
      <c r="MYB1" s="2"/>
      <c r="MYC1" s="2"/>
      <c r="MYD1" s="2"/>
      <c r="MYE1" s="2"/>
      <c r="MYF1" s="2"/>
      <c r="MYG1" s="2"/>
      <c r="MYH1" s="2"/>
      <c r="MYI1" s="2"/>
      <c r="MYJ1" s="2"/>
      <c r="MYK1" s="2"/>
      <c r="MYL1" s="2"/>
      <c r="MYM1" s="2"/>
      <c r="MYN1" s="2"/>
      <c r="MYO1" s="2"/>
      <c r="MYP1" s="2"/>
      <c r="MYQ1" s="2"/>
      <c r="MYR1" s="2"/>
      <c r="MYS1" s="2"/>
      <c r="MYT1" s="2"/>
      <c r="MYU1" s="2"/>
      <c r="MYV1" s="2"/>
      <c r="MYW1" s="2"/>
      <c r="MYX1" s="2"/>
      <c r="MYY1" s="2"/>
      <c r="MYZ1" s="2"/>
      <c r="MZA1" s="2"/>
      <c r="MZB1" s="2"/>
      <c r="MZC1" s="2"/>
      <c r="MZD1" s="2"/>
      <c r="MZE1" s="2"/>
      <c r="MZF1" s="2"/>
      <c r="MZG1" s="2"/>
      <c r="MZH1" s="2"/>
      <c r="MZI1" s="2"/>
      <c r="MZJ1" s="2"/>
      <c r="MZK1" s="2"/>
      <c r="MZL1" s="2"/>
      <c r="MZM1" s="2"/>
      <c r="MZN1" s="2"/>
      <c r="MZO1" s="2"/>
      <c r="MZP1" s="2"/>
      <c r="MZQ1" s="2"/>
      <c r="MZR1" s="2"/>
      <c r="MZS1" s="2"/>
      <c r="MZT1" s="2"/>
      <c r="MZU1" s="2"/>
      <c r="MZV1" s="2"/>
      <c r="MZW1" s="2"/>
      <c r="MZX1" s="2"/>
      <c r="MZY1" s="2"/>
      <c r="MZZ1" s="2"/>
      <c r="NAA1" s="2"/>
      <c r="NAB1" s="2"/>
      <c r="NAC1" s="2"/>
      <c r="NAD1" s="2"/>
      <c r="NAE1" s="2"/>
      <c r="NAF1" s="2"/>
      <c r="NAG1" s="2"/>
      <c r="NAH1" s="2"/>
      <c r="NAI1" s="2"/>
      <c r="NAJ1" s="2"/>
      <c r="NAK1" s="2"/>
      <c r="NAL1" s="2"/>
      <c r="NAM1" s="2"/>
      <c r="NAN1" s="2"/>
      <c r="NAO1" s="2"/>
      <c r="NAP1" s="2"/>
      <c r="NAQ1" s="2"/>
      <c r="NAR1" s="2"/>
      <c r="NAS1" s="2"/>
      <c r="NAT1" s="2"/>
      <c r="NAU1" s="2"/>
      <c r="NAV1" s="2"/>
      <c r="NAW1" s="2"/>
      <c r="NAX1" s="2"/>
      <c r="NAY1" s="2"/>
      <c r="NAZ1" s="2"/>
      <c r="NBA1" s="2"/>
      <c r="NBB1" s="2"/>
      <c r="NBC1" s="2"/>
      <c r="NBD1" s="2"/>
      <c r="NBE1" s="2"/>
      <c r="NBF1" s="2"/>
      <c r="NBG1" s="2"/>
      <c r="NBH1" s="2"/>
      <c r="NBI1" s="2"/>
      <c r="NBJ1" s="2"/>
      <c r="NBK1" s="2"/>
      <c r="NBL1" s="2"/>
      <c r="NBM1" s="2"/>
      <c r="NBN1" s="2"/>
      <c r="NBO1" s="2"/>
      <c r="NBP1" s="2"/>
      <c r="NBQ1" s="2"/>
      <c r="NBR1" s="2"/>
      <c r="NBS1" s="2"/>
      <c r="NBT1" s="2"/>
      <c r="NBU1" s="2"/>
      <c r="NBV1" s="2"/>
      <c r="NBW1" s="2"/>
      <c r="NBX1" s="2"/>
      <c r="NBY1" s="2"/>
      <c r="NBZ1" s="2"/>
      <c r="NCA1" s="2"/>
      <c r="NCB1" s="2"/>
      <c r="NCC1" s="2"/>
      <c r="NCD1" s="2"/>
      <c r="NCE1" s="2"/>
      <c r="NCF1" s="2"/>
      <c r="NCG1" s="2"/>
      <c r="NCH1" s="2"/>
      <c r="NCI1" s="2"/>
      <c r="NCJ1" s="2"/>
      <c r="NCK1" s="2"/>
      <c r="NCL1" s="2"/>
      <c r="NCM1" s="2"/>
      <c r="NCN1" s="2"/>
      <c r="NCO1" s="2"/>
      <c r="NCP1" s="2"/>
      <c r="NCQ1" s="2"/>
      <c r="NCR1" s="2"/>
      <c r="NCS1" s="2"/>
      <c r="NCT1" s="2"/>
      <c r="NCU1" s="2"/>
      <c r="NCV1" s="2"/>
      <c r="NCW1" s="2"/>
      <c r="NCX1" s="2"/>
      <c r="NCY1" s="2"/>
      <c r="NCZ1" s="2"/>
      <c r="NDA1" s="2"/>
      <c r="NDB1" s="2"/>
      <c r="NDC1" s="2"/>
      <c r="NDD1" s="2"/>
      <c r="NDE1" s="2"/>
      <c r="NDF1" s="2"/>
      <c r="NDG1" s="2"/>
      <c r="NDH1" s="2"/>
      <c r="NDI1" s="2"/>
      <c r="NDJ1" s="2"/>
      <c r="NDK1" s="2"/>
      <c r="NDL1" s="2"/>
      <c r="NDM1" s="2"/>
      <c r="NDN1" s="2"/>
      <c r="NDO1" s="2"/>
      <c r="NDP1" s="2"/>
      <c r="NDQ1" s="2"/>
      <c r="NDR1" s="2"/>
      <c r="NDS1" s="2"/>
      <c r="NDT1" s="2"/>
      <c r="NDU1" s="2"/>
      <c r="NDV1" s="2"/>
      <c r="NDW1" s="2"/>
      <c r="NDX1" s="2"/>
      <c r="NDY1" s="2"/>
      <c r="NDZ1" s="2"/>
      <c r="NEA1" s="2"/>
      <c r="NEB1" s="2"/>
      <c r="NEC1" s="2"/>
      <c r="NED1" s="2"/>
      <c r="NEE1" s="2"/>
      <c r="NEF1" s="2"/>
      <c r="NEG1" s="2"/>
      <c r="NEH1" s="2"/>
      <c r="NEI1" s="2"/>
      <c r="NEJ1" s="2"/>
      <c r="NEK1" s="2"/>
      <c r="NEL1" s="2"/>
      <c r="NEM1" s="2"/>
      <c r="NEN1" s="2"/>
      <c r="NEO1" s="2"/>
      <c r="NEP1" s="2"/>
      <c r="NEQ1" s="2"/>
      <c r="NER1" s="2"/>
      <c r="NES1" s="2"/>
      <c r="NET1" s="2"/>
      <c r="NEU1" s="2"/>
      <c r="NEV1" s="2"/>
      <c r="NEW1" s="2"/>
      <c r="NEX1" s="2"/>
      <c r="NEY1" s="2"/>
      <c r="NEZ1" s="2"/>
      <c r="NFA1" s="2"/>
      <c r="NFB1" s="2"/>
      <c r="NFC1" s="2"/>
      <c r="NFD1" s="2"/>
      <c r="NFE1" s="2"/>
      <c r="NFF1" s="2"/>
      <c r="NFG1" s="2"/>
      <c r="NFH1" s="2"/>
      <c r="NFI1" s="2"/>
      <c r="NFJ1" s="2"/>
      <c r="NFK1" s="2"/>
      <c r="NFL1" s="2"/>
      <c r="NFM1" s="2"/>
      <c r="NFN1" s="2"/>
      <c r="NFO1" s="2"/>
      <c r="NFP1" s="2"/>
      <c r="NFQ1" s="2"/>
      <c r="NFR1" s="2"/>
      <c r="NFS1" s="2"/>
      <c r="NFT1" s="2"/>
      <c r="NFU1" s="2"/>
      <c r="NFV1" s="2"/>
      <c r="NFW1" s="2"/>
      <c r="NFX1" s="2"/>
      <c r="NFY1" s="2"/>
      <c r="NFZ1" s="2"/>
      <c r="NGA1" s="2"/>
      <c r="NGB1" s="2"/>
      <c r="NGC1" s="2"/>
      <c r="NGD1" s="2"/>
      <c r="NGE1" s="2"/>
      <c r="NGF1" s="2"/>
      <c r="NGG1" s="2"/>
      <c r="NGH1" s="2"/>
      <c r="NGI1" s="2"/>
      <c r="NGJ1" s="2"/>
      <c r="NGK1" s="2"/>
      <c r="NGL1" s="2"/>
      <c r="NGM1" s="2"/>
      <c r="NGN1" s="2"/>
      <c r="NGO1" s="2"/>
      <c r="NGP1" s="2"/>
      <c r="NGQ1" s="2"/>
      <c r="NGR1" s="2"/>
      <c r="NGS1" s="2"/>
      <c r="NGT1" s="2"/>
      <c r="NGU1" s="2"/>
      <c r="NGV1" s="2"/>
      <c r="NGW1" s="2"/>
      <c r="NGX1" s="2"/>
      <c r="NGY1" s="2"/>
      <c r="NGZ1" s="2"/>
      <c r="NHA1" s="2"/>
      <c r="NHB1" s="2"/>
      <c r="NHC1" s="2"/>
      <c r="NHD1" s="2"/>
      <c r="NHE1" s="2"/>
      <c r="NHF1" s="2"/>
      <c r="NHG1" s="2"/>
      <c r="NHH1" s="2"/>
      <c r="NHI1" s="2"/>
      <c r="NHJ1" s="2"/>
      <c r="NHK1" s="2"/>
      <c r="NHL1" s="2"/>
      <c r="NHM1" s="2"/>
      <c r="NHN1" s="2"/>
      <c r="NHO1" s="2"/>
      <c r="NHP1" s="2"/>
      <c r="NHQ1" s="2"/>
      <c r="NHR1" s="2"/>
      <c r="NHS1" s="2"/>
      <c r="NHT1" s="2"/>
      <c r="NHU1" s="2"/>
      <c r="NHV1" s="2"/>
      <c r="NHW1" s="2"/>
      <c r="NHX1" s="2"/>
      <c r="NHY1" s="2"/>
      <c r="NHZ1" s="2"/>
      <c r="NIA1" s="2"/>
      <c r="NIB1" s="2"/>
      <c r="NIC1" s="2"/>
      <c r="NID1" s="2"/>
      <c r="NIE1" s="2"/>
      <c r="NIF1" s="2"/>
      <c r="NIG1" s="2"/>
      <c r="NIH1" s="2"/>
      <c r="NII1" s="2"/>
      <c r="NIJ1" s="2"/>
      <c r="NIK1" s="2"/>
      <c r="NIL1" s="2"/>
      <c r="NIM1" s="2"/>
      <c r="NIN1" s="2"/>
      <c r="NIO1" s="2"/>
      <c r="NIP1" s="2"/>
      <c r="NIQ1" s="2"/>
      <c r="NIR1" s="2"/>
      <c r="NIS1" s="2"/>
      <c r="NIT1" s="2"/>
      <c r="NIU1" s="2"/>
      <c r="NIV1" s="2"/>
      <c r="NIW1" s="2"/>
      <c r="NIX1" s="2"/>
      <c r="NIY1" s="2"/>
      <c r="NIZ1" s="2"/>
      <c r="NJA1" s="2"/>
      <c r="NJB1" s="2"/>
      <c r="NJC1" s="2"/>
      <c r="NJD1" s="2"/>
      <c r="NJE1" s="2"/>
      <c r="NJF1" s="2"/>
      <c r="NJG1" s="2"/>
      <c r="NJH1" s="2"/>
      <c r="NJI1" s="2"/>
      <c r="NJJ1" s="2"/>
      <c r="NJK1" s="2"/>
      <c r="NJL1" s="2"/>
      <c r="NJM1" s="2"/>
      <c r="NJN1" s="2"/>
      <c r="NJO1" s="2"/>
      <c r="NJP1" s="2"/>
      <c r="NJQ1" s="2"/>
      <c r="NJR1" s="2"/>
      <c r="NJS1" s="2"/>
      <c r="NJT1" s="2"/>
      <c r="NJU1" s="2"/>
      <c r="NJV1" s="2"/>
      <c r="NJW1" s="2"/>
      <c r="NJX1" s="2"/>
      <c r="NJY1" s="2"/>
      <c r="NJZ1" s="2"/>
      <c r="NKA1" s="2"/>
      <c r="NKB1" s="2"/>
      <c r="NKC1" s="2"/>
      <c r="NKD1" s="2"/>
      <c r="NKE1" s="2"/>
      <c r="NKF1" s="2"/>
      <c r="NKG1" s="2"/>
      <c r="NKH1" s="2"/>
      <c r="NKI1" s="2"/>
      <c r="NKJ1" s="2"/>
      <c r="NKK1" s="2"/>
      <c r="NKL1" s="2"/>
      <c r="NKM1" s="2"/>
      <c r="NKN1" s="2"/>
      <c r="NKO1" s="2"/>
      <c r="NKP1" s="2"/>
      <c r="NKQ1" s="2"/>
      <c r="NKR1" s="2"/>
      <c r="NKS1" s="2"/>
      <c r="NKT1" s="2"/>
      <c r="NKU1" s="2"/>
      <c r="NKV1" s="2"/>
      <c r="NKW1" s="2"/>
      <c r="NKX1" s="2"/>
      <c r="NKY1" s="2"/>
      <c r="NKZ1" s="2"/>
      <c r="NLA1" s="2"/>
      <c r="NLB1" s="2"/>
      <c r="NLC1" s="2"/>
      <c r="NLD1" s="2"/>
      <c r="NLE1" s="2"/>
      <c r="NLF1" s="2"/>
      <c r="NLG1" s="2"/>
      <c r="NLH1" s="2"/>
      <c r="NLI1" s="2"/>
      <c r="NLJ1" s="2"/>
      <c r="NLK1" s="2"/>
      <c r="NLL1" s="2"/>
      <c r="NLM1" s="2"/>
      <c r="NLN1" s="2"/>
      <c r="NLO1" s="2"/>
      <c r="NLP1" s="2"/>
      <c r="NLQ1" s="2"/>
      <c r="NLR1" s="2"/>
      <c r="NLS1" s="2"/>
      <c r="NLT1" s="2"/>
      <c r="NLU1" s="2"/>
      <c r="NLV1" s="2"/>
      <c r="NLW1" s="2"/>
      <c r="NLX1" s="2"/>
      <c r="NLY1" s="2"/>
      <c r="NLZ1" s="2"/>
      <c r="NMA1" s="2"/>
      <c r="NMB1" s="2"/>
      <c r="NMC1" s="2"/>
      <c r="NMD1" s="2"/>
      <c r="NME1" s="2"/>
      <c r="NMF1" s="2"/>
      <c r="NMG1" s="2"/>
      <c r="NMH1" s="2"/>
      <c r="NMI1" s="2"/>
      <c r="NMJ1" s="2"/>
      <c r="NMK1" s="2"/>
      <c r="NML1" s="2"/>
      <c r="NMM1" s="2"/>
      <c r="NMN1" s="2"/>
      <c r="NMO1" s="2"/>
      <c r="NMP1" s="2"/>
      <c r="NMQ1" s="2"/>
      <c r="NMR1" s="2"/>
      <c r="NMS1" s="2"/>
      <c r="NMT1" s="2"/>
      <c r="NMU1" s="2"/>
      <c r="NMV1" s="2"/>
      <c r="NMW1" s="2"/>
      <c r="NMX1" s="2"/>
      <c r="NMY1" s="2"/>
      <c r="NMZ1" s="2"/>
      <c r="NNA1" s="2"/>
      <c r="NNB1" s="2"/>
      <c r="NNC1" s="2"/>
      <c r="NND1" s="2"/>
      <c r="NNE1" s="2"/>
      <c r="NNF1" s="2"/>
      <c r="NNG1" s="2"/>
      <c r="NNH1" s="2"/>
      <c r="NNI1" s="2"/>
      <c r="NNJ1" s="2"/>
      <c r="NNK1" s="2"/>
      <c r="NNL1" s="2"/>
      <c r="NNM1" s="2"/>
      <c r="NNN1" s="2"/>
      <c r="NNO1" s="2"/>
      <c r="NNP1" s="2"/>
      <c r="NNQ1" s="2"/>
      <c r="NNR1" s="2"/>
      <c r="NNS1" s="2"/>
      <c r="NNT1" s="2"/>
      <c r="NNU1" s="2"/>
      <c r="NNV1" s="2"/>
      <c r="NNW1" s="2"/>
      <c r="NNX1" s="2"/>
      <c r="NNY1" s="2"/>
      <c r="NNZ1" s="2"/>
      <c r="NOA1" s="2"/>
      <c r="NOB1" s="2"/>
      <c r="NOC1" s="2"/>
      <c r="NOD1" s="2"/>
      <c r="NOE1" s="2"/>
      <c r="NOF1" s="2"/>
      <c r="NOG1" s="2"/>
      <c r="NOH1" s="2"/>
      <c r="NOI1" s="2"/>
      <c r="NOJ1" s="2"/>
      <c r="NOK1" s="2"/>
      <c r="NOL1" s="2"/>
      <c r="NOM1" s="2"/>
      <c r="NON1" s="2"/>
      <c r="NOO1" s="2"/>
      <c r="NOP1" s="2"/>
      <c r="NOQ1" s="2"/>
      <c r="NOR1" s="2"/>
      <c r="NOS1" s="2"/>
      <c r="NOT1" s="2"/>
      <c r="NOU1" s="2"/>
      <c r="NOV1" s="2"/>
      <c r="NOW1" s="2"/>
      <c r="NOX1" s="2"/>
      <c r="NOY1" s="2"/>
      <c r="NOZ1" s="2"/>
      <c r="NPA1" s="2"/>
      <c r="NPB1" s="2"/>
      <c r="NPC1" s="2"/>
      <c r="NPD1" s="2"/>
      <c r="NPE1" s="2"/>
      <c r="NPF1" s="2"/>
      <c r="NPG1" s="2"/>
      <c r="NPH1" s="2"/>
      <c r="NPI1" s="2"/>
      <c r="NPJ1" s="2"/>
      <c r="NPK1" s="2"/>
      <c r="NPL1" s="2"/>
      <c r="NPM1" s="2"/>
      <c r="NPN1" s="2"/>
      <c r="NPO1" s="2"/>
      <c r="NPP1" s="2"/>
      <c r="NPQ1" s="2"/>
      <c r="NPR1" s="2"/>
      <c r="NPS1" s="2"/>
      <c r="NPT1" s="2"/>
      <c r="NPU1" s="2"/>
      <c r="NPV1" s="2"/>
      <c r="NPW1" s="2"/>
      <c r="NPX1" s="2"/>
      <c r="NPY1" s="2"/>
      <c r="NPZ1" s="2"/>
      <c r="NQA1" s="2"/>
      <c r="NQB1" s="2"/>
      <c r="NQC1" s="2"/>
      <c r="NQD1" s="2"/>
      <c r="NQE1" s="2"/>
      <c r="NQF1" s="2"/>
      <c r="NQG1" s="2"/>
      <c r="NQH1" s="2"/>
      <c r="NQI1" s="2"/>
      <c r="NQJ1" s="2"/>
      <c r="NQK1" s="2"/>
      <c r="NQL1" s="2"/>
      <c r="NQM1" s="2"/>
      <c r="NQN1" s="2"/>
      <c r="NQO1" s="2"/>
      <c r="NQP1" s="2"/>
      <c r="NQQ1" s="2"/>
      <c r="NQR1" s="2"/>
      <c r="NQS1" s="2"/>
      <c r="NQT1" s="2"/>
      <c r="NQU1" s="2"/>
      <c r="NQV1" s="2"/>
      <c r="NQW1" s="2"/>
      <c r="NQX1" s="2"/>
      <c r="NQY1" s="2"/>
      <c r="NQZ1" s="2"/>
      <c r="NRA1" s="2"/>
      <c r="NRB1" s="2"/>
      <c r="NRC1" s="2"/>
      <c r="NRD1" s="2"/>
      <c r="NRE1" s="2"/>
      <c r="NRF1" s="2"/>
      <c r="NRG1" s="2"/>
      <c r="NRH1" s="2"/>
      <c r="NRI1" s="2"/>
      <c r="NRJ1" s="2"/>
      <c r="NRK1" s="2"/>
      <c r="NRL1" s="2"/>
      <c r="NRM1" s="2"/>
      <c r="NRN1" s="2"/>
      <c r="NRO1" s="2"/>
      <c r="NRP1" s="2"/>
      <c r="NRQ1" s="2"/>
      <c r="NRR1" s="2"/>
      <c r="NRS1" s="2"/>
      <c r="NRT1" s="2"/>
      <c r="NRU1" s="2"/>
      <c r="NRV1" s="2"/>
      <c r="NRW1" s="2"/>
      <c r="NRX1" s="2"/>
      <c r="NRY1" s="2"/>
      <c r="NRZ1" s="2"/>
      <c r="NSA1" s="2"/>
      <c r="NSB1" s="2"/>
      <c r="NSC1" s="2"/>
      <c r="NSD1" s="2"/>
      <c r="NSE1" s="2"/>
      <c r="NSF1" s="2"/>
      <c r="NSG1" s="2"/>
      <c r="NSH1" s="2"/>
      <c r="NSI1" s="2"/>
      <c r="NSJ1" s="2"/>
      <c r="NSK1" s="2"/>
      <c r="NSL1" s="2"/>
      <c r="NSM1" s="2"/>
      <c r="NSN1" s="2"/>
      <c r="NSO1" s="2"/>
      <c r="NSP1" s="2"/>
      <c r="NSQ1" s="2"/>
      <c r="NSR1" s="2"/>
      <c r="NSS1" s="2"/>
      <c r="NST1" s="2"/>
      <c r="NSU1" s="2"/>
      <c r="NSV1" s="2"/>
      <c r="NSW1" s="2"/>
      <c r="NSX1" s="2"/>
      <c r="NSY1" s="2"/>
      <c r="NSZ1" s="2"/>
      <c r="NTA1" s="2"/>
      <c r="NTB1" s="2"/>
      <c r="NTC1" s="2"/>
      <c r="NTD1" s="2"/>
      <c r="NTE1" s="2"/>
      <c r="NTF1" s="2"/>
      <c r="NTG1" s="2"/>
      <c r="NTH1" s="2"/>
      <c r="NTI1" s="2"/>
      <c r="NTJ1" s="2"/>
      <c r="NTK1" s="2"/>
      <c r="NTL1" s="2"/>
      <c r="NTM1" s="2"/>
      <c r="NTN1" s="2"/>
      <c r="NTO1" s="2"/>
      <c r="NTP1" s="2"/>
      <c r="NTQ1" s="2"/>
      <c r="NTR1" s="2"/>
      <c r="NTS1" s="2"/>
      <c r="NTT1" s="2"/>
      <c r="NTU1" s="2"/>
      <c r="NTV1" s="2"/>
      <c r="NTW1" s="2"/>
      <c r="NTX1" s="2"/>
      <c r="NTY1" s="2"/>
      <c r="NTZ1" s="2"/>
      <c r="NUA1" s="2"/>
      <c r="NUB1" s="2"/>
      <c r="NUC1" s="2"/>
      <c r="NUD1" s="2"/>
      <c r="NUE1" s="2"/>
      <c r="NUF1" s="2"/>
      <c r="NUG1" s="2"/>
      <c r="NUH1" s="2"/>
      <c r="NUI1" s="2"/>
      <c r="NUJ1" s="2"/>
      <c r="NUK1" s="2"/>
      <c r="NUL1" s="2"/>
      <c r="NUM1" s="2"/>
      <c r="NUN1" s="2"/>
      <c r="NUO1" s="2"/>
      <c r="NUP1" s="2"/>
      <c r="NUQ1" s="2"/>
      <c r="NUR1" s="2"/>
      <c r="NUS1" s="2"/>
      <c r="NUT1" s="2"/>
      <c r="NUU1" s="2"/>
      <c r="NUV1" s="2"/>
      <c r="NUW1" s="2"/>
      <c r="NUX1" s="2"/>
      <c r="NUY1" s="2"/>
      <c r="NUZ1" s="2"/>
      <c r="NVA1" s="2"/>
      <c r="NVB1" s="2"/>
      <c r="NVC1" s="2"/>
      <c r="NVD1" s="2"/>
      <c r="NVE1" s="2"/>
      <c r="NVF1" s="2"/>
      <c r="NVG1" s="2"/>
      <c r="NVH1" s="2"/>
      <c r="NVI1" s="2"/>
      <c r="NVJ1" s="2"/>
      <c r="NVK1" s="2"/>
      <c r="NVL1" s="2"/>
      <c r="NVM1" s="2"/>
      <c r="NVN1" s="2"/>
      <c r="NVO1" s="2"/>
      <c r="NVP1" s="2"/>
      <c r="NVQ1" s="2"/>
      <c r="NVR1" s="2"/>
      <c r="NVS1" s="2"/>
      <c r="NVT1" s="2"/>
      <c r="NVU1" s="2"/>
      <c r="NVV1" s="2"/>
      <c r="NVW1" s="2"/>
      <c r="NVX1" s="2"/>
      <c r="NVY1" s="2"/>
      <c r="NVZ1" s="2"/>
      <c r="NWA1" s="2"/>
      <c r="NWB1" s="2"/>
      <c r="NWC1" s="2"/>
      <c r="NWD1" s="2"/>
      <c r="NWE1" s="2"/>
      <c r="NWF1" s="2"/>
      <c r="NWG1" s="2"/>
      <c r="NWH1" s="2"/>
      <c r="NWI1" s="2"/>
      <c r="NWJ1" s="2"/>
      <c r="NWK1" s="2"/>
      <c r="NWL1" s="2"/>
      <c r="NWM1" s="2"/>
      <c r="NWN1" s="2"/>
      <c r="NWO1" s="2"/>
      <c r="NWP1" s="2"/>
      <c r="NWQ1" s="2"/>
      <c r="NWR1" s="2"/>
      <c r="NWS1" s="2"/>
      <c r="NWT1" s="2"/>
      <c r="NWU1" s="2"/>
      <c r="NWV1" s="2"/>
      <c r="NWW1" s="2"/>
      <c r="NWX1" s="2"/>
      <c r="NWY1" s="2"/>
      <c r="NWZ1" s="2"/>
      <c r="NXA1" s="2"/>
      <c r="NXB1" s="2"/>
      <c r="NXC1" s="2"/>
      <c r="NXD1" s="2"/>
      <c r="NXE1" s="2"/>
      <c r="NXF1" s="2"/>
      <c r="NXG1" s="2"/>
      <c r="NXH1" s="2"/>
      <c r="NXI1" s="2"/>
      <c r="NXJ1" s="2"/>
      <c r="NXK1" s="2"/>
      <c r="NXL1" s="2"/>
      <c r="NXM1" s="2"/>
      <c r="NXN1" s="2"/>
      <c r="NXO1" s="2"/>
      <c r="NXP1" s="2"/>
      <c r="NXQ1" s="2"/>
      <c r="NXR1" s="2"/>
      <c r="NXS1" s="2"/>
      <c r="NXT1" s="2"/>
      <c r="NXU1" s="2"/>
      <c r="NXV1" s="2"/>
      <c r="NXW1" s="2"/>
      <c r="NXX1" s="2"/>
      <c r="NXY1" s="2"/>
      <c r="NXZ1" s="2"/>
      <c r="NYA1" s="2"/>
      <c r="NYB1" s="2"/>
      <c r="NYC1" s="2"/>
      <c r="NYD1" s="2"/>
      <c r="NYE1" s="2"/>
      <c r="NYF1" s="2"/>
      <c r="NYG1" s="2"/>
      <c r="NYH1" s="2"/>
      <c r="NYI1" s="2"/>
      <c r="NYJ1" s="2"/>
      <c r="NYK1" s="2"/>
      <c r="NYL1" s="2"/>
      <c r="NYM1" s="2"/>
      <c r="NYN1" s="2"/>
      <c r="NYO1" s="2"/>
      <c r="NYP1" s="2"/>
      <c r="NYQ1" s="2"/>
      <c r="NYR1" s="2"/>
      <c r="NYS1" s="2"/>
      <c r="NYT1" s="2"/>
      <c r="NYU1" s="2"/>
      <c r="NYV1" s="2"/>
      <c r="NYW1" s="2"/>
      <c r="NYX1" s="2"/>
      <c r="NYY1" s="2"/>
      <c r="NYZ1" s="2"/>
      <c r="NZA1" s="2"/>
      <c r="NZB1" s="2"/>
      <c r="NZC1" s="2"/>
      <c r="NZD1" s="2"/>
      <c r="NZE1" s="2"/>
      <c r="NZF1" s="2"/>
      <c r="NZG1" s="2"/>
      <c r="NZH1" s="2"/>
      <c r="NZI1" s="2"/>
      <c r="NZJ1" s="2"/>
      <c r="NZK1" s="2"/>
      <c r="NZL1" s="2"/>
      <c r="NZM1" s="2"/>
      <c r="NZN1" s="2"/>
      <c r="NZO1" s="2"/>
      <c r="NZP1" s="2"/>
      <c r="NZQ1" s="2"/>
      <c r="NZR1" s="2"/>
      <c r="NZS1" s="2"/>
      <c r="NZT1" s="2"/>
      <c r="NZU1" s="2"/>
      <c r="NZV1" s="2"/>
      <c r="NZW1" s="2"/>
      <c r="NZX1" s="2"/>
      <c r="NZY1" s="2"/>
      <c r="NZZ1" s="2"/>
      <c r="OAA1" s="2"/>
      <c r="OAB1" s="2"/>
      <c r="OAC1" s="2"/>
      <c r="OAD1" s="2"/>
      <c r="OAE1" s="2"/>
      <c r="OAF1" s="2"/>
      <c r="OAG1" s="2"/>
      <c r="OAH1" s="2"/>
      <c r="OAI1" s="2"/>
      <c r="OAJ1" s="2"/>
      <c r="OAK1" s="2"/>
      <c r="OAL1" s="2"/>
      <c r="OAM1" s="2"/>
      <c r="OAN1" s="2"/>
      <c r="OAO1" s="2"/>
      <c r="OAP1" s="2"/>
      <c r="OAQ1" s="2"/>
      <c r="OAR1" s="2"/>
      <c r="OAS1" s="2"/>
      <c r="OAT1" s="2"/>
      <c r="OAU1" s="2"/>
      <c r="OAV1" s="2"/>
      <c r="OAW1" s="2"/>
      <c r="OAX1" s="2"/>
      <c r="OAY1" s="2"/>
      <c r="OAZ1" s="2"/>
      <c r="OBA1" s="2"/>
      <c r="OBB1" s="2"/>
      <c r="OBC1" s="2"/>
      <c r="OBD1" s="2"/>
      <c r="OBE1" s="2"/>
      <c r="OBF1" s="2"/>
      <c r="OBG1" s="2"/>
      <c r="OBH1" s="2"/>
      <c r="OBI1" s="2"/>
      <c r="OBJ1" s="2"/>
      <c r="OBK1" s="2"/>
      <c r="OBL1" s="2"/>
      <c r="OBM1" s="2"/>
      <c r="OBN1" s="2"/>
      <c r="OBO1" s="2"/>
      <c r="OBP1" s="2"/>
      <c r="OBQ1" s="2"/>
      <c r="OBR1" s="2"/>
      <c r="OBS1" s="2"/>
      <c r="OBT1" s="2"/>
      <c r="OBU1" s="2"/>
      <c r="OBV1" s="2"/>
      <c r="OBW1" s="2"/>
      <c r="OBX1" s="2"/>
      <c r="OBY1" s="2"/>
      <c r="OBZ1" s="2"/>
      <c r="OCA1" s="2"/>
      <c r="OCB1" s="2"/>
      <c r="OCC1" s="2"/>
      <c r="OCD1" s="2"/>
      <c r="OCE1" s="2"/>
      <c r="OCF1" s="2"/>
      <c r="OCG1" s="2"/>
      <c r="OCH1" s="2"/>
      <c r="OCI1" s="2"/>
      <c r="OCJ1" s="2"/>
      <c r="OCK1" s="2"/>
      <c r="OCL1" s="2"/>
      <c r="OCM1" s="2"/>
      <c r="OCN1" s="2"/>
      <c r="OCO1" s="2"/>
      <c r="OCP1" s="2"/>
      <c r="OCQ1" s="2"/>
      <c r="OCR1" s="2"/>
      <c r="OCS1" s="2"/>
      <c r="OCT1" s="2"/>
      <c r="OCU1" s="2"/>
      <c r="OCV1" s="2"/>
      <c r="OCW1" s="2"/>
      <c r="OCX1" s="2"/>
      <c r="OCY1" s="2"/>
      <c r="OCZ1" s="2"/>
      <c r="ODA1" s="2"/>
      <c r="ODB1" s="2"/>
      <c r="ODC1" s="2"/>
      <c r="ODD1" s="2"/>
      <c r="ODE1" s="2"/>
      <c r="ODF1" s="2"/>
      <c r="ODG1" s="2"/>
      <c r="ODH1" s="2"/>
      <c r="ODI1" s="2"/>
      <c r="ODJ1" s="2"/>
      <c r="ODK1" s="2"/>
      <c r="ODL1" s="2"/>
      <c r="ODM1" s="2"/>
      <c r="ODN1" s="2"/>
      <c r="ODO1" s="2"/>
      <c r="ODP1" s="2"/>
      <c r="ODQ1" s="2"/>
      <c r="ODR1" s="2"/>
      <c r="ODS1" s="2"/>
      <c r="ODT1" s="2"/>
      <c r="ODU1" s="2"/>
      <c r="ODV1" s="2"/>
      <c r="ODW1" s="2"/>
      <c r="ODX1" s="2"/>
      <c r="ODY1" s="2"/>
      <c r="ODZ1" s="2"/>
      <c r="OEA1" s="2"/>
      <c r="OEB1" s="2"/>
      <c r="OEC1" s="2"/>
      <c r="OED1" s="2"/>
      <c r="OEE1" s="2"/>
      <c r="OEF1" s="2"/>
      <c r="OEG1" s="2"/>
      <c r="OEH1" s="2"/>
      <c r="OEI1" s="2"/>
      <c r="OEJ1" s="2"/>
      <c r="OEK1" s="2"/>
      <c r="OEL1" s="2"/>
      <c r="OEM1" s="2"/>
      <c r="OEN1" s="2"/>
      <c r="OEO1" s="2"/>
      <c r="OEP1" s="2"/>
      <c r="OEQ1" s="2"/>
      <c r="OER1" s="2"/>
      <c r="OES1" s="2"/>
      <c r="OET1" s="2"/>
      <c r="OEU1" s="2"/>
      <c r="OEV1" s="2"/>
      <c r="OEW1" s="2"/>
      <c r="OEX1" s="2"/>
      <c r="OEY1" s="2"/>
      <c r="OEZ1" s="2"/>
      <c r="OFA1" s="2"/>
      <c r="OFB1" s="2"/>
      <c r="OFC1" s="2"/>
      <c r="OFD1" s="2"/>
      <c r="OFE1" s="2"/>
      <c r="OFF1" s="2"/>
      <c r="OFG1" s="2"/>
      <c r="OFH1" s="2"/>
      <c r="OFI1" s="2"/>
      <c r="OFJ1" s="2"/>
      <c r="OFK1" s="2"/>
      <c r="OFL1" s="2"/>
      <c r="OFM1" s="2"/>
      <c r="OFN1" s="2"/>
      <c r="OFO1" s="2"/>
      <c r="OFP1" s="2"/>
      <c r="OFQ1" s="2"/>
      <c r="OFR1" s="2"/>
      <c r="OFS1" s="2"/>
      <c r="OFT1" s="2"/>
      <c r="OFU1" s="2"/>
      <c r="OFV1" s="2"/>
      <c r="OFW1" s="2"/>
      <c r="OFX1" s="2"/>
      <c r="OFY1" s="2"/>
      <c r="OFZ1" s="2"/>
      <c r="OGA1" s="2"/>
      <c r="OGB1" s="2"/>
      <c r="OGC1" s="2"/>
      <c r="OGD1" s="2"/>
      <c r="OGE1" s="2"/>
      <c r="OGF1" s="2"/>
      <c r="OGG1" s="2"/>
      <c r="OGH1" s="2"/>
      <c r="OGI1" s="2"/>
      <c r="OGJ1" s="2"/>
      <c r="OGK1" s="2"/>
      <c r="OGL1" s="2"/>
      <c r="OGM1" s="2"/>
      <c r="OGN1" s="2"/>
      <c r="OGO1" s="2"/>
      <c r="OGP1" s="2"/>
      <c r="OGQ1" s="2"/>
      <c r="OGR1" s="2"/>
      <c r="OGS1" s="2"/>
      <c r="OGT1" s="2"/>
      <c r="OGU1" s="2"/>
      <c r="OGV1" s="2"/>
      <c r="OGW1" s="2"/>
      <c r="OGX1" s="2"/>
      <c r="OGY1" s="2"/>
      <c r="OGZ1" s="2"/>
      <c r="OHA1" s="2"/>
      <c r="OHB1" s="2"/>
      <c r="OHC1" s="2"/>
      <c r="OHD1" s="2"/>
      <c r="OHE1" s="2"/>
      <c r="OHF1" s="2"/>
      <c r="OHG1" s="2"/>
      <c r="OHH1" s="2"/>
      <c r="OHI1" s="2"/>
      <c r="OHJ1" s="2"/>
      <c r="OHK1" s="2"/>
      <c r="OHL1" s="2"/>
      <c r="OHM1" s="2"/>
      <c r="OHN1" s="2"/>
      <c r="OHO1" s="2"/>
      <c r="OHP1" s="2"/>
      <c r="OHQ1" s="2"/>
      <c r="OHR1" s="2"/>
      <c r="OHS1" s="2"/>
      <c r="OHT1" s="2"/>
      <c r="OHU1" s="2"/>
      <c r="OHV1" s="2"/>
      <c r="OHW1" s="2"/>
      <c r="OHX1" s="2"/>
      <c r="OHY1" s="2"/>
      <c r="OHZ1" s="2"/>
      <c r="OIA1" s="2"/>
      <c r="OIB1" s="2"/>
      <c r="OIC1" s="2"/>
      <c r="OID1" s="2"/>
      <c r="OIE1" s="2"/>
      <c r="OIF1" s="2"/>
      <c r="OIG1" s="2"/>
      <c r="OIH1" s="2"/>
      <c r="OII1" s="2"/>
      <c r="OIJ1" s="2"/>
      <c r="OIK1" s="2"/>
      <c r="OIL1" s="2"/>
      <c r="OIM1" s="2"/>
      <c r="OIN1" s="2"/>
      <c r="OIO1" s="2"/>
      <c r="OIP1" s="2"/>
      <c r="OIQ1" s="2"/>
      <c r="OIR1" s="2"/>
      <c r="OIS1" s="2"/>
      <c r="OIT1" s="2"/>
      <c r="OIU1" s="2"/>
      <c r="OIV1" s="2"/>
      <c r="OIW1" s="2"/>
      <c r="OIX1" s="2"/>
      <c r="OIY1" s="2"/>
      <c r="OIZ1" s="2"/>
      <c r="OJA1" s="2"/>
      <c r="OJB1" s="2"/>
      <c r="OJC1" s="2"/>
      <c r="OJD1" s="2"/>
      <c r="OJE1" s="2"/>
      <c r="OJF1" s="2"/>
      <c r="OJG1" s="2"/>
      <c r="OJH1" s="2"/>
      <c r="OJI1" s="2"/>
      <c r="OJJ1" s="2"/>
      <c r="OJK1" s="2"/>
      <c r="OJL1" s="2"/>
      <c r="OJM1" s="2"/>
      <c r="OJN1" s="2"/>
      <c r="OJO1" s="2"/>
      <c r="OJP1" s="2"/>
      <c r="OJQ1" s="2"/>
      <c r="OJR1" s="2"/>
      <c r="OJS1" s="2"/>
      <c r="OJT1" s="2"/>
      <c r="OJU1" s="2"/>
      <c r="OJV1" s="2"/>
      <c r="OJW1" s="2"/>
      <c r="OJX1" s="2"/>
      <c r="OJY1" s="2"/>
      <c r="OJZ1" s="2"/>
      <c r="OKA1" s="2"/>
      <c r="OKB1" s="2"/>
      <c r="OKC1" s="2"/>
      <c r="OKD1" s="2"/>
      <c r="OKE1" s="2"/>
      <c r="OKF1" s="2"/>
      <c r="OKG1" s="2"/>
      <c r="OKH1" s="2"/>
      <c r="OKI1" s="2"/>
      <c r="OKJ1" s="2"/>
      <c r="OKK1" s="2"/>
      <c r="OKL1" s="2"/>
      <c r="OKM1" s="2"/>
      <c r="OKN1" s="2"/>
      <c r="OKO1" s="2"/>
      <c r="OKP1" s="2"/>
      <c r="OKQ1" s="2"/>
      <c r="OKR1" s="2"/>
      <c r="OKS1" s="2"/>
      <c r="OKT1" s="2"/>
      <c r="OKU1" s="2"/>
      <c r="OKV1" s="2"/>
      <c r="OKW1" s="2"/>
      <c r="OKX1" s="2"/>
      <c r="OKY1" s="2"/>
      <c r="OKZ1" s="2"/>
      <c r="OLA1" s="2"/>
      <c r="OLB1" s="2"/>
      <c r="OLC1" s="2"/>
      <c r="OLD1" s="2"/>
      <c r="OLE1" s="2"/>
      <c r="OLF1" s="2"/>
      <c r="OLG1" s="2"/>
      <c r="OLH1" s="2"/>
      <c r="OLI1" s="2"/>
      <c r="OLJ1" s="2"/>
      <c r="OLK1" s="2"/>
      <c r="OLL1" s="2"/>
      <c r="OLM1" s="2"/>
      <c r="OLN1" s="2"/>
      <c r="OLO1" s="2"/>
      <c r="OLP1" s="2"/>
      <c r="OLQ1" s="2"/>
      <c r="OLR1" s="2"/>
      <c r="OLS1" s="2"/>
      <c r="OLT1" s="2"/>
      <c r="OLU1" s="2"/>
      <c r="OLV1" s="2"/>
      <c r="OLW1" s="2"/>
      <c r="OLX1" s="2"/>
      <c r="OLY1" s="2"/>
      <c r="OLZ1" s="2"/>
      <c r="OMA1" s="2"/>
      <c r="OMB1" s="2"/>
      <c r="OMC1" s="2"/>
      <c r="OMD1" s="2"/>
      <c r="OME1" s="2"/>
      <c r="OMF1" s="2"/>
      <c r="OMG1" s="2"/>
      <c r="OMH1" s="2"/>
      <c r="OMI1" s="2"/>
      <c r="OMJ1" s="2"/>
      <c r="OMK1" s="2"/>
      <c r="OML1" s="2"/>
      <c r="OMM1" s="2"/>
      <c r="OMN1" s="2"/>
      <c r="OMO1" s="2"/>
      <c r="OMP1" s="2"/>
      <c r="OMQ1" s="2"/>
      <c r="OMR1" s="2"/>
      <c r="OMS1" s="2"/>
      <c r="OMT1" s="2"/>
      <c r="OMU1" s="2"/>
      <c r="OMV1" s="2"/>
      <c r="OMW1" s="2"/>
      <c r="OMX1" s="2"/>
      <c r="OMY1" s="2"/>
      <c r="OMZ1" s="2"/>
      <c r="ONA1" s="2"/>
      <c r="ONB1" s="2"/>
      <c r="ONC1" s="2"/>
      <c r="OND1" s="2"/>
      <c r="ONE1" s="2"/>
      <c r="ONF1" s="2"/>
      <c r="ONG1" s="2"/>
      <c r="ONH1" s="2"/>
      <c r="ONI1" s="2"/>
      <c r="ONJ1" s="2"/>
      <c r="ONK1" s="2"/>
      <c r="ONL1" s="2"/>
      <c r="ONM1" s="2"/>
      <c r="ONN1" s="2"/>
      <c r="ONO1" s="2"/>
      <c r="ONP1" s="2"/>
      <c r="ONQ1" s="2"/>
      <c r="ONR1" s="2"/>
      <c r="ONS1" s="2"/>
      <c r="ONT1" s="2"/>
      <c r="ONU1" s="2"/>
      <c r="ONV1" s="2"/>
      <c r="ONW1" s="2"/>
      <c r="ONX1" s="2"/>
      <c r="ONY1" s="2"/>
      <c r="ONZ1" s="2"/>
      <c r="OOA1" s="2"/>
      <c r="OOB1" s="2"/>
      <c r="OOC1" s="2"/>
      <c r="OOD1" s="2"/>
      <c r="OOE1" s="2"/>
      <c r="OOF1" s="2"/>
      <c r="OOG1" s="2"/>
      <c r="OOH1" s="2"/>
      <c r="OOI1" s="2"/>
      <c r="OOJ1" s="2"/>
      <c r="OOK1" s="2"/>
      <c r="OOL1" s="2"/>
      <c r="OOM1" s="2"/>
      <c r="OON1" s="2"/>
      <c r="OOO1" s="2"/>
      <c r="OOP1" s="2"/>
      <c r="OOQ1" s="2"/>
      <c r="OOR1" s="2"/>
      <c r="OOS1" s="2"/>
      <c r="OOT1" s="2"/>
      <c r="OOU1" s="2"/>
      <c r="OOV1" s="2"/>
      <c r="OOW1" s="2"/>
      <c r="OOX1" s="2"/>
      <c r="OOY1" s="2"/>
      <c r="OOZ1" s="2"/>
      <c r="OPA1" s="2"/>
      <c r="OPB1" s="2"/>
      <c r="OPC1" s="2"/>
      <c r="OPD1" s="2"/>
      <c r="OPE1" s="2"/>
      <c r="OPF1" s="2"/>
      <c r="OPG1" s="2"/>
      <c r="OPH1" s="2"/>
      <c r="OPI1" s="2"/>
      <c r="OPJ1" s="2"/>
      <c r="OPK1" s="2"/>
      <c r="OPL1" s="2"/>
      <c r="OPM1" s="2"/>
      <c r="OPN1" s="2"/>
      <c r="OPO1" s="2"/>
      <c r="OPP1" s="2"/>
      <c r="OPQ1" s="2"/>
      <c r="OPR1" s="2"/>
      <c r="OPS1" s="2"/>
      <c r="OPT1" s="2"/>
      <c r="OPU1" s="2"/>
      <c r="OPV1" s="2"/>
      <c r="OPW1" s="2"/>
      <c r="OPX1" s="2"/>
      <c r="OPY1" s="2"/>
      <c r="OPZ1" s="2"/>
      <c r="OQA1" s="2"/>
      <c r="OQB1" s="2"/>
      <c r="OQC1" s="2"/>
      <c r="OQD1" s="2"/>
      <c r="OQE1" s="2"/>
      <c r="OQF1" s="2"/>
      <c r="OQG1" s="2"/>
      <c r="OQH1" s="2"/>
      <c r="OQI1" s="2"/>
      <c r="OQJ1" s="2"/>
      <c r="OQK1" s="2"/>
      <c r="OQL1" s="2"/>
      <c r="OQM1" s="2"/>
      <c r="OQN1" s="2"/>
      <c r="OQO1" s="2"/>
      <c r="OQP1" s="2"/>
      <c r="OQQ1" s="2"/>
      <c r="OQR1" s="2"/>
      <c r="OQS1" s="2"/>
      <c r="OQT1" s="2"/>
      <c r="OQU1" s="2"/>
      <c r="OQV1" s="2"/>
      <c r="OQW1" s="2"/>
      <c r="OQX1" s="2"/>
      <c r="OQY1" s="2"/>
      <c r="OQZ1" s="2"/>
      <c r="ORA1" s="2"/>
      <c r="ORB1" s="2"/>
      <c r="ORC1" s="2"/>
      <c r="ORD1" s="2"/>
      <c r="ORE1" s="2"/>
      <c r="ORF1" s="2"/>
      <c r="ORG1" s="2"/>
      <c r="ORH1" s="2"/>
      <c r="ORI1" s="2"/>
      <c r="ORJ1" s="2"/>
      <c r="ORK1" s="2"/>
      <c r="ORL1" s="2"/>
      <c r="ORM1" s="2"/>
      <c r="ORN1" s="2"/>
      <c r="ORO1" s="2"/>
      <c r="ORP1" s="2"/>
      <c r="ORQ1" s="2"/>
      <c r="ORR1" s="2"/>
      <c r="ORS1" s="2"/>
      <c r="ORT1" s="2"/>
      <c r="ORU1" s="2"/>
      <c r="ORV1" s="2"/>
      <c r="ORW1" s="2"/>
      <c r="ORX1" s="2"/>
      <c r="ORY1" s="2"/>
      <c r="ORZ1" s="2"/>
      <c r="OSA1" s="2"/>
      <c r="OSB1" s="2"/>
      <c r="OSC1" s="2"/>
      <c r="OSD1" s="2"/>
      <c r="OSE1" s="2"/>
      <c r="OSF1" s="2"/>
      <c r="OSG1" s="2"/>
      <c r="OSH1" s="2"/>
      <c r="OSI1" s="2"/>
      <c r="OSJ1" s="2"/>
      <c r="OSK1" s="2"/>
      <c r="OSL1" s="2"/>
      <c r="OSM1" s="2"/>
      <c r="OSN1" s="2"/>
      <c r="OSO1" s="2"/>
      <c r="OSP1" s="2"/>
      <c r="OSQ1" s="2"/>
      <c r="OSR1" s="2"/>
      <c r="OSS1" s="2"/>
      <c r="OST1" s="2"/>
      <c r="OSU1" s="2"/>
      <c r="OSV1" s="2"/>
      <c r="OSW1" s="2"/>
      <c r="OSX1" s="2"/>
      <c r="OSY1" s="2"/>
      <c r="OSZ1" s="2"/>
      <c r="OTA1" s="2"/>
      <c r="OTB1" s="2"/>
      <c r="OTC1" s="2"/>
      <c r="OTD1" s="2"/>
      <c r="OTE1" s="2"/>
      <c r="OTF1" s="2"/>
      <c r="OTG1" s="2"/>
      <c r="OTH1" s="2"/>
      <c r="OTI1" s="2"/>
      <c r="OTJ1" s="2"/>
      <c r="OTK1" s="2"/>
      <c r="OTL1" s="2"/>
      <c r="OTM1" s="2"/>
      <c r="OTN1" s="2"/>
      <c r="OTO1" s="2"/>
      <c r="OTP1" s="2"/>
      <c r="OTQ1" s="2"/>
      <c r="OTR1" s="2"/>
      <c r="OTS1" s="2"/>
      <c r="OTT1" s="2"/>
      <c r="OTU1" s="2"/>
      <c r="OTV1" s="2"/>
      <c r="OTW1" s="2"/>
      <c r="OTX1" s="2"/>
      <c r="OTY1" s="2"/>
      <c r="OTZ1" s="2"/>
      <c r="OUA1" s="2"/>
      <c r="OUB1" s="2"/>
      <c r="OUC1" s="2"/>
      <c r="OUD1" s="2"/>
      <c r="OUE1" s="2"/>
      <c r="OUF1" s="2"/>
      <c r="OUG1" s="2"/>
      <c r="OUH1" s="2"/>
      <c r="OUI1" s="2"/>
      <c r="OUJ1" s="2"/>
      <c r="OUK1" s="2"/>
      <c r="OUL1" s="2"/>
      <c r="OUM1" s="2"/>
      <c r="OUN1" s="2"/>
      <c r="OUO1" s="2"/>
      <c r="OUP1" s="2"/>
      <c r="OUQ1" s="2"/>
      <c r="OUR1" s="2"/>
      <c r="OUS1" s="2"/>
      <c r="OUT1" s="2"/>
      <c r="OUU1" s="2"/>
      <c r="OUV1" s="2"/>
      <c r="OUW1" s="2"/>
      <c r="OUX1" s="2"/>
      <c r="OUY1" s="2"/>
      <c r="OUZ1" s="2"/>
      <c r="OVA1" s="2"/>
      <c r="OVB1" s="2"/>
      <c r="OVC1" s="2"/>
      <c r="OVD1" s="2"/>
      <c r="OVE1" s="2"/>
      <c r="OVF1" s="2"/>
      <c r="OVG1" s="2"/>
      <c r="OVH1" s="2"/>
      <c r="OVI1" s="2"/>
      <c r="OVJ1" s="2"/>
      <c r="OVK1" s="2"/>
      <c r="OVL1" s="2"/>
      <c r="OVM1" s="2"/>
      <c r="OVN1" s="2"/>
      <c r="OVO1" s="2"/>
      <c r="OVP1" s="2"/>
      <c r="OVQ1" s="2"/>
      <c r="OVR1" s="2"/>
      <c r="OVS1" s="2"/>
      <c r="OVT1" s="2"/>
      <c r="OVU1" s="2"/>
      <c r="OVV1" s="2"/>
      <c r="OVW1" s="2"/>
      <c r="OVX1" s="2"/>
      <c r="OVY1" s="2"/>
      <c r="OVZ1" s="2"/>
      <c r="OWA1" s="2"/>
      <c r="OWB1" s="2"/>
      <c r="OWC1" s="2"/>
      <c r="OWD1" s="2"/>
      <c r="OWE1" s="2"/>
      <c r="OWF1" s="2"/>
      <c r="OWG1" s="2"/>
      <c r="OWH1" s="2"/>
      <c r="OWI1" s="2"/>
      <c r="OWJ1" s="2"/>
      <c r="OWK1" s="2"/>
      <c r="OWL1" s="2"/>
      <c r="OWM1" s="2"/>
      <c r="OWN1" s="2"/>
      <c r="OWO1" s="2"/>
      <c r="OWP1" s="2"/>
      <c r="OWQ1" s="2"/>
      <c r="OWR1" s="2"/>
      <c r="OWS1" s="2"/>
      <c r="OWT1" s="2"/>
      <c r="OWU1" s="2"/>
      <c r="OWV1" s="2"/>
      <c r="OWW1" s="2"/>
      <c r="OWX1" s="2"/>
      <c r="OWY1" s="2"/>
      <c r="OWZ1" s="2"/>
      <c r="OXA1" s="2"/>
      <c r="OXB1" s="2"/>
      <c r="OXC1" s="2"/>
      <c r="OXD1" s="2"/>
      <c r="OXE1" s="2"/>
      <c r="OXF1" s="2"/>
      <c r="OXG1" s="2"/>
      <c r="OXH1" s="2"/>
      <c r="OXI1" s="2"/>
      <c r="OXJ1" s="2"/>
      <c r="OXK1" s="2"/>
      <c r="OXL1" s="2"/>
      <c r="OXM1" s="2"/>
      <c r="OXN1" s="2"/>
      <c r="OXO1" s="2"/>
      <c r="OXP1" s="2"/>
      <c r="OXQ1" s="2"/>
      <c r="OXR1" s="2"/>
      <c r="OXS1" s="2"/>
      <c r="OXT1" s="2"/>
      <c r="OXU1" s="2"/>
      <c r="OXV1" s="2"/>
      <c r="OXW1" s="2"/>
      <c r="OXX1" s="2"/>
      <c r="OXY1" s="2"/>
      <c r="OXZ1" s="2"/>
      <c r="OYA1" s="2"/>
      <c r="OYB1" s="2"/>
      <c r="OYC1" s="2"/>
      <c r="OYD1" s="2"/>
      <c r="OYE1" s="2"/>
      <c r="OYF1" s="2"/>
      <c r="OYG1" s="2"/>
      <c r="OYH1" s="2"/>
      <c r="OYI1" s="2"/>
      <c r="OYJ1" s="2"/>
      <c r="OYK1" s="2"/>
      <c r="OYL1" s="2"/>
      <c r="OYM1" s="2"/>
      <c r="OYN1" s="2"/>
      <c r="OYO1" s="2"/>
      <c r="OYP1" s="2"/>
      <c r="OYQ1" s="2"/>
      <c r="OYR1" s="2"/>
      <c r="OYS1" s="2"/>
      <c r="OYT1" s="2"/>
      <c r="OYU1" s="2"/>
      <c r="OYV1" s="2"/>
      <c r="OYW1" s="2"/>
      <c r="OYX1" s="2"/>
      <c r="OYY1" s="2"/>
      <c r="OYZ1" s="2"/>
      <c r="OZA1" s="2"/>
      <c r="OZB1" s="2"/>
      <c r="OZC1" s="2"/>
      <c r="OZD1" s="2"/>
      <c r="OZE1" s="2"/>
      <c r="OZF1" s="2"/>
      <c r="OZG1" s="2"/>
      <c r="OZH1" s="2"/>
      <c r="OZI1" s="2"/>
      <c r="OZJ1" s="2"/>
      <c r="OZK1" s="2"/>
      <c r="OZL1" s="2"/>
      <c r="OZM1" s="2"/>
      <c r="OZN1" s="2"/>
      <c r="OZO1" s="2"/>
      <c r="OZP1" s="2"/>
      <c r="OZQ1" s="2"/>
      <c r="OZR1" s="2"/>
      <c r="OZS1" s="2"/>
      <c r="OZT1" s="2"/>
      <c r="OZU1" s="2"/>
      <c r="OZV1" s="2"/>
      <c r="OZW1" s="2"/>
      <c r="OZX1" s="2"/>
      <c r="OZY1" s="2"/>
      <c r="OZZ1" s="2"/>
      <c r="PAA1" s="2"/>
      <c r="PAB1" s="2"/>
      <c r="PAC1" s="2"/>
      <c r="PAD1" s="2"/>
      <c r="PAE1" s="2"/>
      <c r="PAF1" s="2"/>
      <c r="PAG1" s="2"/>
      <c r="PAH1" s="2"/>
      <c r="PAI1" s="2"/>
      <c r="PAJ1" s="2"/>
      <c r="PAK1" s="2"/>
      <c r="PAL1" s="2"/>
      <c r="PAM1" s="2"/>
      <c r="PAN1" s="2"/>
      <c r="PAO1" s="2"/>
      <c r="PAP1" s="2"/>
      <c r="PAQ1" s="2"/>
      <c r="PAR1" s="2"/>
      <c r="PAS1" s="2"/>
      <c r="PAT1" s="2"/>
      <c r="PAU1" s="2"/>
      <c r="PAV1" s="2"/>
      <c r="PAW1" s="2"/>
      <c r="PAX1" s="2"/>
      <c r="PAY1" s="2"/>
      <c r="PAZ1" s="2"/>
      <c r="PBA1" s="2"/>
      <c r="PBB1" s="2"/>
      <c r="PBC1" s="2"/>
      <c r="PBD1" s="2"/>
      <c r="PBE1" s="2"/>
      <c r="PBF1" s="2"/>
      <c r="PBG1" s="2"/>
      <c r="PBH1" s="2"/>
      <c r="PBI1" s="2"/>
      <c r="PBJ1" s="2"/>
      <c r="PBK1" s="2"/>
      <c r="PBL1" s="2"/>
      <c r="PBM1" s="2"/>
      <c r="PBN1" s="2"/>
      <c r="PBO1" s="2"/>
      <c r="PBP1" s="2"/>
      <c r="PBQ1" s="2"/>
      <c r="PBR1" s="2"/>
      <c r="PBS1" s="2"/>
      <c r="PBT1" s="2"/>
      <c r="PBU1" s="2"/>
      <c r="PBV1" s="2"/>
      <c r="PBW1" s="2"/>
      <c r="PBX1" s="2"/>
      <c r="PBY1" s="2"/>
      <c r="PBZ1" s="2"/>
      <c r="PCA1" s="2"/>
      <c r="PCB1" s="2"/>
      <c r="PCC1" s="2"/>
      <c r="PCD1" s="2"/>
      <c r="PCE1" s="2"/>
      <c r="PCF1" s="2"/>
      <c r="PCG1" s="2"/>
      <c r="PCH1" s="2"/>
      <c r="PCI1" s="2"/>
      <c r="PCJ1" s="2"/>
      <c r="PCK1" s="2"/>
      <c r="PCL1" s="2"/>
      <c r="PCM1" s="2"/>
      <c r="PCN1" s="2"/>
      <c r="PCO1" s="2"/>
      <c r="PCP1" s="2"/>
      <c r="PCQ1" s="2"/>
      <c r="PCR1" s="2"/>
      <c r="PCS1" s="2"/>
      <c r="PCT1" s="2"/>
      <c r="PCU1" s="2"/>
      <c r="PCV1" s="2"/>
      <c r="PCW1" s="2"/>
      <c r="PCX1" s="2"/>
      <c r="PCY1" s="2"/>
      <c r="PCZ1" s="2"/>
      <c r="PDA1" s="2"/>
      <c r="PDB1" s="2"/>
      <c r="PDC1" s="2"/>
      <c r="PDD1" s="2"/>
      <c r="PDE1" s="2"/>
      <c r="PDF1" s="2"/>
      <c r="PDG1" s="2"/>
      <c r="PDH1" s="2"/>
      <c r="PDI1" s="2"/>
      <c r="PDJ1" s="2"/>
      <c r="PDK1" s="2"/>
      <c r="PDL1" s="2"/>
      <c r="PDM1" s="2"/>
      <c r="PDN1" s="2"/>
      <c r="PDO1" s="2"/>
      <c r="PDP1" s="2"/>
      <c r="PDQ1" s="2"/>
      <c r="PDR1" s="2"/>
      <c r="PDS1" s="2"/>
      <c r="PDT1" s="2"/>
      <c r="PDU1" s="2"/>
      <c r="PDV1" s="2"/>
      <c r="PDW1" s="2"/>
      <c r="PDX1" s="2"/>
      <c r="PDY1" s="2"/>
      <c r="PDZ1" s="2"/>
      <c r="PEA1" s="2"/>
      <c r="PEB1" s="2"/>
      <c r="PEC1" s="2"/>
      <c r="PED1" s="2"/>
      <c r="PEE1" s="2"/>
      <c r="PEF1" s="2"/>
      <c r="PEG1" s="2"/>
      <c r="PEH1" s="2"/>
      <c r="PEI1" s="2"/>
      <c r="PEJ1" s="2"/>
      <c r="PEK1" s="2"/>
      <c r="PEL1" s="2"/>
      <c r="PEM1" s="2"/>
      <c r="PEN1" s="2"/>
      <c r="PEO1" s="2"/>
      <c r="PEP1" s="2"/>
      <c r="PEQ1" s="2"/>
      <c r="PER1" s="2"/>
      <c r="PES1" s="2"/>
      <c r="PET1" s="2"/>
      <c r="PEU1" s="2"/>
      <c r="PEV1" s="2"/>
      <c r="PEW1" s="2"/>
      <c r="PEX1" s="2"/>
      <c r="PEY1" s="2"/>
      <c r="PEZ1" s="2"/>
      <c r="PFA1" s="2"/>
      <c r="PFB1" s="2"/>
      <c r="PFC1" s="2"/>
      <c r="PFD1" s="2"/>
      <c r="PFE1" s="2"/>
      <c r="PFF1" s="2"/>
      <c r="PFG1" s="2"/>
      <c r="PFH1" s="2"/>
      <c r="PFI1" s="2"/>
      <c r="PFJ1" s="2"/>
      <c r="PFK1" s="2"/>
      <c r="PFL1" s="2"/>
      <c r="PFM1" s="2"/>
      <c r="PFN1" s="2"/>
      <c r="PFO1" s="2"/>
      <c r="PFP1" s="2"/>
      <c r="PFQ1" s="2"/>
      <c r="PFR1" s="2"/>
      <c r="PFS1" s="2"/>
      <c r="PFT1" s="2"/>
      <c r="PFU1" s="2"/>
      <c r="PFV1" s="2"/>
      <c r="PFW1" s="2"/>
      <c r="PFX1" s="2"/>
      <c r="PFY1" s="2"/>
      <c r="PFZ1" s="2"/>
      <c r="PGA1" s="2"/>
      <c r="PGB1" s="2"/>
      <c r="PGC1" s="2"/>
      <c r="PGD1" s="2"/>
      <c r="PGE1" s="2"/>
      <c r="PGF1" s="2"/>
      <c r="PGG1" s="2"/>
      <c r="PGH1" s="2"/>
      <c r="PGI1" s="2"/>
      <c r="PGJ1" s="2"/>
      <c r="PGK1" s="2"/>
      <c r="PGL1" s="2"/>
      <c r="PGM1" s="2"/>
      <c r="PGN1" s="2"/>
      <c r="PGO1" s="2"/>
      <c r="PGP1" s="2"/>
      <c r="PGQ1" s="2"/>
      <c r="PGR1" s="2"/>
      <c r="PGS1" s="2"/>
      <c r="PGT1" s="2"/>
      <c r="PGU1" s="2"/>
      <c r="PGV1" s="2"/>
      <c r="PGW1" s="2"/>
      <c r="PGX1" s="2"/>
      <c r="PGY1" s="2"/>
      <c r="PGZ1" s="2"/>
      <c r="PHA1" s="2"/>
      <c r="PHB1" s="2"/>
      <c r="PHC1" s="2"/>
      <c r="PHD1" s="2"/>
      <c r="PHE1" s="2"/>
      <c r="PHF1" s="2"/>
      <c r="PHG1" s="2"/>
      <c r="PHH1" s="2"/>
      <c r="PHI1" s="2"/>
      <c r="PHJ1" s="2"/>
      <c r="PHK1" s="2"/>
      <c r="PHL1" s="2"/>
      <c r="PHM1" s="2"/>
      <c r="PHN1" s="2"/>
      <c r="PHO1" s="2"/>
      <c r="PHP1" s="2"/>
      <c r="PHQ1" s="2"/>
      <c r="PHR1" s="2"/>
      <c r="PHS1" s="2"/>
      <c r="PHT1" s="2"/>
      <c r="PHU1" s="2"/>
      <c r="PHV1" s="2"/>
      <c r="PHW1" s="2"/>
      <c r="PHX1" s="2"/>
      <c r="PHY1" s="2"/>
      <c r="PHZ1" s="2"/>
      <c r="PIA1" s="2"/>
      <c r="PIB1" s="2"/>
      <c r="PIC1" s="2"/>
      <c r="PID1" s="2"/>
      <c r="PIE1" s="2"/>
      <c r="PIF1" s="2"/>
      <c r="PIG1" s="2"/>
      <c r="PIH1" s="2"/>
      <c r="PII1" s="2"/>
      <c r="PIJ1" s="2"/>
      <c r="PIK1" s="2"/>
      <c r="PIL1" s="2"/>
      <c r="PIM1" s="2"/>
      <c r="PIN1" s="2"/>
      <c r="PIO1" s="2"/>
      <c r="PIP1" s="2"/>
      <c r="PIQ1" s="2"/>
      <c r="PIR1" s="2"/>
      <c r="PIS1" s="2"/>
      <c r="PIT1" s="2"/>
      <c r="PIU1" s="2"/>
      <c r="PIV1" s="2"/>
      <c r="PIW1" s="2"/>
      <c r="PIX1" s="2"/>
      <c r="PIY1" s="2"/>
      <c r="PIZ1" s="2"/>
      <c r="PJA1" s="2"/>
      <c r="PJB1" s="2"/>
      <c r="PJC1" s="2"/>
      <c r="PJD1" s="2"/>
      <c r="PJE1" s="2"/>
      <c r="PJF1" s="2"/>
      <c r="PJG1" s="2"/>
      <c r="PJH1" s="2"/>
      <c r="PJI1" s="2"/>
      <c r="PJJ1" s="2"/>
      <c r="PJK1" s="2"/>
      <c r="PJL1" s="2"/>
      <c r="PJM1" s="2"/>
      <c r="PJN1" s="2"/>
      <c r="PJO1" s="2"/>
      <c r="PJP1" s="2"/>
      <c r="PJQ1" s="2"/>
      <c r="PJR1" s="2"/>
      <c r="PJS1" s="2"/>
      <c r="PJT1" s="2"/>
      <c r="PJU1" s="2"/>
      <c r="PJV1" s="2"/>
      <c r="PJW1" s="2"/>
      <c r="PJX1" s="2"/>
      <c r="PJY1" s="2"/>
      <c r="PJZ1" s="2"/>
      <c r="PKA1" s="2"/>
      <c r="PKB1" s="2"/>
      <c r="PKC1" s="2"/>
      <c r="PKD1" s="2"/>
      <c r="PKE1" s="2"/>
      <c r="PKF1" s="2"/>
      <c r="PKG1" s="2"/>
      <c r="PKH1" s="2"/>
      <c r="PKI1" s="2"/>
      <c r="PKJ1" s="2"/>
      <c r="PKK1" s="2"/>
      <c r="PKL1" s="2"/>
      <c r="PKM1" s="2"/>
      <c r="PKN1" s="2"/>
      <c r="PKO1" s="2"/>
      <c r="PKP1" s="2"/>
      <c r="PKQ1" s="2"/>
      <c r="PKR1" s="2"/>
      <c r="PKS1" s="2"/>
      <c r="PKT1" s="2"/>
      <c r="PKU1" s="2"/>
      <c r="PKV1" s="2"/>
      <c r="PKW1" s="2"/>
      <c r="PKX1" s="2"/>
      <c r="PKY1" s="2"/>
      <c r="PKZ1" s="2"/>
      <c r="PLA1" s="2"/>
      <c r="PLB1" s="2"/>
      <c r="PLC1" s="2"/>
      <c r="PLD1" s="2"/>
      <c r="PLE1" s="2"/>
      <c r="PLF1" s="2"/>
      <c r="PLG1" s="2"/>
      <c r="PLH1" s="2"/>
      <c r="PLI1" s="2"/>
      <c r="PLJ1" s="2"/>
      <c r="PLK1" s="2"/>
      <c r="PLL1" s="2"/>
      <c r="PLM1" s="2"/>
      <c r="PLN1" s="2"/>
      <c r="PLO1" s="2"/>
      <c r="PLP1" s="2"/>
      <c r="PLQ1" s="2"/>
      <c r="PLR1" s="2"/>
      <c r="PLS1" s="2"/>
      <c r="PLT1" s="2"/>
      <c r="PLU1" s="2"/>
      <c r="PLV1" s="2"/>
      <c r="PLW1" s="2"/>
      <c r="PLX1" s="2"/>
      <c r="PLY1" s="2"/>
      <c r="PLZ1" s="2"/>
      <c r="PMA1" s="2"/>
      <c r="PMB1" s="2"/>
      <c r="PMC1" s="2"/>
      <c r="PMD1" s="2"/>
      <c r="PME1" s="2"/>
      <c r="PMF1" s="2"/>
      <c r="PMG1" s="2"/>
      <c r="PMH1" s="2"/>
      <c r="PMI1" s="2"/>
      <c r="PMJ1" s="2"/>
      <c r="PMK1" s="2"/>
      <c r="PML1" s="2"/>
      <c r="PMM1" s="2"/>
      <c r="PMN1" s="2"/>
      <c r="PMO1" s="2"/>
      <c r="PMP1" s="2"/>
      <c r="PMQ1" s="2"/>
      <c r="PMR1" s="2"/>
      <c r="PMS1" s="2"/>
      <c r="PMT1" s="2"/>
      <c r="PMU1" s="2"/>
      <c r="PMV1" s="2"/>
      <c r="PMW1" s="2"/>
      <c r="PMX1" s="2"/>
      <c r="PMY1" s="2"/>
      <c r="PMZ1" s="2"/>
      <c r="PNA1" s="2"/>
      <c r="PNB1" s="2"/>
      <c r="PNC1" s="2"/>
      <c r="PND1" s="2"/>
      <c r="PNE1" s="2"/>
      <c r="PNF1" s="2"/>
      <c r="PNG1" s="2"/>
      <c r="PNH1" s="2"/>
      <c r="PNI1" s="2"/>
      <c r="PNJ1" s="2"/>
      <c r="PNK1" s="2"/>
      <c r="PNL1" s="2"/>
      <c r="PNM1" s="2"/>
      <c r="PNN1" s="2"/>
      <c r="PNO1" s="2"/>
      <c r="PNP1" s="2"/>
      <c r="PNQ1" s="2"/>
      <c r="PNR1" s="2"/>
      <c r="PNS1" s="2"/>
      <c r="PNT1" s="2"/>
      <c r="PNU1" s="2"/>
      <c r="PNV1" s="2"/>
      <c r="PNW1" s="2"/>
      <c r="PNX1" s="2"/>
      <c r="PNY1" s="2"/>
      <c r="PNZ1" s="2"/>
      <c r="POA1" s="2"/>
      <c r="POB1" s="2"/>
      <c r="POC1" s="2"/>
      <c r="POD1" s="2"/>
      <c r="POE1" s="2"/>
      <c r="POF1" s="2"/>
      <c r="POG1" s="2"/>
      <c r="POH1" s="2"/>
      <c r="POI1" s="2"/>
      <c r="POJ1" s="2"/>
      <c r="POK1" s="2"/>
      <c r="POL1" s="2"/>
      <c r="POM1" s="2"/>
      <c r="PON1" s="2"/>
      <c r="POO1" s="2"/>
      <c r="POP1" s="2"/>
      <c r="POQ1" s="2"/>
      <c r="POR1" s="2"/>
      <c r="POS1" s="2"/>
      <c r="POT1" s="2"/>
      <c r="POU1" s="2"/>
      <c r="POV1" s="2"/>
      <c r="POW1" s="2"/>
      <c r="POX1" s="2"/>
      <c r="POY1" s="2"/>
      <c r="POZ1" s="2"/>
      <c r="PPA1" s="2"/>
      <c r="PPB1" s="2"/>
      <c r="PPC1" s="2"/>
      <c r="PPD1" s="2"/>
      <c r="PPE1" s="2"/>
      <c r="PPF1" s="2"/>
      <c r="PPG1" s="2"/>
      <c r="PPH1" s="2"/>
      <c r="PPI1" s="2"/>
      <c r="PPJ1" s="2"/>
      <c r="PPK1" s="2"/>
      <c r="PPL1" s="2"/>
      <c r="PPM1" s="2"/>
      <c r="PPN1" s="2"/>
      <c r="PPO1" s="2"/>
      <c r="PPP1" s="2"/>
      <c r="PPQ1" s="2"/>
      <c r="PPR1" s="2"/>
      <c r="PPS1" s="2"/>
      <c r="PPT1" s="2"/>
      <c r="PPU1" s="2"/>
      <c r="PPV1" s="2"/>
      <c r="PPW1" s="2"/>
      <c r="PPX1" s="2"/>
      <c r="PPY1" s="2"/>
      <c r="PPZ1" s="2"/>
      <c r="PQA1" s="2"/>
      <c r="PQB1" s="2"/>
      <c r="PQC1" s="2"/>
      <c r="PQD1" s="2"/>
      <c r="PQE1" s="2"/>
      <c r="PQF1" s="2"/>
      <c r="PQG1" s="2"/>
      <c r="PQH1" s="2"/>
      <c r="PQI1" s="2"/>
      <c r="PQJ1" s="2"/>
      <c r="PQK1" s="2"/>
      <c r="PQL1" s="2"/>
      <c r="PQM1" s="2"/>
      <c r="PQN1" s="2"/>
      <c r="PQO1" s="2"/>
      <c r="PQP1" s="2"/>
      <c r="PQQ1" s="2"/>
      <c r="PQR1" s="2"/>
      <c r="PQS1" s="2"/>
      <c r="PQT1" s="2"/>
      <c r="PQU1" s="2"/>
      <c r="PQV1" s="2"/>
      <c r="PQW1" s="2"/>
      <c r="PQX1" s="2"/>
      <c r="PQY1" s="2"/>
      <c r="PQZ1" s="2"/>
      <c r="PRA1" s="2"/>
      <c r="PRB1" s="2"/>
      <c r="PRC1" s="2"/>
      <c r="PRD1" s="2"/>
      <c r="PRE1" s="2"/>
      <c r="PRF1" s="2"/>
      <c r="PRG1" s="2"/>
      <c r="PRH1" s="2"/>
      <c r="PRI1" s="2"/>
      <c r="PRJ1" s="2"/>
      <c r="PRK1" s="2"/>
      <c r="PRL1" s="2"/>
      <c r="PRM1" s="2"/>
      <c r="PRN1" s="2"/>
      <c r="PRO1" s="2"/>
      <c r="PRP1" s="2"/>
      <c r="PRQ1" s="2"/>
      <c r="PRR1" s="2"/>
      <c r="PRS1" s="2"/>
      <c r="PRT1" s="2"/>
      <c r="PRU1" s="2"/>
      <c r="PRV1" s="2"/>
      <c r="PRW1" s="2"/>
      <c r="PRX1" s="2"/>
      <c r="PRY1" s="2"/>
      <c r="PRZ1" s="2"/>
      <c r="PSA1" s="2"/>
      <c r="PSB1" s="2"/>
      <c r="PSC1" s="2"/>
      <c r="PSD1" s="2"/>
      <c r="PSE1" s="2"/>
      <c r="PSF1" s="2"/>
      <c r="PSG1" s="2"/>
      <c r="PSH1" s="2"/>
      <c r="PSI1" s="2"/>
      <c r="PSJ1" s="2"/>
      <c r="PSK1" s="2"/>
      <c r="PSL1" s="2"/>
      <c r="PSM1" s="2"/>
      <c r="PSN1" s="2"/>
      <c r="PSO1" s="2"/>
      <c r="PSP1" s="2"/>
      <c r="PSQ1" s="2"/>
      <c r="PSR1" s="2"/>
      <c r="PSS1" s="2"/>
      <c r="PST1" s="2"/>
      <c r="PSU1" s="2"/>
      <c r="PSV1" s="2"/>
      <c r="PSW1" s="2"/>
      <c r="PSX1" s="2"/>
      <c r="PSY1" s="2"/>
      <c r="PSZ1" s="2"/>
      <c r="PTA1" s="2"/>
      <c r="PTB1" s="2"/>
      <c r="PTC1" s="2"/>
      <c r="PTD1" s="2"/>
      <c r="PTE1" s="2"/>
      <c r="PTF1" s="2"/>
      <c r="PTG1" s="2"/>
      <c r="PTH1" s="2"/>
      <c r="PTI1" s="2"/>
      <c r="PTJ1" s="2"/>
      <c r="PTK1" s="2"/>
      <c r="PTL1" s="2"/>
      <c r="PTM1" s="2"/>
      <c r="PTN1" s="2"/>
      <c r="PTO1" s="2"/>
      <c r="PTP1" s="2"/>
      <c r="PTQ1" s="2"/>
      <c r="PTR1" s="2"/>
      <c r="PTS1" s="2"/>
      <c r="PTT1" s="2"/>
      <c r="PTU1" s="2"/>
      <c r="PTV1" s="2"/>
      <c r="PTW1" s="2"/>
      <c r="PTX1" s="2"/>
      <c r="PTY1" s="2"/>
      <c r="PTZ1" s="2"/>
      <c r="PUA1" s="2"/>
      <c r="PUB1" s="2"/>
      <c r="PUC1" s="2"/>
      <c r="PUD1" s="2"/>
      <c r="PUE1" s="2"/>
      <c r="PUF1" s="2"/>
      <c r="PUG1" s="2"/>
      <c r="PUH1" s="2"/>
      <c r="PUI1" s="2"/>
      <c r="PUJ1" s="2"/>
      <c r="PUK1" s="2"/>
      <c r="PUL1" s="2"/>
      <c r="PUM1" s="2"/>
      <c r="PUN1" s="2"/>
      <c r="PUO1" s="2"/>
      <c r="PUP1" s="2"/>
      <c r="PUQ1" s="2"/>
      <c r="PUR1" s="2"/>
      <c r="PUS1" s="2"/>
      <c r="PUT1" s="2"/>
      <c r="PUU1" s="2"/>
      <c r="PUV1" s="2"/>
      <c r="PUW1" s="2"/>
      <c r="PUX1" s="2"/>
      <c r="PUY1" s="2"/>
      <c r="PUZ1" s="2"/>
      <c r="PVA1" s="2"/>
      <c r="PVB1" s="2"/>
      <c r="PVC1" s="2"/>
      <c r="PVD1" s="2"/>
      <c r="PVE1" s="2"/>
      <c r="PVF1" s="2"/>
      <c r="PVG1" s="2"/>
      <c r="PVH1" s="2"/>
      <c r="PVI1" s="2"/>
      <c r="PVJ1" s="2"/>
      <c r="PVK1" s="2"/>
      <c r="PVL1" s="2"/>
      <c r="PVM1" s="2"/>
      <c r="PVN1" s="2"/>
      <c r="PVO1" s="2"/>
      <c r="PVP1" s="2"/>
      <c r="PVQ1" s="2"/>
      <c r="PVR1" s="2"/>
      <c r="PVS1" s="2"/>
      <c r="PVT1" s="2"/>
      <c r="PVU1" s="2"/>
      <c r="PVV1" s="2"/>
      <c r="PVW1" s="2"/>
      <c r="PVX1" s="2"/>
      <c r="PVY1" s="2"/>
      <c r="PVZ1" s="2"/>
      <c r="PWA1" s="2"/>
      <c r="PWB1" s="2"/>
      <c r="PWC1" s="2"/>
      <c r="PWD1" s="2"/>
      <c r="PWE1" s="2"/>
      <c r="PWF1" s="2"/>
      <c r="PWG1" s="2"/>
      <c r="PWH1" s="2"/>
      <c r="PWI1" s="2"/>
      <c r="PWJ1" s="2"/>
      <c r="PWK1" s="2"/>
      <c r="PWL1" s="2"/>
      <c r="PWM1" s="2"/>
      <c r="PWN1" s="2"/>
      <c r="PWO1" s="2"/>
      <c r="PWP1" s="2"/>
      <c r="PWQ1" s="2"/>
      <c r="PWR1" s="2"/>
      <c r="PWS1" s="2"/>
      <c r="PWT1" s="2"/>
      <c r="PWU1" s="2"/>
      <c r="PWV1" s="2"/>
      <c r="PWW1" s="2"/>
      <c r="PWX1" s="2"/>
      <c r="PWY1" s="2"/>
      <c r="PWZ1" s="2"/>
      <c r="PXA1" s="2"/>
      <c r="PXB1" s="2"/>
      <c r="PXC1" s="2"/>
      <c r="PXD1" s="2"/>
      <c r="PXE1" s="2"/>
      <c r="PXF1" s="2"/>
      <c r="PXG1" s="2"/>
      <c r="PXH1" s="2"/>
      <c r="PXI1" s="2"/>
      <c r="PXJ1" s="2"/>
      <c r="PXK1" s="2"/>
      <c r="PXL1" s="2"/>
      <c r="PXM1" s="2"/>
      <c r="PXN1" s="2"/>
      <c r="PXO1" s="2"/>
      <c r="PXP1" s="2"/>
      <c r="PXQ1" s="2"/>
      <c r="PXR1" s="2"/>
      <c r="PXS1" s="2"/>
      <c r="PXT1" s="2"/>
      <c r="PXU1" s="2"/>
      <c r="PXV1" s="2"/>
      <c r="PXW1" s="2"/>
      <c r="PXX1" s="2"/>
      <c r="PXY1" s="2"/>
      <c r="PXZ1" s="2"/>
      <c r="PYA1" s="2"/>
      <c r="PYB1" s="2"/>
      <c r="PYC1" s="2"/>
      <c r="PYD1" s="2"/>
      <c r="PYE1" s="2"/>
      <c r="PYF1" s="2"/>
      <c r="PYG1" s="2"/>
      <c r="PYH1" s="2"/>
      <c r="PYI1" s="2"/>
      <c r="PYJ1" s="2"/>
      <c r="PYK1" s="2"/>
      <c r="PYL1" s="2"/>
      <c r="PYM1" s="2"/>
      <c r="PYN1" s="2"/>
      <c r="PYO1" s="2"/>
      <c r="PYP1" s="2"/>
      <c r="PYQ1" s="2"/>
      <c r="PYR1" s="2"/>
      <c r="PYS1" s="2"/>
      <c r="PYT1" s="2"/>
      <c r="PYU1" s="2"/>
      <c r="PYV1" s="2"/>
      <c r="PYW1" s="2"/>
      <c r="PYX1" s="2"/>
      <c r="PYY1" s="2"/>
      <c r="PYZ1" s="2"/>
      <c r="PZA1" s="2"/>
      <c r="PZB1" s="2"/>
      <c r="PZC1" s="2"/>
      <c r="PZD1" s="2"/>
      <c r="PZE1" s="2"/>
      <c r="PZF1" s="2"/>
      <c r="PZG1" s="2"/>
      <c r="PZH1" s="2"/>
      <c r="PZI1" s="2"/>
      <c r="PZJ1" s="2"/>
      <c r="PZK1" s="2"/>
      <c r="PZL1" s="2"/>
      <c r="PZM1" s="2"/>
      <c r="PZN1" s="2"/>
      <c r="PZO1" s="2"/>
      <c r="PZP1" s="2"/>
      <c r="PZQ1" s="2"/>
      <c r="PZR1" s="2"/>
      <c r="PZS1" s="2"/>
      <c r="PZT1" s="2"/>
      <c r="PZU1" s="2"/>
      <c r="PZV1" s="2"/>
      <c r="PZW1" s="2"/>
      <c r="PZX1" s="2"/>
      <c r="PZY1" s="2"/>
      <c r="PZZ1" s="2"/>
      <c r="QAA1" s="2"/>
      <c r="QAB1" s="2"/>
      <c r="QAC1" s="2"/>
      <c r="QAD1" s="2"/>
      <c r="QAE1" s="2"/>
      <c r="QAF1" s="2"/>
      <c r="QAG1" s="2"/>
      <c r="QAH1" s="2"/>
      <c r="QAI1" s="2"/>
      <c r="QAJ1" s="2"/>
      <c r="QAK1" s="2"/>
      <c r="QAL1" s="2"/>
      <c r="QAM1" s="2"/>
      <c r="QAN1" s="2"/>
      <c r="QAO1" s="2"/>
      <c r="QAP1" s="2"/>
      <c r="QAQ1" s="2"/>
      <c r="QAR1" s="2"/>
      <c r="QAS1" s="2"/>
      <c r="QAT1" s="2"/>
      <c r="QAU1" s="2"/>
      <c r="QAV1" s="2"/>
      <c r="QAW1" s="2"/>
      <c r="QAX1" s="2"/>
      <c r="QAY1" s="2"/>
      <c r="QAZ1" s="2"/>
      <c r="QBA1" s="2"/>
      <c r="QBB1" s="2"/>
      <c r="QBC1" s="2"/>
      <c r="QBD1" s="2"/>
      <c r="QBE1" s="2"/>
      <c r="QBF1" s="2"/>
      <c r="QBG1" s="2"/>
      <c r="QBH1" s="2"/>
      <c r="QBI1" s="2"/>
      <c r="QBJ1" s="2"/>
      <c r="QBK1" s="2"/>
      <c r="QBL1" s="2"/>
      <c r="QBM1" s="2"/>
      <c r="QBN1" s="2"/>
      <c r="QBO1" s="2"/>
      <c r="QBP1" s="2"/>
      <c r="QBQ1" s="2"/>
      <c r="QBR1" s="2"/>
      <c r="QBS1" s="2"/>
      <c r="QBT1" s="2"/>
      <c r="QBU1" s="2"/>
      <c r="QBV1" s="2"/>
      <c r="QBW1" s="2"/>
      <c r="QBX1" s="2"/>
      <c r="QBY1" s="2"/>
      <c r="QBZ1" s="2"/>
      <c r="QCA1" s="2"/>
      <c r="QCB1" s="2"/>
      <c r="QCC1" s="2"/>
      <c r="QCD1" s="2"/>
      <c r="QCE1" s="2"/>
      <c r="QCF1" s="2"/>
      <c r="QCG1" s="2"/>
      <c r="QCH1" s="2"/>
      <c r="QCI1" s="2"/>
      <c r="QCJ1" s="2"/>
      <c r="QCK1" s="2"/>
      <c r="QCL1" s="2"/>
      <c r="QCM1" s="2"/>
      <c r="QCN1" s="2"/>
      <c r="QCO1" s="2"/>
      <c r="QCP1" s="2"/>
      <c r="QCQ1" s="2"/>
      <c r="QCR1" s="2"/>
      <c r="QCS1" s="2"/>
      <c r="QCT1" s="2"/>
      <c r="QCU1" s="2"/>
      <c r="QCV1" s="2"/>
      <c r="QCW1" s="2"/>
      <c r="QCX1" s="2"/>
      <c r="QCY1" s="2"/>
      <c r="QCZ1" s="2"/>
      <c r="QDA1" s="2"/>
      <c r="QDB1" s="2"/>
      <c r="QDC1" s="2"/>
      <c r="QDD1" s="2"/>
      <c r="QDE1" s="2"/>
      <c r="QDF1" s="2"/>
      <c r="QDG1" s="2"/>
      <c r="QDH1" s="2"/>
      <c r="QDI1" s="2"/>
      <c r="QDJ1" s="2"/>
      <c r="QDK1" s="2"/>
      <c r="QDL1" s="2"/>
      <c r="QDM1" s="2"/>
      <c r="QDN1" s="2"/>
      <c r="QDO1" s="2"/>
      <c r="QDP1" s="2"/>
      <c r="QDQ1" s="2"/>
      <c r="QDR1" s="2"/>
      <c r="QDS1" s="2"/>
      <c r="QDT1" s="2"/>
      <c r="QDU1" s="2"/>
      <c r="QDV1" s="2"/>
      <c r="QDW1" s="2"/>
      <c r="QDX1" s="2"/>
      <c r="QDY1" s="2"/>
      <c r="QDZ1" s="2"/>
      <c r="QEA1" s="2"/>
      <c r="QEB1" s="2"/>
      <c r="QEC1" s="2"/>
      <c r="QED1" s="2"/>
      <c r="QEE1" s="2"/>
      <c r="QEF1" s="2"/>
      <c r="QEG1" s="2"/>
      <c r="QEH1" s="2"/>
      <c r="QEI1" s="2"/>
      <c r="QEJ1" s="2"/>
      <c r="QEK1" s="2"/>
      <c r="QEL1" s="2"/>
      <c r="QEM1" s="2"/>
      <c r="QEN1" s="2"/>
      <c r="QEO1" s="2"/>
      <c r="QEP1" s="2"/>
      <c r="QEQ1" s="2"/>
      <c r="QER1" s="2"/>
      <c r="QES1" s="2"/>
      <c r="QET1" s="2"/>
      <c r="QEU1" s="2"/>
      <c r="QEV1" s="2"/>
      <c r="QEW1" s="2"/>
      <c r="QEX1" s="2"/>
      <c r="QEY1" s="2"/>
      <c r="QEZ1" s="2"/>
      <c r="QFA1" s="2"/>
      <c r="QFB1" s="2"/>
      <c r="QFC1" s="2"/>
      <c r="QFD1" s="2"/>
      <c r="QFE1" s="2"/>
      <c r="QFF1" s="2"/>
      <c r="QFG1" s="2"/>
      <c r="QFH1" s="2"/>
      <c r="QFI1" s="2"/>
      <c r="QFJ1" s="2"/>
      <c r="QFK1" s="2"/>
      <c r="QFL1" s="2"/>
      <c r="QFM1" s="2"/>
      <c r="QFN1" s="2"/>
      <c r="QFO1" s="2"/>
      <c r="QFP1" s="2"/>
      <c r="QFQ1" s="2"/>
      <c r="QFR1" s="2"/>
      <c r="QFS1" s="2"/>
      <c r="QFT1" s="2"/>
      <c r="QFU1" s="2"/>
      <c r="QFV1" s="2"/>
      <c r="QFW1" s="2"/>
      <c r="QFX1" s="2"/>
      <c r="QFY1" s="2"/>
      <c r="QFZ1" s="2"/>
      <c r="QGA1" s="2"/>
      <c r="QGB1" s="2"/>
      <c r="QGC1" s="2"/>
      <c r="QGD1" s="2"/>
      <c r="QGE1" s="2"/>
      <c r="QGF1" s="2"/>
      <c r="QGG1" s="2"/>
      <c r="QGH1" s="2"/>
      <c r="QGI1" s="2"/>
      <c r="QGJ1" s="2"/>
      <c r="QGK1" s="2"/>
      <c r="QGL1" s="2"/>
      <c r="QGM1" s="2"/>
      <c r="QGN1" s="2"/>
      <c r="QGO1" s="2"/>
      <c r="QGP1" s="2"/>
      <c r="QGQ1" s="2"/>
      <c r="QGR1" s="2"/>
      <c r="QGS1" s="2"/>
      <c r="QGT1" s="2"/>
      <c r="QGU1" s="2"/>
      <c r="QGV1" s="2"/>
      <c r="QGW1" s="2"/>
      <c r="QGX1" s="2"/>
      <c r="QGY1" s="2"/>
      <c r="QGZ1" s="2"/>
      <c r="QHA1" s="2"/>
      <c r="QHB1" s="2"/>
      <c r="QHC1" s="2"/>
      <c r="QHD1" s="2"/>
      <c r="QHE1" s="2"/>
      <c r="QHF1" s="2"/>
      <c r="QHG1" s="2"/>
      <c r="QHH1" s="2"/>
      <c r="QHI1" s="2"/>
      <c r="QHJ1" s="2"/>
      <c r="QHK1" s="2"/>
      <c r="QHL1" s="2"/>
      <c r="QHM1" s="2"/>
      <c r="QHN1" s="2"/>
      <c r="QHO1" s="2"/>
      <c r="QHP1" s="2"/>
      <c r="QHQ1" s="2"/>
      <c r="QHR1" s="2"/>
      <c r="QHS1" s="2"/>
      <c r="QHT1" s="2"/>
      <c r="QHU1" s="2"/>
      <c r="QHV1" s="2"/>
      <c r="QHW1" s="2"/>
      <c r="QHX1" s="2"/>
      <c r="QHY1" s="2"/>
      <c r="QHZ1" s="2"/>
      <c r="QIA1" s="2"/>
      <c r="QIB1" s="2"/>
      <c r="QIC1" s="2"/>
      <c r="QID1" s="2"/>
      <c r="QIE1" s="2"/>
      <c r="QIF1" s="2"/>
      <c r="QIG1" s="2"/>
      <c r="QIH1" s="2"/>
      <c r="QII1" s="2"/>
      <c r="QIJ1" s="2"/>
      <c r="QIK1" s="2"/>
      <c r="QIL1" s="2"/>
      <c r="QIM1" s="2"/>
      <c r="QIN1" s="2"/>
      <c r="QIO1" s="2"/>
      <c r="QIP1" s="2"/>
      <c r="QIQ1" s="2"/>
      <c r="QIR1" s="2"/>
      <c r="QIS1" s="2"/>
      <c r="QIT1" s="2"/>
      <c r="QIU1" s="2"/>
      <c r="QIV1" s="2"/>
      <c r="QIW1" s="2"/>
      <c r="QIX1" s="2"/>
      <c r="QIY1" s="2"/>
      <c r="QIZ1" s="2"/>
      <c r="QJA1" s="2"/>
      <c r="QJB1" s="2"/>
      <c r="QJC1" s="2"/>
      <c r="QJD1" s="2"/>
      <c r="QJE1" s="2"/>
      <c r="QJF1" s="2"/>
      <c r="QJG1" s="2"/>
      <c r="QJH1" s="2"/>
      <c r="QJI1" s="2"/>
      <c r="QJJ1" s="2"/>
      <c r="QJK1" s="2"/>
      <c r="QJL1" s="2"/>
      <c r="QJM1" s="2"/>
      <c r="QJN1" s="2"/>
      <c r="QJO1" s="2"/>
      <c r="QJP1" s="2"/>
      <c r="QJQ1" s="2"/>
      <c r="QJR1" s="2"/>
      <c r="QJS1" s="2"/>
      <c r="QJT1" s="2"/>
      <c r="QJU1" s="2"/>
      <c r="QJV1" s="2"/>
      <c r="QJW1" s="2"/>
      <c r="QJX1" s="2"/>
      <c r="QJY1" s="2"/>
      <c r="QJZ1" s="2"/>
      <c r="QKA1" s="2"/>
      <c r="QKB1" s="2"/>
      <c r="QKC1" s="2"/>
      <c r="QKD1" s="2"/>
      <c r="QKE1" s="2"/>
      <c r="QKF1" s="2"/>
      <c r="QKG1" s="2"/>
      <c r="QKH1" s="2"/>
      <c r="QKI1" s="2"/>
      <c r="QKJ1" s="2"/>
      <c r="QKK1" s="2"/>
      <c r="QKL1" s="2"/>
      <c r="QKM1" s="2"/>
      <c r="QKN1" s="2"/>
      <c r="QKO1" s="2"/>
      <c r="QKP1" s="2"/>
      <c r="QKQ1" s="2"/>
      <c r="QKR1" s="2"/>
      <c r="QKS1" s="2"/>
      <c r="QKT1" s="2"/>
      <c r="QKU1" s="2"/>
      <c r="QKV1" s="2"/>
      <c r="QKW1" s="2"/>
      <c r="QKX1" s="2"/>
      <c r="QKY1" s="2"/>
      <c r="QKZ1" s="2"/>
      <c r="QLA1" s="2"/>
      <c r="QLB1" s="2"/>
      <c r="QLC1" s="2"/>
      <c r="QLD1" s="2"/>
      <c r="QLE1" s="2"/>
      <c r="QLF1" s="2"/>
      <c r="QLG1" s="2"/>
      <c r="QLH1" s="2"/>
      <c r="QLI1" s="2"/>
      <c r="QLJ1" s="2"/>
      <c r="QLK1" s="2"/>
      <c r="QLL1" s="2"/>
      <c r="QLM1" s="2"/>
      <c r="QLN1" s="2"/>
      <c r="QLO1" s="2"/>
      <c r="QLP1" s="2"/>
      <c r="QLQ1" s="2"/>
      <c r="QLR1" s="2"/>
      <c r="QLS1" s="2"/>
      <c r="QLT1" s="2"/>
      <c r="QLU1" s="2"/>
      <c r="QLV1" s="2"/>
      <c r="QLW1" s="2"/>
      <c r="QLX1" s="2"/>
      <c r="QLY1" s="2"/>
      <c r="QLZ1" s="2"/>
      <c r="QMA1" s="2"/>
      <c r="QMB1" s="2"/>
      <c r="QMC1" s="2"/>
      <c r="QMD1" s="2"/>
      <c r="QME1" s="2"/>
      <c r="QMF1" s="2"/>
      <c r="QMG1" s="2"/>
      <c r="QMH1" s="2"/>
      <c r="QMI1" s="2"/>
      <c r="QMJ1" s="2"/>
      <c r="QMK1" s="2"/>
      <c r="QML1" s="2"/>
      <c r="QMM1" s="2"/>
      <c r="QMN1" s="2"/>
      <c r="QMO1" s="2"/>
      <c r="QMP1" s="2"/>
      <c r="QMQ1" s="2"/>
      <c r="QMR1" s="2"/>
      <c r="QMS1" s="2"/>
      <c r="QMT1" s="2"/>
      <c r="QMU1" s="2"/>
      <c r="QMV1" s="2"/>
      <c r="QMW1" s="2"/>
      <c r="QMX1" s="2"/>
      <c r="QMY1" s="2"/>
      <c r="QMZ1" s="2"/>
      <c r="QNA1" s="2"/>
      <c r="QNB1" s="2"/>
      <c r="QNC1" s="2"/>
      <c r="QND1" s="2"/>
      <c r="QNE1" s="2"/>
      <c r="QNF1" s="2"/>
      <c r="QNG1" s="2"/>
      <c r="QNH1" s="2"/>
      <c r="QNI1" s="2"/>
      <c r="QNJ1" s="2"/>
      <c r="QNK1" s="2"/>
      <c r="QNL1" s="2"/>
      <c r="QNM1" s="2"/>
      <c r="QNN1" s="2"/>
      <c r="QNO1" s="2"/>
      <c r="QNP1" s="2"/>
      <c r="QNQ1" s="2"/>
      <c r="QNR1" s="2"/>
      <c r="QNS1" s="2"/>
      <c r="QNT1" s="2"/>
      <c r="QNU1" s="2"/>
      <c r="QNV1" s="2"/>
      <c r="QNW1" s="2"/>
      <c r="QNX1" s="2"/>
      <c r="QNY1" s="2"/>
      <c r="QNZ1" s="2"/>
      <c r="QOA1" s="2"/>
      <c r="QOB1" s="2"/>
      <c r="QOC1" s="2"/>
      <c r="QOD1" s="2"/>
      <c r="QOE1" s="2"/>
      <c r="QOF1" s="2"/>
      <c r="QOG1" s="2"/>
      <c r="QOH1" s="2"/>
      <c r="QOI1" s="2"/>
      <c r="QOJ1" s="2"/>
      <c r="QOK1" s="2"/>
      <c r="QOL1" s="2"/>
      <c r="QOM1" s="2"/>
      <c r="QON1" s="2"/>
      <c r="QOO1" s="2"/>
      <c r="QOP1" s="2"/>
      <c r="QOQ1" s="2"/>
      <c r="QOR1" s="2"/>
      <c r="QOS1" s="2"/>
      <c r="QOT1" s="2"/>
      <c r="QOU1" s="2"/>
      <c r="QOV1" s="2"/>
      <c r="QOW1" s="2"/>
      <c r="QOX1" s="2"/>
      <c r="QOY1" s="2"/>
      <c r="QOZ1" s="2"/>
      <c r="QPA1" s="2"/>
      <c r="QPB1" s="2"/>
      <c r="QPC1" s="2"/>
      <c r="QPD1" s="2"/>
      <c r="QPE1" s="2"/>
      <c r="QPF1" s="2"/>
      <c r="QPG1" s="2"/>
      <c r="QPH1" s="2"/>
      <c r="QPI1" s="2"/>
      <c r="QPJ1" s="2"/>
      <c r="QPK1" s="2"/>
      <c r="QPL1" s="2"/>
      <c r="QPM1" s="2"/>
      <c r="QPN1" s="2"/>
      <c r="QPO1" s="2"/>
      <c r="QPP1" s="2"/>
      <c r="QPQ1" s="2"/>
      <c r="QPR1" s="2"/>
      <c r="QPS1" s="2"/>
      <c r="QPT1" s="2"/>
      <c r="QPU1" s="2"/>
      <c r="QPV1" s="2"/>
      <c r="QPW1" s="2"/>
      <c r="QPX1" s="2"/>
      <c r="QPY1" s="2"/>
      <c r="QPZ1" s="2"/>
      <c r="QQA1" s="2"/>
      <c r="QQB1" s="2"/>
      <c r="QQC1" s="2"/>
      <c r="QQD1" s="2"/>
      <c r="QQE1" s="2"/>
      <c r="QQF1" s="2"/>
      <c r="QQG1" s="2"/>
      <c r="QQH1" s="2"/>
      <c r="QQI1" s="2"/>
      <c r="QQJ1" s="2"/>
      <c r="QQK1" s="2"/>
      <c r="QQL1" s="2"/>
      <c r="QQM1" s="2"/>
      <c r="QQN1" s="2"/>
      <c r="QQO1" s="2"/>
      <c r="QQP1" s="2"/>
      <c r="QQQ1" s="2"/>
      <c r="QQR1" s="2"/>
      <c r="QQS1" s="2"/>
      <c r="QQT1" s="2"/>
      <c r="QQU1" s="2"/>
      <c r="QQV1" s="2"/>
      <c r="QQW1" s="2"/>
      <c r="QQX1" s="2"/>
      <c r="QQY1" s="2"/>
      <c r="QQZ1" s="2"/>
      <c r="QRA1" s="2"/>
      <c r="QRB1" s="2"/>
      <c r="QRC1" s="2"/>
      <c r="QRD1" s="2"/>
      <c r="QRE1" s="2"/>
      <c r="QRF1" s="2"/>
      <c r="QRG1" s="2"/>
      <c r="QRH1" s="2"/>
      <c r="QRI1" s="2"/>
      <c r="QRJ1" s="2"/>
      <c r="QRK1" s="2"/>
      <c r="QRL1" s="2"/>
      <c r="QRM1" s="2"/>
      <c r="QRN1" s="2"/>
      <c r="QRO1" s="2"/>
      <c r="QRP1" s="2"/>
      <c r="QRQ1" s="2"/>
      <c r="QRR1" s="2"/>
      <c r="QRS1" s="2"/>
      <c r="QRT1" s="2"/>
      <c r="QRU1" s="2"/>
      <c r="QRV1" s="2"/>
      <c r="QRW1" s="2"/>
      <c r="QRX1" s="2"/>
      <c r="QRY1" s="2"/>
      <c r="QRZ1" s="2"/>
      <c r="QSA1" s="2"/>
      <c r="QSB1" s="2"/>
      <c r="QSC1" s="2"/>
      <c r="QSD1" s="2"/>
      <c r="QSE1" s="2"/>
      <c r="QSF1" s="2"/>
      <c r="QSG1" s="2"/>
      <c r="QSH1" s="2"/>
      <c r="QSI1" s="2"/>
      <c r="QSJ1" s="2"/>
      <c r="QSK1" s="2"/>
      <c r="QSL1" s="2"/>
      <c r="QSM1" s="2"/>
      <c r="QSN1" s="2"/>
      <c r="QSO1" s="2"/>
      <c r="QSP1" s="2"/>
      <c r="QSQ1" s="2"/>
      <c r="QSR1" s="2"/>
      <c r="QSS1" s="2"/>
      <c r="QST1" s="2"/>
      <c r="QSU1" s="2"/>
      <c r="QSV1" s="2"/>
      <c r="QSW1" s="2"/>
      <c r="QSX1" s="2"/>
      <c r="QSY1" s="2"/>
      <c r="QSZ1" s="2"/>
      <c r="QTA1" s="2"/>
      <c r="QTB1" s="2"/>
      <c r="QTC1" s="2"/>
      <c r="QTD1" s="2"/>
      <c r="QTE1" s="2"/>
      <c r="QTF1" s="2"/>
      <c r="QTG1" s="2"/>
      <c r="QTH1" s="2"/>
      <c r="QTI1" s="2"/>
      <c r="QTJ1" s="2"/>
      <c r="QTK1" s="2"/>
      <c r="QTL1" s="2"/>
      <c r="QTM1" s="2"/>
      <c r="QTN1" s="2"/>
      <c r="QTO1" s="2"/>
      <c r="QTP1" s="2"/>
      <c r="QTQ1" s="2"/>
      <c r="QTR1" s="2"/>
      <c r="QTS1" s="2"/>
      <c r="QTT1" s="2"/>
      <c r="QTU1" s="2"/>
      <c r="QTV1" s="2"/>
      <c r="QTW1" s="2"/>
      <c r="QTX1" s="2"/>
      <c r="QTY1" s="2"/>
      <c r="QTZ1" s="2"/>
      <c r="QUA1" s="2"/>
      <c r="QUB1" s="2"/>
      <c r="QUC1" s="2"/>
      <c r="QUD1" s="2"/>
      <c r="QUE1" s="2"/>
      <c r="QUF1" s="2"/>
      <c r="QUG1" s="2"/>
      <c r="QUH1" s="2"/>
      <c r="QUI1" s="2"/>
      <c r="QUJ1" s="2"/>
      <c r="QUK1" s="2"/>
      <c r="QUL1" s="2"/>
      <c r="QUM1" s="2"/>
      <c r="QUN1" s="2"/>
      <c r="QUO1" s="2"/>
      <c r="QUP1" s="2"/>
      <c r="QUQ1" s="2"/>
      <c r="QUR1" s="2"/>
      <c r="QUS1" s="2"/>
      <c r="QUT1" s="2"/>
      <c r="QUU1" s="2"/>
      <c r="QUV1" s="2"/>
      <c r="QUW1" s="2"/>
      <c r="QUX1" s="2"/>
      <c r="QUY1" s="2"/>
      <c r="QUZ1" s="2"/>
      <c r="QVA1" s="2"/>
      <c r="QVB1" s="2"/>
      <c r="QVC1" s="2"/>
      <c r="QVD1" s="2"/>
      <c r="QVE1" s="2"/>
      <c r="QVF1" s="2"/>
      <c r="QVG1" s="2"/>
      <c r="QVH1" s="2"/>
      <c r="QVI1" s="2"/>
      <c r="QVJ1" s="2"/>
      <c r="QVK1" s="2"/>
      <c r="QVL1" s="2"/>
      <c r="QVM1" s="2"/>
      <c r="QVN1" s="2"/>
      <c r="QVO1" s="2"/>
      <c r="QVP1" s="2"/>
      <c r="QVQ1" s="2"/>
      <c r="QVR1" s="2"/>
      <c r="QVS1" s="2"/>
      <c r="QVT1" s="2"/>
      <c r="QVU1" s="2"/>
      <c r="QVV1" s="2"/>
      <c r="QVW1" s="2"/>
      <c r="QVX1" s="2"/>
      <c r="QVY1" s="2"/>
      <c r="QVZ1" s="2"/>
      <c r="QWA1" s="2"/>
      <c r="QWB1" s="2"/>
      <c r="QWC1" s="2"/>
      <c r="QWD1" s="2"/>
      <c r="QWE1" s="2"/>
      <c r="QWF1" s="2"/>
      <c r="QWG1" s="2"/>
      <c r="QWH1" s="2"/>
      <c r="QWI1" s="2"/>
      <c r="QWJ1" s="2"/>
      <c r="QWK1" s="2"/>
      <c r="QWL1" s="2"/>
      <c r="QWM1" s="2"/>
      <c r="QWN1" s="2"/>
      <c r="QWO1" s="2"/>
      <c r="QWP1" s="2"/>
      <c r="QWQ1" s="2"/>
      <c r="QWR1" s="2"/>
      <c r="QWS1" s="2"/>
      <c r="QWT1" s="2"/>
      <c r="QWU1" s="2"/>
      <c r="QWV1" s="2"/>
      <c r="QWW1" s="2"/>
      <c r="QWX1" s="2"/>
      <c r="QWY1" s="2"/>
      <c r="QWZ1" s="2"/>
      <c r="QXA1" s="2"/>
      <c r="QXB1" s="2"/>
      <c r="QXC1" s="2"/>
      <c r="QXD1" s="2"/>
      <c r="QXE1" s="2"/>
      <c r="QXF1" s="2"/>
      <c r="QXG1" s="2"/>
      <c r="QXH1" s="2"/>
      <c r="QXI1" s="2"/>
      <c r="QXJ1" s="2"/>
      <c r="QXK1" s="2"/>
      <c r="QXL1" s="2"/>
      <c r="QXM1" s="2"/>
      <c r="QXN1" s="2"/>
      <c r="QXO1" s="2"/>
      <c r="QXP1" s="2"/>
      <c r="QXQ1" s="2"/>
      <c r="QXR1" s="2"/>
      <c r="QXS1" s="2"/>
      <c r="QXT1" s="2"/>
      <c r="QXU1" s="2"/>
      <c r="QXV1" s="2"/>
      <c r="QXW1" s="2"/>
      <c r="QXX1" s="2"/>
      <c r="QXY1" s="2"/>
      <c r="QXZ1" s="2"/>
      <c r="QYA1" s="2"/>
      <c r="QYB1" s="2"/>
      <c r="QYC1" s="2"/>
      <c r="QYD1" s="2"/>
      <c r="QYE1" s="2"/>
      <c r="QYF1" s="2"/>
      <c r="QYG1" s="2"/>
      <c r="QYH1" s="2"/>
      <c r="QYI1" s="2"/>
      <c r="QYJ1" s="2"/>
      <c r="QYK1" s="2"/>
      <c r="QYL1" s="2"/>
      <c r="QYM1" s="2"/>
      <c r="QYN1" s="2"/>
      <c r="QYO1" s="2"/>
      <c r="QYP1" s="2"/>
      <c r="QYQ1" s="2"/>
      <c r="QYR1" s="2"/>
      <c r="QYS1" s="2"/>
      <c r="QYT1" s="2"/>
      <c r="QYU1" s="2"/>
      <c r="QYV1" s="2"/>
      <c r="QYW1" s="2"/>
      <c r="QYX1" s="2"/>
      <c r="QYY1" s="2"/>
      <c r="QYZ1" s="2"/>
      <c r="QZA1" s="2"/>
      <c r="QZB1" s="2"/>
      <c r="QZC1" s="2"/>
      <c r="QZD1" s="2"/>
      <c r="QZE1" s="2"/>
      <c r="QZF1" s="2"/>
      <c r="QZG1" s="2"/>
      <c r="QZH1" s="2"/>
      <c r="QZI1" s="2"/>
      <c r="QZJ1" s="2"/>
      <c r="QZK1" s="2"/>
      <c r="QZL1" s="2"/>
      <c r="QZM1" s="2"/>
      <c r="QZN1" s="2"/>
      <c r="QZO1" s="2"/>
      <c r="QZP1" s="2"/>
      <c r="QZQ1" s="2"/>
      <c r="QZR1" s="2"/>
      <c r="QZS1" s="2"/>
      <c r="QZT1" s="2"/>
      <c r="QZU1" s="2"/>
      <c r="QZV1" s="2"/>
      <c r="QZW1" s="2"/>
      <c r="QZX1" s="2"/>
      <c r="QZY1" s="2"/>
      <c r="QZZ1" s="2"/>
      <c r="RAA1" s="2"/>
      <c r="RAB1" s="2"/>
      <c r="RAC1" s="2"/>
      <c r="RAD1" s="2"/>
      <c r="RAE1" s="2"/>
      <c r="RAF1" s="2"/>
      <c r="RAG1" s="2"/>
      <c r="RAH1" s="2"/>
      <c r="RAI1" s="2"/>
      <c r="RAJ1" s="2"/>
      <c r="RAK1" s="2"/>
      <c r="RAL1" s="2"/>
      <c r="RAM1" s="2"/>
      <c r="RAN1" s="2"/>
      <c r="RAO1" s="2"/>
      <c r="RAP1" s="2"/>
      <c r="RAQ1" s="2"/>
      <c r="RAR1" s="2"/>
      <c r="RAS1" s="2"/>
      <c r="RAT1" s="2"/>
      <c r="RAU1" s="2"/>
      <c r="RAV1" s="2"/>
      <c r="RAW1" s="2"/>
      <c r="RAX1" s="2"/>
      <c r="RAY1" s="2"/>
      <c r="RAZ1" s="2"/>
      <c r="RBA1" s="2"/>
      <c r="RBB1" s="2"/>
      <c r="RBC1" s="2"/>
      <c r="RBD1" s="2"/>
      <c r="RBE1" s="2"/>
      <c r="RBF1" s="2"/>
      <c r="RBG1" s="2"/>
      <c r="RBH1" s="2"/>
      <c r="RBI1" s="2"/>
      <c r="RBJ1" s="2"/>
      <c r="RBK1" s="2"/>
      <c r="RBL1" s="2"/>
      <c r="RBM1" s="2"/>
      <c r="RBN1" s="2"/>
      <c r="RBO1" s="2"/>
      <c r="RBP1" s="2"/>
      <c r="RBQ1" s="2"/>
      <c r="RBR1" s="2"/>
      <c r="RBS1" s="2"/>
      <c r="RBT1" s="2"/>
      <c r="RBU1" s="2"/>
      <c r="RBV1" s="2"/>
      <c r="RBW1" s="2"/>
      <c r="RBX1" s="2"/>
      <c r="RBY1" s="2"/>
      <c r="RBZ1" s="2"/>
      <c r="RCA1" s="2"/>
      <c r="RCB1" s="2"/>
      <c r="RCC1" s="2"/>
      <c r="RCD1" s="2"/>
      <c r="RCE1" s="2"/>
      <c r="RCF1" s="2"/>
      <c r="RCG1" s="2"/>
      <c r="RCH1" s="2"/>
      <c r="RCI1" s="2"/>
      <c r="RCJ1" s="2"/>
      <c r="RCK1" s="2"/>
      <c r="RCL1" s="2"/>
      <c r="RCM1" s="2"/>
      <c r="RCN1" s="2"/>
      <c r="RCO1" s="2"/>
      <c r="RCP1" s="2"/>
      <c r="RCQ1" s="2"/>
      <c r="RCR1" s="2"/>
      <c r="RCS1" s="2"/>
      <c r="RCT1" s="2"/>
      <c r="RCU1" s="2"/>
      <c r="RCV1" s="2"/>
      <c r="RCW1" s="2"/>
      <c r="RCX1" s="2"/>
      <c r="RCY1" s="2"/>
      <c r="RCZ1" s="2"/>
      <c r="RDA1" s="2"/>
      <c r="RDB1" s="2"/>
      <c r="RDC1" s="2"/>
      <c r="RDD1" s="2"/>
      <c r="RDE1" s="2"/>
      <c r="RDF1" s="2"/>
      <c r="RDG1" s="2"/>
      <c r="RDH1" s="2"/>
      <c r="RDI1" s="2"/>
      <c r="RDJ1" s="2"/>
      <c r="RDK1" s="2"/>
      <c r="RDL1" s="2"/>
      <c r="RDM1" s="2"/>
      <c r="RDN1" s="2"/>
      <c r="RDO1" s="2"/>
      <c r="RDP1" s="2"/>
      <c r="RDQ1" s="2"/>
      <c r="RDR1" s="2"/>
      <c r="RDS1" s="2"/>
      <c r="RDT1" s="2"/>
      <c r="RDU1" s="2"/>
      <c r="RDV1" s="2"/>
      <c r="RDW1" s="2"/>
      <c r="RDX1" s="2"/>
      <c r="RDY1" s="2"/>
      <c r="RDZ1" s="2"/>
      <c r="REA1" s="2"/>
      <c r="REB1" s="2"/>
      <c r="REC1" s="2"/>
      <c r="RED1" s="2"/>
      <c r="REE1" s="2"/>
      <c r="REF1" s="2"/>
      <c r="REG1" s="2"/>
      <c r="REH1" s="2"/>
      <c r="REI1" s="2"/>
      <c r="REJ1" s="2"/>
      <c r="REK1" s="2"/>
      <c r="REL1" s="2"/>
      <c r="REM1" s="2"/>
      <c r="REN1" s="2"/>
      <c r="REO1" s="2"/>
      <c r="REP1" s="2"/>
      <c r="REQ1" s="2"/>
      <c r="RER1" s="2"/>
      <c r="RES1" s="2"/>
      <c r="RET1" s="2"/>
      <c r="REU1" s="2"/>
      <c r="REV1" s="2"/>
      <c r="REW1" s="2"/>
      <c r="REX1" s="2"/>
      <c r="REY1" s="2"/>
      <c r="REZ1" s="2"/>
      <c r="RFA1" s="2"/>
      <c r="RFB1" s="2"/>
      <c r="RFC1" s="2"/>
      <c r="RFD1" s="2"/>
      <c r="RFE1" s="2"/>
      <c r="RFF1" s="2"/>
      <c r="RFG1" s="2"/>
      <c r="RFH1" s="2"/>
      <c r="RFI1" s="2"/>
      <c r="RFJ1" s="2"/>
      <c r="RFK1" s="2"/>
      <c r="RFL1" s="2"/>
      <c r="RFM1" s="2"/>
      <c r="RFN1" s="2"/>
      <c r="RFO1" s="2"/>
      <c r="RFP1" s="2"/>
      <c r="RFQ1" s="2"/>
      <c r="RFR1" s="2"/>
      <c r="RFS1" s="2"/>
      <c r="RFT1" s="2"/>
      <c r="RFU1" s="2"/>
      <c r="RFV1" s="2"/>
      <c r="RFW1" s="2"/>
      <c r="RFX1" s="2"/>
      <c r="RFY1" s="2"/>
      <c r="RFZ1" s="2"/>
      <c r="RGA1" s="2"/>
      <c r="RGB1" s="2"/>
      <c r="RGC1" s="2"/>
      <c r="RGD1" s="2"/>
      <c r="RGE1" s="2"/>
      <c r="RGF1" s="2"/>
      <c r="RGG1" s="2"/>
      <c r="RGH1" s="2"/>
      <c r="RGI1" s="2"/>
      <c r="RGJ1" s="2"/>
      <c r="RGK1" s="2"/>
      <c r="RGL1" s="2"/>
      <c r="RGM1" s="2"/>
      <c r="RGN1" s="2"/>
      <c r="RGO1" s="2"/>
      <c r="RGP1" s="2"/>
      <c r="RGQ1" s="2"/>
      <c r="RGR1" s="2"/>
      <c r="RGS1" s="2"/>
      <c r="RGT1" s="2"/>
      <c r="RGU1" s="2"/>
      <c r="RGV1" s="2"/>
      <c r="RGW1" s="2"/>
      <c r="RGX1" s="2"/>
      <c r="RGY1" s="2"/>
      <c r="RGZ1" s="2"/>
      <c r="RHA1" s="2"/>
      <c r="RHB1" s="2"/>
      <c r="RHC1" s="2"/>
      <c r="RHD1" s="2"/>
      <c r="RHE1" s="2"/>
      <c r="RHF1" s="2"/>
      <c r="RHG1" s="2"/>
      <c r="RHH1" s="2"/>
      <c r="RHI1" s="2"/>
      <c r="RHJ1" s="2"/>
      <c r="RHK1" s="2"/>
      <c r="RHL1" s="2"/>
      <c r="RHM1" s="2"/>
      <c r="RHN1" s="2"/>
      <c r="RHO1" s="2"/>
      <c r="RHP1" s="2"/>
      <c r="RHQ1" s="2"/>
      <c r="RHR1" s="2"/>
      <c r="RHS1" s="2"/>
      <c r="RHT1" s="2"/>
      <c r="RHU1" s="2"/>
      <c r="RHV1" s="2"/>
      <c r="RHW1" s="2"/>
      <c r="RHX1" s="2"/>
      <c r="RHY1" s="2"/>
      <c r="RHZ1" s="2"/>
      <c r="RIA1" s="2"/>
      <c r="RIB1" s="2"/>
      <c r="RIC1" s="2"/>
      <c r="RID1" s="2"/>
      <c r="RIE1" s="2"/>
      <c r="RIF1" s="2"/>
      <c r="RIG1" s="2"/>
      <c r="RIH1" s="2"/>
      <c r="RII1" s="2"/>
      <c r="RIJ1" s="2"/>
      <c r="RIK1" s="2"/>
      <c r="RIL1" s="2"/>
      <c r="RIM1" s="2"/>
      <c r="RIN1" s="2"/>
      <c r="RIO1" s="2"/>
      <c r="RIP1" s="2"/>
      <c r="RIQ1" s="2"/>
      <c r="RIR1" s="2"/>
      <c r="RIS1" s="2"/>
      <c r="RIT1" s="2"/>
      <c r="RIU1" s="2"/>
      <c r="RIV1" s="2"/>
      <c r="RIW1" s="2"/>
      <c r="RIX1" s="2"/>
      <c r="RIY1" s="2"/>
      <c r="RIZ1" s="2"/>
      <c r="RJA1" s="2"/>
      <c r="RJB1" s="2"/>
      <c r="RJC1" s="2"/>
      <c r="RJD1" s="2"/>
      <c r="RJE1" s="2"/>
      <c r="RJF1" s="2"/>
      <c r="RJG1" s="2"/>
      <c r="RJH1" s="2"/>
      <c r="RJI1" s="2"/>
      <c r="RJJ1" s="2"/>
      <c r="RJK1" s="2"/>
      <c r="RJL1" s="2"/>
      <c r="RJM1" s="2"/>
      <c r="RJN1" s="2"/>
      <c r="RJO1" s="2"/>
      <c r="RJP1" s="2"/>
      <c r="RJQ1" s="2"/>
      <c r="RJR1" s="2"/>
      <c r="RJS1" s="2"/>
      <c r="RJT1" s="2"/>
      <c r="RJU1" s="2"/>
      <c r="RJV1" s="2"/>
      <c r="RJW1" s="2"/>
      <c r="RJX1" s="2"/>
      <c r="RJY1" s="2"/>
      <c r="RJZ1" s="2"/>
      <c r="RKA1" s="2"/>
      <c r="RKB1" s="2"/>
      <c r="RKC1" s="2"/>
      <c r="RKD1" s="2"/>
      <c r="RKE1" s="2"/>
      <c r="RKF1" s="2"/>
      <c r="RKG1" s="2"/>
      <c r="RKH1" s="2"/>
      <c r="RKI1" s="2"/>
      <c r="RKJ1" s="2"/>
      <c r="RKK1" s="2"/>
      <c r="RKL1" s="2"/>
      <c r="RKM1" s="2"/>
      <c r="RKN1" s="2"/>
      <c r="RKO1" s="2"/>
      <c r="RKP1" s="2"/>
      <c r="RKQ1" s="2"/>
      <c r="RKR1" s="2"/>
      <c r="RKS1" s="2"/>
      <c r="RKT1" s="2"/>
      <c r="RKU1" s="2"/>
      <c r="RKV1" s="2"/>
      <c r="RKW1" s="2"/>
      <c r="RKX1" s="2"/>
      <c r="RKY1" s="2"/>
      <c r="RKZ1" s="2"/>
      <c r="RLA1" s="2"/>
      <c r="RLB1" s="2"/>
      <c r="RLC1" s="2"/>
      <c r="RLD1" s="2"/>
      <c r="RLE1" s="2"/>
      <c r="RLF1" s="2"/>
      <c r="RLG1" s="2"/>
      <c r="RLH1" s="2"/>
      <c r="RLI1" s="2"/>
      <c r="RLJ1" s="2"/>
      <c r="RLK1" s="2"/>
      <c r="RLL1" s="2"/>
      <c r="RLM1" s="2"/>
      <c r="RLN1" s="2"/>
      <c r="RLO1" s="2"/>
      <c r="RLP1" s="2"/>
      <c r="RLQ1" s="2"/>
      <c r="RLR1" s="2"/>
      <c r="RLS1" s="2"/>
      <c r="RLT1" s="2"/>
      <c r="RLU1" s="2"/>
      <c r="RLV1" s="2"/>
      <c r="RLW1" s="2"/>
      <c r="RLX1" s="2"/>
      <c r="RLY1" s="2"/>
      <c r="RLZ1" s="2"/>
      <c r="RMA1" s="2"/>
      <c r="RMB1" s="2"/>
      <c r="RMC1" s="2"/>
      <c r="RMD1" s="2"/>
      <c r="RME1" s="2"/>
      <c r="RMF1" s="2"/>
      <c r="RMG1" s="2"/>
      <c r="RMH1" s="2"/>
      <c r="RMI1" s="2"/>
      <c r="RMJ1" s="2"/>
      <c r="RMK1" s="2"/>
      <c r="RML1" s="2"/>
      <c r="RMM1" s="2"/>
      <c r="RMN1" s="2"/>
      <c r="RMO1" s="2"/>
      <c r="RMP1" s="2"/>
      <c r="RMQ1" s="2"/>
      <c r="RMR1" s="2"/>
      <c r="RMS1" s="2"/>
      <c r="RMT1" s="2"/>
      <c r="RMU1" s="2"/>
      <c r="RMV1" s="2"/>
      <c r="RMW1" s="2"/>
      <c r="RMX1" s="2"/>
      <c r="RMY1" s="2"/>
      <c r="RMZ1" s="2"/>
      <c r="RNA1" s="2"/>
      <c r="RNB1" s="2"/>
      <c r="RNC1" s="2"/>
      <c r="RND1" s="2"/>
      <c r="RNE1" s="2"/>
      <c r="RNF1" s="2"/>
      <c r="RNG1" s="2"/>
      <c r="RNH1" s="2"/>
      <c r="RNI1" s="2"/>
      <c r="RNJ1" s="2"/>
      <c r="RNK1" s="2"/>
      <c r="RNL1" s="2"/>
      <c r="RNM1" s="2"/>
      <c r="RNN1" s="2"/>
      <c r="RNO1" s="2"/>
      <c r="RNP1" s="2"/>
      <c r="RNQ1" s="2"/>
      <c r="RNR1" s="2"/>
      <c r="RNS1" s="2"/>
      <c r="RNT1" s="2"/>
      <c r="RNU1" s="2"/>
      <c r="RNV1" s="2"/>
      <c r="RNW1" s="2"/>
      <c r="RNX1" s="2"/>
      <c r="RNY1" s="2"/>
      <c r="RNZ1" s="2"/>
      <c r="ROA1" s="2"/>
      <c r="ROB1" s="2"/>
      <c r="ROC1" s="2"/>
      <c r="ROD1" s="2"/>
      <c r="ROE1" s="2"/>
      <c r="ROF1" s="2"/>
      <c r="ROG1" s="2"/>
      <c r="ROH1" s="2"/>
      <c r="ROI1" s="2"/>
      <c r="ROJ1" s="2"/>
      <c r="ROK1" s="2"/>
      <c r="ROL1" s="2"/>
      <c r="ROM1" s="2"/>
      <c r="RON1" s="2"/>
      <c r="ROO1" s="2"/>
      <c r="ROP1" s="2"/>
      <c r="ROQ1" s="2"/>
      <c r="ROR1" s="2"/>
      <c r="ROS1" s="2"/>
      <c r="ROT1" s="2"/>
      <c r="ROU1" s="2"/>
      <c r="ROV1" s="2"/>
      <c r="ROW1" s="2"/>
      <c r="ROX1" s="2"/>
      <c r="ROY1" s="2"/>
      <c r="ROZ1" s="2"/>
      <c r="RPA1" s="2"/>
      <c r="RPB1" s="2"/>
      <c r="RPC1" s="2"/>
      <c r="RPD1" s="2"/>
      <c r="RPE1" s="2"/>
      <c r="RPF1" s="2"/>
      <c r="RPG1" s="2"/>
      <c r="RPH1" s="2"/>
      <c r="RPI1" s="2"/>
      <c r="RPJ1" s="2"/>
      <c r="RPK1" s="2"/>
      <c r="RPL1" s="2"/>
      <c r="RPM1" s="2"/>
      <c r="RPN1" s="2"/>
      <c r="RPO1" s="2"/>
      <c r="RPP1" s="2"/>
      <c r="RPQ1" s="2"/>
      <c r="RPR1" s="2"/>
      <c r="RPS1" s="2"/>
      <c r="RPT1" s="2"/>
      <c r="RPU1" s="2"/>
      <c r="RPV1" s="2"/>
      <c r="RPW1" s="2"/>
      <c r="RPX1" s="2"/>
      <c r="RPY1" s="2"/>
      <c r="RPZ1" s="2"/>
      <c r="RQA1" s="2"/>
      <c r="RQB1" s="2"/>
      <c r="RQC1" s="2"/>
      <c r="RQD1" s="2"/>
      <c r="RQE1" s="2"/>
      <c r="RQF1" s="2"/>
      <c r="RQG1" s="2"/>
      <c r="RQH1" s="2"/>
      <c r="RQI1" s="2"/>
      <c r="RQJ1" s="2"/>
      <c r="RQK1" s="2"/>
      <c r="RQL1" s="2"/>
      <c r="RQM1" s="2"/>
      <c r="RQN1" s="2"/>
      <c r="RQO1" s="2"/>
      <c r="RQP1" s="2"/>
      <c r="RQQ1" s="2"/>
      <c r="RQR1" s="2"/>
      <c r="RQS1" s="2"/>
      <c r="RQT1" s="2"/>
      <c r="RQU1" s="2"/>
      <c r="RQV1" s="2"/>
      <c r="RQW1" s="2"/>
      <c r="RQX1" s="2"/>
      <c r="RQY1" s="2"/>
      <c r="RQZ1" s="2"/>
      <c r="RRA1" s="2"/>
      <c r="RRB1" s="2"/>
      <c r="RRC1" s="2"/>
      <c r="RRD1" s="2"/>
      <c r="RRE1" s="2"/>
      <c r="RRF1" s="2"/>
      <c r="RRG1" s="2"/>
      <c r="RRH1" s="2"/>
      <c r="RRI1" s="2"/>
      <c r="RRJ1" s="2"/>
      <c r="RRK1" s="2"/>
      <c r="RRL1" s="2"/>
      <c r="RRM1" s="2"/>
      <c r="RRN1" s="2"/>
      <c r="RRO1" s="2"/>
      <c r="RRP1" s="2"/>
      <c r="RRQ1" s="2"/>
      <c r="RRR1" s="2"/>
      <c r="RRS1" s="2"/>
      <c r="RRT1" s="2"/>
      <c r="RRU1" s="2"/>
      <c r="RRV1" s="2"/>
      <c r="RRW1" s="2"/>
      <c r="RRX1" s="2"/>
      <c r="RRY1" s="2"/>
      <c r="RRZ1" s="2"/>
      <c r="RSA1" s="2"/>
      <c r="RSB1" s="2"/>
      <c r="RSC1" s="2"/>
      <c r="RSD1" s="2"/>
      <c r="RSE1" s="2"/>
      <c r="RSF1" s="2"/>
      <c r="RSG1" s="2"/>
      <c r="RSH1" s="2"/>
      <c r="RSI1" s="2"/>
      <c r="RSJ1" s="2"/>
      <c r="RSK1" s="2"/>
      <c r="RSL1" s="2"/>
      <c r="RSM1" s="2"/>
      <c r="RSN1" s="2"/>
      <c r="RSO1" s="2"/>
      <c r="RSP1" s="2"/>
      <c r="RSQ1" s="2"/>
      <c r="RSR1" s="2"/>
      <c r="RSS1" s="2"/>
      <c r="RST1" s="2"/>
      <c r="RSU1" s="2"/>
      <c r="RSV1" s="2"/>
      <c r="RSW1" s="2"/>
      <c r="RSX1" s="2"/>
      <c r="RSY1" s="2"/>
      <c r="RSZ1" s="2"/>
      <c r="RTA1" s="2"/>
      <c r="RTB1" s="2"/>
      <c r="RTC1" s="2"/>
      <c r="RTD1" s="2"/>
      <c r="RTE1" s="2"/>
      <c r="RTF1" s="2"/>
      <c r="RTG1" s="2"/>
      <c r="RTH1" s="2"/>
      <c r="RTI1" s="2"/>
      <c r="RTJ1" s="2"/>
      <c r="RTK1" s="2"/>
      <c r="RTL1" s="2"/>
      <c r="RTM1" s="2"/>
      <c r="RTN1" s="2"/>
      <c r="RTO1" s="2"/>
      <c r="RTP1" s="2"/>
      <c r="RTQ1" s="2"/>
      <c r="RTR1" s="2"/>
      <c r="RTS1" s="2"/>
      <c r="RTT1" s="2"/>
      <c r="RTU1" s="2"/>
      <c r="RTV1" s="2"/>
      <c r="RTW1" s="2"/>
      <c r="RTX1" s="2"/>
      <c r="RTY1" s="2"/>
      <c r="RTZ1" s="2"/>
      <c r="RUA1" s="2"/>
      <c r="RUB1" s="2"/>
      <c r="RUC1" s="2"/>
      <c r="RUD1" s="2"/>
      <c r="RUE1" s="2"/>
      <c r="RUF1" s="2"/>
      <c r="RUG1" s="2"/>
      <c r="RUH1" s="2"/>
      <c r="RUI1" s="2"/>
      <c r="RUJ1" s="2"/>
      <c r="RUK1" s="2"/>
      <c r="RUL1" s="2"/>
      <c r="RUM1" s="2"/>
      <c r="RUN1" s="2"/>
      <c r="RUO1" s="2"/>
      <c r="RUP1" s="2"/>
      <c r="RUQ1" s="2"/>
      <c r="RUR1" s="2"/>
      <c r="RUS1" s="2"/>
      <c r="RUT1" s="2"/>
      <c r="RUU1" s="2"/>
      <c r="RUV1" s="2"/>
      <c r="RUW1" s="2"/>
      <c r="RUX1" s="2"/>
      <c r="RUY1" s="2"/>
      <c r="RUZ1" s="2"/>
      <c r="RVA1" s="2"/>
      <c r="RVB1" s="2"/>
      <c r="RVC1" s="2"/>
      <c r="RVD1" s="2"/>
      <c r="RVE1" s="2"/>
      <c r="RVF1" s="2"/>
      <c r="RVG1" s="2"/>
      <c r="RVH1" s="2"/>
      <c r="RVI1" s="2"/>
      <c r="RVJ1" s="2"/>
      <c r="RVK1" s="2"/>
      <c r="RVL1" s="2"/>
      <c r="RVM1" s="2"/>
      <c r="RVN1" s="2"/>
      <c r="RVO1" s="2"/>
      <c r="RVP1" s="2"/>
      <c r="RVQ1" s="2"/>
      <c r="RVR1" s="2"/>
      <c r="RVS1" s="2"/>
      <c r="RVT1" s="2"/>
      <c r="RVU1" s="2"/>
      <c r="RVV1" s="2"/>
      <c r="RVW1" s="2"/>
      <c r="RVX1" s="2"/>
      <c r="RVY1" s="2"/>
      <c r="RVZ1" s="2"/>
      <c r="RWA1" s="2"/>
      <c r="RWB1" s="2"/>
      <c r="RWC1" s="2"/>
      <c r="RWD1" s="2"/>
      <c r="RWE1" s="2"/>
      <c r="RWF1" s="2"/>
      <c r="RWG1" s="2"/>
      <c r="RWH1" s="2"/>
      <c r="RWI1" s="2"/>
      <c r="RWJ1" s="2"/>
      <c r="RWK1" s="2"/>
      <c r="RWL1" s="2"/>
      <c r="RWM1" s="2"/>
      <c r="RWN1" s="2"/>
      <c r="RWO1" s="2"/>
      <c r="RWP1" s="2"/>
      <c r="RWQ1" s="2"/>
      <c r="RWR1" s="2"/>
      <c r="RWS1" s="2"/>
      <c r="RWT1" s="2"/>
      <c r="RWU1" s="2"/>
      <c r="RWV1" s="2"/>
      <c r="RWW1" s="2"/>
      <c r="RWX1" s="2"/>
      <c r="RWY1" s="2"/>
      <c r="RWZ1" s="2"/>
      <c r="RXA1" s="2"/>
      <c r="RXB1" s="2"/>
      <c r="RXC1" s="2"/>
      <c r="RXD1" s="2"/>
      <c r="RXE1" s="2"/>
      <c r="RXF1" s="2"/>
      <c r="RXG1" s="2"/>
      <c r="RXH1" s="2"/>
      <c r="RXI1" s="2"/>
      <c r="RXJ1" s="2"/>
      <c r="RXK1" s="2"/>
      <c r="RXL1" s="2"/>
      <c r="RXM1" s="2"/>
      <c r="RXN1" s="2"/>
      <c r="RXO1" s="2"/>
      <c r="RXP1" s="2"/>
      <c r="RXQ1" s="2"/>
      <c r="RXR1" s="2"/>
      <c r="RXS1" s="2"/>
      <c r="RXT1" s="2"/>
      <c r="RXU1" s="2"/>
      <c r="RXV1" s="2"/>
      <c r="RXW1" s="2"/>
      <c r="RXX1" s="2"/>
      <c r="RXY1" s="2"/>
      <c r="RXZ1" s="2"/>
      <c r="RYA1" s="2"/>
      <c r="RYB1" s="2"/>
      <c r="RYC1" s="2"/>
      <c r="RYD1" s="2"/>
      <c r="RYE1" s="2"/>
      <c r="RYF1" s="2"/>
      <c r="RYG1" s="2"/>
      <c r="RYH1" s="2"/>
      <c r="RYI1" s="2"/>
      <c r="RYJ1" s="2"/>
      <c r="RYK1" s="2"/>
      <c r="RYL1" s="2"/>
      <c r="RYM1" s="2"/>
      <c r="RYN1" s="2"/>
      <c r="RYO1" s="2"/>
      <c r="RYP1" s="2"/>
      <c r="RYQ1" s="2"/>
      <c r="RYR1" s="2"/>
      <c r="RYS1" s="2"/>
      <c r="RYT1" s="2"/>
      <c r="RYU1" s="2"/>
      <c r="RYV1" s="2"/>
      <c r="RYW1" s="2"/>
      <c r="RYX1" s="2"/>
      <c r="RYY1" s="2"/>
      <c r="RYZ1" s="2"/>
      <c r="RZA1" s="2"/>
      <c r="RZB1" s="2"/>
      <c r="RZC1" s="2"/>
      <c r="RZD1" s="2"/>
      <c r="RZE1" s="2"/>
      <c r="RZF1" s="2"/>
      <c r="RZG1" s="2"/>
      <c r="RZH1" s="2"/>
      <c r="RZI1" s="2"/>
      <c r="RZJ1" s="2"/>
      <c r="RZK1" s="2"/>
      <c r="RZL1" s="2"/>
      <c r="RZM1" s="2"/>
      <c r="RZN1" s="2"/>
      <c r="RZO1" s="2"/>
      <c r="RZP1" s="2"/>
      <c r="RZQ1" s="2"/>
      <c r="RZR1" s="2"/>
      <c r="RZS1" s="2"/>
      <c r="RZT1" s="2"/>
      <c r="RZU1" s="2"/>
      <c r="RZV1" s="2"/>
      <c r="RZW1" s="2"/>
      <c r="RZX1" s="2"/>
      <c r="RZY1" s="2"/>
      <c r="RZZ1" s="2"/>
      <c r="SAA1" s="2"/>
      <c r="SAB1" s="2"/>
      <c r="SAC1" s="2"/>
      <c r="SAD1" s="2"/>
      <c r="SAE1" s="2"/>
      <c r="SAF1" s="2"/>
      <c r="SAG1" s="2"/>
      <c r="SAH1" s="2"/>
      <c r="SAI1" s="2"/>
      <c r="SAJ1" s="2"/>
      <c r="SAK1" s="2"/>
      <c r="SAL1" s="2"/>
      <c r="SAM1" s="2"/>
      <c r="SAN1" s="2"/>
      <c r="SAO1" s="2"/>
      <c r="SAP1" s="2"/>
      <c r="SAQ1" s="2"/>
      <c r="SAR1" s="2"/>
      <c r="SAS1" s="2"/>
      <c r="SAT1" s="2"/>
      <c r="SAU1" s="2"/>
      <c r="SAV1" s="2"/>
      <c r="SAW1" s="2"/>
      <c r="SAX1" s="2"/>
      <c r="SAY1" s="2"/>
      <c r="SAZ1" s="2"/>
      <c r="SBA1" s="2"/>
      <c r="SBB1" s="2"/>
      <c r="SBC1" s="2"/>
      <c r="SBD1" s="2"/>
      <c r="SBE1" s="2"/>
      <c r="SBF1" s="2"/>
      <c r="SBG1" s="2"/>
      <c r="SBH1" s="2"/>
      <c r="SBI1" s="2"/>
      <c r="SBJ1" s="2"/>
      <c r="SBK1" s="2"/>
      <c r="SBL1" s="2"/>
      <c r="SBM1" s="2"/>
      <c r="SBN1" s="2"/>
      <c r="SBO1" s="2"/>
      <c r="SBP1" s="2"/>
      <c r="SBQ1" s="2"/>
      <c r="SBR1" s="2"/>
      <c r="SBS1" s="2"/>
      <c r="SBT1" s="2"/>
      <c r="SBU1" s="2"/>
      <c r="SBV1" s="2"/>
      <c r="SBW1" s="2"/>
      <c r="SBX1" s="2"/>
      <c r="SBY1" s="2"/>
      <c r="SBZ1" s="2"/>
      <c r="SCA1" s="2"/>
      <c r="SCB1" s="2"/>
      <c r="SCC1" s="2"/>
      <c r="SCD1" s="2"/>
      <c r="SCE1" s="2"/>
      <c r="SCF1" s="2"/>
      <c r="SCG1" s="2"/>
      <c r="SCH1" s="2"/>
      <c r="SCI1" s="2"/>
      <c r="SCJ1" s="2"/>
      <c r="SCK1" s="2"/>
      <c r="SCL1" s="2"/>
      <c r="SCM1" s="2"/>
      <c r="SCN1" s="2"/>
      <c r="SCO1" s="2"/>
      <c r="SCP1" s="2"/>
      <c r="SCQ1" s="2"/>
      <c r="SCR1" s="2"/>
      <c r="SCS1" s="2"/>
      <c r="SCT1" s="2"/>
      <c r="SCU1" s="2"/>
      <c r="SCV1" s="2"/>
      <c r="SCW1" s="2"/>
      <c r="SCX1" s="2"/>
      <c r="SCY1" s="2"/>
      <c r="SCZ1" s="2"/>
      <c r="SDA1" s="2"/>
      <c r="SDB1" s="2"/>
      <c r="SDC1" s="2"/>
      <c r="SDD1" s="2"/>
      <c r="SDE1" s="2"/>
      <c r="SDF1" s="2"/>
      <c r="SDG1" s="2"/>
      <c r="SDH1" s="2"/>
      <c r="SDI1" s="2"/>
      <c r="SDJ1" s="2"/>
      <c r="SDK1" s="2"/>
      <c r="SDL1" s="2"/>
      <c r="SDM1" s="2"/>
      <c r="SDN1" s="2"/>
      <c r="SDO1" s="2"/>
      <c r="SDP1" s="2"/>
      <c r="SDQ1" s="2"/>
      <c r="SDR1" s="2"/>
      <c r="SDS1" s="2"/>
      <c r="SDT1" s="2"/>
      <c r="SDU1" s="2"/>
      <c r="SDV1" s="2"/>
      <c r="SDW1" s="2"/>
      <c r="SDX1" s="2"/>
      <c r="SDY1" s="2"/>
      <c r="SDZ1" s="2"/>
      <c r="SEA1" s="2"/>
      <c r="SEB1" s="2"/>
      <c r="SEC1" s="2"/>
      <c r="SED1" s="2"/>
      <c r="SEE1" s="2"/>
      <c r="SEF1" s="2"/>
      <c r="SEG1" s="2"/>
      <c r="SEH1" s="2"/>
      <c r="SEI1" s="2"/>
      <c r="SEJ1" s="2"/>
      <c r="SEK1" s="2"/>
      <c r="SEL1" s="2"/>
      <c r="SEM1" s="2"/>
      <c r="SEN1" s="2"/>
      <c r="SEO1" s="2"/>
      <c r="SEP1" s="2"/>
      <c r="SEQ1" s="2"/>
      <c r="SER1" s="2"/>
      <c r="SES1" s="2"/>
      <c r="SET1" s="2"/>
      <c r="SEU1" s="2"/>
      <c r="SEV1" s="2"/>
      <c r="SEW1" s="2"/>
      <c r="SEX1" s="2"/>
      <c r="SEY1" s="2"/>
      <c r="SEZ1" s="2"/>
      <c r="SFA1" s="2"/>
      <c r="SFB1" s="2"/>
      <c r="SFC1" s="2"/>
      <c r="SFD1" s="2"/>
      <c r="SFE1" s="2"/>
      <c r="SFF1" s="2"/>
      <c r="SFG1" s="2"/>
      <c r="SFH1" s="2"/>
      <c r="SFI1" s="2"/>
      <c r="SFJ1" s="2"/>
      <c r="SFK1" s="2"/>
      <c r="SFL1" s="2"/>
      <c r="SFM1" s="2"/>
      <c r="SFN1" s="2"/>
      <c r="SFO1" s="2"/>
      <c r="SFP1" s="2"/>
      <c r="SFQ1" s="2"/>
      <c r="SFR1" s="2"/>
      <c r="SFS1" s="2"/>
      <c r="SFT1" s="2"/>
      <c r="SFU1" s="2"/>
      <c r="SFV1" s="2"/>
      <c r="SFW1" s="2"/>
      <c r="SFX1" s="2"/>
      <c r="SFY1" s="2"/>
      <c r="SFZ1" s="2"/>
      <c r="SGA1" s="2"/>
      <c r="SGB1" s="2"/>
      <c r="SGC1" s="2"/>
      <c r="SGD1" s="2"/>
      <c r="SGE1" s="2"/>
      <c r="SGF1" s="2"/>
      <c r="SGG1" s="2"/>
      <c r="SGH1" s="2"/>
      <c r="SGI1" s="2"/>
      <c r="SGJ1" s="2"/>
      <c r="SGK1" s="2"/>
      <c r="SGL1" s="2"/>
      <c r="SGM1" s="2"/>
      <c r="SGN1" s="2"/>
      <c r="SGO1" s="2"/>
      <c r="SGP1" s="2"/>
      <c r="SGQ1" s="2"/>
      <c r="SGR1" s="2"/>
      <c r="SGS1" s="2"/>
      <c r="SGT1" s="2"/>
      <c r="SGU1" s="2"/>
      <c r="SGV1" s="2"/>
      <c r="SGW1" s="2"/>
      <c r="SGX1" s="2"/>
      <c r="SGY1" s="2"/>
      <c r="SGZ1" s="2"/>
      <c r="SHA1" s="2"/>
      <c r="SHB1" s="2"/>
      <c r="SHC1" s="2"/>
      <c r="SHD1" s="2"/>
      <c r="SHE1" s="2"/>
      <c r="SHF1" s="2"/>
      <c r="SHG1" s="2"/>
      <c r="SHH1" s="2"/>
      <c r="SHI1" s="2"/>
      <c r="SHJ1" s="2"/>
      <c r="SHK1" s="2"/>
      <c r="SHL1" s="2"/>
      <c r="SHM1" s="2"/>
      <c r="SHN1" s="2"/>
      <c r="SHO1" s="2"/>
      <c r="SHP1" s="2"/>
      <c r="SHQ1" s="2"/>
      <c r="SHR1" s="2"/>
      <c r="SHS1" s="2"/>
      <c r="SHT1" s="2"/>
      <c r="SHU1" s="2"/>
      <c r="SHV1" s="2"/>
      <c r="SHW1" s="2"/>
      <c r="SHX1" s="2"/>
      <c r="SHY1" s="2"/>
      <c r="SHZ1" s="2"/>
      <c r="SIA1" s="2"/>
      <c r="SIB1" s="2"/>
      <c r="SIC1" s="2"/>
      <c r="SID1" s="2"/>
      <c r="SIE1" s="2"/>
      <c r="SIF1" s="2"/>
      <c r="SIG1" s="2"/>
      <c r="SIH1" s="2"/>
      <c r="SII1" s="2"/>
      <c r="SIJ1" s="2"/>
      <c r="SIK1" s="2"/>
      <c r="SIL1" s="2"/>
      <c r="SIM1" s="2"/>
      <c r="SIN1" s="2"/>
      <c r="SIO1" s="2"/>
      <c r="SIP1" s="2"/>
      <c r="SIQ1" s="2"/>
      <c r="SIR1" s="2"/>
      <c r="SIS1" s="2"/>
      <c r="SIT1" s="2"/>
      <c r="SIU1" s="2"/>
      <c r="SIV1" s="2"/>
      <c r="SIW1" s="2"/>
      <c r="SIX1" s="2"/>
      <c r="SIY1" s="2"/>
      <c r="SIZ1" s="2"/>
      <c r="SJA1" s="2"/>
      <c r="SJB1" s="2"/>
      <c r="SJC1" s="2"/>
      <c r="SJD1" s="2"/>
      <c r="SJE1" s="2"/>
      <c r="SJF1" s="2"/>
      <c r="SJG1" s="2"/>
      <c r="SJH1" s="2"/>
      <c r="SJI1" s="2"/>
      <c r="SJJ1" s="2"/>
      <c r="SJK1" s="2"/>
      <c r="SJL1" s="2"/>
      <c r="SJM1" s="2"/>
      <c r="SJN1" s="2"/>
      <c r="SJO1" s="2"/>
      <c r="SJP1" s="2"/>
      <c r="SJQ1" s="2"/>
      <c r="SJR1" s="2"/>
      <c r="SJS1" s="2"/>
      <c r="SJT1" s="2"/>
      <c r="SJU1" s="2"/>
      <c r="SJV1" s="2"/>
      <c r="SJW1" s="2"/>
      <c r="SJX1" s="2"/>
      <c r="SJY1" s="2"/>
      <c r="SJZ1" s="2"/>
      <c r="SKA1" s="2"/>
      <c r="SKB1" s="2"/>
      <c r="SKC1" s="2"/>
      <c r="SKD1" s="2"/>
      <c r="SKE1" s="2"/>
      <c r="SKF1" s="2"/>
      <c r="SKG1" s="2"/>
      <c r="SKH1" s="2"/>
      <c r="SKI1" s="2"/>
      <c r="SKJ1" s="2"/>
      <c r="SKK1" s="2"/>
      <c r="SKL1" s="2"/>
      <c r="SKM1" s="2"/>
      <c r="SKN1" s="2"/>
      <c r="SKO1" s="2"/>
      <c r="SKP1" s="2"/>
      <c r="SKQ1" s="2"/>
      <c r="SKR1" s="2"/>
      <c r="SKS1" s="2"/>
      <c r="SKT1" s="2"/>
      <c r="SKU1" s="2"/>
      <c r="SKV1" s="2"/>
      <c r="SKW1" s="2"/>
      <c r="SKX1" s="2"/>
      <c r="SKY1" s="2"/>
      <c r="SKZ1" s="2"/>
      <c r="SLA1" s="2"/>
      <c r="SLB1" s="2"/>
      <c r="SLC1" s="2"/>
      <c r="SLD1" s="2"/>
      <c r="SLE1" s="2"/>
      <c r="SLF1" s="2"/>
      <c r="SLG1" s="2"/>
      <c r="SLH1" s="2"/>
      <c r="SLI1" s="2"/>
      <c r="SLJ1" s="2"/>
      <c r="SLK1" s="2"/>
      <c r="SLL1" s="2"/>
      <c r="SLM1" s="2"/>
      <c r="SLN1" s="2"/>
      <c r="SLO1" s="2"/>
      <c r="SLP1" s="2"/>
      <c r="SLQ1" s="2"/>
      <c r="SLR1" s="2"/>
      <c r="SLS1" s="2"/>
      <c r="SLT1" s="2"/>
      <c r="SLU1" s="2"/>
      <c r="SLV1" s="2"/>
      <c r="SLW1" s="2"/>
      <c r="SLX1" s="2"/>
      <c r="SLY1" s="2"/>
      <c r="SLZ1" s="2"/>
      <c r="SMA1" s="2"/>
      <c r="SMB1" s="2"/>
      <c r="SMC1" s="2"/>
      <c r="SMD1" s="2"/>
      <c r="SME1" s="2"/>
      <c r="SMF1" s="2"/>
      <c r="SMG1" s="2"/>
      <c r="SMH1" s="2"/>
      <c r="SMI1" s="2"/>
      <c r="SMJ1" s="2"/>
      <c r="SMK1" s="2"/>
      <c r="SML1" s="2"/>
      <c r="SMM1" s="2"/>
      <c r="SMN1" s="2"/>
      <c r="SMO1" s="2"/>
      <c r="SMP1" s="2"/>
      <c r="SMQ1" s="2"/>
      <c r="SMR1" s="2"/>
      <c r="SMS1" s="2"/>
      <c r="SMT1" s="2"/>
      <c r="SMU1" s="2"/>
      <c r="SMV1" s="2"/>
      <c r="SMW1" s="2"/>
      <c r="SMX1" s="2"/>
      <c r="SMY1" s="2"/>
      <c r="SMZ1" s="2"/>
      <c r="SNA1" s="2"/>
      <c r="SNB1" s="2"/>
      <c r="SNC1" s="2"/>
      <c r="SND1" s="2"/>
      <c r="SNE1" s="2"/>
      <c r="SNF1" s="2"/>
      <c r="SNG1" s="2"/>
      <c r="SNH1" s="2"/>
      <c r="SNI1" s="2"/>
      <c r="SNJ1" s="2"/>
      <c r="SNK1" s="2"/>
      <c r="SNL1" s="2"/>
      <c r="SNM1" s="2"/>
      <c r="SNN1" s="2"/>
      <c r="SNO1" s="2"/>
      <c r="SNP1" s="2"/>
      <c r="SNQ1" s="2"/>
      <c r="SNR1" s="2"/>
      <c r="SNS1" s="2"/>
      <c r="SNT1" s="2"/>
      <c r="SNU1" s="2"/>
      <c r="SNV1" s="2"/>
      <c r="SNW1" s="2"/>
      <c r="SNX1" s="2"/>
      <c r="SNY1" s="2"/>
      <c r="SNZ1" s="2"/>
      <c r="SOA1" s="2"/>
      <c r="SOB1" s="2"/>
      <c r="SOC1" s="2"/>
      <c r="SOD1" s="2"/>
      <c r="SOE1" s="2"/>
      <c r="SOF1" s="2"/>
      <c r="SOG1" s="2"/>
      <c r="SOH1" s="2"/>
      <c r="SOI1" s="2"/>
      <c r="SOJ1" s="2"/>
      <c r="SOK1" s="2"/>
      <c r="SOL1" s="2"/>
      <c r="SOM1" s="2"/>
      <c r="SON1" s="2"/>
      <c r="SOO1" s="2"/>
      <c r="SOP1" s="2"/>
      <c r="SOQ1" s="2"/>
      <c r="SOR1" s="2"/>
      <c r="SOS1" s="2"/>
      <c r="SOT1" s="2"/>
      <c r="SOU1" s="2"/>
      <c r="SOV1" s="2"/>
      <c r="SOW1" s="2"/>
      <c r="SOX1" s="2"/>
      <c r="SOY1" s="2"/>
      <c r="SOZ1" s="2"/>
      <c r="SPA1" s="2"/>
      <c r="SPB1" s="2"/>
      <c r="SPC1" s="2"/>
      <c r="SPD1" s="2"/>
      <c r="SPE1" s="2"/>
      <c r="SPF1" s="2"/>
      <c r="SPG1" s="2"/>
      <c r="SPH1" s="2"/>
      <c r="SPI1" s="2"/>
      <c r="SPJ1" s="2"/>
      <c r="SPK1" s="2"/>
      <c r="SPL1" s="2"/>
      <c r="SPM1" s="2"/>
      <c r="SPN1" s="2"/>
      <c r="SPO1" s="2"/>
      <c r="SPP1" s="2"/>
      <c r="SPQ1" s="2"/>
      <c r="SPR1" s="2"/>
      <c r="SPS1" s="2"/>
      <c r="SPT1" s="2"/>
      <c r="SPU1" s="2"/>
      <c r="SPV1" s="2"/>
      <c r="SPW1" s="2"/>
      <c r="SPX1" s="2"/>
      <c r="SPY1" s="2"/>
      <c r="SPZ1" s="2"/>
      <c r="SQA1" s="2"/>
      <c r="SQB1" s="2"/>
      <c r="SQC1" s="2"/>
      <c r="SQD1" s="2"/>
      <c r="SQE1" s="2"/>
      <c r="SQF1" s="2"/>
      <c r="SQG1" s="2"/>
      <c r="SQH1" s="2"/>
      <c r="SQI1" s="2"/>
      <c r="SQJ1" s="2"/>
      <c r="SQK1" s="2"/>
      <c r="SQL1" s="2"/>
      <c r="SQM1" s="2"/>
      <c r="SQN1" s="2"/>
      <c r="SQO1" s="2"/>
      <c r="SQP1" s="2"/>
      <c r="SQQ1" s="2"/>
      <c r="SQR1" s="2"/>
      <c r="SQS1" s="2"/>
      <c r="SQT1" s="2"/>
      <c r="SQU1" s="2"/>
      <c r="SQV1" s="2"/>
      <c r="SQW1" s="2"/>
      <c r="SQX1" s="2"/>
      <c r="SQY1" s="2"/>
      <c r="SQZ1" s="2"/>
      <c r="SRA1" s="2"/>
      <c r="SRB1" s="2"/>
      <c r="SRC1" s="2"/>
      <c r="SRD1" s="2"/>
      <c r="SRE1" s="2"/>
      <c r="SRF1" s="2"/>
      <c r="SRG1" s="2"/>
      <c r="SRH1" s="2"/>
      <c r="SRI1" s="2"/>
      <c r="SRJ1" s="2"/>
      <c r="SRK1" s="2"/>
      <c r="SRL1" s="2"/>
      <c r="SRM1" s="2"/>
      <c r="SRN1" s="2"/>
      <c r="SRO1" s="2"/>
      <c r="SRP1" s="2"/>
      <c r="SRQ1" s="2"/>
      <c r="SRR1" s="2"/>
      <c r="SRS1" s="2"/>
      <c r="SRT1" s="2"/>
      <c r="SRU1" s="2"/>
      <c r="SRV1" s="2"/>
      <c r="SRW1" s="2"/>
      <c r="SRX1" s="2"/>
      <c r="SRY1" s="2"/>
      <c r="SRZ1" s="2"/>
      <c r="SSA1" s="2"/>
      <c r="SSB1" s="2"/>
      <c r="SSC1" s="2"/>
      <c r="SSD1" s="2"/>
      <c r="SSE1" s="2"/>
      <c r="SSF1" s="2"/>
      <c r="SSG1" s="2"/>
      <c r="SSH1" s="2"/>
      <c r="SSI1" s="2"/>
      <c r="SSJ1" s="2"/>
      <c r="SSK1" s="2"/>
      <c r="SSL1" s="2"/>
      <c r="SSM1" s="2"/>
      <c r="SSN1" s="2"/>
      <c r="SSO1" s="2"/>
      <c r="SSP1" s="2"/>
      <c r="SSQ1" s="2"/>
      <c r="SSR1" s="2"/>
      <c r="SSS1" s="2"/>
      <c r="SST1" s="2"/>
      <c r="SSU1" s="2"/>
      <c r="SSV1" s="2"/>
      <c r="SSW1" s="2"/>
      <c r="SSX1" s="2"/>
      <c r="SSY1" s="2"/>
      <c r="SSZ1" s="2"/>
      <c r="STA1" s="2"/>
      <c r="STB1" s="2"/>
      <c r="STC1" s="2"/>
      <c r="STD1" s="2"/>
      <c r="STE1" s="2"/>
      <c r="STF1" s="2"/>
      <c r="STG1" s="2"/>
      <c r="STH1" s="2"/>
      <c r="STI1" s="2"/>
      <c r="STJ1" s="2"/>
      <c r="STK1" s="2"/>
      <c r="STL1" s="2"/>
      <c r="STM1" s="2"/>
      <c r="STN1" s="2"/>
      <c r="STO1" s="2"/>
      <c r="STP1" s="2"/>
      <c r="STQ1" s="2"/>
      <c r="STR1" s="2"/>
      <c r="STS1" s="2"/>
      <c r="STT1" s="2"/>
      <c r="STU1" s="2"/>
      <c r="STV1" s="2"/>
      <c r="STW1" s="2"/>
      <c r="STX1" s="2"/>
      <c r="STY1" s="2"/>
      <c r="STZ1" s="2"/>
      <c r="SUA1" s="2"/>
      <c r="SUB1" s="2"/>
      <c r="SUC1" s="2"/>
      <c r="SUD1" s="2"/>
      <c r="SUE1" s="2"/>
      <c r="SUF1" s="2"/>
      <c r="SUG1" s="2"/>
      <c r="SUH1" s="2"/>
      <c r="SUI1" s="2"/>
      <c r="SUJ1" s="2"/>
      <c r="SUK1" s="2"/>
      <c r="SUL1" s="2"/>
      <c r="SUM1" s="2"/>
      <c r="SUN1" s="2"/>
      <c r="SUO1" s="2"/>
      <c r="SUP1" s="2"/>
      <c r="SUQ1" s="2"/>
      <c r="SUR1" s="2"/>
      <c r="SUS1" s="2"/>
      <c r="SUT1" s="2"/>
      <c r="SUU1" s="2"/>
      <c r="SUV1" s="2"/>
      <c r="SUW1" s="2"/>
      <c r="SUX1" s="2"/>
      <c r="SUY1" s="2"/>
      <c r="SUZ1" s="2"/>
      <c r="SVA1" s="2"/>
      <c r="SVB1" s="2"/>
      <c r="SVC1" s="2"/>
      <c r="SVD1" s="2"/>
      <c r="SVE1" s="2"/>
      <c r="SVF1" s="2"/>
      <c r="SVG1" s="2"/>
      <c r="SVH1" s="2"/>
      <c r="SVI1" s="2"/>
      <c r="SVJ1" s="2"/>
      <c r="SVK1" s="2"/>
      <c r="SVL1" s="2"/>
      <c r="SVM1" s="2"/>
      <c r="SVN1" s="2"/>
      <c r="SVO1" s="2"/>
      <c r="SVP1" s="2"/>
      <c r="SVQ1" s="2"/>
      <c r="SVR1" s="2"/>
      <c r="SVS1" s="2"/>
      <c r="SVT1" s="2"/>
      <c r="SVU1" s="2"/>
      <c r="SVV1" s="2"/>
      <c r="SVW1" s="2"/>
      <c r="SVX1" s="2"/>
      <c r="SVY1" s="2"/>
      <c r="SVZ1" s="2"/>
      <c r="SWA1" s="2"/>
      <c r="SWB1" s="2"/>
      <c r="SWC1" s="2"/>
      <c r="SWD1" s="2"/>
      <c r="SWE1" s="2"/>
      <c r="SWF1" s="2"/>
      <c r="SWG1" s="2"/>
      <c r="SWH1" s="2"/>
      <c r="SWI1" s="2"/>
      <c r="SWJ1" s="2"/>
      <c r="SWK1" s="2"/>
      <c r="SWL1" s="2"/>
      <c r="SWM1" s="2"/>
      <c r="SWN1" s="2"/>
      <c r="SWO1" s="2"/>
      <c r="SWP1" s="2"/>
      <c r="SWQ1" s="2"/>
      <c r="SWR1" s="2"/>
      <c r="SWS1" s="2"/>
      <c r="SWT1" s="2"/>
      <c r="SWU1" s="2"/>
      <c r="SWV1" s="2"/>
      <c r="SWW1" s="2"/>
      <c r="SWX1" s="2"/>
      <c r="SWY1" s="2"/>
      <c r="SWZ1" s="2"/>
      <c r="SXA1" s="2"/>
      <c r="SXB1" s="2"/>
      <c r="SXC1" s="2"/>
      <c r="SXD1" s="2"/>
      <c r="SXE1" s="2"/>
      <c r="SXF1" s="2"/>
      <c r="SXG1" s="2"/>
      <c r="SXH1" s="2"/>
      <c r="SXI1" s="2"/>
      <c r="SXJ1" s="2"/>
      <c r="SXK1" s="2"/>
      <c r="SXL1" s="2"/>
      <c r="SXM1" s="2"/>
      <c r="SXN1" s="2"/>
      <c r="SXO1" s="2"/>
      <c r="SXP1" s="2"/>
      <c r="SXQ1" s="2"/>
      <c r="SXR1" s="2"/>
      <c r="SXS1" s="2"/>
      <c r="SXT1" s="2"/>
      <c r="SXU1" s="2"/>
      <c r="SXV1" s="2"/>
      <c r="SXW1" s="2"/>
      <c r="SXX1" s="2"/>
      <c r="SXY1" s="2"/>
      <c r="SXZ1" s="2"/>
      <c r="SYA1" s="2"/>
      <c r="SYB1" s="2"/>
      <c r="SYC1" s="2"/>
      <c r="SYD1" s="2"/>
      <c r="SYE1" s="2"/>
      <c r="SYF1" s="2"/>
      <c r="SYG1" s="2"/>
      <c r="SYH1" s="2"/>
      <c r="SYI1" s="2"/>
      <c r="SYJ1" s="2"/>
      <c r="SYK1" s="2"/>
      <c r="SYL1" s="2"/>
      <c r="SYM1" s="2"/>
      <c r="SYN1" s="2"/>
      <c r="SYO1" s="2"/>
      <c r="SYP1" s="2"/>
      <c r="SYQ1" s="2"/>
      <c r="SYR1" s="2"/>
      <c r="SYS1" s="2"/>
      <c r="SYT1" s="2"/>
      <c r="SYU1" s="2"/>
      <c r="SYV1" s="2"/>
      <c r="SYW1" s="2"/>
      <c r="SYX1" s="2"/>
      <c r="SYY1" s="2"/>
      <c r="SYZ1" s="2"/>
      <c r="SZA1" s="2"/>
      <c r="SZB1" s="2"/>
      <c r="SZC1" s="2"/>
      <c r="SZD1" s="2"/>
      <c r="SZE1" s="2"/>
      <c r="SZF1" s="2"/>
      <c r="SZG1" s="2"/>
      <c r="SZH1" s="2"/>
      <c r="SZI1" s="2"/>
      <c r="SZJ1" s="2"/>
      <c r="SZK1" s="2"/>
      <c r="SZL1" s="2"/>
      <c r="SZM1" s="2"/>
      <c r="SZN1" s="2"/>
      <c r="SZO1" s="2"/>
      <c r="SZP1" s="2"/>
      <c r="SZQ1" s="2"/>
      <c r="SZR1" s="2"/>
      <c r="SZS1" s="2"/>
      <c r="SZT1" s="2"/>
      <c r="SZU1" s="2"/>
      <c r="SZV1" s="2"/>
      <c r="SZW1" s="2"/>
      <c r="SZX1" s="2"/>
      <c r="SZY1" s="2"/>
      <c r="SZZ1" s="2"/>
      <c r="TAA1" s="2"/>
      <c r="TAB1" s="2"/>
      <c r="TAC1" s="2"/>
      <c r="TAD1" s="2"/>
      <c r="TAE1" s="2"/>
      <c r="TAF1" s="2"/>
      <c r="TAG1" s="2"/>
      <c r="TAH1" s="2"/>
      <c r="TAI1" s="2"/>
      <c r="TAJ1" s="2"/>
      <c r="TAK1" s="2"/>
      <c r="TAL1" s="2"/>
      <c r="TAM1" s="2"/>
      <c r="TAN1" s="2"/>
      <c r="TAO1" s="2"/>
      <c r="TAP1" s="2"/>
      <c r="TAQ1" s="2"/>
      <c r="TAR1" s="2"/>
      <c r="TAS1" s="2"/>
      <c r="TAT1" s="2"/>
      <c r="TAU1" s="2"/>
      <c r="TAV1" s="2"/>
      <c r="TAW1" s="2"/>
      <c r="TAX1" s="2"/>
      <c r="TAY1" s="2"/>
      <c r="TAZ1" s="2"/>
      <c r="TBA1" s="2"/>
      <c r="TBB1" s="2"/>
      <c r="TBC1" s="2"/>
      <c r="TBD1" s="2"/>
      <c r="TBE1" s="2"/>
      <c r="TBF1" s="2"/>
      <c r="TBG1" s="2"/>
      <c r="TBH1" s="2"/>
      <c r="TBI1" s="2"/>
      <c r="TBJ1" s="2"/>
      <c r="TBK1" s="2"/>
      <c r="TBL1" s="2"/>
      <c r="TBM1" s="2"/>
      <c r="TBN1" s="2"/>
      <c r="TBO1" s="2"/>
      <c r="TBP1" s="2"/>
      <c r="TBQ1" s="2"/>
      <c r="TBR1" s="2"/>
      <c r="TBS1" s="2"/>
      <c r="TBT1" s="2"/>
      <c r="TBU1" s="2"/>
      <c r="TBV1" s="2"/>
      <c r="TBW1" s="2"/>
      <c r="TBX1" s="2"/>
      <c r="TBY1" s="2"/>
      <c r="TBZ1" s="2"/>
      <c r="TCA1" s="2"/>
      <c r="TCB1" s="2"/>
      <c r="TCC1" s="2"/>
      <c r="TCD1" s="2"/>
      <c r="TCE1" s="2"/>
      <c r="TCF1" s="2"/>
      <c r="TCG1" s="2"/>
      <c r="TCH1" s="2"/>
      <c r="TCI1" s="2"/>
      <c r="TCJ1" s="2"/>
      <c r="TCK1" s="2"/>
      <c r="TCL1" s="2"/>
      <c r="TCM1" s="2"/>
      <c r="TCN1" s="2"/>
      <c r="TCO1" s="2"/>
      <c r="TCP1" s="2"/>
      <c r="TCQ1" s="2"/>
      <c r="TCR1" s="2"/>
      <c r="TCS1" s="2"/>
      <c r="TCT1" s="2"/>
      <c r="TCU1" s="2"/>
      <c r="TCV1" s="2"/>
      <c r="TCW1" s="2"/>
      <c r="TCX1" s="2"/>
      <c r="TCY1" s="2"/>
      <c r="TCZ1" s="2"/>
      <c r="TDA1" s="2"/>
      <c r="TDB1" s="2"/>
      <c r="TDC1" s="2"/>
      <c r="TDD1" s="2"/>
      <c r="TDE1" s="2"/>
      <c r="TDF1" s="2"/>
      <c r="TDG1" s="2"/>
      <c r="TDH1" s="2"/>
      <c r="TDI1" s="2"/>
      <c r="TDJ1" s="2"/>
      <c r="TDK1" s="2"/>
      <c r="TDL1" s="2"/>
      <c r="TDM1" s="2"/>
      <c r="TDN1" s="2"/>
      <c r="TDO1" s="2"/>
      <c r="TDP1" s="2"/>
      <c r="TDQ1" s="2"/>
      <c r="TDR1" s="2"/>
      <c r="TDS1" s="2"/>
      <c r="TDT1" s="2"/>
      <c r="TDU1" s="2"/>
      <c r="TDV1" s="2"/>
      <c r="TDW1" s="2"/>
      <c r="TDX1" s="2"/>
      <c r="TDY1" s="2"/>
      <c r="TDZ1" s="2"/>
      <c r="TEA1" s="2"/>
      <c r="TEB1" s="2"/>
      <c r="TEC1" s="2"/>
      <c r="TED1" s="2"/>
      <c r="TEE1" s="2"/>
      <c r="TEF1" s="2"/>
      <c r="TEG1" s="2"/>
      <c r="TEH1" s="2"/>
      <c r="TEI1" s="2"/>
      <c r="TEJ1" s="2"/>
      <c r="TEK1" s="2"/>
      <c r="TEL1" s="2"/>
      <c r="TEM1" s="2"/>
      <c r="TEN1" s="2"/>
      <c r="TEO1" s="2"/>
      <c r="TEP1" s="2"/>
      <c r="TEQ1" s="2"/>
      <c r="TER1" s="2"/>
      <c r="TES1" s="2"/>
      <c r="TET1" s="2"/>
      <c r="TEU1" s="2"/>
      <c r="TEV1" s="2"/>
      <c r="TEW1" s="2"/>
      <c r="TEX1" s="2"/>
      <c r="TEY1" s="2"/>
      <c r="TEZ1" s="2"/>
      <c r="TFA1" s="2"/>
      <c r="TFB1" s="2"/>
      <c r="TFC1" s="2"/>
      <c r="TFD1" s="2"/>
      <c r="TFE1" s="2"/>
      <c r="TFF1" s="2"/>
      <c r="TFG1" s="2"/>
      <c r="TFH1" s="2"/>
      <c r="TFI1" s="2"/>
      <c r="TFJ1" s="2"/>
      <c r="TFK1" s="2"/>
      <c r="TFL1" s="2"/>
      <c r="TFM1" s="2"/>
      <c r="TFN1" s="2"/>
      <c r="TFO1" s="2"/>
      <c r="TFP1" s="2"/>
      <c r="TFQ1" s="2"/>
      <c r="TFR1" s="2"/>
      <c r="TFS1" s="2"/>
      <c r="TFT1" s="2"/>
      <c r="TFU1" s="2"/>
      <c r="TFV1" s="2"/>
      <c r="TFW1" s="2"/>
      <c r="TFX1" s="2"/>
      <c r="TFY1" s="2"/>
      <c r="TFZ1" s="2"/>
      <c r="TGA1" s="2"/>
      <c r="TGB1" s="2"/>
      <c r="TGC1" s="2"/>
      <c r="TGD1" s="2"/>
      <c r="TGE1" s="2"/>
      <c r="TGF1" s="2"/>
      <c r="TGG1" s="2"/>
      <c r="TGH1" s="2"/>
      <c r="TGI1" s="2"/>
      <c r="TGJ1" s="2"/>
      <c r="TGK1" s="2"/>
      <c r="TGL1" s="2"/>
      <c r="TGM1" s="2"/>
      <c r="TGN1" s="2"/>
      <c r="TGO1" s="2"/>
      <c r="TGP1" s="2"/>
      <c r="TGQ1" s="2"/>
      <c r="TGR1" s="2"/>
      <c r="TGS1" s="2"/>
      <c r="TGT1" s="2"/>
      <c r="TGU1" s="2"/>
      <c r="TGV1" s="2"/>
      <c r="TGW1" s="2"/>
      <c r="TGX1" s="2"/>
      <c r="TGY1" s="2"/>
      <c r="TGZ1" s="2"/>
      <c r="THA1" s="2"/>
      <c r="THB1" s="2"/>
      <c r="THC1" s="2"/>
      <c r="THD1" s="2"/>
      <c r="THE1" s="2"/>
      <c r="THF1" s="2"/>
      <c r="THG1" s="2"/>
      <c r="THH1" s="2"/>
      <c r="THI1" s="2"/>
      <c r="THJ1" s="2"/>
      <c r="THK1" s="2"/>
      <c r="THL1" s="2"/>
      <c r="THM1" s="2"/>
      <c r="THN1" s="2"/>
      <c r="THO1" s="2"/>
      <c r="THP1" s="2"/>
      <c r="THQ1" s="2"/>
      <c r="THR1" s="2"/>
      <c r="THS1" s="2"/>
      <c r="THT1" s="2"/>
      <c r="THU1" s="2"/>
      <c r="THV1" s="2"/>
      <c r="THW1" s="2"/>
      <c r="THX1" s="2"/>
      <c r="THY1" s="2"/>
      <c r="THZ1" s="2"/>
      <c r="TIA1" s="2"/>
      <c r="TIB1" s="2"/>
      <c r="TIC1" s="2"/>
      <c r="TID1" s="2"/>
      <c r="TIE1" s="2"/>
      <c r="TIF1" s="2"/>
      <c r="TIG1" s="2"/>
      <c r="TIH1" s="2"/>
      <c r="TII1" s="2"/>
      <c r="TIJ1" s="2"/>
      <c r="TIK1" s="2"/>
      <c r="TIL1" s="2"/>
      <c r="TIM1" s="2"/>
      <c r="TIN1" s="2"/>
      <c r="TIO1" s="2"/>
      <c r="TIP1" s="2"/>
      <c r="TIQ1" s="2"/>
      <c r="TIR1" s="2"/>
      <c r="TIS1" s="2"/>
      <c r="TIT1" s="2"/>
      <c r="TIU1" s="2"/>
      <c r="TIV1" s="2"/>
      <c r="TIW1" s="2"/>
      <c r="TIX1" s="2"/>
      <c r="TIY1" s="2"/>
      <c r="TIZ1" s="2"/>
      <c r="TJA1" s="2"/>
      <c r="TJB1" s="2"/>
      <c r="TJC1" s="2"/>
      <c r="TJD1" s="2"/>
      <c r="TJE1" s="2"/>
      <c r="TJF1" s="2"/>
      <c r="TJG1" s="2"/>
      <c r="TJH1" s="2"/>
      <c r="TJI1" s="2"/>
      <c r="TJJ1" s="2"/>
      <c r="TJK1" s="2"/>
      <c r="TJL1" s="2"/>
      <c r="TJM1" s="2"/>
      <c r="TJN1" s="2"/>
      <c r="TJO1" s="2"/>
      <c r="TJP1" s="2"/>
      <c r="TJQ1" s="2"/>
      <c r="TJR1" s="2"/>
      <c r="TJS1" s="2"/>
      <c r="TJT1" s="2"/>
      <c r="TJU1" s="2"/>
      <c r="TJV1" s="2"/>
      <c r="TJW1" s="2"/>
      <c r="TJX1" s="2"/>
      <c r="TJY1" s="2"/>
      <c r="TJZ1" s="2"/>
      <c r="TKA1" s="2"/>
      <c r="TKB1" s="2"/>
      <c r="TKC1" s="2"/>
      <c r="TKD1" s="2"/>
      <c r="TKE1" s="2"/>
      <c r="TKF1" s="2"/>
      <c r="TKG1" s="2"/>
      <c r="TKH1" s="2"/>
      <c r="TKI1" s="2"/>
      <c r="TKJ1" s="2"/>
      <c r="TKK1" s="2"/>
      <c r="TKL1" s="2"/>
      <c r="TKM1" s="2"/>
      <c r="TKN1" s="2"/>
      <c r="TKO1" s="2"/>
      <c r="TKP1" s="2"/>
      <c r="TKQ1" s="2"/>
      <c r="TKR1" s="2"/>
      <c r="TKS1" s="2"/>
      <c r="TKT1" s="2"/>
      <c r="TKU1" s="2"/>
      <c r="TKV1" s="2"/>
      <c r="TKW1" s="2"/>
      <c r="TKX1" s="2"/>
      <c r="TKY1" s="2"/>
      <c r="TKZ1" s="2"/>
      <c r="TLA1" s="2"/>
      <c r="TLB1" s="2"/>
      <c r="TLC1" s="2"/>
      <c r="TLD1" s="2"/>
      <c r="TLE1" s="2"/>
      <c r="TLF1" s="2"/>
      <c r="TLG1" s="2"/>
      <c r="TLH1" s="2"/>
      <c r="TLI1" s="2"/>
      <c r="TLJ1" s="2"/>
      <c r="TLK1" s="2"/>
      <c r="TLL1" s="2"/>
      <c r="TLM1" s="2"/>
      <c r="TLN1" s="2"/>
      <c r="TLO1" s="2"/>
      <c r="TLP1" s="2"/>
      <c r="TLQ1" s="2"/>
      <c r="TLR1" s="2"/>
      <c r="TLS1" s="2"/>
      <c r="TLT1" s="2"/>
      <c r="TLU1" s="2"/>
      <c r="TLV1" s="2"/>
      <c r="TLW1" s="2"/>
      <c r="TLX1" s="2"/>
      <c r="TLY1" s="2"/>
      <c r="TLZ1" s="2"/>
      <c r="TMA1" s="2"/>
      <c r="TMB1" s="2"/>
      <c r="TMC1" s="2"/>
      <c r="TMD1" s="2"/>
      <c r="TME1" s="2"/>
      <c r="TMF1" s="2"/>
      <c r="TMG1" s="2"/>
      <c r="TMH1" s="2"/>
      <c r="TMI1" s="2"/>
      <c r="TMJ1" s="2"/>
      <c r="TMK1" s="2"/>
      <c r="TML1" s="2"/>
      <c r="TMM1" s="2"/>
      <c r="TMN1" s="2"/>
      <c r="TMO1" s="2"/>
      <c r="TMP1" s="2"/>
      <c r="TMQ1" s="2"/>
      <c r="TMR1" s="2"/>
      <c r="TMS1" s="2"/>
      <c r="TMT1" s="2"/>
      <c r="TMU1" s="2"/>
      <c r="TMV1" s="2"/>
      <c r="TMW1" s="2"/>
      <c r="TMX1" s="2"/>
      <c r="TMY1" s="2"/>
      <c r="TMZ1" s="2"/>
      <c r="TNA1" s="2"/>
      <c r="TNB1" s="2"/>
      <c r="TNC1" s="2"/>
      <c r="TND1" s="2"/>
      <c r="TNE1" s="2"/>
      <c r="TNF1" s="2"/>
      <c r="TNG1" s="2"/>
      <c r="TNH1" s="2"/>
      <c r="TNI1" s="2"/>
      <c r="TNJ1" s="2"/>
      <c r="TNK1" s="2"/>
      <c r="TNL1" s="2"/>
      <c r="TNM1" s="2"/>
      <c r="TNN1" s="2"/>
      <c r="TNO1" s="2"/>
      <c r="TNP1" s="2"/>
      <c r="TNQ1" s="2"/>
      <c r="TNR1" s="2"/>
      <c r="TNS1" s="2"/>
      <c r="TNT1" s="2"/>
      <c r="TNU1" s="2"/>
      <c r="TNV1" s="2"/>
      <c r="TNW1" s="2"/>
      <c r="TNX1" s="2"/>
      <c r="TNY1" s="2"/>
      <c r="TNZ1" s="2"/>
      <c r="TOA1" s="2"/>
      <c r="TOB1" s="2"/>
      <c r="TOC1" s="2"/>
      <c r="TOD1" s="2"/>
      <c r="TOE1" s="2"/>
      <c r="TOF1" s="2"/>
      <c r="TOG1" s="2"/>
      <c r="TOH1" s="2"/>
      <c r="TOI1" s="2"/>
      <c r="TOJ1" s="2"/>
      <c r="TOK1" s="2"/>
      <c r="TOL1" s="2"/>
      <c r="TOM1" s="2"/>
      <c r="TON1" s="2"/>
      <c r="TOO1" s="2"/>
      <c r="TOP1" s="2"/>
      <c r="TOQ1" s="2"/>
      <c r="TOR1" s="2"/>
      <c r="TOS1" s="2"/>
      <c r="TOT1" s="2"/>
      <c r="TOU1" s="2"/>
      <c r="TOV1" s="2"/>
      <c r="TOW1" s="2"/>
      <c r="TOX1" s="2"/>
      <c r="TOY1" s="2"/>
      <c r="TOZ1" s="2"/>
      <c r="TPA1" s="2"/>
      <c r="TPB1" s="2"/>
      <c r="TPC1" s="2"/>
      <c r="TPD1" s="2"/>
      <c r="TPE1" s="2"/>
      <c r="TPF1" s="2"/>
      <c r="TPG1" s="2"/>
      <c r="TPH1" s="2"/>
      <c r="TPI1" s="2"/>
      <c r="TPJ1" s="2"/>
      <c r="TPK1" s="2"/>
      <c r="TPL1" s="2"/>
      <c r="TPM1" s="2"/>
      <c r="TPN1" s="2"/>
      <c r="TPO1" s="2"/>
      <c r="TPP1" s="2"/>
      <c r="TPQ1" s="2"/>
      <c r="TPR1" s="2"/>
      <c r="TPS1" s="2"/>
      <c r="TPT1" s="2"/>
      <c r="TPU1" s="2"/>
      <c r="TPV1" s="2"/>
      <c r="TPW1" s="2"/>
      <c r="TPX1" s="2"/>
      <c r="TPY1" s="2"/>
      <c r="TPZ1" s="2"/>
      <c r="TQA1" s="2"/>
      <c r="TQB1" s="2"/>
      <c r="TQC1" s="2"/>
      <c r="TQD1" s="2"/>
      <c r="TQE1" s="2"/>
      <c r="TQF1" s="2"/>
      <c r="TQG1" s="2"/>
      <c r="TQH1" s="2"/>
      <c r="TQI1" s="2"/>
      <c r="TQJ1" s="2"/>
      <c r="TQK1" s="2"/>
      <c r="TQL1" s="2"/>
      <c r="TQM1" s="2"/>
      <c r="TQN1" s="2"/>
      <c r="TQO1" s="2"/>
      <c r="TQP1" s="2"/>
      <c r="TQQ1" s="2"/>
      <c r="TQR1" s="2"/>
      <c r="TQS1" s="2"/>
      <c r="TQT1" s="2"/>
      <c r="TQU1" s="2"/>
      <c r="TQV1" s="2"/>
      <c r="TQW1" s="2"/>
      <c r="TQX1" s="2"/>
      <c r="TQY1" s="2"/>
      <c r="TQZ1" s="2"/>
      <c r="TRA1" s="2"/>
      <c r="TRB1" s="2"/>
      <c r="TRC1" s="2"/>
      <c r="TRD1" s="2"/>
      <c r="TRE1" s="2"/>
      <c r="TRF1" s="2"/>
      <c r="TRG1" s="2"/>
      <c r="TRH1" s="2"/>
      <c r="TRI1" s="2"/>
      <c r="TRJ1" s="2"/>
      <c r="TRK1" s="2"/>
      <c r="TRL1" s="2"/>
      <c r="TRM1" s="2"/>
      <c r="TRN1" s="2"/>
      <c r="TRO1" s="2"/>
      <c r="TRP1" s="2"/>
      <c r="TRQ1" s="2"/>
      <c r="TRR1" s="2"/>
      <c r="TRS1" s="2"/>
      <c r="TRT1" s="2"/>
      <c r="TRU1" s="2"/>
      <c r="TRV1" s="2"/>
      <c r="TRW1" s="2"/>
      <c r="TRX1" s="2"/>
      <c r="TRY1" s="2"/>
      <c r="TRZ1" s="2"/>
      <c r="TSA1" s="2"/>
      <c r="TSB1" s="2"/>
      <c r="TSC1" s="2"/>
      <c r="TSD1" s="2"/>
      <c r="TSE1" s="2"/>
      <c r="TSF1" s="2"/>
      <c r="TSG1" s="2"/>
      <c r="TSH1" s="2"/>
      <c r="TSI1" s="2"/>
      <c r="TSJ1" s="2"/>
      <c r="TSK1" s="2"/>
      <c r="TSL1" s="2"/>
      <c r="TSM1" s="2"/>
      <c r="TSN1" s="2"/>
      <c r="TSO1" s="2"/>
      <c r="TSP1" s="2"/>
      <c r="TSQ1" s="2"/>
      <c r="TSR1" s="2"/>
      <c r="TSS1" s="2"/>
      <c r="TST1" s="2"/>
      <c r="TSU1" s="2"/>
      <c r="TSV1" s="2"/>
      <c r="TSW1" s="2"/>
      <c r="TSX1" s="2"/>
      <c r="TSY1" s="2"/>
      <c r="TSZ1" s="2"/>
      <c r="TTA1" s="2"/>
      <c r="TTB1" s="2"/>
      <c r="TTC1" s="2"/>
      <c r="TTD1" s="2"/>
      <c r="TTE1" s="2"/>
      <c r="TTF1" s="2"/>
      <c r="TTG1" s="2"/>
      <c r="TTH1" s="2"/>
      <c r="TTI1" s="2"/>
      <c r="TTJ1" s="2"/>
      <c r="TTK1" s="2"/>
      <c r="TTL1" s="2"/>
      <c r="TTM1" s="2"/>
      <c r="TTN1" s="2"/>
      <c r="TTO1" s="2"/>
      <c r="TTP1" s="2"/>
      <c r="TTQ1" s="2"/>
      <c r="TTR1" s="2"/>
      <c r="TTS1" s="2"/>
      <c r="TTT1" s="2"/>
      <c r="TTU1" s="2"/>
      <c r="TTV1" s="2"/>
      <c r="TTW1" s="2"/>
      <c r="TTX1" s="2"/>
      <c r="TTY1" s="2"/>
      <c r="TTZ1" s="2"/>
      <c r="TUA1" s="2"/>
      <c r="TUB1" s="2"/>
      <c r="TUC1" s="2"/>
      <c r="TUD1" s="2"/>
      <c r="TUE1" s="2"/>
      <c r="TUF1" s="2"/>
      <c r="TUG1" s="2"/>
      <c r="TUH1" s="2"/>
      <c r="TUI1" s="2"/>
      <c r="TUJ1" s="2"/>
      <c r="TUK1" s="2"/>
      <c r="TUL1" s="2"/>
      <c r="TUM1" s="2"/>
      <c r="TUN1" s="2"/>
      <c r="TUO1" s="2"/>
      <c r="TUP1" s="2"/>
      <c r="TUQ1" s="2"/>
      <c r="TUR1" s="2"/>
      <c r="TUS1" s="2"/>
      <c r="TUT1" s="2"/>
      <c r="TUU1" s="2"/>
      <c r="TUV1" s="2"/>
      <c r="TUW1" s="2"/>
      <c r="TUX1" s="2"/>
      <c r="TUY1" s="2"/>
      <c r="TUZ1" s="2"/>
      <c r="TVA1" s="2"/>
      <c r="TVB1" s="2"/>
      <c r="TVC1" s="2"/>
      <c r="TVD1" s="2"/>
      <c r="TVE1" s="2"/>
      <c r="TVF1" s="2"/>
      <c r="TVG1" s="2"/>
      <c r="TVH1" s="2"/>
      <c r="TVI1" s="2"/>
      <c r="TVJ1" s="2"/>
      <c r="TVK1" s="2"/>
      <c r="TVL1" s="2"/>
      <c r="TVM1" s="2"/>
      <c r="TVN1" s="2"/>
      <c r="TVO1" s="2"/>
      <c r="TVP1" s="2"/>
      <c r="TVQ1" s="2"/>
      <c r="TVR1" s="2"/>
      <c r="TVS1" s="2"/>
      <c r="TVT1" s="2"/>
      <c r="TVU1" s="2"/>
      <c r="TVV1" s="2"/>
      <c r="TVW1" s="2"/>
      <c r="TVX1" s="2"/>
      <c r="TVY1" s="2"/>
      <c r="TVZ1" s="2"/>
      <c r="TWA1" s="2"/>
      <c r="TWB1" s="2"/>
      <c r="TWC1" s="2"/>
      <c r="TWD1" s="2"/>
      <c r="TWE1" s="2"/>
      <c r="TWF1" s="2"/>
      <c r="TWG1" s="2"/>
      <c r="TWH1" s="2"/>
      <c r="TWI1" s="2"/>
      <c r="TWJ1" s="2"/>
      <c r="TWK1" s="2"/>
      <c r="TWL1" s="2"/>
      <c r="TWM1" s="2"/>
      <c r="TWN1" s="2"/>
      <c r="TWO1" s="2"/>
      <c r="TWP1" s="2"/>
      <c r="TWQ1" s="2"/>
      <c r="TWR1" s="2"/>
      <c r="TWS1" s="2"/>
      <c r="TWT1" s="2"/>
      <c r="TWU1" s="2"/>
      <c r="TWV1" s="2"/>
      <c r="TWW1" s="2"/>
      <c r="TWX1" s="2"/>
      <c r="TWY1" s="2"/>
      <c r="TWZ1" s="2"/>
      <c r="TXA1" s="2"/>
      <c r="TXB1" s="2"/>
      <c r="TXC1" s="2"/>
      <c r="TXD1" s="2"/>
      <c r="TXE1" s="2"/>
      <c r="TXF1" s="2"/>
      <c r="TXG1" s="2"/>
      <c r="TXH1" s="2"/>
      <c r="TXI1" s="2"/>
      <c r="TXJ1" s="2"/>
      <c r="TXK1" s="2"/>
      <c r="TXL1" s="2"/>
      <c r="TXM1" s="2"/>
      <c r="TXN1" s="2"/>
      <c r="TXO1" s="2"/>
      <c r="TXP1" s="2"/>
      <c r="TXQ1" s="2"/>
      <c r="TXR1" s="2"/>
      <c r="TXS1" s="2"/>
      <c r="TXT1" s="2"/>
      <c r="TXU1" s="2"/>
      <c r="TXV1" s="2"/>
      <c r="TXW1" s="2"/>
      <c r="TXX1" s="2"/>
      <c r="TXY1" s="2"/>
      <c r="TXZ1" s="2"/>
      <c r="TYA1" s="2"/>
      <c r="TYB1" s="2"/>
      <c r="TYC1" s="2"/>
      <c r="TYD1" s="2"/>
      <c r="TYE1" s="2"/>
      <c r="TYF1" s="2"/>
      <c r="TYG1" s="2"/>
      <c r="TYH1" s="2"/>
      <c r="TYI1" s="2"/>
      <c r="TYJ1" s="2"/>
      <c r="TYK1" s="2"/>
      <c r="TYL1" s="2"/>
      <c r="TYM1" s="2"/>
      <c r="TYN1" s="2"/>
      <c r="TYO1" s="2"/>
      <c r="TYP1" s="2"/>
      <c r="TYQ1" s="2"/>
      <c r="TYR1" s="2"/>
      <c r="TYS1" s="2"/>
      <c r="TYT1" s="2"/>
      <c r="TYU1" s="2"/>
      <c r="TYV1" s="2"/>
      <c r="TYW1" s="2"/>
      <c r="TYX1" s="2"/>
      <c r="TYY1" s="2"/>
      <c r="TYZ1" s="2"/>
      <c r="TZA1" s="2"/>
      <c r="TZB1" s="2"/>
      <c r="TZC1" s="2"/>
      <c r="TZD1" s="2"/>
      <c r="TZE1" s="2"/>
      <c r="TZF1" s="2"/>
      <c r="TZG1" s="2"/>
      <c r="TZH1" s="2"/>
      <c r="TZI1" s="2"/>
      <c r="TZJ1" s="2"/>
      <c r="TZK1" s="2"/>
      <c r="TZL1" s="2"/>
      <c r="TZM1" s="2"/>
      <c r="TZN1" s="2"/>
      <c r="TZO1" s="2"/>
      <c r="TZP1" s="2"/>
      <c r="TZQ1" s="2"/>
      <c r="TZR1" s="2"/>
      <c r="TZS1" s="2"/>
      <c r="TZT1" s="2"/>
      <c r="TZU1" s="2"/>
      <c r="TZV1" s="2"/>
      <c r="TZW1" s="2"/>
      <c r="TZX1" s="2"/>
      <c r="TZY1" s="2"/>
      <c r="TZZ1" s="2"/>
      <c r="UAA1" s="2"/>
      <c r="UAB1" s="2"/>
      <c r="UAC1" s="2"/>
      <c r="UAD1" s="2"/>
      <c r="UAE1" s="2"/>
      <c r="UAF1" s="2"/>
      <c r="UAG1" s="2"/>
      <c r="UAH1" s="2"/>
      <c r="UAI1" s="2"/>
      <c r="UAJ1" s="2"/>
      <c r="UAK1" s="2"/>
      <c r="UAL1" s="2"/>
      <c r="UAM1" s="2"/>
      <c r="UAN1" s="2"/>
      <c r="UAO1" s="2"/>
      <c r="UAP1" s="2"/>
      <c r="UAQ1" s="2"/>
      <c r="UAR1" s="2"/>
      <c r="UAS1" s="2"/>
      <c r="UAT1" s="2"/>
      <c r="UAU1" s="2"/>
      <c r="UAV1" s="2"/>
      <c r="UAW1" s="2"/>
      <c r="UAX1" s="2"/>
      <c r="UAY1" s="2"/>
      <c r="UAZ1" s="2"/>
      <c r="UBA1" s="2"/>
      <c r="UBB1" s="2"/>
      <c r="UBC1" s="2"/>
      <c r="UBD1" s="2"/>
      <c r="UBE1" s="2"/>
      <c r="UBF1" s="2"/>
      <c r="UBG1" s="2"/>
      <c r="UBH1" s="2"/>
      <c r="UBI1" s="2"/>
      <c r="UBJ1" s="2"/>
      <c r="UBK1" s="2"/>
      <c r="UBL1" s="2"/>
      <c r="UBM1" s="2"/>
      <c r="UBN1" s="2"/>
      <c r="UBO1" s="2"/>
      <c r="UBP1" s="2"/>
      <c r="UBQ1" s="2"/>
      <c r="UBR1" s="2"/>
      <c r="UBS1" s="2"/>
      <c r="UBT1" s="2"/>
      <c r="UBU1" s="2"/>
      <c r="UBV1" s="2"/>
      <c r="UBW1" s="2"/>
      <c r="UBX1" s="2"/>
      <c r="UBY1" s="2"/>
      <c r="UBZ1" s="2"/>
      <c r="UCA1" s="2"/>
      <c r="UCB1" s="2"/>
      <c r="UCC1" s="2"/>
      <c r="UCD1" s="2"/>
      <c r="UCE1" s="2"/>
      <c r="UCF1" s="2"/>
      <c r="UCG1" s="2"/>
      <c r="UCH1" s="2"/>
      <c r="UCI1" s="2"/>
      <c r="UCJ1" s="2"/>
      <c r="UCK1" s="2"/>
      <c r="UCL1" s="2"/>
      <c r="UCM1" s="2"/>
      <c r="UCN1" s="2"/>
      <c r="UCO1" s="2"/>
      <c r="UCP1" s="2"/>
      <c r="UCQ1" s="2"/>
      <c r="UCR1" s="2"/>
      <c r="UCS1" s="2"/>
      <c r="UCT1" s="2"/>
      <c r="UCU1" s="2"/>
      <c r="UCV1" s="2"/>
      <c r="UCW1" s="2"/>
      <c r="UCX1" s="2"/>
      <c r="UCY1" s="2"/>
      <c r="UCZ1" s="2"/>
      <c r="UDA1" s="2"/>
      <c r="UDB1" s="2"/>
      <c r="UDC1" s="2"/>
      <c r="UDD1" s="2"/>
      <c r="UDE1" s="2"/>
      <c r="UDF1" s="2"/>
      <c r="UDG1" s="2"/>
      <c r="UDH1" s="2"/>
      <c r="UDI1" s="2"/>
      <c r="UDJ1" s="2"/>
      <c r="UDK1" s="2"/>
      <c r="UDL1" s="2"/>
      <c r="UDM1" s="2"/>
      <c r="UDN1" s="2"/>
      <c r="UDO1" s="2"/>
      <c r="UDP1" s="2"/>
      <c r="UDQ1" s="2"/>
      <c r="UDR1" s="2"/>
      <c r="UDS1" s="2"/>
      <c r="UDT1" s="2"/>
      <c r="UDU1" s="2"/>
      <c r="UDV1" s="2"/>
      <c r="UDW1" s="2"/>
      <c r="UDX1" s="2"/>
      <c r="UDY1" s="2"/>
      <c r="UDZ1" s="2"/>
      <c r="UEA1" s="2"/>
      <c r="UEB1" s="2"/>
      <c r="UEC1" s="2"/>
      <c r="UED1" s="2"/>
      <c r="UEE1" s="2"/>
      <c r="UEF1" s="2"/>
      <c r="UEG1" s="2"/>
      <c r="UEH1" s="2"/>
      <c r="UEI1" s="2"/>
      <c r="UEJ1" s="2"/>
      <c r="UEK1" s="2"/>
      <c r="UEL1" s="2"/>
      <c r="UEM1" s="2"/>
      <c r="UEN1" s="2"/>
      <c r="UEO1" s="2"/>
      <c r="UEP1" s="2"/>
      <c r="UEQ1" s="2"/>
      <c r="UER1" s="2"/>
      <c r="UES1" s="2"/>
      <c r="UET1" s="2"/>
      <c r="UEU1" s="2"/>
      <c r="UEV1" s="2"/>
      <c r="UEW1" s="2"/>
      <c r="UEX1" s="2"/>
      <c r="UEY1" s="2"/>
      <c r="UEZ1" s="2"/>
      <c r="UFA1" s="2"/>
      <c r="UFB1" s="2"/>
      <c r="UFC1" s="2"/>
      <c r="UFD1" s="2"/>
      <c r="UFE1" s="2"/>
      <c r="UFF1" s="2"/>
      <c r="UFG1" s="2"/>
      <c r="UFH1" s="2"/>
      <c r="UFI1" s="2"/>
      <c r="UFJ1" s="2"/>
      <c r="UFK1" s="2"/>
      <c r="UFL1" s="2"/>
      <c r="UFM1" s="2"/>
      <c r="UFN1" s="2"/>
      <c r="UFO1" s="2"/>
      <c r="UFP1" s="2"/>
      <c r="UFQ1" s="2"/>
      <c r="UFR1" s="2"/>
      <c r="UFS1" s="2"/>
      <c r="UFT1" s="2"/>
      <c r="UFU1" s="2"/>
      <c r="UFV1" s="2"/>
      <c r="UFW1" s="2"/>
      <c r="UFX1" s="2"/>
      <c r="UFY1" s="2"/>
      <c r="UFZ1" s="2"/>
      <c r="UGA1" s="2"/>
      <c r="UGB1" s="2"/>
      <c r="UGC1" s="2"/>
      <c r="UGD1" s="2"/>
      <c r="UGE1" s="2"/>
      <c r="UGF1" s="2"/>
      <c r="UGG1" s="2"/>
      <c r="UGH1" s="2"/>
      <c r="UGI1" s="2"/>
      <c r="UGJ1" s="2"/>
      <c r="UGK1" s="2"/>
      <c r="UGL1" s="2"/>
      <c r="UGM1" s="2"/>
      <c r="UGN1" s="2"/>
      <c r="UGO1" s="2"/>
      <c r="UGP1" s="2"/>
      <c r="UGQ1" s="2"/>
      <c r="UGR1" s="2"/>
      <c r="UGS1" s="2"/>
      <c r="UGT1" s="2"/>
      <c r="UGU1" s="2"/>
      <c r="UGV1" s="2"/>
      <c r="UGW1" s="2"/>
      <c r="UGX1" s="2"/>
      <c r="UGY1" s="2"/>
      <c r="UGZ1" s="2"/>
      <c r="UHA1" s="2"/>
      <c r="UHB1" s="2"/>
      <c r="UHC1" s="2"/>
      <c r="UHD1" s="2"/>
      <c r="UHE1" s="2"/>
      <c r="UHF1" s="2"/>
      <c r="UHG1" s="2"/>
      <c r="UHH1" s="2"/>
      <c r="UHI1" s="2"/>
      <c r="UHJ1" s="2"/>
      <c r="UHK1" s="2"/>
      <c r="UHL1" s="2"/>
      <c r="UHM1" s="2"/>
      <c r="UHN1" s="2"/>
      <c r="UHO1" s="2"/>
      <c r="UHP1" s="2"/>
      <c r="UHQ1" s="2"/>
      <c r="UHR1" s="2"/>
      <c r="UHS1" s="2"/>
      <c r="UHT1" s="2"/>
      <c r="UHU1" s="2"/>
      <c r="UHV1" s="2"/>
      <c r="UHW1" s="2"/>
      <c r="UHX1" s="2"/>
      <c r="UHY1" s="2"/>
      <c r="UHZ1" s="2"/>
      <c r="UIA1" s="2"/>
      <c r="UIB1" s="2"/>
      <c r="UIC1" s="2"/>
      <c r="UID1" s="2"/>
      <c r="UIE1" s="2"/>
      <c r="UIF1" s="2"/>
      <c r="UIG1" s="2"/>
      <c r="UIH1" s="2"/>
      <c r="UII1" s="2"/>
      <c r="UIJ1" s="2"/>
      <c r="UIK1" s="2"/>
      <c r="UIL1" s="2"/>
      <c r="UIM1" s="2"/>
      <c r="UIN1" s="2"/>
      <c r="UIO1" s="2"/>
      <c r="UIP1" s="2"/>
      <c r="UIQ1" s="2"/>
      <c r="UIR1" s="2"/>
      <c r="UIS1" s="2"/>
      <c r="UIT1" s="2"/>
      <c r="UIU1" s="2"/>
      <c r="UIV1" s="2"/>
      <c r="UIW1" s="2"/>
      <c r="UIX1" s="2"/>
      <c r="UIY1" s="2"/>
      <c r="UIZ1" s="2"/>
      <c r="UJA1" s="2"/>
      <c r="UJB1" s="2"/>
      <c r="UJC1" s="2"/>
      <c r="UJD1" s="2"/>
      <c r="UJE1" s="2"/>
      <c r="UJF1" s="2"/>
      <c r="UJG1" s="2"/>
      <c r="UJH1" s="2"/>
      <c r="UJI1" s="2"/>
      <c r="UJJ1" s="2"/>
      <c r="UJK1" s="2"/>
      <c r="UJL1" s="2"/>
      <c r="UJM1" s="2"/>
      <c r="UJN1" s="2"/>
      <c r="UJO1" s="2"/>
      <c r="UJP1" s="2"/>
      <c r="UJQ1" s="2"/>
      <c r="UJR1" s="2"/>
      <c r="UJS1" s="2"/>
      <c r="UJT1" s="2"/>
      <c r="UJU1" s="2"/>
      <c r="UJV1" s="2"/>
      <c r="UJW1" s="2"/>
      <c r="UJX1" s="2"/>
      <c r="UJY1" s="2"/>
      <c r="UJZ1" s="2"/>
      <c r="UKA1" s="2"/>
      <c r="UKB1" s="2"/>
      <c r="UKC1" s="2"/>
      <c r="UKD1" s="2"/>
      <c r="UKE1" s="2"/>
      <c r="UKF1" s="2"/>
      <c r="UKG1" s="2"/>
      <c r="UKH1" s="2"/>
      <c r="UKI1" s="2"/>
      <c r="UKJ1" s="2"/>
      <c r="UKK1" s="2"/>
      <c r="UKL1" s="2"/>
      <c r="UKM1" s="2"/>
      <c r="UKN1" s="2"/>
      <c r="UKO1" s="2"/>
      <c r="UKP1" s="2"/>
      <c r="UKQ1" s="2"/>
      <c r="UKR1" s="2"/>
      <c r="UKS1" s="2"/>
      <c r="UKT1" s="2"/>
      <c r="UKU1" s="2"/>
      <c r="UKV1" s="2"/>
      <c r="UKW1" s="2"/>
      <c r="UKX1" s="2"/>
      <c r="UKY1" s="2"/>
      <c r="UKZ1" s="2"/>
      <c r="ULA1" s="2"/>
      <c r="ULB1" s="2"/>
      <c r="ULC1" s="2"/>
      <c r="ULD1" s="2"/>
      <c r="ULE1" s="2"/>
      <c r="ULF1" s="2"/>
      <c r="ULG1" s="2"/>
      <c r="ULH1" s="2"/>
      <c r="ULI1" s="2"/>
      <c r="ULJ1" s="2"/>
      <c r="ULK1" s="2"/>
      <c r="ULL1" s="2"/>
      <c r="ULM1" s="2"/>
      <c r="ULN1" s="2"/>
      <c r="ULO1" s="2"/>
      <c r="ULP1" s="2"/>
      <c r="ULQ1" s="2"/>
      <c r="ULR1" s="2"/>
      <c r="ULS1" s="2"/>
      <c r="ULT1" s="2"/>
      <c r="ULU1" s="2"/>
      <c r="ULV1" s="2"/>
      <c r="ULW1" s="2"/>
      <c r="ULX1" s="2"/>
      <c r="ULY1" s="2"/>
      <c r="ULZ1" s="2"/>
      <c r="UMA1" s="2"/>
      <c r="UMB1" s="2"/>
      <c r="UMC1" s="2"/>
      <c r="UMD1" s="2"/>
      <c r="UME1" s="2"/>
      <c r="UMF1" s="2"/>
      <c r="UMG1" s="2"/>
      <c r="UMH1" s="2"/>
      <c r="UMI1" s="2"/>
      <c r="UMJ1" s="2"/>
      <c r="UMK1" s="2"/>
      <c r="UML1" s="2"/>
      <c r="UMM1" s="2"/>
      <c r="UMN1" s="2"/>
      <c r="UMO1" s="2"/>
      <c r="UMP1" s="2"/>
      <c r="UMQ1" s="2"/>
      <c r="UMR1" s="2"/>
      <c r="UMS1" s="2"/>
      <c r="UMT1" s="2"/>
      <c r="UMU1" s="2"/>
      <c r="UMV1" s="2"/>
      <c r="UMW1" s="2"/>
      <c r="UMX1" s="2"/>
      <c r="UMY1" s="2"/>
      <c r="UMZ1" s="2"/>
      <c r="UNA1" s="2"/>
      <c r="UNB1" s="2"/>
      <c r="UNC1" s="2"/>
      <c r="UND1" s="2"/>
      <c r="UNE1" s="2"/>
      <c r="UNF1" s="2"/>
      <c r="UNG1" s="2"/>
      <c r="UNH1" s="2"/>
      <c r="UNI1" s="2"/>
      <c r="UNJ1" s="2"/>
      <c r="UNK1" s="2"/>
      <c r="UNL1" s="2"/>
      <c r="UNM1" s="2"/>
      <c r="UNN1" s="2"/>
      <c r="UNO1" s="2"/>
      <c r="UNP1" s="2"/>
      <c r="UNQ1" s="2"/>
      <c r="UNR1" s="2"/>
      <c r="UNS1" s="2"/>
      <c r="UNT1" s="2"/>
      <c r="UNU1" s="2"/>
      <c r="UNV1" s="2"/>
      <c r="UNW1" s="2"/>
      <c r="UNX1" s="2"/>
      <c r="UNY1" s="2"/>
      <c r="UNZ1" s="2"/>
      <c r="UOA1" s="2"/>
      <c r="UOB1" s="2"/>
      <c r="UOC1" s="2"/>
      <c r="UOD1" s="2"/>
      <c r="UOE1" s="2"/>
      <c r="UOF1" s="2"/>
      <c r="UOG1" s="2"/>
      <c r="UOH1" s="2"/>
      <c r="UOI1" s="2"/>
      <c r="UOJ1" s="2"/>
      <c r="UOK1" s="2"/>
      <c r="UOL1" s="2"/>
      <c r="UOM1" s="2"/>
      <c r="UON1" s="2"/>
      <c r="UOO1" s="2"/>
      <c r="UOP1" s="2"/>
      <c r="UOQ1" s="2"/>
      <c r="UOR1" s="2"/>
      <c r="UOS1" s="2"/>
      <c r="UOT1" s="2"/>
      <c r="UOU1" s="2"/>
      <c r="UOV1" s="2"/>
      <c r="UOW1" s="2"/>
      <c r="UOX1" s="2"/>
      <c r="UOY1" s="2"/>
      <c r="UOZ1" s="2"/>
      <c r="UPA1" s="2"/>
      <c r="UPB1" s="2"/>
      <c r="UPC1" s="2"/>
      <c r="UPD1" s="2"/>
      <c r="UPE1" s="2"/>
      <c r="UPF1" s="2"/>
      <c r="UPG1" s="2"/>
      <c r="UPH1" s="2"/>
      <c r="UPI1" s="2"/>
      <c r="UPJ1" s="2"/>
      <c r="UPK1" s="2"/>
      <c r="UPL1" s="2"/>
      <c r="UPM1" s="2"/>
      <c r="UPN1" s="2"/>
      <c r="UPO1" s="2"/>
      <c r="UPP1" s="2"/>
      <c r="UPQ1" s="2"/>
      <c r="UPR1" s="2"/>
      <c r="UPS1" s="2"/>
      <c r="UPT1" s="2"/>
      <c r="UPU1" s="2"/>
      <c r="UPV1" s="2"/>
      <c r="UPW1" s="2"/>
      <c r="UPX1" s="2"/>
      <c r="UPY1" s="2"/>
      <c r="UPZ1" s="2"/>
      <c r="UQA1" s="2"/>
      <c r="UQB1" s="2"/>
      <c r="UQC1" s="2"/>
      <c r="UQD1" s="2"/>
      <c r="UQE1" s="2"/>
      <c r="UQF1" s="2"/>
      <c r="UQG1" s="2"/>
      <c r="UQH1" s="2"/>
      <c r="UQI1" s="2"/>
      <c r="UQJ1" s="2"/>
      <c r="UQK1" s="2"/>
      <c r="UQL1" s="2"/>
      <c r="UQM1" s="2"/>
      <c r="UQN1" s="2"/>
      <c r="UQO1" s="2"/>
      <c r="UQP1" s="2"/>
      <c r="UQQ1" s="2"/>
      <c r="UQR1" s="2"/>
      <c r="UQS1" s="2"/>
      <c r="UQT1" s="2"/>
      <c r="UQU1" s="2"/>
      <c r="UQV1" s="2"/>
      <c r="UQW1" s="2"/>
      <c r="UQX1" s="2"/>
      <c r="UQY1" s="2"/>
      <c r="UQZ1" s="2"/>
      <c r="URA1" s="2"/>
      <c r="URB1" s="2"/>
      <c r="URC1" s="2"/>
      <c r="URD1" s="2"/>
      <c r="URE1" s="2"/>
      <c r="URF1" s="2"/>
      <c r="URG1" s="2"/>
      <c r="URH1" s="2"/>
      <c r="URI1" s="2"/>
      <c r="URJ1" s="2"/>
      <c r="URK1" s="2"/>
      <c r="URL1" s="2"/>
      <c r="URM1" s="2"/>
      <c r="URN1" s="2"/>
      <c r="URO1" s="2"/>
      <c r="URP1" s="2"/>
      <c r="URQ1" s="2"/>
      <c r="URR1" s="2"/>
      <c r="URS1" s="2"/>
      <c r="URT1" s="2"/>
      <c r="URU1" s="2"/>
      <c r="URV1" s="2"/>
      <c r="URW1" s="2"/>
      <c r="URX1" s="2"/>
      <c r="URY1" s="2"/>
      <c r="URZ1" s="2"/>
      <c r="USA1" s="2"/>
      <c r="USB1" s="2"/>
      <c r="USC1" s="2"/>
      <c r="USD1" s="2"/>
      <c r="USE1" s="2"/>
      <c r="USF1" s="2"/>
      <c r="USG1" s="2"/>
      <c r="USH1" s="2"/>
      <c r="USI1" s="2"/>
      <c r="USJ1" s="2"/>
      <c r="USK1" s="2"/>
      <c r="USL1" s="2"/>
      <c r="USM1" s="2"/>
      <c r="USN1" s="2"/>
      <c r="USO1" s="2"/>
      <c r="USP1" s="2"/>
      <c r="USQ1" s="2"/>
      <c r="USR1" s="2"/>
      <c r="USS1" s="2"/>
      <c r="UST1" s="2"/>
      <c r="USU1" s="2"/>
      <c r="USV1" s="2"/>
      <c r="USW1" s="2"/>
      <c r="USX1" s="2"/>
      <c r="USY1" s="2"/>
      <c r="USZ1" s="2"/>
      <c r="UTA1" s="2"/>
      <c r="UTB1" s="2"/>
      <c r="UTC1" s="2"/>
      <c r="UTD1" s="2"/>
      <c r="UTE1" s="2"/>
      <c r="UTF1" s="2"/>
      <c r="UTG1" s="2"/>
      <c r="UTH1" s="2"/>
      <c r="UTI1" s="2"/>
      <c r="UTJ1" s="2"/>
      <c r="UTK1" s="2"/>
      <c r="UTL1" s="2"/>
      <c r="UTM1" s="2"/>
      <c r="UTN1" s="2"/>
      <c r="UTO1" s="2"/>
      <c r="UTP1" s="2"/>
      <c r="UTQ1" s="2"/>
      <c r="UTR1" s="2"/>
      <c r="UTS1" s="2"/>
      <c r="UTT1" s="2"/>
      <c r="UTU1" s="2"/>
      <c r="UTV1" s="2"/>
      <c r="UTW1" s="2"/>
      <c r="UTX1" s="2"/>
      <c r="UTY1" s="2"/>
      <c r="UTZ1" s="2"/>
      <c r="UUA1" s="2"/>
      <c r="UUB1" s="2"/>
      <c r="UUC1" s="2"/>
      <c r="UUD1" s="2"/>
      <c r="UUE1" s="2"/>
      <c r="UUF1" s="2"/>
      <c r="UUG1" s="2"/>
      <c r="UUH1" s="2"/>
      <c r="UUI1" s="2"/>
      <c r="UUJ1" s="2"/>
      <c r="UUK1" s="2"/>
      <c r="UUL1" s="2"/>
      <c r="UUM1" s="2"/>
      <c r="UUN1" s="2"/>
      <c r="UUO1" s="2"/>
      <c r="UUP1" s="2"/>
      <c r="UUQ1" s="2"/>
      <c r="UUR1" s="2"/>
      <c r="UUS1" s="2"/>
      <c r="UUT1" s="2"/>
      <c r="UUU1" s="2"/>
      <c r="UUV1" s="2"/>
      <c r="UUW1" s="2"/>
      <c r="UUX1" s="2"/>
      <c r="UUY1" s="2"/>
      <c r="UUZ1" s="2"/>
      <c r="UVA1" s="2"/>
      <c r="UVB1" s="2"/>
      <c r="UVC1" s="2"/>
      <c r="UVD1" s="2"/>
      <c r="UVE1" s="2"/>
      <c r="UVF1" s="2"/>
      <c r="UVG1" s="2"/>
      <c r="UVH1" s="2"/>
      <c r="UVI1" s="2"/>
      <c r="UVJ1" s="2"/>
      <c r="UVK1" s="2"/>
      <c r="UVL1" s="2"/>
      <c r="UVM1" s="2"/>
      <c r="UVN1" s="2"/>
      <c r="UVO1" s="2"/>
      <c r="UVP1" s="2"/>
      <c r="UVQ1" s="2"/>
      <c r="UVR1" s="2"/>
      <c r="UVS1" s="2"/>
      <c r="UVT1" s="2"/>
      <c r="UVU1" s="2"/>
      <c r="UVV1" s="2"/>
      <c r="UVW1" s="2"/>
      <c r="UVX1" s="2"/>
      <c r="UVY1" s="2"/>
      <c r="UVZ1" s="2"/>
      <c r="UWA1" s="2"/>
      <c r="UWB1" s="2"/>
      <c r="UWC1" s="2"/>
      <c r="UWD1" s="2"/>
      <c r="UWE1" s="2"/>
      <c r="UWF1" s="2"/>
      <c r="UWG1" s="2"/>
      <c r="UWH1" s="2"/>
      <c r="UWI1" s="2"/>
      <c r="UWJ1" s="2"/>
      <c r="UWK1" s="2"/>
      <c r="UWL1" s="2"/>
      <c r="UWM1" s="2"/>
      <c r="UWN1" s="2"/>
      <c r="UWO1" s="2"/>
      <c r="UWP1" s="2"/>
      <c r="UWQ1" s="2"/>
      <c r="UWR1" s="2"/>
      <c r="UWS1" s="2"/>
      <c r="UWT1" s="2"/>
      <c r="UWU1" s="2"/>
      <c r="UWV1" s="2"/>
      <c r="UWW1" s="2"/>
      <c r="UWX1" s="2"/>
      <c r="UWY1" s="2"/>
      <c r="UWZ1" s="2"/>
      <c r="UXA1" s="2"/>
      <c r="UXB1" s="2"/>
      <c r="UXC1" s="2"/>
      <c r="UXD1" s="2"/>
      <c r="UXE1" s="2"/>
      <c r="UXF1" s="2"/>
      <c r="UXG1" s="2"/>
      <c r="UXH1" s="2"/>
      <c r="UXI1" s="2"/>
      <c r="UXJ1" s="2"/>
      <c r="UXK1" s="2"/>
      <c r="UXL1" s="2"/>
      <c r="UXM1" s="2"/>
      <c r="UXN1" s="2"/>
      <c r="UXO1" s="2"/>
      <c r="UXP1" s="2"/>
      <c r="UXQ1" s="2"/>
      <c r="UXR1" s="2"/>
      <c r="UXS1" s="2"/>
      <c r="UXT1" s="2"/>
      <c r="UXU1" s="2"/>
      <c r="UXV1" s="2"/>
      <c r="UXW1" s="2"/>
      <c r="UXX1" s="2"/>
      <c r="UXY1" s="2"/>
      <c r="UXZ1" s="2"/>
      <c r="UYA1" s="2"/>
      <c r="UYB1" s="2"/>
      <c r="UYC1" s="2"/>
      <c r="UYD1" s="2"/>
      <c r="UYE1" s="2"/>
      <c r="UYF1" s="2"/>
      <c r="UYG1" s="2"/>
      <c r="UYH1" s="2"/>
      <c r="UYI1" s="2"/>
      <c r="UYJ1" s="2"/>
      <c r="UYK1" s="2"/>
      <c r="UYL1" s="2"/>
      <c r="UYM1" s="2"/>
      <c r="UYN1" s="2"/>
      <c r="UYO1" s="2"/>
      <c r="UYP1" s="2"/>
      <c r="UYQ1" s="2"/>
      <c r="UYR1" s="2"/>
      <c r="UYS1" s="2"/>
      <c r="UYT1" s="2"/>
      <c r="UYU1" s="2"/>
      <c r="UYV1" s="2"/>
      <c r="UYW1" s="2"/>
      <c r="UYX1" s="2"/>
      <c r="UYY1" s="2"/>
      <c r="UYZ1" s="2"/>
      <c r="UZA1" s="2"/>
      <c r="UZB1" s="2"/>
      <c r="UZC1" s="2"/>
      <c r="UZD1" s="2"/>
      <c r="UZE1" s="2"/>
      <c r="UZF1" s="2"/>
      <c r="UZG1" s="2"/>
      <c r="UZH1" s="2"/>
      <c r="UZI1" s="2"/>
      <c r="UZJ1" s="2"/>
      <c r="UZK1" s="2"/>
      <c r="UZL1" s="2"/>
      <c r="UZM1" s="2"/>
      <c r="UZN1" s="2"/>
      <c r="UZO1" s="2"/>
      <c r="UZP1" s="2"/>
      <c r="UZQ1" s="2"/>
      <c r="UZR1" s="2"/>
      <c r="UZS1" s="2"/>
      <c r="UZT1" s="2"/>
      <c r="UZU1" s="2"/>
      <c r="UZV1" s="2"/>
      <c r="UZW1" s="2"/>
      <c r="UZX1" s="2"/>
      <c r="UZY1" s="2"/>
      <c r="UZZ1" s="2"/>
      <c r="VAA1" s="2"/>
      <c r="VAB1" s="2"/>
      <c r="VAC1" s="2"/>
      <c r="VAD1" s="2"/>
      <c r="VAE1" s="2"/>
      <c r="VAF1" s="2"/>
      <c r="VAG1" s="2"/>
      <c r="VAH1" s="2"/>
      <c r="VAI1" s="2"/>
      <c r="VAJ1" s="2"/>
      <c r="VAK1" s="2"/>
      <c r="VAL1" s="2"/>
      <c r="VAM1" s="2"/>
      <c r="VAN1" s="2"/>
      <c r="VAO1" s="2"/>
      <c r="VAP1" s="2"/>
      <c r="VAQ1" s="2"/>
      <c r="VAR1" s="2"/>
      <c r="VAS1" s="2"/>
      <c r="VAT1" s="2"/>
      <c r="VAU1" s="2"/>
      <c r="VAV1" s="2"/>
      <c r="VAW1" s="2"/>
      <c r="VAX1" s="2"/>
      <c r="VAY1" s="2"/>
      <c r="VAZ1" s="2"/>
      <c r="VBA1" s="2"/>
      <c r="VBB1" s="2"/>
      <c r="VBC1" s="2"/>
      <c r="VBD1" s="2"/>
      <c r="VBE1" s="2"/>
      <c r="VBF1" s="2"/>
      <c r="VBG1" s="2"/>
      <c r="VBH1" s="2"/>
      <c r="VBI1" s="2"/>
      <c r="VBJ1" s="2"/>
      <c r="VBK1" s="2"/>
      <c r="VBL1" s="2"/>
      <c r="VBM1" s="2"/>
      <c r="VBN1" s="2"/>
      <c r="VBO1" s="2"/>
      <c r="VBP1" s="2"/>
      <c r="VBQ1" s="2"/>
      <c r="VBR1" s="2"/>
      <c r="VBS1" s="2"/>
      <c r="VBT1" s="2"/>
      <c r="VBU1" s="2"/>
      <c r="VBV1" s="2"/>
      <c r="VBW1" s="2"/>
      <c r="VBX1" s="2"/>
      <c r="VBY1" s="2"/>
      <c r="VBZ1" s="2"/>
      <c r="VCA1" s="2"/>
      <c r="VCB1" s="2"/>
      <c r="VCC1" s="2"/>
      <c r="VCD1" s="2"/>
      <c r="VCE1" s="2"/>
      <c r="VCF1" s="2"/>
      <c r="VCG1" s="2"/>
      <c r="VCH1" s="2"/>
      <c r="VCI1" s="2"/>
      <c r="VCJ1" s="2"/>
      <c r="VCK1" s="2"/>
      <c r="VCL1" s="2"/>
      <c r="VCM1" s="2"/>
      <c r="VCN1" s="2"/>
      <c r="VCO1" s="2"/>
      <c r="VCP1" s="2"/>
      <c r="VCQ1" s="2"/>
      <c r="VCR1" s="2"/>
      <c r="VCS1" s="2"/>
      <c r="VCT1" s="2"/>
      <c r="VCU1" s="2"/>
      <c r="VCV1" s="2"/>
      <c r="VCW1" s="2"/>
      <c r="VCX1" s="2"/>
      <c r="VCY1" s="2"/>
      <c r="VCZ1" s="2"/>
      <c r="VDA1" s="2"/>
      <c r="VDB1" s="2"/>
      <c r="VDC1" s="2"/>
      <c r="VDD1" s="2"/>
      <c r="VDE1" s="2"/>
      <c r="VDF1" s="2"/>
      <c r="VDG1" s="2"/>
      <c r="VDH1" s="2"/>
      <c r="VDI1" s="2"/>
      <c r="VDJ1" s="2"/>
      <c r="VDK1" s="2"/>
      <c r="VDL1" s="2"/>
      <c r="VDM1" s="2"/>
      <c r="VDN1" s="2"/>
      <c r="VDO1" s="2"/>
      <c r="VDP1" s="2"/>
      <c r="VDQ1" s="2"/>
      <c r="VDR1" s="2"/>
      <c r="VDS1" s="2"/>
      <c r="VDT1" s="2"/>
      <c r="VDU1" s="2"/>
      <c r="VDV1" s="2"/>
      <c r="VDW1" s="2"/>
      <c r="VDX1" s="2"/>
      <c r="VDY1" s="2"/>
      <c r="VDZ1" s="2"/>
      <c r="VEA1" s="2"/>
      <c r="VEB1" s="2"/>
      <c r="VEC1" s="2"/>
      <c r="VED1" s="2"/>
      <c r="VEE1" s="2"/>
      <c r="VEF1" s="2"/>
      <c r="VEG1" s="2"/>
      <c r="VEH1" s="2"/>
      <c r="VEI1" s="2"/>
      <c r="VEJ1" s="2"/>
      <c r="VEK1" s="2"/>
      <c r="VEL1" s="2"/>
      <c r="VEM1" s="2"/>
      <c r="VEN1" s="2"/>
      <c r="VEO1" s="2"/>
      <c r="VEP1" s="2"/>
      <c r="VEQ1" s="2"/>
      <c r="VER1" s="2"/>
      <c r="VES1" s="2"/>
      <c r="VET1" s="2"/>
      <c r="VEU1" s="2"/>
      <c r="VEV1" s="2"/>
      <c r="VEW1" s="2"/>
      <c r="VEX1" s="2"/>
      <c r="VEY1" s="2"/>
      <c r="VEZ1" s="2"/>
      <c r="VFA1" s="2"/>
      <c r="VFB1" s="2"/>
      <c r="VFC1" s="2"/>
      <c r="VFD1" s="2"/>
      <c r="VFE1" s="2"/>
      <c r="VFF1" s="2"/>
      <c r="VFG1" s="2"/>
      <c r="VFH1" s="2"/>
      <c r="VFI1" s="2"/>
      <c r="VFJ1" s="2"/>
      <c r="VFK1" s="2"/>
      <c r="VFL1" s="2"/>
      <c r="VFM1" s="2"/>
      <c r="VFN1" s="2"/>
      <c r="VFO1" s="2"/>
      <c r="VFP1" s="2"/>
      <c r="VFQ1" s="2"/>
      <c r="VFR1" s="2"/>
      <c r="VFS1" s="2"/>
      <c r="VFT1" s="2"/>
      <c r="VFU1" s="2"/>
      <c r="VFV1" s="2"/>
      <c r="VFW1" s="2"/>
      <c r="VFX1" s="2"/>
      <c r="VFY1" s="2"/>
      <c r="VFZ1" s="2"/>
      <c r="VGA1" s="2"/>
      <c r="VGB1" s="2"/>
      <c r="VGC1" s="2"/>
      <c r="VGD1" s="2"/>
      <c r="VGE1" s="2"/>
      <c r="VGF1" s="2"/>
      <c r="VGG1" s="2"/>
      <c r="VGH1" s="2"/>
      <c r="VGI1" s="2"/>
      <c r="VGJ1" s="2"/>
      <c r="VGK1" s="2"/>
      <c r="VGL1" s="2"/>
      <c r="VGM1" s="2"/>
      <c r="VGN1" s="2"/>
      <c r="VGO1" s="2"/>
      <c r="VGP1" s="2"/>
      <c r="VGQ1" s="2"/>
      <c r="VGR1" s="2"/>
      <c r="VGS1" s="2"/>
      <c r="VGT1" s="2"/>
      <c r="VGU1" s="2"/>
      <c r="VGV1" s="2"/>
      <c r="VGW1" s="2"/>
      <c r="VGX1" s="2"/>
      <c r="VGY1" s="2"/>
      <c r="VGZ1" s="2"/>
      <c r="VHA1" s="2"/>
      <c r="VHB1" s="2"/>
      <c r="VHC1" s="2"/>
      <c r="VHD1" s="2"/>
      <c r="VHE1" s="2"/>
      <c r="VHF1" s="2"/>
      <c r="VHG1" s="2"/>
      <c r="VHH1" s="2"/>
      <c r="VHI1" s="2"/>
      <c r="VHJ1" s="2"/>
      <c r="VHK1" s="2"/>
      <c r="VHL1" s="2"/>
      <c r="VHM1" s="2"/>
      <c r="VHN1" s="2"/>
      <c r="VHO1" s="2"/>
      <c r="VHP1" s="2"/>
      <c r="VHQ1" s="2"/>
      <c r="VHR1" s="2"/>
      <c r="VHS1" s="2"/>
      <c r="VHT1" s="2"/>
      <c r="VHU1" s="2"/>
      <c r="VHV1" s="2"/>
      <c r="VHW1" s="2"/>
      <c r="VHX1" s="2"/>
      <c r="VHY1" s="2"/>
      <c r="VHZ1" s="2"/>
      <c r="VIA1" s="2"/>
      <c r="VIB1" s="2"/>
      <c r="VIC1" s="2"/>
      <c r="VID1" s="2"/>
      <c r="VIE1" s="2"/>
      <c r="VIF1" s="2"/>
      <c r="VIG1" s="2"/>
      <c r="VIH1" s="2"/>
      <c r="VII1" s="2"/>
      <c r="VIJ1" s="2"/>
      <c r="VIK1" s="2"/>
      <c r="VIL1" s="2"/>
      <c r="VIM1" s="2"/>
      <c r="VIN1" s="2"/>
      <c r="VIO1" s="2"/>
      <c r="VIP1" s="2"/>
      <c r="VIQ1" s="2"/>
      <c r="VIR1" s="2"/>
      <c r="VIS1" s="2"/>
      <c r="VIT1" s="2"/>
      <c r="VIU1" s="2"/>
      <c r="VIV1" s="2"/>
      <c r="VIW1" s="2"/>
      <c r="VIX1" s="2"/>
      <c r="VIY1" s="2"/>
      <c r="VIZ1" s="2"/>
      <c r="VJA1" s="2"/>
      <c r="VJB1" s="2"/>
      <c r="VJC1" s="2"/>
      <c r="VJD1" s="2"/>
      <c r="VJE1" s="2"/>
      <c r="VJF1" s="2"/>
      <c r="VJG1" s="2"/>
      <c r="VJH1" s="2"/>
      <c r="VJI1" s="2"/>
      <c r="VJJ1" s="2"/>
      <c r="VJK1" s="2"/>
      <c r="VJL1" s="2"/>
      <c r="VJM1" s="2"/>
      <c r="VJN1" s="2"/>
      <c r="VJO1" s="2"/>
      <c r="VJP1" s="2"/>
      <c r="VJQ1" s="2"/>
      <c r="VJR1" s="2"/>
      <c r="VJS1" s="2"/>
      <c r="VJT1" s="2"/>
      <c r="VJU1" s="2"/>
      <c r="VJV1" s="2"/>
      <c r="VJW1" s="2"/>
      <c r="VJX1" s="2"/>
      <c r="VJY1" s="2"/>
      <c r="VJZ1" s="2"/>
      <c r="VKA1" s="2"/>
      <c r="VKB1" s="2"/>
      <c r="VKC1" s="2"/>
      <c r="VKD1" s="2"/>
      <c r="VKE1" s="2"/>
      <c r="VKF1" s="2"/>
      <c r="VKG1" s="2"/>
      <c r="VKH1" s="2"/>
      <c r="VKI1" s="2"/>
      <c r="VKJ1" s="2"/>
      <c r="VKK1" s="2"/>
      <c r="VKL1" s="2"/>
      <c r="VKM1" s="2"/>
      <c r="VKN1" s="2"/>
      <c r="VKO1" s="2"/>
      <c r="VKP1" s="2"/>
      <c r="VKQ1" s="2"/>
      <c r="VKR1" s="2"/>
      <c r="VKS1" s="2"/>
      <c r="VKT1" s="2"/>
      <c r="VKU1" s="2"/>
      <c r="VKV1" s="2"/>
      <c r="VKW1" s="2"/>
      <c r="VKX1" s="2"/>
      <c r="VKY1" s="2"/>
      <c r="VKZ1" s="2"/>
      <c r="VLA1" s="2"/>
      <c r="VLB1" s="2"/>
      <c r="VLC1" s="2"/>
      <c r="VLD1" s="2"/>
      <c r="VLE1" s="2"/>
      <c r="VLF1" s="2"/>
      <c r="VLG1" s="2"/>
      <c r="VLH1" s="2"/>
      <c r="VLI1" s="2"/>
      <c r="VLJ1" s="2"/>
      <c r="VLK1" s="2"/>
      <c r="VLL1" s="2"/>
      <c r="VLM1" s="2"/>
      <c r="VLN1" s="2"/>
      <c r="VLO1" s="2"/>
      <c r="VLP1" s="2"/>
      <c r="VLQ1" s="2"/>
      <c r="VLR1" s="2"/>
      <c r="VLS1" s="2"/>
      <c r="VLT1" s="2"/>
      <c r="VLU1" s="2"/>
      <c r="VLV1" s="2"/>
      <c r="VLW1" s="2"/>
      <c r="VLX1" s="2"/>
      <c r="VLY1" s="2"/>
      <c r="VLZ1" s="2"/>
      <c r="VMA1" s="2"/>
      <c r="VMB1" s="2"/>
      <c r="VMC1" s="2"/>
      <c r="VMD1" s="2"/>
      <c r="VME1" s="2"/>
      <c r="VMF1" s="2"/>
      <c r="VMG1" s="2"/>
      <c r="VMH1" s="2"/>
      <c r="VMI1" s="2"/>
      <c r="VMJ1" s="2"/>
      <c r="VMK1" s="2"/>
      <c r="VML1" s="2"/>
      <c r="VMM1" s="2"/>
      <c r="VMN1" s="2"/>
      <c r="VMO1" s="2"/>
      <c r="VMP1" s="2"/>
      <c r="VMQ1" s="2"/>
      <c r="VMR1" s="2"/>
      <c r="VMS1" s="2"/>
      <c r="VMT1" s="2"/>
      <c r="VMU1" s="2"/>
      <c r="VMV1" s="2"/>
      <c r="VMW1" s="2"/>
      <c r="VMX1" s="2"/>
      <c r="VMY1" s="2"/>
      <c r="VMZ1" s="2"/>
      <c r="VNA1" s="2"/>
      <c r="VNB1" s="2"/>
      <c r="VNC1" s="2"/>
      <c r="VND1" s="2"/>
      <c r="VNE1" s="2"/>
      <c r="VNF1" s="2"/>
      <c r="VNG1" s="2"/>
      <c r="VNH1" s="2"/>
      <c r="VNI1" s="2"/>
      <c r="VNJ1" s="2"/>
      <c r="VNK1" s="2"/>
      <c r="VNL1" s="2"/>
      <c r="VNM1" s="2"/>
      <c r="VNN1" s="2"/>
      <c r="VNO1" s="2"/>
      <c r="VNP1" s="2"/>
      <c r="VNQ1" s="2"/>
      <c r="VNR1" s="2"/>
      <c r="VNS1" s="2"/>
      <c r="VNT1" s="2"/>
      <c r="VNU1" s="2"/>
      <c r="VNV1" s="2"/>
      <c r="VNW1" s="2"/>
      <c r="VNX1" s="2"/>
      <c r="VNY1" s="2"/>
      <c r="VNZ1" s="2"/>
      <c r="VOA1" s="2"/>
      <c r="VOB1" s="2"/>
      <c r="VOC1" s="2"/>
      <c r="VOD1" s="2"/>
      <c r="VOE1" s="2"/>
      <c r="VOF1" s="2"/>
      <c r="VOG1" s="2"/>
      <c r="VOH1" s="2"/>
      <c r="VOI1" s="2"/>
      <c r="VOJ1" s="2"/>
      <c r="VOK1" s="2"/>
      <c r="VOL1" s="2"/>
      <c r="VOM1" s="2"/>
      <c r="VON1" s="2"/>
      <c r="VOO1" s="2"/>
      <c r="VOP1" s="2"/>
      <c r="VOQ1" s="2"/>
      <c r="VOR1" s="2"/>
      <c r="VOS1" s="2"/>
      <c r="VOT1" s="2"/>
      <c r="VOU1" s="2"/>
      <c r="VOV1" s="2"/>
      <c r="VOW1" s="2"/>
      <c r="VOX1" s="2"/>
      <c r="VOY1" s="2"/>
      <c r="VOZ1" s="2"/>
      <c r="VPA1" s="2"/>
      <c r="VPB1" s="2"/>
      <c r="VPC1" s="2"/>
      <c r="VPD1" s="2"/>
      <c r="VPE1" s="2"/>
      <c r="VPF1" s="2"/>
      <c r="VPG1" s="2"/>
      <c r="VPH1" s="2"/>
      <c r="VPI1" s="2"/>
      <c r="VPJ1" s="2"/>
      <c r="VPK1" s="2"/>
      <c r="VPL1" s="2"/>
      <c r="VPM1" s="2"/>
      <c r="VPN1" s="2"/>
      <c r="VPO1" s="2"/>
      <c r="VPP1" s="2"/>
      <c r="VPQ1" s="2"/>
      <c r="VPR1" s="2"/>
      <c r="VPS1" s="2"/>
      <c r="VPT1" s="2"/>
      <c r="VPU1" s="2"/>
      <c r="VPV1" s="2"/>
      <c r="VPW1" s="2"/>
      <c r="VPX1" s="2"/>
      <c r="VPY1" s="2"/>
      <c r="VPZ1" s="2"/>
      <c r="VQA1" s="2"/>
      <c r="VQB1" s="2"/>
      <c r="VQC1" s="2"/>
      <c r="VQD1" s="2"/>
      <c r="VQE1" s="2"/>
      <c r="VQF1" s="2"/>
      <c r="VQG1" s="2"/>
      <c r="VQH1" s="2"/>
      <c r="VQI1" s="2"/>
      <c r="VQJ1" s="2"/>
      <c r="VQK1" s="2"/>
      <c r="VQL1" s="2"/>
      <c r="VQM1" s="2"/>
      <c r="VQN1" s="2"/>
      <c r="VQO1" s="2"/>
      <c r="VQP1" s="2"/>
      <c r="VQQ1" s="2"/>
      <c r="VQR1" s="2"/>
      <c r="VQS1" s="2"/>
      <c r="VQT1" s="2"/>
      <c r="VQU1" s="2"/>
      <c r="VQV1" s="2"/>
      <c r="VQW1" s="2"/>
      <c r="VQX1" s="2"/>
      <c r="VQY1" s="2"/>
      <c r="VQZ1" s="2"/>
      <c r="VRA1" s="2"/>
      <c r="VRB1" s="2"/>
      <c r="VRC1" s="2"/>
      <c r="VRD1" s="2"/>
      <c r="VRE1" s="2"/>
      <c r="VRF1" s="2"/>
      <c r="VRG1" s="2"/>
      <c r="VRH1" s="2"/>
      <c r="VRI1" s="2"/>
      <c r="VRJ1" s="2"/>
      <c r="VRK1" s="2"/>
      <c r="VRL1" s="2"/>
      <c r="VRM1" s="2"/>
      <c r="VRN1" s="2"/>
      <c r="VRO1" s="2"/>
      <c r="VRP1" s="2"/>
      <c r="VRQ1" s="2"/>
      <c r="VRR1" s="2"/>
      <c r="VRS1" s="2"/>
      <c r="VRT1" s="2"/>
      <c r="VRU1" s="2"/>
      <c r="VRV1" s="2"/>
      <c r="VRW1" s="2"/>
      <c r="VRX1" s="2"/>
      <c r="VRY1" s="2"/>
      <c r="VRZ1" s="2"/>
      <c r="VSA1" s="2"/>
      <c r="VSB1" s="2"/>
      <c r="VSC1" s="2"/>
      <c r="VSD1" s="2"/>
      <c r="VSE1" s="2"/>
      <c r="VSF1" s="2"/>
      <c r="VSG1" s="2"/>
      <c r="VSH1" s="2"/>
      <c r="VSI1" s="2"/>
      <c r="VSJ1" s="2"/>
      <c r="VSK1" s="2"/>
      <c r="VSL1" s="2"/>
      <c r="VSM1" s="2"/>
      <c r="VSN1" s="2"/>
      <c r="VSO1" s="2"/>
      <c r="VSP1" s="2"/>
      <c r="VSQ1" s="2"/>
      <c r="VSR1" s="2"/>
      <c r="VSS1" s="2"/>
      <c r="VST1" s="2"/>
      <c r="VSU1" s="2"/>
      <c r="VSV1" s="2"/>
      <c r="VSW1" s="2"/>
      <c r="VSX1" s="2"/>
      <c r="VSY1" s="2"/>
      <c r="VSZ1" s="2"/>
      <c r="VTA1" s="2"/>
      <c r="VTB1" s="2"/>
      <c r="VTC1" s="2"/>
      <c r="VTD1" s="2"/>
      <c r="VTE1" s="2"/>
      <c r="VTF1" s="2"/>
      <c r="VTG1" s="2"/>
      <c r="VTH1" s="2"/>
      <c r="VTI1" s="2"/>
      <c r="VTJ1" s="2"/>
      <c r="VTK1" s="2"/>
      <c r="VTL1" s="2"/>
      <c r="VTM1" s="2"/>
      <c r="VTN1" s="2"/>
      <c r="VTO1" s="2"/>
      <c r="VTP1" s="2"/>
      <c r="VTQ1" s="2"/>
      <c r="VTR1" s="2"/>
      <c r="VTS1" s="2"/>
      <c r="VTT1" s="2"/>
      <c r="VTU1" s="2"/>
      <c r="VTV1" s="2"/>
      <c r="VTW1" s="2"/>
      <c r="VTX1" s="2"/>
      <c r="VTY1" s="2"/>
      <c r="VTZ1" s="2"/>
      <c r="VUA1" s="2"/>
      <c r="VUB1" s="2"/>
      <c r="VUC1" s="2"/>
      <c r="VUD1" s="2"/>
      <c r="VUE1" s="2"/>
      <c r="VUF1" s="2"/>
      <c r="VUG1" s="2"/>
      <c r="VUH1" s="2"/>
      <c r="VUI1" s="2"/>
      <c r="VUJ1" s="2"/>
      <c r="VUK1" s="2"/>
      <c r="VUL1" s="2"/>
      <c r="VUM1" s="2"/>
      <c r="VUN1" s="2"/>
      <c r="VUO1" s="2"/>
      <c r="VUP1" s="2"/>
      <c r="VUQ1" s="2"/>
      <c r="VUR1" s="2"/>
      <c r="VUS1" s="2"/>
      <c r="VUT1" s="2"/>
      <c r="VUU1" s="2"/>
      <c r="VUV1" s="2"/>
      <c r="VUW1" s="2"/>
      <c r="VUX1" s="2"/>
      <c r="VUY1" s="2"/>
      <c r="VUZ1" s="2"/>
      <c r="VVA1" s="2"/>
      <c r="VVB1" s="2"/>
      <c r="VVC1" s="2"/>
      <c r="VVD1" s="2"/>
      <c r="VVE1" s="2"/>
      <c r="VVF1" s="2"/>
      <c r="VVG1" s="2"/>
      <c r="VVH1" s="2"/>
      <c r="VVI1" s="2"/>
      <c r="VVJ1" s="2"/>
      <c r="VVK1" s="2"/>
      <c r="VVL1" s="2"/>
      <c r="VVM1" s="2"/>
      <c r="VVN1" s="2"/>
      <c r="VVO1" s="2"/>
      <c r="VVP1" s="2"/>
      <c r="VVQ1" s="2"/>
      <c r="VVR1" s="2"/>
      <c r="VVS1" s="2"/>
      <c r="VVT1" s="2"/>
      <c r="VVU1" s="2"/>
      <c r="VVV1" s="2"/>
      <c r="VVW1" s="2"/>
      <c r="VVX1" s="2"/>
      <c r="VVY1" s="2"/>
      <c r="VVZ1" s="2"/>
      <c r="VWA1" s="2"/>
      <c r="VWB1" s="2"/>
      <c r="VWC1" s="2"/>
      <c r="VWD1" s="2"/>
      <c r="VWE1" s="2"/>
      <c r="VWF1" s="2"/>
      <c r="VWG1" s="2"/>
      <c r="VWH1" s="2"/>
      <c r="VWI1" s="2"/>
      <c r="VWJ1" s="2"/>
      <c r="VWK1" s="2"/>
      <c r="VWL1" s="2"/>
      <c r="VWM1" s="2"/>
      <c r="VWN1" s="2"/>
      <c r="VWO1" s="2"/>
      <c r="VWP1" s="2"/>
      <c r="VWQ1" s="2"/>
      <c r="VWR1" s="2"/>
      <c r="VWS1" s="2"/>
      <c r="VWT1" s="2"/>
      <c r="VWU1" s="2"/>
      <c r="VWV1" s="2"/>
      <c r="VWW1" s="2"/>
      <c r="VWX1" s="2"/>
      <c r="VWY1" s="2"/>
      <c r="VWZ1" s="2"/>
      <c r="VXA1" s="2"/>
      <c r="VXB1" s="2"/>
      <c r="VXC1" s="2"/>
      <c r="VXD1" s="2"/>
      <c r="VXE1" s="2"/>
      <c r="VXF1" s="2"/>
      <c r="VXG1" s="2"/>
      <c r="VXH1" s="2"/>
      <c r="VXI1" s="2"/>
      <c r="VXJ1" s="2"/>
      <c r="VXK1" s="2"/>
      <c r="VXL1" s="2"/>
      <c r="VXM1" s="2"/>
      <c r="VXN1" s="2"/>
      <c r="VXO1" s="2"/>
      <c r="VXP1" s="2"/>
      <c r="VXQ1" s="2"/>
      <c r="VXR1" s="2"/>
      <c r="VXS1" s="2"/>
      <c r="VXT1" s="2"/>
      <c r="VXU1" s="2"/>
      <c r="VXV1" s="2"/>
      <c r="VXW1" s="2"/>
      <c r="VXX1" s="2"/>
      <c r="VXY1" s="2"/>
      <c r="VXZ1" s="2"/>
      <c r="VYA1" s="2"/>
      <c r="VYB1" s="2"/>
      <c r="VYC1" s="2"/>
      <c r="VYD1" s="2"/>
      <c r="VYE1" s="2"/>
      <c r="VYF1" s="2"/>
      <c r="VYG1" s="2"/>
      <c r="VYH1" s="2"/>
      <c r="VYI1" s="2"/>
      <c r="VYJ1" s="2"/>
      <c r="VYK1" s="2"/>
      <c r="VYL1" s="2"/>
      <c r="VYM1" s="2"/>
      <c r="VYN1" s="2"/>
      <c r="VYO1" s="2"/>
      <c r="VYP1" s="2"/>
      <c r="VYQ1" s="2"/>
      <c r="VYR1" s="2"/>
      <c r="VYS1" s="2"/>
      <c r="VYT1" s="2"/>
      <c r="VYU1" s="2"/>
      <c r="VYV1" s="2"/>
      <c r="VYW1" s="2"/>
      <c r="VYX1" s="2"/>
      <c r="VYY1" s="2"/>
      <c r="VYZ1" s="2"/>
      <c r="VZA1" s="2"/>
      <c r="VZB1" s="2"/>
      <c r="VZC1" s="2"/>
      <c r="VZD1" s="2"/>
      <c r="VZE1" s="2"/>
      <c r="VZF1" s="2"/>
      <c r="VZG1" s="2"/>
      <c r="VZH1" s="2"/>
      <c r="VZI1" s="2"/>
      <c r="VZJ1" s="2"/>
      <c r="VZK1" s="2"/>
      <c r="VZL1" s="2"/>
      <c r="VZM1" s="2"/>
      <c r="VZN1" s="2"/>
      <c r="VZO1" s="2"/>
      <c r="VZP1" s="2"/>
      <c r="VZQ1" s="2"/>
      <c r="VZR1" s="2"/>
      <c r="VZS1" s="2"/>
      <c r="VZT1" s="2"/>
      <c r="VZU1" s="2"/>
      <c r="VZV1" s="2"/>
      <c r="VZW1" s="2"/>
      <c r="VZX1" s="2"/>
      <c r="VZY1" s="2"/>
      <c r="VZZ1" s="2"/>
      <c r="WAA1" s="2"/>
      <c r="WAB1" s="2"/>
      <c r="WAC1" s="2"/>
      <c r="WAD1" s="2"/>
      <c r="WAE1" s="2"/>
      <c r="WAF1" s="2"/>
      <c r="WAG1" s="2"/>
      <c r="WAH1" s="2"/>
      <c r="WAI1" s="2"/>
      <c r="WAJ1" s="2"/>
      <c r="WAK1" s="2"/>
      <c r="WAL1" s="2"/>
      <c r="WAM1" s="2"/>
      <c r="WAN1" s="2"/>
      <c r="WAO1" s="2"/>
      <c r="WAP1" s="2"/>
      <c r="WAQ1" s="2"/>
      <c r="WAR1" s="2"/>
      <c r="WAS1" s="2"/>
      <c r="WAT1" s="2"/>
      <c r="WAU1" s="2"/>
      <c r="WAV1" s="2"/>
      <c r="WAW1" s="2"/>
      <c r="WAX1" s="2"/>
      <c r="WAY1" s="2"/>
      <c r="WAZ1" s="2"/>
      <c r="WBA1" s="2"/>
      <c r="WBB1" s="2"/>
      <c r="WBC1" s="2"/>
      <c r="WBD1" s="2"/>
      <c r="WBE1" s="2"/>
      <c r="WBF1" s="2"/>
      <c r="WBG1" s="2"/>
      <c r="WBH1" s="2"/>
      <c r="WBI1" s="2"/>
      <c r="WBJ1" s="2"/>
      <c r="WBK1" s="2"/>
      <c r="WBL1" s="2"/>
      <c r="WBM1" s="2"/>
      <c r="WBN1" s="2"/>
      <c r="WBO1" s="2"/>
      <c r="WBP1" s="2"/>
      <c r="WBQ1" s="2"/>
      <c r="WBR1" s="2"/>
      <c r="WBS1" s="2"/>
      <c r="WBT1" s="2"/>
      <c r="WBU1" s="2"/>
      <c r="WBV1" s="2"/>
      <c r="WBW1" s="2"/>
      <c r="WBX1" s="2"/>
      <c r="WBY1" s="2"/>
      <c r="WBZ1" s="2"/>
      <c r="WCA1" s="2"/>
      <c r="WCB1" s="2"/>
      <c r="WCC1" s="2"/>
      <c r="WCD1" s="2"/>
      <c r="WCE1" s="2"/>
      <c r="WCF1" s="2"/>
      <c r="WCG1" s="2"/>
      <c r="WCH1" s="2"/>
      <c r="WCI1" s="2"/>
      <c r="WCJ1" s="2"/>
      <c r="WCK1" s="2"/>
      <c r="WCL1" s="2"/>
      <c r="WCM1" s="2"/>
      <c r="WCN1" s="2"/>
      <c r="WCO1" s="2"/>
      <c r="WCP1" s="2"/>
      <c r="WCQ1" s="2"/>
      <c r="WCR1" s="2"/>
      <c r="WCS1" s="2"/>
      <c r="WCT1" s="2"/>
      <c r="WCU1" s="2"/>
      <c r="WCV1" s="2"/>
      <c r="WCW1" s="2"/>
      <c r="WCX1" s="2"/>
      <c r="WCY1" s="2"/>
      <c r="WCZ1" s="2"/>
      <c r="WDA1" s="2"/>
      <c r="WDB1" s="2"/>
      <c r="WDC1" s="2"/>
      <c r="WDD1" s="2"/>
      <c r="WDE1" s="2"/>
      <c r="WDF1" s="2"/>
      <c r="WDG1" s="2"/>
      <c r="WDH1" s="2"/>
      <c r="WDI1" s="2"/>
      <c r="WDJ1" s="2"/>
      <c r="WDK1" s="2"/>
      <c r="WDL1" s="2"/>
      <c r="WDM1" s="2"/>
      <c r="WDN1" s="2"/>
      <c r="WDO1" s="2"/>
      <c r="WDP1" s="2"/>
      <c r="WDQ1" s="2"/>
      <c r="WDR1" s="2"/>
      <c r="WDS1" s="2"/>
      <c r="WDT1" s="2"/>
      <c r="WDU1" s="2"/>
      <c r="WDV1" s="2"/>
      <c r="WDW1" s="2"/>
      <c r="WDX1" s="2"/>
      <c r="WDY1" s="2"/>
      <c r="WDZ1" s="2"/>
      <c r="WEA1" s="2"/>
      <c r="WEB1" s="2"/>
      <c r="WEC1" s="2"/>
      <c r="WED1" s="2"/>
      <c r="WEE1" s="2"/>
      <c r="WEF1" s="2"/>
      <c r="WEG1" s="2"/>
      <c r="WEH1" s="2"/>
      <c r="WEI1" s="2"/>
      <c r="WEJ1" s="2"/>
      <c r="WEK1" s="2"/>
      <c r="WEL1" s="2"/>
      <c r="WEM1" s="2"/>
      <c r="WEN1" s="2"/>
      <c r="WEO1" s="2"/>
      <c r="WEP1" s="2"/>
      <c r="WEQ1" s="2"/>
      <c r="WER1" s="2"/>
      <c r="WES1" s="2"/>
      <c r="WET1" s="2"/>
      <c r="WEU1" s="2"/>
      <c r="WEV1" s="2"/>
      <c r="WEW1" s="2"/>
      <c r="WEX1" s="2"/>
      <c r="WEY1" s="2"/>
      <c r="WEZ1" s="2"/>
      <c r="WFA1" s="2"/>
      <c r="WFB1" s="2"/>
      <c r="WFC1" s="2"/>
      <c r="WFD1" s="2"/>
      <c r="WFE1" s="2"/>
      <c r="WFF1" s="2"/>
      <c r="WFG1" s="2"/>
      <c r="WFH1" s="2"/>
      <c r="WFI1" s="2"/>
      <c r="WFJ1" s="2"/>
      <c r="WFK1" s="2"/>
      <c r="WFL1" s="2"/>
      <c r="WFM1" s="2"/>
      <c r="WFN1" s="2"/>
      <c r="WFO1" s="2"/>
      <c r="WFP1" s="2"/>
      <c r="WFQ1" s="2"/>
      <c r="WFR1" s="2"/>
      <c r="WFS1" s="2"/>
      <c r="WFT1" s="2"/>
      <c r="WFU1" s="2"/>
      <c r="WFV1" s="2"/>
      <c r="WFW1" s="2"/>
      <c r="WFX1" s="2"/>
      <c r="WFY1" s="2"/>
      <c r="WFZ1" s="2"/>
      <c r="WGA1" s="2"/>
      <c r="WGB1" s="2"/>
      <c r="WGC1" s="2"/>
      <c r="WGD1" s="2"/>
      <c r="WGE1" s="2"/>
      <c r="WGF1" s="2"/>
      <c r="WGG1" s="2"/>
      <c r="WGH1" s="2"/>
      <c r="WGI1" s="2"/>
      <c r="WGJ1" s="2"/>
      <c r="WGK1" s="2"/>
      <c r="WGL1" s="2"/>
      <c r="WGM1" s="2"/>
      <c r="WGN1" s="2"/>
      <c r="WGO1" s="2"/>
      <c r="WGP1" s="2"/>
      <c r="WGQ1" s="2"/>
      <c r="WGR1" s="2"/>
      <c r="WGS1" s="2"/>
      <c r="WGT1" s="2"/>
      <c r="WGU1" s="2"/>
      <c r="WGV1" s="2"/>
      <c r="WGW1" s="2"/>
      <c r="WGX1" s="2"/>
      <c r="WGY1" s="2"/>
      <c r="WGZ1" s="2"/>
      <c r="WHA1" s="2"/>
      <c r="WHB1" s="2"/>
      <c r="WHC1" s="2"/>
      <c r="WHD1" s="2"/>
      <c r="WHE1" s="2"/>
      <c r="WHF1" s="2"/>
      <c r="WHG1" s="2"/>
      <c r="WHH1" s="2"/>
      <c r="WHI1" s="2"/>
      <c r="WHJ1" s="2"/>
      <c r="WHK1" s="2"/>
      <c r="WHL1" s="2"/>
      <c r="WHM1" s="2"/>
      <c r="WHN1" s="2"/>
      <c r="WHO1" s="2"/>
      <c r="WHP1" s="2"/>
      <c r="WHQ1" s="2"/>
      <c r="WHR1" s="2"/>
      <c r="WHS1" s="2"/>
      <c r="WHT1" s="2"/>
      <c r="WHU1" s="2"/>
      <c r="WHV1" s="2"/>
      <c r="WHW1" s="2"/>
      <c r="WHX1" s="2"/>
      <c r="WHY1" s="2"/>
      <c r="WHZ1" s="2"/>
      <c r="WIA1" s="2"/>
      <c r="WIB1" s="2"/>
      <c r="WIC1" s="2"/>
      <c r="WID1" s="2"/>
      <c r="WIE1" s="2"/>
      <c r="WIF1" s="2"/>
      <c r="WIG1" s="2"/>
      <c r="WIH1" s="2"/>
      <c r="WII1" s="2"/>
      <c r="WIJ1" s="2"/>
      <c r="WIK1" s="2"/>
      <c r="WIL1" s="2"/>
      <c r="WIM1" s="2"/>
      <c r="WIN1" s="2"/>
      <c r="WIO1" s="2"/>
      <c r="WIP1" s="2"/>
      <c r="WIQ1" s="2"/>
      <c r="WIR1" s="2"/>
      <c r="WIS1" s="2"/>
      <c r="WIT1" s="2"/>
      <c r="WIU1" s="2"/>
      <c r="WIV1" s="2"/>
      <c r="WIW1" s="2"/>
      <c r="WIX1" s="2"/>
      <c r="WIY1" s="2"/>
      <c r="WIZ1" s="2"/>
      <c r="WJA1" s="2"/>
      <c r="WJB1" s="2"/>
      <c r="WJC1" s="2"/>
      <c r="WJD1" s="2"/>
      <c r="WJE1" s="2"/>
      <c r="WJF1" s="2"/>
      <c r="WJG1" s="2"/>
      <c r="WJH1" s="2"/>
      <c r="WJI1" s="2"/>
      <c r="WJJ1" s="2"/>
      <c r="WJK1" s="2"/>
      <c r="WJL1" s="2"/>
      <c r="WJM1" s="2"/>
      <c r="WJN1" s="2"/>
      <c r="WJO1" s="2"/>
      <c r="WJP1" s="2"/>
      <c r="WJQ1" s="2"/>
      <c r="WJR1" s="2"/>
      <c r="WJS1" s="2"/>
      <c r="WJT1" s="2"/>
      <c r="WJU1" s="2"/>
      <c r="WJV1" s="2"/>
      <c r="WJW1" s="2"/>
      <c r="WJX1" s="2"/>
      <c r="WJY1" s="2"/>
      <c r="WJZ1" s="2"/>
      <c r="WKA1" s="2"/>
      <c r="WKB1" s="2"/>
      <c r="WKC1" s="2"/>
      <c r="WKD1" s="2"/>
      <c r="WKE1" s="2"/>
      <c r="WKF1" s="2"/>
      <c r="WKG1" s="2"/>
      <c r="WKH1" s="2"/>
      <c r="WKI1" s="2"/>
      <c r="WKJ1" s="2"/>
      <c r="WKK1" s="2"/>
      <c r="WKL1" s="2"/>
      <c r="WKM1" s="2"/>
      <c r="WKN1" s="2"/>
      <c r="WKO1" s="2"/>
      <c r="WKP1" s="2"/>
      <c r="WKQ1" s="2"/>
      <c r="WKR1" s="2"/>
      <c r="WKS1" s="2"/>
      <c r="WKT1" s="2"/>
      <c r="WKU1" s="2"/>
      <c r="WKV1" s="2"/>
      <c r="WKW1" s="2"/>
      <c r="WKX1" s="2"/>
      <c r="WKY1" s="2"/>
      <c r="WKZ1" s="2"/>
      <c r="WLA1" s="2"/>
      <c r="WLB1" s="2"/>
      <c r="WLC1" s="2"/>
      <c r="WLD1" s="2"/>
      <c r="WLE1" s="2"/>
      <c r="WLF1" s="2"/>
      <c r="WLG1" s="2"/>
      <c r="WLH1" s="2"/>
      <c r="WLI1" s="2"/>
      <c r="WLJ1" s="2"/>
      <c r="WLK1" s="2"/>
      <c r="WLL1" s="2"/>
      <c r="WLM1" s="2"/>
      <c r="WLN1" s="2"/>
      <c r="WLO1" s="2"/>
      <c r="WLP1" s="2"/>
      <c r="WLQ1" s="2"/>
      <c r="WLR1" s="2"/>
      <c r="WLS1" s="2"/>
      <c r="WLT1" s="2"/>
      <c r="WLU1" s="2"/>
      <c r="WLV1" s="2"/>
      <c r="WLW1" s="2"/>
      <c r="WLX1" s="2"/>
      <c r="WLY1" s="2"/>
      <c r="WLZ1" s="2"/>
      <c r="WMA1" s="2"/>
      <c r="WMB1" s="2"/>
      <c r="WMC1" s="2"/>
      <c r="WMD1" s="2"/>
      <c r="WME1" s="2"/>
      <c r="WMF1" s="2"/>
      <c r="WMG1" s="2"/>
      <c r="WMH1" s="2"/>
      <c r="WMI1" s="2"/>
      <c r="WMJ1" s="2"/>
      <c r="WMK1" s="2"/>
      <c r="WML1" s="2"/>
      <c r="WMM1" s="2"/>
      <c r="WMN1" s="2"/>
      <c r="WMO1" s="2"/>
      <c r="WMP1" s="2"/>
      <c r="WMQ1" s="2"/>
      <c r="WMR1" s="2"/>
      <c r="WMS1" s="2"/>
      <c r="WMT1" s="2"/>
      <c r="WMU1" s="2"/>
      <c r="WMV1" s="2"/>
      <c r="WMW1" s="2"/>
      <c r="WMX1" s="2"/>
      <c r="WMY1" s="2"/>
      <c r="WMZ1" s="2"/>
      <c r="WNA1" s="2"/>
      <c r="WNB1" s="2"/>
      <c r="WNC1" s="2"/>
      <c r="WND1" s="2"/>
      <c r="WNE1" s="2"/>
      <c r="WNF1" s="2"/>
      <c r="WNG1" s="2"/>
      <c r="WNH1" s="2"/>
      <c r="WNI1" s="2"/>
      <c r="WNJ1" s="2"/>
      <c r="WNK1" s="2"/>
      <c r="WNL1" s="2"/>
      <c r="WNM1" s="2"/>
      <c r="WNN1" s="2"/>
      <c r="WNO1" s="2"/>
      <c r="WNP1" s="2"/>
      <c r="WNQ1" s="2"/>
      <c r="WNR1" s="2"/>
      <c r="WNS1" s="2"/>
      <c r="WNT1" s="2"/>
      <c r="WNU1" s="2"/>
      <c r="WNV1" s="2"/>
      <c r="WNW1" s="2"/>
      <c r="WNX1" s="2"/>
      <c r="WNY1" s="2"/>
      <c r="WNZ1" s="2"/>
      <c r="WOA1" s="2"/>
      <c r="WOB1" s="2"/>
      <c r="WOC1" s="2"/>
      <c r="WOD1" s="2"/>
      <c r="WOE1" s="2"/>
      <c r="WOF1" s="2"/>
      <c r="WOG1" s="2"/>
      <c r="WOH1" s="2"/>
      <c r="WOI1" s="2"/>
      <c r="WOJ1" s="2"/>
      <c r="WOK1" s="2"/>
      <c r="WOL1" s="2"/>
      <c r="WOM1" s="2"/>
      <c r="WON1" s="2"/>
      <c r="WOO1" s="2"/>
      <c r="WOP1" s="2"/>
      <c r="WOQ1" s="2"/>
      <c r="WOR1" s="2"/>
      <c r="WOS1" s="2"/>
      <c r="WOT1" s="2"/>
      <c r="WOU1" s="2"/>
      <c r="WOV1" s="2"/>
      <c r="WOW1" s="2"/>
      <c r="WOX1" s="2"/>
      <c r="WOY1" s="2"/>
      <c r="WOZ1" s="2"/>
      <c r="WPA1" s="2"/>
      <c r="WPB1" s="2"/>
      <c r="WPC1" s="2"/>
      <c r="WPD1" s="2"/>
      <c r="WPE1" s="2"/>
      <c r="WPF1" s="2"/>
      <c r="WPG1" s="2"/>
      <c r="WPH1" s="2"/>
      <c r="WPI1" s="2"/>
      <c r="WPJ1" s="2"/>
      <c r="WPK1" s="2"/>
      <c r="WPL1" s="2"/>
      <c r="WPM1" s="2"/>
      <c r="WPN1" s="2"/>
      <c r="WPO1" s="2"/>
      <c r="WPP1" s="2"/>
      <c r="WPQ1" s="2"/>
      <c r="WPR1" s="2"/>
      <c r="WPS1" s="2"/>
      <c r="WPT1" s="2"/>
      <c r="WPU1" s="2"/>
      <c r="WPV1" s="2"/>
      <c r="WPW1" s="2"/>
      <c r="WPX1" s="2"/>
      <c r="WPY1" s="2"/>
      <c r="WPZ1" s="2"/>
      <c r="WQA1" s="2"/>
      <c r="WQB1" s="2"/>
      <c r="WQC1" s="2"/>
      <c r="WQD1" s="2"/>
      <c r="WQE1" s="2"/>
      <c r="WQF1" s="2"/>
      <c r="WQG1" s="2"/>
      <c r="WQH1" s="2"/>
      <c r="WQI1" s="2"/>
      <c r="WQJ1" s="2"/>
      <c r="WQK1" s="2"/>
      <c r="WQL1" s="2"/>
      <c r="WQM1" s="2"/>
      <c r="WQN1" s="2"/>
      <c r="WQO1" s="2"/>
      <c r="WQP1" s="2"/>
      <c r="WQQ1" s="2"/>
      <c r="WQR1" s="2"/>
      <c r="WQS1" s="2"/>
      <c r="WQT1" s="2"/>
      <c r="WQU1" s="2"/>
      <c r="WQV1" s="2"/>
      <c r="WQW1" s="2"/>
      <c r="WQX1" s="2"/>
      <c r="WQY1" s="2"/>
      <c r="WQZ1" s="2"/>
      <c r="WRA1" s="2"/>
      <c r="WRB1" s="2"/>
      <c r="WRC1" s="2"/>
      <c r="WRD1" s="2"/>
      <c r="WRE1" s="2"/>
      <c r="WRF1" s="2"/>
      <c r="WRG1" s="2"/>
      <c r="WRH1" s="2"/>
      <c r="WRI1" s="2"/>
      <c r="WRJ1" s="2"/>
      <c r="WRK1" s="2"/>
      <c r="WRL1" s="2"/>
      <c r="WRM1" s="2"/>
      <c r="WRN1" s="2"/>
      <c r="WRO1" s="2"/>
      <c r="WRP1" s="2"/>
      <c r="WRQ1" s="2"/>
      <c r="WRR1" s="2"/>
      <c r="WRS1" s="2"/>
      <c r="WRT1" s="2"/>
      <c r="WRU1" s="2"/>
      <c r="WRV1" s="2"/>
      <c r="WRW1" s="2"/>
      <c r="WRX1" s="2"/>
      <c r="WRY1" s="2"/>
      <c r="WRZ1" s="2"/>
      <c r="WSA1" s="2"/>
      <c r="WSB1" s="2"/>
      <c r="WSC1" s="2"/>
      <c r="WSD1" s="2"/>
      <c r="WSE1" s="2"/>
      <c r="WSF1" s="2"/>
      <c r="WSG1" s="2"/>
      <c r="WSH1" s="2"/>
      <c r="WSI1" s="2"/>
      <c r="WSJ1" s="2"/>
      <c r="WSK1" s="2"/>
      <c r="WSL1" s="2"/>
      <c r="WSM1" s="2"/>
      <c r="WSN1" s="2"/>
      <c r="WSO1" s="2"/>
      <c r="WSP1" s="2"/>
      <c r="WSQ1" s="2"/>
      <c r="WSR1" s="2"/>
      <c r="WSS1" s="2"/>
      <c r="WST1" s="2"/>
      <c r="WSU1" s="2"/>
      <c r="WSV1" s="2"/>
      <c r="WSW1" s="2"/>
      <c r="WSX1" s="2"/>
      <c r="WSY1" s="2"/>
      <c r="WSZ1" s="2"/>
      <c r="WTA1" s="2"/>
      <c r="WTB1" s="2"/>
      <c r="WTC1" s="2"/>
      <c r="WTD1" s="2"/>
      <c r="WTE1" s="2"/>
      <c r="WTF1" s="2"/>
      <c r="WTG1" s="2"/>
      <c r="WTH1" s="2"/>
      <c r="WTI1" s="2"/>
      <c r="WTJ1" s="2"/>
      <c r="WTK1" s="2"/>
      <c r="WTL1" s="2"/>
      <c r="WTM1" s="2"/>
      <c r="WTN1" s="2"/>
      <c r="WTO1" s="2"/>
      <c r="WTP1" s="2"/>
      <c r="WTQ1" s="2"/>
      <c r="WTR1" s="2"/>
      <c r="WTS1" s="2"/>
      <c r="WTT1" s="2"/>
      <c r="WTU1" s="2"/>
      <c r="WTV1" s="2"/>
      <c r="WTW1" s="2"/>
      <c r="WTX1" s="2"/>
      <c r="WTY1" s="2"/>
      <c r="WTZ1" s="2"/>
      <c r="WUA1" s="2"/>
      <c r="WUB1" s="2"/>
      <c r="WUC1" s="2"/>
      <c r="WUD1" s="2"/>
      <c r="WUE1" s="2"/>
      <c r="WUF1" s="2"/>
      <c r="WUG1" s="2"/>
      <c r="WUH1" s="2"/>
      <c r="WUI1" s="2"/>
      <c r="WUJ1" s="2"/>
      <c r="WUK1" s="2"/>
      <c r="WUL1" s="2"/>
      <c r="WUM1" s="2"/>
      <c r="WUN1" s="2"/>
      <c r="WUO1" s="2"/>
      <c r="WUP1" s="2"/>
      <c r="WUQ1" s="2"/>
      <c r="WUR1" s="2"/>
      <c r="WUS1" s="2"/>
      <c r="WUT1" s="2"/>
      <c r="WUU1" s="2"/>
      <c r="WUV1" s="2"/>
      <c r="WUW1" s="2"/>
      <c r="WUX1" s="2"/>
      <c r="WUY1" s="2"/>
      <c r="WUZ1" s="2"/>
      <c r="WVA1" s="2"/>
      <c r="WVB1" s="2"/>
      <c r="WVC1" s="2"/>
      <c r="WVD1" s="2"/>
      <c r="WVE1" s="2"/>
      <c r="WVF1" s="2"/>
      <c r="WVG1" s="2"/>
      <c r="WVH1" s="2"/>
      <c r="WVI1" s="2"/>
      <c r="WVJ1" s="2"/>
      <c r="WVK1" s="2"/>
      <c r="WVL1" s="2"/>
      <c r="WVM1" s="2"/>
      <c r="WVN1" s="2"/>
      <c r="WVO1" s="2"/>
      <c r="WVP1" s="2"/>
      <c r="WVQ1" s="2"/>
      <c r="WVR1" s="2"/>
      <c r="WVS1" s="2"/>
      <c r="WVT1" s="2"/>
      <c r="WVU1" s="2"/>
      <c r="WVV1" s="2"/>
      <c r="WVW1" s="2"/>
      <c r="WVX1" s="2"/>
      <c r="WVY1" s="2"/>
      <c r="WVZ1" s="2"/>
      <c r="WWA1" s="2"/>
      <c r="WWB1" s="2"/>
      <c r="WWC1" s="2"/>
      <c r="WWD1" s="2"/>
      <c r="WWE1" s="2"/>
      <c r="WWF1" s="2"/>
      <c r="WWG1" s="2"/>
      <c r="WWH1" s="2"/>
      <c r="WWI1" s="2"/>
      <c r="WWJ1" s="2"/>
      <c r="WWK1" s="2"/>
      <c r="WWL1" s="2"/>
      <c r="WWM1" s="2"/>
      <c r="WWN1" s="2"/>
      <c r="WWO1" s="2"/>
      <c r="WWP1" s="2"/>
      <c r="WWQ1" s="2"/>
      <c r="WWR1" s="2"/>
      <c r="WWS1" s="2"/>
      <c r="WWT1" s="2"/>
      <c r="WWU1" s="2"/>
      <c r="WWV1" s="2"/>
      <c r="WWW1" s="2"/>
      <c r="WWX1" s="2"/>
      <c r="WWY1" s="2"/>
      <c r="WWZ1" s="2"/>
      <c r="WXA1" s="2"/>
      <c r="WXB1" s="2"/>
      <c r="WXC1" s="2"/>
      <c r="WXD1" s="2"/>
      <c r="WXE1" s="2"/>
      <c r="WXF1" s="2"/>
      <c r="WXG1" s="2"/>
      <c r="WXH1" s="2"/>
      <c r="WXI1" s="2"/>
      <c r="WXJ1" s="2"/>
      <c r="WXK1" s="2"/>
      <c r="WXL1" s="2"/>
      <c r="WXM1" s="2"/>
      <c r="WXN1" s="2"/>
      <c r="WXO1" s="2"/>
      <c r="WXP1" s="2"/>
      <c r="WXQ1" s="2"/>
      <c r="WXR1" s="2"/>
      <c r="WXS1" s="2"/>
      <c r="WXT1" s="2"/>
      <c r="WXU1" s="2"/>
      <c r="WXV1" s="2"/>
      <c r="WXW1" s="2"/>
      <c r="WXX1" s="2"/>
      <c r="WXY1" s="2"/>
      <c r="WXZ1" s="2"/>
      <c r="WYA1" s="2"/>
      <c r="WYB1" s="2"/>
      <c r="WYC1" s="2"/>
      <c r="WYD1" s="2"/>
      <c r="WYE1" s="2"/>
      <c r="WYF1" s="2"/>
      <c r="WYG1" s="2"/>
      <c r="WYH1" s="2"/>
      <c r="WYI1" s="2"/>
      <c r="WYJ1" s="2"/>
      <c r="WYK1" s="2"/>
      <c r="WYL1" s="2"/>
      <c r="WYM1" s="2"/>
      <c r="WYN1" s="2"/>
      <c r="WYO1" s="2"/>
      <c r="WYP1" s="2"/>
      <c r="WYQ1" s="2"/>
      <c r="WYR1" s="2"/>
      <c r="WYS1" s="2"/>
      <c r="WYT1" s="2"/>
      <c r="WYU1" s="2"/>
      <c r="WYV1" s="2"/>
      <c r="WYW1" s="2"/>
      <c r="WYX1" s="2"/>
      <c r="WYY1" s="2"/>
      <c r="WYZ1" s="2"/>
      <c r="WZA1" s="2"/>
      <c r="WZB1" s="2"/>
      <c r="WZC1" s="2"/>
      <c r="WZD1" s="2"/>
      <c r="WZE1" s="2"/>
      <c r="WZF1" s="2"/>
      <c r="WZG1" s="2"/>
      <c r="WZH1" s="2"/>
      <c r="WZI1" s="2"/>
      <c r="WZJ1" s="2"/>
      <c r="WZK1" s="2"/>
      <c r="WZL1" s="2"/>
      <c r="WZM1" s="2"/>
      <c r="WZN1" s="2"/>
      <c r="WZO1" s="2"/>
      <c r="WZP1" s="2"/>
      <c r="WZQ1" s="2"/>
      <c r="WZR1" s="2"/>
      <c r="WZS1" s="2"/>
      <c r="WZT1" s="2"/>
      <c r="WZU1" s="2"/>
      <c r="WZV1" s="2"/>
      <c r="WZW1" s="2"/>
      <c r="WZX1" s="2"/>
      <c r="WZY1" s="2"/>
      <c r="WZZ1" s="2"/>
      <c r="XAA1" s="2"/>
      <c r="XAB1" s="2"/>
      <c r="XAC1" s="2"/>
      <c r="XAD1" s="2"/>
      <c r="XAE1" s="2"/>
      <c r="XAF1" s="2"/>
      <c r="XAG1" s="2"/>
      <c r="XAH1" s="2"/>
      <c r="XAI1" s="2"/>
      <c r="XAJ1" s="2"/>
      <c r="XAK1" s="2"/>
      <c r="XAL1" s="2"/>
      <c r="XAM1" s="2"/>
      <c r="XAN1" s="2"/>
      <c r="XAO1" s="2"/>
      <c r="XAP1" s="2"/>
      <c r="XAQ1" s="2"/>
      <c r="XAR1" s="2"/>
      <c r="XAS1" s="2"/>
      <c r="XAT1" s="2"/>
      <c r="XAU1" s="2"/>
      <c r="XAV1" s="2"/>
      <c r="XAW1" s="2"/>
      <c r="XAX1" s="2"/>
      <c r="XAY1" s="2"/>
      <c r="XAZ1" s="2"/>
      <c r="XBA1" s="2"/>
      <c r="XBB1" s="2"/>
      <c r="XBC1" s="2"/>
      <c r="XBD1" s="2"/>
      <c r="XBE1" s="2"/>
      <c r="XBF1" s="2"/>
      <c r="XBG1" s="2"/>
      <c r="XBH1" s="2"/>
      <c r="XBI1" s="2"/>
      <c r="XBJ1" s="2"/>
      <c r="XBK1" s="2"/>
      <c r="XBL1" s="2"/>
      <c r="XBM1" s="2"/>
      <c r="XBN1" s="2"/>
      <c r="XBO1" s="2"/>
      <c r="XBP1" s="2"/>
      <c r="XBQ1" s="2"/>
      <c r="XBR1" s="2"/>
      <c r="XBS1" s="2"/>
      <c r="XBT1" s="2"/>
      <c r="XBU1" s="2"/>
      <c r="XBV1" s="2"/>
      <c r="XBW1" s="2"/>
      <c r="XBX1" s="2"/>
      <c r="XBY1" s="2"/>
      <c r="XBZ1" s="2"/>
      <c r="XCA1" s="2"/>
      <c r="XCB1" s="2"/>
      <c r="XCC1" s="2"/>
      <c r="XCD1" s="2"/>
      <c r="XCE1" s="2"/>
      <c r="XCF1" s="2"/>
      <c r="XCG1" s="2"/>
      <c r="XCH1" s="2"/>
      <c r="XCI1" s="2"/>
      <c r="XCJ1" s="2"/>
      <c r="XCK1" s="2"/>
      <c r="XCL1" s="2"/>
      <c r="XCM1" s="2"/>
      <c r="XCN1" s="2"/>
      <c r="XCO1" s="2"/>
      <c r="XCP1" s="2"/>
      <c r="XCQ1" s="2"/>
      <c r="XCR1" s="2"/>
      <c r="XCS1" s="2"/>
      <c r="XCT1" s="2"/>
      <c r="XCU1" s="2"/>
      <c r="XCV1" s="2"/>
      <c r="XCW1" s="2"/>
      <c r="XCX1" s="2"/>
      <c r="XCY1" s="2"/>
      <c r="XCZ1" s="2"/>
      <c r="XDA1" s="2"/>
      <c r="XDB1" s="2"/>
      <c r="XDC1" s="2"/>
      <c r="XDD1" s="2"/>
      <c r="XDE1" s="2"/>
      <c r="XDF1" s="2"/>
      <c r="XDG1" s="2"/>
      <c r="XDH1" s="2"/>
      <c r="XDI1" s="2"/>
      <c r="XDJ1" s="2"/>
      <c r="XDK1" s="2"/>
      <c r="XDL1" s="2"/>
      <c r="XDM1" s="2"/>
      <c r="XDN1" s="2"/>
      <c r="XDO1" s="2"/>
      <c r="XDP1" s="2"/>
      <c r="XDQ1" s="2"/>
      <c r="XDR1" s="2"/>
      <c r="XDS1" s="2"/>
      <c r="XDT1" s="2"/>
      <c r="XDU1" s="2"/>
      <c r="XDV1" s="2"/>
      <c r="XDW1" s="2"/>
      <c r="XDX1" s="2"/>
      <c r="XDY1" s="2"/>
      <c r="XDZ1" s="2"/>
      <c r="XEA1" s="2"/>
      <c r="XEB1" s="2"/>
      <c r="XEC1" s="2"/>
      <c r="XED1" s="2"/>
      <c r="XEE1" s="2"/>
      <c r="XEF1" s="2"/>
      <c r="XEG1" s="2"/>
      <c r="XEH1" s="2"/>
      <c r="XEI1" s="2"/>
      <c r="XEJ1" s="2"/>
      <c r="XEK1" s="2"/>
      <c r="XEL1" s="2"/>
      <c r="XEM1" s="2"/>
      <c r="XEN1" s="2"/>
      <c r="XEO1" s="2"/>
      <c r="XEP1" s="2"/>
      <c r="XEQ1" s="2"/>
      <c r="XER1" s="2"/>
      <c r="XES1" s="2"/>
      <c r="XET1" s="2"/>
      <c r="XEU1" s="2"/>
      <c r="XEV1" s="2"/>
      <c r="XEW1" s="2"/>
      <c r="XEX1" s="2"/>
      <c r="XEY1" s="2"/>
      <c r="XEZ1" s="2"/>
      <c r="XFA1" s="2"/>
      <c r="XFB1" s="2"/>
      <c r="XFC1" s="2"/>
    </row>
    <row r="2" spans="1:16383" x14ac:dyDescent="0.25">
      <c r="A2">
        <v>279</v>
      </c>
      <c r="B2" s="53">
        <v>2018</v>
      </c>
      <c r="C2" s="53">
        <v>1</v>
      </c>
      <c r="D2" s="53" t="str">
        <f>B2&amp;"-"&amp;C2</f>
        <v>2018-1</v>
      </c>
      <c r="E2" s="9" t="s">
        <v>615</v>
      </c>
      <c r="F2" s="1">
        <v>43101</v>
      </c>
      <c r="G2" s="1" t="s">
        <v>984</v>
      </c>
      <c r="H2" s="16"/>
      <c r="I2" s="16" t="s">
        <v>105</v>
      </c>
      <c r="J2" s="16" t="s">
        <v>687</v>
      </c>
      <c r="K2" s="16" t="s">
        <v>985</v>
      </c>
      <c r="L2" t="b">
        <v>0</v>
      </c>
      <c r="M2" s="36">
        <v>494.334</v>
      </c>
      <c r="N2" s="51">
        <v>1</v>
      </c>
      <c r="O2" s="29">
        <v>593.20079999999996</v>
      </c>
      <c r="P2" s="29" t="str">
        <f>Q2&amp;"%"</f>
        <v>20%</v>
      </c>
      <c r="Q2" s="27">
        <v>20</v>
      </c>
      <c r="R2" s="31">
        <v>98.866799999999998</v>
      </c>
      <c r="S2" s="31">
        <v>98.866799999999998</v>
      </c>
      <c r="T2" s="33">
        <v>494.334</v>
      </c>
      <c r="U2" s="29">
        <v>593.20079999999996</v>
      </c>
      <c r="V2" s="35">
        <v>43235</v>
      </c>
      <c r="W2" s="35"/>
      <c r="X2" s="27"/>
      <c r="Y2" s="58">
        <v>494.334</v>
      </c>
      <c r="Z2" s="31">
        <v>0</v>
      </c>
      <c r="AA2" t="b">
        <v>0</v>
      </c>
      <c r="AC2" s="49"/>
    </row>
    <row r="3" spans="1:16383" x14ac:dyDescent="0.25">
      <c r="A3">
        <v>280</v>
      </c>
      <c r="B3" s="53">
        <v>2018</v>
      </c>
      <c r="C3" s="53">
        <v>2</v>
      </c>
      <c r="D3" s="53" t="str">
        <f t="shared" ref="D3:D66" si="0">B3&amp;"-"&amp;C3</f>
        <v>2018-2</v>
      </c>
      <c r="E3" s="9" t="s">
        <v>621</v>
      </c>
      <c r="F3" s="1">
        <v>43102</v>
      </c>
      <c r="G3" t="s">
        <v>619</v>
      </c>
      <c r="H3" s="16"/>
      <c r="I3" s="16" t="s">
        <v>105</v>
      </c>
      <c r="J3" s="16" t="s">
        <v>683</v>
      </c>
      <c r="K3" s="16" t="s">
        <v>540</v>
      </c>
      <c r="L3" t="b">
        <v>0</v>
      </c>
      <c r="M3" s="36">
        <v>79.33</v>
      </c>
      <c r="N3" s="51">
        <v>1</v>
      </c>
      <c r="O3" s="29">
        <v>95.195999999999998</v>
      </c>
      <c r="P3" s="29" t="str">
        <f t="shared" ref="P3:P66" si="1">Q3&amp;"%"</f>
        <v>20%</v>
      </c>
      <c r="Q3" s="27">
        <v>20</v>
      </c>
      <c r="R3" s="31">
        <v>15.866</v>
      </c>
      <c r="S3" s="31">
        <v>15.866</v>
      </c>
      <c r="T3" s="33">
        <v>79.33</v>
      </c>
      <c r="U3" s="29">
        <v>95.195999999999998</v>
      </c>
      <c r="V3" s="35">
        <v>43235</v>
      </c>
      <c r="W3" s="35"/>
      <c r="X3" s="27"/>
      <c r="Y3" s="58">
        <v>79.33</v>
      </c>
      <c r="Z3" s="31">
        <v>0</v>
      </c>
      <c r="AA3" t="b">
        <v>0</v>
      </c>
    </row>
    <row r="4" spans="1:16383" x14ac:dyDescent="0.25">
      <c r="A4">
        <v>281</v>
      </c>
      <c r="B4" s="53">
        <v>2018</v>
      </c>
      <c r="C4" s="53">
        <v>3</v>
      </c>
      <c r="D4" s="53" t="str">
        <f t="shared" si="0"/>
        <v>2018-3</v>
      </c>
      <c r="E4" s="9" t="s">
        <v>620</v>
      </c>
      <c r="F4" s="1">
        <v>43103</v>
      </c>
      <c r="G4" t="s">
        <v>647</v>
      </c>
      <c r="H4" s="16"/>
      <c r="I4" s="16" t="s">
        <v>105</v>
      </c>
      <c r="J4" s="16" t="s">
        <v>703</v>
      </c>
      <c r="K4" s="16" t="s">
        <v>985</v>
      </c>
      <c r="L4" t="b">
        <v>0</v>
      </c>
      <c r="M4" s="36">
        <f>20.66+1.04</f>
        <v>21.7</v>
      </c>
      <c r="N4" s="51">
        <f>2/3</f>
        <v>0.66666666666666663</v>
      </c>
      <c r="O4" s="29">
        <f>N4*U4</f>
        <v>17.36</v>
      </c>
      <c r="P4" s="29" t="str">
        <f t="shared" si="1"/>
        <v>20%</v>
      </c>
      <c r="Q4" s="27">
        <v>20</v>
      </c>
      <c r="R4" s="31">
        <v>6.38</v>
      </c>
      <c r="S4" s="31">
        <v>2.207687718401091</v>
      </c>
      <c r="T4" s="33">
        <f>N4*M4</f>
        <v>14.466666666666665</v>
      </c>
      <c r="U4" s="29">
        <f>M4*(100%+P4)</f>
        <v>26.04</v>
      </c>
      <c r="V4" s="35">
        <v>43235</v>
      </c>
      <c r="W4" s="35"/>
      <c r="X4" s="27"/>
      <c r="Y4" s="58">
        <v>14.574891332140119</v>
      </c>
      <c r="Z4" s="31">
        <v>0</v>
      </c>
      <c r="AA4" t="b">
        <v>0</v>
      </c>
    </row>
    <row r="5" spans="1:16383" x14ac:dyDescent="0.25">
      <c r="A5">
        <v>282</v>
      </c>
      <c r="B5" s="53">
        <v>2018</v>
      </c>
      <c r="C5" s="53">
        <v>4</v>
      </c>
      <c r="D5" s="53" t="str">
        <f t="shared" si="0"/>
        <v>2018-4</v>
      </c>
      <c r="E5" s="9" t="s">
        <v>622</v>
      </c>
      <c r="F5" s="1">
        <v>43111</v>
      </c>
      <c r="G5" t="s">
        <v>34</v>
      </c>
      <c r="H5" s="16"/>
      <c r="I5" s="16" t="s">
        <v>105</v>
      </c>
      <c r="J5" s="16" t="s">
        <v>703</v>
      </c>
      <c r="K5" s="16" t="s">
        <v>985</v>
      </c>
      <c r="L5" t="b">
        <v>0</v>
      </c>
      <c r="M5" s="36">
        <v>16.739999999999998</v>
      </c>
      <c r="N5" s="51">
        <v>1</v>
      </c>
      <c r="O5" s="29">
        <v>20.087999999999997</v>
      </c>
      <c r="P5" s="29" t="str">
        <f t="shared" si="1"/>
        <v>20%</v>
      </c>
      <c r="Q5" s="27">
        <v>20</v>
      </c>
      <c r="R5" s="31">
        <v>3.3479999999999994</v>
      </c>
      <c r="S5" s="31">
        <v>3.3479999999999994</v>
      </c>
      <c r="T5" s="33">
        <v>16.739999999999998</v>
      </c>
      <c r="U5" s="29">
        <v>20.087999999999997</v>
      </c>
      <c r="V5" s="35">
        <v>43235</v>
      </c>
      <c r="W5" s="35"/>
      <c r="X5" s="27"/>
      <c r="Y5" s="58">
        <v>16.739999999999998</v>
      </c>
      <c r="Z5" s="31">
        <v>0</v>
      </c>
      <c r="AA5" t="b">
        <v>0</v>
      </c>
    </row>
    <row r="6" spans="1:16383" x14ac:dyDescent="0.25">
      <c r="A6">
        <v>295</v>
      </c>
      <c r="B6" s="53">
        <v>2018</v>
      </c>
      <c r="C6" s="53">
        <v>5</v>
      </c>
      <c r="D6" s="53" t="str">
        <f t="shared" si="0"/>
        <v>2018-5</v>
      </c>
      <c r="E6" s="9">
        <v>14002676583</v>
      </c>
      <c r="F6" s="1">
        <v>43115</v>
      </c>
      <c r="G6" s="1" t="s">
        <v>795</v>
      </c>
      <c r="H6" s="16"/>
      <c r="I6" s="16" t="s">
        <v>105</v>
      </c>
      <c r="J6" s="16" t="s">
        <v>705</v>
      </c>
      <c r="K6" s="16" t="s">
        <v>985</v>
      </c>
      <c r="L6" t="b">
        <v>0</v>
      </c>
      <c r="M6" s="36">
        <v>82.5</v>
      </c>
      <c r="N6" s="51">
        <v>0.27320378419841473</v>
      </c>
      <c r="O6" s="29">
        <v>27.04717463564306</v>
      </c>
      <c r="P6" s="29" t="str">
        <f t="shared" si="1"/>
        <v>20%</v>
      </c>
      <c r="Q6" s="27">
        <v>20</v>
      </c>
      <c r="R6" s="31">
        <v>16.5</v>
      </c>
      <c r="S6" s="31">
        <v>4.5078624392738433</v>
      </c>
      <c r="T6" s="33">
        <v>22.539312196369217</v>
      </c>
      <c r="U6" s="29">
        <v>99</v>
      </c>
      <c r="V6" s="35">
        <v>43235</v>
      </c>
      <c r="W6" s="35">
        <v>43234</v>
      </c>
      <c r="X6" s="27"/>
      <c r="Y6" s="58">
        <v>22.539312196369217</v>
      </c>
      <c r="Z6" s="31">
        <v>0</v>
      </c>
      <c r="AA6" t="b">
        <v>0</v>
      </c>
    </row>
    <row r="7" spans="1:16383" x14ac:dyDescent="0.25">
      <c r="A7">
        <v>296</v>
      </c>
      <c r="B7" s="53">
        <v>2018</v>
      </c>
      <c r="C7" s="53">
        <v>6</v>
      </c>
      <c r="D7" s="53" t="str">
        <f t="shared" si="0"/>
        <v>2018-6</v>
      </c>
      <c r="E7" s="9" t="s">
        <v>648</v>
      </c>
      <c r="F7" s="1">
        <v>43115</v>
      </c>
      <c r="G7" s="1" t="s">
        <v>986</v>
      </c>
      <c r="H7" s="16"/>
      <c r="I7" s="16" t="s">
        <v>105</v>
      </c>
      <c r="J7" s="16" t="s">
        <v>705</v>
      </c>
      <c r="K7" s="16" t="s">
        <v>985</v>
      </c>
      <c r="L7" t="b">
        <v>0</v>
      </c>
      <c r="M7" s="36">
        <v>151.66999999999999</v>
      </c>
      <c r="N7" s="51">
        <v>0.27320378419841473</v>
      </c>
      <c r="O7" s="29">
        <v>49.724181539248278</v>
      </c>
      <c r="P7" s="29" t="str">
        <f t="shared" si="1"/>
        <v>20%</v>
      </c>
      <c r="Q7" s="27">
        <v>20</v>
      </c>
      <c r="R7" s="31">
        <v>30.333999999999996</v>
      </c>
      <c r="S7" s="31">
        <v>8.2873635898747118</v>
      </c>
      <c r="T7" s="33">
        <v>41.436817949373562</v>
      </c>
      <c r="U7" s="29">
        <v>182.00399999999999</v>
      </c>
      <c r="V7" s="35">
        <v>43235</v>
      </c>
      <c r="W7" s="35">
        <v>43234</v>
      </c>
      <c r="X7" s="27"/>
      <c r="Y7" s="58">
        <v>41.436817949373562</v>
      </c>
      <c r="Z7" s="31">
        <v>0</v>
      </c>
      <c r="AA7" t="b">
        <v>0</v>
      </c>
    </row>
    <row r="8" spans="1:16383" x14ac:dyDescent="0.25">
      <c r="A8">
        <v>297</v>
      </c>
      <c r="B8" s="53">
        <v>2018</v>
      </c>
      <c r="C8" s="53">
        <v>7</v>
      </c>
      <c r="D8" s="53" t="str">
        <f t="shared" si="0"/>
        <v>2018-7</v>
      </c>
      <c r="E8" s="9" t="s">
        <v>650</v>
      </c>
      <c r="F8" s="1">
        <v>43125</v>
      </c>
      <c r="G8" s="1" t="s">
        <v>909</v>
      </c>
      <c r="H8" s="16"/>
      <c r="I8" s="16" t="s">
        <v>105</v>
      </c>
      <c r="J8" s="16" t="s">
        <v>691</v>
      </c>
      <c r="K8" s="16" t="s">
        <v>985</v>
      </c>
      <c r="L8" t="b">
        <v>0</v>
      </c>
      <c r="M8" s="36">
        <v>725.09999999999991</v>
      </c>
      <c r="N8" s="51">
        <v>0.27320378419841473</v>
      </c>
      <c r="O8" s="29">
        <v>217.91007031449755</v>
      </c>
      <c r="P8" s="29" t="str">
        <f t="shared" si="1"/>
        <v>10%</v>
      </c>
      <c r="Q8" s="27">
        <v>10</v>
      </c>
      <c r="R8" s="31">
        <v>72.509999999999991</v>
      </c>
      <c r="S8" s="31">
        <v>19.810006392227049</v>
      </c>
      <c r="T8" s="33">
        <v>198.10006392227049</v>
      </c>
      <c r="U8" s="29">
        <v>797.6099999999999</v>
      </c>
      <c r="V8" s="35">
        <v>43235</v>
      </c>
      <c r="W8" s="35">
        <v>43234</v>
      </c>
      <c r="X8" s="27"/>
      <c r="Y8" s="58">
        <v>198.10006392227049</v>
      </c>
      <c r="Z8" s="31">
        <v>0</v>
      </c>
      <c r="AA8" t="b">
        <v>0</v>
      </c>
    </row>
    <row r="9" spans="1:16383" x14ac:dyDescent="0.25">
      <c r="A9">
        <v>298</v>
      </c>
      <c r="B9" s="53">
        <v>2018</v>
      </c>
      <c r="C9" s="53">
        <v>8</v>
      </c>
      <c r="D9" s="53" t="str">
        <f t="shared" si="0"/>
        <v>2018-8</v>
      </c>
      <c r="E9" s="9" t="s">
        <v>678</v>
      </c>
      <c r="F9" s="1">
        <v>43121</v>
      </c>
      <c r="G9" t="s">
        <v>651</v>
      </c>
      <c r="H9" s="16"/>
      <c r="I9" s="16" t="s">
        <v>105</v>
      </c>
      <c r="J9" s="16" t="s">
        <v>705</v>
      </c>
      <c r="K9" s="16" t="s">
        <v>985</v>
      </c>
      <c r="L9" t="b">
        <v>0</v>
      </c>
      <c r="M9" s="36">
        <v>15.3</v>
      </c>
      <c r="N9" s="51">
        <v>1</v>
      </c>
      <c r="O9" s="29">
        <v>18.36</v>
      </c>
      <c r="P9" s="29" t="str">
        <f t="shared" si="1"/>
        <v>20%</v>
      </c>
      <c r="Q9" s="27">
        <v>20</v>
      </c>
      <c r="R9" s="31">
        <v>3.06</v>
      </c>
      <c r="S9" s="31">
        <v>3.06</v>
      </c>
      <c r="T9" s="33">
        <v>15.3</v>
      </c>
      <c r="U9" s="29">
        <v>18.36</v>
      </c>
      <c r="V9" s="35">
        <v>43235</v>
      </c>
      <c r="W9" s="35">
        <v>43234</v>
      </c>
      <c r="X9" s="27"/>
      <c r="Y9" s="58">
        <v>15.3</v>
      </c>
      <c r="Z9" s="31">
        <v>0</v>
      </c>
      <c r="AA9" t="b">
        <v>0</v>
      </c>
    </row>
    <row r="10" spans="1:16383" x14ac:dyDescent="0.25">
      <c r="A10">
        <v>299</v>
      </c>
      <c r="B10" s="53">
        <v>2018</v>
      </c>
      <c r="C10" s="53">
        <v>9</v>
      </c>
      <c r="D10" s="53" t="str">
        <f t="shared" si="0"/>
        <v>2018-9</v>
      </c>
      <c r="E10" s="9" t="s">
        <v>653</v>
      </c>
      <c r="F10" s="1">
        <v>43121</v>
      </c>
      <c r="G10" s="1" t="s">
        <v>652</v>
      </c>
      <c r="H10" s="16"/>
      <c r="I10" s="16" t="s">
        <v>105</v>
      </c>
      <c r="J10" s="16" t="s">
        <v>705</v>
      </c>
      <c r="K10" s="16" t="s">
        <v>985</v>
      </c>
      <c r="L10" t="b">
        <v>0</v>
      </c>
      <c r="M10" s="36">
        <v>12.42</v>
      </c>
      <c r="N10" s="51">
        <v>1</v>
      </c>
      <c r="O10" s="29">
        <v>14.904</v>
      </c>
      <c r="P10" s="29" t="str">
        <f t="shared" si="1"/>
        <v>20%</v>
      </c>
      <c r="Q10" s="27">
        <v>20</v>
      </c>
      <c r="R10" s="31">
        <v>2.484</v>
      </c>
      <c r="S10" s="31">
        <v>2.484</v>
      </c>
      <c r="T10" s="33">
        <v>12.42</v>
      </c>
      <c r="U10" s="29">
        <v>14.904</v>
      </c>
      <c r="V10" s="35">
        <v>43235</v>
      </c>
      <c r="W10" s="35">
        <v>43234</v>
      </c>
      <c r="X10" s="27"/>
      <c r="Y10" s="58">
        <v>12.42</v>
      </c>
      <c r="Z10" s="31">
        <v>0</v>
      </c>
      <c r="AA10" t="b">
        <v>0</v>
      </c>
    </row>
    <row r="11" spans="1:16383" x14ac:dyDescent="0.25">
      <c r="A11">
        <v>312</v>
      </c>
      <c r="B11" s="53">
        <v>2018</v>
      </c>
      <c r="C11" s="53">
        <v>10</v>
      </c>
      <c r="D11" s="53" t="str">
        <f t="shared" si="0"/>
        <v>2018-10</v>
      </c>
      <c r="E11" s="9" t="s">
        <v>679</v>
      </c>
      <c r="F11" s="1">
        <v>43132</v>
      </c>
      <c r="G11" t="s">
        <v>34</v>
      </c>
      <c r="H11" s="16"/>
      <c r="I11" s="16" t="s">
        <v>105</v>
      </c>
      <c r="J11" s="16" t="s">
        <v>703</v>
      </c>
      <c r="K11" s="16" t="s">
        <v>985</v>
      </c>
      <c r="L11" t="b">
        <v>0</v>
      </c>
      <c r="M11" s="36">
        <v>15.58</v>
      </c>
      <c r="N11" s="51">
        <v>1</v>
      </c>
      <c r="O11" s="29">
        <v>18.696000000000002</v>
      </c>
      <c r="P11" s="29" t="str">
        <f t="shared" si="1"/>
        <v>20%</v>
      </c>
      <c r="Q11" s="27">
        <v>20</v>
      </c>
      <c r="R11" s="31">
        <v>3.1160000000000001</v>
      </c>
      <c r="S11" s="31">
        <v>3.1160000000000001</v>
      </c>
      <c r="T11" s="33">
        <v>15.58</v>
      </c>
      <c r="U11" s="29">
        <v>18.696000000000002</v>
      </c>
      <c r="V11" s="35">
        <v>43235</v>
      </c>
      <c r="W11" s="35">
        <v>43234</v>
      </c>
      <c r="X11" s="27"/>
      <c r="Y11" s="58">
        <v>15.58</v>
      </c>
      <c r="Z11" s="31">
        <v>0</v>
      </c>
      <c r="AA11" t="b">
        <v>0</v>
      </c>
    </row>
    <row r="12" spans="1:16383" x14ac:dyDescent="0.25">
      <c r="A12">
        <v>313</v>
      </c>
      <c r="B12" s="53">
        <v>2018</v>
      </c>
      <c r="C12" s="53">
        <v>11</v>
      </c>
      <c r="D12" s="53" t="str">
        <f t="shared" si="0"/>
        <v>2018-11</v>
      </c>
      <c r="E12" s="9" t="s">
        <v>680</v>
      </c>
      <c r="F12" s="1">
        <v>43132</v>
      </c>
      <c r="G12" t="s">
        <v>647</v>
      </c>
      <c r="H12" s="16"/>
      <c r="I12" s="16" t="s">
        <v>105</v>
      </c>
      <c r="J12" s="16" t="s">
        <v>703</v>
      </c>
      <c r="K12" s="16" t="s">
        <v>985</v>
      </c>
      <c r="L12" t="b">
        <v>0</v>
      </c>
      <c r="M12" s="36">
        <f>20.66+1.04</f>
        <v>21.7</v>
      </c>
      <c r="N12" s="51">
        <f>2/3</f>
        <v>0.66666666666666663</v>
      </c>
      <c r="O12" s="29">
        <f>N12*U12</f>
        <v>17.36</v>
      </c>
      <c r="P12" s="29" t="str">
        <f t="shared" si="1"/>
        <v>20%</v>
      </c>
      <c r="Q12" s="27">
        <v>20</v>
      </c>
      <c r="R12" s="31">
        <v>6.38</v>
      </c>
      <c r="S12" s="31">
        <v>2.207687718401091</v>
      </c>
      <c r="T12" s="33">
        <f>N12*M12</f>
        <v>14.466666666666665</v>
      </c>
      <c r="U12" s="29">
        <f>M12*(100%+P12)</f>
        <v>26.04</v>
      </c>
      <c r="V12" s="35">
        <v>43235</v>
      </c>
      <c r="W12" s="35">
        <v>43234</v>
      </c>
      <c r="X12" s="27"/>
      <c r="Y12" s="58">
        <v>14.574891332140119</v>
      </c>
      <c r="Z12" s="31">
        <v>0</v>
      </c>
      <c r="AA12" t="b">
        <v>0</v>
      </c>
    </row>
    <row r="13" spans="1:16383" x14ac:dyDescent="0.25">
      <c r="A13">
        <v>314</v>
      </c>
      <c r="B13" s="53">
        <v>2018</v>
      </c>
      <c r="C13" s="53">
        <v>12</v>
      </c>
      <c r="D13" s="53" t="str">
        <f t="shared" si="0"/>
        <v>2018-12</v>
      </c>
      <c r="E13" s="9" t="s">
        <v>717</v>
      </c>
      <c r="F13" s="1">
        <v>43146</v>
      </c>
      <c r="G13" s="1" t="s">
        <v>795</v>
      </c>
      <c r="H13" s="16"/>
      <c r="I13" s="16" t="s">
        <v>105</v>
      </c>
      <c r="J13" s="16" t="s">
        <v>705</v>
      </c>
      <c r="K13" s="16" t="s">
        <v>985</v>
      </c>
      <c r="L13" t="b">
        <v>0</v>
      </c>
      <c r="M13" s="36">
        <v>82.5</v>
      </c>
      <c r="N13" s="51">
        <v>0.27320378419841473</v>
      </c>
      <c r="O13" s="29">
        <v>27.04717463564306</v>
      </c>
      <c r="P13" s="29" t="str">
        <f t="shared" si="1"/>
        <v>20%</v>
      </c>
      <c r="Q13" s="27">
        <v>20</v>
      </c>
      <c r="R13" s="31">
        <v>16.5</v>
      </c>
      <c r="S13" s="31">
        <v>4.5078624392738433</v>
      </c>
      <c r="T13" s="33">
        <v>22.539312196369217</v>
      </c>
      <c r="U13" s="29">
        <v>99</v>
      </c>
      <c r="V13" s="35">
        <v>43235</v>
      </c>
      <c r="W13" s="35">
        <v>43234</v>
      </c>
      <c r="X13" s="27"/>
      <c r="Y13" s="58">
        <v>22.539312196369217</v>
      </c>
      <c r="Z13" s="31">
        <v>0</v>
      </c>
      <c r="AA13" t="b">
        <v>0</v>
      </c>
    </row>
    <row r="14" spans="1:16383" x14ac:dyDescent="0.25">
      <c r="A14">
        <v>315</v>
      </c>
      <c r="B14" s="53">
        <v>2018</v>
      </c>
      <c r="C14" s="53">
        <v>13</v>
      </c>
      <c r="D14" s="53" t="str">
        <f t="shared" si="0"/>
        <v>2018-13</v>
      </c>
      <c r="E14" s="9" t="s">
        <v>711</v>
      </c>
      <c r="F14" s="1">
        <v>43152</v>
      </c>
      <c r="G14" t="s">
        <v>712</v>
      </c>
      <c r="H14" s="16"/>
      <c r="I14" s="16" t="s">
        <v>105</v>
      </c>
      <c r="J14" s="16" t="s">
        <v>705</v>
      </c>
      <c r="K14" s="16"/>
      <c r="L14" t="b">
        <v>0</v>
      </c>
      <c r="M14" s="36">
        <v>168.75</v>
      </c>
      <c r="N14" s="51">
        <v>1</v>
      </c>
      <c r="O14" s="29">
        <v>202.5</v>
      </c>
      <c r="P14" s="29" t="str">
        <f t="shared" si="1"/>
        <v>20%</v>
      </c>
      <c r="Q14" s="27">
        <v>20</v>
      </c>
      <c r="R14" s="31">
        <v>33.75</v>
      </c>
      <c r="S14" s="31">
        <v>33.75</v>
      </c>
      <c r="T14" s="33">
        <v>168.75</v>
      </c>
      <c r="U14" s="29">
        <v>202.5</v>
      </c>
      <c r="V14" s="35">
        <v>43235</v>
      </c>
      <c r="W14" s="35">
        <v>43234</v>
      </c>
      <c r="X14" s="27"/>
      <c r="Y14" s="58">
        <v>168.75</v>
      </c>
      <c r="Z14" s="31">
        <v>0</v>
      </c>
      <c r="AA14" t="b">
        <v>0</v>
      </c>
    </row>
    <row r="15" spans="1:16383" x14ac:dyDescent="0.25">
      <c r="B15" s="53">
        <v>2018</v>
      </c>
      <c r="C15" s="53">
        <v>14</v>
      </c>
      <c r="D15" s="53" t="str">
        <f t="shared" si="0"/>
        <v>2018-14</v>
      </c>
      <c r="E15" s="9" t="s">
        <v>650</v>
      </c>
      <c r="F15" s="1">
        <v>43157</v>
      </c>
      <c r="G15" s="1" t="s">
        <v>909</v>
      </c>
      <c r="H15" s="16"/>
      <c r="I15" s="16" t="s">
        <v>105</v>
      </c>
      <c r="J15" s="16" t="s">
        <v>691</v>
      </c>
      <c r="K15" s="16" t="s">
        <v>985</v>
      </c>
      <c r="L15" t="b">
        <v>0</v>
      </c>
      <c r="M15" s="36">
        <v>763.44</v>
      </c>
      <c r="N15" s="51">
        <v>0.27320378419841473</v>
      </c>
      <c r="O15" s="29">
        <v>229.43216670928155</v>
      </c>
      <c r="P15" s="29" t="str">
        <f t="shared" si="1"/>
        <v>10%</v>
      </c>
      <c r="Q15" s="27">
        <v>10</v>
      </c>
      <c r="R15" s="31">
        <v>76.344000000000008</v>
      </c>
      <c r="S15" s="31">
        <v>20.857469700843776</v>
      </c>
      <c r="T15" s="33">
        <v>208.57469700843777</v>
      </c>
      <c r="U15" s="29">
        <v>839.78400000000011</v>
      </c>
      <c r="V15" s="35">
        <v>43235</v>
      </c>
      <c r="W15" s="35">
        <v>43234</v>
      </c>
      <c r="X15" s="27"/>
      <c r="Y15" s="58">
        <v>208.57469700843777</v>
      </c>
      <c r="Z15" s="31">
        <v>0</v>
      </c>
      <c r="AA15" t="b">
        <v>0</v>
      </c>
    </row>
    <row r="16" spans="1:16383" x14ac:dyDescent="0.25">
      <c r="B16" s="53">
        <v>2018</v>
      </c>
      <c r="C16" s="53">
        <v>15</v>
      </c>
      <c r="D16" s="53" t="str">
        <f t="shared" si="0"/>
        <v>2018-15</v>
      </c>
      <c r="E16" s="9" t="s">
        <v>713</v>
      </c>
      <c r="F16" s="1">
        <v>43160</v>
      </c>
      <c r="G16" t="s">
        <v>647</v>
      </c>
      <c r="H16" s="16"/>
      <c r="I16" s="16" t="s">
        <v>105</v>
      </c>
      <c r="J16" s="16" t="s">
        <v>703</v>
      </c>
      <c r="K16" s="16" t="s">
        <v>985</v>
      </c>
      <c r="L16" t="b">
        <v>0</v>
      </c>
      <c r="M16" s="36">
        <f>20.66+1.04</f>
        <v>21.7</v>
      </c>
      <c r="N16" s="51">
        <f>2/3</f>
        <v>0.66666666666666663</v>
      </c>
      <c r="O16" s="29">
        <f>N16*U16</f>
        <v>17.36</v>
      </c>
      <c r="P16" s="29" t="str">
        <f t="shared" si="1"/>
        <v>20%</v>
      </c>
      <c r="Q16" s="27">
        <v>20</v>
      </c>
      <c r="R16" s="31">
        <v>6.38</v>
      </c>
      <c r="S16" s="31">
        <v>2.207687718401091</v>
      </c>
      <c r="T16" s="33">
        <f>N16*M16</f>
        <v>14.466666666666665</v>
      </c>
      <c r="U16" s="29">
        <f>M16*(100%+P16)</f>
        <v>26.04</v>
      </c>
      <c r="V16" s="35">
        <v>43235</v>
      </c>
      <c r="W16" s="35">
        <v>43234</v>
      </c>
      <c r="X16" s="27"/>
      <c r="Y16" s="58">
        <v>14.574891332140119</v>
      </c>
      <c r="Z16" s="31">
        <v>0</v>
      </c>
      <c r="AA16" t="b">
        <v>0</v>
      </c>
    </row>
    <row r="17" spans="2:27" x14ac:dyDescent="0.25">
      <c r="B17" s="53">
        <v>2018</v>
      </c>
      <c r="C17" s="53">
        <v>16</v>
      </c>
      <c r="D17" s="53" t="str">
        <f t="shared" si="0"/>
        <v>2018-16</v>
      </c>
      <c r="E17" s="9" t="s">
        <v>714</v>
      </c>
      <c r="F17" s="1">
        <v>43167</v>
      </c>
      <c r="G17" t="s">
        <v>34</v>
      </c>
      <c r="H17" s="16"/>
      <c r="I17" s="16" t="s">
        <v>105</v>
      </c>
      <c r="J17" s="16" t="s">
        <v>703</v>
      </c>
      <c r="K17" s="16" t="s">
        <v>985</v>
      </c>
      <c r="L17" t="b">
        <v>0</v>
      </c>
      <c r="M17" s="36">
        <v>15.58</v>
      </c>
      <c r="N17" s="51">
        <v>1</v>
      </c>
      <c r="O17" s="29">
        <v>18.696000000000002</v>
      </c>
      <c r="P17" s="29" t="str">
        <f t="shared" si="1"/>
        <v>20%</v>
      </c>
      <c r="Q17" s="27">
        <v>20</v>
      </c>
      <c r="R17" s="31">
        <v>3.1160000000000001</v>
      </c>
      <c r="S17" s="31">
        <v>3.1160000000000001</v>
      </c>
      <c r="T17" s="33">
        <v>15.58</v>
      </c>
      <c r="U17" s="29">
        <v>18.696000000000002</v>
      </c>
      <c r="V17" s="35">
        <v>43235</v>
      </c>
      <c r="W17" s="35">
        <v>43234</v>
      </c>
      <c r="X17" s="27"/>
      <c r="Y17" s="58">
        <v>15.58</v>
      </c>
      <c r="Z17" s="31">
        <v>0</v>
      </c>
      <c r="AA17" t="b">
        <v>0</v>
      </c>
    </row>
    <row r="18" spans="2:27" x14ac:dyDescent="0.25">
      <c r="B18" s="53">
        <v>2018</v>
      </c>
      <c r="C18" s="53">
        <v>17</v>
      </c>
      <c r="D18" s="53" t="str">
        <f t="shared" si="0"/>
        <v>2018-17</v>
      </c>
      <c r="E18" s="9" t="s">
        <v>715</v>
      </c>
      <c r="F18" s="1">
        <v>43174</v>
      </c>
      <c r="G18" s="1" t="s">
        <v>795</v>
      </c>
      <c r="H18" s="16"/>
      <c r="I18" s="16" t="s">
        <v>105</v>
      </c>
      <c r="J18" s="16" t="s">
        <v>705</v>
      </c>
      <c r="K18" s="16" t="s">
        <v>985</v>
      </c>
      <c r="L18" t="b">
        <v>0</v>
      </c>
      <c r="M18" s="36">
        <v>82.5</v>
      </c>
      <c r="N18" s="51">
        <v>0.27320378419841473</v>
      </c>
      <c r="O18" s="29">
        <v>27.04717463564306</v>
      </c>
      <c r="P18" s="29" t="str">
        <f t="shared" si="1"/>
        <v>20%</v>
      </c>
      <c r="Q18" s="27">
        <v>20</v>
      </c>
      <c r="R18" s="31">
        <v>16.5</v>
      </c>
      <c r="S18" s="31">
        <v>4.5078624392738433</v>
      </c>
      <c r="T18" s="33">
        <v>22.539312196369217</v>
      </c>
      <c r="U18" s="29">
        <v>99</v>
      </c>
      <c r="V18" s="35">
        <v>43235</v>
      </c>
      <c r="W18" s="35">
        <v>43234</v>
      </c>
      <c r="X18" s="27"/>
      <c r="Y18" s="58">
        <v>22.539312196369217</v>
      </c>
      <c r="Z18" s="31">
        <v>0</v>
      </c>
      <c r="AA18" t="b">
        <v>0</v>
      </c>
    </row>
    <row r="19" spans="2:27" x14ac:dyDescent="0.25">
      <c r="B19" s="53">
        <v>2018</v>
      </c>
      <c r="C19" s="53">
        <v>18</v>
      </c>
      <c r="D19" s="53" t="str">
        <f t="shared" si="0"/>
        <v>2018-18</v>
      </c>
      <c r="E19" s="9" t="s">
        <v>716</v>
      </c>
      <c r="F19" s="1">
        <v>43152</v>
      </c>
      <c r="G19" t="s">
        <v>651</v>
      </c>
      <c r="H19" s="16"/>
      <c r="I19" s="16" t="s">
        <v>105</v>
      </c>
      <c r="J19" s="16" t="s">
        <v>705</v>
      </c>
      <c r="K19" s="16" t="s">
        <v>985</v>
      </c>
      <c r="L19" t="b">
        <v>0</v>
      </c>
      <c r="M19" s="36">
        <v>15.3</v>
      </c>
      <c r="N19" s="51">
        <v>1</v>
      </c>
      <c r="O19" s="29">
        <v>18.36</v>
      </c>
      <c r="P19" s="29" t="str">
        <f t="shared" si="1"/>
        <v>20%</v>
      </c>
      <c r="Q19" s="27">
        <v>20</v>
      </c>
      <c r="R19" s="31">
        <v>3.06</v>
      </c>
      <c r="S19" s="31">
        <v>3.06</v>
      </c>
      <c r="T19" s="33">
        <v>15.3</v>
      </c>
      <c r="U19" s="29">
        <v>18.36</v>
      </c>
      <c r="V19" s="35">
        <v>43235</v>
      </c>
      <c r="W19" s="35">
        <v>43234</v>
      </c>
      <c r="X19" s="27"/>
      <c r="Y19" s="58">
        <v>15.3</v>
      </c>
      <c r="Z19" s="31">
        <v>0</v>
      </c>
      <c r="AA19" t="b">
        <v>0</v>
      </c>
    </row>
    <row r="20" spans="2:27" x14ac:dyDescent="0.25">
      <c r="B20" s="53">
        <v>2018</v>
      </c>
      <c r="C20" s="53">
        <v>19</v>
      </c>
      <c r="D20" s="53" t="str">
        <f t="shared" si="0"/>
        <v>2018-19</v>
      </c>
      <c r="E20" s="9" t="s">
        <v>650</v>
      </c>
      <c r="F20" s="1">
        <v>43185</v>
      </c>
      <c r="G20" s="1" t="s">
        <v>909</v>
      </c>
      <c r="H20" s="16"/>
      <c r="I20" s="16" t="s">
        <v>105</v>
      </c>
      <c r="J20" s="16" t="s">
        <v>691</v>
      </c>
      <c r="K20" s="16" t="s">
        <v>985</v>
      </c>
      <c r="L20" t="b">
        <v>0</v>
      </c>
      <c r="M20" s="36">
        <v>763.44</v>
      </c>
      <c r="N20" s="51">
        <v>0.27320378419841473</v>
      </c>
      <c r="O20" s="29">
        <v>229.43216670928155</v>
      </c>
      <c r="P20" s="29" t="str">
        <f t="shared" si="1"/>
        <v>10%</v>
      </c>
      <c r="Q20" s="27">
        <v>10</v>
      </c>
      <c r="R20" s="31">
        <v>76.344000000000008</v>
      </c>
      <c r="S20" s="31">
        <v>20.857469700843776</v>
      </c>
      <c r="T20" s="33">
        <v>208.57469700843777</v>
      </c>
      <c r="U20" s="29">
        <v>839.78400000000011</v>
      </c>
      <c r="V20" s="35">
        <v>43235</v>
      </c>
      <c r="W20" s="35">
        <v>43234</v>
      </c>
      <c r="X20" s="27"/>
      <c r="Y20" s="58">
        <v>208.57469700843777</v>
      </c>
      <c r="Z20" s="31">
        <v>0</v>
      </c>
      <c r="AA20" t="b">
        <v>0</v>
      </c>
    </row>
    <row r="21" spans="2:27" x14ac:dyDescent="0.25">
      <c r="B21" s="53">
        <v>2018</v>
      </c>
      <c r="C21" s="53">
        <v>20</v>
      </c>
      <c r="D21" s="53" t="str">
        <f t="shared" si="0"/>
        <v>2018-20</v>
      </c>
      <c r="E21" s="9" t="s">
        <v>726</v>
      </c>
      <c r="F21" s="1">
        <v>43194</v>
      </c>
      <c r="G21" t="s">
        <v>647</v>
      </c>
      <c r="H21" s="16"/>
      <c r="I21" s="16" t="s">
        <v>105</v>
      </c>
      <c r="J21" s="16" t="s">
        <v>703</v>
      </c>
      <c r="K21" s="16"/>
      <c r="L21" t="b">
        <v>0</v>
      </c>
      <c r="M21" s="36">
        <f>8.93+27.82+27.81+1.04-1.86-5.8-4.78-14.86</f>
        <v>38.300000000000011</v>
      </c>
      <c r="N21" s="51">
        <f>2/3</f>
        <v>0.66666666666666663</v>
      </c>
      <c r="O21" s="29">
        <f>N21*U21</f>
        <v>30.640000000000008</v>
      </c>
      <c r="P21" s="29" t="str">
        <f t="shared" si="1"/>
        <v>20%</v>
      </c>
      <c r="Q21" s="27">
        <v>20</v>
      </c>
      <c r="R21" s="31">
        <v>6.38</v>
      </c>
      <c r="S21" s="31">
        <v>2.207687718401091</v>
      </c>
      <c r="T21" s="33">
        <f>N21*M21</f>
        <v>25.533333333333339</v>
      </c>
      <c r="U21" s="29">
        <f>M21*(100%+P21)</f>
        <v>45.960000000000015</v>
      </c>
      <c r="V21" s="35">
        <v>43235</v>
      </c>
      <c r="W21" s="35">
        <v>43318</v>
      </c>
      <c r="X21" s="27"/>
      <c r="Y21" s="58">
        <v>24.840000000000003</v>
      </c>
      <c r="Z21" s="31">
        <v>0</v>
      </c>
      <c r="AA21" t="b">
        <v>0</v>
      </c>
    </row>
    <row r="22" spans="2:27" x14ac:dyDescent="0.25">
      <c r="B22" s="53">
        <v>2018</v>
      </c>
      <c r="C22" s="53">
        <v>21</v>
      </c>
      <c r="D22" s="53" t="str">
        <f t="shared" si="0"/>
        <v>2018-21</v>
      </c>
      <c r="E22" s="9" t="s">
        <v>725</v>
      </c>
      <c r="F22" s="1">
        <v>43196</v>
      </c>
      <c r="G22" t="s">
        <v>34</v>
      </c>
      <c r="H22" s="16"/>
      <c r="I22" s="16" t="s">
        <v>105</v>
      </c>
      <c r="J22" s="16" t="s">
        <v>703</v>
      </c>
      <c r="K22" s="16" t="s">
        <v>985</v>
      </c>
      <c r="L22" t="b">
        <v>0</v>
      </c>
      <c r="M22" s="36">
        <v>15.58</v>
      </c>
      <c r="N22" s="51">
        <v>1</v>
      </c>
      <c r="O22" s="29">
        <v>18.696000000000002</v>
      </c>
      <c r="P22" s="29" t="str">
        <f t="shared" si="1"/>
        <v>20%</v>
      </c>
      <c r="Q22" s="27">
        <v>20</v>
      </c>
      <c r="R22" s="31">
        <v>3.1160000000000001</v>
      </c>
      <c r="S22" s="31">
        <v>3.1160000000000001</v>
      </c>
      <c r="T22" s="33">
        <v>15.58</v>
      </c>
      <c r="U22" s="29">
        <v>18.696000000000002</v>
      </c>
      <c r="V22" s="35">
        <v>43327</v>
      </c>
      <c r="W22" s="35">
        <v>43318</v>
      </c>
      <c r="X22" s="27"/>
      <c r="Y22" s="58">
        <v>15.58</v>
      </c>
      <c r="Z22" s="31">
        <v>0</v>
      </c>
      <c r="AA22" t="b">
        <v>0</v>
      </c>
    </row>
    <row r="23" spans="2:27" x14ac:dyDescent="0.25">
      <c r="B23" s="53">
        <v>2018</v>
      </c>
      <c r="C23" s="53">
        <v>22</v>
      </c>
      <c r="D23" s="53" t="str">
        <f t="shared" si="0"/>
        <v>2018-22</v>
      </c>
      <c r="E23" s="9" t="s">
        <v>724</v>
      </c>
      <c r="F23" s="1">
        <v>43206</v>
      </c>
      <c r="G23" s="1" t="s">
        <v>986</v>
      </c>
      <c r="H23" s="16"/>
      <c r="I23" s="16" t="s">
        <v>105</v>
      </c>
      <c r="J23" s="16" t="s">
        <v>705</v>
      </c>
      <c r="K23" s="16" t="s">
        <v>985</v>
      </c>
      <c r="L23" t="b">
        <v>0</v>
      </c>
      <c r="M23" s="36">
        <v>151.66999999999999</v>
      </c>
      <c r="N23" s="51">
        <v>0.27320378419841473</v>
      </c>
      <c r="O23" s="29">
        <v>49.724181539248278</v>
      </c>
      <c r="P23" s="29" t="str">
        <f t="shared" si="1"/>
        <v>20%</v>
      </c>
      <c r="Q23" s="27">
        <v>20</v>
      </c>
      <c r="R23" s="31">
        <v>30.333999999999996</v>
      </c>
      <c r="S23" s="31">
        <v>8.2873635898747118</v>
      </c>
      <c r="T23" s="33">
        <v>41.436817949373562</v>
      </c>
      <c r="U23" s="29">
        <v>182.00399999999999</v>
      </c>
      <c r="V23" s="35">
        <v>43327</v>
      </c>
      <c r="W23" s="35">
        <v>43318</v>
      </c>
      <c r="X23" s="27"/>
      <c r="Y23" s="58">
        <v>41.436817949373562</v>
      </c>
      <c r="Z23" s="31">
        <v>0</v>
      </c>
      <c r="AA23" t="b">
        <v>0</v>
      </c>
    </row>
    <row r="24" spans="2:27" x14ac:dyDescent="0.25">
      <c r="B24" s="53">
        <v>2018</v>
      </c>
      <c r="C24" s="53">
        <v>23</v>
      </c>
      <c r="D24" s="53" t="str">
        <f t="shared" si="0"/>
        <v>2018-23</v>
      </c>
      <c r="E24" s="9" t="s">
        <v>723</v>
      </c>
      <c r="F24" s="1">
        <v>43206</v>
      </c>
      <c r="G24" s="1" t="s">
        <v>795</v>
      </c>
      <c r="H24" s="16"/>
      <c r="I24" s="16" t="s">
        <v>105</v>
      </c>
      <c r="J24" s="16" t="s">
        <v>705</v>
      </c>
      <c r="K24" s="16" t="s">
        <v>985</v>
      </c>
      <c r="L24" t="b">
        <v>0</v>
      </c>
      <c r="M24" s="36">
        <v>82.5</v>
      </c>
      <c r="N24" s="51">
        <v>0.27320378419841473</v>
      </c>
      <c r="O24" s="29">
        <v>27.04717463564306</v>
      </c>
      <c r="P24" s="29" t="str">
        <f t="shared" si="1"/>
        <v>20%</v>
      </c>
      <c r="Q24" s="27">
        <v>20</v>
      </c>
      <c r="R24" s="31">
        <v>16.5</v>
      </c>
      <c r="S24" s="31">
        <v>4.5078624392738433</v>
      </c>
      <c r="T24" s="33">
        <v>22.539312196369217</v>
      </c>
      <c r="U24" s="29">
        <v>99</v>
      </c>
      <c r="V24" s="35">
        <v>43327</v>
      </c>
      <c r="W24" s="35">
        <v>43318</v>
      </c>
      <c r="X24" s="27"/>
      <c r="Y24" s="58">
        <v>22.539312196369217</v>
      </c>
      <c r="Z24" s="31">
        <v>0</v>
      </c>
      <c r="AA24" t="b">
        <v>0</v>
      </c>
    </row>
    <row r="25" spans="2:27" x14ac:dyDescent="0.25">
      <c r="B25" s="53">
        <v>2018</v>
      </c>
      <c r="C25" s="53">
        <v>24</v>
      </c>
      <c r="D25" s="53" t="str">
        <f t="shared" si="0"/>
        <v>2018-24</v>
      </c>
      <c r="E25" s="9" t="s">
        <v>718</v>
      </c>
      <c r="F25" s="1">
        <v>43181</v>
      </c>
      <c r="G25" s="1" t="s">
        <v>728</v>
      </c>
      <c r="H25" s="16"/>
      <c r="I25" s="16" t="s">
        <v>105</v>
      </c>
      <c r="J25" s="16" t="s">
        <v>683</v>
      </c>
      <c r="K25" s="36" t="s">
        <v>540</v>
      </c>
      <c r="L25" t="b">
        <v>0</v>
      </c>
      <c r="M25" s="36">
        <v>30.24</v>
      </c>
      <c r="N25" s="51">
        <v>1</v>
      </c>
      <c r="O25" s="29">
        <v>36.287999999999997</v>
      </c>
      <c r="P25" s="29" t="str">
        <f t="shared" si="1"/>
        <v>20%</v>
      </c>
      <c r="Q25" s="27">
        <v>20</v>
      </c>
      <c r="R25" s="31">
        <v>6.0479999999999992</v>
      </c>
      <c r="S25" s="31">
        <v>6.0479999999999992</v>
      </c>
      <c r="T25" s="33">
        <v>30.24</v>
      </c>
      <c r="U25" s="29">
        <v>36.287999999999997</v>
      </c>
      <c r="V25" s="35">
        <v>43235</v>
      </c>
      <c r="W25" s="35">
        <v>43234</v>
      </c>
      <c r="X25" s="27"/>
      <c r="Y25" s="58">
        <v>30.24</v>
      </c>
      <c r="Z25" s="31">
        <v>0</v>
      </c>
      <c r="AA25" t="b">
        <v>0</v>
      </c>
    </row>
    <row r="26" spans="2:27" x14ac:dyDescent="0.25">
      <c r="B26" s="53">
        <v>2018</v>
      </c>
      <c r="C26" s="53">
        <v>25</v>
      </c>
      <c r="D26" s="53" t="str">
        <f t="shared" si="0"/>
        <v>2018-25</v>
      </c>
      <c r="E26" s="9" t="s">
        <v>650</v>
      </c>
      <c r="F26" s="1">
        <v>43215</v>
      </c>
      <c r="G26" s="1" t="s">
        <v>909</v>
      </c>
      <c r="H26" s="16"/>
      <c r="I26" s="16" t="s">
        <v>105</v>
      </c>
      <c r="J26" s="16" t="s">
        <v>691</v>
      </c>
      <c r="K26" s="16" t="s">
        <v>985</v>
      </c>
      <c r="L26" t="b">
        <v>0</v>
      </c>
      <c r="M26" s="36">
        <v>763.44</v>
      </c>
      <c r="N26" s="51">
        <v>0.27320378419841473</v>
      </c>
      <c r="O26" s="29">
        <v>229.43216670928155</v>
      </c>
      <c r="P26" s="29" t="str">
        <f t="shared" si="1"/>
        <v>10%</v>
      </c>
      <c r="Q26" s="27">
        <v>10</v>
      </c>
      <c r="R26" s="31">
        <v>76.344000000000008</v>
      </c>
      <c r="S26" s="31">
        <v>20.857469700843776</v>
      </c>
      <c r="T26" s="33">
        <v>208.57469700843777</v>
      </c>
      <c r="U26" s="29">
        <v>839.78400000000011</v>
      </c>
      <c r="V26" s="35">
        <v>43327</v>
      </c>
      <c r="W26" s="35">
        <v>43318</v>
      </c>
      <c r="X26" s="27"/>
      <c r="Y26" s="58">
        <v>208.57469700843777</v>
      </c>
      <c r="Z26" s="31">
        <v>0</v>
      </c>
      <c r="AA26" t="b">
        <v>0</v>
      </c>
    </row>
    <row r="27" spans="2:27" x14ac:dyDescent="0.25">
      <c r="B27" s="53">
        <v>2018</v>
      </c>
      <c r="C27" s="53">
        <v>26</v>
      </c>
      <c r="D27" s="53" t="str">
        <f t="shared" si="0"/>
        <v>2018-26</v>
      </c>
      <c r="E27" s="9" t="s">
        <v>720</v>
      </c>
      <c r="F27" s="1">
        <v>43224</v>
      </c>
      <c r="G27" t="s">
        <v>647</v>
      </c>
      <c r="H27" s="16"/>
      <c r="I27" s="16" t="s">
        <v>105</v>
      </c>
      <c r="J27" s="16" t="s">
        <v>703</v>
      </c>
      <c r="K27" s="16"/>
      <c r="L27" t="b">
        <v>0</v>
      </c>
      <c r="M27" s="36">
        <f>27.82+1.04</f>
        <v>28.86</v>
      </c>
      <c r="N27" s="51">
        <f>2/3</f>
        <v>0.66666666666666663</v>
      </c>
      <c r="O27" s="29">
        <f>N27*U27</f>
        <v>23.087999999999997</v>
      </c>
      <c r="P27" s="29" t="str">
        <f t="shared" si="1"/>
        <v>20%</v>
      </c>
      <c r="Q27" s="27">
        <v>20</v>
      </c>
      <c r="R27" s="31">
        <v>6.38</v>
      </c>
      <c r="S27" s="31">
        <v>2.207687718401091</v>
      </c>
      <c r="T27" s="33">
        <f>N27*M27</f>
        <v>19.239999999999998</v>
      </c>
      <c r="U27" s="29">
        <f>M27*(100%+P27)</f>
        <v>34.631999999999998</v>
      </c>
      <c r="V27" s="35">
        <v>43235</v>
      </c>
      <c r="W27" s="35">
        <v>43318</v>
      </c>
      <c r="X27" s="27"/>
      <c r="Y27" s="58">
        <v>19.240000000000002</v>
      </c>
      <c r="Z27" s="31">
        <v>0</v>
      </c>
      <c r="AA27" t="b">
        <v>0</v>
      </c>
    </row>
    <row r="28" spans="2:27" x14ac:dyDescent="0.25">
      <c r="B28" s="53">
        <v>2018</v>
      </c>
      <c r="C28" s="53">
        <v>27</v>
      </c>
      <c r="D28" s="53" t="str">
        <f t="shared" si="0"/>
        <v>2018-27</v>
      </c>
      <c r="E28" s="9" t="s">
        <v>719</v>
      </c>
      <c r="F28" s="1">
        <v>43227</v>
      </c>
      <c r="G28" t="s">
        <v>34</v>
      </c>
      <c r="H28" s="16"/>
      <c r="I28" s="16" t="s">
        <v>105</v>
      </c>
      <c r="J28" s="16" t="s">
        <v>703</v>
      </c>
      <c r="K28" s="16" t="s">
        <v>985</v>
      </c>
      <c r="L28" t="b">
        <v>0</v>
      </c>
      <c r="M28" s="36">
        <v>15</v>
      </c>
      <c r="N28" s="51">
        <v>1</v>
      </c>
      <c r="O28" s="29">
        <v>18</v>
      </c>
      <c r="P28" s="29" t="str">
        <f t="shared" si="1"/>
        <v>20%</v>
      </c>
      <c r="Q28" s="27">
        <v>20</v>
      </c>
      <c r="R28" s="31">
        <v>3</v>
      </c>
      <c r="S28" s="31">
        <v>3</v>
      </c>
      <c r="T28" s="33">
        <v>15</v>
      </c>
      <c r="U28" s="29">
        <v>18</v>
      </c>
      <c r="V28" s="35">
        <v>43327</v>
      </c>
      <c r="W28" s="35">
        <v>43318</v>
      </c>
      <c r="X28" s="27"/>
      <c r="Y28" s="58">
        <v>15</v>
      </c>
      <c r="Z28" s="31">
        <v>0</v>
      </c>
      <c r="AA28" t="b">
        <v>0</v>
      </c>
    </row>
    <row r="29" spans="2:27" x14ac:dyDescent="0.25">
      <c r="B29" s="53">
        <v>2018</v>
      </c>
      <c r="C29" s="53">
        <v>28</v>
      </c>
      <c r="D29" s="53" t="str">
        <f t="shared" si="0"/>
        <v>2018-28</v>
      </c>
      <c r="E29" s="9" t="s">
        <v>721</v>
      </c>
      <c r="F29" s="1">
        <v>43234</v>
      </c>
      <c r="G29" s="1" t="s">
        <v>987</v>
      </c>
      <c r="H29" s="16"/>
      <c r="I29" s="16" t="s">
        <v>105</v>
      </c>
      <c r="J29" s="16" t="s">
        <v>704</v>
      </c>
      <c r="K29" s="16"/>
      <c r="L29" t="b">
        <v>0</v>
      </c>
      <c r="M29" s="36">
        <v>65</v>
      </c>
      <c r="N29" s="51">
        <v>1</v>
      </c>
      <c r="O29" s="29">
        <v>65</v>
      </c>
      <c r="P29" s="29" t="str">
        <f t="shared" si="1"/>
        <v>0%</v>
      </c>
      <c r="Q29" s="27">
        <v>0</v>
      </c>
      <c r="R29" s="31">
        <v>0</v>
      </c>
      <c r="S29" s="31">
        <v>0</v>
      </c>
      <c r="T29" s="33">
        <v>65</v>
      </c>
      <c r="U29" s="29">
        <v>65</v>
      </c>
      <c r="V29" s="35">
        <v>43327</v>
      </c>
      <c r="W29" s="35">
        <v>43318</v>
      </c>
      <c r="X29" s="27"/>
      <c r="Y29" s="58">
        <v>65</v>
      </c>
      <c r="Z29" s="31">
        <v>0</v>
      </c>
      <c r="AA29" t="b">
        <v>0</v>
      </c>
    </row>
    <row r="30" spans="2:27" x14ac:dyDescent="0.25">
      <c r="B30" s="53">
        <v>2018</v>
      </c>
      <c r="C30" s="53">
        <v>29</v>
      </c>
      <c r="D30" s="53" t="str">
        <f t="shared" si="0"/>
        <v>2018-29</v>
      </c>
      <c r="E30" s="9" t="s">
        <v>722</v>
      </c>
      <c r="F30" s="1">
        <v>43235</v>
      </c>
      <c r="G30" s="1" t="s">
        <v>795</v>
      </c>
      <c r="H30" s="16"/>
      <c r="I30" s="16" t="s">
        <v>105</v>
      </c>
      <c r="J30" s="16" t="s">
        <v>705</v>
      </c>
      <c r="K30" s="16" t="s">
        <v>985</v>
      </c>
      <c r="L30" t="b">
        <v>0</v>
      </c>
      <c r="M30" s="36">
        <v>82.5</v>
      </c>
      <c r="N30" s="51">
        <v>0.27320378419841473</v>
      </c>
      <c r="O30" s="29">
        <v>27.04717463564306</v>
      </c>
      <c r="P30" s="29" t="str">
        <f t="shared" si="1"/>
        <v>20%</v>
      </c>
      <c r="Q30" s="27">
        <v>20</v>
      </c>
      <c r="R30" s="31">
        <v>16.5</v>
      </c>
      <c r="S30" s="31">
        <v>4.5078624392738433</v>
      </c>
      <c r="T30" s="33">
        <v>22.539312196369217</v>
      </c>
      <c r="U30" s="29">
        <v>99</v>
      </c>
      <c r="V30" s="35">
        <v>43327</v>
      </c>
      <c r="W30" s="35">
        <v>43318</v>
      </c>
      <c r="X30" s="27"/>
      <c r="Y30" s="58">
        <v>22.539312196369217</v>
      </c>
      <c r="Z30" s="31">
        <v>0</v>
      </c>
      <c r="AA30" t="b">
        <v>0</v>
      </c>
    </row>
    <row r="31" spans="2:27" x14ac:dyDescent="0.25">
      <c r="B31" s="53">
        <v>2018</v>
      </c>
      <c r="C31" s="53">
        <v>30</v>
      </c>
      <c r="D31" s="53" t="str">
        <f t="shared" si="0"/>
        <v>2018-30</v>
      </c>
      <c r="E31" s="9" t="s">
        <v>650</v>
      </c>
      <c r="F31" s="1">
        <v>43245</v>
      </c>
      <c r="G31" s="1" t="s">
        <v>909</v>
      </c>
      <c r="H31" s="16"/>
      <c r="I31" s="16" t="s">
        <v>105</v>
      </c>
      <c r="J31" s="16" t="s">
        <v>691</v>
      </c>
      <c r="K31" s="16" t="s">
        <v>985</v>
      </c>
      <c r="L31" t="b">
        <v>0</v>
      </c>
      <c r="M31" s="36">
        <v>763.44</v>
      </c>
      <c r="N31" s="51">
        <v>0.27320378419841473</v>
      </c>
      <c r="O31" s="29">
        <v>229.43216670928155</v>
      </c>
      <c r="P31" s="29" t="str">
        <f t="shared" si="1"/>
        <v>10%</v>
      </c>
      <c r="Q31" s="27">
        <v>10</v>
      </c>
      <c r="R31" s="31">
        <v>76.344000000000008</v>
      </c>
      <c r="S31" s="31">
        <v>20.857469700843776</v>
      </c>
      <c r="T31" s="33">
        <v>208.57469700843777</v>
      </c>
      <c r="U31" s="29">
        <v>839.78400000000011</v>
      </c>
      <c r="V31" s="35">
        <v>43327</v>
      </c>
      <c r="W31" s="35">
        <v>43318</v>
      </c>
      <c r="X31" s="27"/>
      <c r="Y31" s="58">
        <v>208.57469700843777</v>
      </c>
      <c r="Z31" s="31">
        <v>0</v>
      </c>
      <c r="AA31" t="b">
        <v>0</v>
      </c>
    </row>
    <row r="32" spans="2:27" x14ac:dyDescent="0.25">
      <c r="B32" s="53">
        <v>2018</v>
      </c>
      <c r="C32" s="53">
        <v>31</v>
      </c>
      <c r="D32" s="53" t="str">
        <f t="shared" si="0"/>
        <v>2018-31</v>
      </c>
      <c r="E32" s="9" t="s">
        <v>729</v>
      </c>
      <c r="F32" s="1">
        <v>43200</v>
      </c>
      <c r="G32" s="1" t="s">
        <v>727</v>
      </c>
      <c r="H32" s="16"/>
      <c r="I32" s="16" t="s">
        <v>105</v>
      </c>
      <c r="J32" s="16" t="s">
        <v>683</v>
      </c>
      <c r="K32" s="36" t="s">
        <v>540</v>
      </c>
      <c r="L32" t="b">
        <v>0</v>
      </c>
      <c r="M32" s="36">
        <v>78.13</v>
      </c>
      <c r="N32" s="51">
        <v>1</v>
      </c>
      <c r="O32" s="29">
        <v>93.756</v>
      </c>
      <c r="P32" s="29" t="str">
        <f t="shared" si="1"/>
        <v>20%</v>
      </c>
      <c r="Q32" s="27">
        <v>20</v>
      </c>
      <c r="R32" s="31">
        <v>15.625999999999999</v>
      </c>
      <c r="S32" s="31">
        <v>15.625999999999999</v>
      </c>
      <c r="T32" s="33">
        <v>78.13</v>
      </c>
      <c r="U32" s="29">
        <v>93.756</v>
      </c>
      <c r="V32" s="35">
        <v>43327</v>
      </c>
      <c r="W32" s="35">
        <v>43318</v>
      </c>
      <c r="X32" s="27"/>
      <c r="Y32" s="58">
        <v>30.24</v>
      </c>
      <c r="Z32" s="31">
        <v>0</v>
      </c>
      <c r="AA32" t="b">
        <v>0</v>
      </c>
    </row>
    <row r="33" spans="2:27" x14ac:dyDescent="0.25">
      <c r="B33" s="53">
        <v>2018</v>
      </c>
      <c r="C33" s="53">
        <v>32</v>
      </c>
      <c r="D33" s="53" t="str">
        <f t="shared" si="0"/>
        <v>2018-32</v>
      </c>
      <c r="E33" s="9" t="s">
        <v>730</v>
      </c>
      <c r="F33" s="1">
        <v>43196</v>
      </c>
      <c r="G33" t="s">
        <v>731</v>
      </c>
      <c r="H33" s="16"/>
      <c r="I33" s="16" t="s">
        <v>105</v>
      </c>
      <c r="J33" s="16" t="s">
        <v>683</v>
      </c>
      <c r="K33" s="16" t="s">
        <v>540</v>
      </c>
      <c r="L33" t="b">
        <v>0</v>
      </c>
      <c r="M33" s="36">
        <v>32.51</v>
      </c>
      <c r="N33" s="51">
        <v>1</v>
      </c>
      <c r="O33" s="29">
        <v>39.3371</v>
      </c>
      <c r="P33" s="29" t="str">
        <f t="shared" si="1"/>
        <v>21%</v>
      </c>
      <c r="Q33" s="27">
        <v>21</v>
      </c>
      <c r="R33" s="31">
        <v>6.8270999999999988</v>
      </c>
      <c r="S33" s="31">
        <v>6.8270999999999988</v>
      </c>
      <c r="T33" s="33">
        <v>32.51</v>
      </c>
      <c r="U33" s="29">
        <v>39.3371</v>
      </c>
      <c r="V33" s="35">
        <v>43327</v>
      </c>
      <c r="W33" s="35">
        <v>43318</v>
      </c>
      <c r="X33" s="27"/>
      <c r="Y33" s="58">
        <v>30.24</v>
      </c>
      <c r="Z33" s="31">
        <v>0</v>
      </c>
      <c r="AA33" t="b">
        <v>0</v>
      </c>
    </row>
    <row r="34" spans="2:27" x14ac:dyDescent="0.25">
      <c r="B34" s="53">
        <v>2018</v>
      </c>
      <c r="C34" s="53">
        <v>33</v>
      </c>
      <c r="D34" s="53" t="str">
        <f t="shared" si="0"/>
        <v>2018-33</v>
      </c>
      <c r="E34" s="9" t="s">
        <v>732</v>
      </c>
      <c r="F34" s="1">
        <v>43242</v>
      </c>
      <c r="G34" t="s">
        <v>651</v>
      </c>
      <c r="H34" s="16"/>
      <c r="I34" s="16" t="s">
        <v>105</v>
      </c>
      <c r="J34" s="16" t="s">
        <v>705</v>
      </c>
      <c r="K34" s="16" t="s">
        <v>985</v>
      </c>
      <c r="L34" t="b">
        <v>0</v>
      </c>
      <c r="M34" s="36">
        <v>15.3</v>
      </c>
      <c r="N34" s="51">
        <v>1</v>
      </c>
      <c r="O34" s="29">
        <v>18.36</v>
      </c>
      <c r="P34" s="29" t="str">
        <f t="shared" si="1"/>
        <v>20%</v>
      </c>
      <c r="Q34" s="27">
        <v>20</v>
      </c>
      <c r="R34" s="31">
        <v>3.06</v>
      </c>
      <c r="S34" s="31">
        <v>3.06</v>
      </c>
      <c r="T34" s="33">
        <v>15.3</v>
      </c>
      <c r="U34" s="29">
        <v>18.36</v>
      </c>
      <c r="V34" s="35">
        <v>43327</v>
      </c>
      <c r="W34" s="35">
        <v>43318</v>
      </c>
      <c r="X34" s="27"/>
      <c r="Y34" s="58">
        <v>15.3</v>
      </c>
      <c r="Z34" s="31">
        <v>0</v>
      </c>
      <c r="AA34" t="b">
        <v>0</v>
      </c>
    </row>
    <row r="35" spans="2:27" x14ac:dyDescent="0.25">
      <c r="B35" s="53">
        <v>2018</v>
      </c>
      <c r="C35" s="53">
        <v>34</v>
      </c>
      <c r="D35" s="53" t="str">
        <f t="shared" si="0"/>
        <v>2018-34</v>
      </c>
      <c r="E35" s="9" t="s">
        <v>734</v>
      </c>
      <c r="F35" s="1">
        <v>43102</v>
      </c>
      <c r="G35" s="1" t="s">
        <v>733</v>
      </c>
      <c r="H35" s="16"/>
      <c r="I35" s="16" t="s">
        <v>105</v>
      </c>
      <c r="J35" s="16"/>
      <c r="K35" s="16" t="s">
        <v>540</v>
      </c>
      <c r="L35" t="b">
        <v>0</v>
      </c>
      <c r="M35" s="36">
        <v>91.33</v>
      </c>
      <c r="N35" s="51">
        <v>1</v>
      </c>
      <c r="O35" s="29">
        <v>91.33</v>
      </c>
      <c r="P35" s="29" t="str">
        <f t="shared" si="1"/>
        <v>0%</v>
      </c>
      <c r="Q35" s="27">
        <v>0</v>
      </c>
      <c r="R35" s="31">
        <v>0</v>
      </c>
      <c r="S35" s="31">
        <v>0</v>
      </c>
      <c r="T35" s="33">
        <v>91.33</v>
      </c>
      <c r="U35" s="29">
        <v>91.33</v>
      </c>
      <c r="V35" s="35">
        <v>43235</v>
      </c>
      <c r="W35" s="35"/>
      <c r="X35" s="27"/>
      <c r="Y35" s="58">
        <v>91.33</v>
      </c>
      <c r="Z35" s="31">
        <v>0</v>
      </c>
      <c r="AA35" t="b">
        <v>0</v>
      </c>
    </row>
    <row r="36" spans="2:27" x14ac:dyDescent="0.25">
      <c r="B36" s="53">
        <v>2018</v>
      </c>
      <c r="C36" s="53">
        <v>35</v>
      </c>
      <c r="D36" s="53" t="str">
        <f t="shared" si="0"/>
        <v>2018-35</v>
      </c>
      <c r="E36" s="9" t="s">
        <v>735</v>
      </c>
      <c r="F36" s="1">
        <v>43181</v>
      </c>
      <c r="G36" t="s">
        <v>651</v>
      </c>
      <c r="H36" s="16"/>
      <c r="I36" s="16" t="s">
        <v>105</v>
      </c>
      <c r="J36" s="16" t="s">
        <v>705</v>
      </c>
      <c r="K36" s="16" t="s">
        <v>985</v>
      </c>
      <c r="L36" t="b">
        <v>0</v>
      </c>
      <c r="M36" s="36">
        <v>15.3</v>
      </c>
      <c r="N36" s="51">
        <v>1</v>
      </c>
      <c r="O36" s="29">
        <v>18.36</v>
      </c>
      <c r="P36" s="29" t="str">
        <f t="shared" si="1"/>
        <v>20%</v>
      </c>
      <c r="Q36" s="27">
        <v>20</v>
      </c>
      <c r="R36" s="31">
        <v>3.06</v>
      </c>
      <c r="S36" s="31">
        <v>3.06</v>
      </c>
      <c r="T36" s="33">
        <v>15.3</v>
      </c>
      <c r="U36" s="29">
        <v>18.36</v>
      </c>
      <c r="V36" s="35">
        <v>43235</v>
      </c>
      <c r="W36" s="35"/>
      <c r="X36" s="27"/>
      <c r="Y36" s="58">
        <v>15.3</v>
      </c>
      <c r="Z36" s="31">
        <v>0</v>
      </c>
      <c r="AA36" t="b">
        <v>0</v>
      </c>
    </row>
    <row r="37" spans="2:27" x14ac:dyDescent="0.25">
      <c r="B37" s="53">
        <v>2018</v>
      </c>
      <c r="C37" s="53">
        <v>36</v>
      </c>
      <c r="D37" s="53" t="str">
        <f t="shared" si="0"/>
        <v>2018-36</v>
      </c>
      <c r="E37" s="9" t="s">
        <v>736</v>
      </c>
      <c r="F37" s="1">
        <v>43178</v>
      </c>
      <c r="G37" s="1" t="s">
        <v>737</v>
      </c>
      <c r="H37" s="16"/>
      <c r="I37" s="16" t="s">
        <v>105</v>
      </c>
      <c r="J37" s="16" t="s">
        <v>683</v>
      </c>
      <c r="K37" s="36" t="s">
        <v>540</v>
      </c>
      <c r="L37" t="b">
        <v>0</v>
      </c>
      <c r="M37" s="36">
        <v>46.02</v>
      </c>
      <c r="N37" s="51">
        <v>1</v>
      </c>
      <c r="O37" s="29">
        <v>55.224000000000004</v>
      </c>
      <c r="P37" s="29" t="str">
        <f t="shared" si="1"/>
        <v>20%</v>
      </c>
      <c r="Q37" s="27">
        <v>20</v>
      </c>
      <c r="R37" s="31">
        <v>9.2040000000000006</v>
      </c>
      <c r="S37" s="31">
        <v>9.2040000000000006</v>
      </c>
      <c r="T37" s="33">
        <v>46.02</v>
      </c>
      <c r="U37" s="29">
        <v>55.224000000000004</v>
      </c>
      <c r="V37" s="35">
        <v>43235</v>
      </c>
      <c r="W37" s="35"/>
      <c r="X37" s="27"/>
      <c r="Y37" s="58">
        <v>30.24</v>
      </c>
      <c r="Z37" s="31">
        <v>0</v>
      </c>
      <c r="AA37" t="b">
        <v>0</v>
      </c>
    </row>
    <row r="38" spans="2:27" x14ac:dyDescent="0.25">
      <c r="B38" s="53">
        <v>2018</v>
      </c>
      <c r="C38" s="53">
        <v>37</v>
      </c>
      <c r="D38" s="53" t="str">
        <f t="shared" si="0"/>
        <v>2018-37</v>
      </c>
      <c r="E38" s="9" t="s">
        <v>739</v>
      </c>
      <c r="F38" s="1">
        <v>43238</v>
      </c>
      <c r="G38" s="1" t="s">
        <v>738</v>
      </c>
      <c r="H38" s="16"/>
      <c r="I38" s="16" t="s">
        <v>105</v>
      </c>
      <c r="J38" s="16" t="s">
        <v>701</v>
      </c>
      <c r="K38" s="16" t="s">
        <v>985</v>
      </c>
      <c r="L38" t="b">
        <v>0</v>
      </c>
      <c r="M38" s="36">
        <v>46.73</v>
      </c>
      <c r="N38" s="51">
        <v>1</v>
      </c>
      <c r="O38" s="29">
        <v>51.402999999999999</v>
      </c>
      <c r="P38" s="29" t="str">
        <f t="shared" si="1"/>
        <v>10%</v>
      </c>
      <c r="Q38" s="27">
        <v>10</v>
      </c>
      <c r="R38" s="31">
        <v>4.6729999999999992</v>
      </c>
      <c r="S38" s="31">
        <v>4.6729999999999992</v>
      </c>
      <c r="T38" s="33">
        <v>46.73</v>
      </c>
      <c r="U38" s="29">
        <v>51.402999999999999</v>
      </c>
      <c r="V38" s="35">
        <v>43327</v>
      </c>
      <c r="W38" s="35">
        <v>43318</v>
      </c>
      <c r="X38" s="27"/>
      <c r="Y38" s="58">
        <v>30.24</v>
      </c>
      <c r="Z38" s="31">
        <v>0</v>
      </c>
      <c r="AA38" t="b">
        <v>0</v>
      </c>
    </row>
    <row r="39" spans="2:27" x14ac:dyDescent="0.25">
      <c r="B39" s="53">
        <v>2018</v>
      </c>
      <c r="C39" s="53">
        <v>38</v>
      </c>
      <c r="D39" s="53" t="str">
        <f t="shared" si="0"/>
        <v>2018-38</v>
      </c>
      <c r="E39" s="9" t="s">
        <v>741</v>
      </c>
      <c r="F39" s="1">
        <v>43210</v>
      </c>
      <c r="G39" t="s">
        <v>740</v>
      </c>
      <c r="H39" s="16"/>
      <c r="I39" s="16" t="s">
        <v>105</v>
      </c>
      <c r="J39" s="16"/>
      <c r="K39" s="36" t="s">
        <v>540</v>
      </c>
      <c r="L39" t="b">
        <v>0</v>
      </c>
      <c r="M39" s="36">
        <v>20.9</v>
      </c>
      <c r="N39" s="51">
        <v>1</v>
      </c>
      <c r="O39" s="29">
        <v>25.08</v>
      </c>
      <c r="P39" s="29" t="str">
        <f t="shared" si="1"/>
        <v>20%</v>
      </c>
      <c r="Q39" s="27">
        <v>20</v>
      </c>
      <c r="R39" s="31">
        <v>4.18</v>
      </c>
      <c r="S39" s="31">
        <v>4.18</v>
      </c>
      <c r="T39" s="33">
        <v>20.9</v>
      </c>
      <c r="U39" s="29">
        <v>25.08</v>
      </c>
      <c r="V39" s="35">
        <v>43327</v>
      </c>
      <c r="W39" s="35">
        <v>43318</v>
      </c>
      <c r="X39" s="27"/>
      <c r="Y39" s="58">
        <v>30.24</v>
      </c>
      <c r="Z39" s="31">
        <v>0</v>
      </c>
      <c r="AA39" t="b">
        <v>0</v>
      </c>
    </row>
    <row r="40" spans="2:27" x14ac:dyDescent="0.25">
      <c r="B40" s="53">
        <v>2018</v>
      </c>
      <c r="C40" s="53">
        <v>39</v>
      </c>
      <c r="D40" s="53" t="str">
        <f t="shared" si="0"/>
        <v>2018-39</v>
      </c>
      <c r="E40" s="9" t="s">
        <v>742</v>
      </c>
      <c r="F40" s="1">
        <v>43213</v>
      </c>
      <c r="G40" t="s">
        <v>651</v>
      </c>
      <c r="H40" s="16"/>
      <c r="I40" s="16" t="s">
        <v>105</v>
      </c>
      <c r="J40" s="16" t="s">
        <v>705</v>
      </c>
      <c r="K40" s="16" t="s">
        <v>985</v>
      </c>
      <c r="L40" t="b">
        <v>0</v>
      </c>
      <c r="M40" s="36">
        <v>15.3</v>
      </c>
      <c r="N40" s="51">
        <v>1</v>
      </c>
      <c r="O40" s="29">
        <v>18.36</v>
      </c>
      <c r="P40" s="29" t="str">
        <f t="shared" si="1"/>
        <v>20%</v>
      </c>
      <c r="Q40" s="27">
        <v>20</v>
      </c>
      <c r="R40" s="31">
        <v>3.06</v>
      </c>
      <c r="S40" s="31">
        <v>3.06</v>
      </c>
      <c r="T40" s="33">
        <v>15.3</v>
      </c>
      <c r="U40" s="29">
        <v>18.36</v>
      </c>
      <c r="V40" s="35">
        <v>43327</v>
      </c>
      <c r="W40" s="35">
        <v>43318</v>
      </c>
      <c r="X40" s="27"/>
      <c r="Y40" s="58">
        <v>15.3</v>
      </c>
      <c r="Z40" s="31">
        <v>0</v>
      </c>
      <c r="AA40" t="b">
        <v>0</v>
      </c>
    </row>
    <row r="41" spans="2:27" x14ac:dyDescent="0.25">
      <c r="B41" s="53">
        <v>2018</v>
      </c>
      <c r="C41" s="53">
        <v>40</v>
      </c>
      <c r="D41" s="53" t="str">
        <f t="shared" si="0"/>
        <v>2018-40</v>
      </c>
      <c r="E41" s="9" t="s">
        <v>744</v>
      </c>
      <c r="F41" s="1">
        <v>43245</v>
      </c>
      <c r="G41" s="1" t="s">
        <v>743</v>
      </c>
      <c r="H41" s="16"/>
      <c r="I41" s="16" t="s">
        <v>105</v>
      </c>
      <c r="J41" s="16" t="s">
        <v>705</v>
      </c>
      <c r="K41" s="16" t="s">
        <v>985</v>
      </c>
      <c r="L41" t="b">
        <v>0</v>
      </c>
      <c r="M41" s="36">
        <v>12.42</v>
      </c>
      <c r="N41" s="51">
        <v>1</v>
      </c>
      <c r="O41" s="29">
        <v>14.904</v>
      </c>
      <c r="P41" s="29" t="str">
        <f t="shared" si="1"/>
        <v>20%</v>
      </c>
      <c r="Q41" s="27">
        <v>20</v>
      </c>
      <c r="R41" s="31">
        <v>2.484</v>
      </c>
      <c r="S41" s="31">
        <v>2.484</v>
      </c>
      <c r="T41" s="33">
        <v>12.42</v>
      </c>
      <c r="U41" s="29">
        <v>14.904</v>
      </c>
      <c r="V41" s="35">
        <v>43327</v>
      </c>
      <c r="W41" s="35">
        <v>43318</v>
      </c>
      <c r="X41" s="27"/>
      <c r="Y41" s="58">
        <v>12.42</v>
      </c>
      <c r="Z41" s="31">
        <v>0</v>
      </c>
      <c r="AA41" t="b">
        <v>0</v>
      </c>
    </row>
    <row r="42" spans="2:27" x14ac:dyDescent="0.25">
      <c r="B42" s="53">
        <v>2018</v>
      </c>
      <c r="C42" s="53">
        <v>41</v>
      </c>
      <c r="D42" s="53" t="str">
        <f t="shared" si="0"/>
        <v>2018-41</v>
      </c>
      <c r="E42" s="9" t="s">
        <v>746</v>
      </c>
      <c r="F42" s="1">
        <v>43229</v>
      </c>
      <c r="G42" t="s">
        <v>745</v>
      </c>
      <c r="H42" s="16"/>
      <c r="I42" s="16" t="s">
        <v>105</v>
      </c>
      <c r="J42" s="16" t="s">
        <v>689</v>
      </c>
      <c r="K42" s="16"/>
      <c r="L42" t="b">
        <v>0</v>
      </c>
      <c r="M42" s="36">
        <v>8.52</v>
      </c>
      <c r="N42" s="51">
        <v>1</v>
      </c>
      <c r="O42" s="29">
        <v>10.224</v>
      </c>
      <c r="P42" s="29" t="str">
        <f t="shared" si="1"/>
        <v>20%</v>
      </c>
      <c r="Q42" s="27">
        <v>20</v>
      </c>
      <c r="R42" s="31">
        <v>1.7039999999999997</v>
      </c>
      <c r="S42" s="31">
        <v>1.7039999999999997</v>
      </c>
      <c r="T42" s="33">
        <v>8.52</v>
      </c>
      <c r="U42" s="29">
        <v>10.224</v>
      </c>
      <c r="V42" s="35">
        <v>43327</v>
      </c>
      <c r="W42" s="35">
        <v>43318</v>
      </c>
      <c r="X42" s="27"/>
      <c r="Y42" s="58">
        <v>8.52</v>
      </c>
      <c r="Z42" s="31">
        <v>0</v>
      </c>
      <c r="AA42" t="b">
        <v>0</v>
      </c>
    </row>
    <row r="43" spans="2:27" x14ac:dyDescent="0.25">
      <c r="B43" s="53">
        <v>2018</v>
      </c>
      <c r="C43" s="53">
        <v>42</v>
      </c>
      <c r="D43" s="53" t="str">
        <f t="shared" si="0"/>
        <v>2018-42</v>
      </c>
      <c r="E43" s="9" t="s">
        <v>732</v>
      </c>
      <c r="F43" s="1">
        <v>43241</v>
      </c>
      <c r="G43" t="s">
        <v>651</v>
      </c>
      <c r="H43" s="16"/>
      <c r="I43" s="16" t="s">
        <v>105</v>
      </c>
      <c r="J43" s="16" t="s">
        <v>705</v>
      </c>
      <c r="K43" s="16"/>
      <c r="L43" t="b">
        <v>0</v>
      </c>
      <c r="M43" s="36">
        <v>15.3</v>
      </c>
      <c r="N43" s="51">
        <v>1</v>
      </c>
      <c r="O43" s="29">
        <v>18.36</v>
      </c>
      <c r="P43" s="29" t="str">
        <f t="shared" si="1"/>
        <v>20%</v>
      </c>
      <c r="Q43" s="27">
        <v>20</v>
      </c>
      <c r="R43" s="31">
        <v>3.06</v>
      </c>
      <c r="S43" s="31">
        <v>3.06</v>
      </c>
      <c r="T43" s="33">
        <v>15.3</v>
      </c>
      <c r="U43" s="29">
        <v>18.36</v>
      </c>
      <c r="V43" s="35">
        <v>43327</v>
      </c>
      <c r="W43" s="35">
        <v>43318</v>
      </c>
      <c r="X43" s="27"/>
      <c r="Y43" s="58">
        <v>15.3</v>
      </c>
      <c r="Z43" s="31">
        <v>0</v>
      </c>
      <c r="AA43" t="b">
        <v>0</v>
      </c>
    </row>
    <row r="44" spans="2:27" x14ac:dyDescent="0.25">
      <c r="B44" s="53">
        <v>2018</v>
      </c>
      <c r="C44" s="53">
        <v>43</v>
      </c>
      <c r="D44" s="53" t="str">
        <f t="shared" si="0"/>
        <v>2018-43</v>
      </c>
      <c r="E44" s="9" t="s">
        <v>747</v>
      </c>
      <c r="F44" s="1">
        <v>43253</v>
      </c>
      <c r="G44" t="s">
        <v>748</v>
      </c>
      <c r="H44" s="16"/>
      <c r="I44" s="16" t="s">
        <v>105</v>
      </c>
      <c r="J44" s="16" t="s">
        <v>705</v>
      </c>
      <c r="K44" s="16"/>
      <c r="L44" t="b">
        <v>0</v>
      </c>
      <c r="M44" s="36">
        <v>2.3199999999999998</v>
      </c>
      <c r="N44" s="51">
        <v>1</v>
      </c>
      <c r="O44" s="29">
        <v>2.3199999999999998</v>
      </c>
      <c r="P44" s="29" t="str">
        <f t="shared" si="1"/>
        <v>0%</v>
      </c>
      <c r="Q44" s="27">
        <v>0</v>
      </c>
      <c r="R44" s="31">
        <v>0</v>
      </c>
      <c r="S44" s="31">
        <v>0</v>
      </c>
      <c r="T44" s="33">
        <v>2.3199999999999998</v>
      </c>
      <c r="U44" s="29">
        <v>2.3199999999999998</v>
      </c>
      <c r="V44" s="35">
        <v>43327</v>
      </c>
      <c r="W44" s="35">
        <v>43318</v>
      </c>
      <c r="X44" s="27">
        <v>20</v>
      </c>
      <c r="Y44" s="58">
        <v>2.3199999999999998</v>
      </c>
      <c r="Z44" s="31">
        <v>0.46399999999999997</v>
      </c>
      <c r="AA44" t="b">
        <v>0</v>
      </c>
    </row>
    <row r="45" spans="2:27" x14ac:dyDescent="0.25">
      <c r="B45" s="53">
        <v>2018</v>
      </c>
      <c r="C45" s="53">
        <v>44</v>
      </c>
      <c r="D45" s="53" t="str">
        <f t="shared" si="0"/>
        <v>2018-44</v>
      </c>
      <c r="E45" s="9" t="s">
        <v>749</v>
      </c>
      <c r="F45" s="1">
        <v>43265</v>
      </c>
      <c r="G45" t="s">
        <v>34</v>
      </c>
      <c r="H45" s="16"/>
      <c r="I45" s="16" t="s">
        <v>105</v>
      </c>
      <c r="J45" s="16" t="s">
        <v>703</v>
      </c>
      <c r="K45" s="16"/>
      <c r="L45" t="b">
        <v>0</v>
      </c>
      <c r="M45" s="36">
        <v>15.58</v>
      </c>
      <c r="N45" s="51">
        <v>1</v>
      </c>
      <c r="O45" s="29">
        <v>18.696000000000002</v>
      </c>
      <c r="P45" s="29" t="str">
        <f t="shared" si="1"/>
        <v>20%</v>
      </c>
      <c r="Q45" s="27">
        <v>20</v>
      </c>
      <c r="R45" s="31">
        <v>3.1160000000000001</v>
      </c>
      <c r="S45" s="31">
        <v>3.1160000000000001</v>
      </c>
      <c r="T45" s="33">
        <v>15.58</v>
      </c>
      <c r="U45" s="29">
        <v>18.696000000000002</v>
      </c>
      <c r="V45" s="35">
        <v>43327</v>
      </c>
      <c r="W45" s="35">
        <v>43318</v>
      </c>
      <c r="X45" s="27"/>
      <c r="Y45" s="58">
        <v>15.58</v>
      </c>
      <c r="Z45" s="31">
        <v>0</v>
      </c>
      <c r="AA45" t="b">
        <v>0</v>
      </c>
    </row>
    <row r="46" spans="2:27" x14ac:dyDescent="0.25">
      <c r="B46" s="53">
        <v>2018</v>
      </c>
      <c r="C46" s="53">
        <v>45</v>
      </c>
      <c r="D46" s="53" t="str">
        <f t="shared" si="0"/>
        <v>2018-45</v>
      </c>
      <c r="E46" s="9" t="s">
        <v>750</v>
      </c>
      <c r="F46" s="1">
        <v>43256</v>
      </c>
      <c r="G46" t="s">
        <v>647</v>
      </c>
      <c r="H46" s="16"/>
      <c r="I46" s="16" t="s">
        <v>105</v>
      </c>
      <c r="J46" s="16" t="s">
        <v>703</v>
      </c>
      <c r="K46" s="16"/>
      <c r="L46" t="b">
        <v>0</v>
      </c>
      <c r="M46" s="36">
        <f>27.82+1.04</f>
        <v>28.86</v>
      </c>
      <c r="N46" s="51">
        <f>2/3</f>
        <v>0.66666666666666663</v>
      </c>
      <c r="O46" s="29">
        <f>N46*U46</f>
        <v>23.087999999999997</v>
      </c>
      <c r="P46" s="29" t="str">
        <f t="shared" si="1"/>
        <v>20%</v>
      </c>
      <c r="Q46" s="27">
        <v>20</v>
      </c>
      <c r="R46" s="31">
        <v>6.38</v>
      </c>
      <c r="S46" s="31">
        <v>2.207687718401091</v>
      </c>
      <c r="T46" s="33">
        <f>N46*M46</f>
        <v>19.239999999999998</v>
      </c>
      <c r="U46" s="29">
        <f>M46*(100%+P46)</f>
        <v>34.631999999999998</v>
      </c>
      <c r="V46" s="35">
        <v>43235</v>
      </c>
      <c r="W46" s="35">
        <v>43318</v>
      </c>
      <c r="X46" s="27"/>
      <c r="Y46" s="58">
        <v>19.240000000000002</v>
      </c>
      <c r="Z46" s="31">
        <v>0</v>
      </c>
      <c r="AA46" t="b">
        <v>0</v>
      </c>
    </row>
    <row r="47" spans="2:27" x14ac:dyDescent="0.25">
      <c r="B47" s="53">
        <v>2018</v>
      </c>
      <c r="C47" s="53">
        <v>46</v>
      </c>
      <c r="D47" s="53" t="str">
        <f t="shared" si="0"/>
        <v>2018-46</v>
      </c>
      <c r="E47" s="9" t="s">
        <v>751</v>
      </c>
      <c r="F47" s="1">
        <v>43266</v>
      </c>
      <c r="G47" s="1" t="s">
        <v>795</v>
      </c>
      <c r="H47" s="16"/>
      <c r="I47" s="16" t="s">
        <v>105</v>
      </c>
      <c r="J47" s="16" t="s">
        <v>705</v>
      </c>
      <c r="K47" s="16" t="s">
        <v>985</v>
      </c>
      <c r="L47" t="b">
        <v>0</v>
      </c>
      <c r="M47" s="36">
        <v>82.5</v>
      </c>
      <c r="N47" s="51">
        <v>0.27320378419841473</v>
      </c>
      <c r="O47" s="29">
        <v>27.04717463564306</v>
      </c>
      <c r="P47" s="29" t="str">
        <f t="shared" si="1"/>
        <v>20%</v>
      </c>
      <c r="Q47" s="27">
        <v>20</v>
      </c>
      <c r="R47" s="31">
        <v>16.5</v>
      </c>
      <c r="S47" s="31">
        <v>4.5078624392738433</v>
      </c>
      <c r="T47" s="33">
        <v>22.539312196369217</v>
      </c>
      <c r="U47" s="29">
        <v>99</v>
      </c>
      <c r="V47" s="35">
        <v>43327</v>
      </c>
      <c r="W47" s="35">
        <v>43318</v>
      </c>
      <c r="X47" s="27"/>
      <c r="Y47" s="58">
        <v>22.539312196369217</v>
      </c>
      <c r="Z47" s="31">
        <v>0</v>
      </c>
      <c r="AA47" t="b">
        <v>0</v>
      </c>
    </row>
    <row r="48" spans="2:27" x14ac:dyDescent="0.25">
      <c r="B48" s="53">
        <v>2018</v>
      </c>
      <c r="C48" s="53">
        <v>47</v>
      </c>
      <c r="D48" s="53" t="str">
        <f t="shared" si="0"/>
        <v>2018-47</v>
      </c>
      <c r="E48" s="9" t="s">
        <v>752</v>
      </c>
      <c r="F48" s="1">
        <v>43272</v>
      </c>
      <c r="G48" t="s">
        <v>651</v>
      </c>
      <c r="H48" s="16"/>
      <c r="I48" s="16" t="s">
        <v>105</v>
      </c>
      <c r="J48" s="16" t="s">
        <v>705</v>
      </c>
      <c r="K48" s="16"/>
      <c r="L48" t="b">
        <v>0</v>
      </c>
      <c r="M48" s="36">
        <v>57.5</v>
      </c>
      <c r="N48" s="51">
        <v>1</v>
      </c>
      <c r="O48" s="29">
        <v>69</v>
      </c>
      <c r="P48" s="29" t="str">
        <f t="shared" si="1"/>
        <v>20%</v>
      </c>
      <c r="Q48" s="27">
        <v>20</v>
      </c>
      <c r="R48" s="31">
        <v>11.5</v>
      </c>
      <c r="S48" s="31">
        <v>11.5</v>
      </c>
      <c r="T48" s="33">
        <v>57.5</v>
      </c>
      <c r="U48" s="29">
        <v>69</v>
      </c>
      <c r="V48" s="35">
        <v>43327</v>
      </c>
      <c r="W48" s="35">
        <v>43318</v>
      </c>
      <c r="X48" s="27"/>
      <c r="Y48" s="58">
        <v>57.5</v>
      </c>
      <c r="Z48" s="31">
        <v>0</v>
      </c>
      <c r="AA48" t="b">
        <v>0</v>
      </c>
    </row>
    <row r="49" spans="2:27" x14ac:dyDescent="0.25">
      <c r="B49" s="53">
        <v>2018</v>
      </c>
      <c r="C49" s="53">
        <v>48</v>
      </c>
      <c r="D49" s="53" t="str">
        <f t="shared" si="0"/>
        <v>2018-48</v>
      </c>
      <c r="E49" s="9" t="s">
        <v>753</v>
      </c>
      <c r="F49" s="1">
        <v>43273</v>
      </c>
      <c r="G49" t="s">
        <v>651</v>
      </c>
      <c r="H49" s="16"/>
      <c r="I49" s="16" t="s">
        <v>105</v>
      </c>
      <c r="J49" s="16" t="s">
        <v>705</v>
      </c>
      <c r="K49" s="16"/>
      <c r="L49" t="b">
        <v>0</v>
      </c>
      <c r="M49" s="36">
        <v>15.3</v>
      </c>
      <c r="N49" s="51">
        <v>1</v>
      </c>
      <c r="O49" s="29">
        <v>18.36</v>
      </c>
      <c r="P49" s="29" t="str">
        <f t="shared" si="1"/>
        <v>20%</v>
      </c>
      <c r="Q49" s="27">
        <v>20</v>
      </c>
      <c r="R49" s="31">
        <v>3.06</v>
      </c>
      <c r="S49" s="31">
        <v>3.06</v>
      </c>
      <c r="T49" s="33">
        <v>15.3</v>
      </c>
      <c r="U49" s="29">
        <v>18.36</v>
      </c>
      <c r="V49" s="35">
        <v>43327</v>
      </c>
      <c r="W49" s="35">
        <v>43318</v>
      </c>
      <c r="X49" s="27"/>
      <c r="Y49" s="58">
        <v>15.3</v>
      </c>
      <c r="Z49" s="31">
        <v>0</v>
      </c>
      <c r="AA49" t="b">
        <v>0</v>
      </c>
    </row>
    <row r="50" spans="2:27" x14ac:dyDescent="0.25">
      <c r="B50" s="53">
        <v>2018</v>
      </c>
      <c r="C50" s="53">
        <v>49</v>
      </c>
      <c r="D50" s="53" t="str">
        <f t="shared" si="0"/>
        <v>2018-49</v>
      </c>
      <c r="E50" s="9" t="s">
        <v>650</v>
      </c>
      <c r="F50" s="1">
        <v>43276</v>
      </c>
      <c r="G50" s="1" t="s">
        <v>909</v>
      </c>
      <c r="H50" s="16"/>
      <c r="I50" s="16" t="s">
        <v>105</v>
      </c>
      <c r="J50" s="16" t="s">
        <v>691</v>
      </c>
      <c r="K50" s="16" t="s">
        <v>985</v>
      </c>
      <c r="L50" t="b">
        <v>0</v>
      </c>
      <c r="M50" s="36">
        <v>763.44</v>
      </c>
      <c r="N50" s="51">
        <v>0.27320378419841473</v>
      </c>
      <c r="O50" s="29">
        <v>229.43216670928155</v>
      </c>
      <c r="P50" s="29" t="str">
        <f t="shared" si="1"/>
        <v>10%</v>
      </c>
      <c r="Q50" s="27">
        <v>10</v>
      </c>
      <c r="R50" s="31">
        <v>76.344000000000008</v>
      </c>
      <c r="S50" s="31">
        <v>20.857469700843776</v>
      </c>
      <c r="T50" s="33">
        <v>208.57469700843777</v>
      </c>
      <c r="U50" s="29">
        <v>839.78400000000011</v>
      </c>
      <c r="V50" s="35">
        <v>43327</v>
      </c>
      <c r="W50" s="35">
        <v>43318</v>
      </c>
      <c r="X50" s="27"/>
      <c r="Y50" s="58">
        <v>208.57469700843777</v>
      </c>
      <c r="Z50" s="31">
        <v>0</v>
      </c>
      <c r="AA50" t="b">
        <v>0</v>
      </c>
    </row>
    <row r="51" spans="2:27" x14ac:dyDescent="0.25">
      <c r="B51" s="53">
        <v>2018</v>
      </c>
      <c r="C51" s="53">
        <v>50</v>
      </c>
      <c r="D51" s="53" t="str">
        <f t="shared" si="0"/>
        <v>2018-50</v>
      </c>
      <c r="E51" s="9" t="s">
        <v>755</v>
      </c>
      <c r="F51" s="1">
        <v>43278</v>
      </c>
      <c r="G51" t="s">
        <v>754</v>
      </c>
      <c r="H51" s="16"/>
      <c r="I51" s="16" t="s">
        <v>105</v>
      </c>
      <c r="J51" s="16" t="s">
        <v>705</v>
      </c>
      <c r="K51" s="16"/>
      <c r="L51" t="b">
        <v>0</v>
      </c>
      <c r="M51" s="36">
        <v>27.09</v>
      </c>
      <c r="N51" s="51">
        <v>1</v>
      </c>
      <c r="O51" s="29">
        <v>29.798999999999999</v>
      </c>
      <c r="P51" s="29" t="str">
        <f t="shared" si="1"/>
        <v>10%</v>
      </c>
      <c r="Q51" s="27">
        <v>10</v>
      </c>
      <c r="R51" s="31">
        <v>2.7089999999999996</v>
      </c>
      <c r="S51" s="31">
        <v>2.7089999999999996</v>
      </c>
      <c r="T51" s="33">
        <v>27.09</v>
      </c>
      <c r="U51" s="29">
        <v>29.798999999999999</v>
      </c>
      <c r="V51" s="35">
        <v>43327</v>
      </c>
      <c r="W51" s="35">
        <v>43318</v>
      </c>
      <c r="X51" s="27"/>
      <c r="Y51" s="58">
        <v>27.09</v>
      </c>
      <c r="Z51" s="31">
        <v>0</v>
      </c>
      <c r="AA51" t="b">
        <v>0</v>
      </c>
    </row>
    <row r="52" spans="2:27" x14ac:dyDescent="0.25">
      <c r="B52" s="53">
        <v>2018</v>
      </c>
      <c r="C52" s="53">
        <v>51</v>
      </c>
      <c r="D52" s="53" t="str">
        <f t="shared" si="0"/>
        <v>2018-51</v>
      </c>
      <c r="E52" s="9" t="s">
        <v>770</v>
      </c>
      <c r="F52" s="1">
        <v>43278</v>
      </c>
      <c r="G52" t="s">
        <v>758</v>
      </c>
      <c r="H52" s="16"/>
      <c r="I52" s="16" t="s">
        <v>105</v>
      </c>
      <c r="J52" s="16" t="s">
        <v>705</v>
      </c>
      <c r="K52" s="16" t="s">
        <v>540</v>
      </c>
      <c r="L52" t="b">
        <v>0</v>
      </c>
      <c r="M52" s="36">
        <v>3132.56</v>
      </c>
      <c r="N52" s="51">
        <v>1</v>
      </c>
      <c r="O52" s="29">
        <v>3759.0720000000001</v>
      </c>
      <c r="P52" s="29" t="str">
        <f t="shared" si="1"/>
        <v>20%</v>
      </c>
      <c r="Q52" s="27">
        <v>20</v>
      </c>
      <c r="R52" s="31">
        <v>626.51199999999994</v>
      </c>
      <c r="S52" s="31">
        <v>626.51199999999994</v>
      </c>
      <c r="T52" s="33">
        <v>3132.56</v>
      </c>
      <c r="U52" s="29">
        <v>3759.0720000000001</v>
      </c>
      <c r="V52" s="35">
        <v>43327</v>
      </c>
      <c r="W52" s="35">
        <v>43318</v>
      </c>
      <c r="X52" s="27"/>
      <c r="Y52" s="58">
        <v>3132.56</v>
      </c>
      <c r="Z52" s="31">
        <v>0</v>
      </c>
      <c r="AA52" t="b">
        <v>0</v>
      </c>
    </row>
    <row r="53" spans="2:27" x14ac:dyDescent="0.25">
      <c r="B53" s="53">
        <v>2018</v>
      </c>
      <c r="C53" s="53">
        <v>52</v>
      </c>
      <c r="D53" s="53" t="str">
        <f t="shared" si="0"/>
        <v>2018-52</v>
      </c>
      <c r="E53" s="9" t="s">
        <v>756</v>
      </c>
      <c r="F53" s="1">
        <v>43280</v>
      </c>
      <c r="G53" t="s">
        <v>757</v>
      </c>
      <c r="H53" s="16"/>
      <c r="I53" s="16" t="s">
        <v>105</v>
      </c>
      <c r="J53" s="16" t="s">
        <v>705</v>
      </c>
      <c r="K53" s="16" t="s">
        <v>540</v>
      </c>
      <c r="L53" t="b">
        <v>0</v>
      </c>
      <c r="M53" s="36">
        <v>529.01</v>
      </c>
      <c r="N53" s="51">
        <v>1</v>
      </c>
      <c r="O53" s="29">
        <v>634.81200000000001</v>
      </c>
      <c r="P53" s="29" t="str">
        <f t="shared" si="1"/>
        <v>20%</v>
      </c>
      <c r="Q53" s="27">
        <v>20</v>
      </c>
      <c r="R53" s="31">
        <v>105.80200000000001</v>
      </c>
      <c r="S53" s="31">
        <v>105.80200000000001</v>
      </c>
      <c r="T53" s="33">
        <v>529.01</v>
      </c>
      <c r="U53" s="29">
        <v>634.81200000000001</v>
      </c>
      <c r="V53" s="35">
        <v>43327</v>
      </c>
      <c r="W53" s="35">
        <v>43318</v>
      </c>
      <c r="X53" s="27"/>
      <c r="Y53" s="58">
        <v>529.01</v>
      </c>
      <c r="Z53" s="31">
        <v>0</v>
      </c>
      <c r="AA53" t="b">
        <v>0</v>
      </c>
    </row>
    <row r="54" spans="2:27" x14ac:dyDescent="0.25">
      <c r="B54" s="53">
        <v>2018</v>
      </c>
      <c r="C54" s="53">
        <v>53</v>
      </c>
      <c r="D54" s="53" t="str">
        <f t="shared" si="0"/>
        <v>2018-53</v>
      </c>
      <c r="E54" s="9" t="s">
        <v>760</v>
      </c>
      <c r="F54" s="1">
        <v>43278</v>
      </c>
      <c r="G54" s="1" t="s">
        <v>759</v>
      </c>
      <c r="H54" s="16"/>
      <c r="I54" s="16" t="s">
        <v>105</v>
      </c>
      <c r="J54" s="16" t="s">
        <v>705</v>
      </c>
      <c r="K54" s="16" t="s">
        <v>540</v>
      </c>
      <c r="L54" t="b">
        <v>0</v>
      </c>
      <c r="M54" s="36">
        <v>51.540000000000006</v>
      </c>
      <c r="N54" s="51">
        <v>1</v>
      </c>
      <c r="O54" s="29">
        <v>61.848000000000006</v>
      </c>
      <c r="P54" s="29" t="str">
        <f t="shared" si="1"/>
        <v>20%</v>
      </c>
      <c r="Q54" s="27">
        <v>20</v>
      </c>
      <c r="R54" s="31">
        <v>10.308000000000002</v>
      </c>
      <c r="S54" s="31">
        <v>10.308000000000002</v>
      </c>
      <c r="T54" s="33">
        <v>51.540000000000006</v>
      </c>
      <c r="U54" s="29">
        <v>61.848000000000006</v>
      </c>
      <c r="V54" s="35">
        <v>43327</v>
      </c>
      <c r="W54" s="35">
        <v>43318</v>
      </c>
      <c r="X54" s="27"/>
      <c r="Y54" s="58">
        <v>51.540000000000006</v>
      </c>
      <c r="Z54" s="31">
        <v>0</v>
      </c>
      <c r="AA54" t="b">
        <v>0</v>
      </c>
    </row>
    <row r="55" spans="2:27" x14ac:dyDescent="0.25">
      <c r="B55" s="53">
        <v>2018</v>
      </c>
      <c r="C55" s="53">
        <v>54</v>
      </c>
      <c r="D55" s="53" t="str">
        <f t="shared" si="0"/>
        <v>2018-54</v>
      </c>
      <c r="E55" s="9" t="s">
        <v>761</v>
      </c>
      <c r="F55" s="1">
        <v>43278</v>
      </c>
      <c r="G55" t="s">
        <v>762</v>
      </c>
      <c r="H55" s="16"/>
      <c r="I55" s="16" t="s">
        <v>105</v>
      </c>
      <c r="J55" s="16" t="s">
        <v>705</v>
      </c>
      <c r="K55" s="16" t="s">
        <v>540</v>
      </c>
      <c r="L55" t="b">
        <v>0</v>
      </c>
      <c r="M55" s="36">
        <v>29.32</v>
      </c>
      <c r="N55" s="51">
        <v>1</v>
      </c>
      <c r="O55" s="29">
        <v>35.183999999999997</v>
      </c>
      <c r="P55" s="29" t="str">
        <f t="shared" si="1"/>
        <v>20%</v>
      </c>
      <c r="Q55" s="27">
        <v>20</v>
      </c>
      <c r="R55" s="31">
        <v>5.8639999999999999</v>
      </c>
      <c r="S55" s="31">
        <v>5.8639999999999999</v>
      </c>
      <c r="T55" s="33">
        <v>29.32</v>
      </c>
      <c r="U55" s="29">
        <v>35.183999999999997</v>
      </c>
      <c r="V55" s="35">
        <v>43327</v>
      </c>
      <c r="W55" s="35">
        <v>43318</v>
      </c>
      <c r="X55" s="27"/>
      <c r="Y55" s="58">
        <v>29.32</v>
      </c>
      <c r="Z55" s="31">
        <v>0</v>
      </c>
      <c r="AA55" t="b">
        <v>0</v>
      </c>
    </row>
    <row r="56" spans="2:27" x14ac:dyDescent="0.25">
      <c r="B56" s="53">
        <v>2018</v>
      </c>
      <c r="C56" s="53">
        <v>55</v>
      </c>
      <c r="D56" s="53" t="str">
        <f t="shared" si="0"/>
        <v>2018-55</v>
      </c>
      <c r="E56" s="9" t="s">
        <v>763</v>
      </c>
      <c r="F56" s="1">
        <v>43278</v>
      </c>
      <c r="G56" t="s">
        <v>764</v>
      </c>
      <c r="H56" s="16"/>
      <c r="I56" s="16" t="s">
        <v>105</v>
      </c>
      <c r="J56" s="16" t="s">
        <v>705</v>
      </c>
      <c r="K56" s="16" t="s">
        <v>540</v>
      </c>
      <c r="L56" t="b">
        <v>0</v>
      </c>
      <c r="M56" s="36">
        <v>42</v>
      </c>
      <c r="N56" s="51">
        <v>1</v>
      </c>
      <c r="O56" s="29">
        <v>50.4</v>
      </c>
      <c r="P56" s="29" t="str">
        <f t="shared" si="1"/>
        <v>20%</v>
      </c>
      <c r="Q56" s="27">
        <v>20</v>
      </c>
      <c r="R56" s="31">
        <v>8.4</v>
      </c>
      <c r="S56" s="31">
        <v>8.4</v>
      </c>
      <c r="T56" s="33">
        <v>42</v>
      </c>
      <c r="U56" s="29">
        <v>50.4</v>
      </c>
      <c r="V56" s="35">
        <v>43327</v>
      </c>
      <c r="W56" s="35">
        <v>43318</v>
      </c>
      <c r="X56" s="27"/>
      <c r="Y56" s="58">
        <v>42</v>
      </c>
      <c r="Z56" s="31">
        <v>0</v>
      </c>
      <c r="AA56" t="b">
        <v>0</v>
      </c>
    </row>
    <row r="57" spans="2:27" x14ac:dyDescent="0.25">
      <c r="B57" s="53">
        <v>2018</v>
      </c>
      <c r="C57" s="53">
        <v>56</v>
      </c>
      <c r="D57" s="53" t="str">
        <f t="shared" si="0"/>
        <v>2018-56</v>
      </c>
      <c r="E57" s="9" t="s">
        <v>765</v>
      </c>
      <c r="F57" s="1">
        <v>43284</v>
      </c>
      <c r="G57" t="s">
        <v>647</v>
      </c>
      <c r="H57" s="16"/>
      <c r="I57" s="16" t="s">
        <v>105</v>
      </c>
      <c r="J57" s="16" t="s">
        <v>703</v>
      </c>
      <c r="K57" s="16"/>
      <c r="L57" t="b">
        <v>0</v>
      </c>
      <c r="M57" s="36">
        <f>27.82+1.04</f>
        <v>28.86</v>
      </c>
      <c r="N57" s="51">
        <f>2/3</f>
        <v>0.66666666666666663</v>
      </c>
      <c r="O57" s="29">
        <f>N57*U57</f>
        <v>23.087999999999997</v>
      </c>
      <c r="P57" s="29" t="str">
        <f t="shared" si="1"/>
        <v>20%</v>
      </c>
      <c r="Q57" s="27">
        <v>20</v>
      </c>
      <c r="R57" s="31">
        <v>6.38</v>
      </c>
      <c r="S57" s="31">
        <v>2.207687718401091</v>
      </c>
      <c r="T57" s="33">
        <f>N57*M57</f>
        <v>19.239999999999998</v>
      </c>
      <c r="U57" s="29">
        <f>M57*(100%+P57)</f>
        <v>34.631999999999998</v>
      </c>
      <c r="V57" s="35">
        <v>43235</v>
      </c>
      <c r="W57" s="35">
        <v>43418</v>
      </c>
      <c r="X57" s="27"/>
      <c r="Y57" s="58">
        <v>19.240000000000002</v>
      </c>
      <c r="Z57" s="31">
        <v>0</v>
      </c>
      <c r="AA57" t="b">
        <v>0</v>
      </c>
    </row>
    <row r="58" spans="2:27" x14ac:dyDescent="0.25">
      <c r="B58" s="53">
        <v>2018</v>
      </c>
      <c r="C58" s="53">
        <v>57</v>
      </c>
      <c r="D58" s="53" t="str">
        <f t="shared" si="0"/>
        <v>2018-57</v>
      </c>
      <c r="E58" s="9" t="s">
        <v>766</v>
      </c>
      <c r="F58" s="1">
        <v>43287</v>
      </c>
      <c r="G58" t="s">
        <v>767</v>
      </c>
      <c r="H58" s="16"/>
      <c r="I58" s="16" t="s">
        <v>105</v>
      </c>
      <c r="J58" s="16" t="s">
        <v>705</v>
      </c>
      <c r="K58" s="16"/>
      <c r="L58" t="b">
        <v>0</v>
      </c>
      <c r="M58" s="36">
        <v>112.6</v>
      </c>
      <c r="N58" s="51">
        <v>1</v>
      </c>
      <c r="O58" s="29">
        <v>112.6</v>
      </c>
      <c r="P58" s="29" t="str">
        <f t="shared" si="1"/>
        <v>0%</v>
      </c>
      <c r="Q58" s="27">
        <v>0</v>
      </c>
      <c r="R58" s="31">
        <v>0</v>
      </c>
      <c r="S58" s="31">
        <v>0</v>
      </c>
      <c r="T58" s="33">
        <v>112.6</v>
      </c>
      <c r="U58" s="29">
        <v>112.6</v>
      </c>
      <c r="V58" s="35">
        <v>43419</v>
      </c>
      <c r="W58" s="35">
        <v>43418</v>
      </c>
      <c r="X58" s="27"/>
      <c r="Y58" s="58">
        <v>112.6</v>
      </c>
      <c r="Z58" s="31">
        <v>0</v>
      </c>
      <c r="AA58" t="b">
        <v>0</v>
      </c>
    </row>
    <row r="59" spans="2:27" x14ac:dyDescent="0.25">
      <c r="B59" s="53">
        <v>2018</v>
      </c>
      <c r="C59" s="53">
        <v>58</v>
      </c>
      <c r="D59" s="53" t="str">
        <f t="shared" si="0"/>
        <v>2018-58</v>
      </c>
      <c r="E59" s="9" t="s">
        <v>769</v>
      </c>
      <c r="F59" s="1">
        <v>43290</v>
      </c>
      <c r="G59" t="s">
        <v>768</v>
      </c>
      <c r="H59" s="16"/>
      <c r="I59" s="16" t="s">
        <v>105</v>
      </c>
      <c r="J59" s="16" t="s">
        <v>705</v>
      </c>
      <c r="K59" s="16" t="s">
        <v>540</v>
      </c>
      <c r="L59" t="b">
        <v>0</v>
      </c>
      <c r="M59" s="36">
        <v>12.9</v>
      </c>
      <c r="N59" s="51">
        <v>1</v>
      </c>
      <c r="O59" s="29">
        <v>15.48</v>
      </c>
      <c r="P59" s="29" t="str">
        <f t="shared" si="1"/>
        <v>20%</v>
      </c>
      <c r="Q59" s="27">
        <v>20</v>
      </c>
      <c r="R59" s="31">
        <v>2.58</v>
      </c>
      <c r="S59" s="31">
        <v>2.58</v>
      </c>
      <c r="T59" s="33">
        <v>12.9</v>
      </c>
      <c r="U59" s="29">
        <v>15.48</v>
      </c>
      <c r="V59" s="35">
        <v>43419</v>
      </c>
      <c r="W59" s="35">
        <v>43418</v>
      </c>
      <c r="X59" s="27"/>
      <c r="Y59" s="58">
        <v>12.9</v>
      </c>
      <c r="Z59" s="31">
        <v>0</v>
      </c>
      <c r="AA59" t="b">
        <v>0</v>
      </c>
    </row>
    <row r="60" spans="2:27" x14ac:dyDescent="0.25">
      <c r="B60" s="53">
        <v>2018</v>
      </c>
      <c r="C60" s="53">
        <v>59</v>
      </c>
      <c r="D60" s="53" t="str">
        <f t="shared" si="0"/>
        <v>2018-59</v>
      </c>
      <c r="E60" s="9" t="s">
        <v>771</v>
      </c>
      <c r="F60" s="1">
        <v>43290</v>
      </c>
      <c r="G60" t="s">
        <v>34</v>
      </c>
      <c r="H60" s="16"/>
      <c r="I60" s="16" t="s">
        <v>105</v>
      </c>
      <c r="J60" s="16" t="s">
        <v>703</v>
      </c>
      <c r="K60" s="16"/>
      <c r="L60" t="b">
        <v>0</v>
      </c>
      <c r="M60" s="36">
        <v>15</v>
      </c>
      <c r="N60" s="51">
        <v>1</v>
      </c>
      <c r="O60" s="29">
        <v>18</v>
      </c>
      <c r="P60" s="29" t="str">
        <f t="shared" si="1"/>
        <v>20%</v>
      </c>
      <c r="Q60" s="27">
        <v>20</v>
      </c>
      <c r="R60" s="31">
        <v>3</v>
      </c>
      <c r="S60" s="31">
        <v>3</v>
      </c>
      <c r="T60" s="33">
        <v>15</v>
      </c>
      <c r="U60" s="29">
        <v>18</v>
      </c>
      <c r="V60" s="35">
        <v>43419</v>
      </c>
      <c r="W60" s="35">
        <v>43418</v>
      </c>
      <c r="X60" s="27"/>
      <c r="Y60" s="58">
        <v>15</v>
      </c>
      <c r="Z60" s="31">
        <v>0</v>
      </c>
      <c r="AA60" t="b">
        <v>0</v>
      </c>
    </row>
    <row r="61" spans="2:27" x14ac:dyDescent="0.25">
      <c r="B61" s="53">
        <v>2018</v>
      </c>
      <c r="C61" s="53">
        <v>60</v>
      </c>
      <c r="D61" s="53" t="str">
        <f t="shared" si="0"/>
        <v>2018-60</v>
      </c>
      <c r="E61" s="9" t="s">
        <v>856</v>
      </c>
      <c r="F61" s="1">
        <v>43293</v>
      </c>
      <c r="G61" t="s">
        <v>857</v>
      </c>
      <c r="H61" s="16"/>
      <c r="I61" s="16" t="s">
        <v>105</v>
      </c>
      <c r="J61" s="16" t="s">
        <v>705</v>
      </c>
      <c r="K61" s="16" t="s">
        <v>540</v>
      </c>
      <c r="L61" t="b">
        <v>0</v>
      </c>
      <c r="M61" s="36">
        <v>8.99</v>
      </c>
      <c r="N61" s="51">
        <v>1</v>
      </c>
      <c r="O61" s="29">
        <v>8.99</v>
      </c>
      <c r="P61" s="29" t="str">
        <f t="shared" si="1"/>
        <v>0%</v>
      </c>
      <c r="Q61" s="27">
        <v>0</v>
      </c>
      <c r="R61" s="31">
        <v>0</v>
      </c>
      <c r="S61" s="31">
        <v>0</v>
      </c>
      <c r="T61" s="33">
        <v>8.99</v>
      </c>
      <c r="U61" s="29">
        <v>8.99</v>
      </c>
      <c r="V61" s="35">
        <v>43419</v>
      </c>
      <c r="W61" s="35">
        <v>43418</v>
      </c>
      <c r="X61" s="27"/>
      <c r="Y61" s="58">
        <v>8.99</v>
      </c>
      <c r="Z61" s="31">
        <v>0</v>
      </c>
      <c r="AA61" t="b">
        <v>0</v>
      </c>
    </row>
    <row r="62" spans="2:27" x14ac:dyDescent="0.25">
      <c r="B62" s="53">
        <v>2018</v>
      </c>
      <c r="C62" s="53">
        <v>61</v>
      </c>
      <c r="D62" s="53" t="str">
        <f t="shared" si="0"/>
        <v>2018-61</v>
      </c>
      <c r="E62" s="9" t="s">
        <v>772</v>
      </c>
      <c r="F62" s="1">
        <v>43297</v>
      </c>
      <c r="G62" s="1" t="s">
        <v>986</v>
      </c>
      <c r="H62" s="16"/>
      <c r="I62" s="16" t="s">
        <v>105</v>
      </c>
      <c r="J62" s="16" t="s">
        <v>705</v>
      </c>
      <c r="K62" s="16" t="s">
        <v>985</v>
      </c>
      <c r="L62" t="b">
        <v>0</v>
      </c>
      <c r="M62" s="36">
        <v>151.66999999999999</v>
      </c>
      <c r="N62" s="51">
        <v>0.27320378419841473</v>
      </c>
      <c r="O62" s="29">
        <v>49.724181539248278</v>
      </c>
      <c r="P62" s="29" t="str">
        <f t="shared" si="1"/>
        <v>20%</v>
      </c>
      <c r="Q62" s="27">
        <v>20</v>
      </c>
      <c r="R62" s="31">
        <v>30.333999999999996</v>
      </c>
      <c r="S62" s="31">
        <v>8.2873635898747118</v>
      </c>
      <c r="T62" s="33">
        <v>41.436817949373562</v>
      </c>
      <c r="U62" s="29">
        <v>182.00399999999999</v>
      </c>
      <c r="V62" s="35">
        <v>43419</v>
      </c>
      <c r="W62" s="35">
        <v>43418</v>
      </c>
      <c r="X62" s="27"/>
      <c r="Y62" s="58">
        <v>41.436817949373562</v>
      </c>
      <c r="Z62" s="31">
        <v>0</v>
      </c>
      <c r="AA62" t="b">
        <v>0</v>
      </c>
    </row>
    <row r="63" spans="2:27" x14ac:dyDescent="0.25">
      <c r="B63" s="53">
        <v>2018</v>
      </c>
      <c r="C63" s="53">
        <v>62</v>
      </c>
      <c r="D63" s="53" t="str">
        <f t="shared" si="0"/>
        <v>2018-62</v>
      </c>
      <c r="E63" s="9" t="s">
        <v>773</v>
      </c>
      <c r="F63" s="1">
        <v>43297</v>
      </c>
      <c r="G63" s="1" t="s">
        <v>795</v>
      </c>
      <c r="H63" s="16"/>
      <c r="I63" s="16" t="s">
        <v>105</v>
      </c>
      <c r="J63" s="16" t="s">
        <v>705</v>
      </c>
      <c r="K63" s="16" t="s">
        <v>985</v>
      </c>
      <c r="L63" t="b">
        <v>0</v>
      </c>
      <c r="M63" s="36">
        <v>82.5</v>
      </c>
      <c r="N63" s="51">
        <v>0.27320378419841473</v>
      </c>
      <c r="O63" s="29">
        <v>27.04717463564306</v>
      </c>
      <c r="P63" s="29" t="str">
        <f t="shared" si="1"/>
        <v>20%</v>
      </c>
      <c r="Q63" s="27">
        <v>20</v>
      </c>
      <c r="R63" s="31">
        <v>16.5</v>
      </c>
      <c r="S63" s="31">
        <v>4.5078624392738433</v>
      </c>
      <c r="T63" s="33">
        <v>22.539312196369217</v>
      </c>
      <c r="U63" s="29">
        <v>99</v>
      </c>
      <c r="V63" s="35">
        <v>43419</v>
      </c>
      <c r="W63" s="35">
        <v>43418</v>
      </c>
      <c r="X63" s="27"/>
      <c r="Y63" s="58">
        <v>22.539312196369217</v>
      </c>
      <c r="Z63" s="31">
        <v>0</v>
      </c>
      <c r="AA63" t="b">
        <v>0</v>
      </c>
    </row>
    <row r="64" spans="2:27" x14ac:dyDescent="0.25">
      <c r="B64" s="53">
        <v>2018</v>
      </c>
      <c r="C64" s="53">
        <v>63</v>
      </c>
      <c r="D64" s="53" t="str">
        <f t="shared" si="0"/>
        <v>2018-63</v>
      </c>
      <c r="E64" s="9" t="s">
        <v>774</v>
      </c>
      <c r="F64" s="1">
        <v>43304</v>
      </c>
      <c r="G64" t="s">
        <v>651</v>
      </c>
      <c r="H64" s="16"/>
      <c r="I64" s="16" t="s">
        <v>105</v>
      </c>
      <c r="J64" s="16" t="s">
        <v>705</v>
      </c>
      <c r="K64" s="16" t="s">
        <v>985</v>
      </c>
      <c r="L64" t="b">
        <v>0</v>
      </c>
      <c r="M64" s="36">
        <v>15.3</v>
      </c>
      <c r="N64" s="51">
        <v>1</v>
      </c>
      <c r="O64" s="29">
        <v>18.36</v>
      </c>
      <c r="P64" s="29" t="str">
        <f t="shared" si="1"/>
        <v>20%</v>
      </c>
      <c r="Q64" s="27">
        <v>20</v>
      </c>
      <c r="R64" s="31">
        <v>3.06</v>
      </c>
      <c r="S64" s="31">
        <v>3.06</v>
      </c>
      <c r="T64" s="33">
        <v>15.3</v>
      </c>
      <c r="U64" s="29">
        <v>18.36</v>
      </c>
      <c r="V64" s="35">
        <v>43419</v>
      </c>
      <c r="W64" s="35">
        <v>43418</v>
      </c>
      <c r="X64" s="27"/>
      <c r="Y64" s="58">
        <v>15.3</v>
      </c>
      <c r="Z64" s="31">
        <v>0</v>
      </c>
      <c r="AA64" t="b">
        <v>0</v>
      </c>
    </row>
    <row r="65" spans="2:27" x14ac:dyDescent="0.25">
      <c r="B65" s="53">
        <v>2018</v>
      </c>
      <c r="C65" s="53">
        <v>64</v>
      </c>
      <c r="D65" s="53" t="str">
        <f t="shared" si="0"/>
        <v>2018-64</v>
      </c>
      <c r="E65" s="9" t="s">
        <v>650</v>
      </c>
      <c r="F65" s="1">
        <v>43306</v>
      </c>
      <c r="G65" s="1" t="s">
        <v>909</v>
      </c>
      <c r="H65" s="16"/>
      <c r="I65" s="16" t="s">
        <v>105</v>
      </c>
      <c r="J65" s="16" t="s">
        <v>691</v>
      </c>
      <c r="K65" s="16" t="s">
        <v>985</v>
      </c>
      <c r="L65" t="b">
        <v>0</v>
      </c>
      <c r="M65" s="36">
        <v>763.44</v>
      </c>
      <c r="N65" s="51">
        <v>0.27320378419841473</v>
      </c>
      <c r="O65" s="29">
        <v>229.43216670928155</v>
      </c>
      <c r="P65" s="29" t="str">
        <f t="shared" si="1"/>
        <v>10%</v>
      </c>
      <c r="Q65" s="27">
        <v>10</v>
      </c>
      <c r="R65" s="31">
        <v>76.344000000000008</v>
      </c>
      <c r="S65" s="31">
        <v>20.857469700843776</v>
      </c>
      <c r="T65" s="33">
        <v>208.57469700843777</v>
      </c>
      <c r="U65" s="29">
        <v>839.78400000000011</v>
      </c>
      <c r="V65" s="35">
        <v>43419</v>
      </c>
      <c r="W65" s="35">
        <v>43418</v>
      </c>
      <c r="X65" s="27"/>
      <c r="Y65" s="58">
        <v>208.57469700843777</v>
      </c>
      <c r="Z65" s="31">
        <v>0</v>
      </c>
      <c r="AA65" t="b">
        <v>0</v>
      </c>
    </row>
    <row r="66" spans="2:27" x14ac:dyDescent="0.25">
      <c r="B66" s="53">
        <v>2018</v>
      </c>
      <c r="C66" s="53">
        <v>65</v>
      </c>
      <c r="D66" s="53" t="str">
        <f t="shared" si="0"/>
        <v>2018-65</v>
      </c>
      <c r="E66" s="9" t="s">
        <v>775</v>
      </c>
      <c r="F66" s="1">
        <v>43314</v>
      </c>
      <c r="G66" t="s">
        <v>647</v>
      </c>
      <c r="H66" s="16"/>
      <c r="I66" s="16" t="s">
        <v>105</v>
      </c>
      <c r="J66" s="16" t="s">
        <v>703</v>
      </c>
      <c r="K66" s="16"/>
      <c r="L66" t="b">
        <v>0</v>
      </c>
      <c r="M66" s="36">
        <f>27.82+1.04</f>
        <v>28.86</v>
      </c>
      <c r="N66" s="51">
        <f>2/3</f>
        <v>0.66666666666666663</v>
      </c>
      <c r="O66" s="29">
        <f>N66*U66</f>
        <v>23.087999999999997</v>
      </c>
      <c r="P66" s="29" t="str">
        <f t="shared" si="1"/>
        <v>20%</v>
      </c>
      <c r="Q66" s="27">
        <v>20</v>
      </c>
      <c r="R66" s="31">
        <v>6.38</v>
      </c>
      <c r="S66" s="31">
        <v>2.207687718401091</v>
      </c>
      <c r="T66" s="33">
        <f>N66*M66</f>
        <v>19.239999999999998</v>
      </c>
      <c r="U66" s="29">
        <f>M66*(100%+P66)</f>
        <v>34.631999999999998</v>
      </c>
      <c r="V66" s="35">
        <v>43235</v>
      </c>
      <c r="W66" s="35">
        <v>43418</v>
      </c>
      <c r="X66" s="27"/>
      <c r="Y66" s="58">
        <v>19.240000000000002</v>
      </c>
      <c r="Z66" s="31">
        <v>0</v>
      </c>
      <c r="AA66" t="b">
        <v>0</v>
      </c>
    </row>
    <row r="67" spans="2:27" x14ac:dyDescent="0.25">
      <c r="B67" s="53">
        <v>2018</v>
      </c>
      <c r="C67" s="53">
        <v>66</v>
      </c>
      <c r="D67" s="53" t="str">
        <f t="shared" ref="D67:D115" si="2">B67&amp;"-"&amp;C67</f>
        <v>2018-66</v>
      </c>
      <c r="E67" s="9" t="s">
        <v>776</v>
      </c>
      <c r="F67" s="1">
        <v>43315</v>
      </c>
      <c r="G67" t="s">
        <v>34</v>
      </c>
      <c r="H67" s="16"/>
      <c r="I67" s="16" t="s">
        <v>105</v>
      </c>
      <c r="J67" s="16" t="s">
        <v>703</v>
      </c>
      <c r="K67" s="16"/>
      <c r="L67" t="b">
        <v>0</v>
      </c>
      <c r="M67" s="36">
        <v>15</v>
      </c>
      <c r="N67" s="51">
        <v>1</v>
      </c>
      <c r="O67" s="29">
        <v>18</v>
      </c>
      <c r="P67" s="29" t="str">
        <f t="shared" ref="P67:P115" si="3">Q67&amp;"%"</f>
        <v>20%</v>
      </c>
      <c r="Q67" s="27">
        <v>20</v>
      </c>
      <c r="R67" s="31">
        <v>3</v>
      </c>
      <c r="S67" s="31">
        <v>3</v>
      </c>
      <c r="T67" s="33">
        <v>15</v>
      </c>
      <c r="U67" s="29">
        <v>18</v>
      </c>
      <c r="V67" s="35">
        <v>43419</v>
      </c>
      <c r="W67" s="35">
        <v>43418</v>
      </c>
      <c r="X67" s="27"/>
      <c r="Y67" s="58">
        <v>15</v>
      </c>
      <c r="Z67" s="31">
        <v>0</v>
      </c>
      <c r="AA67" t="b">
        <v>0</v>
      </c>
    </row>
    <row r="68" spans="2:27" x14ac:dyDescent="0.25">
      <c r="B68" s="53">
        <v>2018</v>
      </c>
      <c r="C68" s="53">
        <v>67</v>
      </c>
      <c r="D68" s="53" t="str">
        <f t="shared" si="2"/>
        <v>2018-67</v>
      </c>
      <c r="E68" s="9" t="s">
        <v>777</v>
      </c>
      <c r="F68" s="1">
        <v>43328</v>
      </c>
      <c r="G68" s="1" t="s">
        <v>795</v>
      </c>
      <c r="H68" s="16"/>
      <c r="I68" s="16" t="s">
        <v>105</v>
      </c>
      <c r="J68" s="16" t="s">
        <v>705</v>
      </c>
      <c r="K68" s="16" t="s">
        <v>985</v>
      </c>
      <c r="L68" t="b">
        <v>0</v>
      </c>
      <c r="M68" s="36">
        <v>82.5</v>
      </c>
      <c r="N68" s="51">
        <v>0.27320378419841473</v>
      </c>
      <c r="O68" s="29">
        <v>27.04717463564306</v>
      </c>
      <c r="P68" s="29" t="str">
        <f t="shared" si="3"/>
        <v>20%</v>
      </c>
      <c r="Q68" s="27">
        <v>20</v>
      </c>
      <c r="R68" s="31">
        <v>16.5</v>
      </c>
      <c r="S68" s="31">
        <v>4.5078624392738433</v>
      </c>
      <c r="T68" s="33">
        <v>22.539312196369217</v>
      </c>
      <c r="U68" s="29">
        <v>99</v>
      </c>
      <c r="V68" s="35">
        <v>43419</v>
      </c>
      <c r="W68" s="35">
        <v>43418</v>
      </c>
      <c r="X68" s="27"/>
      <c r="Y68" s="58">
        <v>22.539312196369217</v>
      </c>
      <c r="Z68" s="31">
        <v>0</v>
      </c>
      <c r="AA68" t="b">
        <v>0</v>
      </c>
    </row>
    <row r="69" spans="2:27" x14ac:dyDescent="0.25">
      <c r="B69" s="53">
        <v>2018</v>
      </c>
      <c r="C69" s="53">
        <v>68</v>
      </c>
      <c r="D69" s="53" t="str">
        <f t="shared" si="2"/>
        <v>2018-68</v>
      </c>
      <c r="E69" s="9" t="s">
        <v>650</v>
      </c>
      <c r="F69" s="1">
        <v>43339</v>
      </c>
      <c r="G69" s="1" t="s">
        <v>909</v>
      </c>
      <c r="H69" s="16"/>
      <c r="I69" s="16" t="s">
        <v>105</v>
      </c>
      <c r="J69" s="16" t="s">
        <v>691</v>
      </c>
      <c r="K69" s="16" t="s">
        <v>985</v>
      </c>
      <c r="L69" t="b">
        <v>0</v>
      </c>
      <c r="M69" s="36">
        <v>763.44</v>
      </c>
      <c r="N69" s="51">
        <v>0.27320378419841473</v>
      </c>
      <c r="O69" s="29">
        <v>229.43216670928155</v>
      </c>
      <c r="P69" s="29" t="str">
        <f t="shared" si="3"/>
        <v>10%</v>
      </c>
      <c r="Q69" s="27">
        <v>10</v>
      </c>
      <c r="R69" s="31">
        <v>76.344000000000008</v>
      </c>
      <c r="S69" s="31">
        <v>20.857469700843776</v>
      </c>
      <c r="T69" s="33">
        <v>208.57469700843777</v>
      </c>
      <c r="U69" s="29">
        <v>839.78400000000011</v>
      </c>
      <c r="V69" s="35">
        <v>43419</v>
      </c>
      <c r="W69" s="35">
        <v>43418</v>
      </c>
      <c r="X69" s="27"/>
      <c r="Y69" s="58">
        <v>208.57469700843777</v>
      </c>
      <c r="Z69" s="31">
        <v>0</v>
      </c>
      <c r="AA69" t="b">
        <v>0</v>
      </c>
    </row>
    <row r="70" spans="2:27" x14ac:dyDescent="0.25">
      <c r="B70" s="53">
        <v>2018</v>
      </c>
      <c r="C70" s="53">
        <v>69</v>
      </c>
      <c r="D70" s="53" t="str">
        <f t="shared" si="2"/>
        <v>2018-69</v>
      </c>
      <c r="E70" s="9" t="s">
        <v>778</v>
      </c>
      <c r="F70" s="1">
        <v>43343</v>
      </c>
      <c r="G70" t="s">
        <v>34</v>
      </c>
      <c r="H70" s="16"/>
      <c r="I70" s="16" t="s">
        <v>105</v>
      </c>
      <c r="J70" s="16" t="s">
        <v>703</v>
      </c>
      <c r="K70" s="16"/>
      <c r="L70" t="b">
        <v>0</v>
      </c>
      <c r="M70" s="36">
        <v>19.23</v>
      </c>
      <c r="N70" s="51">
        <v>1</v>
      </c>
      <c r="O70" s="29">
        <v>23.076000000000001</v>
      </c>
      <c r="P70" s="29" t="str">
        <f t="shared" si="3"/>
        <v>20%</v>
      </c>
      <c r="Q70" s="27">
        <v>20</v>
      </c>
      <c r="R70" s="31">
        <v>3.8460000000000001</v>
      </c>
      <c r="S70" s="31">
        <v>3.8460000000000001</v>
      </c>
      <c r="T70" s="33">
        <v>19.23</v>
      </c>
      <c r="U70" s="29">
        <v>23.076000000000001</v>
      </c>
      <c r="V70" s="35">
        <v>43419</v>
      </c>
      <c r="W70" s="35">
        <v>43418</v>
      </c>
      <c r="X70" s="27"/>
      <c r="Y70" s="58">
        <v>19.23</v>
      </c>
      <c r="Z70" s="31">
        <v>0</v>
      </c>
      <c r="AA70" t="b">
        <v>0</v>
      </c>
    </row>
    <row r="71" spans="2:27" x14ac:dyDescent="0.25">
      <c r="B71" s="53">
        <v>2018</v>
      </c>
      <c r="C71" s="53">
        <v>70</v>
      </c>
      <c r="D71" s="53" t="str">
        <f t="shared" si="2"/>
        <v>2018-70</v>
      </c>
      <c r="E71" s="9" t="s">
        <v>780</v>
      </c>
      <c r="F71" s="1">
        <v>43346</v>
      </c>
      <c r="G71" s="1" t="s">
        <v>779</v>
      </c>
      <c r="H71" s="16"/>
      <c r="I71" s="16" t="s">
        <v>105</v>
      </c>
      <c r="J71" s="16" t="s">
        <v>705</v>
      </c>
      <c r="K71" s="16" t="s">
        <v>985</v>
      </c>
      <c r="L71" t="b">
        <v>0</v>
      </c>
      <c r="M71" s="36">
        <v>13.25</v>
      </c>
      <c r="N71" s="51">
        <v>1</v>
      </c>
      <c r="O71" s="29">
        <v>15.9</v>
      </c>
      <c r="P71" s="29" t="str">
        <f t="shared" si="3"/>
        <v>20%</v>
      </c>
      <c r="Q71" s="27">
        <v>20</v>
      </c>
      <c r="R71" s="31">
        <v>2.65</v>
      </c>
      <c r="S71" s="31">
        <v>2.65</v>
      </c>
      <c r="T71" s="33">
        <v>13.25</v>
      </c>
      <c r="U71" s="29">
        <v>15.9</v>
      </c>
      <c r="V71" s="35">
        <v>43419</v>
      </c>
      <c r="W71" s="35">
        <v>43418</v>
      </c>
      <c r="X71" s="27"/>
      <c r="Y71" s="58">
        <v>13.25</v>
      </c>
      <c r="Z71" s="31">
        <v>0</v>
      </c>
      <c r="AA71" t="b">
        <v>0</v>
      </c>
    </row>
    <row r="72" spans="2:27" x14ac:dyDescent="0.25">
      <c r="B72" s="53">
        <v>2018</v>
      </c>
      <c r="C72" s="53">
        <v>71</v>
      </c>
      <c r="D72" s="53" t="str">
        <f t="shared" si="2"/>
        <v>2018-71</v>
      </c>
      <c r="E72" s="9" t="s">
        <v>781</v>
      </c>
      <c r="F72" s="1">
        <v>43347</v>
      </c>
      <c r="G72" t="s">
        <v>647</v>
      </c>
      <c r="H72" s="16"/>
      <c r="I72" s="16" t="s">
        <v>105</v>
      </c>
      <c r="J72" s="16" t="s">
        <v>703</v>
      </c>
      <c r="K72" s="16"/>
      <c r="L72" t="b">
        <v>0</v>
      </c>
      <c r="M72" s="36">
        <f>27.82+1.04</f>
        <v>28.86</v>
      </c>
      <c r="N72" s="51">
        <f>2/3</f>
        <v>0.66666666666666663</v>
      </c>
      <c r="O72" s="29">
        <f>N72*U72</f>
        <v>23.087999999999997</v>
      </c>
      <c r="P72" s="29" t="str">
        <f t="shared" si="3"/>
        <v>20%</v>
      </c>
      <c r="Q72" s="27">
        <v>20</v>
      </c>
      <c r="R72" s="31">
        <v>6.38</v>
      </c>
      <c r="S72" s="31">
        <v>2.207687718401091</v>
      </c>
      <c r="T72" s="33">
        <f>N72*M72</f>
        <v>19.239999999999998</v>
      </c>
      <c r="U72" s="29">
        <f>M72*(100%+P72)</f>
        <v>34.631999999999998</v>
      </c>
      <c r="V72" s="35">
        <v>43235</v>
      </c>
      <c r="W72" s="35">
        <v>43418</v>
      </c>
      <c r="X72" s="27"/>
      <c r="Y72" s="58">
        <v>19.240000000000002</v>
      </c>
      <c r="Z72" s="31">
        <v>0</v>
      </c>
      <c r="AA72" t="b">
        <v>0</v>
      </c>
    </row>
    <row r="73" spans="2:27" x14ac:dyDescent="0.25">
      <c r="B73" s="53">
        <v>2018</v>
      </c>
      <c r="C73" s="53">
        <v>72</v>
      </c>
      <c r="D73" s="53" t="str">
        <f t="shared" si="2"/>
        <v>2018-72</v>
      </c>
      <c r="E73" s="61"/>
      <c r="F73" s="1">
        <v>43346</v>
      </c>
      <c r="G73" s="59" t="s">
        <v>855</v>
      </c>
      <c r="H73" s="60"/>
      <c r="I73" s="16" t="s">
        <v>105</v>
      </c>
      <c r="J73" s="16" t="s">
        <v>705</v>
      </c>
      <c r="K73" s="16"/>
      <c r="L73" t="b">
        <v>0</v>
      </c>
      <c r="M73" s="36">
        <v>14.06</v>
      </c>
      <c r="N73" s="51">
        <v>1</v>
      </c>
      <c r="O73" s="29">
        <v>16.872</v>
      </c>
      <c r="P73" s="29" t="str">
        <f t="shared" si="3"/>
        <v>20%</v>
      </c>
      <c r="Q73" s="27">
        <v>20</v>
      </c>
      <c r="R73" s="31">
        <v>2.8119999999999998</v>
      </c>
      <c r="S73" s="31">
        <v>2.8119999999999998</v>
      </c>
      <c r="T73" s="33">
        <v>14.06</v>
      </c>
      <c r="U73" s="29">
        <v>16.872</v>
      </c>
      <c r="V73" s="35">
        <v>43419</v>
      </c>
      <c r="W73" s="35">
        <v>43418</v>
      </c>
      <c r="X73" s="27"/>
      <c r="Y73" s="58">
        <v>14.06</v>
      </c>
      <c r="Z73" s="31">
        <v>0</v>
      </c>
      <c r="AA73" t="b">
        <v>0</v>
      </c>
    </row>
    <row r="74" spans="2:27" x14ac:dyDescent="0.25">
      <c r="B74" s="53">
        <v>2018</v>
      </c>
      <c r="C74" s="53">
        <v>73</v>
      </c>
      <c r="D74" s="53" t="str">
        <f t="shared" si="2"/>
        <v>2018-73</v>
      </c>
      <c r="E74" s="9" t="s">
        <v>858</v>
      </c>
      <c r="F74" s="1">
        <v>43360</v>
      </c>
      <c r="G74" s="1" t="s">
        <v>795</v>
      </c>
      <c r="H74" s="16"/>
      <c r="I74" s="16" t="s">
        <v>105</v>
      </c>
      <c r="J74" s="16" t="s">
        <v>705</v>
      </c>
      <c r="K74" s="16" t="s">
        <v>985</v>
      </c>
      <c r="L74" t="b">
        <v>0</v>
      </c>
      <c r="M74" s="36">
        <v>82.5</v>
      </c>
      <c r="N74" s="51">
        <v>0.27320378419841473</v>
      </c>
      <c r="O74" s="29">
        <v>27.04717463564306</v>
      </c>
      <c r="P74" s="29" t="str">
        <f t="shared" si="3"/>
        <v>20%</v>
      </c>
      <c r="Q74" s="27">
        <v>20</v>
      </c>
      <c r="R74" s="31">
        <v>16.5</v>
      </c>
      <c r="S74" s="31">
        <v>4.5078624392738433</v>
      </c>
      <c r="T74" s="33">
        <v>22.539312196369217</v>
      </c>
      <c r="U74" s="29">
        <v>99</v>
      </c>
      <c r="V74" s="35">
        <v>43419</v>
      </c>
      <c r="W74" s="35">
        <v>43418</v>
      </c>
      <c r="X74" s="27"/>
      <c r="Y74" s="58">
        <v>22.539312196369217</v>
      </c>
      <c r="Z74" s="31">
        <v>0</v>
      </c>
      <c r="AA74" t="b">
        <v>0</v>
      </c>
    </row>
    <row r="75" spans="2:27" x14ac:dyDescent="0.25">
      <c r="B75" s="53">
        <v>2018</v>
      </c>
      <c r="C75" s="53">
        <v>74</v>
      </c>
      <c r="D75" s="53" t="str">
        <f t="shared" si="2"/>
        <v>2018-74</v>
      </c>
      <c r="E75" s="9" t="s">
        <v>859</v>
      </c>
      <c r="F75" s="1">
        <v>43363</v>
      </c>
      <c r="G75" s="1" t="s">
        <v>860</v>
      </c>
      <c r="H75" s="16"/>
      <c r="I75" s="16" t="s">
        <v>105</v>
      </c>
      <c r="J75" s="16" t="s">
        <v>691</v>
      </c>
      <c r="K75" s="16" t="s">
        <v>985</v>
      </c>
      <c r="L75" t="b">
        <v>0</v>
      </c>
      <c r="M75" s="36">
        <v>-551.95000000000005</v>
      </c>
      <c r="N75" s="51">
        <v>0.27320378419841473</v>
      </c>
      <c r="O75" s="29">
        <v>-165.87431155714651</v>
      </c>
      <c r="P75" s="29" t="str">
        <f t="shared" si="3"/>
        <v>10%</v>
      </c>
      <c r="Q75" s="27">
        <v>10</v>
      </c>
      <c r="R75" s="31">
        <v>-55.195</v>
      </c>
      <c r="S75" s="31">
        <v>-15.079482868831501</v>
      </c>
      <c r="T75" s="33">
        <v>-150.79482868831502</v>
      </c>
      <c r="U75" s="29">
        <v>-607.1450000000001</v>
      </c>
      <c r="V75" s="35">
        <v>43419</v>
      </c>
      <c r="W75" s="35">
        <v>43418</v>
      </c>
      <c r="X75" s="27"/>
      <c r="Y75" s="58">
        <v>-150.79482868831502</v>
      </c>
      <c r="Z75" s="31">
        <v>0</v>
      </c>
      <c r="AA75" t="b">
        <v>0</v>
      </c>
    </row>
    <row r="76" spans="2:27" x14ac:dyDescent="0.25">
      <c r="B76" s="53">
        <v>2018</v>
      </c>
      <c r="C76" s="53">
        <v>75</v>
      </c>
      <c r="D76" s="53" t="str">
        <f t="shared" si="2"/>
        <v>2018-75</v>
      </c>
      <c r="E76" s="9" t="s">
        <v>861</v>
      </c>
      <c r="F76" s="1">
        <v>43364</v>
      </c>
      <c r="G76" s="1" t="s">
        <v>862</v>
      </c>
      <c r="H76" s="16"/>
      <c r="I76" s="16" t="s">
        <v>105</v>
      </c>
      <c r="J76" s="16" t="s">
        <v>689</v>
      </c>
      <c r="K76" s="16"/>
      <c r="L76" t="b">
        <v>0</v>
      </c>
      <c r="M76" s="36">
        <v>10</v>
      </c>
      <c r="N76" s="51">
        <v>1</v>
      </c>
      <c r="O76" s="29">
        <v>11</v>
      </c>
      <c r="P76" s="29" t="str">
        <f t="shared" si="3"/>
        <v>10%</v>
      </c>
      <c r="Q76" s="27">
        <v>10</v>
      </c>
      <c r="R76" s="31">
        <v>1</v>
      </c>
      <c r="S76" s="31">
        <v>1</v>
      </c>
      <c r="T76" s="33">
        <v>10</v>
      </c>
      <c r="U76" s="29">
        <v>11</v>
      </c>
      <c r="V76" s="35">
        <v>43419</v>
      </c>
      <c r="W76" s="35">
        <v>43418</v>
      </c>
      <c r="X76" s="27"/>
      <c r="Y76" s="58">
        <v>10</v>
      </c>
      <c r="Z76" s="31">
        <v>0</v>
      </c>
      <c r="AA76" t="b">
        <v>0</v>
      </c>
    </row>
    <row r="77" spans="2:27" x14ac:dyDescent="0.25">
      <c r="B77" s="53">
        <v>2018</v>
      </c>
      <c r="C77" s="53">
        <v>76</v>
      </c>
      <c r="D77" s="53" t="str">
        <f t="shared" si="2"/>
        <v>2018-76</v>
      </c>
      <c r="E77" s="9" t="s">
        <v>650</v>
      </c>
      <c r="F77" s="1">
        <v>43368</v>
      </c>
      <c r="G77" s="1" t="s">
        <v>909</v>
      </c>
      <c r="H77" s="16"/>
      <c r="I77" s="16" t="s">
        <v>105</v>
      </c>
      <c r="J77" s="16" t="s">
        <v>691</v>
      </c>
      <c r="K77" s="16" t="s">
        <v>985</v>
      </c>
      <c r="L77" t="b">
        <v>0</v>
      </c>
      <c r="M77" s="36">
        <v>763.44</v>
      </c>
      <c r="N77" s="51">
        <v>0.27320378419841473</v>
      </c>
      <c r="O77" s="29">
        <v>229.43216670928155</v>
      </c>
      <c r="P77" s="29" t="str">
        <f t="shared" si="3"/>
        <v>10%</v>
      </c>
      <c r="Q77" s="27">
        <v>10</v>
      </c>
      <c r="R77" s="31">
        <v>76.344000000000008</v>
      </c>
      <c r="S77" s="31">
        <v>20.857469700843776</v>
      </c>
      <c r="T77" s="33">
        <v>208.57469700843777</v>
      </c>
      <c r="U77" s="29">
        <v>839.78400000000011</v>
      </c>
      <c r="V77" s="35">
        <v>43419</v>
      </c>
      <c r="W77" s="35">
        <v>43418</v>
      </c>
      <c r="X77" s="27"/>
      <c r="Y77" s="58">
        <v>208.57469700843777</v>
      </c>
      <c r="Z77" s="31">
        <v>0</v>
      </c>
      <c r="AA77" t="b">
        <v>0</v>
      </c>
    </row>
    <row r="78" spans="2:27" x14ac:dyDescent="0.25">
      <c r="B78" s="53">
        <v>2018</v>
      </c>
      <c r="C78" s="53">
        <v>77</v>
      </c>
      <c r="D78" s="53" t="str">
        <f t="shared" si="2"/>
        <v>2018-77</v>
      </c>
      <c r="E78" s="9" t="s">
        <v>863</v>
      </c>
      <c r="F78" s="1">
        <v>43369</v>
      </c>
      <c r="G78" s="1" t="s">
        <v>864</v>
      </c>
      <c r="H78" s="16"/>
      <c r="I78" s="16" t="s">
        <v>105</v>
      </c>
      <c r="J78" s="16" t="s">
        <v>704</v>
      </c>
      <c r="K78" s="16"/>
      <c r="L78" t="b">
        <v>0</v>
      </c>
      <c r="M78" s="36">
        <v>20.8</v>
      </c>
      <c r="N78" s="51">
        <v>1</v>
      </c>
      <c r="O78" s="29">
        <v>20.8</v>
      </c>
      <c r="P78" s="29" t="str">
        <f t="shared" si="3"/>
        <v>0%</v>
      </c>
      <c r="Q78" s="27">
        <v>0</v>
      </c>
      <c r="R78" s="31">
        <v>0</v>
      </c>
      <c r="S78" s="31">
        <v>0</v>
      </c>
      <c r="T78" s="33">
        <v>20.8</v>
      </c>
      <c r="U78" s="29">
        <v>20.8</v>
      </c>
      <c r="V78" s="35">
        <v>43419</v>
      </c>
      <c r="W78" s="35">
        <v>43418</v>
      </c>
      <c r="X78" s="27"/>
      <c r="Y78" s="58">
        <v>20.8</v>
      </c>
      <c r="Z78" s="31">
        <v>0</v>
      </c>
      <c r="AA78" t="b">
        <v>0</v>
      </c>
    </row>
    <row r="79" spans="2:27" x14ac:dyDescent="0.25">
      <c r="B79" s="53">
        <v>2018</v>
      </c>
      <c r="C79" s="53">
        <v>78</v>
      </c>
      <c r="D79" s="53" t="str">
        <f t="shared" si="2"/>
        <v>2018-78</v>
      </c>
      <c r="E79" s="9" t="s">
        <v>865</v>
      </c>
      <c r="F79" s="1">
        <v>43370</v>
      </c>
      <c r="G79" s="1" t="s">
        <v>866</v>
      </c>
      <c r="H79" s="16"/>
      <c r="I79" s="16" t="s">
        <v>105</v>
      </c>
      <c r="J79" s="16" t="s">
        <v>683</v>
      </c>
      <c r="K79" s="16" t="s">
        <v>540</v>
      </c>
      <c r="L79" t="b">
        <v>0</v>
      </c>
      <c r="M79" s="36">
        <v>299.16000000000003</v>
      </c>
      <c r="N79" s="51">
        <v>1</v>
      </c>
      <c r="O79" s="29">
        <v>358.99200000000002</v>
      </c>
      <c r="P79" s="29" t="str">
        <f t="shared" si="3"/>
        <v>20%</v>
      </c>
      <c r="Q79" s="27">
        <v>20</v>
      </c>
      <c r="R79" s="31">
        <v>59.832000000000008</v>
      </c>
      <c r="S79" s="31">
        <v>59.832000000000008</v>
      </c>
      <c r="T79" s="33">
        <v>299.16000000000003</v>
      </c>
      <c r="U79" s="29">
        <v>358.99200000000002</v>
      </c>
      <c r="V79" s="35">
        <v>43419</v>
      </c>
      <c r="W79" s="35">
        <v>43418</v>
      </c>
      <c r="X79" s="27"/>
      <c r="Y79" s="58">
        <v>299.16000000000003</v>
      </c>
      <c r="Z79" s="31">
        <v>0</v>
      </c>
      <c r="AA79" t="b">
        <v>0</v>
      </c>
    </row>
    <row r="80" spans="2:27" x14ac:dyDescent="0.25">
      <c r="B80" s="53">
        <v>2018</v>
      </c>
      <c r="C80" s="53">
        <v>79</v>
      </c>
      <c r="D80" s="53" t="str">
        <f t="shared" si="2"/>
        <v>2018-79</v>
      </c>
      <c r="E80" s="9" t="s">
        <v>870</v>
      </c>
      <c r="F80" s="1">
        <v>43377</v>
      </c>
      <c r="G80" t="s">
        <v>647</v>
      </c>
      <c r="H80" s="16"/>
      <c r="I80" s="16" t="s">
        <v>105</v>
      </c>
      <c r="J80" s="16" t="s">
        <v>703</v>
      </c>
      <c r="K80" s="16"/>
      <c r="L80" t="b">
        <v>0</v>
      </c>
      <c r="M80" s="36">
        <f>27.82+1.04</f>
        <v>28.86</v>
      </c>
      <c r="N80" s="51">
        <f>2/3</f>
        <v>0.66666666666666663</v>
      </c>
      <c r="O80" s="29">
        <f>N80*U80</f>
        <v>23.087999999999997</v>
      </c>
      <c r="P80" s="29" t="str">
        <f t="shared" si="3"/>
        <v>20%</v>
      </c>
      <c r="Q80" s="27">
        <v>20</v>
      </c>
      <c r="R80" s="31">
        <v>6.38</v>
      </c>
      <c r="S80" s="31">
        <v>2.207687718401091</v>
      </c>
      <c r="T80" s="33">
        <f>N80*M80</f>
        <v>19.239999999999998</v>
      </c>
      <c r="U80" s="29">
        <f>M80*(100%+P80)</f>
        <v>34.631999999999998</v>
      </c>
      <c r="V80" s="35">
        <v>43235</v>
      </c>
      <c r="W80" s="35"/>
      <c r="X80" s="27"/>
      <c r="Y80" s="58">
        <v>19.240000000000002</v>
      </c>
      <c r="Z80" s="31">
        <v>0</v>
      </c>
      <c r="AA80" t="b">
        <v>0</v>
      </c>
    </row>
    <row r="81" spans="2:27" x14ac:dyDescent="0.25">
      <c r="B81" s="53">
        <v>2018</v>
      </c>
      <c r="C81" s="53">
        <v>80</v>
      </c>
      <c r="D81" s="53" t="str">
        <f t="shared" si="2"/>
        <v>2018-80</v>
      </c>
      <c r="E81" s="9" t="s">
        <v>874</v>
      </c>
      <c r="F81" s="1">
        <v>43378</v>
      </c>
      <c r="G81" t="s">
        <v>34</v>
      </c>
      <c r="H81" s="16"/>
      <c r="I81" s="16" t="s">
        <v>105</v>
      </c>
      <c r="J81" s="16" t="s">
        <v>703</v>
      </c>
      <c r="K81" s="16"/>
      <c r="L81" t="b">
        <v>0</v>
      </c>
      <c r="M81" s="36">
        <v>15</v>
      </c>
      <c r="N81" s="51">
        <v>1</v>
      </c>
      <c r="O81" s="29">
        <v>18</v>
      </c>
      <c r="P81" s="29" t="str">
        <f t="shared" si="3"/>
        <v>20%</v>
      </c>
      <c r="Q81" s="27">
        <v>20</v>
      </c>
      <c r="R81" s="31">
        <v>3</v>
      </c>
      <c r="S81" s="31">
        <v>3</v>
      </c>
      <c r="T81" s="33">
        <v>15</v>
      </c>
      <c r="U81" s="29">
        <v>18</v>
      </c>
      <c r="V81" s="35">
        <v>43511</v>
      </c>
      <c r="W81" s="35"/>
      <c r="X81" s="27"/>
      <c r="Y81" s="58">
        <v>15</v>
      </c>
      <c r="Z81" s="31">
        <v>0</v>
      </c>
      <c r="AA81" t="b">
        <v>0</v>
      </c>
    </row>
    <row r="82" spans="2:27" x14ac:dyDescent="0.25">
      <c r="B82" s="53">
        <v>2018</v>
      </c>
      <c r="C82" s="53">
        <v>81</v>
      </c>
      <c r="D82" s="53" t="str">
        <f t="shared" si="2"/>
        <v>2018-81</v>
      </c>
      <c r="E82" s="9" t="s">
        <v>873</v>
      </c>
      <c r="F82" s="1">
        <v>43382</v>
      </c>
      <c r="G82" s="1" t="s">
        <v>871</v>
      </c>
      <c r="H82" s="16"/>
      <c r="I82" s="16" t="s">
        <v>105</v>
      </c>
      <c r="J82" s="16" t="s">
        <v>704</v>
      </c>
      <c r="K82" s="16"/>
      <c r="L82" t="b">
        <v>0</v>
      </c>
      <c r="M82" s="36">
        <v>64.8</v>
      </c>
      <c r="N82" s="51">
        <v>1</v>
      </c>
      <c r="O82" s="29">
        <v>64.8</v>
      </c>
      <c r="P82" s="29" t="str">
        <f t="shared" si="3"/>
        <v>0%</v>
      </c>
      <c r="Q82" s="27">
        <v>0</v>
      </c>
      <c r="R82" s="31">
        <v>0</v>
      </c>
      <c r="S82" s="31">
        <v>0</v>
      </c>
      <c r="T82" s="33">
        <v>64.8</v>
      </c>
      <c r="U82" s="29">
        <v>64.8</v>
      </c>
      <c r="V82" s="35">
        <v>43511</v>
      </c>
      <c r="W82" s="27"/>
      <c r="X82" s="27"/>
      <c r="Y82" s="58">
        <v>64.8</v>
      </c>
      <c r="Z82" s="31">
        <v>0</v>
      </c>
      <c r="AA82" t="b">
        <v>0</v>
      </c>
    </row>
    <row r="83" spans="2:27" x14ac:dyDescent="0.25">
      <c r="B83" s="53">
        <v>2018</v>
      </c>
      <c r="C83" s="53">
        <v>82</v>
      </c>
      <c r="D83" s="53" t="str">
        <f t="shared" si="2"/>
        <v>2018-82</v>
      </c>
      <c r="E83" s="9" t="s">
        <v>875</v>
      </c>
      <c r="F83" s="1">
        <v>43388</v>
      </c>
      <c r="G83" s="1" t="s">
        <v>986</v>
      </c>
      <c r="H83" s="16"/>
      <c r="I83" s="16" t="s">
        <v>105</v>
      </c>
      <c r="J83" s="16" t="s">
        <v>705</v>
      </c>
      <c r="K83" s="16" t="s">
        <v>985</v>
      </c>
      <c r="L83" t="b">
        <v>0</v>
      </c>
      <c r="M83" s="36">
        <v>151.66999999999999</v>
      </c>
      <c r="N83" s="51">
        <v>0.27320378419841473</v>
      </c>
      <c r="O83" s="29">
        <v>49.724181539248278</v>
      </c>
      <c r="P83" s="29" t="str">
        <f t="shared" si="3"/>
        <v>20%</v>
      </c>
      <c r="Q83" s="27">
        <v>20</v>
      </c>
      <c r="R83" s="31">
        <v>30.333999999999996</v>
      </c>
      <c r="S83" s="31">
        <v>8.2873635898747118</v>
      </c>
      <c r="T83" s="33">
        <v>41.436817949373562</v>
      </c>
      <c r="U83" s="29">
        <v>182.00399999999999</v>
      </c>
      <c r="V83" s="35">
        <v>43511</v>
      </c>
      <c r="W83" s="35"/>
      <c r="X83" s="27"/>
      <c r="Y83" s="58">
        <v>41.436817949373562</v>
      </c>
      <c r="Z83" s="31">
        <v>0</v>
      </c>
      <c r="AA83" t="b">
        <v>0</v>
      </c>
    </row>
    <row r="84" spans="2:27" x14ac:dyDescent="0.25">
      <c r="B84" s="53">
        <v>2018</v>
      </c>
      <c r="C84" s="53">
        <v>83</v>
      </c>
      <c r="D84" s="53" t="str">
        <f t="shared" si="2"/>
        <v>2018-83</v>
      </c>
      <c r="E84" s="9" t="s">
        <v>876</v>
      </c>
      <c r="F84" s="1">
        <v>43388</v>
      </c>
      <c r="G84" s="1" t="s">
        <v>795</v>
      </c>
      <c r="H84" s="16"/>
      <c r="I84" s="16" t="s">
        <v>105</v>
      </c>
      <c r="J84" s="16" t="s">
        <v>705</v>
      </c>
      <c r="K84" s="16" t="s">
        <v>985</v>
      </c>
      <c r="L84" t="b">
        <v>0</v>
      </c>
      <c r="M84" s="36">
        <v>82.5</v>
      </c>
      <c r="N84" s="51">
        <v>0.27320378419841473</v>
      </c>
      <c r="O84" s="29">
        <v>27.04717463564306</v>
      </c>
      <c r="P84" s="29" t="str">
        <f t="shared" si="3"/>
        <v>20%</v>
      </c>
      <c r="Q84" s="27">
        <v>20</v>
      </c>
      <c r="R84" s="31">
        <v>16.5</v>
      </c>
      <c r="S84" s="31">
        <v>4.5078624392738433</v>
      </c>
      <c r="T84" s="33">
        <v>22.539312196369217</v>
      </c>
      <c r="U84" s="29">
        <v>99</v>
      </c>
      <c r="V84" s="35">
        <v>43511</v>
      </c>
      <c r="W84" s="35"/>
      <c r="X84" s="27"/>
      <c r="Y84" s="58">
        <v>22.539312196369217</v>
      </c>
      <c r="Z84" s="31">
        <v>0</v>
      </c>
      <c r="AA84" t="b">
        <v>0</v>
      </c>
    </row>
    <row r="85" spans="2:27" x14ac:dyDescent="0.25">
      <c r="B85" s="53">
        <v>2018</v>
      </c>
      <c r="C85" s="53">
        <v>84</v>
      </c>
      <c r="D85" s="53" t="str">
        <f t="shared" si="2"/>
        <v>2018-84</v>
      </c>
      <c r="E85" s="9" t="s">
        <v>877</v>
      </c>
      <c r="F85" s="1">
        <v>43382</v>
      </c>
      <c r="G85" s="1" t="s">
        <v>868</v>
      </c>
      <c r="H85" s="16"/>
      <c r="I85" s="16" t="s">
        <v>105</v>
      </c>
      <c r="J85" s="16" t="s">
        <v>705</v>
      </c>
      <c r="K85" s="16" t="s">
        <v>985</v>
      </c>
      <c r="L85" t="b">
        <v>0</v>
      </c>
      <c r="M85" s="36">
        <v>12.42</v>
      </c>
      <c r="N85" s="51">
        <v>1</v>
      </c>
      <c r="O85" s="29">
        <v>14.904</v>
      </c>
      <c r="P85" s="29" t="str">
        <f t="shared" si="3"/>
        <v>20%</v>
      </c>
      <c r="Q85" s="27">
        <v>20</v>
      </c>
      <c r="R85" s="31">
        <v>2.484</v>
      </c>
      <c r="S85" s="31">
        <v>2.484</v>
      </c>
      <c r="T85" s="33">
        <v>12.42</v>
      </c>
      <c r="U85" s="29">
        <v>14.904</v>
      </c>
      <c r="V85" s="35">
        <v>43511</v>
      </c>
      <c r="W85" s="35"/>
      <c r="X85" s="27"/>
      <c r="Y85" s="58">
        <v>12.42</v>
      </c>
      <c r="Z85" s="31">
        <v>0</v>
      </c>
      <c r="AA85" t="b">
        <v>0</v>
      </c>
    </row>
    <row r="86" spans="2:27" x14ac:dyDescent="0.25">
      <c r="B86" s="53">
        <v>2018</v>
      </c>
      <c r="C86" s="53">
        <v>85</v>
      </c>
      <c r="D86" s="53" t="str">
        <f t="shared" si="2"/>
        <v>2018-85</v>
      </c>
      <c r="E86" s="9" t="s">
        <v>878</v>
      </c>
      <c r="F86" s="1">
        <v>43381</v>
      </c>
      <c r="G86" t="s">
        <v>869</v>
      </c>
      <c r="H86" s="16"/>
      <c r="I86" s="16" t="s">
        <v>105</v>
      </c>
      <c r="J86" s="16" t="s">
        <v>705</v>
      </c>
      <c r="K86" s="16" t="s">
        <v>985</v>
      </c>
      <c r="L86" t="b">
        <v>0</v>
      </c>
      <c r="M86" s="36">
        <v>100.8</v>
      </c>
      <c r="N86" s="51">
        <v>1</v>
      </c>
      <c r="O86" s="29">
        <v>120.96</v>
      </c>
      <c r="P86" s="29" t="str">
        <f t="shared" si="3"/>
        <v>20%</v>
      </c>
      <c r="Q86" s="27">
        <v>20</v>
      </c>
      <c r="R86" s="31">
        <v>20.16</v>
      </c>
      <c r="S86" s="31">
        <v>20.16</v>
      </c>
      <c r="T86" s="33">
        <v>100.8</v>
      </c>
      <c r="U86" s="29">
        <v>120.96</v>
      </c>
      <c r="V86" s="35">
        <v>43511</v>
      </c>
      <c r="W86" s="35"/>
      <c r="X86" s="27"/>
      <c r="Y86" s="58">
        <v>100.8</v>
      </c>
      <c r="Z86" s="31">
        <v>0</v>
      </c>
      <c r="AA86" t="b">
        <v>0</v>
      </c>
    </row>
    <row r="87" spans="2:27" x14ac:dyDescent="0.25">
      <c r="B87" s="53">
        <v>2018</v>
      </c>
      <c r="C87" s="53">
        <v>86</v>
      </c>
      <c r="D87" s="53" t="str">
        <f t="shared" si="2"/>
        <v>2018-86</v>
      </c>
      <c r="E87" s="9" t="s">
        <v>879</v>
      </c>
      <c r="F87" s="1">
        <v>43385</v>
      </c>
      <c r="G87" s="1" t="s">
        <v>867</v>
      </c>
      <c r="H87" s="16"/>
      <c r="I87" s="16" t="s">
        <v>105</v>
      </c>
      <c r="J87" s="16" t="s">
        <v>705</v>
      </c>
      <c r="K87" s="16" t="s">
        <v>985</v>
      </c>
      <c r="L87" t="b">
        <v>0</v>
      </c>
      <c r="M87" s="36">
        <v>6.67</v>
      </c>
      <c r="N87" s="51">
        <v>1</v>
      </c>
      <c r="O87" s="29">
        <v>8.0039999999999996</v>
      </c>
      <c r="P87" s="29" t="str">
        <f t="shared" si="3"/>
        <v>20%</v>
      </c>
      <c r="Q87" s="27">
        <v>20</v>
      </c>
      <c r="R87" s="31">
        <v>1.3340000000000001</v>
      </c>
      <c r="S87" s="31">
        <v>1.3340000000000001</v>
      </c>
      <c r="T87" s="33">
        <v>6.67</v>
      </c>
      <c r="U87" s="29">
        <v>8.0039999999999996</v>
      </c>
      <c r="V87" s="35">
        <v>43511</v>
      </c>
      <c r="W87" s="35"/>
      <c r="X87" s="27"/>
      <c r="Y87" s="58">
        <v>6.67</v>
      </c>
      <c r="Z87" s="31">
        <v>0</v>
      </c>
      <c r="AA87" t="b">
        <v>0</v>
      </c>
    </row>
    <row r="88" spans="2:27" x14ac:dyDescent="0.25">
      <c r="B88" s="53">
        <v>2018</v>
      </c>
      <c r="C88" s="53">
        <v>87</v>
      </c>
      <c r="D88" s="53" t="str">
        <f t="shared" si="2"/>
        <v>2018-87</v>
      </c>
      <c r="E88" s="9" t="s">
        <v>873</v>
      </c>
      <c r="F88" s="1">
        <v>43397</v>
      </c>
      <c r="G88" s="1" t="s">
        <v>872</v>
      </c>
      <c r="H88" s="16"/>
      <c r="I88" s="16" t="s">
        <v>105</v>
      </c>
      <c r="J88" s="16" t="s">
        <v>704</v>
      </c>
      <c r="K88" s="16"/>
      <c r="L88" t="b">
        <v>0</v>
      </c>
      <c r="M88" s="36">
        <v>91.4</v>
      </c>
      <c r="N88" s="51">
        <v>1</v>
      </c>
      <c r="O88" s="29">
        <v>109.68</v>
      </c>
      <c r="P88" s="29" t="str">
        <f t="shared" si="3"/>
        <v>20%</v>
      </c>
      <c r="Q88" s="27">
        <v>20</v>
      </c>
      <c r="R88" s="31">
        <v>18.28</v>
      </c>
      <c r="S88" s="31">
        <v>18.28</v>
      </c>
      <c r="T88" s="33">
        <v>91.4</v>
      </c>
      <c r="U88" s="29">
        <v>109.68</v>
      </c>
      <c r="V88" s="35">
        <v>43511</v>
      </c>
      <c r="W88" s="35"/>
      <c r="X88" s="27"/>
      <c r="Y88" s="58">
        <v>91.4</v>
      </c>
      <c r="Z88" s="31">
        <v>0</v>
      </c>
      <c r="AA88" t="b">
        <v>0</v>
      </c>
    </row>
    <row r="89" spans="2:27" x14ac:dyDescent="0.25">
      <c r="B89" s="53">
        <v>2018</v>
      </c>
      <c r="C89" s="53">
        <v>88</v>
      </c>
      <c r="D89" s="53" t="str">
        <f t="shared" si="2"/>
        <v>2018-88</v>
      </c>
      <c r="E89" s="9" t="s">
        <v>859</v>
      </c>
      <c r="F89" s="1">
        <v>43398</v>
      </c>
      <c r="G89" s="1" t="s">
        <v>909</v>
      </c>
      <c r="H89" s="16"/>
      <c r="I89" s="16" t="s">
        <v>105</v>
      </c>
      <c r="J89" s="16" t="s">
        <v>691</v>
      </c>
      <c r="K89" s="16" t="s">
        <v>985</v>
      </c>
      <c r="L89" t="b">
        <v>0</v>
      </c>
      <c r="M89" s="36">
        <v>763.44</v>
      </c>
      <c r="N89" s="51">
        <v>0.27320378419841473</v>
      </c>
      <c r="O89" s="29">
        <v>229.43216670928155</v>
      </c>
      <c r="P89" s="29" t="str">
        <f t="shared" si="3"/>
        <v>10%</v>
      </c>
      <c r="Q89" s="27">
        <v>10</v>
      </c>
      <c r="R89" s="31">
        <v>76.344000000000008</v>
      </c>
      <c r="S89" s="31">
        <v>20.857469700843776</v>
      </c>
      <c r="T89" s="33">
        <v>208.57469700843777</v>
      </c>
      <c r="U89" s="29">
        <v>839.78400000000011</v>
      </c>
      <c r="V89" s="35">
        <v>43511</v>
      </c>
      <c r="W89" s="35"/>
      <c r="X89" s="27"/>
      <c r="Y89" s="58">
        <v>208.57469700843777</v>
      </c>
      <c r="Z89" s="31">
        <v>0</v>
      </c>
      <c r="AA89" t="b">
        <v>0</v>
      </c>
    </row>
    <row r="90" spans="2:27" x14ac:dyDescent="0.25">
      <c r="B90" s="53">
        <v>2018</v>
      </c>
      <c r="C90" s="53">
        <v>89</v>
      </c>
      <c r="D90" s="53" t="str">
        <f t="shared" si="2"/>
        <v>2018-89</v>
      </c>
      <c r="E90" s="9" t="s">
        <v>880</v>
      </c>
      <c r="F90" s="1">
        <v>43403</v>
      </c>
      <c r="G90" s="1" t="s">
        <v>881</v>
      </c>
      <c r="H90" s="16"/>
      <c r="I90" s="16" t="s">
        <v>105</v>
      </c>
      <c r="J90" s="16" t="s">
        <v>693</v>
      </c>
      <c r="K90" s="16"/>
      <c r="L90" t="b">
        <v>0</v>
      </c>
      <c r="M90" s="36">
        <v>12.56</v>
      </c>
      <c r="N90" s="51">
        <v>1</v>
      </c>
      <c r="O90" s="29">
        <v>12.56</v>
      </c>
      <c r="P90" s="29" t="str">
        <f t="shared" si="3"/>
        <v>0%</v>
      </c>
      <c r="Q90" s="27">
        <v>0</v>
      </c>
      <c r="R90" s="31">
        <v>0</v>
      </c>
      <c r="S90" s="31">
        <v>0</v>
      </c>
      <c r="T90" s="33">
        <v>12.56</v>
      </c>
      <c r="U90" s="29">
        <v>12.56</v>
      </c>
      <c r="V90" s="35">
        <v>43511</v>
      </c>
      <c r="W90" s="35"/>
      <c r="X90" s="27">
        <v>20</v>
      </c>
      <c r="Y90" s="58">
        <v>12.56</v>
      </c>
      <c r="Z90" s="31">
        <v>2.5120000000000005</v>
      </c>
      <c r="AA90" t="b">
        <v>0</v>
      </c>
    </row>
    <row r="91" spans="2:27" x14ac:dyDescent="0.25">
      <c r="B91" s="53">
        <v>2018</v>
      </c>
      <c r="C91" s="53">
        <v>90</v>
      </c>
      <c r="D91" s="53" t="str">
        <f t="shared" si="2"/>
        <v>2018-90</v>
      </c>
      <c r="E91" s="9" t="s">
        <v>882</v>
      </c>
      <c r="F91" s="1">
        <v>43406</v>
      </c>
      <c r="G91" t="s">
        <v>34</v>
      </c>
      <c r="H91" s="16"/>
      <c r="I91" s="16" t="s">
        <v>105</v>
      </c>
      <c r="J91" s="16" t="s">
        <v>703</v>
      </c>
      <c r="K91" s="16"/>
      <c r="L91" t="b">
        <v>0</v>
      </c>
      <c r="M91" s="36">
        <v>17.32</v>
      </c>
      <c r="N91" s="51">
        <v>1</v>
      </c>
      <c r="O91" s="29">
        <v>20.783999999999999</v>
      </c>
      <c r="P91" s="29" t="str">
        <f t="shared" si="3"/>
        <v>20%</v>
      </c>
      <c r="Q91" s="27">
        <v>20</v>
      </c>
      <c r="R91" s="31">
        <v>3.464</v>
      </c>
      <c r="S91" s="31">
        <v>3.464</v>
      </c>
      <c r="T91" s="33">
        <v>17.32</v>
      </c>
      <c r="U91" s="29">
        <v>20.783999999999999</v>
      </c>
      <c r="V91" s="35">
        <v>43511</v>
      </c>
      <c r="W91" s="35"/>
      <c r="X91" s="27"/>
      <c r="Y91" s="58">
        <v>17.32</v>
      </c>
      <c r="Z91" s="31">
        <v>0</v>
      </c>
      <c r="AA91" t="b">
        <v>0</v>
      </c>
    </row>
    <row r="92" spans="2:27" x14ac:dyDescent="0.25">
      <c r="B92" s="53">
        <v>2018</v>
      </c>
      <c r="C92" s="53">
        <v>91</v>
      </c>
      <c r="D92" s="53" t="str">
        <f t="shared" si="2"/>
        <v>2018-91</v>
      </c>
      <c r="E92" s="9" t="s">
        <v>883</v>
      </c>
      <c r="F92" s="1">
        <v>43406</v>
      </c>
      <c r="G92" s="1" t="s">
        <v>884</v>
      </c>
      <c r="H92" s="16"/>
      <c r="I92" s="16" t="s">
        <v>105</v>
      </c>
      <c r="J92" s="16" t="s">
        <v>693</v>
      </c>
      <c r="K92" s="16"/>
      <c r="L92" t="b">
        <v>0</v>
      </c>
      <c r="M92" s="36">
        <v>29.99</v>
      </c>
      <c r="N92" s="51">
        <v>1</v>
      </c>
      <c r="O92" s="29">
        <v>29.99</v>
      </c>
      <c r="P92" s="29" t="str">
        <f t="shared" si="3"/>
        <v>0%</v>
      </c>
      <c r="Q92" s="27">
        <v>0</v>
      </c>
      <c r="R92" s="31">
        <v>0</v>
      </c>
      <c r="S92" s="31">
        <v>0</v>
      </c>
      <c r="T92" s="33">
        <v>29.99</v>
      </c>
      <c r="U92" s="29">
        <v>29.99</v>
      </c>
      <c r="V92" s="35">
        <v>43511</v>
      </c>
      <c r="W92" s="27"/>
      <c r="X92" s="27">
        <v>20</v>
      </c>
      <c r="Y92" s="58">
        <v>29.99</v>
      </c>
      <c r="Z92" s="31">
        <v>5.9980000000000002</v>
      </c>
      <c r="AA92" t="b">
        <v>0</v>
      </c>
    </row>
    <row r="93" spans="2:27" x14ac:dyDescent="0.25">
      <c r="B93" s="53">
        <v>2018</v>
      </c>
      <c r="C93" s="53">
        <v>92</v>
      </c>
      <c r="D93" s="53" t="str">
        <f t="shared" si="2"/>
        <v>2018-92</v>
      </c>
      <c r="E93" s="9" t="s">
        <v>885</v>
      </c>
      <c r="F93" s="1">
        <v>43409</v>
      </c>
      <c r="G93" t="s">
        <v>647</v>
      </c>
      <c r="H93" s="16"/>
      <c r="I93" s="16" t="s">
        <v>105</v>
      </c>
      <c r="J93" s="16" t="s">
        <v>703</v>
      </c>
      <c r="K93" s="16"/>
      <c r="L93" t="b">
        <v>0</v>
      </c>
      <c r="M93" s="36">
        <f>27.82+1.04</f>
        <v>28.86</v>
      </c>
      <c r="N93" s="51">
        <f>2/3</f>
        <v>0.66666666666666663</v>
      </c>
      <c r="O93" s="29">
        <f>N93*U93</f>
        <v>23.087999999999997</v>
      </c>
      <c r="P93" s="29" t="str">
        <f t="shared" si="3"/>
        <v>20%</v>
      </c>
      <c r="Q93" s="27">
        <v>20</v>
      </c>
      <c r="R93" s="31">
        <v>6.38</v>
      </c>
      <c r="S93" s="31">
        <v>2.207687718401091</v>
      </c>
      <c r="T93" s="33">
        <f>N93*M93</f>
        <v>19.239999999999998</v>
      </c>
      <c r="U93" s="29">
        <f>M93*(100%+P93)</f>
        <v>34.631999999999998</v>
      </c>
      <c r="V93" s="35">
        <v>43235</v>
      </c>
      <c r="W93" s="35"/>
      <c r="X93" s="27"/>
      <c r="Y93" s="58">
        <v>19.240000000000002</v>
      </c>
      <c r="Z93" s="31">
        <v>0</v>
      </c>
      <c r="AA93" t="b">
        <v>0</v>
      </c>
    </row>
    <row r="94" spans="2:27" x14ac:dyDescent="0.25">
      <c r="B94" s="53">
        <v>2018</v>
      </c>
      <c r="C94" s="53">
        <v>93</v>
      </c>
      <c r="D94" s="53" t="str">
        <f t="shared" si="2"/>
        <v>2018-93</v>
      </c>
      <c r="E94" s="9" t="s">
        <v>886</v>
      </c>
      <c r="F94" s="1">
        <v>43411</v>
      </c>
      <c r="G94" s="1" t="s">
        <v>887</v>
      </c>
      <c r="H94" s="16"/>
      <c r="I94" s="16" t="s">
        <v>105</v>
      </c>
      <c r="J94" s="16" t="s">
        <v>683</v>
      </c>
      <c r="K94" s="16" t="s">
        <v>540</v>
      </c>
      <c r="L94" t="b">
        <v>0</v>
      </c>
      <c r="M94" s="36">
        <v>202.17</v>
      </c>
      <c r="N94" s="51">
        <v>1</v>
      </c>
      <c r="O94" s="29">
        <v>242.60399999999998</v>
      </c>
      <c r="P94" s="29" t="str">
        <f t="shared" si="3"/>
        <v>20%</v>
      </c>
      <c r="Q94" s="27">
        <v>20</v>
      </c>
      <c r="R94" s="31">
        <v>40.433999999999997</v>
      </c>
      <c r="S94" s="31">
        <v>40.433999999999997</v>
      </c>
      <c r="T94" s="33">
        <v>202.17</v>
      </c>
      <c r="U94" s="29">
        <v>242.60399999999998</v>
      </c>
      <c r="V94" s="35">
        <v>43511</v>
      </c>
      <c r="W94" s="35"/>
      <c r="X94" s="27"/>
      <c r="Y94" s="58">
        <v>202.17</v>
      </c>
      <c r="Z94" s="31">
        <v>0</v>
      </c>
      <c r="AA94" t="b">
        <v>0</v>
      </c>
    </row>
    <row r="95" spans="2:27" x14ac:dyDescent="0.25">
      <c r="B95" s="53">
        <v>2018</v>
      </c>
      <c r="C95" s="53">
        <v>94</v>
      </c>
      <c r="D95" s="53" t="str">
        <f t="shared" si="2"/>
        <v>2018-94</v>
      </c>
      <c r="E95" s="9" t="s">
        <v>888</v>
      </c>
      <c r="F95" s="1">
        <v>43411</v>
      </c>
      <c r="G95" t="s">
        <v>889</v>
      </c>
      <c r="H95" s="16"/>
      <c r="I95" s="16" t="s">
        <v>105</v>
      </c>
      <c r="J95" s="16" t="s">
        <v>683</v>
      </c>
      <c r="K95" s="16" t="s">
        <v>540</v>
      </c>
      <c r="L95" t="b">
        <v>0</v>
      </c>
      <c r="M95" s="36">
        <v>126.08</v>
      </c>
      <c r="N95" s="51">
        <v>1</v>
      </c>
      <c r="O95" s="29">
        <v>151.29599999999999</v>
      </c>
      <c r="P95" s="29" t="str">
        <f t="shared" si="3"/>
        <v>20%</v>
      </c>
      <c r="Q95" s="27">
        <v>20</v>
      </c>
      <c r="R95" s="31">
        <v>25.215999999999998</v>
      </c>
      <c r="S95" s="31">
        <v>25.215999999999998</v>
      </c>
      <c r="T95" s="33">
        <v>126.08</v>
      </c>
      <c r="U95" s="29">
        <v>151.29599999999999</v>
      </c>
      <c r="V95" s="35">
        <v>43511</v>
      </c>
      <c r="W95" s="35"/>
      <c r="X95" s="27"/>
      <c r="Y95" s="58">
        <v>126.08</v>
      </c>
      <c r="Z95" s="31">
        <v>0</v>
      </c>
      <c r="AA95" t="b">
        <v>0</v>
      </c>
    </row>
    <row r="96" spans="2:27" x14ac:dyDescent="0.25">
      <c r="B96" s="53">
        <v>2018</v>
      </c>
      <c r="C96" s="53">
        <v>95</v>
      </c>
      <c r="D96" s="53" t="str">
        <f t="shared" si="2"/>
        <v>2018-95</v>
      </c>
      <c r="E96" s="9" t="s">
        <v>890</v>
      </c>
      <c r="F96" s="1">
        <v>43413</v>
      </c>
      <c r="G96" s="1" t="s">
        <v>891</v>
      </c>
      <c r="H96" s="16"/>
      <c r="I96" s="16" t="s">
        <v>105</v>
      </c>
      <c r="J96" s="16" t="s">
        <v>693</v>
      </c>
      <c r="K96" s="16"/>
      <c r="L96" t="b">
        <v>0</v>
      </c>
      <c r="M96" s="36">
        <v>31.01</v>
      </c>
      <c r="N96" s="51">
        <v>1</v>
      </c>
      <c r="O96" s="29">
        <v>37.212000000000003</v>
      </c>
      <c r="P96" s="29" t="str">
        <f t="shared" si="3"/>
        <v>20%</v>
      </c>
      <c r="Q96" s="27">
        <v>20</v>
      </c>
      <c r="R96" s="31">
        <v>6.2020000000000008</v>
      </c>
      <c r="S96" s="31">
        <v>6.2020000000000008</v>
      </c>
      <c r="T96" s="33">
        <v>31.01</v>
      </c>
      <c r="U96" s="29">
        <v>37.212000000000003</v>
      </c>
      <c r="V96" s="35">
        <v>43511</v>
      </c>
      <c r="W96" s="35"/>
      <c r="X96" s="27"/>
      <c r="Y96" s="58">
        <v>31.01</v>
      </c>
      <c r="Z96" s="31">
        <v>0</v>
      </c>
      <c r="AA96" t="b">
        <v>0</v>
      </c>
    </row>
    <row r="97" spans="2:27" x14ac:dyDescent="0.25">
      <c r="B97" s="53">
        <v>2018</v>
      </c>
      <c r="C97" s="53">
        <v>96</v>
      </c>
      <c r="D97" s="53" t="str">
        <f t="shared" si="2"/>
        <v>2018-96</v>
      </c>
      <c r="E97" s="9" t="s">
        <v>892</v>
      </c>
      <c r="F97" s="1">
        <v>43416</v>
      </c>
      <c r="G97" t="s">
        <v>893</v>
      </c>
      <c r="H97" s="16"/>
      <c r="I97" s="16" t="s">
        <v>105</v>
      </c>
      <c r="J97" s="16" t="s">
        <v>693</v>
      </c>
      <c r="K97" s="16"/>
      <c r="L97" t="b">
        <v>0</v>
      </c>
      <c r="M97" s="36">
        <v>35</v>
      </c>
      <c r="N97" s="51">
        <v>1</v>
      </c>
      <c r="O97" s="29">
        <v>35</v>
      </c>
      <c r="P97" s="29" t="str">
        <f t="shared" si="3"/>
        <v>0%</v>
      </c>
      <c r="Q97" s="27">
        <v>0</v>
      </c>
      <c r="R97" s="31">
        <v>0</v>
      </c>
      <c r="S97" s="31">
        <v>0</v>
      </c>
      <c r="T97" s="33">
        <v>35</v>
      </c>
      <c r="U97" s="29">
        <v>35</v>
      </c>
      <c r="V97" s="35">
        <v>43511</v>
      </c>
      <c r="W97" s="27"/>
      <c r="X97" s="27">
        <v>20</v>
      </c>
      <c r="Y97" s="58">
        <v>35</v>
      </c>
      <c r="Z97" s="31">
        <v>7</v>
      </c>
      <c r="AA97" t="b">
        <v>0</v>
      </c>
    </row>
    <row r="98" spans="2:27" x14ac:dyDescent="0.25">
      <c r="B98" s="53">
        <v>2018</v>
      </c>
      <c r="C98" s="53">
        <v>97</v>
      </c>
      <c r="D98" s="53" t="str">
        <f t="shared" si="2"/>
        <v>2018-97</v>
      </c>
      <c r="E98" s="9" t="s">
        <v>894</v>
      </c>
      <c r="F98" s="1">
        <v>43416</v>
      </c>
      <c r="G98" t="s">
        <v>893</v>
      </c>
      <c r="H98" s="16"/>
      <c r="I98" s="16" t="s">
        <v>105</v>
      </c>
      <c r="J98" s="16" t="s">
        <v>693</v>
      </c>
      <c r="K98" s="16"/>
      <c r="L98" t="b">
        <v>0</v>
      </c>
      <c r="M98" s="36">
        <v>35</v>
      </c>
      <c r="N98" s="51">
        <v>1</v>
      </c>
      <c r="O98" s="29">
        <v>35</v>
      </c>
      <c r="P98" s="29" t="str">
        <f t="shared" si="3"/>
        <v>0%</v>
      </c>
      <c r="Q98" s="27">
        <v>0</v>
      </c>
      <c r="R98" s="31">
        <v>0</v>
      </c>
      <c r="S98" s="31">
        <v>0</v>
      </c>
      <c r="T98" s="33">
        <v>35</v>
      </c>
      <c r="U98" s="29">
        <v>35</v>
      </c>
      <c r="V98" s="35">
        <v>43511</v>
      </c>
      <c r="W98" s="27"/>
      <c r="X98" s="27">
        <v>20</v>
      </c>
      <c r="Y98" s="58">
        <v>35</v>
      </c>
      <c r="Z98" s="31">
        <v>7</v>
      </c>
      <c r="AA98" t="b">
        <v>0</v>
      </c>
    </row>
    <row r="99" spans="2:27" x14ac:dyDescent="0.25">
      <c r="B99" s="53">
        <v>2018</v>
      </c>
      <c r="C99" s="53">
        <v>98</v>
      </c>
      <c r="D99" s="53" t="str">
        <f t="shared" si="2"/>
        <v>2018-98</v>
      </c>
      <c r="E99" s="9" t="s">
        <v>904</v>
      </c>
      <c r="F99" s="1">
        <v>43419</v>
      </c>
      <c r="G99" s="1" t="s">
        <v>920</v>
      </c>
      <c r="H99" s="16"/>
      <c r="I99" s="16" t="s">
        <v>105</v>
      </c>
      <c r="J99" s="16" t="s">
        <v>705</v>
      </c>
      <c r="K99" s="16"/>
      <c r="L99" t="b">
        <v>0</v>
      </c>
      <c r="M99" s="36">
        <v>22.64</v>
      </c>
      <c r="N99" s="51">
        <v>0.27320378419841473</v>
      </c>
      <c r="O99" s="29">
        <v>7.422400409102532</v>
      </c>
      <c r="P99" s="29" t="str">
        <f t="shared" si="3"/>
        <v>20%</v>
      </c>
      <c r="Q99" s="27">
        <v>20</v>
      </c>
      <c r="R99" s="31">
        <v>4.5280000000000005</v>
      </c>
      <c r="S99" s="31">
        <v>1.2370667348504221</v>
      </c>
      <c r="T99" s="33">
        <v>6.1853336742521101</v>
      </c>
      <c r="U99" s="29">
        <v>27.167999999999999</v>
      </c>
      <c r="V99" s="35">
        <v>43511</v>
      </c>
      <c r="W99" s="27"/>
      <c r="X99" s="27"/>
      <c r="Y99" s="58">
        <v>6.1853336742521101</v>
      </c>
      <c r="Z99" s="31">
        <v>0</v>
      </c>
      <c r="AA99" t="b">
        <v>0</v>
      </c>
    </row>
    <row r="100" spans="2:27" x14ac:dyDescent="0.25">
      <c r="B100" s="53">
        <v>2018</v>
      </c>
      <c r="C100" s="53">
        <v>99</v>
      </c>
      <c r="D100" s="53" t="str">
        <f t="shared" si="2"/>
        <v>2018-99</v>
      </c>
      <c r="E100" s="9" t="s">
        <v>903</v>
      </c>
      <c r="F100" s="1">
        <v>43420</v>
      </c>
      <c r="G100" s="1" t="s">
        <v>902</v>
      </c>
      <c r="H100" s="16"/>
      <c r="I100" s="16" t="s">
        <v>105</v>
      </c>
      <c r="J100" s="16" t="s">
        <v>705</v>
      </c>
      <c r="K100" s="16"/>
      <c r="L100" t="b">
        <v>0</v>
      </c>
      <c r="M100" s="36">
        <v>117.8</v>
      </c>
      <c r="N100" s="51">
        <v>1</v>
      </c>
      <c r="O100" s="29">
        <v>117.8</v>
      </c>
      <c r="P100" s="29" t="str">
        <f t="shared" si="3"/>
        <v>0%</v>
      </c>
      <c r="Q100" s="27">
        <v>0</v>
      </c>
      <c r="R100" s="31">
        <v>0</v>
      </c>
      <c r="S100" s="31">
        <v>0</v>
      </c>
      <c r="T100" s="33">
        <v>117.8</v>
      </c>
      <c r="U100" s="29">
        <v>117.8</v>
      </c>
      <c r="V100" s="35">
        <v>43511</v>
      </c>
      <c r="W100" s="27"/>
      <c r="X100" s="27"/>
      <c r="Y100" s="58">
        <v>117.8</v>
      </c>
      <c r="Z100" s="31">
        <v>0</v>
      </c>
      <c r="AA100" t="b">
        <v>0</v>
      </c>
    </row>
    <row r="101" spans="2:27" x14ac:dyDescent="0.25">
      <c r="B101" s="53">
        <v>2018</v>
      </c>
      <c r="C101" s="53">
        <v>100</v>
      </c>
      <c r="D101" s="53" t="str">
        <f t="shared" si="2"/>
        <v>2018-100</v>
      </c>
      <c r="E101" s="9" t="s">
        <v>239</v>
      </c>
      <c r="F101" s="1">
        <v>43425</v>
      </c>
      <c r="G101" s="1" t="s">
        <v>899</v>
      </c>
      <c r="H101" s="16"/>
      <c r="I101" s="16" t="s">
        <v>105</v>
      </c>
      <c r="J101" s="16" t="s">
        <v>705</v>
      </c>
      <c r="K101" s="16"/>
      <c r="L101" t="b">
        <v>0</v>
      </c>
      <c r="M101" s="36">
        <v>81.75</v>
      </c>
      <c r="N101" s="51">
        <v>0.27320378419841473</v>
      </c>
      <c r="O101" s="29">
        <v>22.334409358220405</v>
      </c>
      <c r="P101" s="29" t="str">
        <f t="shared" si="3"/>
        <v>0%</v>
      </c>
      <c r="Q101" s="27">
        <v>0</v>
      </c>
      <c r="R101" s="31">
        <v>0</v>
      </c>
      <c r="S101" s="31">
        <v>0</v>
      </c>
      <c r="T101" s="33">
        <v>22.334409358220405</v>
      </c>
      <c r="U101" s="29">
        <v>81.75</v>
      </c>
      <c r="V101" s="35">
        <v>43511</v>
      </c>
      <c r="W101" s="27"/>
      <c r="X101" s="27"/>
      <c r="Y101" s="58">
        <v>22.334409358220405</v>
      </c>
      <c r="Z101" s="31">
        <v>0</v>
      </c>
      <c r="AA101" t="b">
        <v>0</v>
      </c>
    </row>
    <row r="102" spans="2:27" x14ac:dyDescent="0.25">
      <c r="B102" s="53">
        <v>2018</v>
      </c>
      <c r="C102" s="53">
        <v>101</v>
      </c>
      <c r="D102" s="53" t="str">
        <f t="shared" si="2"/>
        <v>2018-101</v>
      </c>
      <c r="E102" s="9" t="s">
        <v>898</v>
      </c>
      <c r="F102" s="1">
        <v>43426</v>
      </c>
      <c r="G102" s="1" t="s">
        <v>897</v>
      </c>
      <c r="H102" s="16"/>
      <c r="I102" s="16" t="s">
        <v>105</v>
      </c>
      <c r="J102" s="16" t="s">
        <v>683</v>
      </c>
      <c r="K102" s="16" t="s">
        <v>540</v>
      </c>
      <c r="L102" t="b">
        <v>0</v>
      </c>
      <c r="M102" s="36">
        <v>243.78</v>
      </c>
      <c r="N102" s="51">
        <v>1</v>
      </c>
      <c r="O102" s="29">
        <v>292.536</v>
      </c>
      <c r="P102" s="29" t="str">
        <f t="shared" si="3"/>
        <v>20%</v>
      </c>
      <c r="Q102" s="27">
        <v>20</v>
      </c>
      <c r="R102" s="31">
        <v>48.756</v>
      </c>
      <c r="S102" s="31">
        <v>48.756</v>
      </c>
      <c r="T102" s="33">
        <v>243.78</v>
      </c>
      <c r="U102" s="29">
        <v>292.536</v>
      </c>
      <c r="V102" s="35">
        <v>43511</v>
      </c>
      <c r="W102" s="27"/>
      <c r="X102" s="27"/>
      <c r="Y102" s="58">
        <v>243.78</v>
      </c>
      <c r="Z102" s="31">
        <v>0</v>
      </c>
      <c r="AA102" t="b">
        <v>0</v>
      </c>
    </row>
    <row r="103" spans="2:27" x14ac:dyDescent="0.25">
      <c r="B103" s="53">
        <v>2018</v>
      </c>
      <c r="C103" s="53">
        <v>102</v>
      </c>
      <c r="D103" s="53" t="str">
        <f t="shared" si="2"/>
        <v>2018-102</v>
      </c>
      <c r="E103" s="9" t="s">
        <v>905</v>
      </c>
      <c r="F103" s="1">
        <v>43426</v>
      </c>
      <c r="G103" s="1" t="s">
        <v>990</v>
      </c>
      <c r="H103" s="16"/>
      <c r="I103" s="16" t="s">
        <v>708</v>
      </c>
      <c r="J103" s="16" t="s">
        <v>710</v>
      </c>
      <c r="K103" s="16"/>
      <c r="L103" t="b">
        <v>0</v>
      </c>
      <c r="M103" s="36">
        <v>-238.45</v>
      </c>
      <c r="N103" s="51">
        <v>1</v>
      </c>
      <c r="O103" s="29">
        <v>286.14</v>
      </c>
      <c r="P103" s="29" t="str">
        <f t="shared" si="3"/>
        <v>20%</v>
      </c>
      <c r="Q103" s="27">
        <v>20</v>
      </c>
      <c r="R103" s="31">
        <v>-47.69</v>
      </c>
      <c r="S103" s="31">
        <v>47.69</v>
      </c>
      <c r="T103" s="33">
        <v>238.45</v>
      </c>
      <c r="U103" s="29">
        <v>-286.14</v>
      </c>
      <c r="V103" s="35">
        <v>43511</v>
      </c>
      <c r="W103" s="27"/>
      <c r="X103" s="27"/>
      <c r="Y103" s="58">
        <v>-238.45</v>
      </c>
      <c r="Z103" s="31">
        <v>0</v>
      </c>
      <c r="AA103" t="b">
        <v>0</v>
      </c>
    </row>
    <row r="104" spans="2:27" x14ac:dyDescent="0.25">
      <c r="B104" s="53">
        <v>2018</v>
      </c>
      <c r="C104" s="53">
        <v>103</v>
      </c>
      <c r="D104" s="53" t="str">
        <f t="shared" si="2"/>
        <v>2018-103</v>
      </c>
      <c r="E104" s="9" t="s">
        <v>905</v>
      </c>
      <c r="F104" s="1">
        <v>43427</v>
      </c>
      <c r="G104" s="1" t="s">
        <v>906</v>
      </c>
      <c r="H104" s="16"/>
      <c r="I104" s="16" t="s">
        <v>105</v>
      </c>
      <c r="J104" s="16" t="s">
        <v>683</v>
      </c>
      <c r="K104" s="16" t="s">
        <v>540</v>
      </c>
      <c r="L104" t="b">
        <v>0</v>
      </c>
      <c r="M104" s="36">
        <v>188.19</v>
      </c>
      <c r="N104" s="51">
        <v>1</v>
      </c>
      <c r="O104" s="29">
        <v>225.828</v>
      </c>
      <c r="P104" s="29" t="str">
        <f t="shared" si="3"/>
        <v>20%</v>
      </c>
      <c r="Q104" s="27">
        <v>20</v>
      </c>
      <c r="R104" s="31">
        <v>37.638000000000005</v>
      </c>
      <c r="S104" s="31">
        <v>37.638000000000005</v>
      </c>
      <c r="T104" s="33">
        <v>188.19</v>
      </c>
      <c r="U104" s="29">
        <v>225.828</v>
      </c>
      <c r="V104" s="35">
        <v>43511</v>
      </c>
      <c r="W104" s="27"/>
      <c r="X104" s="27"/>
      <c r="Y104" s="58">
        <v>188.19</v>
      </c>
      <c r="Z104" s="31">
        <v>0</v>
      </c>
      <c r="AA104" t="b">
        <v>0</v>
      </c>
    </row>
    <row r="105" spans="2:27" x14ac:dyDescent="0.25">
      <c r="B105" s="53">
        <v>2018</v>
      </c>
      <c r="C105" s="53">
        <v>104</v>
      </c>
      <c r="D105" s="53" t="str">
        <f t="shared" si="2"/>
        <v>2018-104</v>
      </c>
      <c r="E105" s="9" t="s">
        <v>650</v>
      </c>
      <c r="F105" s="1">
        <v>43430</v>
      </c>
      <c r="G105" s="1" t="s">
        <v>909</v>
      </c>
      <c r="H105" s="16"/>
      <c r="I105" s="16" t="s">
        <v>105</v>
      </c>
      <c r="J105" s="16" t="s">
        <v>691</v>
      </c>
      <c r="K105" s="16"/>
      <c r="L105" t="b">
        <v>0</v>
      </c>
      <c r="M105" s="36">
        <v>763.44</v>
      </c>
      <c r="N105" s="51">
        <v>0.27320378419841473</v>
      </c>
      <c r="O105" s="29">
        <v>229.43216670928155</v>
      </c>
      <c r="P105" s="29" t="str">
        <f t="shared" si="3"/>
        <v>10%</v>
      </c>
      <c r="Q105" s="27">
        <v>10</v>
      </c>
      <c r="R105" s="31">
        <v>76.344000000000008</v>
      </c>
      <c r="S105" s="31">
        <v>20.857469700843776</v>
      </c>
      <c r="T105" s="33">
        <v>208.57469700843777</v>
      </c>
      <c r="U105" s="29">
        <v>839.78400000000011</v>
      </c>
      <c r="V105" s="35">
        <v>43511</v>
      </c>
      <c r="W105" s="27"/>
      <c r="X105" s="27"/>
      <c r="Y105" s="58">
        <v>208.57469700843777</v>
      </c>
      <c r="Z105" s="31">
        <v>0</v>
      </c>
      <c r="AA105" t="b">
        <v>0</v>
      </c>
    </row>
    <row r="106" spans="2:27" x14ac:dyDescent="0.25">
      <c r="B106" s="53">
        <v>2018</v>
      </c>
      <c r="C106" s="53">
        <v>105</v>
      </c>
      <c r="D106" s="53" t="str">
        <f t="shared" si="2"/>
        <v>2018-105</v>
      </c>
      <c r="E106" s="9" t="s">
        <v>911</v>
      </c>
      <c r="F106" s="1">
        <v>43430</v>
      </c>
      <c r="G106" s="1" t="s">
        <v>910</v>
      </c>
      <c r="H106" s="16"/>
      <c r="I106" s="16" t="s">
        <v>105</v>
      </c>
      <c r="J106" s="16" t="s">
        <v>705</v>
      </c>
      <c r="K106" s="16"/>
      <c r="L106" t="b">
        <v>0</v>
      </c>
      <c r="M106" s="36">
        <v>855</v>
      </c>
      <c r="N106" s="51">
        <v>1</v>
      </c>
      <c r="O106" s="29">
        <v>1026</v>
      </c>
      <c r="P106" s="29" t="str">
        <f t="shared" si="3"/>
        <v>20%</v>
      </c>
      <c r="Q106" s="27">
        <v>20</v>
      </c>
      <c r="R106" s="31">
        <v>171</v>
      </c>
      <c r="S106" s="31">
        <v>171</v>
      </c>
      <c r="T106" s="33">
        <v>855</v>
      </c>
      <c r="U106" s="29">
        <v>1026</v>
      </c>
      <c r="V106" s="35">
        <v>43511</v>
      </c>
      <c r="W106" s="27"/>
      <c r="X106" s="27"/>
      <c r="Y106" s="58">
        <v>855</v>
      </c>
      <c r="Z106" s="31">
        <v>0</v>
      </c>
      <c r="AA106" t="b">
        <v>0</v>
      </c>
    </row>
    <row r="107" spans="2:27" x14ac:dyDescent="0.25">
      <c r="B107" s="53">
        <v>2018</v>
      </c>
      <c r="C107" s="53">
        <v>106</v>
      </c>
      <c r="D107" s="53" t="str">
        <f t="shared" si="2"/>
        <v>2018-106</v>
      </c>
      <c r="E107" s="9" t="s">
        <v>907</v>
      </c>
      <c r="F107" s="1">
        <v>43431</v>
      </c>
      <c r="G107" s="1" t="s">
        <v>908</v>
      </c>
      <c r="H107" s="16"/>
      <c r="I107" s="16" t="s">
        <v>105</v>
      </c>
      <c r="J107" s="16" t="s">
        <v>704</v>
      </c>
      <c r="K107" s="16"/>
      <c r="L107" t="b">
        <v>0</v>
      </c>
      <c r="M107" s="36">
        <v>11.5</v>
      </c>
      <c r="N107" s="51">
        <v>1</v>
      </c>
      <c r="O107" s="29">
        <v>11.5</v>
      </c>
      <c r="P107" s="29" t="str">
        <f t="shared" si="3"/>
        <v>0%</v>
      </c>
      <c r="Q107" s="27">
        <v>0</v>
      </c>
      <c r="R107" s="31">
        <v>0</v>
      </c>
      <c r="S107" s="31">
        <v>0</v>
      </c>
      <c r="T107" s="33">
        <v>11.5</v>
      </c>
      <c r="U107" s="29">
        <v>11.5</v>
      </c>
      <c r="V107" s="35">
        <v>43511</v>
      </c>
      <c r="W107" s="27"/>
      <c r="X107" s="27"/>
      <c r="Y107" s="58">
        <v>11.5</v>
      </c>
      <c r="Z107" s="31">
        <v>0</v>
      </c>
      <c r="AA107" t="b">
        <v>0</v>
      </c>
    </row>
    <row r="108" spans="2:27" x14ac:dyDescent="0.25">
      <c r="B108" s="53">
        <v>2018</v>
      </c>
      <c r="C108" s="53">
        <v>107</v>
      </c>
      <c r="D108" s="53" t="str">
        <f t="shared" si="2"/>
        <v>2018-107</v>
      </c>
      <c r="E108" s="9" t="s">
        <v>900</v>
      </c>
      <c r="F108" s="1">
        <v>43433</v>
      </c>
      <c r="G108" s="1" t="s">
        <v>901</v>
      </c>
      <c r="H108" s="16"/>
      <c r="I108" s="16" t="s">
        <v>105</v>
      </c>
      <c r="J108" s="16" t="s">
        <v>693</v>
      </c>
      <c r="K108" s="16"/>
      <c r="L108" t="b">
        <v>0</v>
      </c>
      <c r="M108" s="36">
        <v>24.88</v>
      </c>
      <c r="N108" s="51">
        <v>1</v>
      </c>
      <c r="O108" s="29">
        <v>24.88</v>
      </c>
      <c r="P108" s="29" t="str">
        <f t="shared" si="3"/>
        <v>0%</v>
      </c>
      <c r="Q108" s="27">
        <v>0</v>
      </c>
      <c r="R108" s="31">
        <v>0</v>
      </c>
      <c r="S108" s="31">
        <v>0</v>
      </c>
      <c r="T108" s="33">
        <v>24.88</v>
      </c>
      <c r="U108" s="29">
        <v>24.88</v>
      </c>
      <c r="V108" s="35">
        <v>43511</v>
      </c>
      <c r="W108" s="27"/>
      <c r="X108" s="27">
        <v>20</v>
      </c>
      <c r="Y108" s="58">
        <v>24.88</v>
      </c>
      <c r="Z108" s="31">
        <v>4.976</v>
      </c>
      <c r="AA108" t="b">
        <v>0</v>
      </c>
    </row>
    <row r="109" spans="2:27" x14ac:dyDescent="0.25">
      <c r="B109" s="53">
        <v>2018</v>
      </c>
      <c r="C109" s="53">
        <v>108</v>
      </c>
      <c r="D109" s="53" t="str">
        <f t="shared" si="2"/>
        <v>2018-108</v>
      </c>
      <c r="E109" s="9" t="s">
        <v>913</v>
      </c>
      <c r="F109" s="1">
        <v>43437</v>
      </c>
      <c r="G109" t="s">
        <v>647</v>
      </c>
      <c r="H109" s="16"/>
      <c r="I109" s="16" t="s">
        <v>105</v>
      </c>
      <c r="J109" s="16" t="s">
        <v>703</v>
      </c>
      <c r="K109" s="16"/>
      <c r="L109" t="b">
        <v>0</v>
      </c>
      <c r="M109" s="36">
        <f>27.82+1.04</f>
        <v>28.86</v>
      </c>
      <c r="N109" s="51">
        <f>2/3</f>
        <v>0.66666666666666663</v>
      </c>
      <c r="O109" s="29">
        <f>N109*U109</f>
        <v>23.087999999999997</v>
      </c>
      <c r="P109" s="29" t="str">
        <f t="shared" si="3"/>
        <v>20%</v>
      </c>
      <c r="Q109" s="27">
        <v>20</v>
      </c>
      <c r="R109" s="31">
        <v>6.38</v>
      </c>
      <c r="S109" s="31">
        <v>2.207687718401091</v>
      </c>
      <c r="T109" s="33">
        <f>N109*M109</f>
        <v>19.239999999999998</v>
      </c>
      <c r="U109" s="29">
        <f>M109*(100%+P109)</f>
        <v>34.631999999999998</v>
      </c>
      <c r="V109" s="35">
        <v>43235</v>
      </c>
      <c r="W109" s="35"/>
      <c r="X109" s="27"/>
      <c r="Y109" s="58">
        <v>19.240000000000002</v>
      </c>
      <c r="Z109" s="31">
        <v>0</v>
      </c>
      <c r="AA109" t="b">
        <v>0</v>
      </c>
    </row>
    <row r="110" spans="2:27" x14ac:dyDescent="0.25">
      <c r="B110" s="53">
        <v>2018</v>
      </c>
      <c r="C110" s="53">
        <v>109</v>
      </c>
      <c r="D110" s="53" t="str">
        <f t="shared" si="2"/>
        <v>2018-109</v>
      </c>
      <c r="E110" s="9" t="s">
        <v>914</v>
      </c>
      <c r="F110" s="1">
        <v>43437</v>
      </c>
      <c r="G110" t="s">
        <v>34</v>
      </c>
      <c r="H110" s="16"/>
      <c r="I110" s="16" t="s">
        <v>105</v>
      </c>
      <c r="J110" s="16" t="s">
        <v>703</v>
      </c>
      <c r="K110" s="16"/>
      <c r="L110" t="b">
        <v>0</v>
      </c>
      <c r="M110" s="36">
        <v>15</v>
      </c>
      <c r="N110" s="51">
        <v>1</v>
      </c>
      <c r="O110" s="29">
        <v>18</v>
      </c>
      <c r="P110" s="29" t="str">
        <f t="shared" si="3"/>
        <v>20%</v>
      </c>
      <c r="Q110" s="27">
        <v>20</v>
      </c>
      <c r="R110" s="31">
        <v>3</v>
      </c>
      <c r="S110" s="31">
        <v>3</v>
      </c>
      <c r="T110" s="33">
        <v>15</v>
      </c>
      <c r="U110" s="29">
        <v>18</v>
      </c>
      <c r="V110" s="35">
        <v>43511</v>
      </c>
      <c r="W110" s="27"/>
      <c r="X110" s="27"/>
      <c r="Y110" s="58">
        <v>15</v>
      </c>
      <c r="Z110" s="31">
        <v>0</v>
      </c>
      <c r="AA110" t="b">
        <v>0</v>
      </c>
    </row>
    <row r="111" spans="2:27" x14ac:dyDescent="0.25">
      <c r="B111" s="53">
        <v>2018</v>
      </c>
      <c r="C111" s="53">
        <v>110</v>
      </c>
      <c r="D111" s="53" t="str">
        <f t="shared" si="2"/>
        <v>2018-110</v>
      </c>
      <c r="E111" s="9" t="s">
        <v>915</v>
      </c>
      <c r="F111" s="1">
        <v>43437</v>
      </c>
      <c r="G111" s="1" t="s">
        <v>986</v>
      </c>
      <c r="H111" s="16"/>
      <c r="I111" s="16" t="s">
        <v>105</v>
      </c>
      <c r="J111" s="16" t="s">
        <v>705</v>
      </c>
      <c r="K111" s="16" t="s">
        <v>985</v>
      </c>
      <c r="L111" t="b">
        <v>0</v>
      </c>
      <c r="M111" s="36">
        <v>149.16999999999999</v>
      </c>
      <c r="N111" s="51">
        <v>0.27320378419841473</v>
      </c>
      <c r="O111" s="29">
        <v>48.904570186653032</v>
      </c>
      <c r="P111" s="29" t="str">
        <f t="shared" si="3"/>
        <v>20%</v>
      </c>
      <c r="Q111" s="27">
        <v>20</v>
      </c>
      <c r="R111" s="31">
        <v>29.833999999999996</v>
      </c>
      <c r="S111" s="31">
        <v>8.1507616977755042</v>
      </c>
      <c r="T111" s="33">
        <v>40.753808488877524</v>
      </c>
      <c r="U111" s="29">
        <v>179.00399999999999</v>
      </c>
      <c r="V111" s="35">
        <v>43511</v>
      </c>
      <c r="W111" s="27"/>
      <c r="X111" s="27"/>
      <c r="Y111" s="58">
        <v>40.753808488877524</v>
      </c>
      <c r="Z111" s="31">
        <v>0</v>
      </c>
      <c r="AA111" t="b">
        <v>0</v>
      </c>
    </row>
    <row r="112" spans="2:27" x14ac:dyDescent="0.25">
      <c r="B112" s="53">
        <v>2018</v>
      </c>
      <c r="C112" s="53">
        <v>111</v>
      </c>
      <c r="D112" s="53" t="str">
        <f t="shared" si="2"/>
        <v>2018-111</v>
      </c>
      <c r="E112" s="9" t="s">
        <v>916</v>
      </c>
      <c r="F112" s="1">
        <v>43451</v>
      </c>
      <c r="G112" s="1" t="s">
        <v>917</v>
      </c>
      <c r="H112" s="16"/>
      <c r="I112" s="16" t="s">
        <v>105</v>
      </c>
      <c r="J112" s="16" t="s">
        <v>701</v>
      </c>
      <c r="K112" s="16"/>
      <c r="L112" t="b">
        <v>0</v>
      </c>
      <c r="M112" s="36">
        <v>31.93</v>
      </c>
      <c r="N112" s="51">
        <v>1</v>
      </c>
      <c r="O112" s="29">
        <v>38.316000000000003</v>
      </c>
      <c r="P112" s="29" t="str">
        <f t="shared" si="3"/>
        <v>20%</v>
      </c>
      <c r="Q112" s="27">
        <v>20</v>
      </c>
      <c r="R112" s="31">
        <v>6.3860000000000001</v>
      </c>
      <c r="S112" s="31">
        <v>6.3860000000000001</v>
      </c>
      <c r="T112" s="33">
        <v>31.93</v>
      </c>
      <c r="U112" s="29">
        <v>38.316000000000003</v>
      </c>
      <c r="V112" s="35">
        <v>43511</v>
      </c>
      <c r="W112" s="27"/>
      <c r="X112" s="27"/>
      <c r="Y112" s="58">
        <v>31.93</v>
      </c>
      <c r="Z112" s="31">
        <v>0</v>
      </c>
      <c r="AA112" t="b">
        <v>0</v>
      </c>
    </row>
    <row r="113" spans="2:27" x14ac:dyDescent="0.25">
      <c r="B113" s="53">
        <v>2018</v>
      </c>
      <c r="C113" s="53">
        <v>112</v>
      </c>
      <c r="D113" s="53" t="str">
        <f t="shared" si="2"/>
        <v>2018-112</v>
      </c>
      <c r="E113" s="9" t="s">
        <v>918</v>
      </c>
      <c r="F113" s="1">
        <v>43451</v>
      </c>
      <c r="G113" s="1" t="s">
        <v>919</v>
      </c>
      <c r="H113" s="16"/>
      <c r="I113" s="16" t="s">
        <v>105</v>
      </c>
      <c r="J113" s="16" t="s">
        <v>339</v>
      </c>
      <c r="K113" s="16"/>
      <c r="L113" t="b">
        <v>0</v>
      </c>
      <c r="M113" s="36">
        <v>23.25</v>
      </c>
      <c r="N113" s="51">
        <v>1</v>
      </c>
      <c r="O113" s="29">
        <v>27.9</v>
      </c>
      <c r="P113" s="29" t="str">
        <f t="shared" si="3"/>
        <v>20%</v>
      </c>
      <c r="Q113" s="27">
        <v>20</v>
      </c>
      <c r="R113" s="31">
        <v>4.6500000000000004</v>
      </c>
      <c r="S113" s="31">
        <v>4.6500000000000004</v>
      </c>
      <c r="T113" s="33">
        <v>23.25</v>
      </c>
      <c r="U113" s="29">
        <v>27.9</v>
      </c>
      <c r="V113" s="35">
        <v>43511</v>
      </c>
      <c r="W113" s="27"/>
      <c r="X113" s="27"/>
      <c r="Y113" s="58">
        <v>23.25</v>
      </c>
      <c r="Z113" s="31">
        <v>0</v>
      </c>
      <c r="AA113" t="b">
        <v>0</v>
      </c>
    </row>
    <row r="114" spans="2:27" x14ac:dyDescent="0.25">
      <c r="B114" s="53">
        <v>2018</v>
      </c>
      <c r="C114" s="53">
        <v>113</v>
      </c>
      <c r="D114" s="53" t="str">
        <f t="shared" si="2"/>
        <v>2018-113</v>
      </c>
      <c r="E114" s="9" t="s">
        <v>921</v>
      </c>
      <c r="F114" s="1">
        <v>43451</v>
      </c>
      <c r="G114" s="1" t="s">
        <v>920</v>
      </c>
      <c r="H114" s="16"/>
      <c r="I114" s="16" t="s">
        <v>105</v>
      </c>
      <c r="J114" s="16" t="s">
        <v>705</v>
      </c>
      <c r="K114" s="16"/>
      <c r="L114" t="b">
        <v>0</v>
      </c>
      <c r="M114" s="36">
        <v>78.33</v>
      </c>
      <c r="N114" s="51">
        <v>0.27320378419841473</v>
      </c>
      <c r="O114" s="29">
        <v>25.680062899514191</v>
      </c>
      <c r="P114" s="29" t="str">
        <f t="shared" si="3"/>
        <v>20%</v>
      </c>
      <c r="Q114" s="27">
        <v>20</v>
      </c>
      <c r="R114" s="31">
        <v>15.665999999999999</v>
      </c>
      <c r="S114" s="31">
        <v>4.2800104832523651</v>
      </c>
      <c r="T114" s="33">
        <v>21.400052416261826</v>
      </c>
      <c r="U114" s="29">
        <v>93.995999999999995</v>
      </c>
      <c r="V114" s="35">
        <v>43511</v>
      </c>
      <c r="W114" s="27"/>
      <c r="X114" s="27"/>
      <c r="Y114" s="58">
        <v>21.400052416261826</v>
      </c>
      <c r="Z114" s="31">
        <v>0</v>
      </c>
      <c r="AA114" t="b">
        <v>0</v>
      </c>
    </row>
    <row r="115" spans="2:27" x14ac:dyDescent="0.25">
      <c r="B115" s="53">
        <v>2018</v>
      </c>
      <c r="C115" s="53">
        <v>114</v>
      </c>
      <c r="D115" s="53" t="str">
        <f t="shared" si="2"/>
        <v>2018-114</v>
      </c>
      <c r="E115" s="9" t="s">
        <v>650</v>
      </c>
      <c r="F115" s="1">
        <v>43461</v>
      </c>
      <c r="G115" s="1" t="s">
        <v>909</v>
      </c>
      <c r="H115" s="16"/>
      <c r="I115" s="16" t="s">
        <v>105</v>
      </c>
      <c r="J115" s="16" t="s">
        <v>691</v>
      </c>
      <c r="K115" s="16"/>
      <c r="L115" t="b">
        <v>0</v>
      </c>
      <c r="M115" s="36">
        <v>763.44</v>
      </c>
      <c r="N115" s="51">
        <v>0.27320378419841473</v>
      </c>
      <c r="O115" s="29">
        <v>229.43216670928155</v>
      </c>
      <c r="P115" s="29" t="str">
        <f t="shared" si="3"/>
        <v>10%</v>
      </c>
      <c r="Q115" s="27">
        <v>10</v>
      </c>
      <c r="R115" s="31">
        <v>76.344000000000008</v>
      </c>
      <c r="S115" s="31">
        <v>20.857469700843776</v>
      </c>
      <c r="T115" s="33">
        <v>208.57469700843777</v>
      </c>
      <c r="U115" s="29">
        <v>839.78400000000011</v>
      </c>
      <c r="V115" s="35">
        <v>43511</v>
      </c>
      <c r="W115" s="27"/>
      <c r="X115" s="27"/>
      <c r="Y115" s="58">
        <v>208.57469700843777</v>
      </c>
      <c r="Z115" s="31">
        <v>0</v>
      </c>
      <c r="AA115" t="b">
        <v>0</v>
      </c>
    </row>
    <row r="116" spans="2:27" x14ac:dyDescent="0.25">
      <c r="D116">
        <v>12018001</v>
      </c>
      <c r="F116" s="44">
        <v>43215</v>
      </c>
      <c r="G116" s="43" t="s">
        <v>59</v>
      </c>
      <c r="H116" s="43"/>
      <c r="I116" s="43" t="s">
        <v>708</v>
      </c>
      <c r="J116" s="43" t="s">
        <v>709</v>
      </c>
      <c r="O116" s="29">
        <v>417.17999999999995</v>
      </c>
      <c r="P116" s="29" t="str">
        <f t="shared" ref="P116:P126" si="4">Q116&amp;"%"</f>
        <v>20%</v>
      </c>
      <c r="Q116" s="27">
        <v>20</v>
      </c>
      <c r="R116" s="31"/>
      <c r="S116" s="31">
        <v>69.53</v>
      </c>
      <c r="T116" s="33">
        <v>347.65</v>
      </c>
      <c r="V116" s="44">
        <v>43327</v>
      </c>
      <c r="W116" s="1">
        <v>43318</v>
      </c>
    </row>
    <row r="117" spans="2:27" x14ac:dyDescent="0.25">
      <c r="D117">
        <v>12018002</v>
      </c>
      <c r="F117" s="44">
        <v>43223</v>
      </c>
      <c r="G117" t="s">
        <v>536</v>
      </c>
      <c r="H117" s="43"/>
      <c r="I117" s="43" t="s">
        <v>708</v>
      </c>
      <c r="J117" s="43" t="s">
        <v>709</v>
      </c>
      <c r="O117" s="29">
        <v>1006.836</v>
      </c>
      <c r="P117" s="29" t="str">
        <f t="shared" si="4"/>
        <v>20%</v>
      </c>
      <c r="Q117" s="27">
        <v>20</v>
      </c>
      <c r="R117" s="31"/>
      <c r="S117" s="31">
        <v>167.80599999999998</v>
      </c>
      <c r="T117" s="33">
        <v>839.03</v>
      </c>
      <c r="V117" s="44">
        <v>43327</v>
      </c>
      <c r="W117" s="1">
        <v>43318</v>
      </c>
    </row>
    <row r="118" spans="2:27" x14ac:dyDescent="0.25">
      <c r="D118">
        <v>12018003</v>
      </c>
      <c r="F118" s="44">
        <v>43290</v>
      </c>
      <c r="G118" s="43" t="s">
        <v>90</v>
      </c>
      <c r="H118" s="43"/>
      <c r="I118" s="43" t="s">
        <v>708</v>
      </c>
      <c r="J118" s="43" t="s">
        <v>709</v>
      </c>
      <c r="O118" s="29">
        <v>2800.4279999999999</v>
      </c>
      <c r="P118" s="29" t="str">
        <f t="shared" si="4"/>
        <v>20%</v>
      </c>
      <c r="Q118" s="27">
        <v>20</v>
      </c>
      <c r="R118" s="31"/>
      <c r="S118" s="31">
        <v>466.73800000000006</v>
      </c>
      <c r="T118" s="33">
        <v>2333.69</v>
      </c>
      <c r="V118" s="44">
        <v>43419</v>
      </c>
      <c r="W118" s="44">
        <v>43418</v>
      </c>
    </row>
    <row r="119" spans="2:27" x14ac:dyDescent="0.25">
      <c r="D119">
        <v>12018004</v>
      </c>
      <c r="F119" s="44">
        <v>43292</v>
      </c>
      <c r="G119" t="s">
        <v>536</v>
      </c>
      <c r="H119" s="43"/>
      <c r="I119" s="43" t="s">
        <v>708</v>
      </c>
      <c r="J119" s="43" t="s">
        <v>709</v>
      </c>
      <c r="O119" s="29">
        <v>837.18</v>
      </c>
      <c r="P119" s="29" t="str">
        <f t="shared" si="4"/>
        <v>20%</v>
      </c>
      <c r="Q119" s="27">
        <v>20</v>
      </c>
      <c r="R119" s="31"/>
      <c r="S119" s="31">
        <v>139.53</v>
      </c>
      <c r="T119" s="33">
        <v>697.65</v>
      </c>
      <c r="V119" s="44">
        <v>43419</v>
      </c>
      <c r="W119" s="44">
        <v>43418</v>
      </c>
    </row>
    <row r="120" spans="2:27" x14ac:dyDescent="0.25">
      <c r="D120">
        <v>12018005</v>
      </c>
      <c r="F120" s="44">
        <v>43291</v>
      </c>
      <c r="G120" s="43" t="s">
        <v>59</v>
      </c>
      <c r="H120" s="43"/>
      <c r="I120" s="43" t="s">
        <v>708</v>
      </c>
      <c r="J120" s="43" t="s">
        <v>709</v>
      </c>
      <c r="O120" s="29">
        <v>12.384</v>
      </c>
      <c r="P120" s="29" t="str">
        <f t="shared" si="4"/>
        <v>20%</v>
      </c>
      <c r="Q120" s="27">
        <v>20</v>
      </c>
      <c r="R120" s="31"/>
      <c r="S120" s="31">
        <v>2.0640000000000001</v>
      </c>
      <c r="T120" s="33">
        <v>10.32</v>
      </c>
      <c r="V120" s="44">
        <v>43419</v>
      </c>
      <c r="W120" s="44">
        <v>43418</v>
      </c>
    </row>
    <row r="121" spans="2:27" x14ac:dyDescent="0.25">
      <c r="D121">
        <v>12018006</v>
      </c>
      <c r="F121" s="44">
        <v>43315</v>
      </c>
      <c r="G121" s="43" t="s">
        <v>90</v>
      </c>
      <c r="H121" s="43"/>
      <c r="I121" s="43" t="s">
        <v>708</v>
      </c>
      <c r="J121" s="43" t="s">
        <v>709</v>
      </c>
      <c r="O121" s="29">
        <v>14576.19</v>
      </c>
      <c r="P121" s="29" t="str">
        <f t="shared" si="4"/>
        <v>20%</v>
      </c>
      <c r="Q121" s="27">
        <v>20</v>
      </c>
      <c r="R121" s="31"/>
      <c r="S121" s="31">
        <v>2429.364</v>
      </c>
      <c r="T121" s="33">
        <v>12146.82</v>
      </c>
      <c r="V121" s="44">
        <v>43419</v>
      </c>
      <c r="W121" s="44">
        <v>43418</v>
      </c>
    </row>
    <row r="122" spans="2:27" x14ac:dyDescent="0.25">
      <c r="D122">
        <v>12018007</v>
      </c>
      <c r="F122" s="44">
        <v>43358</v>
      </c>
      <c r="G122" s="43" t="s">
        <v>59</v>
      </c>
      <c r="H122" s="43"/>
      <c r="I122" s="43" t="s">
        <v>708</v>
      </c>
      <c r="J122" s="43" t="s">
        <v>709</v>
      </c>
      <c r="O122" s="29">
        <v>359.988</v>
      </c>
      <c r="P122" s="29" t="str">
        <f t="shared" si="4"/>
        <v>20%</v>
      </c>
      <c r="Q122" s="27">
        <v>20</v>
      </c>
      <c r="R122" s="31"/>
      <c r="S122" s="31">
        <v>59.998000000000005</v>
      </c>
      <c r="T122" s="33">
        <v>299.99</v>
      </c>
      <c r="V122" s="44">
        <v>43419</v>
      </c>
      <c r="W122" s="44">
        <v>43418</v>
      </c>
    </row>
    <row r="123" spans="2:27" x14ac:dyDescent="0.25">
      <c r="D123">
        <v>12018008</v>
      </c>
      <c r="F123" s="44">
        <v>43409</v>
      </c>
      <c r="G123" t="s">
        <v>536</v>
      </c>
      <c r="H123" s="43"/>
      <c r="I123" s="43" t="s">
        <v>708</v>
      </c>
      <c r="J123" s="43" t="s">
        <v>709</v>
      </c>
      <c r="O123" s="29">
        <v>369.72</v>
      </c>
      <c r="P123" s="29" t="str">
        <f t="shared" si="4"/>
        <v>20%</v>
      </c>
      <c r="Q123" s="27">
        <v>20</v>
      </c>
      <c r="R123" s="31"/>
      <c r="S123" s="31">
        <v>61.62</v>
      </c>
      <c r="T123" s="33">
        <v>308.10000000000002</v>
      </c>
      <c r="V123" s="44">
        <v>43511</v>
      </c>
      <c r="W123" s="43"/>
    </row>
    <row r="124" spans="2:27" x14ac:dyDescent="0.25">
      <c r="D124">
        <v>12018009</v>
      </c>
      <c r="F124" s="44">
        <v>43388</v>
      </c>
      <c r="G124" s="43" t="s">
        <v>59</v>
      </c>
      <c r="H124" s="43"/>
      <c r="I124" s="43" t="s">
        <v>708</v>
      </c>
      <c r="J124" s="43" t="s">
        <v>709</v>
      </c>
      <c r="O124" s="29">
        <v>586.29600000000005</v>
      </c>
      <c r="P124" s="29" t="str">
        <f t="shared" si="4"/>
        <v>20%</v>
      </c>
      <c r="Q124" s="27">
        <v>20</v>
      </c>
      <c r="R124" s="31"/>
      <c r="S124" s="31">
        <v>97.716000000000008</v>
      </c>
      <c r="T124" s="33">
        <v>488.58</v>
      </c>
      <c r="V124" s="44">
        <v>43511</v>
      </c>
      <c r="W124" s="44"/>
    </row>
    <row r="125" spans="2:27" x14ac:dyDescent="0.25">
      <c r="D125">
        <v>12018010</v>
      </c>
      <c r="F125" s="44">
        <v>43462</v>
      </c>
      <c r="G125" t="s">
        <v>597</v>
      </c>
      <c r="H125" s="43"/>
      <c r="I125" s="43" t="s">
        <v>708</v>
      </c>
      <c r="J125" s="43" t="s">
        <v>709</v>
      </c>
      <c r="O125" s="29">
        <v>952.53599999999994</v>
      </c>
      <c r="P125" s="29" t="str">
        <f t="shared" si="4"/>
        <v>20%</v>
      </c>
      <c r="Q125" s="27">
        <v>20</v>
      </c>
      <c r="R125" s="31"/>
      <c r="S125" s="31">
        <v>158.75599999999997</v>
      </c>
      <c r="T125" s="33">
        <v>793.78</v>
      </c>
      <c r="V125" s="44">
        <v>43511</v>
      </c>
      <c r="W125" s="43"/>
    </row>
    <row r="126" spans="2:27" x14ac:dyDescent="0.25">
      <c r="D126">
        <v>12018014</v>
      </c>
      <c r="F126" s="44">
        <v>43461</v>
      </c>
      <c r="G126" s="43" t="s">
        <v>59</v>
      </c>
      <c r="H126" s="43"/>
      <c r="I126" s="43" t="s">
        <v>708</v>
      </c>
      <c r="J126" s="43" t="s">
        <v>709</v>
      </c>
      <c r="O126" s="29">
        <v>10125.755999999999</v>
      </c>
      <c r="P126" s="29" t="str">
        <f t="shared" si="4"/>
        <v>20%</v>
      </c>
      <c r="Q126" s="27">
        <v>20</v>
      </c>
      <c r="R126" s="31"/>
      <c r="S126" s="31">
        <v>1687.6259999999997</v>
      </c>
      <c r="T126" s="33">
        <v>8438.1299999999992</v>
      </c>
      <c r="V126" s="44">
        <v>43511</v>
      </c>
      <c r="W126" s="43"/>
    </row>
    <row r="127" spans="2:27" x14ac:dyDescent="0.25">
      <c r="F127" s="44"/>
      <c r="I127" s="43"/>
      <c r="J127" s="43"/>
      <c r="O127" s="45"/>
      <c r="Q127" s="44"/>
      <c r="S127" s="45"/>
      <c r="T127" s="45"/>
    </row>
    <row r="128" spans="2:27" x14ac:dyDescent="0.25">
      <c r="F128" s="44"/>
      <c r="G128" s="43"/>
      <c r="I128" s="43"/>
      <c r="J128" s="43"/>
      <c r="O128" s="45"/>
      <c r="Q128" s="44"/>
      <c r="S128" s="45"/>
      <c r="T128" s="45"/>
    </row>
    <row r="129" spans="6:20" x14ac:dyDescent="0.25">
      <c r="F129" s="44"/>
      <c r="G129" s="43"/>
      <c r="I129" s="43"/>
      <c r="J129" s="43"/>
      <c r="O129" s="45"/>
      <c r="Q129" s="44"/>
      <c r="S129" s="45"/>
      <c r="T129" s="45"/>
    </row>
    <row r="130" spans="6:20" x14ac:dyDescent="0.25">
      <c r="F130" s="44"/>
      <c r="I130" s="43"/>
      <c r="J130" s="43"/>
      <c r="O130" s="45"/>
      <c r="Q130" s="44"/>
      <c r="S130" s="45"/>
      <c r="T130" s="45"/>
    </row>
    <row r="131" spans="6:20" x14ac:dyDescent="0.25">
      <c r="F131" s="44"/>
      <c r="I131" s="43"/>
      <c r="J131" s="43"/>
      <c r="O131" s="45"/>
      <c r="Q131" s="44"/>
      <c r="S131" s="45"/>
      <c r="T131" s="45"/>
    </row>
  </sheetData>
  <autoFilter ref="A1:AA126" xr:uid="{B35EDD9E-D1E7-4FD2-9CC2-55DA9B2B3791}"/>
  <conditionalFormatting sqref="F14:F15 F19:F33 F35 F37 F39:F41 F43:F76 F78:F85 F89:F92 F94:F97 F101:F102 F104:F115 F9:F12 F3:F7">
    <cfRule type="expression" dxfId="1734" priority="333">
      <formula>ISBLANK($G3)</formula>
    </cfRule>
  </conditionalFormatting>
  <conditionalFormatting sqref="F2">
    <cfRule type="expression" dxfId="1733" priority="332">
      <formula>ISBLANK($G2)</formula>
    </cfRule>
  </conditionalFormatting>
  <conditionalFormatting sqref="M14 M35 M42:M45 M48:M49 M51:M54 M58:M59 M61 M73 M78:M79 M82 M90 M92 M113 M3:M5">
    <cfRule type="expression" dxfId="1732" priority="331">
      <formula>"$G$G&gt;400"</formula>
    </cfRule>
  </conditionalFormatting>
  <conditionalFormatting sqref="V2 V48:V49 V51:V53 V110:V113">
    <cfRule type="expression" dxfId="1731" priority="330">
      <formula>AND(AND($Z2&lt;TODAY(),$Z2&lt;&gt;""),$AA2="")</formula>
    </cfRule>
  </conditionalFormatting>
  <conditionalFormatting sqref="M2">
    <cfRule type="expression" dxfId="1730" priority="329">
      <formula>"$G$G&gt;400"</formula>
    </cfRule>
  </conditionalFormatting>
  <conditionalFormatting sqref="V3">
    <cfRule type="expression" dxfId="1729" priority="328">
      <formula>AND(AND($Z3&lt;TODAY(),$Z3&lt;&gt;""),$AA3="")</formula>
    </cfRule>
  </conditionalFormatting>
  <conditionalFormatting sqref="V4">
    <cfRule type="expression" dxfId="1728" priority="327">
      <formula>AND(AND($Z4&lt;TODAY(),$Z4&lt;&gt;""),$AA4="")</formula>
    </cfRule>
  </conditionalFormatting>
  <conditionalFormatting sqref="V5">
    <cfRule type="expression" dxfId="1727" priority="326">
      <formula>AND(AND($Z5&lt;TODAY(),$Z5&lt;&gt;""),$AA5="")</formula>
    </cfRule>
  </conditionalFormatting>
  <conditionalFormatting sqref="F8">
    <cfRule type="expression" dxfId="1726" priority="325">
      <formula>ISBLANK($G8)</formula>
    </cfRule>
  </conditionalFormatting>
  <conditionalFormatting sqref="V6">
    <cfRule type="expression" dxfId="1725" priority="324">
      <formula>AND(AND($Z6&lt;TODAY(),$Z6&lt;&gt;""),$AA6="")</formula>
    </cfRule>
  </conditionalFormatting>
  <conditionalFormatting sqref="M6">
    <cfRule type="expression" dxfId="1724" priority="323">
      <formula>"$G$G&gt;400"</formula>
    </cfRule>
  </conditionalFormatting>
  <conditionalFormatting sqref="M7">
    <cfRule type="expression" dxfId="1723" priority="322">
      <formula>"$G$G&gt;400"</formula>
    </cfRule>
  </conditionalFormatting>
  <conditionalFormatting sqref="V7">
    <cfRule type="expression" dxfId="1722" priority="321">
      <formula>AND(AND($Z7&lt;TODAY(),$Z7&lt;&gt;""),$AA7="")</formula>
    </cfRule>
  </conditionalFormatting>
  <conditionalFormatting sqref="V8">
    <cfRule type="expression" dxfId="1721" priority="320">
      <formula>AND(AND($Z8&lt;TODAY(),$Z8&lt;&gt;""),$AA8="")</formula>
    </cfRule>
  </conditionalFormatting>
  <conditionalFormatting sqref="V9">
    <cfRule type="expression" dxfId="1720" priority="319">
      <formula>AND(AND($Z9&lt;TODAY(),$Z9&lt;&gt;""),$AA9="")</formula>
    </cfRule>
  </conditionalFormatting>
  <conditionalFormatting sqref="V10">
    <cfRule type="expression" dxfId="1719" priority="318">
      <formula>AND(AND($Z10&lt;TODAY(),$Z10&lt;&gt;""),$AA10="")</formula>
    </cfRule>
  </conditionalFormatting>
  <conditionalFormatting sqref="M10">
    <cfRule type="expression" dxfId="1718" priority="317">
      <formula>"$G$G&gt;400"</formula>
    </cfRule>
  </conditionalFormatting>
  <conditionalFormatting sqref="M8">
    <cfRule type="expression" dxfId="1717" priority="316">
      <formula>"$G$G&gt;400"</formula>
    </cfRule>
  </conditionalFormatting>
  <conditionalFormatting sqref="M8">
    <cfRule type="expression" dxfId="1716" priority="315">
      <formula>"$G$G&gt;400"</formula>
    </cfRule>
  </conditionalFormatting>
  <conditionalFormatting sqref="M9">
    <cfRule type="expression" dxfId="1715" priority="314">
      <formula>"$G$G&gt;400"</formula>
    </cfRule>
  </conditionalFormatting>
  <conditionalFormatting sqref="F16">
    <cfRule type="expression" dxfId="1714" priority="313">
      <formula>ISBLANK($G16)</formula>
    </cfRule>
  </conditionalFormatting>
  <conditionalFormatting sqref="F17">
    <cfRule type="expression" dxfId="1713" priority="312">
      <formula>ISBLANK($G17)</formula>
    </cfRule>
  </conditionalFormatting>
  <conditionalFormatting sqref="F34">
    <cfRule type="expression" dxfId="1712" priority="311">
      <formula>ISBLANK($G34)</formula>
    </cfRule>
  </conditionalFormatting>
  <conditionalFormatting sqref="F36">
    <cfRule type="expression" dxfId="1711" priority="310">
      <formula>ISBLANK($G36)</formula>
    </cfRule>
  </conditionalFormatting>
  <conditionalFormatting sqref="F38">
    <cfRule type="expression" dxfId="1710" priority="309">
      <formula>ISBLANK($G38)</formula>
    </cfRule>
  </conditionalFormatting>
  <conditionalFormatting sqref="F42">
    <cfRule type="expression" dxfId="1709" priority="308">
      <formula>ISBLANK($G42)</formula>
    </cfRule>
  </conditionalFormatting>
  <conditionalFormatting sqref="F77">
    <cfRule type="expression" dxfId="1708" priority="307">
      <formula>ISBLANK($G77)</formula>
    </cfRule>
  </conditionalFormatting>
  <conditionalFormatting sqref="F88">
    <cfRule type="expression" dxfId="1707" priority="306">
      <formula>ISBLANK($G88)</formula>
    </cfRule>
  </conditionalFormatting>
  <conditionalFormatting sqref="F86">
    <cfRule type="expression" dxfId="1706" priority="305">
      <formula>ISBLANK($G86)</formula>
    </cfRule>
  </conditionalFormatting>
  <conditionalFormatting sqref="F87">
    <cfRule type="expression" dxfId="1705" priority="304">
      <formula>ISBLANK($G87)</formula>
    </cfRule>
  </conditionalFormatting>
  <conditionalFormatting sqref="F93">
    <cfRule type="expression" dxfId="1704" priority="303">
      <formula>ISBLANK($G93)</formula>
    </cfRule>
  </conditionalFormatting>
  <conditionalFormatting sqref="F98">
    <cfRule type="expression" dxfId="1703" priority="302">
      <formula>ISBLANK($G98)</formula>
    </cfRule>
  </conditionalFormatting>
  <conditionalFormatting sqref="F100">
    <cfRule type="expression" dxfId="1702" priority="301">
      <formula>ISBLANK($G100)</formula>
    </cfRule>
  </conditionalFormatting>
  <conditionalFormatting sqref="F99">
    <cfRule type="expression" dxfId="1701" priority="300">
      <formula>ISBLANK($G99)</formula>
    </cfRule>
  </conditionalFormatting>
  <conditionalFormatting sqref="F101">
    <cfRule type="expression" dxfId="1700" priority="299">
      <formula>ISBLANK($G101)</formula>
    </cfRule>
  </conditionalFormatting>
  <conditionalFormatting sqref="F100">
    <cfRule type="expression" dxfId="1699" priority="298">
      <formula>ISBLANK($G100)</formula>
    </cfRule>
  </conditionalFormatting>
  <conditionalFormatting sqref="F101">
    <cfRule type="expression" dxfId="1698" priority="297">
      <formula>ISBLANK($G101)</formula>
    </cfRule>
  </conditionalFormatting>
  <conditionalFormatting sqref="F100">
    <cfRule type="expression" dxfId="1697" priority="296">
      <formula>ISBLANK($G100)</formula>
    </cfRule>
  </conditionalFormatting>
  <conditionalFormatting sqref="F102">
    <cfRule type="expression" dxfId="1696" priority="295">
      <formula>ISBLANK($G102)</formula>
    </cfRule>
  </conditionalFormatting>
  <conditionalFormatting sqref="F101">
    <cfRule type="expression" dxfId="1695" priority="294">
      <formula>ISBLANK($G101)</formula>
    </cfRule>
  </conditionalFormatting>
  <conditionalFormatting sqref="V11">
    <cfRule type="expression" dxfId="1694" priority="293">
      <formula>AND(AND($Z11&lt;TODAY(),$Z11&lt;&gt;""),$AA11="")</formula>
    </cfRule>
  </conditionalFormatting>
  <conditionalFormatting sqref="M11">
    <cfRule type="expression" dxfId="1693" priority="292">
      <formula>"$G$G&gt;400"</formula>
    </cfRule>
  </conditionalFormatting>
  <conditionalFormatting sqref="V13">
    <cfRule type="expression" dxfId="1692" priority="289">
      <formula>AND(AND($Z13&lt;TODAY(),$Z13&lt;&gt;""),$AA13="")</formula>
    </cfRule>
  </conditionalFormatting>
  <conditionalFormatting sqref="M13">
    <cfRule type="expression" dxfId="1691" priority="288">
      <formula>"$G$G&gt;400"</formula>
    </cfRule>
  </conditionalFormatting>
  <conditionalFormatting sqref="V15">
    <cfRule type="expression" dxfId="1690" priority="287">
      <formula>AND(AND($Z15&lt;TODAY(),$Z15&lt;&gt;""),$AA15="")</formula>
    </cfRule>
  </conditionalFormatting>
  <conditionalFormatting sqref="M15">
    <cfRule type="expression" dxfId="1689" priority="286">
      <formula>"$G$G&gt;400"</formula>
    </cfRule>
  </conditionalFormatting>
  <conditionalFormatting sqref="M15">
    <cfRule type="expression" dxfId="1688" priority="285">
      <formula>"$G$G&gt;400"</formula>
    </cfRule>
  </conditionalFormatting>
  <conditionalFormatting sqref="V17">
    <cfRule type="expression" dxfId="1687" priority="282">
      <formula>AND(AND($Z17&lt;TODAY(),$Z17&lt;&gt;""),$AA17="")</formula>
    </cfRule>
  </conditionalFormatting>
  <conditionalFormatting sqref="M17">
    <cfRule type="expression" dxfId="1686" priority="281">
      <formula>"$G$G&gt;400"</formula>
    </cfRule>
  </conditionalFormatting>
  <conditionalFormatting sqref="V18">
    <cfRule type="expression" dxfId="1685" priority="280">
      <formula>AND(AND($Z18&lt;TODAY(),$Z18&lt;&gt;""),$AA18="")</formula>
    </cfRule>
  </conditionalFormatting>
  <conditionalFormatting sqref="M18">
    <cfRule type="expression" dxfId="1684" priority="279">
      <formula>"$G$G&gt;400"</formula>
    </cfRule>
  </conditionalFormatting>
  <conditionalFormatting sqref="V19">
    <cfRule type="expression" dxfId="1683" priority="278">
      <formula>AND(AND($Z19&lt;TODAY(),$Z19&lt;&gt;""),$AA19="")</formula>
    </cfRule>
  </conditionalFormatting>
  <conditionalFormatting sqref="V20">
    <cfRule type="expression" dxfId="1682" priority="277">
      <formula>AND(AND($Z20&lt;TODAY(),$Z20&lt;&gt;""),$AA20="")</formula>
    </cfRule>
  </conditionalFormatting>
  <conditionalFormatting sqref="M20">
    <cfRule type="expression" dxfId="1681" priority="276">
      <formula>"$G$G&gt;400"</formula>
    </cfRule>
  </conditionalFormatting>
  <conditionalFormatting sqref="M20">
    <cfRule type="expression" dxfId="1680" priority="275">
      <formula>"$G$G&gt;400"</formula>
    </cfRule>
  </conditionalFormatting>
  <conditionalFormatting sqref="V22">
    <cfRule type="expression" dxfId="1679" priority="273">
      <formula>AND(AND($Z22&lt;TODAY(),$Z22&lt;&gt;""),$AA22="")</formula>
    </cfRule>
  </conditionalFormatting>
  <conditionalFormatting sqref="M22">
    <cfRule type="expression" dxfId="1678" priority="272">
      <formula>"$G$G&gt;400"</formula>
    </cfRule>
  </conditionalFormatting>
  <conditionalFormatting sqref="M23">
    <cfRule type="expression" dxfId="1677" priority="271">
      <formula>"$G$G&gt;400"</formula>
    </cfRule>
  </conditionalFormatting>
  <conditionalFormatting sqref="V23">
    <cfRule type="expression" dxfId="1676" priority="270">
      <formula>AND(AND($Z23&lt;TODAY(),$Z23&lt;&gt;""),$AA23="")</formula>
    </cfRule>
  </conditionalFormatting>
  <conditionalFormatting sqref="V24">
    <cfRule type="expression" dxfId="1675" priority="269">
      <formula>AND(AND($Z24&lt;TODAY(),$Z24&lt;&gt;""),$AA24="")</formula>
    </cfRule>
  </conditionalFormatting>
  <conditionalFormatting sqref="M24">
    <cfRule type="expression" dxfId="1674" priority="268">
      <formula>"$G$G&gt;400"</formula>
    </cfRule>
  </conditionalFormatting>
  <conditionalFormatting sqref="M25 K25">
    <cfRule type="expression" dxfId="1673" priority="267">
      <formula>"$G$G&gt;400"</formula>
    </cfRule>
  </conditionalFormatting>
  <conditionalFormatting sqref="V14">
    <cfRule type="expression" dxfId="1672" priority="266">
      <formula>AND(AND($Z14&lt;TODAY(),$Z14&lt;&gt;""),$AA14="")</formula>
    </cfRule>
  </conditionalFormatting>
  <conditionalFormatting sqref="V26">
    <cfRule type="expression" dxfId="1671" priority="265">
      <formula>AND(AND($Z26&lt;TODAY(),$Z26&lt;&gt;""),$AA26="")</formula>
    </cfRule>
  </conditionalFormatting>
  <conditionalFormatting sqref="M26">
    <cfRule type="expression" dxfId="1670" priority="264">
      <formula>"$G$G&gt;400"</formula>
    </cfRule>
  </conditionalFormatting>
  <conditionalFormatting sqref="M26">
    <cfRule type="expression" dxfId="1669" priority="263">
      <formula>"$G$G&gt;400"</formula>
    </cfRule>
  </conditionalFormatting>
  <conditionalFormatting sqref="V28">
    <cfRule type="expression" dxfId="1668" priority="260">
      <formula>AND(AND($Z28&lt;TODAY(),$Z28&lt;&gt;""),$AA28="")</formula>
    </cfRule>
  </conditionalFormatting>
  <conditionalFormatting sqref="M28">
    <cfRule type="expression" dxfId="1667" priority="259">
      <formula>"$G$G&gt;400"</formula>
    </cfRule>
  </conditionalFormatting>
  <conditionalFormatting sqref="V29">
    <cfRule type="expression" dxfId="1666" priority="258">
      <formula>AND(AND($Z29&lt;TODAY(),$Z29&lt;&gt;""),$AA29="")</formula>
    </cfRule>
  </conditionalFormatting>
  <conditionalFormatting sqref="M29">
    <cfRule type="expression" dxfId="1665" priority="257">
      <formula>"$G$G&gt;400"</formula>
    </cfRule>
  </conditionalFormatting>
  <conditionalFormatting sqref="V30">
    <cfRule type="expression" dxfId="1664" priority="256">
      <formula>AND(AND($Z30&lt;TODAY(),$Z30&lt;&gt;""),$AA30="")</formula>
    </cfRule>
  </conditionalFormatting>
  <conditionalFormatting sqref="M30">
    <cfRule type="expression" dxfId="1663" priority="255">
      <formula>"$G$G&gt;400"</formula>
    </cfRule>
  </conditionalFormatting>
  <conditionalFormatting sqref="V31">
    <cfRule type="expression" dxfId="1662" priority="254">
      <formula>AND(AND($Z31&lt;TODAY(),$Z31&lt;&gt;""),$AA31="")</formula>
    </cfRule>
  </conditionalFormatting>
  <conditionalFormatting sqref="M31">
    <cfRule type="expression" dxfId="1661" priority="253">
      <formula>"$G$G&gt;400"</formula>
    </cfRule>
  </conditionalFormatting>
  <conditionalFormatting sqref="M31">
    <cfRule type="expression" dxfId="1660" priority="252">
      <formula>"$G$G&gt;400"</formula>
    </cfRule>
  </conditionalFormatting>
  <conditionalFormatting sqref="M32 K32">
    <cfRule type="expression" dxfId="1659" priority="251">
      <formula>"$G$G&gt;400"</formula>
    </cfRule>
  </conditionalFormatting>
  <conditionalFormatting sqref="V32">
    <cfRule type="expression" dxfId="1658" priority="250">
      <formula>AND(AND($Z32&lt;TODAY(),$Z32&lt;&gt;""),$AA32="")</formula>
    </cfRule>
  </conditionalFormatting>
  <conditionalFormatting sqref="V25">
    <cfRule type="expression" dxfId="1657" priority="249">
      <formula>AND(AND($Z25&lt;TODAY(),$Z25&lt;&gt;""),$AA25="")</formula>
    </cfRule>
  </conditionalFormatting>
  <conditionalFormatting sqref="M33">
    <cfRule type="expression" dxfId="1656" priority="248">
      <formula>"$G$G&gt;400"</formula>
    </cfRule>
  </conditionalFormatting>
  <conditionalFormatting sqref="V33">
    <cfRule type="expression" dxfId="1655" priority="247">
      <formula>AND(AND($Z33&lt;TODAY(),$Z33&lt;&gt;""),$AA33="")</formula>
    </cfRule>
  </conditionalFormatting>
  <conditionalFormatting sqref="V34">
    <cfRule type="expression" dxfId="1654" priority="246">
      <formula>AND(AND($Z34&lt;TODAY(),$Z34&lt;&gt;""),$AA34="")</formula>
    </cfRule>
  </conditionalFormatting>
  <conditionalFormatting sqref="V35">
    <cfRule type="expression" dxfId="1653" priority="245">
      <formula>AND(AND($Z35&lt;TODAY(),$Z35&lt;&gt;""),$AA35="")</formula>
    </cfRule>
  </conditionalFormatting>
  <conditionalFormatting sqref="V36">
    <cfRule type="expression" dxfId="1652" priority="244">
      <formula>AND(AND($Z36&lt;TODAY(),$Z36&lt;&gt;""),$AA36="")</formula>
    </cfRule>
  </conditionalFormatting>
  <conditionalFormatting sqref="M37 K37">
    <cfRule type="expression" dxfId="1651" priority="243">
      <formula>"$G$G&gt;400"</formula>
    </cfRule>
  </conditionalFormatting>
  <conditionalFormatting sqref="V37">
    <cfRule type="expression" dxfId="1650" priority="242">
      <formula>AND(AND($Z37&lt;TODAY(),$Z37&lt;&gt;""),$AA37="")</formula>
    </cfRule>
  </conditionalFormatting>
  <conditionalFormatting sqref="M38">
    <cfRule type="expression" dxfId="1649" priority="241">
      <formula>"$G$G&gt;400"</formula>
    </cfRule>
  </conditionalFormatting>
  <conditionalFormatting sqref="V38">
    <cfRule type="expression" dxfId="1648" priority="240">
      <formula>AND(AND($Z38&lt;TODAY(),$Z38&lt;&gt;""),$AA38="")</formula>
    </cfRule>
  </conditionalFormatting>
  <conditionalFormatting sqref="K39">
    <cfRule type="expression" dxfId="1647" priority="239">
      <formula>"$G$G&gt;400"</formula>
    </cfRule>
  </conditionalFormatting>
  <conditionalFormatting sqref="M39">
    <cfRule type="expression" dxfId="1646" priority="238">
      <formula>"$G$G&gt;400"</formula>
    </cfRule>
  </conditionalFormatting>
  <conditionalFormatting sqref="V39">
    <cfRule type="expression" dxfId="1645" priority="237">
      <formula>AND(AND($Z39&lt;TODAY(),$Z39&lt;&gt;""),$AA39="")</formula>
    </cfRule>
  </conditionalFormatting>
  <conditionalFormatting sqref="M40">
    <cfRule type="expression" dxfId="1644" priority="236">
      <formula>"$G$G&gt;400"</formula>
    </cfRule>
  </conditionalFormatting>
  <conditionalFormatting sqref="V40">
    <cfRule type="expression" dxfId="1643" priority="235">
      <formula>AND(AND($Z40&lt;TODAY(),$Z40&lt;&gt;""),$AA40="")</formula>
    </cfRule>
  </conditionalFormatting>
  <conditionalFormatting sqref="M34">
    <cfRule type="expression" dxfId="1642" priority="234">
      <formula>"$G$G&gt;400"</formula>
    </cfRule>
  </conditionalFormatting>
  <conditionalFormatting sqref="M19">
    <cfRule type="expression" dxfId="1641" priority="233">
      <formula>"$G$G&gt;400"</formula>
    </cfRule>
  </conditionalFormatting>
  <conditionalFormatting sqref="V41">
    <cfRule type="expression" dxfId="1640" priority="232">
      <formula>AND(AND($Z41&lt;TODAY(),$Z41&lt;&gt;""),$AA41="")</formula>
    </cfRule>
  </conditionalFormatting>
  <conditionalFormatting sqref="M41">
    <cfRule type="expression" dxfId="1639" priority="231">
      <formula>"$G$G&gt;400"</formula>
    </cfRule>
  </conditionalFormatting>
  <conditionalFormatting sqref="M36">
    <cfRule type="expression" dxfId="1638" priority="230">
      <formula>"$G$G&gt;400"</formula>
    </cfRule>
  </conditionalFormatting>
  <conditionalFormatting sqref="V52">
    <cfRule type="expression" dxfId="1637" priority="229">
      <formula>AND(AND($Z52&lt;TODAY(),$Z52&lt;&gt;""),$AA52="")</formula>
    </cfRule>
  </conditionalFormatting>
  <conditionalFormatting sqref="V42:V45">
    <cfRule type="expression" dxfId="1636" priority="228">
      <formula>AND(AND($Z42&lt;TODAY(),$Z42&lt;&gt;""),$AA42="")</formula>
    </cfRule>
  </conditionalFormatting>
  <conditionalFormatting sqref="V51">
    <cfRule type="expression" dxfId="1635" priority="227">
      <formula>AND(AND($Z51&lt;TODAY(),$Z51&lt;&gt;""),$AA51="")</formula>
    </cfRule>
  </conditionalFormatting>
  <conditionalFormatting sqref="V53">
    <cfRule type="expression" dxfId="1634" priority="226">
      <formula>AND(AND($Z53&lt;TODAY(),$Z53&lt;&gt;""),$AA53="")</formula>
    </cfRule>
  </conditionalFormatting>
  <conditionalFormatting sqref="V52">
    <cfRule type="expression" dxfId="1633" priority="225">
      <formula>AND(AND($Z52&lt;TODAY(),$Z52&lt;&gt;""),$AA52="")</formula>
    </cfRule>
  </conditionalFormatting>
  <conditionalFormatting sqref="V47">
    <cfRule type="expression" dxfId="1632" priority="222">
      <formula>AND(AND($Z47&lt;TODAY(),$Z47&lt;&gt;""),$AA47="")</formula>
    </cfRule>
  </conditionalFormatting>
  <conditionalFormatting sqref="M47">
    <cfRule type="expression" dxfId="1631" priority="221">
      <formula>"$G$G&gt;400"</formula>
    </cfRule>
  </conditionalFormatting>
  <conditionalFormatting sqref="V53">
    <cfRule type="expression" dxfId="1630" priority="220">
      <formula>AND(AND($Z53&lt;TODAY(),$Z53&lt;&gt;""),$AA53="")</formula>
    </cfRule>
  </conditionalFormatting>
  <conditionalFormatting sqref="V52">
    <cfRule type="expression" dxfId="1629" priority="219">
      <formula>AND(AND($Z52&lt;TODAY(),$Z52&lt;&gt;""),$AA52="")</formula>
    </cfRule>
  </conditionalFormatting>
  <conditionalFormatting sqref="V53">
    <cfRule type="expression" dxfId="1628" priority="218">
      <formula>AND(AND($Z53&lt;TODAY(),$Z53&lt;&gt;""),$AA53="")</formula>
    </cfRule>
  </conditionalFormatting>
  <conditionalFormatting sqref="V50">
    <cfRule type="expression" dxfId="1627" priority="217">
      <formula>AND(AND($Z50&lt;TODAY(),$Z50&lt;&gt;""),$AA50="")</formula>
    </cfRule>
  </conditionalFormatting>
  <conditionalFormatting sqref="M50">
    <cfRule type="expression" dxfId="1626" priority="216">
      <formula>"$G$G&gt;400"</formula>
    </cfRule>
  </conditionalFormatting>
  <conditionalFormatting sqref="M50">
    <cfRule type="expression" dxfId="1625" priority="215">
      <formula>"$G$G&gt;400"</formula>
    </cfRule>
  </conditionalFormatting>
  <conditionalFormatting sqref="V53">
    <cfRule type="expression" dxfId="1624" priority="214">
      <formula>AND(AND($Z53&lt;TODAY(),$Z53&lt;&gt;""),$AA53="")</formula>
    </cfRule>
  </conditionalFormatting>
  <conditionalFormatting sqref="V52">
    <cfRule type="expression" dxfId="1623" priority="213">
      <formula>AND(AND($Z52&lt;TODAY(),$Z52&lt;&gt;""),$AA52="")</formula>
    </cfRule>
  </conditionalFormatting>
  <conditionalFormatting sqref="V53">
    <cfRule type="expression" dxfId="1622" priority="212">
      <formula>AND(AND($Z53&lt;TODAY(),$Z53&lt;&gt;""),$AA53="")</formula>
    </cfRule>
  </conditionalFormatting>
  <conditionalFormatting sqref="V53">
    <cfRule type="expression" dxfId="1621" priority="211">
      <formula>AND(AND($Z53&lt;TODAY(),$Z53&lt;&gt;""),$AA53="")</formula>
    </cfRule>
  </conditionalFormatting>
  <conditionalFormatting sqref="V53">
    <cfRule type="expression" dxfId="1620" priority="210">
      <formula>AND(AND($Z53&lt;TODAY(),$Z53&lt;&gt;""),$AA53="")</formula>
    </cfRule>
  </conditionalFormatting>
  <conditionalFormatting sqref="V53">
    <cfRule type="expression" dxfId="1619" priority="209">
      <formula>AND(AND($Z53&lt;TODAY(),$Z53&lt;&gt;""),$AA53="")</formula>
    </cfRule>
  </conditionalFormatting>
  <conditionalFormatting sqref="V53">
    <cfRule type="expression" dxfId="1618" priority="208">
      <formula>AND(AND($Z53&lt;TODAY(),$Z53&lt;&gt;""),$AA53="")</formula>
    </cfRule>
  </conditionalFormatting>
  <conditionalFormatting sqref="V53">
    <cfRule type="expression" dxfId="1617" priority="207">
      <formula>AND(AND($Z53&lt;TODAY(),$Z53&lt;&gt;""),$AA53="")</formula>
    </cfRule>
  </conditionalFormatting>
  <conditionalFormatting sqref="V55:V56">
    <cfRule type="expression" dxfId="1616" priority="206">
      <formula>AND(AND($Z55&lt;TODAY(),$Z55&lt;&gt;""),$AA55="")</formula>
    </cfRule>
  </conditionalFormatting>
  <conditionalFormatting sqref="M55:M56">
    <cfRule type="expression" dxfId="1615" priority="205">
      <formula>"$G$G&gt;400"</formula>
    </cfRule>
  </conditionalFormatting>
  <conditionalFormatting sqref="V55:V56">
    <cfRule type="expression" dxfId="1614" priority="204">
      <formula>AND(AND($Z55&lt;TODAY(),$Z55&lt;&gt;""),$AA55="")</formula>
    </cfRule>
  </conditionalFormatting>
  <conditionalFormatting sqref="V55">
    <cfRule type="expression" dxfId="1613" priority="203">
      <formula>AND(AND($Z55&lt;TODAY(),$Z55&lt;&gt;""),$AA55="")</formula>
    </cfRule>
  </conditionalFormatting>
  <conditionalFormatting sqref="V55">
    <cfRule type="expression" dxfId="1612" priority="202">
      <formula>AND(AND($Z55&lt;TODAY(),$Z55&lt;&gt;""),$AA55="")</formula>
    </cfRule>
  </conditionalFormatting>
  <conditionalFormatting sqref="V56">
    <cfRule type="expression" dxfId="1611" priority="201">
      <formula>AND(AND($Z56&lt;TODAY(),$Z56&lt;&gt;""),$AA56="")</formula>
    </cfRule>
  </conditionalFormatting>
  <conditionalFormatting sqref="V55">
    <cfRule type="expression" dxfId="1610" priority="200">
      <formula>AND(AND($Z55&lt;TODAY(),$Z55&lt;&gt;""),$AA55="")</formula>
    </cfRule>
  </conditionalFormatting>
  <conditionalFormatting sqref="V55">
    <cfRule type="expression" dxfId="1609" priority="199">
      <formula>AND(AND($Z55&lt;TODAY(),$Z55&lt;&gt;""),$AA55="")</formula>
    </cfRule>
  </conditionalFormatting>
  <conditionalFormatting sqref="V56">
    <cfRule type="expression" dxfId="1608" priority="198">
      <formula>AND(AND($Z56&lt;TODAY(),$Z56&lt;&gt;""),$AA56="")</formula>
    </cfRule>
  </conditionalFormatting>
  <conditionalFormatting sqref="V55">
    <cfRule type="expression" dxfId="1607" priority="197">
      <formula>AND(AND($Z55&lt;TODAY(),$Z55&lt;&gt;""),$AA55="")</formula>
    </cfRule>
  </conditionalFormatting>
  <conditionalFormatting sqref="V56">
    <cfRule type="expression" dxfId="1606" priority="196">
      <formula>AND(AND($Z56&lt;TODAY(),$Z56&lt;&gt;""),$AA56="")</formula>
    </cfRule>
  </conditionalFormatting>
  <conditionalFormatting sqref="V55">
    <cfRule type="expression" dxfId="1605" priority="195">
      <formula>AND(AND($Z55&lt;TODAY(),$Z55&lt;&gt;""),$AA55="")</formula>
    </cfRule>
  </conditionalFormatting>
  <conditionalFormatting sqref="V56">
    <cfRule type="expression" dxfId="1604" priority="194">
      <formula>AND(AND($Z56&lt;TODAY(),$Z56&lt;&gt;""),$AA56="")</formula>
    </cfRule>
  </conditionalFormatting>
  <conditionalFormatting sqref="V55">
    <cfRule type="expression" dxfId="1603" priority="193">
      <formula>AND(AND($Z55&lt;TODAY(),$Z55&lt;&gt;""),$AA55="")</formula>
    </cfRule>
  </conditionalFormatting>
  <conditionalFormatting sqref="V56">
    <cfRule type="expression" dxfId="1602" priority="192">
      <formula>AND(AND($Z56&lt;TODAY(),$Z56&lt;&gt;""),$AA56="")</formula>
    </cfRule>
  </conditionalFormatting>
  <conditionalFormatting sqref="V55">
    <cfRule type="expression" dxfId="1601" priority="191">
      <formula>AND(AND($Z55&lt;TODAY(),$Z55&lt;&gt;""),$AA55="")</formula>
    </cfRule>
  </conditionalFormatting>
  <conditionalFormatting sqref="V56">
    <cfRule type="expression" dxfId="1600" priority="190">
      <formula>AND(AND($Z56&lt;TODAY(),$Z56&lt;&gt;""),$AA56="")</formula>
    </cfRule>
  </conditionalFormatting>
  <conditionalFormatting sqref="V55">
    <cfRule type="expression" dxfId="1599" priority="189">
      <formula>AND(AND($Z55&lt;TODAY(),$Z55&lt;&gt;""),$AA55="")</formula>
    </cfRule>
  </conditionalFormatting>
  <conditionalFormatting sqref="V56">
    <cfRule type="expression" dxfId="1598" priority="188">
      <formula>AND(AND($Z56&lt;TODAY(),$Z56&lt;&gt;""),$AA56="")</formula>
    </cfRule>
  </conditionalFormatting>
  <conditionalFormatting sqref="V56">
    <cfRule type="expression" dxfId="1597" priority="187">
      <formula>AND(AND($Z56&lt;TODAY(),$Z56&lt;&gt;""),$AA56="")</formula>
    </cfRule>
  </conditionalFormatting>
  <conditionalFormatting sqref="V55">
    <cfRule type="expression" dxfId="1596" priority="186">
      <formula>AND(AND($Z55&lt;TODAY(),$Z55&lt;&gt;""),$AA55="")</formula>
    </cfRule>
  </conditionalFormatting>
  <conditionalFormatting sqref="V56">
    <cfRule type="expression" dxfId="1595" priority="185">
      <formula>AND(AND($Z56&lt;TODAY(),$Z56&lt;&gt;""),$AA56="")</formula>
    </cfRule>
  </conditionalFormatting>
  <conditionalFormatting sqref="V56">
    <cfRule type="expression" dxfId="1594" priority="184">
      <formula>AND(AND($Z56&lt;TODAY(),$Z56&lt;&gt;""),$AA56="")</formula>
    </cfRule>
  </conditionalFormatting>
  <conditionalFormatting sqref="V54">
    <cfRule type="expression" dxfId="1593" priority="183">
      <formula>AND(AND($Z54&lt;TODAY(),$Z54&lt;&gt;""),$AA54="")</formula>
    </cfRule>
  </conditionalFormatting>
  <conditionalFormatting sqref="V54">
    <cfRule type="expression" dxfId="1592" priority="182">
      <formula>AND(AND($Z54&lt;TODAY(),$Z54&lt;&gt;""),$AA54="")</formula>
    </cfRule>
  </conditionalFormatting>
  <conditionalFormatting sqref="V54">
    <cfRule type="expression" dxfId="1591" priority="181">
      <formula>AND(AND($Z54&lt;TODAY(),$Z54&lt;&gt;""),$AA54="")</formula>
    </cfRule>
  </conditionalFormatting>
  <conditionalFormatting sqref="V54">
    <cfRule type="expression" dxfId="1590" priority="180">
      <formula>AND(AND($Z54&lt;TODAY(),$Z54&lt;&gt;""),$AA54="")</formula>
    </cfRule>
  </conditionalFormatting>
  <conditionalFormatting sqref="V54">
    <cfRule type="expression" dxfId="1589" priority="179">
      <formula>AND(AND($Z54&lt;TODAY(),$Z54&lt;&gt;""),$AA54="")</formula>
    </cfRule>
  </conditionalFormatting>
  <conditionalFormatting sqref="V54">
    <cfRule type="expression" dxfId="1588" priority="178">
      <formula>AND(AND($Z54&lt;TODAY(),$Z54&lt;&gt;""),$AA54="")</formula>
    </cfRule>
  </conditionalFormatting>
  <conditionalFormatting sqref="V54">
    <cfRule type="expression" dxfId="1587" priority="177">
      <formula>AND(AND($Z54&lt;TODAY(),$Z54&lt;&gt;""),$AA54="")</formula>
    </cfRule>
  </conditionalFormatting>
  <conditionalFormatting sqref="V54">
    <cfRule type="expression" dxfId="1586" priority="176">
      <formula>AND(AND($Z54&lt;TODAY(),$Z54&lt;&gt;""),$AA54="")</formula>
    </cfRule>
  </conditionalFormatting>
  <conditionalFormatting sqref="V54">
    <cfRule type="expression" dxfId="1585" priority="175">
      <formula>AND(AND($Z54&lt;TODAY(),$Z54&lt;&gt;""),$AA54="")</formula>
    </cfRule>
  </conditionalFormatting>
  <conditionalFormatting sqref="V54">
    <cfRule type="expression" dxfId="1584" priority="174">
      <formula>AND(AND($Z54&lt;TODAY(),$Z54&lt;&gt;""),$AA54="")</formula>
    </cfRule>
  </conditionalFormatting>
  <conditionalFormatting sqref="V54">
    <cfRule type="expression" dxfId="1583" priority="173">
      <formula>AND(AND($Z54&lt;TODAY(),$Z54&lt;&gt;""),$AA54="")</formula>
    </cfRule>
  </conditionalFormatting>
  <conditionalFormatting sqref="V54">
    <cfRule type="expression" dxfId="1582" priority="172">
      <formula>AND(AND($Z54&lt;TODAY(),$Z54&lt;&gt;""),$AA54="")</formula>
    </cfRule>
  </conditionalFormatting>
  <conditionalFormatting sqref="V58:V59">
    <cfRule type="expression" dxfId="1581" priority="169">
      <formula>AND(AND($Z58&lt;TODAY(),$Z58&lt;&gt;""),$AA58="")</formula>
    </cfRule>
  </conditionalFormatting>
  <conditionalFormatting sqref="V58:V59">
    <cfRule type="expression" dxfId="1580" priority="168">
      <formula>AND(AND($Z58&lt;TODAY(),$Z58&lt;&gt;""),$AA58="")</formula>
    </cfRule>
  </conditionalFormatting>
  <conditionalFormatting sqref="V58:V59">
    <cfRule type="expression" dxfId="1579" priority="167">
      <formula>AND(AND($Z58&lt;TODAY(),$Z58&lt;&gt;""),$AA58="")</formula>
    </cfRule>
  </conditionalFormatting>
  <conditionalFormatting sqref="V58:V59">
    <cfRule type="expression" dxfId="1578" priority="166">
      <formula>AND(AND($Z58&lt;TODAY(),$Z58&lt;&gt;""),$AA58="")</formula>
    </cfRule>
  </conditionalFormatting>
  <conditionalFormatting sqref="V58:V59">
    <cfRule type="expression" dxfId="1577" priority="165">
      <formula>AND(AND($Z58&lt;TODAY(),$Z58&lt;&gt;""),$AA58="")</formula>
    </cfRule>
  </conditionalFormatting>
  <conditionalFormatting sqref="V58:V59">
    <cfRule type="expression" dxfId="1576" priority="164">
      <formula>AND(AND($Z58&lt;TODAY(),$Z58&lt;&gt;""),$AA58="")</formula>
    </cfRule>
  </conditionalFormatting>
  <conditionalFormatting sqref="V58:V59">
    <cfRule type="expression" dxfId="1575" priority="163">
      <formula>AND(AND($Z58&lt;TODAY(),$Z58&lt;&gt;""),$AA58="")</formula>
    </cfRule>
  </conditionalFormatting>
  <conditionalFormatting sqref="V58:V59">
    <cfRule type="expression" dxfId="1574" priority="162">
      <formula>AND(AND($Z58&lt;TODAY(),$Z58&lt;&gt;""),$AA58="")</formula>
    </cfRule>
  </conditionalFormatting>
  <conditionalFormatting sqref="V58:V59">
    <cfRule type="expression" dxfId="1573" priority="161">
      <formula>AND(AND($Z58&lt;TODAY(),$Z58&lt;&gt;""),$AA58="")</formula>
    </cfRule>
  </conditionalFormatting>
  <conditionalFormatting sqref="V58:V59">
    <cfRule type="expression" dxfId="1572" priority="160">
      <formula>AND(AND($Z58&lt;TODAY(),$Z58&lt;&gt;""),$AA58="")</formula>
    </cfRule>
  </conditionalFormatting>
  <conditionalFormatting sqref="V58:V59">
    <cfRule type="expression" dxfId="1571" priority="159">
      <formula>AND(AND($Z58&lt;TODAY(),$Z58&lt;&gt;""),$AA58="")</formula>
    </cfRule>
  </conditionalFormatting>
  <conditionalFormatting sqref="V58:V59">
    <cfRule type="expression" dxfId="1570" priority="158">
      <formula>AND(AND($Z58&lt;TODAY(),$Z58&lt;&gt;""),$AA58="")</formula>
    </cfRule>
  </conditionalFormatting>
  <conditionalFormatting sqref="M60">
    <cfRule type="expression" dxfId="1569" priority="157">
      <formula>"$G$G&gt;400"</formula>
    </cfRule>
  </conditionalFormatting>
  <conditionalFormatting sqref="V60">
    <cfRule type="expression" dxfId="1568" priority="156">
      <formula>AND(AND($Z60&lt;TODAY(),$Z60&lt;&gt;""),$AA60="")</formula>
    </cfRule>
  </conditionalFormatting>
  <conditionalFormatting sqref="V61">
    <cfRule type="expression" dxfId="1567" priority="155">
      <formula>AND(AND($Z61&lt;TODAY(),$Z61&lt;&gt;""),$AA61="")</formula>
    </cfRule>
  </conditionalFormatting>
  <conditionalFormatting sqref="M62">
    <cfRule type="expression" dxfId="1566" priority="154">
      <formula>"$G$G&gt;400"</formula>
    </cfRule>
  </conditionalFormatting>
  <conditionalFormatting sqref="V62">
    <cfRule type="expression" dxfId="1565" priority="153">
      <formula>AND(AND($Z62&lt;TODAY(),$Z62&lt;&gt;""),$AA62="")</formula>
    </cfRule>
  </conditionalFormatting>
  <conditionalFormatting sqref="V63">
    <cfRule type="expression" dxfId="1564" priority="152">
      <formula>AND(AND($Z63&lt;TODAY(),$Z63&lt;&gt;""),$AA63="")</formula>
    </cfRule>
  </conditionalFormatting>
  <conditionalFormatting sqref="M63">
    <cfRule type="expression" dxfId="1563" priority="151">
      <formula>"$G$G&gt;400"</formula>
    </cfRule>
  </conditionalFormatting>
  <conditionalFormatting sqref="V64">
    <cfRule type="expression" dxfId="1562" priority="150">
      <formula>AND(AND($Z64&lt;TODAY(),$Z64&lt;&gt;""),$AA64="")</formula>
    </cfRule>
  </conditionalFormatting>
  <conditionalFormatting sqref="M64">
    <cfRule type="expression" dxfId="1561" priority="149">
      <formula>"$G$G&gt;400"</formula>
    </cfRule>
  </conditionalFormatting>
  <conditionalFormatting sqref="V65">
    <cfRule type="expression" dxfId="1560" priority="148">
      <formula>AND(AND($Z65&lt;TODAY(),$Z65&lt;&gt;""),$AA65="")</formula>
    </cfRule>
  </conditionalFormatting>
  <conditionalFormatting sqref="M65">
    <cfRule type="expression" dxfId="1559" priority="147">
      <formula>"$G$G&gt;400"</formula>
    </cfRule>
  </conditionalFormatting>
  <conditionalFormatting sqref="M65">
    <cfRule type="expression" dxfId="1558" priority="146">
      <formula>"$G$G&gt;400"</formula>
    </cfRule>
  </conditionalFormatting>
  <conditionalFormatting sqref="M67">
    <cfRule type="expression" dxfId="1557" priority="143">
      <formula>"$G$G&gt;400"</formula>
    </cfRule>
  </conditionalFormatting>
  <conditionalFormatting sqref="V67">
    <cfRule type="expression" dxfId="1556" priority="142">
      <formula>AND(AND($Z67&lt;TODAY(),$Z67&lt;&gt;""),$AA67="")</formula>
    </cfRule>
  </conditionalFormatting>
  <conditionalFormatting sqref="V68">
    <cfRule type="expression" dxfId="1555" priority="141">
      <formula>AND(AND($Z68&lt;TODAY(),$Z68&lt;&gt;""),$AA68="")</formula>
    </cfRule>
  </conditionalFormatting>
  <conditionalFormatting sqref="M68">
    <cfRule type="expression" dxfId="1554" priority="140">
      <formula>"$G$G&gt;400"</formula>
    </cfRule>
  </conditionalFormatting>
  <conditionalFormatting sqref="V69">
    <cfRule type="expression" dxfId="1553" priority="139">
      <formula>AND(AND($Z69&lt;TODAY(),$Z69&lt;&gt;""),$AA69="")</formula>
    </cfRule>
  </conditionalFormatting>
  <conditionalFormatting sqref="M69">
    <cfRule type="expression" dxfId="1552" priority="138">
      <formula>"$G$G&gt;400"</formula>
    </cfRule>
  </conditionalFormatting>
  <conditionalFormatting sqref="M69">
    <cfRule type="expression" dxfId="1551" priority="137">
      <formula>"$G$G&gt;400"</formula>
    </cfRule>
  </conditionalFormatting>
  <conditionalFormatting sqref="M70">
    <cfRule type="expression" dxfId="1550" priority="136">
      <formula>"$G$G&gt;400"</formula>
    </cfRule>
  </conditionalFormatting>
  <conditionalFormatting sqref="V70">
    <cfRule type="expression" dxfId="1549" priority="135">
      <formula>AND(AND($Z70&lt;TODAY(),$Z70&lt;&gt;""),$AA70="")</formula>
    </cfRule>
  </conditionalFormatting>
  <conditionalFormatting sqref="V71">
    <cfRule type="expression" dxfId="1548" priority="134">
      <formula>AND(AND($Z71&lt;TODAY(),$Z71&lt;&gt;""),$AA71="")</formula>
    </cfRule>
  </conditionalFormatting>
  <conditionalFormatting sqref="M71">
    <cfRule type="expression" dxfId="1547" priority="133">
      <formula>"$G$G&gt;400"</formula>
    </cfRule>
  </conditionalFormatting>
  <conditionalFormatting sqref="V73">
    <cfRule type="expression" dxfId="1546" priority="130">
      <formula>AND(AND($Z73&lt;TODAY(),$Z73&lt;&gt;""),$AA73="")</formula>
    </cfRule>
  </conditionalFormatting>
  <conditionalFormatting sqref="V74">
    <cfRule type="expression" dxfId="1545" priority="129">
      <formula>AND(AND($Z74&lt;TODAY(),$Z74&lt;&gt;""),$AA74="")</formula>
    </cfRule>
  </conditionalFormatting>
  <conditionalFormatting sqref="M74">
    <cfRule type="expression" dxfId="1544" priority="128">
      <formula>"$G$G&gt;400"</formula>
    </cfRule>
  </conditionalFormatting>
  <conditionalFormatting sqref="V75">
    <cfRule type="expression" dxfId="1543" priority="127">
      <formula>AND(AND($Z75&lt;TODAY(),$Z75&lt;&gt;""),$AA75="")</formula>
    </cfRule>
  </conditionalFormatting>
  <conditionalFormatting sqref="M75">
    <cfRule type="expression" dxfId="1542" priority="126">
      <formula>"$G$G&gt;400"</formula>
    </cfRule>
  </conditionalFormatting>
  <conditionalFormatting sqref="M75">
    <cfRule type="expression" dxfId="1541" priority="125">
      <formula>"$G$G&gt;400"</formula>
    </cfRule>
  </conditionalFormatting>
  <conditionalFormatting sqref="M76">
    <cfRule type="expression" dxfId="1540" priority="124">
      <formula>"$G$G&gt;400"</formula>
    </cfRule>
  </conditionalFormatting>
  <conditionalFormatting sqref="V76">
    <cfRule type="expression" dxfId="1539" priority="123">
      <formula>AND(AND($Z76&lt;TODAY(),$Z76&lt;&gt;""),$AA76="")</formula>
    </cfRule>
  </conditionalFormatting>
  <conditionalFormatting sqref="V77">
    <cfRule type="expression" dxfId="1538" priority="122">
      <formula>AND(AND($Z77&lt;TODAY(),$Z77&lt;&gt;""),$AA77="")</formula>
    </cfRule>
  </conditionalFormatting>
  <conditionalFormatting sqref="M77">
    <cfRule type="expression" dxfId="1537" priority="121">
      <formula>"$G$G&gt;400"</formula>
    </cfRule>
  </conditionalFormatting>
  <conditionalFormatting sqref="M77">
    <cfRule type="expression" dxfId="1536" priority="120">
      <formula>"$G$G&gt;400"</formula>
    </cfRule>
  </conditionalFormatting>
  <conditionalFormatting sqref="V78">
    <cfRule type="expression" dxfId="1535" priority="119">
      <formula>AND(AND($Z78&lt;TODAY(),$Z78&lt;&gt;""),$AA78="")</formula>
    </cfRule>
  </conditionalFormatting>
  <conditionalFormatting sqref="V79">
    <cfRule type="expression" dxfId="1534" priority="118">
      <formula>AND(AND($Z79&lt;TODAY(),$Z79&lt;&gt;""),$AA79="")</formula>
    </cfRule>
  </conditionalFormatting>
  <conditionalFormatting sqref="M81">
    <cfRule type="expression" dxfId="1533" priority="116">
      <formula>"$G$G&gt;400"</formula>
    </cfRule>
  </conditionalFormatting>
  <conditionalFormatting sqref="M83">
    <cfRule type="expression" dxfId="1532" priority="115">
      <formula>"$G$G&gt;400"</formula>
    </cfRule>
  </conditionalFormatting>
  <conditionalFormatting sqref="M84">
    <cfRule type="expression" dxfId="1531" priority="114">
      <formula>"$G$G&gt;400"</formula>
    </cfRule>
  </conditionalFormatting>
  <conditionalFormatting sqref="V83">
    <cfRule type="expression" dxfId="1530" priority="113">
      <formula>AND(AND($Z83&lt;TODAY(),$Z83&lt;&gt;""),$AA83="")</formula>
    </cfRule>
  </conditionalFormatting>
  <conditionalFormatting sqref="V84">
    <cfRule type="expression" dxfId="1529" priority="112">
      <formula>AND(AND($Z84&lt;TODAY(),$Z84&lt;&gt;""),$AA84="")</formula>
    </cfRule>
  </conditionalFormatting>
  <conditionalFormatting sqref="V81">
    <cfRule type="expression" dxfId="1528" priority="111">
      <formula>AND(AND($Z81&lt;TODAY(),$Z81&lt;&gt;""),$AA81="")</formula>
    </cfRule>
  </conditionalFormatting>
  <conditionalFormatting sqref="V85">
    <cfRule type="expression" dxfId="1527" priority="109">
      <formula>AND(AND($Z85&lt;TODAY(),$Z85&lt;&gt;""),$AA85="")</formula>
    </cfRule>
  </conditionalFormatting>
  <conditionalFormatting sqref="M85">
    <cfRule type="expression" dxfId="1526" priority="108">
      <formula>"$G$G&gt;400"</formula>
    </cfRule>
  </conditionalFormatting>
  <conditionalFormatting sqref="V86">
    <cfRule type="expression" dxfId="1525" priority="107">
      <formula>AND(AND($Z86&lt;TODAY(),$Z86&lt;&gt;""),$AA86="")</formula>
    </cfRule>
  </conditionalFormatting>
  <conditionalFormatting sqref="M86">
    <cfRule type="expression" dxfId="1524" priority="106">
      <formula>"$G$G&gt;400"</formula>
    </cfRule>
  </conditionalFormatting>
  <conditionalFormatting sqref="V87">
    <cfRule type="expression" dxfId="1523" priority="105">
      <formula>AND(AND($Z87&lt;TODAY(),$Z87&lt;&gt;""),$AA87="")</formula>
    </cfRule>
  </conditionalFormatting>
  <conditionalFormatting sqref="M87">
    <cfRule type="expression" dxfId="1522" priority="104">
      <formula>"$G$G&gt;400"</formula>
    </cfRule>
  </conditionalFormatting>
  <conditionalFormatting sqref="V88">
    <cfRule type="expression" dxfId="1521" priority="103">
      <formula>AND(AND($Z88&lt;TODAY(),$Z88&lt;&gt;""),$AA88="")</formula>
    </cfRule>
  </conditionalFormatting>
  <conditionalFormatting sqref="M88">
    <cfRule type="expression" dxfId="1520" priority="102">
      <formula>"$G$G&gt;400"</formula>
    </cfRule>
  </conditionalFormatting>
  <conditionalFormatting sqref="V89">
    <cfRule type="expression" dxfId="1519" priority="101">
      <formula>AND(AND($Z89&lt;TODAY(),$Z89&lt;&gt;""),$AA89="")</formula>
    </cfRule>
  </conditionalFormatting>
  <conditionalFormatting sqref="M89">
    <cfRule type="expression" dxfId="1518" priority="100">
      <formula>"$G$G&gt;400"</formula>
    </cfRule>
  </conditionalFormatting>
  <conditionalFormatting sqref="M89">
    <cfRule type="expression" dxfId="1517" priority="99">
      <formula>"$G$G&gt;400"</formula>
    </cfRule>
  </conditionalFormatting>
  <conditionalFormatting sqref="V90">
    <cfRule type="expression" dxfId="1516" priority="98">
      <formula>AND(AND($Z90&lt;TODAY(),$Z90&lt;&gt;""),$AA90="")</formula>
    </cfRule>
  </conditionalFormatting>
  <conditionalFormatting sqref="M91">
    <cfRule type="expression" dxfId="1515" priority="97">
      <formula>"$G$G&gt;400"</formula>
    </cfRule>
  </conditionalFormatting>
  <conditionalFormatting sqref="V91">
    <cfRule type="expression" dxfId="1514" priority="96">
      <formula>AND(AND($Z91&lt;TODAY(),$Z91&lt;&gt;""),$AA91="")</formula>
    </cfRule>
  </conditionalFormatting>
  <conditionalFormatting sqref="M94:M96">
    <cfRule type="expression" dxfId="1513" priority="93">
      <formula>"$G$G&gt;400"</formula>
    </cfRule>
  </conditionalFormatting>
  <conditionalFormatting sqref="V94:V96">
    <cfRule type="expression" dxfId="1512" priority="92">
      <formula>AND(AND($Z94&lt;TODAY(),$Z94&lt;&gt;""),$AA94="")</formula>
    </cfRule>
  </conditionalFormatting>
  <conditionalFormatting sqref="M97">
    <cfRule type="expression" dxfId="1511" priority="91">
      <formula>"$G$G&gt;400"</formula>
    </cfRule>
  </conditionalFormatting>
  <conditionalFormatting sqref="V97">
    <cfRule type="expression" dxfId="1510" priority="90">
      <formula>AND(AND($Z97&lt;TODAY(),$Z97&lt;&gt;""),$AA97="")</formula>
    </cfRule>
  </conditionalFormatting>
  <conditionalFormatting sqref="M98">
    <cfRule type="expression" dxfId="1509" priority="89">
      <formula>"$G$G&gt;400"</formula>
    </cfRule>
  </conditionalFormatting>
  <conditionalFormatting sqref="V98">
    <cfRule type="expression" dxfId="1508" priority="88">
      <formula>AND(AND($Z98&lt;TODAY(),$Z98&lt;&gt;""),$AA98="")</formula>
    </cfRule>
  </conditionalFormatting>
  <conditionalFormatting sqref="V82">
    <cfRule type="expression" dxfId="1507" priority="87">
      <formula>AND(AND($Z82&lt;TODAY(),$Z82&lt;&gt;""),$AA82="")</formula>
    </cfRule>
  </conditionalFormatting>
  <conditionalFormatting sqref="V92">
    <cfRule type="expression" dxfId="1506" priority="86">
      <formula>AND(AND($Z92&lt;TODAY(),$Z92&lt;&gt;""),$AA92="")</formula>
    </cfRule>
  </conditionalFormatting>
  <conditionalFormatting sqref="M101 M104">
    <cfRule type="expression" dxfId="1505" priority="85">
      <formula>"$G$G&gt;400"</formula>
    </cfRule>
  </conditionalFormatting>
  <conditionalFormatting sqref="V99:V102">
    <cfRule type="expression" dxfId="1504" priority="84">
      <formula>AND(AND($Z99&lt;TODAY(),$Z99&lt;&gt;""),$AA99="")</formula>
    </cfRule>
  </conditionalFormatting>
  <conditionalFormatting sqref="M100">
    <cfRule type="expression" dxfId="1503" priority="83">
      <formula>"$G$G&gt;400"</formula>
    </cfRule>
  </conditionalFormatting>
  <conditionalFormatting sqref="M102">
    <cfRule type="expression" dxfId="1502" priority="82">
      <formula>"$G$G&gt;400"</formula>
    </cfRule>
  </conditionalFormatting>
  <conditionalFormatting sqref="M101">
    <cfRule type="expression" dxfId="1501" priority="81">
      <formula>"$G$G&gt;400"</formula>
    </cfRule>
  </conditionalFormatting>
  <conditionalFormatting sqref="M100">
    <cfRule type="expression" dxfId="1500" priority="80">
      <formula>"$G$G&gt;400"</formula>
    </cfRule>
  </conditionalFormatting>
  <conditionalFormatting sqref="M102">
    <cfRule type="expression" dxfId="1499" priority="79">
      <formula>"$G$G&gt;400"</formula>
    </cfRule>
  </conditionalFormatting>
  <conditionalFormatting sqref="M101">
    <cfRule type="expression" dxfId="1498" priority="78">
      <formula>"$G$G&gt;400"</formula>
    </cfRule>
  </conditionalFormatting>
  <conditionalFormatting sqref="M104">
    <cfRule type="expression" dxfId="1497" priority="77">
      <formula>"$G$G&gt;400"</formula>
    </cfRule>
  </conditionalFormatting>
  <conditionalFormatting sqref="M100">
    <cfRule type="expression" dxfId="1496" priority="76">
      <formula>"$G$G&gt;400"</formula>
    </cfRule>
  </conditionalFormatting>
  <conditionalFormatting sqref="M102">
    <cfRule type="expression" dxfId="1495" priority="75">
      <formula>"$G$G&gt;400"</formula>
    </cfRule>
  </conditionalFormatting>
  <conditionalFormatting sqref="M101">
    <cfRule type="expression" dxfId="1494" priority="74">
      <formula>"$G$G&gt;400"</formula>
    </cfRule>
  </conditionalFormatting>
  <conditionalFormatting sqref="M107">
    <cfRule type="expression" dxfId="1493" priority="73">
      <formula>"$G$G&gt;400"</formula>
    </cfRule>
  </conditionalFormatting>
  <conditionalFormatting sqref="M107">
    <cfRule type="expression" dxfId="1492" priority="72">
      <formula>"$G$G&gt;400"</formula>
    </cfRule>
  </conditionalFormatting>
  <conditionalFormatting sqref="M108">
    <cfRule type="expression" dxfId="1491" priority="71">
      <formula>"$G$G&gt;400"</formula>
    </cfRule>
  </conditionalFormatting>
  <conditionalFormatting sqref="M108">
    <cfRule type="expression" dxfId="1490" priority="70">
      <formula>"$G$G&gt;400"</formula>
    </cfRule>
  </conditionalFormatting>
  <conditionalFormatting sqref="M106">
    <cfRule type="expression" dxfId="1489" priority="69">
      <formula>"$G$G&gt;400"</formula>
    </cfRule>
  </conditionalFormatting>
  <conditionalFormatting sqref="M106">
    <cfRule type="expression" dxfId="1488" priority="68">
      <formula>"$G$G&gt;400"</formula>
    </cfRule>
  </conditionalFormatting>
  <conditionalFormatting sqref="M105">
    <cfRule type="expression" dxfId="1487" priority="67">
      <formula>"$G$G&gt;400"</formula>
    </cfRule>
  </conditionalFormatting>
  <conditionalFormatting sqref="M105">
    <cfRule type="expression" dxfId="1486" priority="66">
      <formula>"$G$G&gt;400"</formula>
    </cfRule>
  </conditionalFormatting>
  <conditionalFormatting sqref="M110">
    <cfRule type="expression" dxfId="1485" priority="64">
      <formula>"$G$G&gt;400"</formula>
    </cfRule>
  </conditionalFormatting>
  <conditionalFormatting sqref="M112">
    <cfRule type="expression" dxfId="1484" priority="63">
      <formula>"$G$G&gt;400"</formula>
    </cfRule>
  </conditionalFormatting>
  <conditionalFormatting sqref="M99">
    <cfRule type="expression" dxfId="1483" priority="62">
      <formula>"$G$G&gt;400"</formula>
    </cfRule>
  </conditionalFormatting>
  <conditionalFormatting sqref="V103:V108">
    <cfRule type="expression" dxfId="1482" priority="61">
      <formula>AND(AND($Z103&lt;TODAY(),$Z103&lt;&gt;""),$AA103="")</formula>
    </cfRule>
  </conditionalFormatting>
  <conditionalFormatting sqref="M111">
    <cfRule type="expression" dxfId="1481" priority="59">
      <formula>"$G$G&gt;400"</formula>
    </cfRule>
  </conditionalFormatting>
  <conditionalFormatting sqref="V115">
    <cfRule type="expression" dxfId="1480" priority="54">
      <formula>AND(AND($Z115&lt;TODAY(),$Z115&lt;&gt;""),$AA115="")</formula>
    </cfRule>
  </conditionalFormatting>
  <conditionalFormatting sqref="V114">
    <cfRule type="expression" dxfId="1479" priority="58">
      <formula>AND(AND($Z114&lt;TODAY(),$Z114&lt;&gt;""),$AA114="")</formula>
    </cfRule>
  </conditionalFormatting>
  <conditionalFormatting sqref="M114">
    <cfRule type="expression" dxfId="1478" priority="57">
      <formula>"$G$G&gt;400"</formula>
    </cfRule>
  </conditionalFormatting>
  <conditionalFormatting sqref="M115">
    <cfRule type="expression" dxfId="1477" priority="56">
      <formula>"$G$G&gt;400"</formula>
    </cfRule>
  </conditionalFormatting>
  <conditionalFormatting sqref="M115">
    <cfRule type="expression" dxfId="1476" priority="55">
      <formula>"$G$G&gt;400"</formula>
    </cfRule>
  </conditionalFormatting>
  <conditionalFormatting sqref="M1">
    <cfRule type="expression" dxfId="1475" priority="52">
      <formula>"$G$G&gt;400"</formula>
    </cfRule>
  </conditionalFormatting>
  <conditionalFormatting sqref="AB1">
    <cfRule type="iconSet" priority="51">
      <iconSet iconSet="3Symbols2">
        <cfvo type="percent" val="0"/>
        <cfvo type="percent" val="33"/>
        <cfvo type="percent" val="67"/>
      </iconSet>
    </cfRule>
  </conditionalFormatting>
  <conditionalFormatting sqref="Q127:Q131">
    <cfRule type="expression" dxfId="1474" priority="1150">
      <formula>AND(AND(#REF!&lt;TODAY(),#REF!&lt;&gt;""),#REF!="")</formula>
    </cfRule>
  </conditionalFormatting>
  <conditionalFormatting sqref="V116:V126">
    <cfRule type="expression" dxfId="1473" priority="1158">
      <formula>AND(AND($T116&lt;TODAY(),$T116&lt;&gt;""),#REF!="")</formula>
    </cfRule>
  </conditionalFormatting>
  <conditionalFormatting sqref="F1">
    <cfRule type="expression" dxfId="1472" priority="24">
      <formula>ISBLANK($D1)</formula>
    </cfRule>
  </conditionalFormatting>
  <conditionalFormatting sqref="M21">
    <cfRule type="expression" dxfId="1471" priority="23">
      <formula>"$G$G&gt;400"</formula>
    </cfRule>
  </conditionalFormatting>
  <conditionalFormatting sqref="V21">
    <cfRule type="expression" dxfId="1470" priority="22">
      <formula>AND(AND($Z21&lt;TODAY(),$Z21&lt;&gt;""),$AA21="")</formula>
    </cfRule>
  </conditionalFormatting>
  <conditionalFormatting sqref="M16">
    <cfRule type="expression" dxfId="1469" priority="21">
      <formula>"$G$G&gt;400"</formula>
    </cfRule>
  </conditionalFormatting>
  <conditionalFormatting sqref="V16">
    <cfRule type="expression" dxfId="1468" priority="20">
      <formula>AND(AND($Z16&lt;TODAY(),$Z16&lt;&gt;""),$AA16="")</formula>
    </cfRule>
  </conditionalFormatting>
  <conditionalFormatting sqref="M12">
    <cfRule type="expression" dxfId="1467" priority="19">
      <formula>"$G$G&gt;400"</formula>
    </cfRule>
  </conditionalFormatting>
  <conditionalFormatting sqref="V12">
    <cfRule type="expression" dxfId="1466" priority="18">
      <formula>AND(AND($Z12&lt;TODAY(),$Z12&lt;&gt;""),$AA12="")</formula>
    </cfRule>
  </conditionalFormatting>
  <conditionalFormatting sqref="M27">
    <cfRule type="expression" dxfId="1465" priority="17">
      <formula>"$G$G&gt;400"</formula>
    </cfRule>
  </conditionalFormatting>
  <conditionalFormatting sqref="V27">
    <cfRule type="expression" dxfId="1464" priority="16">
      <formula>AND(AND($Z27&lt;TODAY(),$Z27&lt;&gt;""),$AA27="")</formula>
    </cfRule>
  </conditionalFormatting>
  <conditionalFormatting sqref="V46">
    <cfRule type="expression" dxfId="1463" priority="14">
      <formula>AND(AND($Z46&lt;TODAY(),$Z46&lt;&gt;""),$AA46="")</formula>
    </cfRule>
  </conditionalFormatting>
  <conditionalFormatting sqref="V57">
    <cfRule type="expression" dxfId="1462" priority="12">
      <formula>AND(AND($Z57&lt;TODAY(),$Z57&lt;&gt;""),$AA57="")</formula>
    </cfRule>
  </conditionalFormatting>
  <conditionalFormatting sqref="V66">
    <cfRule type="expression" dxfId="1461" priority="10">
      <formula>AND(AND($Z66&lt;TODAY(),$Z66&lt;&gt;""),$AA66="")</formula>
    </cfRule>
  </conditionalFormatting>
  <conditionalFormatting sqref="V72">
    <cfRule type="expression" dxfId="1460" priority="8">
      <formula>AND(AND($Z72&lt;TODAY(),$Z72&lt;&gt;""),$AA72="")</formula>
    </cfRule>
  </conditionalFormatting>
  <conditionalFormatting sqref="V80">
    <cfRule type="expression" dxfId="1459" priority="6">
      <formula>AND(AND($Z80&lt;TODAY(),$Z80&lt;&gt;""),$AA80="")</formula>
    </cfRule>
  </conditionalFormatting>
  <conditionalFormatting sqref="V93">
    <cfRule type="expression" dxfId="1458" priority="4">
      <formula>AND(AND($Z93&lt;TODAY(),$Z93&lt;&gt;""),$AA93="")</formula>
    </cfRule>
  </conditionalFormatting>
  <conditionalFormatting sqref="V109">
    <cfRule type="expression" dxfId="1457" priority="2">
      <formula>AND(AND($Z109&lt;TODAY(),$Z109&lt;&gt;""),$AA109="")</formula>
    </cfRule>
  </conditionalFormatting>
  <conditionalFormatting sqref="M109 M93 M80 M72 M66 M57 M46">
    <cfRule type="expression" dxfId="1456" priority="1">
      <formula>"$G$G&gt;400"</formula>
    </cfRule>
  </conditionalFormatting>
  <dataValidations count="1">
    <dataValidation type="list" allowBlank="1" showInputMessage="1" showErrorMessage="1" sqref="J2:J115" xr:uid="{E0C657BA-63DF-48C5-817B-66737760EAA8}">
      <formula1>Spesenart</formula1>
    </dataValidation>
  </dataValidations>
  <pageMargins left="0.7" right="0.7" top="0.78740157499999996" bottom="0.78740157499999996" header="0.3" footer="0.3"/>
  <pageSetup paperSize="9" orientation="portrait"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03044-FFB7-4A3C-8D6A-B4C7F82117AF}">
  <sheetPr codeName="Tabelle12"/>
  <dimension ref="A1:O122"/>
  <sheetViews>
    <sheetView workbookViewId="0">
      <pane xSplit="1" ySplit="1" topLeftCell="B11" activePane="bottomRight" state="frozen"/>
      <selection pane="topRight" activeCell="B1" sqref="B1"/>
      <selection pane="bottomLeft" activeCell="A2" sqref="A2"/>
      <selection pane="bottomRight" sqref="A1:XFD1048576"/>
    </sheetView>
  </sheetViews>
  <sheetFormatPr baseColWidth="10" defaultRowHeight="15" x14ac:dyDescent="0.25"/>
  <cols>
    <col min="3" max="3" width="0" hidden="1" customWidth="1"/>
    <col min="7" max="8" width="0" hidden="1" customWidth="1"/>
    <col min="10" max="11" width="11.42578125" hidden="1" customWidth="1"/>
    <col min="13" max="13" width="11.42578125" customWidth="1"/>
    <col min="15" max="15" width="0" hidden="1" customWidth="1"/>
  </cols>
  <sheetData>
    <row r="1" spans="1:15" x14ac:dyDescent="0.25">
      <c r="A1" s="2" t="s">
        <v>231</v>
      </c>
      <c r="B1" s="2" t="s">
        <v>7</v>
      </c>
      <c r="C1" s="8" t="s">
        <v>0</v>
      </c>
      <c r="D1" s="2" t="s">
        <v>616</v>
      </c>
      <c r="E1" s="2" t="s">
        <v>706</v>
      </c>
      <c r="F1" s="15" t="s">
        <v>682</v>
      </c>
      <c r="G1" s="11" t="s">
        <v>219</v>
      </c>
      <c r="H1" s="52" t="s">
        <v>36</v>
      </c>
      <c r="I1" s="28" t="s">
        <v>218</v>
      </c>
      <c r="J1" s="26" t="s">
        <v>9</v>
      </c>
      <c r="K1" s="30" t="s">
        <v>25</v>
      </c>
      <c r="L1" t="s">
        <v>839</v>
      </c>
      <c r="M1" s="30" t="s">
        <v>216</v>
      </c>
      <c r="N1" s="32" t="s">
        <v>217</v>
      </c>
      <c r="O1" s="28" t="s">
        <v>419</v>
      </c>
    </row>
    <row r="2" spans="1:15" x14ac:dyDescent="0.25">
      <c r="A2">
        <v>183</v>
      </c>
      <c r="B2" s="1">
        <v>42744</v>
      </c>
      <c r="C2" s="9" t="s">
        <v>452</v>
      </c>
      <c r="D2" s="1" t="s">
        <v>782</v>
      </c>
      <c r="E2" s="1" t="s">
        <v>105</v>
      </c>
      <c r="F2" s="16"/>
      <c r="G2" s="36">
        <v>15</v>
      </c>
      <c r="H2" s="51">
        <v>1</v>
      </c>
      <c r="I2" s="29">
        <v>18</v>
      </c>
      <c r="J2" s="27">
        <v>20</v>
      </c>
      <c r="K2" s="31">
        <v>3</v>
      </c>
      <c r="L2" t="str">
        <f t="shared" ref="L2:L8" si="0">J2&amp;"%"</f>
        <v>20%</v>
      </c>
      <c r="M2" s="31">
        <v>3</v>
      </c>
      <c r="N2" s="33">
        <v>15</v>
      </c>
      <c r="O2" s="29">
        <v>18</v>
      </c>
    </row>
    <row r="3" spans="1:15" x14ac:dyDescent="0.25">
      <c r="A3">
        <v>184</v>
      </c>
      <c r="B3" s="1">
        <v>42738</v>
      </c>
      <c r="C3" s="9" t="s">
        <v>451</v>
      </c>
      <c r="D3" s="1" t="s">
        <v>783</v>
      </c>
      <c r="E3" s="1" t="s">
        <v>105</v>
      </c>
      <c r="F3" s="16"/>
      <c r="G3" s="36">
        <v>12.42</v>
      </c>
      <c r="H3" s="51">
        <v>1</v>
      </c>
      <c r="I3" s="29">
        <v>14.904</v>
      </c>
      <c r="J3" s="27">
        <v>20</v>
      </c>
      <c r="K3" s="31">
        <v>2.484</v>
      </c>
      <c r="L3" t="str">
        <f t="shared" si="0"/>
        <v>20%</v>
      </c>
      <c r="M3" s="31">
        <v>2.484</v>
      </c>
      <c r="N3" s="33">
        <v>12.42</v>
      </c>
      <c r="O3" s="29">
        <v>14.904</v>
      </c>
    </row>
    <row r="4" spans="1:15" x14ac:dyDescent="0.25">
      <c r="A4">
        <v>188</v>
      </c>
      <c r="B4" s="1">
        <v>42744</v>
      </c>
      <c r="C4" s="9" t="s">
        <v>463</v>
      </c>
      <c r="D4" s="1" t="s">
        <v>823</v>
      </c>
      <c r="E4" s="1" t="s">
        <v>105</v>
      </c>
      <c r="F4" s="16"/>
      <c r="G4" s="36">
        <v>801.77</v>
      </c>
      <c r="H4" s="51">
        <v>0.27320378419841473</v>
      </c>
      <c r="I4" s="29">
        <v>240.95125786243926</v>
      </c>
      <c r="J4" s="27">
        <v>10</v>
      </c>
      <c r="K4" s="31">
        <v>80.176999999999992</v>
      </c>
      <c r="L4" t="str">
        <f t="shared" si="0"/>
        <v>10%</v>
      </c>
      <c r="M4" s="31">
        <v>21.904659805676296</v>
      </c>
      <c r="N4" s="33">
        <v>219.04659805676297</v>
      </c>
      <c r="O4" s="29">
        <v>881.947</v>
      </c>
    </row>
    <row r="5" spans="1:15" x14ac:dyDescent="0.25">
      <c r="A5">
        <v>189</v>
      </c>
      <c r="B5" s="1">
        <v>42760</v>
      </c>
      <c r="C5" s="9" t="s">
        <v>463</v>
      </c>
      <c r="D5" s="1" t="s">
        <v>824</v>
      </c>
      <c r="E5" s="1" t="s">
        <v>105</v>
      </c>
      <c r="F5" s="16"/>
      <c r="G5" s="36">
        <v>801.77</v>
      </c>
      <c r="H5" s="51">
        <v>0.27320378419841473</v>
      </c>
      <c r="I5" s="29">
        <v>240.95125786243926</v>
      </c>
      <c r="J5" s="27">
        <v>10</v>
      </c>
      <c r="K5" s="31">
        <v>80.176999999999992</v>
      </c>
      <c r="L5" t="str">
        <f t="shared" si="0"/>
        <v>10%</v>
      </c>
      <c r="M5" s="31">
        <v>21.904659805676296</v>
      </c>
      <c r="N5" s="33">
        <v>219.04659805676297</v>
      </c>
      <c r="O5" s="29">
        <v>881.947</v>
      </c>
    </row>
    <row r="6" spans="1:15" x14ac:dyDescent="0.25">
      <c r="A6">
        <v>190</v>
      </c>
      <c r="B6" s="1">
        <v>42768</v>
      </c>
      <c r="C6" s="9" t="s">
        <v>466</v>
      </c>
      <c r="D6" s="1" t="s">
        <v>782</v>
      </c>
      <c r="E6" s="1" t="s">
        <v>105</v>
      </c>
      <c r="F6" s="16"/>
      <c r="G6" s="36">
        <v>15</v>
      </c>
      <c r="H6" s="51">
        <v>1</v>
      </c>
      <c r="I6" s="29">
        <v>18</v>
      </c>
      <c r="J6" s="27">
        <v>20</v>
      </c>
      <c r="K6" s="31">
        <v>3</v>
      </c>
      <c r="L6" t="str">
        <f t="shared" si="0"/>
        <v>20%</v>
      </c>
      <c r="M6" s="31">
        <v>3</v>
      </c>
      <c r="N6" s="33">
        <v>15</v>
      </c>
      <c r="O6" s="29">
        <v>18</v>
      </c>
    </row>
    <row r="7" spans="1:15" x14ac:dyDescent="0.25">
      <c r="A7">
        <v>191</v>
      </c>
      <c r="B7" s="1">
        <v>42768</v>
      </c>
      <c r="C7" s="9" t="s">
        <v>467</v>
      </c>
      <c r="D7" s="1" t="s">
        <v>784</v>
      </c>
      <c r="E7" s="1" t="s">
        <v>105</v>
      </c>
      <c r="F7" s="16"/>
      <c r="G7" s="36">
        <v>12.42</v>
      </c>
      <c r="H7" s="51">
        <v>1</v>
      </c>
      <c r="I7" s="29">
        <v>14.904</v>
      </c>
      <c r="J7" s="27">
        <v>20</v>
      </c>
      <c r="K7" s="31">
        <v>2.484</v>
      </c>
      <c r="L7" t="str">
        <f t="shared" si="0"/>
        <v>20%</v>
      </c>
      <c r="M7" s="31">
        <v>2.484</v>
      </c>
      <c r="N7" s="33">
        <v>12.42</v>
      </c>
      <c r="O7" s="29">
        <v>14.904</v>
      </c>
    </row>
    <row r="8" spans="1:15" x14ac:dyDescent="0.25">
      <c r="A8">
        <v>192</v>
      </c>
      <c r="B8" s="1">
        <v>42761</v>
      </c>
      <c r="C8" s="9" t="s">
        <v>468</v>
      </c>
      <c r="D8" s="1" t="s">
        <v>785</v>
      </c>
      <c r="E8" s="1" t="s">
        <v>105</v>
      </c>
      <c r="F8" s="16"/>
      <c r="G8" s="36">
        <v>12.42</v>
      </c>
      <c r="H8" s="51">
        <v>1</v>
      </c>
      <c r="I8" s="29">
        <v>14.904</v>
      </c>
      <c r="J8" s="27">
        <v>20</v>
      </c>
      <c r="K8" s="31">
        <v>2.484</v>
      </c>
      <c r="L8" t="str">
        <f t="shared" si="0"/>
        <v>20%</v>
      </c>
      <c r="M8" s="31">
        <v>2.484</v>
      </c>
      <c r="N8" s="33">
        <v>12.42</v>
      </c>
      <c r="O8" s="29">
        <v>14.904</v>
      </c>
    </row>
    <row r="9" spans="1:15" x14ac:dyDescent="0.25">
      <c r="A9">
        <v>193</v>
      </c>
      <c r="B9" s="1">
        <v>42745</v>
      </c>
      <c r="C9" s="9" t="s">
        <v>469</v>
      </c>
      <c r="D9" s="1" t="s">
        <v>786</v>
      </c>
      <c r="E9" s="1" t="s">
        <v>105</v>
      </c>
      <c r="F9" s="16"/>
      <c r="G9" s="36">
        <v>42.02</v>
      </c>
      <c r="H9" s="51">
        <v>1</v>
      </c>
      <c r="I9" s="29">
        <v>42.02</v>
      </c>
      <c r="J9" s="27">
        <v>0</v>
      </c>
      <c r="K9" s="31">
        <v>0</v>
      </c>
      <c r="L9" t="s">
        <v>840</v>
      </c>
      <c r="M9" s="31">
        <v>0</v>
      </c>
      <c r="N9" s="33">
        <v>42.02</v>
      </c>
      <c r="O9" s="29">
        <v>42.02</v>
      </c>
    </row>
    <row r="10" spans="1:15" x14ac:dyDescent="0.25">
      <c r="A10">
        <v>194</v>
      </c>
      <c r="B10" s="1">
        <v>42765</v>
      </c>
      <c r="C10" s="9"/>
      <c r="D10" s="1" t="s">
        <v>787</v>
      </c>
      <c r="E10" s="1" t="s">
        <v>105</v>
      </c>
      <c r="F10" s="16"/>
      <c r="G10" s="36">
        <v>331.82</v>
      </c>
      <c r="H10" s="51">
        <v>1</v>
      </c>
      <c r="I10" s="29">
        <v>365.00200000000001</v>
      </c>
      <c r="J10" s="27">
        <v>10</v>
      </c>
      <c r="K10" s="31">
        <v>33.181999999999995</v>
      </c>
      <c r="L10" t="str">
        <f t="shared" ref="L10:L41" si="1">J10&amp;"%"</f>
        <v>10%</v>
      </c>
      <c r="M10" s="31">
        <v>33.181999999999995</v>
      </c>
      <c r="N10" s="33">
        <v>331.82</v>
      </c>
      <c r="O10" s="29">
        <v>365.00200000000001</v>
      </c>
    </row>
    <row r="11" spans="1:15" x14ac:dyDescent="0.25">
      <c r="A11">
        <v>195</v>
      </c>
      <c r="B11" s="1">
        <v>42776</v>
      </c>
      <c r="C11" s="9" t="s">
        <v>470</v>
      </c>
      <c r="D11" s="1" t="s">
        <v>786</v>
      </c>
      <c r="E11" s="1" t="s">
        <v>105</v>
      </c>
      <c r="F11" s="16"/>
      <c r="G11" s="36">
        <v>42.02</v>
      </c>
      <c r="H11" s="51">
        <v>1</v>
      </c>
      <c r="I11" s="29">
        <v>42.02</v>
      </c>
      <c r="J11" s="27">
        <v>0</v>
      </c>
      <c r="K11" s="31">
        <v>0</v>
      </c>
      <c r="L11" t="str">
        <f t="shared" si="1"/>
        <v>0%</v>
      </c>
      <c r="M11" s="31">
        <v>0</v>
      </c>
      <c r="N11" s="33">
        <v>42.02</v>
      </c>
      <c r="O11" s="29">
        <v>42.02</v>
      </c>
    </row>
    <row r="12" spans="1:15" x14ac:dyDescent="0.25">
      <c r="A12">
        <v>197</v>
      </c>
      <c r="B12" s="1">
        <v>42800</v>
      </c>
      <c r="C12" s="9" t="s">
        <v>476</v>
      </c>
      <c r="D12" s="1" t="s">
        <v>782</v>
      </c>
      <c r="E12" s="1" t="s">
        <v>105</v>
      </c>
      <c r="F12" s="16"/>
      <c r="G12" s="36">
        <v>15</v>
      </c>
      <c r="H12" s="51">
        <v>1</v>
      </c>
      <c r="I12" s="29">
        <v>18</v>
      </c>
      <c r="J12" s="27">
        <v>20</v>
      </c>
      <c r="K12" s="31">
        <v>3</v>
      </c>
      <c r="L12" t="str">
        <f t="shared" si="1"/>
        <v>20%</v>
      </c>
      <c r="M12" s="31">
        <v>3</v>
      </c>
      <c r="N12" s="33">
        <v>15</v>
      </c>
      <c r="O12" s="29">
        <v>18</v>
      </c>
    </row>
    <row r="13" spans="1:15" x14ac:dyDescent="0.25">
      <c r="A13">
        <v>198</v>
      </c>
      <c r="B13" s="1">
        <v>42794</v>
      </c>
      <c r="C13" s="9" t="s">
        <v>480</v>
      </c>
      <c r="D13" s="1" t="s">
        <v>788</v>
      </c>
      <c r="E13" s="1" t="s">
        <v>105</v>
      </c>
      <c r="F13" s="16"/>
      <c r="G13" s="36">
        <v>24.87</v>
      </c>
      <c r="H13" s="51">
        <v>1</v>
      </c>
      <c r="I13" s="29">
        <v>29.85</v>
      </c>
      <c r="J13" s="27">
        <v>20</v>
      </c>
      <c r="K13" s="31">
        <v>4.9800000000000004</v>
      </c>
      <c r="L13" t="str">
        <f t="shared" si="1"/>
        <v>20%</v>
      </c>
      <c r="M13" s="31">
        <v>4.9800000000000004</v>
      </c>
      <c r="N13" s="33">
        <v>24.87</v>
      </c>
      <c r="O13" s="29">
        <v>29.85</v>
      </c>
    </row>
    <row r="14" spans="1:15" x14ac:dyDescent="0.25">
      <c r="A14">
        <v>199</v>
      </c>
      <c r="B14" s="1">
        <v>42795</v>
      </c>
      <c r="C14" s="9" t="s">
        <v>479</v>
      </c>
      <c r="D14" s="1" t="s">
        <v>789</v>
      </c>
      <c r="E14" s="1" t="s">
        <v>105</v>
      </c>
      <c r="F14" s="16"/>
      <c r="G14" s="36">
        <v>19.32</v>
      </c>
      <c r="H14" s="51">
        <v>1</v>
      </c>
      <c r="I14" s="29">
        <v>23.184000000000001</v>
      </c>
      <c r="J14" s="27">
        <v>20</v>
      </c>
      <c r="K14" s="31">
        <v>3.8639999999999999</v>
      </c>
      <c r="L14" t="str">
        <f t="shared" si="1"/>
        <v>20%</v>
      </c>
      <c r="M14" s="31">
        <v>3.8639999999999999</v>
      </c>
      <c r="N14" s="33">
        <v>19.32</v>
      </c>
      <c r="O14" s="29">
        <v>23.184000000000001</v>
      </c>
    </row>
    <row r="15" spans="1:15" x14ac:dyDescent="0.25">
      <c r="A15">
        <v>200</v>
      </c>
      <c r="B15" s="1">
        <v>42803</v>
      </c>
      <c r="C15" s="9" t="s">
        <v>477</v>
      </c>
      <c r="D15" s="1" t="s">
        <v>790</v>
      </c>
      <c r="E15" s="1" t="s">
        <v>105</v>
      </c>
      <c r="F15" s="16"/>
      <c r="G15" s="36">
        <v>67.959999999999994</v>
      </c>
      <c r="H15" s="51">
        <v>1</v>
      </c>
      <c r="I15" s="29">
        <v>81.551999999999992</v>
      </c>
      <c r="J15" s="27">
        <v>20</v>
      </c>
      <c r="K15" s="31">
        <v>13.591999999999999</v>
      </c>
      <c r="L15" t="str">
        <f t="shared" si="1"/>
        <v>20%</v>
      </c>
      <c r="M15" s="31">
        <v>13.591999999999999</v>
      </c>
      <c r="N15" s="33">
        <v>67.959999999999994</v>
      </c>
      <c r="O15" s="29">
        <v>81.551999999999992</v>
      </c>
    </row>
    <row r="16" spans="1:15" x14ac:dyDescent="0.25">
      <c r="A16">
        <v>201</v>
      </c>
      <c r="B16" s="1">
        <v>42803</v>
      </c>
      <c r="C16" s="9" t="s">
        <v>482</v>
      </c>
      <c r="D16" s="1" t="s">
        <v>791</v>
      </c>
      <c r="E16" s="1" t="s">
        <v>105</v>
      </c>
      <c r="F16" s="16"/>
      <c r="G16" s="36">
        <v>332.5</v>
      </c>
      <c r="H16" s="51">
        <v>1</v>
      </c>
      <c r="I16" s="29">
        <v>332.5</v>
      </c>
      <c r="J16" s="27">
        <v>0</v>
      </c>
      <c r="K16" s="31">
        <v>0</v>
      </c>
      <c r="L16" t="str">
        <f t="shared" si="1"/>
        <v>0%</v>
      </c>
      <c r="M16" s="31">
        <v>0</v>
      </c>
      <c r="N16" s="33">
        <v>332.5</v>
      </c>
      <c r="O16" s="29">
        <v>332.5</v>
      </c>
    </row>
    <row r="17" spans="1:15" x14ac:dyDescent="0.25">
      <c r="A17">
        <v>202</v>
      </c>
      <c r="B17" s="1">
        <v>42825</v>
      </c>
      <c r="C17" s="9" t="s">
        <v>486</v>
      </c>
      <c r="D17" s="1" t="s">
        <v>782</v>
      </c>
      <c r="E17" s="1" t="s">
        <v>105</v>
      </c>
      <c r="F17" s="16"/>
      <c r="G17" s="36">
        <v>15</v>
      </c>
      <c r="H17" s="51">
        <v>1</v>
      </c>
      <c r="I17" s="29">
        <v>18</v>
      </c>
      <c r="J17" s="27">
        <v>20</v>
      </c>
      <c r="K17" s="31">
        <v>3</v>
      </c>
      <c r="L17" t="str">
        <f t="shared" si="1"/>
        <v>20%</v>
      </c>
      <c r="M17" s="31">
        <v>3</v>
      </c>
      <c r="N17" s="33">
        <v>15</v>
      </c>
      <c r="O17" s="29">
        <v>18</v>
      </c>
    </row>
    <row r="18" spans="1:15" x14ac:dyDescent="0.25">
      <c r="A18">
        <v>203</v>
      </c>
      <c r="B18" s="1">
        <v>42860</v>
      </c>
      <c r="C18" s="9" t="s">
        <v>485</v>
      </c>
      <c r="D18" s="1" t="s">
        <v>782</v>
      </c>
      <c r="E18" s="1" t="s">
        <v>105</v>
      </c>
      <c r="F18" s="16"/>
      <c r="G18" s="36">
        <v>16.03</v>
      </c>
      <c r="H18" s="51">
        <v>1</v>
      </c>
      <c r="I18" s="29">
        <v>19.236000000000001</v>
      </c>
      <c r="J18" s="27">
        <v>20</v>
      </c>
      <c r="K18" s="31">
        <v>3.2060000000000004</v>
      </c>
      <c r="L18" t="str">
        <f t="shared" si="1"/>
        <v>20%</v>
      </c>
      <c r="M18" s="31">
        <v>3.2060000000000004</v>
      </c>
      <c r="N18" s="33">
        <v>16.03</v>
      </c>
      <c r="O18" s="29">
        <v>19.236000000000001</v>
      </c>
    </row>
    <row r="19" spans="1:15" x14ac:dyDescent="0.25">
      <c r="A19">
        <v>204</v>
      </c>
      <c r="B19" s="1">
        <v>42892</v>
      </c>
      <c r="C19" s="9" t="s">
        <v>487</v>
      </c>
      <c r="D19" s="1" t="s">
        <v>792</v>
      </c>
      <c r="E19" s="1" t="s">
        <v>105</v>
      </c>
      <c r="F19" s="16"/>
      <c r="G19" s="36">
        <v>65</v>
      </c>
      <c r="H19" s="51">
        <v>1</v>
      </c>
      <c r="I19" s="29">
        <v>65</v>
      </c>
      <c r="J19" s="27">
        <v>0</v>
      </c>
      <c r="K19" s="31">
        <v>0</v>
      </c>
      <c r="L19" t="str">
        <f t="shared" si="1"/>
        <v>0%</v>
      </c>
      <c r="M19" s="31">
        <v>0</v>
      </c>
      <c r="N19" s="33">
        <v>65</v>
      </c>
      <c r="O19" s="29">
        <v>65</v>
      </c>
    </row>
    <row r="20" spans="1:15" x14ac:dyDescent="0.25">
      <c r="A20">
        <v>205</v>
      </c>
      <c r="B20" s="1">
        <v>42906</v>
      </c>
      <c r="C20" s="9" t="s">
        <v>489</v>
      </c>
      <c r="D20" s="1" t="s">
        <v>793</v>
      </c>
      <c r="E20" s="1" t="s">
        <v>105</v>
      </c>
      <c r="F20" s="16"/>
      <c r="G20" s="36">
        <v>33.54</v>
      </c>
      <c r="H20" s="51">
        <v>1</v>
      </c>
      <c r="I20" s="29">
        <v>40.247999999999998</v>
      </c>
      <c r="J20" s="27">
        <v>20</v>
      </c>
      <c r="K20" s="31">
        <v>6.7079999999999993</v>
      </c>
      <c r="L20" t="str">
        <f t="shared" si="1"/>
        <v>20%</v>
      </c>
      <c r="M20" s="31">
        <v>6.7079999999999993</v>
      </c>
      <c r="N20" s="33">
        <v>33.54</v>
      </c>
      <c r="O20" s="29">
        <v>40.247999999999998</v>
      </c>
    </row>
    <row r="21" spans="1:15" x14ac:dyDescent="0.25">
      <c r="A21">
        <v>206</v>
      </c>
      <c r="B21" s="1">
        <v>42907</v>
      </c>
      <c r="C21" s="9" t="s">
        <v>491</v>
      </c>
      <c r="D21" s="1" t="s">
        <v>794</v>
      </c>
      <c r="E21" s="1" t="s">
        <v>105</v>
      </c>
      <c r="F21" s="16"/>
      <c r="G21" s="36">
        <v>57.5</v>
      </c>
      <c r="H21" s="51">
        <v>1</v>
      </c>
      <c r="I21" s="29">
        <v>69</v>
      </c>
      <c r="J21" s="27">
        <v>20</v>
      </c>
      <c r="K21" s="31">
        <v>11.5</v>
      </c>
      <c r="L21" t="str">
        <f t="shared" si="1"/>
        <v>20%</v>
      </c>
      <c r="M21" s="31">
        <v>11.5</v>
      </c>
      <c r="N21" s="33">
        <v>57.5</v>
      </c>
      <c r="O21" s="29">
        <v>69</v>
      </c>
    </row>
    <row r="22" spans="1:15" x14ac:dyDescent="0.25">
      <c r="A22">
        <v>207</v>
      </c>
      <c r="B22" s="1">
        <v>42888</v>
      </c>
      <c r="C22" s="9" t="s">
        <v>493</v>
      </c>
      <c r="D22" s="1" t="s">
        <v>782</v>
      </c>
      <c r="E22" s="1" t="s">
        <v>105</v>
      </c>
      <c r="F22" s="16"/>
      <c r="G22" s="36">
        <v>15</v>
      </c>
      <c r="H22" s="51">
        <v>1</v>
      </c>
      <c r="I22" s="29">
        <v>18</v>
      </c>
      <c r="J22" s="27">
        <v>20</v>
      </c>
      <c r="K22" s="31">
        <v>3</v>
      </c>
      <c r="L22" t="str">
        <f t="shared" si="1"/>
        <v>20%</v>
      </c>
      <c r="M22" s="31">
        <v>3</v>
      </c>
      <c r="N22" s="33">
        <v>15</v>
      </c>
      <c r="O22" s="29">
        <v>18</v>
      </c>
    </row>
    <row r="23" spans="1:15" x14ac:dyDescent="0.25">
      <c r="A23">
        <v>208</v>
      </c>
      <c r="B23" s="1">
        <v>42793</v>
      </c>
      <c r="C23" s="9" t="s">
        <v>463</v>
      </c>
      <c r="D23" s="1" t="s">
        <v>825</v>
      </c>
      <c r="E23" s="1" t="s">
        <v>105</v>
      </c>
      <c r="F23" s="16"/>
      <c r="G23" s="36">
        <v>801.77</v>
      </c>
      <c r="H23" s="51">
        <v>0.27320378419841473</v>
      </c>
      <c r="I23" s="29">
        <v>240.95125786243926</v>
      </c>
      <c r="J23" s="27">
        <v>10</v>
      </c>
      <c r="K23" s="31">
        <v>80.176999999999992</v>
      </c>
      <c r="L23" t="str">
        <f t="shared" si="1"/>
        <v>10%</v>
      </c>
      <c r="M23" s="31">
        <v>21.904659805676296</v>
      </c>
      <c r="N23" s="33">
        <v>219.04659805676297</v>
      </c>
      <c r="O23" s="29">
        <v>881.947</v>
      </c>
    </row>
    <row r="24" spans="1:15" x14ac:dyDescent="0.25">
      <c r="A24">
        <v>209</v>
      </c>
      <c r="B24" s="1">
        <v>42821</v>
      </c>
      <c r="C24" s="9" t="s">
        <v>463</v>
      </c>
      <c r="D24" s="1" t="s">
        <v>826</v>
      </c>
      <c r="E24" s="1" t="s">
        <v>105</v>
      </c>
      <c r="F24" s="16"/>
      <c r="G24" s="36">
        <v>801.77</v>
      </c>
      <c r="H24" s="51">
        <v>0.27320378419841473</v>
      </c>
      <c r="I24" s="29">
        <v>240.95125786243926</v>
      </c>
      <c r="J24" s="27">
        <v>10</v>
      </c>
      <c r="K24" s="31">
        <v>80.176999999999992</v>
      </c>
      <c r="L24" t="str">
        <f t="shared" si="1"/>
        <v>10%</v>
      </c>
      <c r="M24" s="31">
        <v>21.904659805676296</v>
      </c>
      <c r="N24" s="33">
        <v>219.04659805676297</v>
      </c>
      <c r="O24" s="29">
        <v>881.947</v>
      </c>
    </row>
    <row r="25" spans="1:15" x14ac:dyDescent="0.25">
      <c r="A25">
        <v>210</v>
      </c>
      <c r="B25" s="1">
        <v>42850</v>
      </c>
      <c r="C25" s="9" t="s">
        <v>463</v>
      </c>
      <c r="D25" s="1" t="s">
        <v>827</v>
      </c>
      <c r="E25" s="1" t="s">
        <v>105</v>
      </c>
      <c r="F25" s="16"/>
      <c r="G25" s="36">
        <v>801.77</v>
      </c>
      <c r="H25" s="51">
        <v>0.27320378419841473</v>
      </c>
      <c r="I25" s="29">
        <v>240.95125786243926</v>
      </c>
      <c r="J25" s="27">
        <v>10</v>
      </c>
      <c r="K25" s="31">
        <v>80.176999999999992</v>
      </c>
      <c r="L25" t="str">
        <f t="shared" si="1"/>
        <v>10%</v>
      </c>
      <c r="M25" s="31">
        <v>21.904659805676296</v>
      </c>
      <c r="N25" s="33">
        <v>219.04659805676297</v>
      </c>
      <c r="O25" s="29">
        <v>881.947</v>
      </c>
    </row>
    <row r="26" spans="1:15" x14ac:dyDescent="0.25">
      <c r="A26">
        <v>211</v>
      </c>
      <c r="B26" s="1">
        <v>42881</v>
      </c>
      <c r="C26" s="9" t="s">
        <v>463</v>
      </c>
      <c r="D26" s="1" t="s">
        <v>828</v>
      </c>
      <c r="E26" s="1" t="s">
        <v>105</v>
      </c>
      <c r="F26" s="16"/>
      <c r="G26" s="36">
        <v>801.77</v>
      </c>
      <c r="H26" s="51">
        <v>0.27320378419841473</v>
      </c>
      <c r="I26" s="29">
        <v>240.95125786243926</v>
      </c>
      <c r="J26" s="27">
        <v>10</v>
      </c>
      <c r="K26" s="31">
        <v>80.176999999999992</v>
      </c>
      <c r="L26" t="str">
        <f t="shared" si="1"/>
        <v>10%</v>
      </c>
      <c r="M26" s="31">
        <v>21.904659805676296</v>
      </c>
      <c r="N26" s="33">
        <v>219.04659805676297</v>
      </c>
      <c r="O26" s="29">
        <v>881.947</v>
      </c>
    </row>
    <row r="27" spans="1:15" x14ac:dyDescent="0.25">
      <c r="A27">
        <v>214</v>
      </c>
      <c r="B27" s="1">
        <v>42751</v>
      </c>
      <c r="C27" s="9" t="s">
        <v>503</v>
      </c>
      <c r="D27" s="1" t="s">
        <v>836</v>
      </c>
      <c r="E27" s="1" t="s">
        <v>105</v>
      </c>
      <c r="F27" s="16"/>
      <c r="G27" s="36">
        <v>142.5</v>
      </c>
      <c r="H27" s="51">
        <v>0.27320378419841473</v>
      </c>
      <c r="I27" s="29">
        <v>46.717847097928917</v>
      </c>
      <c r="J27" s="27">
        <v>20</v>
      </c>
      <c r="K27" s="31">
        <v>28.5</v>
      </c>
      <c r="L27" t="str">
        <f t="shared" si="1"/>
        <v>20%</v>
      </c>
      <c r="M27" s="31">
        <v>7.7863078496548201</v>
      </c>
      <c r="N27" s="33">
        <v>38.931539248274099</v>
      </c>
      <c r="O27" s="29">
        <v>171</v>
      </c>
    </row>
    <row r="28" spans="1:15" x14ac:dyDescent="0.25">
      <c r="A28">
        <v>215</v>
      </c>
      <c r="B28" s="1">
        <v>42843</v>
      </c>
      <c r="C28" s="9" t="s">
        <v>504</v>
      </c>
      <c r="D28" s="1" t="s">
        <v>836</v>
      </c>
      <c r="E28" s="1" t="s">
        <v>105</v>
      </c>
      <c r="F28" s="16"/>
      <c r="G28" s="36">
        <v>142.5</v>
      </c>
      <c r="H28" s="51">
        <v>0.27320378419841473</v>
      </c>
      <c r="I28" s="29">
        <v>46.717847097928917</v>
      </c>
      <c r="J28" s="27">
        <v>20</v>
      </c>
      <c r="K28" s="31">
        <v>28.5</v>
      </c>
      <c r="L28" t="str">
        <f t="shared" si="1"/>
        <v>20%</v>
      </c>
      <c r="M28" s="31">
        <v>7.7863078496548201</v>
      </c>
      <c r="N28" s="33">
        <v>38.931539248274099</v>
      </c>
      <c r="O28" s="29">
        <v>171</v>
      </c>
    </row>
    <row r="29" spans="1:15" x14ac:dyDescent="0.25">
      <c r="A29">
        <v>219</v>
      </c>
      <c r="B29" s="1">
        <v>42751</v>
      </c>
      <c r="C29" s="9" t="s">
        <v>508</v>
      </c>
      <c r="D29" s="1" t="s">
        <v>835</v>
      </c>
      <c r="E29" s="1" t="s">
        <v>105</v>
      </c>
      <c r="F29" s="16"/>
      <c r="G29" s="36">
        <v>80</v>
      </c>
      <c r="H29" s="51">
        <v>0.27320378419841473</v>
      </c>
      <c r="I29" s="29">
        <v>26.227563283047814</v>
      </c>
      <c r="J29" s="27">
        <v>20</v>
      </c>
      <c r="K29" s="31">
        <v>16</v>
      </c>
      <c r="L29" t="str">
        <f t="shared" si="1"/>
        <v>20%</v>
      </c>
      <c r="M29" s="31">
        <v>4.3712605471746357</v>
      </c>
      <c r="N29" s="33">
        <v>21.856302735873179</v>
      </c>
      <c r="O29" s="29">
        <v>96</v>
      </c>
    </row>
    <row r="30" spans="1:15" x14ac:dyDescent="0.25">
      <c r="A30">
        <v>220</v>
      </c>
      <c r="B30" s="1">
        <v>42781</v>
      </c>
      <c r="C30" s="9" t="s">
        <v>509</v>
      </c>
      <c r="D30" s="1" t="s">
        <v>835</v>
      </c>
      <c r="E30" s="1" t="s">
        <v>105</v>
      </c>
      <c r="F30" s="16"/>
      <c r="G30" s="36">
        <v>80</v>
      </c>
      <c r="H30" s="51">
        <v>0.27320378419841473</v>
      </c>
      <c r="I30" s="29">
        <v>26.227563283047814</v>
      </c>
      <c r="J30" s="27">
        <v>20</v>
      </c>
      <c r="K30" s="31">
        <v>16</v>
      </c>
      <c r="L30" t="str">
        <f t="shared" si="1"/>
        <v>20%</v>
      </c>
      <c r="M30" s="31">
        <v>4.3712605471746357</v>
      </c>
      <c r="N30" s="33">
        <v>21.856302735873179</v>
      </c>
      <c r="O30" s="29">
        <v>96</v>
      </c>
    </row>
    <row r="31" spans="1:15" x14ac:dyDescent="0.25">
      <c r="A31">
        <v>221</v>
      </c>
      <c r="B31" s="1">
        <v>42809</v>
      </c>
      <c r="C31" s="9" t="s">
        <v>510</v>
      </c>
      <c r="D31" s="1" t="s">
        <v>835</v>
      </c>
      <c r="E31" s="1" t="s">
        <v>105</v>
      </c>
      <c r="F31" s="16"/>
      <c r="G31" s="36">
        <v>80</v>
      </c>
      <c r="H31" s="51">
        <v>0.27320378419841473</v>
      </c>
      <c r="I31" s="29">
        <v>26.227563283047814</v>
      </c>
      <c r="J31" s="27">
        <v>20</v>
      </c>
      <c r="K31" s="31">
        <v>16</v>
      </c>
      <c r="L31" t="str">
        <f t="shared" si="1"/>
        <v>20%</v>
      </c>
      <c r="M31" s="31">
        <v>4.3712605471746357</v>
      </c>
      <c r="N31" s="33">
        <v>21.856302735873179</v>
      </c>
      <c r="O31" s="29">
        <v>96</v>
      </c>
    </row>
    <row r="32" spans="1:15" x14ac:dyDescent="0.25">
      <c r="A32">
        <v>222</v>
      </c>
      <c r="B32" s="1">
        <v>42843</v>
      </c>
      <c r="C32" s="9" t="s">
        <v>511</v>
      </c>
      <c r="D32" s="1" t="s">
        <v>835</v>
      </c>
      <c r="E32" s="1" t="s">
        <v>105</v>
      </c>
      <c r="F32" s="16"/>
      <c r="G32" s="36">
        <v>80</v>
      </c>
      <c r="H32" s="51">
        <v>0.27320378419841473</v>
      </c>
      <c r="I32" s="29">
        <v>26.227563283047814</v>
      </c>
      <c r="J32" s="27">
        <v>20</v>
      </c>
      <c r="K32" s="31">
        <v>16</v>
      </c>
      <c r="L32" t="str">
        <f t="shared" si="1"/>
        <v>20%</v>
      </c>
      <c r="M32" s="31">
        <v>4.3712605471746357</v>
      </c>
      <c r="N32" s="33">
        <v>21.856302735873179</v>
      </c>
      <c r="O32" s="29">
        <v>96</v>
      </c>
    </row>
    <row r="33" spans="1:15" x14ac:dyDescent="0.25">
      <c r="A33">
        <v>223</v>
      </c>
      <c r="B33" s="1">
        <v>42870</v>
      </c>
      <c r="C33" s="9" t="s">
        <v>512</v>
      </c>
      <c r="D33" s="1" t="s">
        <v>835</v>
      </c>
      <c r="E33" s="1" t="s">
        <v>105</v>
      </c>
      <c r="F33" s="16"/>
      <c r="G33" s="36">
        <v>80</v>
      </c>
      <c r="H33" s="51">
        <v>0.27320378419841473</v>
      </c>
      <c r="I33" s="29">
        <v>26.227563283047814</v>
      </c>
      <c r="J33" s="27">
        <v>20</v>
      </c>
      <c r="K33" s="31">
        <v>16</v>
      </c>
      <c r="L33" t="str">
        <f t="shared" si="1"/>
        <v>20%</v>
      </c>
      <c r="M33" s="31">
        <v>4.3712605471746357</v>
      </c>
      <c r="N33" s="33">
        <v>21.856302735873179</v>
      </c>
      <c r="O33" s="29">
        <v>96</v>
      </c>
    </row>
    <row r="34" spans="1:15" x14ac:dyDescent="0.25">
      <c r="A34">
        <v>224</v>
      </c>
      <c r="B34" s="1">
        <v>42902</v>
      </c>
      <c r="C34" s="9" t="s">
        <v>513</v>
      </c>
      <c r="D34" s="1" t="s">
        <v>835</v>
      </c>
      <c r="E34" s="1" t="s">
        <v>105</v>
      </c>
      <c r="F34" s="16"/>
      <c r="G34" s="36">
        <v>80</v>
      </c>
      <c r="H34" s="51">
        <v>0.27320378419841473</v>
      </c>
      <c r="I34" s="29">
        <v>26.227563283047814</v>
      </c>
      <c r="J34" s="27">
        <v>20</v>
      </c>
      <c r="K34" s="31">
        <v>16</v>
      </c>
      <c r="L34" t="str">
        <f t="shared" si="1"/>
        <v>20%</v>
      </c>
      <c r="M34" s="31">
        <v>4.3712605471746357</v>
      </c>
      <c r="N34" s="33">
        <v>21.856302735873179</v>
      </c>
      <c r="O34" s="29">
        <v>96</v>
      </c>
    </row>
    <row r="35" spans="1:15" x14ac:dyDescent="0.25">
      <c r="A35">
        <v>225</v>
      </c>
      <c r="B35" s="1">
        <v>42919</v>
      </c>
      <c r="C35" s="9" t="s">
        <v>514</v>
      </c>
      <c r="D35" s="1" t="s">
        <v>782</v>
      </c>
      <c r="E35" s="1" t="s">
        <v>105</v>
      </c>
      <c r="F35" s="16"/>
      <c r="G35" s="36">
        <v>15</v>
      </c>
      <c r="H35" s="51">
        <v>1</v>
      </c>
      <c r="I35" s="29">
        <v>18</v>
      </c>
      <c r="J35" s="27">
        <v>20</v>
      </c>
      <c r="K35" s="31">
        <v>3</v>
      </c>
      <c r="L35" t="str">
        <f t="shared" si="1"/>
        <v>20%</v>
      </c>
      <c r="M35" s="31">
        <v>3</v>
      </c>
      <c r="N35" s="33">
        <v>15</v>
      </c>
      <c r="O35" s="29">
        <v>18</v>
      </c>
    </row>
    <row r="36" spans="1:15" x14ac:dyDescent="0.25">
      <c r="A36">
        <v>226</v>
      </c>
      <c r="B36" s="1">
        <v>42912</v>
      </c>
      <c r="C36" s="9" t="s">
        <v>463</v>
      </c>
      <c r="D36" s="1" t="s">
        <v>829</v>
      </c>
      <c r="E36" s="1" t="s">
        <v>105</v>
      </c>
      <c r="F36" s="16"/>
      <c r="G36" s="36">
        <v>801.77</v>
      </c>
      <c r="H36" s="51">
        <v>0.27320378419841473</v>
      </c>
      <c r="I36" s="29">
        <v>240.95125786243926</v>
      </c>
      <c r="J36" s="27">
        <v>10</v>
      </c>
      <c r="K36" s="31">
        <v>80.176999999999992</v>
      </c>
      <c r="L36" t="str">
        <f t="shared" si="1"/>
        <v>10%</v>
      </c>
      <c r="M36" s="31">
        <v>21.904659805676296</v>
      </c>
      <c r="N36" s="33">
        <v>219.04659805676297</v>
      </c>
      <c r="O36" s="29">
        <v>881.947</v>
      </c>
    </row>
    <row r="37" spans="1:15" x14ac:dyDescent="0.25">
      <c r="A37">
        <v>227</v>
      </c>
      <c r="B37" s="1">
        <v>42933</v>
      </c>
      <c r="C37" s="39" t="s">
        <v>519</v>
      </c>
      <c r="D37" s="1" t="s">
        <v>836</v>
      </c>
      <c r="E37" s="1" t="s">
        <v>105</v>
      </c>
      <c r="F37" s="16"/>
      <c r="G37" s="36">
        <v>142.5</v>
      </c>
      <c r="H37" s="51">
        <v>0.27320378419841473</v>
      </c>
      <c r="I37" s="29">
        <v>46.717847097928917</v>
      </c>
      <c r="J37" s="27">
        <v>20</v>
      </c>
      <c r="K37" s="31">
        <v>28.5</v>
      </c>
      <c r="L37" t="str">
        <f t="shared" si="1"/>
        <v>20%</v>
      </c>
      <c r="M37" s="31">
        <v>7.7863078496548201</v>
      </c>
      <c r="N37" s="33">
        <v>38.931539248274099</v>
      </c>
      <c r="O37" s="29">
        <v>171</v>
      </c>
    </row>
    <row r="38" spans="1:15" x14ac:dyDescent="0.25">
      <c r="A38">
        <v>228</v>
      </c>
      <c r="B38" s="1">
        <v>42933</v>
      </c>
      <c r="C38" s="39" t="s">
        <v>520</v>
      </c>
      <c r="D38" s="1" t="s">
        <v>835</v>
      </c>
      <c r="E38" s="1" t="s">
        <v>105</v>
      </c>
      <c r="F38" s="16"/>
      <c r="G38" s="36">
        <v>80</v>
      </c>
      <c r="H38" s="51">
        <v>0.27320378419841473</v>
      </c>
      <c r="I38" s="29">
        <v>26.227563283047814</v>
      </c>
      <c r="J38" s="27">
        <v>20</v>
      </c>
      <c r="K38" s="31">
        <v>16</v>
      </c>
      <c r="L38" t="str">
        <f t="shared" si="1"/>
        <v>20%</v>
      </c>
      <c r="M38" s="31">
        <v>4.3712605471746357</v>
      </c>
      <c r="N38" s="33">
        <v>21.856302735873179</v>
      </c>
      <c r="O38" s="29">
        <v>96</v>
      </c>
    </row>
    <row r="39" spans="1:15" x14ac:dyDescent="0.25">
      <c r="A39">
        <v>229</v>
      </c>
      <c r="B39" s="1">
        <v>42937</v>
      </c>
      <c r="C39" s="9" t="s">
        <v>463</v>
      </c>
      <c r="D39" s="1" t="s">
        <v>832</v>
      </c>
      <c r="E39" s="1" t="s">
        <v>105</v>
      </c>
      <c r="F39" s="16"/>
      <c r="G39" s="36">
        <v>-333.55</v>
      </c>
      <c r="H39" s="51">
        <v>0.27320378419841473</v>
      </c>
      <c r="I39" s="29">
        <v>-100.23983444131936</v>
      </c>
      <c r="J39" s="27">
        <v>10</v>
      </c>
      <c r="K39" s="31">
        <v>-33.354999999999997</v>
      </c>
      <c r="L39" t="str">
        <f t="shared" si="1"/>
        <v>10%</v>
      </c>
      <c r="M39" s="31">
        <v>-9.1127122219381231</v>
      </c>
      <c r="N39" s="33">
        <v>-91.127122219381235</v>
      </c>
      <c r="O39" s="29">
        <v>-366.90500000000003</v>
      </c>
    </row>
    <row r="40" spans="1:15" x14ac:dyDescent="0.25">
      <c r="A40">
        <v>230</v>
      </c>
      <c r="B40" s="1">
        <v>42941</v>
      </c>
      <c r="C40" s="9" t="s">
        <v>463</v>
      </c>
      <c r="D40" s="1" t="s">
        <v>830</v>
      </c>
      <c r="E40" s="1" t="s">
        <v>105</v>
      </c>
      <c r="F40" s="16"/>
      <c r="G40" s="36">
        <v>801.77</v>
      </c>
      <c r="H40" s="51">
        <v>0.27320378419841473</v>
      </c>
      <c r="I40" s="29">
        <v>240.95125786243926</v>
      </c>
      <c r="J40" s="27">
        <v>10</v>
      </c>
      <c r="K40" s="31">
        <v>80.176999999999992</v>
      </c>
      <c r="L40" t="str">
        <f t="shared" si="1"/>
        <v>10%</v>
      </c>
      <c r="M40" s="31">
        <v>21.904659805676296</v>
      </c>
      <c r="N40" s="33">
        <v>219.04659805676297</v>
      </c>
      <c r="O40" s="29">
        <v>881.947</v>
      </c>
    </row>
    <row r="41" spans="1:15" x14ac:dyDescent="0.25">
      <c r="A41">
        <v>231</v>
      </c>
      <c r="B41" s="1">
        <v>42949</v>
      </c>
      <c r="C41" s="9" t="s">
        <v>522</v>
      </c>
      <c r="D41" s="1" t="s">
        <v>782</v>
      </c>
      <c r="E41" s="1" t="s">
        <v>105</v>
      </c>
      <c r="F41" s="16"/>
      <c r="G41" s="36">
        <v>15</v>
      </c>
      <c r="H41" s="51">
        <v>1</v>
      </c>
      <c r="I41" s="29">
        <v>18</v>
      </c>
      <c r="J41" s="27">
        <v>20</v>
      </c>
      <c r="K41" s="31">
        <v>3</v>
      </c>
      <c r="L41" t="str">
        <f t="shared" si="1"/>
        <v>20%</v>
      </c>
      <c r="M41" s="31">
        <v>3</v>
      </c>
      <c r="N41" s="33">
        <v>15</v>
      </c>
      <c r="O41" s="29">
        <v>18</v>
      </c>
    </row>
    <row r="42" spans="1:15" x14ac:dyDescent="0.25">
      <c r="A42">
        <v>232</v>
      </c>
      <c r="B42" s="1">
        <v>42963</v>
      </c>
      <c r="C42" s="39" t="s">
        <v>521</v>
      </c>
      <c r="D42" s="1" t="s">
        <v>795</v>
      </c>
      <c r="E42" s="1" t="s">
        <v>105</v>
      </c>
      <c r="F42" s="16"/>
      <c r="G42" s="36">
        <v>80</v>
      </c>
      <c r="H42" s="51">
        <v>0.27320378419841473</v>
      </c>
      <c r="I42" s="29">
        <v>26.227563283047814</v>
      </c>
      <c r="J42" s="27">
        <v>20</v>
      </c>
      <c r="K42" s="31">
        <v>16</v>
      </c>
      <c r="L42" t="str">
        <f t="shared" ref="L42:L76" si="2">J42&amp;"%"</f>
        <v>20%</v>
      </c>
      <c r="M42" s="31">
        <v>4.3712605471746357</v>
      </c>
      <c r="N42" s="33">
        <v>21.856302735873179</v>
      </c>
      <c r="O42" s="29">
        <v>96</v>
      </c>
    </row>
    <row r="43" spans="1:15" x14ac:dyDescent="0.25">
      <c r="A43">
        <v>233</v>
      </c>
      <c r="B43" s="1">
        <v>42972</v>
      </c>
      <c r="C43" s="9" t="s">
        <v>463</v>
      </c>
      <c r="D43" s="1" t="s">
        <v>831</v>
      </c>
      <c r="E43" s="1" t="s">
        <v>105</v>
      </c>
      <c r="F43" s="16"/>
      <c r="G43" s="36">
        <v>801.77</v>
      </c>
      <c r="H43" s="51">
        <v>0.27320378419841473</v>
      </c>
      <c r="I43" s="29">
        <v>240.95125786243926</v>
      </c>
      <c r="J43" s="27">
        <v>10</v>
      </c>
      <c r="K43" s="31">
        <v>80.176999999999992</v>
      </c>
      <c r="L43" t="str">
        <f t="shared" si="2"/>
        <v>10%</v>
      </c>
      <c r="M43" s="31">
        <v>21.904659805676296</v>
      </c>
      <c r="N43" s="33">
        <v>219.04659805676297</v>
      </c>
      <c r="O43" s="29">
        <v>881.947</v>
      </c>
    </row>
    <row r="44" spans="1:15" x14ac:dyDescent="0.25">
      <c r="A44">
        <v>234</v>
      </c>
      <c r="B44" s="1">
        <v>42978</v>
      </c>
      <c r="C44" s="9" t="s">
        <v>524</v>
      </c>
      <c r="D44" s="1" t="s">
        <v>782</v>
      </c>
      <c r="E44" s="1" t="s">
        <v>105</v>
      </c>
      <c r="F44" s="16"/>
      <c r="G44" s="36">
        <v>15</v>
      </c>
      <c r="H44" s="51">
        <v>1</v>
      </c>
      <c r="I44" s="29">
        <v>18</v>
      </c>
      <c r="J44" s="27">
        <v>20</v>
      </c>
      <c r="K44" s="31">
        <v>3</v>
      </c>
      <c r="L44" t="str">
        <f t="shared" si="2"/>
        <v>20%</v>
      </c>
      <c r="M44" s="31">
        <v>3</v>
      </c>
      <c r="N44" s="33">
        <v>15</v>
      </c>
      <c r="O44" s="29">
        <v>18</v>
      </c>
    </row>
    <row r="45" spans="1:15" x14ac:dyDescent="0.25">
      <c r="A45">
        <v>235</v>
      </c>
      <c r="B45" s="1">
        <v>42993</v>
      </c>
      <c r="C45" s="9" t="s">
        <v>523</v>
      </c>
      <c r="D45" s="1" t="s">
        <v>835</v>
      </c>
      <c r="E45" s="1" t="s">
        <v>105</v>
      </c>
      <c r="F45" s="16"/>
      <c r="G45" s="36">
        <v>80</v>
      </c>
      <c r="H45" s="51">
        <v>0.27320378419841473</v>
      </c>
      <c r="I45" s="29">
        <v>26.227563283047814</v>
      </c>
      <c r="J45" s="27">
        <v>20</v>
      </c>
      <c r="K45" s="31">
        <v>16</v>
      </c>
      <c r="L45" t="str">
        <f t="shared" si="2"/>
        <v>20%</v>
      </c>
      <c r="M45" s="31">
        <v>4.3712605471746357</v>
      </c>
      <c r="N45" s="33">
        <v>21.856302735873179</v>
      </c>
      <c r="O45" s="29">
        <v>96</v>
      </c>
    </row>
    <row r="46" spans="1:15" x14ac:dyDescent="0.25">
      <c r="A46">
        <v>236</v>
      </c>
      <c r="B46" s="1">
        <v>42993</v>
      </c>
      <c r="C46" s="9" t="s">
        <v>526</v>
      </c>
      <c r="D46" s="1" t="s">
        <v>837</v>
      </c>
      <c r="E46" s="1" t="s">
        <v>105</v>
      </c>
      <c r="F46" s="16"/>
      <c r="G46" s="36">
        <v>21.82</v>
      </c>
      <c r="H46" s="51">
        <v>0.27320378419841473</v>
      </c>
      <c r="I46" s="29">
        <v>7.1535678854512916</v>
      </c>
      <c r="J46" s="27">
        <v>20</v>
      </c>
      <c r="K46" s="31">
        <v>4.3639999999999999</v>
      </c>
      <c r="L46" t="str">
        <f t="shared" si="2"/>
        <v>20%</v>
      </c>
      <c r="M46" s="31">
        <v>1.1922613142418819</v>
      </c>
      <c r="N46" s="33">
        <v>5.96130657120941</v>
      </c>
      <c r="O46" s="29">
        <v>26.184000000000001</v>
      </c>
    </row>
    <row r="47" spans="1:15" x14ac:dyDescent="0.25">
      <c r="A47">
        <v>237</v>
      </c>
      <c r="B47" s="1">
        <v>43031</v>
      </c>
      <c r="C47" s="9" t="s">
        <v>525</v>
      </c>
      <c r="D47" s="1" t="s">
        <v>796</v>
      </c>
      <c r="E47" s="1" t="s">
        <v>105</v>
      </c>
      <c r="F47" s="16"/>
      <c r="G47" s="36">
        <v>29.1</v>
      </c>
      <c r="H47" s="51">
        <v>1</v>
      </c>
      <c r="I47" s="29">
        <v>34.92</v>
      </c>
      <c r="J47" s="27">
        <v>20</v>
      </c>
      <c r="K47" s="31">
        <v>5.82</v>
      </c>
      <c r="L47" t="str">
        <f t="shared" si="2"/>
        <v>20%</v>
      </c>
      <c r="M47" s="31">
        <v>5.82</v>
      </c>
      <c r="N47" s="33">
        <v>29.1</v>
      </c>
      <c r="O47" s="29">
        <v>34.92</v>
      </c>
    </row>
    <row r="48" spans="1:15" x14ac:dyDescent="0.25">
      <c r="A48">
        <v>238</v>
      </c>
      <c r="B48" s="1">
        <v>43003</v>
      </c>
      <c r="C48" s="9" t="s">
        <v>463</v>
      </c>
      <c r="D48" s="1" t="s">
        <v>831</v>
      </c>
      <c r="E48" s="1" t="s">
        <v>105</v>
      </c>
      <c r="F48" s="16"/>
      <c r="G48" s="36">
        <v>801.77</v>
      </c>
      <c r="H48" s="51">
        <v>0.27320378419841473</v>
      </c>
      <c r="I48" s="29">
        <v>240.95125786243926</v>
      </c>
      <c r="J48" s="27">
        <v>10</v>
      </c>
      <c r="K48" s="31">
        <v>80.176999999999992</v>
      </c>
      <c r="L48" t="str">
        <f t="shared" si="2"/>
        <v>10%</v>
      </c>
      <c r="M48" s="31">
        <v>21.904659805676296</v>
      </c>
      <c r="N48" s="33">
        <v>219.04659805676297</v>
      </c>
      <c r="O48" s="29">
        <v>881.947</v>
      </c>
    </row>
    <row r="49" spans="1:15" x14ac:dyDescent="0.25">
      <c r="A49">
        <v>239</v>
      </c>
      <c r="B49" s="1">
        <v>43013</v>
      </c>
      <c r="C49" s="9" t="s">
        <v>527</v>
      </c>
      <c r="D49" s="1" t="s">
        <v>782</v>
      </c>
      <c r="E49" s="1" t="s">
        <v>105</v>
      </c>
      <c r="F49" s="16"/>
      <c r="G49" s="36">
        <v>15</v>
      </c>
      <c r="H49" s="51">
        <v>1</v>
      </c>
      <c r="I49" s="29">
        <v>18</v>
      </c>
      <c r="J49" s="27">
        <v>20</v>
      </c>
      <c r="K49" s="31">
        <v>3</v>
      </c>
      <c r="L49" t="str">
        <f t="shared" si="2"/>
        <v>20%</v>
      </c>
      <c r="M49" s="31">
        <v>3</v>
      </c>
      <c r="N49" s="33">
        <v>15</v>
      </c>
      <c r="O49" s="29">
        <v>18</v>
      </c>
    </row>
    <row r="50" spans="1:15" x14ac:dyDescent="0.25">
      <c r="A50">
        <v>240</v>
      </c>
      <c r="B50" s="1">
        <v>43024</v>
      </c>
      <c r="C50" s="9" t="s">
        <v>529</v>
      </c>
      <c r="D50" s="1" t="s">
        <v>835</v>
      </c>
      <c r="E50" s="1" t="s">
        <v>105</v>
      </c>
      <c r="F50" s="16"/>
      <c r="G50" s="36">
        <v>80</v>
      </c>
      <c r="H50" s="51">
        <v>0.27320378419841473</v>
      </c>
      <c r="I50" s="29">
        <v>26.227563283047814</v>
      </c>
      <c r="J50" s="27">
        <v>20</v>
      </c>
      <c r="K50" s="31">
        <v>16</v>
      </c>
      <c r="L50" t="str">
        <f t="shared" si="2"/>
        <v>20%</v>
      </c>
      <c r="M50" s="31">
        <v>4.3712605471746357</v>
      </c>
      <c r="N50" s="33">
        <v>21.856302735873179</v>
      </c>
      <c r="O50" s="29">
        <v>96</v>
      </c>
    </row>
    <row r="51" spans="1:15" x14ac:dyDescent="0.25">
      <c r="A51">
        <v>241</v>
      </c>
      <c r="B51" s="1">
        <v>43024</v>
      </c>
      <c r="C51" s="9" t="s">
        <v>528</v>
      </c>
      <c r="D51" s="1" t="s">
        <v>838</v>
      </c>
      <c r="E51" s="1" t="s">
        <v>105</v>
      </c>
      <c r="F51" s="16"/>
      <c r="G51" s="36">
        <v>151.66999999999999</v>
      </c>
      <c r="H51" s="51">
        <v>0.27320378419841473</v>
      </c>
      <c r="I51" s="29">
        <v>49.724181539248278</v>
      </c>
      <c r="J51" s="27">
        <v>20</v>
      </c>
      <c r="K51" s="31">
        <v>30.333999999999996</v>
      </c>
      <c r="L51" t="str">
        <f t="shared" si="2"/>
        <v>20%</v>
      </c>
      <c r="M51" s="31">
        <v>8.2873635898747118</v>
      </c>
      <c r="N51" s="33">
        <v>41.436817949373562</v>
      </c>
      <c r="O51" s="29">
        <v>182.00399999999999</v>
      </c>
    </row>
    <row r="52" spans="1:15" x14ac:dyDescent="0.25">
      <c r="A52">
        <v>242</v>
      </c>
      <c r="B52" s="1">
        <v>43033</v>
      </c>
      <c r="C52" s="9" t="s">
        <v>463</v>
      </c>
      <c r="D52" s="1" t="s">
        <v>831</v>
      </c>
      <c r="E52" s="1" t="s">
        <v>105</v>
      </c>
      <c r="F52" s="16"/>
      <c r="G52" s="36">
        <v>801.77</v>
      </c>
      <c r="H52" s="51">
        <v>0.27320378419841473</v>
      </c>
      <c r="I52" s="29">
        <v>240.95125786243926</v>
      </c>
      <c r="J52" s="27">
        <v>10</v>
      </c>
      <c r="K52" s="31">
        <v>80.176999999999992</v>
      </c>
      <c r="L52" t="str">
        <f t="shared" si="2"/>
        <v>10%</v>
      </c>
      <c r="M52" s="31">
        <v>21.904659805676296</v>
      </c>
      <c r="N52" s="33">
        <v>219.04659805676297</v>
      </c>
      <c r="O52" s="29">
        <v>881.947</v>
      </c>
    </row>
    <row r="53" spans="1:15" x14ac:dyDescent="0.25">
      <c r="A53">
        <v>243</v>
      </c>
      <c r="B53" s="1">
        <v>43026</v>
      </c>
      <c r="C53" s="9" t="s">
        <v>531</v>
      </c>
      <c r="D53" s="1" t="s">
        <v>797</v>
      </c>
      <c r="E53" s="1" t="s">
        <v>105</v>
      </c>
      <c r="F53" s="16"/>
      <c r="G53" s="36">
        <v>12.42</v>
      </c>
      <c r="H53" s="51">
        <v>1</v>
      </c>
      <c r="I53" s="29">
        <v>14.904</v>
      </c>
      <c r="J53" s="27">
        <v>20</v>
      </c>
      <c r="K53" s="31">
        <v>2.484</v>
      </c>
      <c r="L53" t="str">
        <f t="shared" si="2"/>
        <v>20%</v>
      </c>
      <c r="M53" s="31">
        <v>2.484</v>
      </c>
      <c r="N53" s="33">
        <v>12.42</v>
      </c>
      <c r="O53" s="29">
        <v>14.904</v>
      </c>
    </row>
    <row r="54" spans="1:15" x14ac:dyDescent="0.25">
      <c r="A54">
        <v>244</v>
      </c>
      <c r="B54" s="1">
        <v>43045</v>
      </c>
      <c r="C54" s="6">
        <v>6144051313</v>
      </c>
      <c r="D54" s="1" t="s">
        <v>782</v>
      </c>
      <c r="E54" s="1" t="s">
        <v>105</v>
      </c>
      <c r="F54" s="16"/>
      <c r="G54" s="36">
        <v>15</v>
      </c>
      <c r="H54" s="51">
        <v>1</v>
      </c>
      <c r="I54" s="29">
        <v>18</v>
      </c>
      <c r="J54" s="27">
        <v>20</v>
      </c>
      <c r="K54" s="31">
        <v>3</v>
      </c>
      <c r="L54" t="str">
        <f t="shared" si="2"/>
        <v>20%</v>
      </c>
      <c r="M54" s="31">
        <v>3</v>
      </c>
      <c r="N54" s="33">
        <v>15</v>
      </c>
      <c r="O54" s="29">
        <v>18</v>
      </c>
    </row>
    <row r="55" spans="1:15" x14ac:dyDescent="0.25">
      <c r="A55">
        <v>245</v>
      </c>
      <c r="B55" s="1">
        <v>43054</v>
      </c>
      <c r="C55" s="9" t="s">
        <v>535</v>
      </c>
      <c r="D55" s="1" t="s">
        <v>841</v>
      </c>
      <c r="E55" s="1" t="s">
        <v>105</v>
      </c>
      <c r="F55" s="16"/>
      <c r="G55" s="36">
        <v>780</v>
      </c>
      <c r="H55" s="51">
        <v>1</v>
      </c>
      <c r="I55" s="29">
        <v>351</v>
      </c>
      <c r="J55" s="27">
        <v>20</v>
      </c>
      <c r="K55" s="31">
        <v>156</v>
      </c>
      <c r="L55" t="str">
        <f t="shared" si="2"/>
        <v>20%</v>
      </c>
      <c r="M55" s="31">
        <v>156</v>
      </c>
      <c r="N55" s="33">
        <v>195</v>
      </c>
      <c r="O55" s="29">
        <f>G55*(100%+J55%)</f>
        <v>936</v>
      </c>
    </row>
    <row r="56" spans="1:15" x14ac:dyDescent="0.25">
      <c r="A56">
        <v>245</v>
      </c>
      <c r="B56" s="1">
        <v>43054</v>
      </c>
      <c r="C56" s="9" t="s">
        <v>535</v>
      </c>
      <c r="D56" s="1" t="s">
        <v>842</v>
      </c>
      <c r="E56" s="1" t="s">
        <v>105</v>
      </c>
      <c r="F56" s="16"/>
      <c r="G56" s="36">
        <v>-585</v>
      </c>
      <c r="H56" s="51">
        <v>1</v>
      </c>
      <c r="I56" s="29">
        <v>-585</v>
      </c>
      <c r="J56" s="27">
        <v>0</v>
      </c>
      <c r="K56" s="31">
        <v>0</v>
      </c>
      <c r="L56" t="str">
        <f t="shared" si="2"/>
        <v>0%</v>
      </c>
      <c r="M56" s="31">
        <v>0</v>
      </c>
      <c r="N56" s="33">
        <v>-585</v>
      </c>
      <c r="O56" s="29">
        <v>-585</v>
      </c>
    </row>
    <row r="57" spans="1:15" x14ac:dyDescent="0.25">
      <c r="A57">
        <v>246</v>
      </c>
      <c r="B57" s="1">
        <v>43054</v>
      </c>
      <c r="C57" s="9" t="s">
        <v>543</v>
      </c>
      <c r="D57" s="1" t="s">
        <v>834</v>
      </c>
      <c r="E57" s="1" t="s">
        <v>105</v>
      </c>
      <c r="F57" s="16"/>
      <c r="G57" s="36">
        <v>115.1</v>
      </c>
      <c r="H57" s="51">
        <v>0.27320378419841473</v>
      </c>
      <c r="I57" s="29">
        <v>37.734906673485042</v>
      </c>
      <c r="J57" s="27">
        <v>20</v>
      </c>
      <c r="K57" s="31">
        <v>23.02</v>
      </c>
      <c r="L57" t="str">
        <f t="shared" si="2"/>
        <v>20%</v>
      </c>
      <c r="M57" s="31">
        <v>6.2891511122475068</v>
      </c>
      <c r="N57" s="33">
        <v>31.445755561237533</v>
      </c>
      <c r="O57" s="29">
        <v>138.12</v>
      </c>
    </row>
    <row r="58" spans="1:15" x14ac:dyDescent="0.25">
      <c r="A58">
        <v>247</v>
      </c>
      <c r="B58" s="1">
        <v>43055</v>
      </c>
      <c r="C58" s="9" t="s">
        <v>538</v>
      </c>
      <c r="D58" s="1" t="s">
        <v>798</v>
      </c>
      <c r="E58" s="1" t="s">
        <v>105</v>
      </c>
      <c r="F58" s="16"/>
      <c r="G58" s="36">
        <v>828.44</v>
      </c>
      <c r="H58" s="51">
        <v>1</v>
      </c>
      <c r="I58" s="29">
        <v>994.12800000000004</v>
      </c>
      <c r="J58" s="27">
        <v>20</v>
      </c>
      <c r="K58" s="31">
        <v>165.68800000000002</v>
      </c>
      <c r="L58" t="str">
        <f t="shared" si="2"/>
        <v>20%</v>
      </c>
      <c r="M58" s="31">
        <v>165.68800000000002</v>
      </c>
      <c r="N58" s="33">
        <v>828.44</v>
      </c>
      <c r="O58" s="29">
        <v>994.12800000000004</v>
      </c>
    </row>
    <row r="59" spans="1:15" x14ac:dyDescent="0.25">
      <c r="A59">
        <v>248</v>
      </c>
      <c r="B59" s="1">
        <v>43056</v>
      </c>
      <c r="C59" s="9" t="s">
        <v>541</v>
      </c>
      <c r="D59" s="1" t="s">
        <v>799</v>
      </c>
      <c r="E59" s="1" t="s">
        <v>105</v>
      </c>
      <c r="F59" s="16"/>
      <c r="G59" s="36">
        <v>208.25</v>
      </c>
      <c r="H59" s="51">
        <v>1</v>
      </c>
      <c r="I59" s="29">
        <v>249.9</v>
      </c>
      <c r="J59" s="27">
        <v>20</v>
      </c>
      <c r="K59" s="31">
        <v>41.65</v>
      </c>
      <c r="L59" t="str">
        <f t="shared" si="2"/>
        <v>20%</v>
      </c>
      <c r="M59" s="31">
        <v>41.65</v>
      </c>
      <c r="N59" s="33">
        <v>208.25</v>
      </c>
      <c r="O59" s="29">
        <v>249.9</v>
      </c>
    </row>
    <row r="60" spans="1:15" x14ac:dyDescent="0.25">
      <c r="A60">
        <v>249</v>
      </c>
      <c r="B60" s="1">
        <v>43056</v>
      </c>
      <c r="C60" s="9" t="s">
        <v>544</v>
      </c>
      <c r="D60" s="1" t="s">
        <v>799</v>
      </c>
      <c r="E60" s="1" t="s">
        <v>105</v>
      </c>
      <c r="F60" s="16"/>
      <c r="G60" s="36">
        <v>208.25</v>
      </c>
      <c r="H60" s="51">
        <v>1</v>
      </c>
      <c r="I60" s="29">
        <v>249.9</v>
      </c>
      <c r="J60" s="27">
        <v>20</v>
      </c>
      <c r="K60" s="31">
        <v>41.65</v>
      </c>
      <c r="L60" t="str">
        <f t="shared" si="2"/>
        <v>20%</v>
      </c>
      <c r="M60" s="31">
        <v>41.65</v>
      </c>
      <c r="N60" s="33">
        <v>208.25</v>
      </c>
      <c r="O60" s="29">
        <v>249.9</v>
      </c>
    </row>
    <row r="61" spans="1:15" x14ac:dyDescent="0.25">
      <c r="A61">
        <v>250</v>
      </c>
      <c r="B61" s="1">
        <v>43056</v>
      </c>
      <c r="C61" s="9" t="s">
        <v>545</v>
      </c>
      <c r="D61" s="1" t="s">
        <v>800</v>
      </c>
      <c r="E61" s="1" t="s">
        <v>105</v>
      </c>
      <c r="F61" s="16"/>
      <c r="G61" s="36">
        <v>229.06</v>
      </c>
      <c r="H61" s="51">
        <v>1</v>
      </c>
      <c r="I61" s="29">
        <v>274.87200000000001</v>
      </c>
      <c r="J61" s="27">
        <v>20</v>
      </c>
      <c r="K61" s="31">
        <v>45.811999999999998</v>
      </c>
      <c r="L61" t="str">
        <f t="shared" si="2"/>
        <v>20%</v>
      </c>
      <c r="M61" s="31">
        <v>45.811999999999998</v>
      </c>
      <c r="N61" s="33">
        <v>229.06</v>
      </c>
      <c r="O61" s="29">
        <v>274.87200000000001</v>
      </c>
    </row>
    <row r="62" spans="1:15" x14ac:dyDescent="0.25">
      <c r="A62">
        <v>251</v>
      </c>
      <c r="B62" s="1">
        <v>43059</v>
      </c>
      <c r="C62" s="9" t="s">
        <v>547</v>
      </c>
      <c r="D62" s="1" t="s">
        <v>799</v>
      </c>
      <c r="E62" s="1" t="s">
        <v>105</v>
      </c>
      <c r="F62" s="16"/>
      <c r="G62" s="36">
        <v>208.25</v>
      </c>
      <c r="H62" s="51">
        <v>1</v>
      </c>
      <c r="I62" s="29">
        <v>249.9</v>
      </c>
      <c r="J62" s="27">
        <v>20</v>
      </c>
      <c r="K62" s="31">
        <v>41.65</v>
      </c>
      <c r="L62" t="str">
        <f t="shared" si="2"/>
        <v>20%</v>
      </c>
      <c r="M62" s="31">
        <v>41.65</v>
      </c>
      <c r="N62" s="33">
        <v>208.25</v>
      </c>
      <c r="O62" s="29">
        <v>249.9</v>
      </c>
    </row>
    <row r="63" spans="1:15" x14ac:dyDescent="0.25">
      <c r="A63">
        <v>252</v>
      </c>
      <c r="B63" s="1">
        <v>43059</v>
      </c>
      <c r="C63" s="9" t="s">
        <v>548</v>
      </c>
      <c r="D63" s="1" t="s">
        <v>801</v>
      </c>
      <c r="E63" s="1" t="s">
        <v>105</v>
      </c>
      <c r="F63" s="16"/>
      <c r="G63" s="36">
        <v>1511.77</v>
      </c>
      <c r="H63" s="51">
        <v>1</v>
      </c>
      <c r="I63" s="29">
        <v>1814.124</v>
      </c>
      <c r="J63" s="27">
        <v>20</v>
      </c>
      <c r="K63" s="31">
        <v>302.35400000000004</v>
      </c>
      <c r="L63" t="str">
        <f t="shared" si="2"/>
        <v>20%</v>
      </c>
      <c r="M63" s="31">
        <v>302.35400000000004</v>
      </c>
      <c r="N63" s="33">
        <v>1511.77</v>
      </c>
      <c r="O63" s="29">
        <v>1814.124</v>
      </c>
    </row>
    <row r="64" spans="1:15" x14ac:dyDescent="0.25">
      <c r="A64">
        <v>253</v>
      </c>
      <c r="B64" s="1">
        <v>43055</v>
      </c>
      <c r="C64" s="9" t="s">
        <v>551</v>
      </c>
      <c r="D64" s="1" t="s">
        <v>802</v>
      </c>
      <c r="E64" s="1" t="s">
        <v>105</v>
      </c>
      <c r="F64" s="16"/>
      <c r="G64" s="36">
        <v>464.31</v>
      </c>
      <c r="H64" s="51">
        <v>1</v>
      </c>
      <c r="I64" s="29">
        <v>557.17200000000003</v>
      </c>
      <c r="J64" s="27">
        <v>20</v>
      </c>
      <c r="K64" s="31">
        <v>92.862000000000009</v>
      </c>
      <c r="L64" t="str">
        <f t="shared" si="2"/>
        <v>20%</v>
      </c>
      <c r="M64" s="31">
        <v>92.862000000000009</v>
      </c>
      <c r="N64" s="33">
        <v>464.31</v>
      </c>
      <c r="O64" s="29">
        <v>557.17200000000003</v>
      </c>
    </row>
    <row r="65" spans="1:15" x14ac:dyDescent="0.25">
      <c r="A65">
        <v>254</v>
      </c>
      <c r="B65" s="1">
        <v>43059</v>
      </c>
      <c r="C65" s="9" t="s">
        <v>553</v>
      </c>
      <c r="D65" s="1" t="s">
        <v>803</v>
      </c>
      <c r="E65" s="1" t="s">
        <v>105</v>
      </c>
      <c r="F65" s="16"/>
      <c r="G65" s="36">
        <v>150.41999999999999</v>
      </c>
      <c r="H65" s="51">
        <v>1</v>
      </c>
      <c r="I65" s="29">
        <v>180.50399999999999</v>
      </c>
      <c r="J65" s="27">
        <v>20</v>
      </c>
      <c r="K65" s="31">
        <v>30.083999999999996</v>
      </c>
      <c r="L65" t="str">
        <f t="shared" si="2"/>
        <v>20%</v>
      </c>
      <c r="M65" s="31">
        <v>30.083999999999996</v>
      </c>
      <c r="N65" s="33">
        <v>150.41999999999999</v>
      </c>
      <c r="O65" s="29">
        <v>180.50399999999999</v>
      </c>
    </row>
    <row r="66" spans="1:15" x14ac:dyDescent="0.25">
      <c r="A66">
        <v>255</v>
      </c>
      <c r="B66" s="1">
        <v>43059</v>
      </c>
      <c r="C66" s="9" t="s">
        <v>555</v>
      </c>
      <c r="D66" s="1" t="s">
        <v>804</v>
      </c>
      <c r="E66" s="1" t="s">
        <v>105</v>
      </c>
      <c r="F66" s="16"/>
      <c r="G66" s="36">
        <v>108.19</v>
      </c>
      <c r="H66" s="51">
        <v>1</v>
      </c>
      <c r="I66" s="29">
        <v>129.828</v>
      </c>
      <c r="J66" s="27">
        <v>20</v>
      </c>
      <c r="K66" s="31">
        <v>21.638000000000002</v>
      </c>
      <c r="L66" t="str">
        <f t="shared" si="2"/>
        <v>20%</v>
      </c>
      <c r="M66" s="31">
        <v>21.638000000000002</v>
      </c>
      <c r="N66" s="33">
        <v>108.19</v>
      </c>
      <c r="O66" s="29">
        <v>129.828</v>
      </c>
    </row>
    <row r="67" spans="1:15" x14ac:dyDescent="0.25">
      <c r="A67">
        <v>256</v>
      </c>
      <c r="B67" s="1">
        <v>43059</v>
      </c>
      <c r="C67" s="9" t="s">
        <v>557</v>
      </c>
      <c r="D67" s="1" t="s">
        <v>805</v>
      </c>
      <c r="E67" s="1" t="s">
        <v>105</v>
      </c>
      <c r="F67" s="16"/>
      <c r="G67" s="36">
        <v>30.24</v>
      </c>
      <c r="H67" s="51">
        <v>1</v>
      </c>
      <c r="I67" s="29">
        <v>36.287999999999997</v>
      </c>
      <c r="J67" s="27">
        <v>20</v>
      </c>
      <c r="K67" s="31">
        <v>6.0479999999999992</v>
      </c>
      <c r="L67" t="str">
        <f t="shared" si="2"/>
        <v>20%</v>
      </c>
      <c r="M67" s="31">
        <v>6.0479999999999992</v>
      </c>
      <c r="N67" s="33">
        <v>30.24</v>
      </c>
      <c r="O67" s="29">
        <v>36.287999999999997</v>
      </c>
    </row>
    <row r="68" spans="1:15" x14ac:dyDescent="0.25">
      <c r="A68">
        <v>257</v>
      </c>
      <c r="B68" s="1">
        <v>43059</v>
      </c>
      <c r="C68" s="9" t="s">
        <v>561</v>
      </c>
      <c r="D68" s="1" t="s">
        <v>806</v>
      </c>
      <c r="E68" s="1" t="s">
        <v>105</v>
      </c>
      <c r="F68" s="16"/>
      <c r="G68" s="36">
        <v>197.97</v>
      </c>
      <c r="H68" s="51">
        <v>1</v>
      </c>
      <c r="I68" s="29">
        <v>237.56399999999999</v>
      </c>
      <c r="J68" s="27">
        <v>20</v>
      </c>
      <c r="K68" s="31">
        <v>39.594000000000001</v>
      </c>
      <c r="L68" t="str">
        <f t="shared" si="2"/>
        <v>20%</v>
      </c>
      <c r="M68" s="31">
        <v>39.594000000000001</v>
      </c>
      <c r="N68" s="33">
        <v>197.97</v>
      </c>
      <c r="O68" s="29">
        <v>237.56399999999999</v>
      </c>
    </row>
    <row r="69" spans="1:15" x14ac:dyDescent="0.25">
      <c r="A69">
        <v>258</v>
      </c>
      <c r="B69" s="1">
        <v>43060</v>
      </c>
      <c r="C69" s="9" t="s">
        <v>565</v>
      </c>
      <c r="D69" s="1" t="s">
        <v>807</v>
      </c>
      <c r="E69" s="1" t="s">
        <v>105</v>
      </c>
      <c r="F69" s="16"/>
      <c r="G69" s="36">
        <v>40.32</v>
      </c>
      <c r="H69" s="51">
        <v>1</v>
      </c>
      <c r="I69" s="29">
        <v>48.384</v>
      </c>
      <c r="J69" s="27">
        <v>20</v>
      </c>
      <c r="K69" s="31">
        <v>8.0640000000000001</v>
      </c>
      <c r="L69" t="str">
        <f t="shared" si="2"/>
        <v>20%</v>
      </c>
      <c r="M69" s="31">
        <v>8.0640000000000001</v>
      </c>
      <c r="N69" s="33">
        <v>40.32</v>
      </c>
      <c r="O69" s="29">
        <v>48.384</v>
      </c>
    </row>
    <row r="70" spans="1:15" x14ac:dyDescent="0.25">
      <c r="A70">
        <v>259</v>
      </c>
      <c r="B70" s="1">
        <v>43060</v>
      </c>
      <c r="C70" s="9" t="s">
        <v>567</v>
      </c>
      <c r="D70" s="1" t="s">
        <v>808</v>
      </c>
      <c r="E70" s="1" t="s">
        <v>105</v>
      </c>
      <c r="F70" s="16"/>
      <c r="G70" s="36">
        <v>171.14</v>
      </c>
      <c r="H70" s="51">
        <v>1</v>
      </c>
      <c r="I70" s="29">
        <v>205.36799999999999</v>
      </c>
      <c r="J70" s="27">
        <v>20</v>
      </c>
      <c r="K70" s="31">
        <v>34.227999999999994</v>
      </c>
      <c r="L70" t="str">
        <f t="shared" si="2"/>
        <v>20%</v>
      </c>
      <c r="M70" s="31">
        <v>34.227999999999994</v>
      </c>
      <c r="N70" s="33">
        <v>171.14</v>
      </c>
      <c r="O70" s="29">
        <v>205.36799999999999</v>
      </c>
    </row>
    <row r="71" spans="1:15" x14ac:dyDescent="0.25">
      <c r="A71">
        <v>260</v>
      </c>
      <c r="B71" s="1">
        <v>43060</v>
      </c>
      <c r="C71" s="9" t="s">
        <v>569</v>
      </c>
      <c r="D71" s="1" t="s">
        <v>809</v>
      </c>
      <c r="E71" s="1" t="s">
        <v>105</v>
      </c>
      <c r="F71" s="16"/>
      <c r="G71" s="36">
        <v>17.559999999999999</v>
      </c>
      <c r="H71" s="51">
        <v>1</v>
      </c>
      <c r="I71" s="29">
        <v>21.071999999999999</v>
      </c>
      <c r="J71" s="27">
        <v>20</v>
      </c>
      <c r="K71" s="31">
        <v>3.512</v>
      </c>
      <c r="L71" t="str">
        <f t="shared" si="2"/>
        <v>20%</v>
      </c>
      <c r="M71" s="31">
        <v>3.512</v>
      </c>
      <c r="N71" s="33">
        <v>17.559999999999999</v>
      </c>
      <c r="O71" s="29">
        <v>21.071999999999999</v>
      </c>
    </row>
    <row r="72" spans="1:15" x14ac:dyDescent="0.25">
      <c r="A72">
        <v>261</v>
      </c>
      <c r="B72" s="1">
        <v>43062</v>
      </c>
      <c r="C72" s="9" t="s">
        <v>571</v>
      </c>
      <c r="D72" s="1" t="s">
        <v>810</v>
      </c>
      <c r="E72" s="1" t="s">
        <v>105</v>
      </c>
      <c r="F72" s="16"/>
      <c r="G72" s="36">
        <v>8.93</v>
      </c>
      <c r="H72" s="51">
        <v>1</v>
      </c>
      <c r="I72" s="29">
        <v>10.715999999999999</v>
      </c>
      <c r="J72" s="27">
        <v>20</v>
      </c>
      <c r="K72" s="31">
        <v>1.786</v>
      </c>
      <c r="L72" t="str">
        <f t="shared" si="2"/>
        <v>20%</v>
      </c>
      <c r="M72" s="31">
        <v>1.786</v>
      </c>
      <c r="N72" s="33">
        <v>8.93</v>
      </c>
      <c r="O72" s="29">
        <v>10.715999999999999</v>
      </c>
    </row>
    <row r="73" spans="1:15" x14ac:dyDescent="0.25">
      <c r="A73">
        <v>262</v>
      </c>
      <c r="B73" s="1">
        <v>43062</v>
      </c>
      <c r="C73" s="9" t="s">
        <v>573</v>
      </c>
      <c r="D73" s="1" t="s">
        <v>811</v>
      </c>
      <c r="E73" s="1" t="s">
        <v>105</v>
      </c>
      <c r="F73" s="16"/>
      <c r="G73" s="36">
        <v>238.45</v>
      </c>
      <c r="H73" s="51">
        <v>1</v>
      </c>
      <c r="I73" s="29">
        <v>286.14</v>
      </c>
      <c r="J73" s="27">
        <v>20</v>
      </c>
      <c r="K73" s="31">
        <v>47.69</v>
      </c>
      <c r="L73" t="str">
        <f t="shared" si="2"/>
        <v>20%</v>
      </c>
      <c r="M73" s="31">
        <v>47.69</v>
      </c>
      <c r="N73" s="33">
        <v>238.45</v>
      </c>
      <c r="O73" s="29">
        <v>286.14</v>
      </c>
    </row>
    <row r="74" spans="1:15" x14ac:dyDescent="0.25">
      <c r="A74">
        <v>263</v>
      </c>
      <c r="B74" s="1">
        <v>43066</v>
      </c>
      <c r="C74" s="9" t="s">
        <v>575</v>
      </c>
      <c r="D74" s="1" t="s">
        <v>811</v>
      </c>
      <c r="E74" s="1" t="s">
        <v>105</v>
      </c>
      <c r="F74" s="16"/>
      <c r="G74" s="36">
        <v>238.45</v>
      </c>
      <c r="H74" s="51">
        <v>1</v>
      </c>
      <c r="I74" s="29">
        <v>286.14</v>
      </c>
      <c r="J74" s="27">
        <v>20</v>
      </c>
      <c r="K74" s="31">
        <v>47.69</v>
      </c>
      <c r="L74" t="str">
        <f t="shared" si="2"/>
        <v>20%</v>
      </c>
      <c r="M74" s="31">
        <v>47.69</v>
      </c>
      <c r="N74" s="33">
        <v>238.45</v>
      </c>
      <c r="O74" s="29">
        <v>286.14</v>
      </c>
    </row>
    <row r="75" spans="1:15" x14ac:dyDescent="0.25">
      <c r="A75">
        <v>264</v>
      </c>
      <c r="B75" s="1">
        <v>43067</v>
      </c>
      <c r="C75" s="9" t="s">
        <v>576</v>
      </c>
      <c r="D75" s="1" t="s">
        <v>812</v>
      </c>
      <c r="E75" s="1" t="s">
        <v>105</v>
      </c>
      <c r="F75" s="16"/>
      <c r="G75" s="36">
        <v>58.25</v>
      </c>
      <c r="H75" s="51">
        <v>1</v>
      </c>
      <c r="I75" s="29">
        <v>69.900000000000006</v>
      </c>
      <c r="J75" s="27">
        <v>20</v>
      </c>
      <c r="K75" s="31">
        <v>11.65</v>
      </c>
      <c r="L75" t="str">
        <f t="shared" si="2"/>
        <v>20%</v>
      </c>
      <c r="M75" s="31">
        <v>11.65</v>
      </c>
      <c r="N75" s="33">
        <v>58.25</v>
      </c>
      <c r="O75" s="29">
        <v>69.900000000000006</v>
      </c>
    </row>
    <row r="76" spans="1:15" x14ac:dyDescent="0.25">
      <c r="A76">
        <v>265</v>
      </c>
      <c r="B76" s="1">
        <v>43075</v>
      </c>
      <c r="C76" s="9" t="s">
        <v>581</v>
      </c>
      <c r="D76" s="1" t="s">
        <v>782</v>
      </c>
      <c r="E76" s="1" t="s">
        <v>105</v>
      </c>
      <c r="F76" s="16"/>
      <c r="G76" s="36">
        <v>15</v>
      </c>
      <c r="H76" s="51">
        <v>1</v>
      </c>
      <c r="I76" s="29">
        <v>18</v>
      </c>
      <c r="J76" s="27">
        <v>20</v>
      </c>
      <c r="K76" s="31">
        <v>3</v>
      </c>
      <c r="L76" t="str">
        <f t="shared" si="2"/>
        <v>20%</v>
      </c>
      <c r="M76" s="31">
        <v>3</v>
      </c>
      <c r="N76" s="33">
        <v>15</v>
      </c>
      <c r="O76" s="29">
        <v>18</v>
      </c>
    </row>
    <row r="77" spans="1:15" x14ac:dyDescent="0.25">
      <c r="A77">
        <v>266</v>
      </c>
      <c r="B77" s="1">
        <v>43069</v>
      </c>
      <c r="C77" s="9" t="s">
        <v>580</v>
      </c>
      <c r="D77" s="1" t="s">
        <v>813</v>
      </c>
      <c r="E77" s="1" t="s">
        <v>105</v>
      </c>
      <c r="F77" s="16"/>
      <c r="G77" s="36">
        <v>9.15</v>
      </c>
      <c r="H77" s="51">
        <v>1</v>
      </c>
      <c r="I77" s="29">
        <v>9.15</v>
      </c>
      <c r="J77" s="27">
        <v>0</v>
      </c>
      <c r="K77" s="31">
        <v>0</v>
      </c>
      <c r="L77" t="s">
        <v>840</v>
      </c>
      <c r="M77" s="31">
        <v>0</v>
      </c>
      <c r="N77" s="33">
        <v>9.15</v>
      </c>
      <c r="O77" s="29">
        <v>9.15</v>
      </c>
    </row>
    <row r="78" spans="1:15" x14ac:dyDescent="0.25">
      <c r="A78">
        <v>267</v>
      </c>
      <c r="B78" s="1">
        <v>43070</v>
      </c>
      <c r="C78" s="9" t="s">
        <v>585</v>
      </c>
      <c r="D78" s="1" t="s">
        <v>814</v>
      </c>
      <c r="E78" s="1" t="s">
        <v>105</v>
      </c>
      <c r="F78" s="16"/>
      <c r="G78" s="36">
        <v>21.97</v>
      </c>
      <c r="H78" s="51">
        <v>1</v>
      </c>
      <c r="I78" s="29">
        <v>26.363999999999997</v>
      </c>
      <c r="J78" s="27">
        <v>20</v>
      </c>
      <c r="K78" s="31">
        <v>4.3940000000000001</v>
      </c>
      <c r="L78" t="str">
        <f t="shared" ref="L78:L87" si="3">J78&amp;"%"</f>
        <v>20%</v>
      </c>
      <c r="M78" s="31">
        <v>4.3940000000000001</v>
      </c>
      <c r="N78" s="33">
        <v>21.97</v>
      </c>
      <c r="O78" s="29">
        <v>26.363999999999997</v>
      </c>
    </row>
    <row r="79" spans="1:15" x14ac:dyDescent="0.25">
      <c r="A79">
        <v>268</v>
      </c>
      <c r="B79" s="1">
        <v>43074</v>
      </c>
      <c r="C79" s="9" t="s">
        <v>589</v>
      </c>
      <c r="D79" s="1" t="s">
        <v>812</v>
      </c>
      <c r="E79" s="1" t="s">
        <v>105</v>
      </c>
      <c r="F79" s="16"/>
      <c r="G79" s="36">
        <v>58.25</v>
      </c>
      <c r="H79" s="51">
        <v>1</v>
      </c>
      <c r="I79" s="29">
        <v>69.900000000000006</v>
      </c>
      <c r="J79" s="27">
        <v>20</v>
      </c>
      <c r="K79" s="31">
        <v>11.65</v>
      </c>
      <c r="L79" t="str">
        <f t="shared" si="3"/>
        <v>20%</v>
      </c>
      <c r="M79" s="31">
        <v>11.65</v>
      </c>
      <c r="N79" s="33">
        <v>58.25</v>
      </c>
      <c r="O79" s="29">
        <v>69.900000000000006</v>
      </c>
    </row>
    <row r="80" spans="1:15" x14ac:dyDescent="0.25">
      <c r="A80">
        <v>269</v>
      </c>
      <c r="B80" s="1">
        <v>43080</v>
      </c>
      <c r="C80" s="9" t="s">
        <v>590</v>
      </c>
      <c r="D80" s="1" t="s">
        <v>815</v>
      </c>
      <c r="E80" s="1" t="s">
        <v>105</v>
      </c>
      <c r="F80" s="16"/>
      <c r="G80" s="36">
        <v>16.68</v>
      </c>
      <c r="H80" s="51">
        <v>1</v>
      </c>
      <c r="I80" s="29">
        <v>20.015999999999998</v>
      </c>
      <c r="J80" s="27">
        <v>20</v>
      </c>
      <c r="K80" s="31">
        <v>3.3360000000000003</v>
      </c>
      <c r="L80" t="str">
        <f t="shared" si="3"/>
        <v>20%</v>
      </c>
      <c r="M80" s="31">
        <v>3.3360000000000003</v>
      </c>
      <c r="N80" s="33">
        <v>16.68</v>
      </c>
      <c r="O80" s="29">
        <v>20.015999999999998</v>
      </c>
    </row>
    <row r="81" spans="1:15" x14ac:dyDescent="0.25">
      <c r="A81">
        <v>270</v>
      </c>
      <c r="B81" s="1">
        <v>43060</v>
      </c>
      <c r="C81" s="9" t="s">
        <v>592</v>
      </c>
      <c r="D81" s="1" t="s">
        <v>816</v>
      </c>
      <c r="E81" s="1" t="s">
        <v>105</v>
      </c>
      <c r="F81" s="16"/>
      <c r="G81" s="36">
        <v>11</v>
      </c>
      <c r="H81" s="51">
        <v>1</v>
      </c>
      <c r="I81" s="29">
        <v>13.2</v>
      </c>
      <c r="J81" s="27">
        <v>20</v>
      </c>
      <c r="K81" s="31">
        <v>2.2000000000000002</v>
      </c>
      <c r="L81" t="str">
        <f t="shared" si="3"/>
        <v>20%</v>
      </c>
      <c r="M81" s="31">
        <v>2.2000000000000002</v>
      </c>
      <c r="N81" s="33">
        <v>11</v>
      </c>
      <c r="O81" s="29">
        <v>13.2</v>
      </c>
    </row>
    <row r="82" spans="1:15" x14ac:dyDescent="0.25">
      <c r="A82">
        <v>271</v>
      </c>
      <c r="B82" s="1">
        <v>43084</v>
      </c>
      <c r="C82" s="9" t="s">
        <v>601</v>
      </c>
      <c r="D82" s="1" t="s">
        <v>833</v>
      </c>
      <c r="E82" s="1" t="s">
        <v>105</v>
      </c>
      <c r="F82" s="16"/>
      <c r="G82" s="36">
        <v>82.5</v>
      </c>
      <c r="H82" s="51">
        <v>0.27320378419841473</v>
      </c>
      <c r="I82" s="29">
        <v>27.04717463564306</v>
      </c>
      <c r="J82" s="27">
        <v>20</v>
      </c>
      <c r="K82" s="31">
        <v>16.5</v>
      </c>
      <c r="L82" t="str">
        <f t="shared" si="3"/>
        <v>20%</v>
      </c>
      <c r="M82" s="31">
        <v>4.5078624392738433</v>
      </c>
      <c r="N82" s="33">
        <v>22.539312196369217</v>
      </c>
      <c r="O82" s="29">
        <v>99</v>
      </c>
    </row>
    <row r="83" spans="1:15" x14ac:dyDescent="0.25">
      <c r="A83">
        <v>272</v>
      </c>
      <c r="B83" s="1">
        <v>43096</v>
      </c>
      <c r="C83" s="9" t="s">
        <v>463</v>
      </c>
      <c r="D83" s="1" t="s">
        <v>831</v>
      </c>
      <c r="E83" s="1" t="s">
        <v>105</v>
      </c>
      <c r="F83" s="16"/>
      <c r="G83" s="36">
        <v>801.77</v>
      </c>
      <c r="H83" s="51">
        <v>0.27320378419841473</v>
      </c>
      <c r="I83" s="29">
        <v>240.95125786243926</v>
      </c>
      <c r="J83" s="27">
        <v>10</v>
      </c>
      <c r="K83" s="31">
        <v>80.176999999999992</v>
      </c>
      <c r="L83" t="str">
        <f t="shared" si="3"/>
        <v>10%</v>
      </c>
      <c r="M83" s="31">
        <v>21.904659805676296</v>
      </c>
      <c r="N83" s="33">
        <v>219.04659805676297</v>
      </c>
      <c r="O83" s="29">
        <v>881.947</v>
      </c>
    </row>
    <row r="84" spans="1:15" x14ac:dyDescent="0.25">
      <c r="A84">
        <v>273</v>
      </c>
      <c r="B84" s="1">
        <v>43082</v>
      </c>
      <c r="C84" s="9" t="s">
        <v>600</v>
      </c>
      <c r="D84" s="1" t="s">
        <v>817</v>
      </c>
      <c r="E84" s="1" t="s">
        <v>105</v>
      </c>
      <c r="F84" s="16"/>
      <c r="G84" s="36">
        <v>7.91</v>
      </c>
      <c r="H84" s="51">
        <v>1</v>
      </c>
      <c r="I84" s="29">
        <v>9.4920000000000009</v>
      </c>
      <c r="J84" s="27">
        <v>20</v>
      </c>
      <c r="K84" s="31">
        <v>1.5819999999999999</v>
      </c>
      <c r="L84" t="str">
        <f t="shared" si="3"/>
        <v>20%</v>
      </c>
      <c r="M84" s="31">
        <v>1.5819999999999999</v>
      </c>
      <c r="N84" s="33">
        <v>7.91</v>
      </c>
      <c r="O84" s="29">
        <v>9.4920000000000009</v>
      </c>
    </row>
    <row r="85" spans="1:15" x14ac:dyDescent="0.25">
      <c r="A85">
        <v>274</v>
      </c>
      <c r="B85" s="1">
        <v>43090</v>
      </c>
      <c r="C85" s="9" t="s">
        <v>602</v>
      </c>
      <c r="D85" s="1" t="s">
        <v>651</v>
      </c>
      <c r="E85" s="1" t="s">
        <v>105</v>
      </c>
      <c r="F85" s="16"/>
      <c r="G85" s="36">
        <v>18.7</v>
      </c>
      <c r="H85" s="51">
        <v>1</v>
      </c>
      <c r="I85" s="29">
        <v>22.439999999999998</v>
      </c>
      <c r="J85" s="27">
        <v>20</v>
      </c>
      <c r="K85" s="31">
        <v>3.74</v>
      </c>
      <c r="L85" t="str">
        <f t="shared" si="3"/>
        <v>20%</v>
      </c>
      <c r="M85" s="31">
        <v>3.74</v>
      </c>
      <c r="N85" s="33">
        <v>18.7</v>
      </c>
      <c r="O85" s="29">
        <v>22.439999999999998</v>
      </c>
    </row>
    <row r="86" spans="1:15" x14ac:dyDescent="0.25">
      <c r="A86">
        <v>275</v>
      </c>
      <c r="B86" s="1">
        <v>43090</v>
      </c>
      <c r="C86" s="9"/>
      <c r="D86" s="1" t="s">
        <v>818</v>
      </c>
      <c r="E86" s="1" t="s">
        <v>105</v>
      </c>
      <c r="F86" s="16"/>
      <c r="G86" s="36">
        <v>75.3</v>
      </c>
      <c r="H86" s="51">
        <v>1</v>
      </c>
      <c r="I86" s="29">
        <v>90.36</v>
      </c>
      <c r="J86" s="27">
        <v>20</v>
      </c>
      <c r="K86" s="31">
        <v>15.06</v>
      </c>
      <c r="L86" t="str">
        <f t="shared" si="3"/>
        <v>20%</v>
      </c>
      <c r="M86" s="31">
        <v>15.06</v>
      </c>
      <c r="N86" s="33">
        <v>75.3</v>
      </c>
      <c r="O86" s="29">
        <v>90.36</v>
      </c>
    </row>
    <row r="87" spans="1:15" x14ac:dyDescent="0.25">
      <c r="A87">
        <v>276</v>
      </c>
      <c r="B87" s="1">
        <v>43098</v>
      </c>
      <c r="C87" s="9" t="s">
        <v>605</v>
      </c>
      <c r="D87" s="1" t="s">
        <v>819</v>
      </c>
      <c r="E87" s="1" t="s">
        <v>105</v>
      </c>
      <c r="F87" s="16"/>
      <c r="G87" s="36">
        <v>825</v>
      </c>
      <c r="H87" s="51">
        <v>1</v>
      </c>
      <c r="I87" s="29">
        <v>990</v>
      </c>
      <c r="J87" s="27">
        <v>20</v>
      </c>
      <c r="K87" s="31">
        <v>165</v>
      </c>
      <c r="L87" t="str">
        <f t="shared" si="3"/>
        <v>20%</v>
      </c>
      <c r="M87" s="31">
        <v>165</v>
      </c>
      <c r="N87" s="33">
        <v>825</v>
      </c>
      <c r="O87" s="29">
        <v>990</v>
      </c>
    </row>
    <row r="88" spans="1:15" x14ac:dyDescent="0.25">
      <c r="A88">
        <v>277</v>
      </c>
      <c r="B88" s="1">
        <v>43100</v>
      </c>
      <c r="C88" s="9"/>
      <c r="D88" s="1" t="s">
        <v>821</v>
      </c>
      <c r="E88" s="1" t="s">
        <v>105</v>
      </c>
      <c r="F88" s="16"/>
      <c r="G88" s="36"/>
      <c r="H88" s="51"/>
      <c r="I88" s="29"/>
      <c r="J88" s="27"/>
      <c r="K88" s="31"/>
      <c r="M88" s="31"/>
      <c r="N88" s="33"/>
      <c r="O88" s="29"/>
    </row>
    <row r="89" spans="1:15" x14ac:dyDescent="0.25">
      <c r="A89">
        <v>278</v>
      </c>
      <c r="B89" s="1">
        <v>43100</v>
      </c>
      <c r="C89" s="9" t="s">
        <v>614</v>
      </c>
      <c r="D89" s="1" t="s">
        <v>820</v>
      </c>
      <c r="E89" s="1" t="s">
        <v>105</v>
      </c>
      <c r="F89" s="16"/>
      <c r="G89" s="36">
        <v>494.334</v>
      </c>
      <c r="H89" s="51">
        <v>1</v>
      </c>
      <c r="I89" s="29">
        <v>494.334</v>
      </c>
      <c r="J89" s="27">
        <v>0</v>
      </c>
      <c r="K89" s="31">
        <v>0</v>
      </c>
      <c r="L89" t="str">
        <f>J89&amp;"%"</f>
        <v>0%</v>
      </c>
      <c r="M89" s="31">
        <v>0</v>
      </c>
      <c r="N89" s="33">
        <v>494.334</v>
      </c>
      <c r="O89" s="29">
        <v>593.20079999999996</v>
      </c>
    </row>
    <row r="90" spans="1:15" x14ac:dyDescent="0.25">
      <c r="A90">
        <v>279</v>
      </c>
      <c r="B90" s="1">
        <v>43100</v>
      </c>
      <c r="C90" s="9"/>
      <c r="D90" s="1" t="s">
        <v>822</v>
      </c>
      <c r="E90" s="1" t="s">
        <v>105</v>
      </c>
      <c r="F90" s="16"/>
      <c r="G90" s="36"/>
      <c r="H90" s="51"/>
      <c r="I90" s="29"/>
      <c r="J90" s="27"/>
      <c r="K90" s="31"/>
      <c r="M90" s="31"/>
      <c r="N90" s="33"/>
      <c r="O90" s="29"/>
    </row>
    <row r="91" spans="1:15" x14ac:dyDescent="0.25">
      <c r="A91">
        <v>280</v>
      </c>
      <c r="B91" s="1">
        <v>43100</v>
      </c>
      <c r="C91" s="9"/>
      <c r="D91" s="1" t="s">
        <v>822</v>
      </c>
      <c r="E91" s="1" t="s">
        <v>105</v>
      </c>
      <c r="F91" s="16"/>
      <c r="G91" s="36"/>
      <c r="H91" s="51"/>
      <c r="I91" s="29"/>
      <c r="J91" s="27"/>
      <c r="K91" s="31"/>
      <c r="M91" s="31"/>
      <c r="N91" s="33"/>
      <c r="O91" s="29"/>
    </row>
    <row r="92" spans="1:15" x14ac:dyDescent="0.25">
      <c r="A92">
        <v>281</v>
      </c>
      <c r="B92" s="1">
        <v>43100</v>
      </c>
      <c r="C92" s="9"/>
      <c r="D92" s="1" t="s">
        <v>822</v>
      </c>
      <c r="E92" s="1" t="s">
        <v>105</v>
      </c>
      <c r="F92" s="16"/>
      <c r="G92" s="36"/>
      <c r="H92" s="51"/>
      <c r="I92" s="29"/>
      <c r="J92" s="27"/>
      <c r="K92" s="31"/>
      <c r="M92" s="31"/>
      <c r="N92" s="33"/>
      <c r="O92" s="29"/>
    </row>
    <row r="93" spans="1:15" x14ac:dyDescent="0.25">
      <c r="A93">
        <v>282</v>
      </c>
      <c r="B93" s="1">
        <v>43100</v>
      </c>
      <c r="C93" s="9"/>
      <c r="D93" s="1" t="s">
        <v>822</v>
      </c>
      <c r="E93" s="1" t="s">
        <v>105</v>
      </c>
      <c r="F93" s="16"/>
      <c r="G93" s="36"/>
      <c r="H93" s="51"/>
      <c r="I93" s="29"/>
      <c r="J93" s="27"/>
      <c r="K93" s="31"/>
      <c r="M93" s="31"/>
      <c r="N93" s="33"/>
      <c r="O93" s="29"/>
    </row>
    <row r="94" spans="1:15" x14ac:dyDescent="0.25">
      <c r="A94">
        <v>283</v>
      </c>
      <c r="B94" s="1">
        <v>43100</v>
      </c>
      <c r="C94" s="9"/>
      <c r="D94" s="1" t="s">
        <v>822</v>
      </c>
      <c r="E94" s="1" t="s">
        <v>105</v>
      </c>
      <c r="F94" s="16"/>
      <c r="G94" s="36"/>
      <c r="H94" s="51"/>
      <c r="I94" s="29"/>
      <c r="J94" s="27"/>
      <c r="K94" s="31"/>
      <c r="M94" s="31"/>
      <c r="N94" s="33"/>
      <c r="O94" s="29"/>
    </row>
    <row r="95" spans="1:15" x14ac:dyDescent="0.25">
      <c r="A95">
        <v>284</v>
      </c>
      <c r="B95" s="1">
        <v>43100</v>
      </c>
      <c r="C95" s="9"/>
      <c r="D95" s="1" t="s">
        <v>822</v>
      </c>
      <c r="E95" s="1" t="s">
        <v>105</v>
      </c>
      <c r="F95" s="16"/>
      <c r="G95" s="36"/>
      <c r="H95" s="51"/>
      <c r="I95" s="29"/>
      <c r="J95" s="27"/>
      <c r="K95" s="31"/>
      <c r="M95" s="31"/>
      <c r="N95" s="33"/>
      <c r="O95" s="29"/>
    </row>
    <row r="96" spans="1:15" x14ac:dyDescent="0.25">
      <c r="A96">
        <v>285</v>
      </c>
      <c r="B96" s="1">
        <v>43100</v>
      </c>
      <c r="C96" s="9"/>
      <c r="D96" s="1" t="s">
        <v>822</v>
      </c>
      <c r="E96" s="1" t="s">
        <v>105</v>
      </c>
      <c r="F96" s="16"/>
      <c r="G96" s="36"/>
      <c r="H96" s="51"/>
      <c r="I96" s="29"/>
      <c r="J96" s="27"/>
      <c r="K96" s="31"/>
      <c r="M96" s="31"/>
      <c r="N96" s="33"/>
      <c r="O96" s="29"/>
    </row>
    <row r="97" spans="1:15" x14ac:dyDescent="0.25">
      <c r="A97">
        <v>286</v>
      </c>
      <c r="B97" s="1">
        <v>43100</v>
      </c>
      <c r="C97" s="9"/>
      <c r="D97" s="1" t="s">
        <v>822</v>
      </c>
      <c r="E97" s="1" t="s">
        <v>105</v>
      </c>
      <c r="F97" s="16"/>
      <c r="G97" s="36"/>
      <c r="H97" s="51"/>
      <c r="I97" s="29"/>
      <c r="J97" s="27"/>
      <c r="K97" s="31"/>
      <c r="M97" s="31"/>
      <c r="N97" s="33"/>
      <c r="O97" s="29"/>
    </row>
    <row r="98" spans="1:15" x14ac:dyDescent="0.25">
      <c r="A98">
        <v>287</v>
      </c>
      <c r="B98" s="1">
        <v>43100</v>
      </c>
      <c r="C98" s="9"/>
      <c r="D98" s="1" t="s">
        <v>822</v>
      </c>
      <c r="E98" s="1" t="s">
        <v>105</v>
      </c>
      <c r="F98" s="16"/>
      <c r="G98" s="36"/>
      <c r="H98" s="51"/>
      <c r="I98" s="29"/>
      <c r="J98" s="27"/>
      <c r="K98" s="31"/>
      <c r="M98" s="31"/>
      <c r="N98" s="33"/>
      <c r="O98" s="29"/>
    </row>
    <row r="99" spans="1:15" x14ac:dyDescent="0.25">
      <c r="A99">
        <v>288</v>
      </c>
      <c r="B99" s="1">
        <v>43100</v>
      </c>
      <c r="C99" s="9"/>
      <c r="D99" s="1" t="s">
        <v>822</v>
      </c>
      <c r="E99" s="1" t="s">
        <v>105</v>
      </c>
      <c r="F99" s="16"/>
      <c r="G99" s="36"/>
      <c r="H99" s="51"/>
      <c r="I99" s="29"/>
      <c r="J99" s="27"/>
      <c r="K99" s="31"/>
      <c r="M99" s="31"/>
      <c r="N99" s="33"/>
      <c r="O99" s="29"/>
    </row>
    <row r="100" spans="1:15" x14ac:dyDescent="0.25">
      <c r="A100">
        <v>289</v>
      </c>
      <c r="B100" s="1">
        <v>43100</v>
      </c>
      <c r="C100" s="9"/>
      <c r="D100" s="1" t="s">
        <v>822</v>
      </c>
      <c r="E100" s="1" t="s">
        <v>105</v>
      </c>
      <c r="F100" s="16"/>
      <c r="G100" s="36"/>
      <c r="H100" s="51"/>
      <c r="I100" s="29"/>
      <c r="J100" s="27"/>
      <c r="K100" s="31"/>
      <c r="M100" s="31"/>
      <c r="N100" s="33"/>
      <c r="O100" s="29"/>
    </row>
    <row r="101" spans="1:15" x14ac:dyDescent="0.25">
      <c r="A101">
        <v>290</v>
      </c>
      <c r="B101" s="1">
        <v>43100</v>
      </c>
      <c r="C101" s="9"/>
      <c r="D101" s="1" t="s">
        <v>822</v>
      </c>
      <c r="E101" s="1" t="s">
        <v>105</v>
      </c>
      <c r="F101" s="16"/>
      <c r="G101" s="36"/>
      <c r="H101" s="51"/>
      <c r="I101" s="29"/>
      <c r="J101" s="27"/>
      <c r="K101" s="31"/>
      <c r="M101" s="31"/>
      <c r="N101" s="33"/>
      <c r="O101" s="29"/>
    </row>
    <row r="102" spans="1:15" x14ac:dyDescent="0.25">
      <c r="A102">
        <v>291</v>
      </c>
      <c r="B102" s="1">
        <v>43100</v>
      </c>
      <c r="C102" s="9"/>
      <c r="D102" s="1" t="s">
        <v>822</v>
      </c>
      <c r="E102" s="1" t="s">
        <v>105</v>
      </c>
      <c r="F102" s="16"/>
      <c r="G102" s="36"/>
      <c r="H102" s="51"/>
      <c r="I102" s="29"/>
      <c r="J102" s="27"/>
      <c r="K102" s="31"/>
      <c r="M102" s="31"/>
      <c r="N102" s="33"/>
      <c r="O102" s="29"/>
    </row>
    <row r="103" spans="1:15" x14ac:dyDescent="0.25">
      <c r="A103">
        <v>292</v>
      </c>
      <c r="B103" s="1">
        <v>43100</v>
      </c>
      <c r="C103" s="9"/>
      <c r="D103" s="1" t="s">
        <v>822</v>
      </c>
      <c r="E103" s="1" t="s">
        <v>105</v>
      </c>
      <c r="F103" s="16"/>
      <c r="G103" s="36"/>
      <c r="H103" s="51"/>
      <c r="I103" s="29"/>
      <c r="J103" s="27"/>
      <c r="K103" s="31"/>
      <c r="M103" s="31"/>
      <c r="N103" s="33"/>
      <c r="O103" s="29"/>
    </row>
    <row r="104" spans="1:15" x14ac:dyDescent="0.25">
      <c r="A104">
        <v>293</v>
      </c>
      <c r="B104" s="1">
        <v>43100</v>
      </c>
      <c r="C104" s="9"/>
      <c r="D104" s="1" t="s">
        <v>822</v>
      </c>
      <c r="E104" s="1" t="s">
        <v>105</v>
      </c>
      <c r="F104" s="16"/>
      <c r="G104" s="36"/>
      <c r="H104" s="51"/>
      <c r="I104" s="29"/>
      <c r="J104" s="27"/>
      <c r="K104" s="31"/>
      <c r="M104" s="31"/>
      <c r="N104" s="33"/>
      <c r="O104" s="29"/>
    </row>
    <row r="105" spans="1:15" x14ac:dyDescent="0.25">
      <c r="A105">
        <v>294</v>
      </c>
      <c r="B105" s="1">
        <v>43100</v>
      </c>
      <c r="C105" s="9"/>
      <c r="D105" s="1" t="s">
        <v>822</v>
      </c>
      <c r="E105" s="1" t="s">
        <v>105</v>
      </c>
      <c r="F105" s="16"/>
      <c r="G105" s="36"/>
      <c r="H105" s="51"/>
      <c r="I105" s="29"/>
      <c r="J105" s="27"/>
      <c r="K105" s="31"/>
      <c r="M105" s="31"/>
      <c r="N105" s="33"/>
      <c r="O105" s="29"/>
    </row>
    <row r="106" spans="1:15" x14ac:dyDescent="0.25">
      <c r="A106">
        <v>295</v>
      </c>
      <c r="B106" s="1">
        <v>43100</v>
      </c>
      <c r="C106" s="9"/>
      <c r="D106" s="1" t="s">
        <v>822</v>
      </c>
      <c r="E106" s="1" t="s">
        <v>105</v>
      </c>
      <c r="F106" s="16"/>
      <c r="G106" s="36"/>
      <c r="H106" s="51"/>
      <c r="I106" s="29"/>
      <c r="J106" s="27"/>
      <c r="K106" s="31"/>
      <c r="M106" s="31"/>
      <c r="N106" s="33"/>
      <c r="O106" s="29"/>
    </row>
    <row r="107" spans="1:15" x14ac:dyDescent="0.25">
      <c r="A107">
        <v>296</v>
      </c>
      <c r="B107" s="1">
        <v>43100</v>
      </c>
      <c r="C107" s="9"/>
      <c r="D107" s="1" t="s">
        <v>822</v>
      </c>
      <c r="E107" s="1" t="s">
        <v>105</v>
      </c>
      <c r="F107" s="16"/>
      <c r="G107" s="36"/>
      <c r="H107" s="51"/>
      <c r="I107" s="29"/>
      <c r="J107" s="27"/>
      <c r="K107" s="31"/>
      <c r="M107" s="31"/>
      <c r="N107" s="33"/>
      <c r="O107" s="29"/>
    </row>
    <row r="108" spans="1:15" x14ac:dyDescent="0.25">
      <c r="A108">
        <v>297</v>
      </c>
      <c r="B108" s="1">
        <v>43100</v>
      </c>
      <c r="C108" s="9"/>
      <c r="D108" s="1" t="s">
        <v>822</v>
      </c>
      <c r="E108" s="1" t="s">
        <v>105</v>
      </c>
      <c r="F108" s="16"/>
      <c r="G108" s="36"/>
      <c r="H108" s="51"/>
      <c r="I108" s="29"/>
      <c r="J108" s="27"/>
      <c r="K108" s="31"/>
      <c r="M108" s="31"/>
      <c r="N108" s="33"/>
      <c r="O108" s="29"/>
    </row>
    <row r="109" spans="1:15" x14ac:dyDescent="0.25">
      <c r="A109">
        <v>298</v>
      </c>
      <c r="B109" s="1">
        <v>43100</v>
      </c>
      <c r="C109" s="9"/>
      <c r="D109" s="1" t="s">
        <v>822</v>
      </c>
      <c r="E109" s="1" t="s">
        <v>105</v>
      </c>
      <c r="F109" s="16"/>
      <c r="G109" s="36"/>
      <c r="H109" s="51"/>
      <c r="I109" s="29"/>
      <c r="J109" s="27"/>
      <c r="K109" s="31"/>
      <c r="M109" s="31"/>
      <c r="N109" s="33"/>
      <c r="O109" s="29"/>
    </row>
    <row r="110" spans="1:15" x14ac:dyDescent="0.25">
      <c r="A110">
        <v>299</v>
      </c>
      <c r="B110" s="1">
        <v>43100</v>
      </c>
      <c r="C110" s="9"/>
      <c r="D110" s="1" t="s">
        <v>822</v>
      </c>
      <c r="E110" s="1" t="s">
        <v>105</v>
      </c>
      <c r="F110" s="16"/>
      <c r="G110" s="36"/>
      <c r="H110" s="51"/>
      <c r="I110" s="29"/>
      <c r="J110" s="27"/>
      <c r="K110" s="31"/>
      <c r="M110" s="31"/>
      <c r="N110" s="33"/>
      <c r="O110" s="29"/>
    </row>
    <row r="111" spans="1:15" x14ac:dyDescent="0.25">
      <c r="A111">
        <v>300</v>
      </c>
      <c r="B111" s="1">
        <v>42752</v>
      </c>
      <c r="C111" s="9" t="s">
        <v>677</v>
      </c>
      <c r="D111" t="s">
        <v>843</v>
      </c>
      <c r="E111" s="1" t="s">
        <v>105</v>
      </c>
      <c r="F111" s="16" t="s">
        <v>703</v>
      </c>
      <c r="G111" s="36">
        <f t="shared" ref="G111:G120" si="4">20.61+1.04+2.5-2.5</f>
        <v>21.65</v>
      </c>
      <c r="H111" s="51">
        <f t="shared" ref="H111:H121" si="5">2/3</f>
        <v>0.66666666666666663</v>
      </c>
      <c r="I111" s="29">
        <f t="shared" ref="I111:I122" si="6">H111*O111</f>
        <v>17.319999999999997</v>
      </c>
      <c r="J111" s="27">
        <v>20</v>
      </c>
      <c r="K111" s="31">
        <v>6.24</v>
      </c>
      <c r="L111" t="str">
        <f t="shared" ref="L111:L122" si="7">J111&amp;"%"</f>
        <v>20%</v>
      </c>
      <c r="M111" s="31">
        <v>2.1034739941118747</v>
      </c>
      <c r="N111" s="33">
        <f t="shared" ref="N111:N121" si="8">G111*H111</f>
        <v>14.433333333333332</v>
      </c>
      <c r="O111" s="29">
        <f t="shared" ref="O111:O121" si="9">G111*(1+J111%)</f>
        <v>25.979999999999997</v>
      </c>
    </row>
    <row r="112" spans="1:15" x14ac:dyDescent="0.25">
      <c r="A112">
        <v>301</v>
      </c>
      <c r="B112" s="1">
        <v>42782</v>
      </c>
      <c r="C112" s="9" t="s">
        <v>676</v>
      </c>
      <c r="D112" t="s">
        <v>843</v>
      </c>
      <c r="E112" s="1" t="s">
        <v>105</v>
      </c>
      <c r="F112" s="16" t="s">
        <v>703</v>
      </c>
      <c r="G112" s="36">
        <f t="shared" si="4"/>
        <v>21.65</v>
      </c>
      <c r="H112" s="51">
        <f t="shared" si="5"/>
        <v>0.66666666666666663</v>
      </c>
      <c r="I112" s="29">
        <f t="shared" si="6"/>
        <v>17.319999999999997</v>
      </c>
      <c r="J112" s="27">
        <v>20</v>
      </c>
      <c r="K112" s="31">
        <v>6.24</v>
      </c>
      <c r="L112" t="str">
        <f t="shared" si="7"/>
        <v>20%</v>
      </c>
      <c r="M112" s="31">
        <v>2.1034739941118747</v>
      </c>
      <c r="N112" s="33">
        <f t="shared" si="8"/>
        <v>14.433333333333332</v>
      </c>
      <c r="O112" s="29">
        <f t="shared" si="9"/>
        <v>25.979999999999997</v>
      </c>
    </row>
    <row r="113" spans="1:15" x14ac:dyDescent="0.25">
      <c r="A113">
        <v>302</v>
      </c>
      <c r="B113" s="1">
        <v>42810</v>
      </c>
      <c r="C113" s="9" t="s">
        <v>675</v>
      </c>
      <c r="D113" t="s">
        <v>843</v>
      </c>
      <c r="E113" s="1" t="s">
        <v>105</v>
      </c>
      <c r="F113" s="16" t="s">
        <v>703</v>
      </c>
      <c r="G113" s="36">
        <f t="shared" si="4"/>
        <v>21.65</v>
      </c>
      <c r="H113" s="51">
        <f t="shared" si="5"/>
        <v>0.66666666666666663</v>
      </c>
      <c r="I113" s="29">
        <f t="shared" si="6"/>
        <v>17.319999999999997</v>
      </c>
      <c r="J113" s="27">
        <v>20</v>
      </c>
      <c r="K113" s="31">
        <v>6.24</v>
      </c>
      <c r="L113" t="str">
        <f t="shared" si="7"/>
        <v>20%</v>
      </c>
      <c r="M113" s="31">
        <v>2.1034739941118747</v>
      </c>
      <c r="N113" s="33">
        <f t="shared" si="8"/>
        <v>14.433333333333332</v>
      </c>
      <c r="O113" s="29">
        <f t="shared" si="9"/>
        <v>25.979999999999997</v>
      </c>
    </row>
    <row r="114" spans="1:15" x14ac:dyDescent="0.25">
      <c r="A114">
        <v>303</v>
      </c>
      <c r="B114" s="1">
        <v>42843</v>
      </c>
      <c r="C114" s="9" t="s">
        <v>674</v>
      </c>
      <c r="D114" t="s">
        <v>843</v>
      </c>
      <c r="E114" s="1" t="s">
        <v>105</v>
      </c>
      <c r="F114" s="16" t="s">
        <v>703</v>
      </c>
      <c r="G114" s="36">
        <f t="shared" si="4"/>
        <v>21.65</v>
      </c>
      <c r="H114" s="51">
        <f t="shared" si="5"/>
        <v>0.66666666666666663</v>
      </c>
      <c r="I114" s="29">
        <f t="shared" si="6"/>
        <v>17.319999999999997</v>
      </c>
      <c r="J114" s="27">
        <v>20</v>
      </c>
      <c r="K114" s="31">
        <v>6.24</v>
      </c>
      <c r="L114" t="str">
        <f t="shared" si="7"/>
        <v>20%</v>
      </c>
      <c r="M114" s="31">
        <v>2.1034739941118747</v>
      </c>
      <c r="N114" s="33">
        <f t="shared" si="8"/>
        <v>14.433333333333332</v>
      </c>
      <c r="O114" s="29">
        <f t="shared" si="9"/>
        <v>25.979999999999997</v>
      </c>
    </row>
    <row r="115" spans="1:15" x14ac:dyDescent="0.25">
      <c r="A115">
        <v>304</v>
      </c>
      <c r="B115" s="1">
        <v>42873</v>
      </c>
      <c r="C115" s="9" t="s">
        <v>673</v>
      </c>
      <c r="D115" t="s">
        <v>843</v>
      </c>
      <c r="E115" s="1" t="s">
        <v>105</v>
      </c>
      <c r="F115" s="16" t="s">
        <v>703</v>
      </c>
      <c r="G115" s="36">
        <f t="shared" si="4"/>
        <v>21.65</v>
      </c>
      <c r="H115" s="51">
        <f t="shared" si="5"/>
        <v>0.66666666666666663</v>
      </c>
      <c r="I115" s="29">
        <f t="shared" si="6"/>
        <v>17.319999999999997</v>
      </c>
      <c r="J115" s="27">
        <v>20</v>
      </c>
      <c r="K115" s="31">
        <v>6.24</v>
      </c>
      <c r="L115" t="str">
        <f t="shared" si="7"/>
        <v>20%</v>
      </c>
      <c r="M115" s="31">
        <v>2.1034739941118747</v>
      </c>
      <c r="N115" s="33">
        <f t="shared" si="8"/>
        <v>14.433333333333332</v>
      </c>
      <c r="O115" s="29">
        <f t="shared" si="9"/>
        <v>25.979999999999997</v>
      </c>
    </row>
    <row r="116" spans="1:15" x14ac:dyDescent="0.25">
      <c r="A116">
        <v>305</v>
      </c>
      <c r="B116" s="1">
        <v>42906</v>
      </c>
      <c r="C116" s="9" t="s">
        <v>672</v>
      </c>
      <c r="D116" t="s">
        <v>843</v>
      </c>
      <c r="E116" s="1" t="s">
        <v>105</v>
      </c>
      <c r="F116" s="16" t="s">
        <v>703</v>
      </c>
      <c r="G116" s="36">
        <f t="shared" si="4"/>
        <v>21.65</v>
      </c>
      <c r="H116" s="51">
        <f t="shared" si="5"/>
        <v>0.66666666666666663</v>
      </c>
      <c r="I116" s="29">
        <f t="shared" si="6"/>
        <v>17.319999999999997</v>
      </c>
      <c r="J116" s="27">
        <v>20</v>
      </c>
      <c r="K116" s="31">
        <v>6.24</v>
      </c>
      <c r="L116" t="str">
        <f t="shared" si="7"/>
        <v>20%</v>
      </c>
      <c r="M116" s="31">
        <v>2.1034739941118747</v>
      </c>
      <c r="N116" s="33">
        <f t="shared" si="8"/>
        <v>14.433333333333332</v>
      </c>
      <c r="O116" s="29">
        <f t="shared" si="9"/>
        <v>25.979999999999997</v>
      </c>
    </row>
    <row r="117" spans="1:15" x14ac:dyDescent="0.25">
      <c r="A117">
        <v>306</v>
      </c>
      <c r="B117" s="1">
        <v>42920</v>
      </c>
      <c r="C117" s="9" t="s">
        <v>671</v>
      </c>
      <c r="D117" t="s">
        <v>843</v>
      </c>
      <c r="E117" s="1" t="s">
        <v>105</v>
      </c>
      <c r="F117" s="16" t="s">
        <v>703</v>
      </c>
      <c r="G117" s="36">
        <f t="shared" si="4"/>
        <v>21.65</v>
      </c>
      <c r="H117" s="51">
        <f t="shared" si="5"/>
        <v>0.66666666666666663</v>
      </c>
      <c r="I117" s="29">
        <f t="shared" si="6"/>
        <v>17.319999999999997</v>
      </c>
      <c r="J117" s="27">
        <v>20</v>
      </c>
      <c r="K117" s="31">
        <v>6.24</v>
      </c>
      <c r="L117" t="str">
        <f t="shared" si="7"/>
        <v>20%</v>
      </c>
      <c r="M117" s="31">
        <v>2.1034739941118747</v>
      </c>
      <c r="N117" s="33">
        <f t="shared" si="8"/>
        <v>14.433333333333332</v>
      </c>
      <c r="O117" s="29">
        <f t="shared" si="9"/>
        <v>25.979999999999997</v>
      </c>
    </row>
    <row r="118" spans="1:15" x14ac:dyDescent="0.25">
      <c r="A118">
        <v>307</v>
      </c>
      <c r="B118" s="1">
        <v>42950</v>
      </c>
      <c r="C118" s="9" t="s">
        <v>670</v>
      </c>
      <c r="D118" t="s">
        <v>843</v>
      </c>
      <c r="E118" s="1" t="s">
        <v>105</v>
      </c>
      <c r="F118" s="16" t="s">
        <v>703</v>
      </c>
      <c r="G118" s="36">
        <f t="shared" si="4"/>
        <v>21.65</v>
      </c>
      <c r="H118" s="51">
        <f t="shared" si="5"/>
        <v>0.66666666666666663</v>
      </c>
      <c r="I118" s="29">
        <f t="shared" si="6"/>
        <v>17.319999999999997</v>
      </c>
      <c r="J118" s="27">
        <v>20</v>
      </c>
      <c r="K118" s="31">
        <v>6.24</v>
      </c>
      <c r="L118" t="str">
        <f t="shared" si="7"/>
        <v>20%</v>
      </c>
      <c r="M118" s="31">
        <v>2.1034739941118747</v>
      </c>
      <c r="N118" s="33">
        <f t="shared" si="8"/>
        <v>14.433333333333332</v>
      </c>
      <c r="O118" s="29">
        <f t="shared" si="9"/>
        <v>25.979999999999997</v>
      </c>
    </row>
    <row r="119" spans="1:15" x14ac:dyDescent="0.25">
      <c r="A119">
        <v>308</v>
      </c>
      <c r="B119" s="1">
        <v>42983</v>
      </c>
      <c r="C119" s="9" t="s">
        <v>669</v>
      </c>
      <c r="D119" t="s">
        <v>843</v>
      </c>
      <c r="E119" s="1" t="s">
        <v>105</v>
      </c>
      <c r="F119" s="16" t="s">
        <v>703</v>
      </c>
      <c r="G119" s="36">
        <f t="shared" si="4"/>
        <v>21.65</v>
      </c>
      <c r="H119" s="51">
        <f t="shared" si="5"/>
        <v>0.66666666666666663</v>
      </c>
      <c r="I119" s="29">
        <f t="shared" si="6"/>
        <v>17.319999999999997</v>
      </c>
      <c r="J119" s="27">
        <v>20</v>
      </c>
      <c r="K119" s="31">
        <v>6.24</v>
      </c>
      <c r="L119" t="str">
        <f t="shared" si="7"/>
        <v>20%</v>
      </c>
      <c r="M119" s="31">
        <v>2.1034739941118747</v>
      </c>
      <c r="N119" s="33">
        <f t="shared" si="8"/>
        <v>14.433333333333332</v>
      </c>
      <c r="O119" s="29">
        <f t="shared" si="9"/>
        <v>25.979999999999997</v>
      </c>
    </row>
    <row r="120" spans="1:15" x14ac:dyDescent="0.25">
      <c r="A120">
        <v>309</v>
      </c>
      <c r="B120" s="1">
        <v>43013</v>
      </c>
      <c r="C120" s="9" t="s">
        <v>668</v>
      </c>
      <c r="D120" t="s">
        <v>843</v>
      </c>
      <c r="E120" s="1" t="s">
        <v>105</v>
      </c>
      <c r="F120" s="16" t="s">
        <v>703</v>
      </c>
      <c r="G120" s="36">
        <f t="shared" si="4"/>
        <v>21.65</v>
      </c>
      <c r="H120" s="51">
        <f t="shared" si="5"/>
        <v>0.66666666666666663</v>
      </c>
      <c r="I120" s="29">
        <f t="shared" si="6"/>
        <v>17.319999999999997</v>
      </c>
      <c r="J120" s="27">
        <v>20</v>
      </c>
      <c r="K120" s="31">
        <v>6.24</v>
      </c>
      <c r="L120" t="str">
        <f t="shared" si="7"/>
        <v>20%</v>
      </c>
      <c r="M120" s="31">
        <v>2.1034739941118747</v>
      </c>
      <c r="N120" s="33">
        <f t="shared" si="8"/>
        <v>14.433333333333332</v>
      </c>
      <c r="O120" s="29">
        <f t="shared" si="9"/>
        <v>25.979999999999997</v>
      </c>
    </row>
    <row r="121" spans="1:15" x14ac:dyDescent="0.25">
      <c r="A121">
        <v>310</v>
      </c>
      <c r="B121" s="1">
        <v>43046</v>
      </c>
      <c r="C121" s="9" t="s">
        <v>667</v>
      </c>
      <c r="D121" t="s">
        <v>843</v>
      </c>
      <c r="E121" s="1" t="s">
        <v>105</v>
      </c>
      <c r="F121" s="16" t="s">
        <v>703</v>
      </c>
      <c r="G121" s="36">
        <f>20.61+1.04+2.5-2.5</f>
        <v>21.65</v>
      </c>
      <c r="H121" s="51">
        <f t="shared" si="5"/>
        <v>0.66666666666666663</v>
      </c>
      <c r="I121" s="29">
        <f t="shared" si="6"/>
        <v>17.319999999999997</v>
      </c>
      <c r="J121" s="27">
        <v>20</v>
      </c>
      <c r="K121" s="31">
        <v>6.24</v>
      </c>
      <c r="L121" t="str">
        <f t="shared" si="7"/>
        <v>20%</v>
      </c>
      <c r="M121" s="31">
        <v>2.1034739941118747</v>
      </c>
      <c r="N121" s="33">
        <f t="shared" si="8"/>
        <v>14.433333333333332</v>
      </c>
      <c r="O121" s="29">
        <f t="shared" si="9"/>
        <v>25.979999999999997</v>
      </c>
    </row>
    <row r="122" spans="1:15" x14ac:dyDescent="0.25">
      <c r="A122">
        <v>311</v>
      </c>
      <c r="B122" s="1">
        <v>43074</v>
      </c>
      <c r="C122" s="9" t="s">
        <v>666</v>
      </c>
      <c r="D122" t="s">
        <v>843</v>
      </c>
      <c r="E122" s="1" t="s">
        <v>105</v>
      </c>
      <c r="F122" s="16" t="s">
        <v>703</v>
      </c>
      <c r="G122" s="36">
        <f>20.66+1.04+2.5-2.5</f>
        <v>21.7</v>
      </c>
      <c r="H122" s="51">
        <f>2/3</f>
        <v>0.66666666666666663</v>
      </c>
      <c r="I122" s="29">
        <f t="shared" si="6"/>
        <v>17.36</v>
      </c>
      <c r="J122" s="27">
        <v>20</v>
      </c>
      <c r="K122" s="31">
        <v>6.38</v>
      </c>
      <c r="L122" t="str">
        <f t="shared" si="7"/>
        <v>20%</v>
      </c>
      <c r="M122" s="31">
        <v>2.1390912041544956</v>
      </c>
      <c r="N122" s="33">
        <f>G122*H122</f>
        <v>14.466666666666665</v>
      </c>
      <c r="O122" s="29">
        <f>G122*(1+J122%)</f>
        <v>26.04</v>
      </c>
    </row>
  </sheetData>
  <conditionalFormatting sqref="B36:B44 B51 B55 B65:B78 B80:B122 B13:B15 B20:B22 B17:B18 B10:B11 B2:B8 B57:B63">
    <cfRule type="expression" dxfId="1455" priority="3">
      <formula>ISBLANK($D2)</formula>
    </cfRule>
  </conditionalFormatting>
  <conditionalFormatting sqref="B1">
    <cfRule type="expression" dxfId="1454" priority="99">
      <formula>ISBLANK($D1)</formula>
    </cfRule>
  </conditionalFormatting>
  <conditionalFormatting sqref="G1">
    <cfRule type="expression" dxfId="1453" priority="98">
      <formula>"$G$G&gt;400"</formula>
    </cfRule>
  </conditionalFormatting>
  <conditionalFormatting sqref="B29:B34">
    <cfRule type="expression" dxfId="1452" priority="97">
      <formula>ISBLANK($D29)</formula>
    </cfRule>
  </conditionalFormatting>
  <conditionalFormatting sqref="G3">
    <cfRule type="expression" dxfId="1451" priority="96">
      <formula>"$G$G&gt;400"</formula>
    </cfRule>
  </conditionalFormatting>
  <conditionalFormatting sqref="G2">
    <cfRule type="expression" dxfId="1450" priority="95">
      <formula>"$G$G&gt;400"</formula>
    </cfRule>
  </conditionalFormatting>
  <conditionalFormatting sqref="B9">
    <cfRule type="expression" dxfId="1449" priority="93">
      <formula>ISBLANK($D9)</formula>
    </cfRule>
  </conditionalFormatting>
  <conditionalFormatting sqref="G122 G36 G43:G44 G55:G56 G61 G63:G75 G77:G78 G81 G85:G86 G14:G15 G20:G21 G17:G18 G4:G5">
    <cfRule type="expression" dxfId="1448" priority="92">
      <formula>"$G$G&gt;400"</formula>
    </cfRule>
  </conditionalFormatting>
  <conditionalFormatting sqref="G6">
    <cfRule type="expression" dxfId="1447" priority="91">
      <formula>"$G$G&gt;400"</formula>
    </cfRule>
  </conditionalFormatting>
  <conditionalFormatting sqref="G7">
    <cfRule type="expression" dxfId="1446" priority="90">
      <formula>"$G$G&gt;400"</formula>
    </cfRule>
  </conditionalFormatting>
  <conditionalFormatting sqref="G8">
    <cfRule type="expression" dxfId="1445" priority="89">
      <formula>"$G$G&gt;400"</formula>
    </cfRule>
  </conditionalFormatting>
  <conditionalFormatting sqref="G9">
    <cfRule type="expression" dxfId="1444" priority="88">
      <formula>"$G$G&gt;400"</formula>
    </cfRule>
  </conditionalFormatting>
  <conditionalFormatting sqref="G10">
    <cfRule type="expression" dxfId="1443" priority="87">
      <formula>"$G$G&gt;400"</formula>
    </cfRule>
  </conditionalFormatting>
  <conditionalFormatting sqref="G11">
    <cfRule type="expression" dxfId="1442" priority="86">
      <formula>"$G$G&gt;400"</formula>
    </cfRule>
  </conditionalFormatting>
  <conditionalFormatting sqref="B12">
    <cfRule type="expression" dxfId="1441" priority="85">
      <formula>ISBLANK($D12)</formula>
    </cfRule>
  </conditionalFormatting>
  <conditionalFormatting sqref="B19">
    <cfRule type="expression" dxfId="1440" priority="84">
      <formula>ISBLANK($D19)</formula>
    </cfRule>
  </conditionalFormatting>
  <conditionalFormatting sqref="G12">
    <cfRule type="expression" dxfId="1439" priority="82">
      <formula>"$G$G&gt;400"</formula>
    </cfRule>
  </conditionalFormatting>
  <conditionalFormatting sqref="G13">
    <cfRule type="expression" dxfId="1438" priority="81">
      <formula>"$G$G&gt;400"</formula>
    </cfRule>
  </conditionalFormatting>
  <conditionalFormatting sqref="G19">
    <cfRule type="expression" dxfId="1437" priority="80">
      <formula>"$G$G&gt;400"</formula>
    </cfRule>
  </conditionalFormatting>
  <conditionalFormatting sqref="G22">
    <cfRule type="expression" dxfId="1436" priority="79">
      <formula>"$G$G&gt;400"</formula>
    </cfRule>
  </conditionalFormatting>
  <conditionalFormatting sqref="G23:G26">
    <cfRule type="expression" dxfId="1435" priority="78">
      <formula>"$G$G&gt;400"</formula>
    </cfRule>
  </conditionalFormatting>
  <conditionalFormatting sqref="B27">
    <cfRule type="expression" dxfId="1434" priority="77">
      <formula>ISBLANK($D27)</formula>
    </cfRule>
  </conditionalFormatting>
  <conditionalFormatting sqref="B28">
    <cfRule type="expression" dxfId="1433" priority="76">
      <formula>ISBLANK($D28)</formula>
    </cfRule>
  </conditionalFormatting>
  <conditionalFormatting sqref="G27">
    <cfRule type="expression" dxfId="1432" priority="73">
      <formula>"$G$G&gt;400"</formula>
    </cfRule>
  </conditionalFormatting>
  <conditionalFormatting sqref="G28">
    <cfRule type="expression" dxfId="1431" priority="70">
      <formula>"$G$G&gt;400"</formula>
    </cfRule>
  </conditionalFormatting>
  <conditionalFormatting sqref="B35">
    <cfRule type="expression" dxfId="1430" priority="69">
      <formula>ISBLANK($D35)</formula>
    </cfRule>
  </conditionalFormatting>
  <conditionalFormatting sqref="B64">
    <cfRule type="expression" dxfId="1429" priority="68">
      <formula>ISBLANK($D64)</formula>
    </cfRule>
  </conditionalFormatting>
  <conditionalFormatting sqref="B79">
    <cfRule type="expression" dxfId="1428" priority="67">
      <formula>ISBLANK($D79)</formula>
    </cfRule>
  </conditionalFormatting>
  <conditionalFormatting sqref="G29:G33">
    <cfRule type="expression" dxfId="1427" priority="64">
      <formula>"$G$G&gt;400"</formula>
    </cfRule>
  </conditionalFormatting>
  <conditionalFormatting sqref="G34">
    <cfRule type="expression" dxfId="1426" priority="62">
      <formula>"$G$G&gt;400"</formula>
    </cfRule>
  </conditionalFormatting>
  <conditionalFormatting sqref="G35">
    <cfRule type="expression" dxfId="1425" priority="61">
      <formula>"$G$G&gt;400"</formula>
    </cfRule>
  </conditionalFormatting>
  <conditionalFormatting sqref="G42">
    <cfRule type="expression" dxfId="1424" priority="59">
      <formula>"$G$G&gt;400"</formula>
    </cfRule>
  </conditionalFormatting>
  <conditionalFormatting sqref="G38">
    <cfRule type="expression" dxfId="1423" priority="58">
      <formula>"$G$G&gt;400"</formula>
    </cfRule>
  </conditionalFormatting>
  <conditionalFormatting sqref="G37">
    <cfRule type="expression" dxfId="1422" priority="57">
      <formula>"$G$G&gt;400"</formula>
    </cfRule>
  </conditionalFormatting>
  <conditionalFormatting sqref="G43">
    <cfRule type="expression" dxfId="1421" priority="56">
      <formula>"$G$G&gt;400"</formula>
    </cfRule>
  </conditionalFormatting>
  <conditionalFormatting sqref="G40">
    <cfRule type="expression" dxfId="1420" priority="55">
      <formula>"$G$G&gt;400"</formula>
    </cfRule>
  </conditionalFormatting>
  <conditionalFormatting sqref="G39">
    <cfRule type="expression" dxfId="1419" priority="54">
      <formula>"$G$G&gt;400"</formula>
    </cfRule>
  </conditionalFormatting>
  <conditionalFormatting sqref="G36">
    <cfRule type="expression" dxfId="1418" priority="53">
      <formula>"$G$G&gt;400"</formula>
    </cfRule>
  </conditionalFormatting>
  <conditionalFormatting sqref="G41">
    <cfRule type="expression" dxfId="1417" priority="52">
      <formula>"$G$G&gt;400"</formula>
    </cfRule>
  </conditionalFormatting>
  <conditionalFormatting sqref="G44">
    <cfRule type="expression" dxfId="1416" priority="51">
      <formula>"$G$G&gt;400"</formula>
    </cfRule>
  </conditionalFormatting>
  <conditionalFormatting sqref="G45">
    <cfRule type="expression" dxfId="1415" priority="50">
      <formula>"$G$G&gt;400"</formula>
    </cfRule>
  </conditionalFormatting>
  <conditionalFormatting sqref="G46">
    <cfRule type="expression" dxfId="1414" priority="49">
      <formula>"$G$G&gt;400"</formula>
    </cfRule>
  </conditionalFormatting>
  <conditionalFormatting sqref="G47">
    <cfRule type="expression" dxfId="1413" priority="48">
      <formula>"$G$G&gt;400"</formula>
    </cfRule>
  </conditionalFormatting>
  <conditionalFormatting sqref="G49">
    <cfRule type="expression" dxfId="1412" priority="44">
      <formula>"$G$G&gt;400"</formula>
    </cfRule>
  </conditionalFormatting>
  <conditionalFormatting sqref="G50">
    <cfRule type="expression" dxfId="1411" priority="43">
      <formula>"$G$G&gt;400"</formula>
    </cfRule>
  </conditionalFormatting>
  <conditionalFormatting sqref="G48">
    <cfRule type="expression" dxfId="1410" priority="42">
      <formula>"$G$G&gt;400"</formula>
    </cfRule>
  </conditionalFormatting>
  <conditionalFormatting sqref="G48">
    <cfRule type="expression" dxfId="1409" priority="41">
      <formula>"$G$G&gt;400"</formula>
    </cfRule>
  </conditionalFormatting>
  <conditionalFormatting sqref="G51">
    <cfRule type="expression" dxfId="1408" priority="40">
      <formula>"$G$G&gt;400"</formula>
    </cfRule>
  </conditionalFormatting>
  <conditionalFormatting sqref="G52">
    <cfRule type="expression" dxfId="1407" priority="37">
      <formula>"$G$G&gt;400"</formula>
    </cfRule>
  </conditionalFormatting>
  <conditionalFormatting sqref="G52">
    <cfRule type="expression" dxfId="1406" priority="36">
      <formula>"$G$G&gt;400"</formula>
    </cfRule>
  </conditionalFormatting>
  <conditionalFormatting sqref="G53">
    <cfRule type="expression" dxfId="1405" priority="35">
      <formula>"$G$G&gt;400"</formula>
    </cfRule>
  </conditionalFormatting>
  <conditionalFormatting sqref="G54">
    <cfRule type="expression" dxfId="1404" priority="32">
      <formula>"$G$G&gt;400"</formula>
    </cfRule>
  </conditionalFormatting>
  <conditionalFormatting sqref="G57">
    <cfRule type="expression" dxfId="1403" priority="29">
      <formula>"$G$G&gt;400"</formula>
    </cfRule>
  </conditionalFormatting>
  <conditionalFormatting sqref="G76">
    <cfRule type="expression" dxfId="1402" priority="26">
      <formula>"$G$G&gt;400"</formula>
    </cfRule>
  </conditionalFormatting>
  <conditionalFormatting sqref="G79">
    <cfRule type="expression" dxfId="1401" priority="23">
      <formula>"$G$G&gt;400"</formula>
    </cfRule>
  </conditionalFormatting>
  <conditionalFormatting sqref="G80">
    <cfRule type="expression" dxfId="1400" priority="21">
      <formula>"$G$G&gt;400"</formula>
    </cfRule>
  </conditionalFormatting>
  <conditionalFormatting sqref="G82">
    <cfRule type="expression" dxfId="1399" priority="17">
      <formula>"$G$G&gt;400"</formula>
    </cfRule>
  </conditionalFormatting>
  <conditionalFormatting sqref="G83:G84">
    <cfRule type="expression" dxfId="1398" priority="15">
      <formula>"$G$G&gt;400"</formula>
    </cfRule>
  </conditionalFormatting>
  <conditionalFormatting sqref="G83:G84">
    <cfRule type="expression" dxfId="1397" priority="14">
      <formula>"$G$G&gt;400"</formula>
    </cfRule>
  </conditionalFormatting>
  <conditionalFormatting sqref="G87:G88">
    <cfRule type="expression" dxfId="1396" priority="10">
      <formula>"$G$G&gt;400"</formula>
    </cfRule>
  </conditionalFormatting>
  <conditionalFormatting sqref="G89:G110">
    <cfRule type="expression" dxfId="1395" priority="6">
      <formula>"$G$G&gt;400"</formula>
    </cfRule>
  </conditionalFormatting>
  <conditionalFormatting sqref="B56">
    <cfRule type="expression" dxfId="1394" priority="2">
      <formula>ISBLANK($D56)</formula>
    </cfRule>
  </conditionalFormatting>
  <conditionalFormatting sqref="G111:G121">
    <cfRule type="expression" dxfId="1393" priority="1">
      <formula>"$G$G&gt;400"</formula>
    </cfRule>
  </conditionalFormatting>
  <conditionalFormatting sqref="B23:B26">
    <cfRule type="expression" dxfId="1392" priority="939">
      <formula>ISBLANK($B23)</formula>
    </cfRule>
  </conditionalFormatting>
  <dataValidations count="1">
    <dataValidation type="list" allowBlank="1" showInputMessage="1" showErrorMessage="1" sqref="F2:F122" xr:uid="{10855221-B9D6-4C2B-86DF-5432C8439937}">
      <formula1>Spesenart</formula1>
    </dataValidation>
  </dataValidations>
  <pageMargins left="0.7" right="0.7" top="0.78740157499999996" bottom="0.78740157499999996" header="0.3" footer="0.3"/>
  <pageSetup paperSize="9" orientation="portrait"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82599-14F7-43E6-B2E7-5B51A9C16422}">
  <sheetPr codeName="Tabelle13"/>
  <dimension ref="A1:Q11"/>
  <sheetViews>
    <sheetView workbookViewId="0">
      <selection activeCell="I2" sqref="I2:J2"/>
    </sheetView>
  </sheetViews>
  <sheetFormatPr baseColWidth="10" defaultRowHeight="15" x14ac:dyDescent="0.25"/>
  <cols>
    <col min="1" max="1" width="11.42578125" customWidth="1"/>
    <col min="2" max="3" width="11.42578125" hidden="1" customWidth="1"/>
    <col min="4" max="4" width="0" hidden="1" customWidth="1"/>
    <col min="6" max="6" width="11.42578125" hidden="1" customWidth="1"/>
    <col min="7" max="7" width="10.7109375" customWidth="1"/>
    <col min="8" max="8" width="0.140625" hidden="1" customWidth="1"/>
    <col min="9" max="10" width="12.85546875" customWidth="1"/>
    <col min="15" max="17" width="0" hidden="1" customWidth="1"/>
  </cols>
  <sheetData>
    <row r="1" spans="1:17" x14ac:dyDescent="0.25">
      <c r="A1" s="40" t="s">
        <v>0</v>
      </c>
      <c r="B1" s="40" t="s">
        <v>27</v>
      </c>
      <c r="C1" s="40" t="s">
        <v>122</v>
      </c>
      <c r="D1" s="40"/>
      <c r="E1" s="40" t="s">
        <v>7</v>
      </c>
      <c r="F1" s="40" t="s">
        <v>230</v>
      </c>
      <c r="G1" s="40" t="s">
        <v>26</v>
      </c>
      <c r="H1" s="40" t="s">
        <v>1</v>
      </c>
      <c r="I1" s="2" t="s">
        <v>706</v>
      </c>
      <c r="J1" s="2" t="s">
        <v>682</v>
      </c>
      <c r="K1" s="41" t="s">
        <v>5</v>
      </c>
      <c r="L1" t="s">
        <v>844</v>
      </c>
      <c r="M1" s="41" t="s">
        <v>4</v>
      </c>
      <c r="N1" s="41" t="s">
        <v>2</v>
      </c>
      <c r="O1" s="40" t="s">
        <v>3</v>
      </c>
      <c r="P1" s="42" t="s">
        <v>46</v>
      </c>
      <c r="Q1" s="40" t="s">
        <v>45</v>
      </c>
    </row>
    <row r="2" spans="1:17" x14ac:dyDescent="0.25">
      <c r="A2" s="43">
        <v>12017001</v>
      </c>
      <c r="B2" s="44">
        <v>42749</v>
      </c>
      <c r="C2" s="44">
        <v>42763</v>
      </c>
      <c r="D2" s="44"/>
      <c r="E2" s="44">
        <v>42789</v>
      </c>
      <c r="F2" s="44">
        <v>42782</v>
      </c>
      <c r="G2" s="43" t="s">
        <v>181</v>
      </c>
      <c r="H2" s="43" t="s">
        <v>182</v>
      </c>
      <c r="I2" t="s">
        <v>708</v>
      </c>
      <c r="J2" s="62" t="s">
        <v>709</v>
      </c>
      <c r="K2" s="45">
        <v>50.4</v>
      </c>
      <c r="L2" t="str">
        <f t="shared" ref="L2:L11" si="0">O2&amp;"%"</f>
        <v>20%</v>
      </c>
      <c r="M2" s="45">
        <v>8.4</v>
      </c>
      <c r="N2" s="45">
        <v>42</v>
      </c>
      <c r="O2" s="43">
        <v>20</v>
      </c>
      <c r="P2" s="44">
        <v>42870</v>
      </c>
      <c r="Q2" s="44">
        <v>42860</v>
      </c>
    </row>
    <row r="3" spans="1:17" x14ac:dyDescent="0.25">
      <c r="A3" s="43">
        <v>12017002</v>
      </c>
      <c r="B3" s="44">
        <v>42830</v>
      </c>
      <c r="C3" s="44">
        <v>42844</v>
      </c>
      <c r="D3" s="44"/>
      <c r="E3" s="44">
        <v>42836</v>
      </c>
      <c r="F3" s="43"/>
      <c r="G3" s="43" t="s">
        <v>90</v>
      </c>
      <c r="H3" s="43" t="s">
        <v>101</v>
      </c>
      <c r="I3" t="s">
        <v>708</v>
      </c>
      <c r="J3" s="62" t="s">
        <v>709</v>
      </c>
      <c r="K3" s="45">
        <v>841.5</v>
      </c>
      <c r="L3" t="str">
        <f t="shared" si="0"/>
        <v>20%</v>
      </c>
      <c r="M3" s="45">
        <v>140.25</v>
      </c>
      <c r="N3" s="45">
        <v>701.25</v>
      </c>
      <c r="O3" s="43">
        <v>20</v>
      </c>
      <c r="P3" s="44">
        <v>42962</v>
      </c>
      <c r="Q3" s="44">
        <v>42983</v>
      </c>
    </row>
    <row r="4" spans="1:17" x14ac:dyDescent="0.25">
      <c r="A4" s="43">
        <v>12017003</v>
      </c>
      <c r="B4" s="44">
        <v>42857</v>
      </c>
      <c r="C4" s="44">
        <v>42871</v>
      </c>
      <c r="D4" s="44"/>
      <c r="E4" s="44">
        <v>42858</v>
      </c>
      <c r="F4" s="43"/>
      <c r="G4" s="43" t="s">
        <v>59</v>
      </c>
      <c r="H4" s="43" t="s">
        <v>175</v>
      </c>
      <c r="I4" t="s">
        <v>708</v>
      </c>
      <c r="J4" s="62" t="s">
        <v>709</v>
      </c>
      <c r="K4" s="45">
        <v>3205.5</v>
      </c>
      <c r="L4" t="str">
        <f t="shared" si="0"/>
        <v>20%</v>
      </c>
      <c r="M4" s="45">
        <v>534.25</v>
      </c>
      <c r="N4" s="45">
        <v>2671.25</v>
      </c>
      <c r="O4" s="43">
        <v>20</v>
      </c>
      <c r="P4" s="44">
        <v>42962</v>
      </c>
      <c r="Q4" s="44">
        <v>42983</v>
      </c>
    </row>
    <row r="5" spans="1:17" x14ac:dyDescent="0.25">
      <c r="A5" s="43">
        <v>12017004</v>
      </c>
      <c r="B5" s="44">
        <v>42998</v>
      </c>
      <c r="C5" s="44">
        <v>43012</v>
      </c>
      <c r="D5" s="44"/>
      <c r="E5" s="44">
        <v>42999</v>
      </c>
      <c r="F5" s="43"/>
      <c r="G5" t="s">
        <v>597</v>
      </c>
      <c r="H5" s="43" t="s">
        <v>92</v>
      </c>
      <c r="I5" t="s">
        <v>708</v>
      </c>
      <c r="J5" s="62" t="s">
        <v>709</v>
      </c>
      <c r="K5" s="45">
        <v>34.92</v>
      </c>
      <c r="L5" t="str">
        <f t="shared" si="0"/>
        <v>20%</v>
      </c>
      <c r="M5" s="45">
        <v>5.82</v>
      </c>
      <c r="N5" s="45">
        <v>29.1</v>
      </c>
      <c r="O5" s="43">
        <v>20</v>
      </c>
      <c r="P5" s="44">
        <v>43054</v>
      </c>
      <c r="Q5" s="1">
        <v>43047</v>
      </c>
    </row>
    <row r="6" spans="1:17" x14ac:dyDescent="0.25">
      <c r="A6">
        <v>12017005</v>
      </c>
      <c r="B6" s="44">
        <v>43035</v>
      </c>
      <c r="C6" s="1">
        <v>43049</v>
      </c>
      <c r="D6" s="1"/>
      <c r="E6" s="44">
        <v>43039</v>
      </c>
      <c r="F6" s="43"/>
      <c r="G6" s="43" t="s">
        <v>59</v>
      </c>
      <c r="H6" s="43" t="s">
        <v>101</v>
      </c>
      <c r="I6" t="s">
        <v>708</v>
      </c>
      <c r="J6" s="62" t="s">
        <v>709</v>
      </c>
      <c r="K6" s="45">
        <v>2632.5</v>
      </c>
      <c r="L6" t="str">
        <f t="shared" si="0"/>
        <v>20%</v>
      </c>
      <c r="M6" s="45">
        <v>438.75</v>
      </c>
      <c r="N6" s="45">
        <v>2193.75</v>
      </c>
      <c r="O6" s="43">
        <v>20</v>
      </c>
      <c r="P6" s="44">
        <v>43146</v>
      </c>
      <c r="Q6" s="1">
        <v>43134</v>
      </c>
    </row>
    <row r="7" spans="1:17" x14ac:dyDescent="0.25">
      <c r="A7">
        <v>12017006</v>
      </c>
      <c r="B7" s="44">
        <v>43053</v>
      </c>
      <c r="C7" s="1">
        <v>43067</v>
      </c>
      <c r="D7" s="1"/>
      <c r="E7" s="44">
        <v>43054</v>
      </c>
      <c r="F7" s="43"/>
      <c r="G7" t="s">
        <v>536</v>
      </c>
      <c r="H7" t="s">
        <v>101</v>
      </c>
      <c r="I7" t="s">
        <v>708</v>
      </c>
      <c r="J7" s="62" t="s">
        <v>709</v>
      </c>
      <c r="K7" s="45">
        <v>2580.6120000000001</v>
      </c>
      <c r="L7" t="str">
        <f t="shared" si="0"/>
        <v>20%</v>
      </c>
      <c r="M7" s="45">
        <v>430.10200000000003</v>
      </c>
      <c r="N7" s="45">
        <v>2150.5100000000002</v>
      </c>
      <c r="O7">
        <v>20</v>
      </c>
      <c r="P7" s="44">
        <v>43146</v>
      </c>
      <c r="Q7" s="1">
        <v>43134</v>
      </c>
    </row>
    <row r="8" spans="1:17" x14ac:dyDescent="0.25">
      <c r="A8">
        <v>12017007</v>
      </c>
      <c r="B8" s="44">
        <v>43059</v>
      </c>
      <c r="C8" s="1">
        <v>43073</v>
      </c>
      <c r="D8" s="1"/>
      <c r="E8" s="44">
        <v>43067</v>
      </c>
      <c r="F8" s="43"/>
      <c r="G8" t="s">
        <v>536</v>
      </c>
      <c r="H8" t="s">
        <v>101</v>
      </c>
      <c r="I8" t="s">
        <v>708</v>
      </c>
      <c r="J8" s="62" t="s">
        <v>709</v>
      </c>
      <c r="K8" s="45">
        <v>625.18799999999999</v>
      </c>
      <c r="L8" t="str">
        <f t="shared" si="0"/>
        <v>20%</v>
      </c>
      <c r="M8" s="45">
        <v>104.19799999999999</v>
      </c>
      <c r="N8" s="45">
        <v>520.99</v>
      </c>
      <c r="O8">
        <v>20</v>
      </c>
      <c r="P8" s="44">
        <v>43146</v>
      </c>
      <c r="Q8" s="1">
        <v>43134</v>
      </c>
    </row>
    <row r="9" spans="1:17" x14ac:dyDescent="0.25">
      <c r="A9">
        <v>12017008</v>
      </c>
      <c r="B9" s="44">
        <v>43089</v>
      </c>
      <c r="C9" s="1">
        <v>43103</v>
      </c>
      <c r="D9" s="1"/>
      <c r="E9" s="44">
        <v>43091</v>
      </c>
      <c r="F9" s="43"/>
      <c r="G9" t="s">
        <v>597</v>
      </c>
      <c r="H9" t="s">
        <v>596</v>
      </c>
      <c r="I9" t="s">
        <v>708</v>
      </c>
      <c r="J9" s="62" t="s">
        <v>709</v>
      </c>
      <c r="K9" s="45">
        <v>720</v>
      </c>
      <c r="L9" t="str">
        <f t="shared" si="0"/>
        <v>20%</v>
      </c>
      <c r="M9" s="45">
        <v>120</v>
      </c>
      <c r="N9" s="45">
        <v>600</v>
      </c>
      <c r="O9">
        <v>20</v>
      </c>
      <c r="P9" s="44">
        <v>43146</v>
      </c>
      <c r="Q9" s="1">
        <v>43134</v>
      </c>
    </row>
    <row r="10" spans="1:17" x14ac:dyDescent="0.25">
      <c r="A10">
        <v>12017009</v>
      </c>
      <c r="B10" s="44">
        <v>43089</v>
      </c>
      <c r="C10" s="1">
        <v>43103</v>
      </c>
      <c r="D10" s="1"/>
      <c r="E10" s="44">
        <v>43097</v>
      </c>
      <c r="F10" s="43"/>
      <c r="G10" s="43" t="s">
        <v>59</v>
      </c>
      <c r="H10" s="43" t="s">
        <v>175</v>
      </c>
      <c r="I10" t="s">
        <v>708</v>
      </c>
      <c r="J10" s="62" t="s">
        <v>709</v>
      </c>
      <c r="K10" s="45">
        <v>9155.6279999999988</v>
      </c>
      <c r="L10" t="str">
        <f t="shared" si="0"/>
        <v>20%</v>
      </c>
      <c r="M10" s="45">
        <v>1525.9379999999999</v>
      </c>
      <c r="N10" s="45">
        <v>7629.69</v>
      </c>
      <c r="O10">
        <v>20</v>
      </c>
      <c r="P10" s="44">
        <v>43146</v>
      </c>
      <c r="Q10" s="1">
        <v>43134</v>
      </c>
    </row>
    <row r="11" spans="1:17" x14ac:dyDescent="0.25">
      <c r="A11">
        <v>12017010</v>
      </c>
      <c r="B11" s="44">
        <v>43091</v>
      </c>
      <c r="C11" s="1">
        <v>43105</v>
      </c>
      <c r="D11" s="1"/>
      <c r="E11" s="44">
        <v>43098</v>
      </c>
      <c r="F11" s="43"/>
      <c r="G11" t="s">
        <v>536</v>
      </c>
      <c r="H11" t="s">
        <v>101</v>
      </c>
      <c r="I11" t="s">
        <v>708</v>
      </c>
      <c r="J11" s="62" t="s">
        <v>709</v>
      </c>
      <c r="K11" s="45">
        <v>10771.404</v>
      </c>
      <c r="L11" t="str">
        <f t="shared" si="0"/>
        <v>20%</v>
      </c>
      <c r="M11" s="45">
        <v>1795.2339999999999</v>
      </c>
      <c r="N11" s="45">
        <v>8976.17</v>
      </c>
      <c r="O11">
        <v>20</v>
      </c>
      <c r="P11" s="44">
        <v>43146</v>
      </c>
      <c r="Q11" s="1">
        <v>43134</v>
      </c>
    </row>
  </sheetData>
  <conditionalFormatting sqref="P1">
    <cfRule type="expression" dxfId="1391" priority="10">
      <formula>AND(AND($S1&lt;TODAY(),$S1&lt;&gt;""),$T1="")</formula>
    </cfRule>
  </conditionalFormatting>
  <conditionalFormatting sqref="E1:F11">
    <cfRule type="expression" dxfId="1390" priority="9">
      <formula>OR(AND($C1&lt;TODAY(),ISBLANK($E1)),$E1&gt;$C1)</formula>
    </cfRule>
  </conditionalFormatting>
  <conditionalFormatting sqref="P2">
    <cfRule type="expression" dxfId="1389" priority="8">
      <formula>AND(AND($S2&lt;TODAY(),$S2&lt;&gt;""),$T2="")</formula>
    </cfRule>
  </conditionalFormatting>
  <conditionalFormatting sqref="P3">
    <cfRule type="expression" dxfId="1388" priority="7">
      <formula>AND(AND($S3&lt;TODAY(),$S3&lt;&gt;""),$T3="")</formula>
    </cfRule>
  </conditionalFormatting>
  <conditionalFormatting sqref="P4">
    <cfRule type="expression" dxfId="1387" priority="6">
      <formula>AND(AND($S4&lt;TODAY(),$S4&lt;&gt;""),$T4="")</formula>
    </cfRule>
  </conditionalFormatting>
  <conditionalFormatting sqref="P6">
    <cfRule type="expression" dxfId="1386" priority="5">
      <formula>AND(AND($S6&lt;TODAY(),$S6&lt;&gt;""),$T6="")</formula>
    </cfRule>
  </conditionalFormatting>
  <conditionalFormatting sqref="P5">
    <cfRule type="expression" dxfId="1385" priority="4">
      <formula>AND(AND($S5&lt;TODAY(),$S5&lt;&gt;""),$T5="")</formula>
    </cfRule>
  </conditionalFormatting>
  <conditionalFormatting sqref="P7">
    <cfRule type="expression" dxfId="1384" priority="3">
      <formula>AND(AND($S7&lt;TODAY(),$S7&lt;&gt;""),$T7="")</formula>
    </cfRule>
  </conditionalFormatting>
  <conditionalFormatting sqref="P8">
    <cfRule type="expression" dxfId="1383" priority="2">
      <formula>AND(AND($S8&lt;TODAY(),$S8&lt;&gt;""),$T8="")</formula>
    </cfRule>
  </conditionalFormatting>
  <conditionalFormatting sqref="P9:P11">
    <cfRule type="expression" dxfId="1382" priority="1">
      <formula>AND(AND($S9&lt;TODAY(),$S9&lt;&gt;""),$T9="")</formula>
    </cfRule>
  </conditionalFormatting>
  <dataValidations count="1">
    <dataValidation type="list" allowBlank="1" showInputMessage="1" showErrorMessage="1" sqref="J2:J11" xr:uid="{6F47D8E6-D0AC-4991-8524-D45AC50334DE}">
      <formula1>INDIRECT($E2)</formula1>
    </dataValidation>
  </dataValidations>
  <pageMargins left="0.7" right="0.7" top="0.78740157499999996" bottom="0.78740157499999996"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A0674-FE58-4436-8BAA-9DD2CDF2122D}">
  <sheetPr codeName="Tabelle14"/>
  <dimension ref="A1:O132"/>
  <sheetViews>
    <sheetView workbookViewId="0"/>
  </sheetViews>
  <sheetFormatPr baseColWidth="10" defaultRowHeight="15" x14ac:dyDescent="0.25"/>
  <cols>
    <col min="3" max="3" width="11.42578125" hidden="1" customWidth="1"/>
    <col min="4" max="4" width="49" customWidth="1"/>
    <col min="6" max="6" width="51.42578125" customWidth="1"/>
    <col min="7" max="7" width="11.140625" hidden="1" customWidth="1"/>
    <col min="8" max="8" width="7" hidden="1" customWidth="1"/>
    <col min="9" max="9" width="11.42578125" style="67"/>
    <col min="10" max="10" width="6.7109375" style="67" customWidth="1"/>
    <col min="11" max="11" width="6.85546875" style="67" customWidth="1"/>
    <col min="12" max="14" width="11.42578125" style="67"/>
  </cols>
  <sheetData>
    <row r="1" spans="1:14" ht="22.5" x14ac:dyDescent="0.25">
      <c r="A1" s="63" t="s">
        <v>845</v>
      </c>
      <c r="B1" s="63" t="s">
        <v>846</v>
      </c>
      <c r="C1" s="8" t="s">
        <v>0</v>
      </c>
      <c r="D1" s="63" t="s">
        <v>847</v>
      </c>
      <c r="E1" s="63" t="s">
        <v>706</v>
      </c>
      <c r="F1" s="63" t="s">
        <v>682</v>
      </c>
      <c r="G1" s="11" t="s">
        <v>219</v>
      </c>
      <c r="H1" s="52" t="s">
        <v>36</v>
      </c>
      <c r="I1" s="63" t="s">
        <v>848</v>
      </c>
      <c r="J1" s="64" t="s">
        <v>9</v>
      </c>
      <c r="K1" s="65" t="s">
        <v>25</v>
      </c>
      <c r="L1" s="63" t="s">
        <v>844</v>
      </c>
      <c r="M1" s="63" t="s">
        <v>849</v>
      </c>
      <c r="N1" s="63" t="s">
        <v>236</v>
      </c>
    </row>
    <row r="2" spans="1:14" x14ac:dyDescent="0.25">
      <c r="A2">
        <v>183</v>
      </c>
      <c r="B2" s="1">
        <v>42744</v>
      </c>
      <c r="C2" s="9" t="s">
        <v>452</v>
      </c>
      <c r="D2" s="1" t="s">
        <v>782</v>
      </c>
      <c r="E2" s="1" t="s">
        <v>105</v>
      </c>
      <c r="F2" s="16" t="s">
        <v>703</v>
      </c>
      <c r="G2" s="36">
        <v>15</v>
      </c>
      <c r="H2" s="51">
        <v>1</v>
      </c>
      <c r="I2" s="66">
        <v>18</v>
      </c>
      <c r="J2" s="67">
        <v>20</v>
      </c>
      <c r="K2" s="66">
        <v>3</v>
      </c>
      <c r="L2" s="67" t="str">
        <f t="shared" ref="L2:L8" si="0">J2&amp;"%"</f>
        <v>20%</v>
      </c>
      <c r="M2" s="66">
        <v>3</v>
      </c>
      <c r="N2" s="66">
        <v>15</v>
      </c>
    </row>
    <row r="3" spans="1:14" x14ac:dyDescent="0.25">
      <c r="A3">
        <v>184</v>
      </c>
      <c r="B3" s="1">
        <v>42738</v>
      </c>
      <c r="C3" s="9" t="s">
        <v>451</v>
      </c>
      <c r="D3" s="1" t="s">
        <v>783</v>
      </c>
      <c r="E3" s="1" t="s">
        <v>105</v>
      </c>
      <c r="F3" s="16" t="s">
        <v>705</v>
      </c>
      <c r="G3" s="36">
        <v>12.42</v>
      </c>
      <c r="H3" s="51">
        <v>1</v>
      </c>
      <c r="I3" s="66">
        <v>14.904</v>
      </c>
      <c r="J3" s="67">
        <v>20</v>
      </c>
      <c r="K3" s="66">
        <v>2.484</v>
      </c>
      <c r="L3" s="67" t="str">
        <f t="shared" si="0"/>
        <v>20%</v>
      </c>
      <c r="M3" s="66">
        <v>2.484</v>
      </c>
      <c r="N3" s="66">
        <v>12.42</v>
      </c>
    </row>
    <row r="4" spans="1:14" x14ac:dyDescent="0.25">
      <c r="A4">
        <v>188</v>
      </c>
      <c r="B4" s="1">
        <v>42744</v>
      </c>
      <c r="C4" s="9" t="s">
        <v>463</v>
      </c>
      <c r="D4" s="1" t="s">
        <v>823</v>
      </c>
      <c r="E4" s="1" t="s">
        <v>105</v>
      </c>
      <c r="F4" s="16" t="s">
        <v>691</v>
      </c>
      <c r="G4" s="36">
        <v>801.77</v>
      </c>
      <c r="H4" s="51">
        <v>0.27320378419841473</v>
      </c>
      <c r="I4" s="66">
        <v>240.95125786243926</v>
      </c>
      <c r="J4" s="67">
        <v>10</v>
      </c>
      <c r="K4" s="66">
        <v>80.176999999999992</v>
      </c>
      <c r="L4" s="67" t="str">
        <f t="shared" si="0"/>
        <v>10%</v>
      </c>
      <c r="M4" s="66">
        <v>21.904659805676296</v>
      </c>
      <c r="N4" s="66">
        <v>219.04659805676297</v>
      </c>
    </row>
    <row r="5" spans="1:14" x14ac:dyDescent="0.25">
      <c r="A5">
        <v>189</v>
      </c>
      <c r="B5" s="1">
        <v>42760</v>
      </c>
      <c r="C5" s="9" t="s">
        <v>463</v>
      </c>
      <c r="D5" s="1" t="s">
        <v>824</v>
      </c>
      <c r="E5" s="1" t="s">
        <v>105</v>
      </c>
      <c r="F5" s="16" t="s">
        <v>691</v>
      </c>
      <c r="G5" s="36">
        <v>801.77</v>
      </c>
      <c r="H5" s="51">
        <v>0.27320378419841473</v>
      </c>
      <c r="I5" s="66">
        <v>240.95125786243926</v>
      </c>
      <c r="J5" s="67">
        <v>10</v>
      </c>
      <c r="K5" s="66">
        <v>80.176999999999992</v>
      </c>
      <c r="L5" s="67" t="str">
        <f t="shared" si="0"/>
        <v>10%</v>
      </c>
      <c r="M5" s="66">
        <v>21.904659805676296</v>
      </c>
      <c r="N5" s="66">
        <v>219.04659805676297</v>
      </c>
    </row>
    <row r="6" spans="1:14" x14ac:dyDescent="0.25">
      <c r="A6">
        <v>190</v>
      </c>
      <c r="B6" s="1">
        <v>42768</v>
      </c>
      <c r="C6" s="9" t="s">
        <v>466</v>
      </c>
      <c r="D6" s="1" t="s">
        <v>782</v>
      </c>
      <c r="E6" s="1" t="s">
        <v>105</v>
      </c>
      <c r="F6" s="16" t="s">
        <v>703</v>
      </c>
      <c r="G6" s="36">
        <v>15</v>
      </c>
      <c r="H6" s="51">
        <v>1</v>
      </c>
      <c r="I6" s="66">
        <v>18</v>
      </c>
      <c r="J6" s="67">
        <v>20</v>
      </c>
      <c r="K6" s="66">
        <v>3</v>
      </c>
      <c r="L6" s="67" t="str">
        <f t="shared" si="0"/>
        <v>20%</v>
      </c>
      <c r="M6" s="66">
        <v>3</v>
      </c>
      <c r="N6" s="66">
        <v>15</v>
      </c>
    </row>
    <row r="7" spans="1:14" x14ac:dyDescent="0.25">
      <c r="A7">
        <v>191</v>
      </c>
      <c r="B7" s="1">
        <v>42768</v>
      </c>
      <c r="C7" s="9" t="s">
        <v>467</v>
      </c>
      <c r="D7" s="1" t="s">
        <v>784</v>
      </c>
      <c r="E7" s="1" t="s">
        <v>105</v>
      </c>
      <c r="F7" s="16" t="s">
        <v>705</v>
      </c>
      <c r="G7" s="36">
        <v>12.42</v>
      </c>
      <c r="H7" s="51">
        <v>1</v>
      </c>
      <c r="I7" s="66">
        <v>14.904</v>
      </c>
      <c r="J7" s="67">
        <v>20</v>
      </c>
      <c r="K7" s="66">
        <v>2.484</v>
      </c>
      <c r="L7" s="67" t="str">
        <f t="shared" si="0"/>
        <v>20%</v>
      </c>
      <c r="M7" s="66">
        <v>2.484</v>
      </c>
      <c r="N7" s="66">
        <v>12.42</v>
      </c>
    </row>
    <row r="8" spans="1:14" x14ac:dyDescent="0.25">
      <c r="A8">
        <v>192</v>
      </c>
      <c r="B8" s="1">
        <v>42761</v>
      </c>
      <c r="C8" s="9" t="s">
        <v>468</v>
      </c>
      <c r="D8" s="1" t="s">
        <v>785</v>
      </c>
      <c r="E8" s="1" t="s">
        <v>105</v>
      </c>
      <c r="F8" s="16" t="s">
        <v>705</v>
      </c>
      <c r="G8" s="36">
        <v>12.42</v>
      </c>
      <c r="H8" s="51">
        <v>1</v>
      </c>
      <c r="I8" s="66">
        <v>14.904</v>
      </c>
      <c r="J8" s="67">
        <v>20</v>
      </c>
      <c r="K8" s="66">
        <v>2.484</v>
      </c>
      <c r="L8" s="67" t="str">
        <f t="shared" si="0"/>
        <v>20%</v>
      </c>
      <c r="M8" s="66">
        <v>2.484</v>
      </c>
      <c r="N8" s="66">
        <v>12.42</v>
      </c>
    </row>
    <row r="9" spans="1:14" x14ac:dyDescent="0.25">
      <c r="A9">
        <v>193</v>
      </c>
      <c r="B9" s="1">
        <v>42745</v>
      </c>
      <c r="C9" s="9" t="s">
        <v>469</v>
      </c>
      <c r="D9" s="1" t="s">
        <v>786</v>
      </c>
      <c r="E9" s="1" t="s">
        <v>105</v>
      </c>
      <c r="F9" s="16" t="s">
        <v>705</v>
      </c>
      <c r="G9" s="36">
        <v>42.02</v>
      </c>
      <c r="H9" s="51">
        <v>1</v>
      </c>
      <c r="I9" s="66">
        <v>42.02</v>
      </c>
      <c r="J9" s="67">
        <v>0</v>
      </c>
      <c r="K9" s="66">
        <v>0</v>
      </c>
      <c r="L9" s="67" t="s">
        <v>840</v>
      </c>
      <c r="M9" s="66">
        <v>0</v>
      </c>
      <c r="N9" s="66">
        <v>42.02</v>
      </c>
    </row>
    <row r="10" spans="1:14" x14ac:dyDescent="0.25">
      <c r="A10">
        <v>194</v>
      </c>
      <c r="B10" s="1">
        <v>42765</v>
      </c>
      <c r="C10" s="9"/>
      <c r="D10" s="1" t="s">
        <v>787</v>
      </c>
      <c r="E10" s="1" t="s">
        <v>105</v>
      </c>
      <c r="F10" s="16" t="s">
        <v>689</v>
      </c>
      <c r="G10" s="36">
        <v>331.82</v>
      </c>
      <c r="H10" s="51">
        <v>1</v>
      </c>
      <c r="I10" s="66">
        <v>365.00200000000001</v>
      </c>
      <c r="J10" s="67">
        <v>10</v>
      </c>
      <c r="K10" s="66">
        <v>33.181999999999995</v>
      </c>
      <c r="L10" s="67" t="str">
        <f t="shared" ref="L10:L41" si="1">J10&amp;"%"</f>
        <v>10%</v>
      </c>
      <c r="M10" s="66">
        <v>33.181999999999995</v>
      </c>
      <c r="N10" s="66">
        <v>331.82</v>
      </c>
    </row>
    <row r="11" spans="1:14" x14ac:dyDescent="0.25">
      <c r="A11">
        <v>195</v>
      </c>
      <c r="B11" s="1">
        <v>42776</v>
      </c>
      <c r="C11" s="9" t="s">
        <v>470</v>
      </c>
      <c r="D11" s="1" t="s">
        <v>786</v>
      </c>
      <c r="E11" s="1" t="s">
        <v>105</v>
      </c>
      <c r="F11" s="16" t="s">
        <v>705</v>
      </c>
      <c r="G11" s="36">
        <v>42.02</v>
      </c>
      <c r="H11" s="51">
        <v>1</v>
      </c>
      <c r="I11" s="66">
        <v>42.02</v>
      </c>
      <c r="J11" s="67">
        <v>0</v>
      </c>
      <c r="K11" s="66">
        <v>0</v>
      </c>
      <c r="L11" s="67" t="s">
        <v>840</v>
      </c>
      <c r="M11" s="66">
        <v>0</v>
      </c>
      <c r="N11" s="66">
        <v>42.02</v>
      </c>
    </row>
    <row r="12" spans="1:14" x14ac:dyDescent="0.25">
      <c r="A12">
        <v>197</v>
      </c>
      <c r="B12" s="1">
        <v>42800</v>
      </c>
      <c r="C12" s="9" t="s">
        <v>476</v>
      </c>
      <c r="D12" s="1" t="s">
        <v>782</v>
      </c>
      <c r="E12" s="1" t="s">
        <v>105</v>
      </c>
      <c r="F12" s="16" t="s">
        <v>703</v>
      </c>
      <c r="G12" s="36">
        <v>15</v>
      </c>
      <c r="H12" s="51">
        <v>1</v>
      </c>
      <c r="I12" s="66">
        <v>18</v>
      </c>
      <c r="J12" s="67">
        <v>20</v>
      </c>
      <c r="K12" s="66">
        <v>3</v>
      </c>
      <c r="L12" s="67" t="str">
        <f t="shared" si="1"/>
        <v>20%</v>
      </c>
      <c r="M12" s="66">
        <v>3</v>
      </c>
      <c r="N12" s="66">
        <v>15</v>
      </c>
    </row>
    <row r="13" spans="1:14" x14ac:dyDescent="0.25">
      <c r="A13">
        <v>198</v>
      </c>
      <c r="B13" s="1">
        <v>42794</v>
      </c>
      <c r="C13" s="9" t="s">
        <v>480</v>
      </c>
      <c r="D13" s="1" t="s">
        <v>788</v>
      </c>
      <c r="E13" s="1" t="s">
        <v>105</v>
      </c>
      <c r="F13" s="16" t="s">
        <v>693</v>
      </c>
      <c r="G13" s="36">
        <v>24.87</v>
      </c>
      <c r="H13" s="51">
        <v>1</v>
      </c>
      <c r="I13" s="66">
        <v>29.85</v>
      </c>
      <c r="J13" s="67">
        <v>20</v>
      </c>
      <c r="K13" s="66">
        <v>4.9800000000000004</v>
      </c>
      <c r="L13" s="67" t="str">
        <f t="shared" si="1"/>
        <v>20%</v>
      </c>
      <c r="M13" s="66">
        <v>4.9800000000000004</v>
      </c>
      <c r="N13" s="66">
        <v>24.87</v>
      </c>
    </row>
    <row r="14" spans="1:14" x14ac:dyDescent="0.25">
      <c r="A14">
        <v>199</v>
      </c>
      <c r="B14" s="1">
        <v>42795</v>
      </c>
      <c r="C14" s="9" t="s">
        <v>479</v>
      </c>
      <c r="D14" s="1" t="s">
        <v>789</v>
      </c>
      <c r="E14" s="1" t="s">
        <v>105</v>
      </c>
      <c r="F14" s="16" t="s">
        <v>705</v>
      </c>
      <c r="G14" s="36">
        <v>19.32</v>
      </c>
      <c r="H14" s="51">
        <v>1</v>
      </c>
      <c r="I14" s="66">
        <v>23.184000000000001</v>
      </c>
      <c r="J14" s="67">
        <v>20</v>
      </c>
      <c r="K14" s="66">
        <v>3.8639999999999999</v>
      </c>
      <c r="L14" s="67" t="str">
        <f t="shared" si="1"/>
        <v>20%</v>
      </c>
      <c r="M14" s="66">
        <v>3.8639999999999999</v>
      </c>
      <c r="N14" s="66">
        <v>19.32</v>
      </c>
    </row>
    <row r="15" spans="1:14" x14ac:dyDescent="0.25">
      <c r="A15">
        <v>200</v>
      </c>
      <c r="B15" s="1">
        <v>42803</v>
      </c>
      <c r="C15" s="9" t="s">
        <v>477</v>
      </c>
      <c r="D15" s="1" t="s">
        <v>790</v>
      </c>
      <c r="E15" s="1" t="s">
        <v>105</v>
      </c>
      <c r="F15" s="16" t="s">
        <v>339</v>
      </c>
      <c r="G15" s="36">
        <v>67.959999999999994</v>
      </c>
      <c r="H15" s="51">
        <v>1</v>
      </c>
      <c r="I15" s="66">
        <v>81.551999999999992</v>
      </c>
      <c r="J15" s="67">
        <v>20</v>
      </c>
      <c r="K15" s="66">
        <v>13.591999999999999</v>
      </c>
      <c r="L15" s="67" t="str">
        <f t="shared" si="1"/>
        <v>20%</v>
      </c>
      <c r="M15" s="66">
        <v>13.591999999999999</v>
      </c>
      <c r="N15" s="66">
        <v>67.959999999999994</v>
      </c>
    </row>
    <row r="16" spans="1:14" x14ac:dyDescent="0.25">
      <c r="A16">
        <v>201</v>
      </c>
      <c r="B16" s="1">
        <v>42803</v>
      </c>
      <c r="C16" s="9" t="s">
        <v>482</v>
      </c>
      <c r="D16" s="1" t="s">
        <v>791</v>
      </c>
      <c r="E16" s="1" t="s">
        <v>105</v>
      </c>
      <c r="F16" s="16" t="s">
        <v>692</v>
      </c>
      <c r="G16" s="36">
        <v>332.5</v>
      </c>
      <c r="H16" s="51">
        <v>1</v>
      </c>
      <c r="I16" s="66">
        <v>332.5</v>
      </c>
      <c r="J16" s="67">
        <v>0</v>
      </c>
      <c r="K16" s="66">
        <v>0</v>
      </c>
      <c r="L16" s="67" t="s">
        <v>840</v>
      </c>
      <c r="M16" s="66">
        <v>0</v>
      </c>
      <c r="N16" s="66">
        <v>332.5</v>
      </c>
    </row>
    <row r="17" spans="1:14" x14ac:dyDescent="0.25">
      <c r="A17">
        <v>202</v>
      </c>
      <c r="B17" s="1">
        <v>42825</v>
      </c>
      <c r="C17" s="9" t="s">
        <v>486</v>
      </c>
      <c r="D17" s="1" t="s">
        <v>782</v>
      </c>
      <c r="E17" s="1" t="s">
        <v>105</v>
      </c>
      <c r="F17" s="16" t="s">
        <v>703</v>
      </c>
      <c r="G17" s="36">
        <v>15</v>
      </c>
      <c r="H17" s="51">
        <v>1</v>
      </c>
      <c r="I17" s="66">
        <v>18</v>
      </c>
      <c r="J17" s="67">
        <v>20</v>
      </c>
      <c r="K17" s="66">
        <v>3</v>
      </c>
      <c r="L17" s="67" t="str">
        <f t="shared" si="1"/>
        <v>20%</v>
      </c>
      <c r="M17" s="66">
        <v>3</v>
      </c>
      <c r="N17" s="66">
        <v>15</v>
      </c>
    </row>
    <row r="18" spans="1:14" x14ac:dyDescent="0.25">
      <c r="A18">
        <v>203</v>
      </c>
      <c r="B18" s="1">
        <v>42860</v>
      </c>
      <c r="C18" s="9" t="s">
        <v>485</v>
      </c>
      <c r="D18" s="1" t="s">
        <v>782</v>
      </c>
      <c r="E18" s="1" t="s">
        <v>105</v>
      </c>
      <c r="F18" s="16" t="s">
        <v>703</v>
      </c>
      <c r="G18" s="36">
        <v>16.03</v>
      </c>
      <c r="H18" s="51">
        <v>1</v>
      </c>
      <c r="I18" s="66">
        <v>19.236000000000001</v>
      </c>
      <c r="J18" s="67">
        <v>20</v>
      </c>
      <c r="K18" s="66">
        <v>3.2060000000000004</v>
      </c>
      <c r="L18" s="67" t="str">
        <f t="shared" si="1"/>
        <v>20%</v>
      </c>
      <c r="M18" s="66">
        <v>3.2060000000000004</v>
      </c>
      <c r="N18" s="66">
        <v>16.03</v>
      </c>
    </row>
    <row r="19" spans="1:14" x14ac:dyDescent="0.25">
      <c r="A19">
        <v>204</v>
      </c>
      <c r="B19" s="1">
        <v>42892</v>
      </c>
      <c r="C19" s="9" t="s">
        <v>487</v>
      </c>
      <c r="D19" s="1" t="s">
        <v>792</v>
      </c>
      <c r="E19" s="1" t="s">
        <v>105</v>
      </c>
      <c r="F19" s="16" t="s">
        <v>705</v>
      </c>
      <c r="G19" s="36">
        <v>65</v>
      </c>
      <c r="H19" s="51">
        <v>1</v>
      </c>
      <c r="I19" s="66">
        <v>65</v>
      </c>
      <c r="J19" s="67">
        <v>0</v>
      </c>
      <c r="K19" s="66">
        <v>0</v>
      </c>
      <c r="L19" s="67" t="str">
        <f t="shared" si="1"/>
        <v>0%</v>
      </c>
      <c r="M19" s="66">
        <v>0</v>
      </c>
      <c r="N19" s="66">
        <v>65</v>
      </c>
    </row>
    <row r="20" spans="1:14" x14ac:dyDescent="0.25">
      <c r="A20">
        <v>205</v>
      </c>
      <c r="B20" s="1">
        <v>42906</v>
      </c>
      <c r="C20" s="9" t="s">
        <v>489</v>
      </c>
      <c r="D20" s="1" t="s">
        <v>793</v>
      </c>
      <c r="E20" s="1" t="s">
        <v>105</v>
      </c>
      <c r="F20" s="16" t="s">
        <v>705</v>
      </c>
      <c r="G20" s="36">
        <v>33.54</v>
      </c>
      <c r="H20" s="51">
        <v>1</v>
      </c>
      <c r="I20" s="66">
        <v>40.247999999999998</v>
      </c>
      <c r="J20" s="67">
        <v>20</v>
      </c>
      <c r="K20" s="66">
        <v>6.7079999999999993</v>
      </c>
      <c r="L20" s="67" t="str">
        <f t="shared" si="1"/>
        <v>20%</v>
      </c>
      <c r="M20" s="66">
        <v>6.7079999999999993</v>
      </c>
      <c r="N20" s="66">
        <v>33.54</v>
      </c>
    </row>
    <row r="21" spans="1:14" x14ac:dyDescent="0.25">
      <c r="A21">
        <v>206</v>
      </c>
      <c r="B21" s="1">
        <v>42907</v>
      </c>
      <c r="C21" s="9" t="s">
        <v>491</v>
      </c>
      <c r="D21" s="1" t="s">
        <v>794</v>
      </c>
      <c r="E21" s="1" t="s">
        <v>105</v>
      </c>
      <c r="F21" s="16" t="s">
        <v>692</v>
      </c>
      <c r="G21" s="36">
        <v>57.5</v>
      </c>
      <c r="H21" s="51">
        <v>1</v>
      </c>
      <c r="I21" s="66">
        <v>69</v>
      </c>
      <c r="J21" s="67">
        <v>20</v>
      </c>
      <c r="K21" s="66">
        <v>11.5</v>
      </c>
      <c r="L21" s="67" t="str">
        <f t="shared" si="1"/>
        <v>20%</v>
      </c>
      <c r="M21" s="66">
        <v>11.5</v>
      </c>
      <c r="N21" s="66">
        <v>57.5</v>
      </c>
    </row>
    <row r="22" spans="1:14" x14ac:dyDescent="0.25">
      <c r="A22">
        <v>207</v>
      </c>
      <c r="B22" s="1">
        <v>42888</v>
      </c>
      <c r="C22" s="9" t="s">
        <v>493</v>
      </c>
      <c r="D22" s="1" t="s">
        <v>782</v>
      </c>
      <c r="E22" s="1" t="s">
        <v>105</v>
      </c>
      <c r="F22" s="16" t="s">
        <v>703</v>
      </c>
      <c r="G22" s="36">
        <v>15</v>
      </c>
      <c r="H22" s="51">
        <v>1</v>
      </c>
      <c r="I22" s="66">
        <v>18</v>
      </c>
      <c r="J22" s="67">
        <v>20</v>
      </c>
      <c r="K22" s="66">
        <v>3</v>
      </c>
      <c r="L22" s="67" t="str">
        <f t="shared" si="1"/>
        <v>20%</v>
      </c>
      <c r="M22" s="66">
        <v>3</v>
      </c>
      <c r="N22" s="66">
        <v>15</v>
      </c>
    </row>
    <row r="23" spans="1:14" x14ac:dyDescent="0.25">
      <c r="A23">
        <v>208</v>
      </c>
      <c r="B23" s="1">
        <v>42793</v>
      </c>
      <c r="C23" s="9" t="s">
        <v>463</v>
      </c>
      <c r="D23" s="1" t="s">
        <v>825</v>
      </c>
      <c r="E23" s="1" t="s">
        <v>105</v>
      </c>
      <c r="F23" s="16" t="s">
        <v>691</v>
      </c>
      <c r="G23" s="36">
        <v>801.77</v>
      </c>
      <c r="H23" s="51">
        <v>0.27320378419841473</v>
      </c>
      <c r="I23" s="66">
        <v>240.95125786243926</v>
      </c>
      <c r="J23" s="67">
        <v>10</v>
      </c>
      <c r="K23" s="66">
        <v>80.176999999999992</v>
      </c>
      <c r="L23" s="67" t="str">
        <f t="shared" si="1"/>
        <v>10%</v>
      </c>
      <c r="M23" s="66">
        <v>21.904659805676296</v>
      </c>
      <c r="N23" s="66">
        <v>219.04659805676297</v>
      </c>
    </row>
    <row r="24" spans="1:14" x14ac:dyDescent="0.25">
      <c r="A24">
        <v>209</v>
      </c>
      <c r="B24" s="1">
        <v>42821</v>
      </c>
      <c r="C24" s="9" t="s">
        <v>463</v>
      </c>
      <c r="D24" s="1" t="s">
        <v>826</v>
      </c>
      <c r="E24" s="1" t="s">
        <v>105</v>
      </c>
      <c r="F24" s="16" t="s">
        <v>691</v>
      </c>
      <c r="G24" s="36">
        <v>801.77</v>
      </c>
      <c r="H24" s="51">
        <v>0.27320378419841473</v>
      </c>
      <c r="I24" s="66">
        <v>240.95125786243926</v>
      </c>
      <c r="J24" s="67">
        <v>10</v>
      </c>
      <c r="K24" s="66">
        <v>80.176999999999992</v>
      </c>
      <c r="L24" s="67" t="str">
        <f t="shared" si="1"/>
        <v>10%</v>
      </c>
      <c r="M24" s="66">
        <v>21.904659805676296</v>
      </c>
      <c r="N24" s="66">
        <v>219.04659805676297</v>
      </c>
    </row>
    <row r="25" spans="1:14" x14ac:dyDescent="0.25">
      <c r="A25">
        <v>210</v>
      </c>
      <c r="B25" s="1">
        <v>42850</v>
      </c>
      <c r="C25" s="9" t="s">
        <v>463</v>
      </c>
      <c r="D25" s="1" t="s">
        <v>827</v>
      </c>
      <c r="E25" s="1" t="s">
        <v>105</v>
      </c>
      <c r="F25" s="16" t="s">
        <v>691</v>
      </c>
      <c r="G25" s="36">
        <v>801.77</v>
      </c>
      <c r="H25" s="51">
        <v>0.27320378419841473</v>
      </c>
      <c r="I25" s="66">
        <v>240.95125786243926</v>
      </c>
      <c r="J25" s="67">
        <v>10</v>
      </c>
      <c r="K25" s="66">
        <v>80.176999999999992</v>
      </c>
      <c r="L25" s="67" t="str">
        <f t="shared" si="1"/>
        <v>10%</v>
      </c>
      <c r="M25" s="66">
        <v>21.904659805676296</v>
      </c>
      <c r="N25" s="66">
        <v>219.04659805676297</v>
      </c>
    </row>
    <row r="26" spans="1:14" x14ac:dyDescent="0.25">
      <c r="A26">
        <v>211</v>
      </c>
      <c r="B26" s="1">
        <v>42881</v>
      </c>
      <c r="C26" s="9" t="s">
        <v>463</v>
      </c>
      <c r="D26" s="1" t="s">
        <v>828</v>
      </c>
      <c r="E26" s="1" t="s">
        <v>105</v>
      </c>
      <c r="F26" s="16" t="s">
        <v>691</v>
      </c>
      <c r="G26" s="36">
        <v>801.77</v>
      </c>
      <c r="H26" s="51">
        <v>0.27320378419841473</v>
      </c>
      <c r="I26" s="66">
        <v>240.95125786243926</v>
      </c>
      <c r="J26" s="67">
        <v>10</v>
      </c>
      <c r="K26" s="66">
        <v>80.176999999999992</v>
      </c>
      <c r="L26" s="67" t="str">
        <f t="shared" si="1"/>
        <v>10%</v>
      </c>
      <c r="M26" s="66">
        <v>21.904659805676296</v>
      </c>
      <c r="N26" s="66">
        <v>219.04659805676297</v>
      </c>
    </row>
    <row r="27" spans="1:14" x14ac:dyDescent="0.25">
      <c r="A27">
        <v>214</v>
      </c>
      <c r="B27" s="1">
        <v>42751</v>
      </c>
      <c r="C27" s="9" t="s">
        <v>503</v>
      </c>
      <c r="D27" s="1" t="s">
        <v>836</v>
      </c>
      <c r="E27" s="1" t="s">
        <v>105</v>
      </c>
      <c r="F27" s="16" t="s">
        <v>705</v>
      </c>
      <c r="G27" s="36">
        <v>142.5</v>
      </c>
      <c r="H27" s="51">
        <v>0.27320378419841473</v>
      </c>
      <c r="I27" s="66">
        <v>46.717847097928917</v>
      </c>
      <c r="J27" s="67">
        <v>20</v>
      </c>
      <c r="K27" s="66">
        <v>28.5</v>
      </c>
      <c r="L27" s="67" t="str">
        <f t="shared" si="1"/>
        <v>20%</v>
      </c>
      <c r="M27" s="66">
        <v>7.7863078496548201</v>
      </c>
      <c r="N27" s="66">
        <v>38.931539248274099</v>
      </c>
    </row>
    <row r="28" spans="1:14" x14ac:dyDescent="0.25">
      <c r="A28">
        <v>215</v>
      </c>
      <c r="B28" s="1">
        <v>42843</v>
      </c>
      <c r="C28" s="9" t="s">
        <v>504</v>
      </c>
      <c r="D28" s="1" t="s">
        <v>836</v>
      </c>
      <c r="E28" s="1" t="s">
        <v>105</v>
      </c>
      <c r="F28" s="16" t="s">
        <v>705</v>
      </c>
      <c r="G28" s="36">
        <v>142.5</v>
      </c>
      <c r="H28" s="51">
        <v>0.27320378419841473</v>
      </c>
      <c r="I28" s="66">
        <v>46.717847097928917</v>
      </c>
      <c r="J28" s="67">
        <v>20</v>
      </c>
      <c r="K28" s="66">
        <v>28.5</v>
      </c>
      <c r="L28" s="67" t="str">
        <f t="shared" si="1"/>
        <v>20%</v>
      </c>
      <c r="M28" s="66">
        <v>7.7863078496548201</v>
      </c>
      <c r="N28" s="66">
        <v>38.931539248274099</v>
      </c>
    </row>
    <row r="29" spans="1:14" x14ac:dyDescent="0.25">
      <c r="A29">
        <v>219</v>
      </c>
      <c r="B29" s="1">
        <v>42751</v>
      </c>
      <c r="C29" s="9" t="s">
        <v>508</v>
      </c>
      <c r="D29" s="1" t="s">
        <v>835</v>
      </c>
      <c r="E29" s="1" t="s">
        <v>105</v>
      </c>
      <c r="F29" s="16" t="s">
        <v>705</v>
      </c>
      <c r="G29" s="36">
        <v>80</v>
      </c>
      <c r="H29" s="51">
        <v>0.27320378419841473</v>
      </c>
      <c r="I29" s="66">
        <v>26.227563283047814</v>
      </c>
      <c r="J29" s="67">
        <v>20</v>
      </c>
      <c r="K29" s="66">
        <v>16</v>
      </c>
      <c r="L29" s="67" t="str">
        <f t="shared" si="1"/>
        <v>20%</v>
      </c>
      <c r="M29" s="66">
        <v>4.3712605471746357</v>
      </c>
      <c r="N29" s="66">
        <v>21.856302735873179</v>
      </c>
    </row>
    <row r="30" spans="1:14" x14ac:dyDescent="0.25">
      <c r="A30">
        <v>220</v>
      </c>
      <c r="B30" s="1">
        <v>42781</v>
      </c>
      <c r="C30" s="9" t="s">
        <v>509</v>
      </c>
      <c r="D30" s="1" t="s">
        <v>835</v>
      </c>
      <c r="E30" s="1" t="s">
        <v>105</v>
      </c>
      <c r="F30" s="16" t="s">
        <v>705</v>
      </c>
      <c r="G30" s="36">
        <v>80</v>
      </c>
      <c r="H30" s="51">
        <v>0.27320378419841473</v>
      </c>
      <c r="I30" s="66">
        <v>26.227563283047814</v>
      </c>
      <c r="J30" s="67">
        <v>20</v>
      </c>
      <c r="K30" s="66">
        <v>16</v>
      </c>
      <c r="L30" s="67" t="str">
        <f t="shared" si="1"/>
        <v>20%</v>
      </c>
      <c r="M30" s="66">
        <v>4.3712605471746357</v>
      </c>
      <c r="N30" s="66">
        <v>21.856302735873179</v>
      </c>
    </row>
    <row r="31" spans="1:14" x14ac:dyDescent="0.25">
      <c r="A31">
        <v>221</v>
      </c>
      <c r="B31" s="1">
        <v>42809</v>
      </c>
      <c r="C31" s="9" t="s">
        <v>510</v>
      </c>
      <c r="D31" s="1" t="s">
        <v>835</v>
      </c>
      <c r="E31" s="1" t="s">
        <v>105</v>
      </c>
      <c r="F31" s="16" t="s">
        <v>705</v>
      </c>
      <c r="G31" s="36">
        <v>80</v>
      </c>
      <c r="H31" s="51">
        <v>0.27320378419841473</v>
      </c>
      <c r="I31" s="66">
        <v>26.227563283047814</v>
      </c>
      <c r="J31" s="67">
        <v>20</v>
      </c>
      <c r="K31" s="66">
        <v>16</v>
      </c>
      <c r="L31" s="67" t="str">
        <f t="shared" si="1"/>
        <v>20%</v>
      </c>
      <c r="M31" s="66">
        <v>4.3712605471746357</v>
      </c>
      <c r="N31" s="66">
        <v>21.856302735873179</v>
      </c>
    </row>
    <row r="32" spans="1:14" x14ac:dyDescent="0.25">
      <c r="A32">
        <v>222</v>
      </c>
      <c r="B32" s="1">
        <v>42843</v>
      </c>
      <c r="C32" s="9" t="s">
        <v>511</v>
      </c>
      <c r="D32" s="1" t="s">
        <v>835</v>
      </c>
      <c r="E32" s="1" t="s">
        <v>105</v>
      </c>
      <c r="F32" s="16" t="s">
        <v>705</v>
      </c>
      <c r="G32" s="36">
        <v>80</v>
      </c>
      <c r="H32" s="51">
        <v>0.27320378419841473</v>
      </c>
      <c r="I32" s="66">
        <v>26.227563283047814</v>
      </c>
      <c r="J32" s="67">
        <v>20</v>
      </c>
      <c r="K32" s="66">
        <v>16</v>
      </c>
      <c r="L32" s="67" t="str">
        <f t="shared" si="1"/>
        <v>20%</v>
      </c>
      <c r="M32" s="66">
        <v>4.3712605471746357</v>
      </c>
      <c r="N32" s="66">
        <v>21.856302735873179</v>
      </c>
    </row>
    <row r="33" spans="1:14" x14ac:dyDescent="0.25">
      <c r="A33">
        <v>223</v>
      </c>
      <c r="B33" s="1">
        <v>42870</v>
      </c>
      <c r="C33" s="9" t="s">
        <v>512</v>
      </c>
      <c r="D33" s="1" t="s">
        <v>835</v>
      </c>
      <c r="E33" s="1" t="s">
        <v>105</v>
      </c>
      <c r="F33" s="16" t="s">
        <v>705</v>
      </c>
      <c r="G33" s="36">
        <v>80</v>
      </c>
      <c r="H33" s="51">
        <v>0.27320378419841473</v>
      </c>
      <c r="I33" s="66">
        <v>26.227563283047814</v>
      </c>
      <c r="J33" s="67">
        <v>20</v>
      </c>
      <c r="K33" s="66">
        <v>16</v>
      </c>
      <c r="L33" s="67" t="str">
        <f t="shared" si="1"/>
        <v>20%</v>
      </c>
      <c r="M33" s="66">
        <v>4.3712605471746357</v>
      </c>
      <c r="N33" s="66">
        <v>21.856302735873179</v>
      </c>
    </row>
    <row r="34" spans="1:14" x14ac:dyDescent="0.25">
      <c r="A34">
        <v>224</v>
      </c>
      <c r="B34" s="1">
        <v>42902</v>
      </c>
      <c r="C34" s="9" t="s">
        <v>513</v>
      </c>
      <c r="D34" s="1" t="s">
        <v>835</v>
      </c>
      <c r="E34" s="1" t="s">
        <v>105</v>
      </c>
      <c r="F34" s="16" t="s">
        <v>705</v>
      </c>
      <c r="G34" s="36">
        <v>80</v>
      </c>
      <c r="H34" s="51">
        <v>0.27320378419841473</v>
      </c>
      <c r="I34" s="66">
        <v>26.227563283047814</v>
      </c>
      <c r="J34" s="67">
        <v>20</v>
      </c>
      <c r="K34" s="66">
        <v>16</v>
      </c>
      <c r="L34" s="67" t="str">
        <f t="shared" si="1"/>
        <v>20%</v>
      </c>
      <c r="M34" s="66">
        <v>4.3712605471746357</v>
      </c>
      <c r="N34" s="66">
        <v>21.856302735873179</v>
      </c>
    </row>
    <row r="35" spans="1:14" x14ac:dyDescent="0.25">
      <c r="A35">
        <v>225</v>
      </c>
      <c r="B35" s="1">
        <v>42919</v>
      </c>
      <c r="C35" s="9" t="s">
        <v>514</v>
      </c>
      <c r="D35" s="1" t="s">
        <v>782</v>
      </c>
      <c r="E35" s="1" t="s">
        <v>105</v>
      </c>
      <c r="F35" s="16" t="s">
        <v>703</v>
      </c>
      <c r="G35" s="36">
        <v>15</v>
      </c>
      <c r="H35" s="51">
        <v>1</v>
      </c>
      <c r="I35" s="66">
        <v>18</v>
      </c>
      <c r="J35" s="67">
        <v>20</v>
      </c>
      <c r="K35" s="66">
        <v>3</v>
      </c>
      <c r="L35" s="67" t="str">
        <f t="shared" si="1"/>
        <v>20%</v>
      </c>
      <c r="M35" s="66">
        <v>3</v>
      </c>
      <c r="N35" s="66">
        <v>15</v>
      </c>
    </row>
    <row r="36" spans="1:14" x14ac:dyDescent="0.25">
      <c r="A36">
        <v>226</v>
      </c>
      <c r="B36" s="1">
        <v>42912</v>
      </c>
      <c r="C36" s="9" t="s">
        <v>463</v>
      </c>
      <c r="D36" s="1" t="s">
        <v>829</v>
      </c>
      <c r="E36" s="1" t="s">
        <v>105</v>
      </c>
      <c r="F36" s="16" t="s">
        <v>691</v>
      </c>
      <c r="G36" s="36">
        <v>801.77</v>
      </c>
      <c r="H36" s="51">
        <v>0.27320378419841473</v>
      </c>
      <c r="I36" s="66">
        <v>240.95125786243926</v>
      </c>
      <c r="J36" s="67">
        <v>10</v>
      </c>
      <c r="K36" s="66">
        <v>80.176999999999992</v>
      </c>
      <c r="L36" s="67" t="str">
        <f t="shared" si="1"/>
        <v>10%</v>
      </c>
      <c r="M36" s="66">
        <v>21.904659805676296</v>
      </c>
      <c r="N36" s="66">
        <v>219.04659805676297</v>
      </c>
    </row>
    <row r="37" spans="1:14" x14ac:dyDescent="0.25">
      <c r="A37">
        <v>227</v>
      </c>
      <c r="B37" s="1">
        <v>42933</v>
      </c>
      <c r="C37" s="39" t="s">
        <v>519</v>
      </c>
      <c r="D37" s="1" t="s">
        <v>836</v>
      </c>
      <c r="E37" s="1" t="s">
        <v>105</v>
      </c>
      <c r="F37" s="16" t="s">
        <v>705</v>
      </c>
      <c r="G37" s="36">
        <v>142.5</v>
      </c>
      <c r="H37" s="51">
        <v>0.27320378419841473</v>
      </c>
      <c r="I37" s="66">
        <v>46.717847097928917</v>
      </c>
      <c r="J37" s="67">
        <v>20</v>
      </c>
      <c r="K37" s="66">
        <v>28.5</v>
      </c>
      <c r="L37" s="67" t="str">
        <f t="shared" si="1"/>
        <v>20%</v>
      </c>
      <c r="M37" s="66">
        <v>7.7863078496548201</v>
      </c>
      <c r="N37" s="66">
        <v>38.931539248274099</v>
      </c>
    </row>
    <row r="38" spans="1:14" x14ac:dyDescent="0.25">
      <c r="A38">
        <v>228</v>
      </c>
      <c r="B38" s="1">
        <v>42933</v>
      </c>
      <c r="C38" s="39" t="s">
        <v>520</v>
      </c>
      <c r="D38" s="1" t="s">
        <v>835</v>
      </c>
      <c r="E38" s="1" t="s">
        <v>105</v>
      </c>
      <c r="F38" s="16" t="s">
        <v>705</v>
      </c>
      <c r="G38" s="36">
        <v>80</v>
      </c>
      <c r="H38" s="51">
        <v>0.27320378419841473</v>
      </c>
      <c r="I38" s="66">
        <v>26.227563283047814</v>
      </c>
      <c r="J38" s="67">
        <v>20</v>
      </c>
      <c r="K38" s="66">
        <v>16</v>
      </c>
      <c r="L38" s="67" t="str">
        <f t="shared" si="1"/>
        <v>20%</v>
      </c>
      <c r="M38" s="66">
        <v>4.3712605471746357</v>
      </c>
      <c r="N38" s="66">
        <v>21.856302735873179</v>
      </c>
    </row>
    <row r="39" spans="1:14" x14ac:dyDescent="0.25">
      <c r="A39">
        <v>229</v>
      </c>
      <c r="B39" s="1">
        <v>42937</v>
      </c>
      <c r="C39" s="9" t="s">
        <v>463</v>
      </c>
      <c r="D39" s="1" t="s">
        <v>832</v>
      </c>
      <c r="E39" s="1" t="s">
        <v>105</v>
      </c>
      <c r="F39" s="16" t="s">
        <v>710</v>
      </c>
      <c r="G39" s="36">
        <v>-333.55</v>
      </c>
      <c r="H39" s="51">
        <v>0.27320378419841473</v>
      </c>
      <c r="I39" s="66">
        <v>-100.23983444131936</v>
      </c>
      <c r="J39" s="67">
        <v>10</v>
      </c>
      <c r="K39" s="66">
        <v>-33.354999999999997</v>
      </c>
      <c r="L39" s="67" t="str">
        <f t="shared" si="1"/>
        <v>10%</v>
      </c>
      <c r="M39" s="66">
        <v>-9.1127122219381231</v>
      </c>
      <c r="N39" s="66">
        <v>-91.127122219381235</v>
      </c>
    </row>
    <row r="40" spans="1:14" x14ac:dyDescent="0.25">
      <c r="A40">
        <v>230</v>
      </c>
      <c r="B40" s="1">
        <v>42941</v>
      </c>
      <c r="C40" s="9" t="s">
        <v>463</v>
      </c>
      <c r="D40" s="1" t="s">
        <v>830</v>
      </c>
      <c r="E40" s="1" t="s">
        <v>105</v>
      </c>
      <c r="F40" s="16" t="s">
        <v>691</v>
      </c>
      <c r="G40" s="36">
        <v>801.77</v>
      </c>
      <c r="H40" s="51">
        <v>0.27320378419841473</v>
      </c>
      <c r="I40" s="66">
        <v>240.95125786243926</v>
      </c>
      <c r="J40" s="67">
        <v>10</v>
      </c>
      <c r="K40" s="66">
        <v>80.176999999999992</v>
      </c>
      <c r="L40" s="67" t="str">
        <f t="shared" si="1"/>
        <v>10%</v>
      </c>
      <c r="M40" s="66">
        <v>21.904659805676296</v>
      </c>
      <c r="N40" s="66">
        <v>219.04659805676297</v>
      </c>
    </row>
    <row r="41" spans="1:14" x14ac:dyDescent="0.25">
      <c r="A41">
        <v>231</v>
      </c>
      <c r="B41" s="1">
        <v>42949</v>
      </c>
      <c r="C41" s="9" t="s">
        <v>522</v>
      </c>
      <c r="D41" s="1" t="s">
        <v>782</v>
      </c>
      <c r="E41" s="1" t="s">
        <v>105</v>
      </c>
      <c r="F41" s="16" t="s">
        <v>703</v>
      </c>
      <c r="G41" s="36">
        <v>15</v>
      </c>
      <c r="H41" s="51">
        <v>1</v>
      </c>
      <c r="I41" s="66">
        <v>18</v>
      </c>
      <c r="J41" s="67">
        <v>20</v>
      </c>
      <c r="K41" s="66">
        <v>3</v>
      </c>
      <c r="L41" s="67" t="str">
        <f t="shared" si="1"/>
        <v>20%</v>
      </c>
      <c r="M41" s="66">
        <v>3</v>
      </c>
      <c r="N41" s="66">
        <v>15</v>
      </c>
    </row>
    <row r="42" spans="1:14" x14ac:dyDescent="0.25">
      <c r="A42">
        <v>232</v>
      </c>
      <c r="B42" s="1">
        <v>42963</v>
      </c>
      <c r="C42" s="39" t="s">
        <v>521</v>
      </c>
      <c r="D42" s="1" t="s">
        <v>795</v>
      </c>
      <c r="E42" s="1" t="s">
        <v>105</v>
      </c>
      <c r="F42" s="16" t="s">
        <v>705</v>
      </c>
      <c r="G42" s="36">
        <v>80</v>
      </c>
      <c r="H42" s="51">
        <v>0.27320378419841473</v>
      </c>
      <c r="I42" s="66">
        <v>26.227563283047814</v>
      </c>
      <c r="J42" s="67">
        <v>20</v>
      </c>
      <c r="K42" s="66">
        <v>16</v>
      </c>
      <c r="L42" s="67" t="str">
        <f t="shared" ref="L42:L76" si="2">J42&amp;"%"</f>
        <v>20%</v>
      </c>
      <c r="M42" s="66">
        <v>4.3712605471746357</v>
      </c>
      <c r="N42" s="66">
        <v>21.856302735873179</v>
      </c>
    </row>
    <row r="43" spans="1:14" x14ac:dyDescent="0.25">
      <c r="A43">
        <v>233</v>
      </c>
      <c r="B43" s="1">
        <v>42972</v>
      </c>
      <c r="C43" s="9" t="s">
        <v>463</v>
      </c>
      <c r="D43" s="1" t="s">
        <v>831</v>
      </c>
      <c r="E43" s="1" t="s">
        <v>105</v>
      </c>
      <c r="F43" s="16" t="s">
        <v>691</v>
      </c>
      <c r="G43" s="36">
        <v>801.77</v>
      </c>
      <c r="H43" s="51">
        <v>0.27320378419841473</v>
      </c>
      <c r="I43" s="66">
        <v>240.95125786243926</v>
      </c>
      <c r="J43" s="67">
        <v>10</v>
      </c>
      <c r="K43" s="66">
        <v>80.176999999999992</v>
      </c>
      <c r="L43" s="67" t="str">
        <f t="shared" si="2"/>
        <v>10%</v>
      </c>
      <c r="M43" s="66">
        <v>21.904659805676296</v>
      </c>
      <c r="N43" s="66">
        <v>219.04659805676297</v>
      </c>
    </row>
    <row r="44" spans="1:14" x14ac:dyDescent="0.25">
      <c r="A44">
        <v>234</v>
      </c>
      <c r="B44" s="1">
        <v>42978</v>
      </c>
      <c r="C44" s="9" t="s">
        <v>524</v>
      </c>
      <c r="D44" s="1" t="s">
        <v>782</v>
      </c>
      <c r="E44" s="1" t="s">
        <v>105</v>
      </c>
      <c r="F44" s="16" t="s">
        <v>703</v>
      </c>
      <c r="G44" s="36">
        <v>15</v>
      </c>
      <c r="H44" s="51">
        <v>1</v>
      </c>
      <c r="I44" s="66">
        <v>18</v>
      </c>
      <c r="J44" s="67">
        <v>20</v>
      </c>
      <c r="K44" s="66">
        <v>3</v>
      </c>
      <c r="L44" s="67" t="str">
        <f t="shared" si="2"/>
        <v>20%</v>
      </c>
      <c r="M44" s="66">
        <v>3</v>
      </c>
      <c r="N44" s="66">
        <v>15</v>
      </c>
    </row>
    <row r="45" spans="1:14" x14ac:dyDescent="0.25">
      <c r="A45">
        <v>235</v>
      </c>
      <c r="B45" s="1">
        <v>42993</v>
      </c>
      <c r="C45" s="9" t="s">
        <v>523</v>
      </c>
      <c r="D45" s="1" t="s">
        <v>835</v>
      </c>
      <c r="E45" s="1" t="s">
        <v>105</v>
      </c>
      <c r="F45" s="16" t="s">
        <v>705</v>
      </c>
      <c r="G45" s="36">
        <v>80</v>
      </c>
      <c r="H45" s="51">
        <v>0.27320378419841473</v>
      </c>
      <c r="I45" s="66">
        <v>26.227563283047814</v>
      </c>
      <c r="J45" s="67">
        <v>20</v>
      </c>
      <c r="K45" s="66">
        <v>16</v>
      </c>
      <c r="L45" s="67" t="str">
        <f t="shared" si="2"/>
        <v>20%</v>
      </c>
      <c r="M45" s="66">
        <v>4.3712605471746357</v>
      </c>
      <c r="N45" s="66">
        <v>21.856302735873179</v>
      </c>
    </row>
    <row r="46" spans="1:14" x14ac:dyDescent="0.25">
      <c r="A46">
        <v>236</v>
      </c>
      <c r="B46" s="1">
        <v>42993</v>
      </c>
      <c r="C46" s="9" t="s">
        <v>526</v>
      </c>
      <c r="D46" s="1" t="s">
        <v>837</v>
      </c>
      <c r="E46" s="1" t="s">
        <v>105</v>
      </c>
      <c r="F46" s="16" t="s">
        <v>705</v>
      </c>
      <c r="G46" s="36">
        <v>21.82</v>
      </c>
      <c r="H46" s="51">
        <v>0.27320378419841473</v>
      </c>
      <c r="I46" s="66">
        <v>7.1535678854512916</v>
      </c>
      <c r="J46" s="67">
        <v>20</v>
      </c>
      <c r="K46" s="66">
        <v>4.3639999999999999</v>
      </c>
      <c r="L46" s="67" t="str">
        <f t="shared" si="2"/>
        <v>20%</v>
      </c>
      <c r="M46" s="66">
        <v>1.1922613142418819</v>
      </c>
      <c r="N46" s="66">
        <v>5.96130657120941</v>
      </c>
    </row>
    <row r="47" spans="1:14" x14ac:dyDescent="0.25">
      <c r="A47">
        <v>237</v>
      </c>
      <c r="B47" s="1">
        <v>43031</v>
      </c>
      <c r="C47" s="9" t="s">
        <v>525</v>
      </c>
      <c r="D47" s="1" t="s">
        <v>796</v>
      </c>
      <c r="E47" s="1" t="s">
        <v>105</v>
      </c>
      <c r="F47" s="16" t="s">
        <v>705</v>
      </c>
      <c r="G47" s="36">
        <v>29.1</v>
      </c>
      <c r="H47" s="51">
        <v>1</v>
      </c>
      <c r="I47" s="66">
        <v>34.92</v>
      </c>
      <c r="J47" s="67">
        <v>20</v>
      </c>
      <c r="K47" s="66">
        <v>5.82</v>
      </c>
      <c r="L47" s="67" t="str">
        <f t="shared" si="2"/>
        <v>20%</v>
      </c>
      <c r="M47" s="66">
        <v>5.82</v>
      </c>
      <c r="N47" s="66">
        <v>29.1</v>
      </c>
    </row>
    <row r="48" spans="1:14" x14ac:dyDescent="0.25">
      <c r="A48">
        <v>238</v>
      </c>
      <c r="B48" s="1">
        <v>43003</v>
      </c>
      <c r="C48" s="9" t="s">
        <v>463</v>
      </c>
      <c r="D48" s="1" t="s">
        <v>831</v>
      </c>
      <c r="E48" s="1" t="s">
        <v>105</v>
      </c>
      <c r="F48" s="16" t="s">
        <v>691</v>
      </c>
      <c r="G48" s="36">
        <v>801.77</v>
      </c>
      <c r="H48" s="51">
        <v>0.27320378419841473</v>
      </c>
      <c r="I48" s="66">
        <v>240.95125786243926</v>
      </c>
      <c r="J48" s="67">
        <v>10</v>
      </c>
      <c r="K48" s="66">
        <v>80.176999999999992</v>
      </c>
      <c r="L48" s="67" t="str">
        <f t="shared" si="2"/>
        <v>10%</v>
      </c>
      <c r="M48" s="66">
        <v>21.904659805676296</v>
      </c>
      <c r="N48" s="66">
        <v>219.04659805676297</v>
      </c>
    </row>
    <row r="49" spans="1:14" x14ac:dyDescent="0.25">
      <c r="A49">
        <v>239</v>
      </c>
      <c r="B49" s="1">
        <v>43013</v>
      </c>
      <c r="C49" s="9" t="s">
        <v>527</v>
      </c>
      <c r="D49" s="1" t="s">
        <v>782</v>
      </c>
      <c r="E49" s="1" t="s">
        <v>105</v>
      </c>
      <c r="F49" s="16" t="s">
        <v>703</v>
      </c>
      <c r="G49" s="36">
        <v>15</v>
      </c>
      <c r="H49" s="51">
        <v>1</v>
      </c>
      <c r="I49" s="66">
        <v>18</v>
      </c>
      <c r="J49" s="67">
        <v>20</v>
      </c>
      <c r="K49" s="66">
        <v>3</v>
      </c>
      <c r="L49" s="67" t="str">
        <f t="shared" si="2"/>
        <v>20%</v>
      </c>
      <c r="M49" s="66">
        <v>3</v>
      </c>
      <c r="N49" s="66">
        <v>15</v>
      </c>
    </row>
    <row r="50" spans="1:14" x14ac:dyDescent="0.25">
      <c r="A50">
        <v>240</v>
      </c>
      <c r="B50" s="1">
        <v>43024</v>
      </c>
      <c r="C50" s="9" t="s">
        <v>529</v>
      </c>
      <c r="D50" s="1" t="s">
        <v>835</v>
      </c>
      <c r="E50" s="1" t="s">
        <v>105</v>
      </c>
      <c r="F50" s="16" t="s">
        <v>691</v>
      </c>
      <c r="G50" s="36">
        <v>80</v>
      </c>
      <c r="H50" s="51">
        <v>0.27320378419841473</v>
      </c>
      <c r="I50" s="66">
        <v>26.227563283047814</v>
      </c>
      <c r="J50" s="67">
        <v>20</v>
      </c>
      <c r="K50" s="66">
        <v>16</v>
      </c>
      <c r="L50" s="67" t="str">
        <f t="shared" si="2"/>
        <v>20%</v>
      </c>
      <c r="M50" s="66">
        <v>4.3712605471746357</v>
      </c>
      <c r="N50" s="66">
        <v>21.856302735873179</v>
      </c>
    </row>
    <row r="51" spans="1:14" x14ac:dyDescent="0.25">
      <c r="A51">
        <v>241</v>
      </c>
      <c r="B51" s="1">
        <v>43024</v>
      </c>
      <c r="C51" s="9" t="s">
        <v>528</v>
      </c>
      <c r="D51" s="1" t="s">
        <v>838</v>
      </c>
      <c r="E51" s="1" t="s">
        <v>105</v>
      </c>
      <c r="F51" s="16" t="s">
        <v>705</v>
      </c>
      <c r="G51" s="36">
        <v>151.66999999999999</v>
      </c>
      <c r="H51" s="51">
        <v>0.27320378419841473</v>
      </c>
      <c r="I51" s="66">
        <v>49.724181539248278</v>
      </c>
      <c r="J51" s="67">
        <v>20</v>
      </c>
      <c r="K51" s="66">
        <v>30.333999999999996</v>
      </c>
      <c r="L51" s="67" t="str">
        <f t="shared" si="2"/>
        <v>20%</v>
      </c>
      <c r="M51" s="66">
        <v>8.2873635898747118</v>
      </c>
      <c r="N51" s="66">
        <v>41.436817949373562</v>
      </c>
    </row>
    <row r="52" spans="1:14" x14ac:dyDescent="0.25">
      <c r="A52">
        <v>242</v>
      </c>
      <c r="B52" s="1">
        <v>43033</v>
      </c>
      <c r="C52" s="9" t="s">
        <v>463</v>
      </c>
      <c r="D52" s="1" t="s">
        <v>831</v>
      </c>
      <c r="E52" s="1" t="s">
        <v>105</v>
      </c>
      <c r="F52" s="16" t="s">
        <v>705</v>
      </c>
      <c r="G52" s="36">
        <v>801.77</v>
      </c>
      <c r="H52" s="51">
        <v>0.27320378419841473</v>
      </c>
      <c r="I52" s="66">
        <v>240.95125786243926</v>
      </c>
      <c r="J52" s="67">
        <v>10</v>
      </c>
      <c r="K52" s="66">
        <v>80.176999999999992</v>
      </c>
      <c r="L52" s="67" t="str">
        <f t="shared" si="2"/>
        <v>10%</v>
      </c>
      <c r="M52" s="66">
        <v>21.904659805676296</v>
      </c>
      <c r="N52" s="66">
        <v>219.04659805676297</v>
      </c>
    </row>
    <row r="53" spans="1:14" x14ac:dyDescent="0.25">
      <c r="A53">
        <v>243</v>
      </c>
      <c r="B53" s="1">
        <v>43026</v>
      </c>
      <c r="C53" s="9" t="s">
        <v>531</v>
      </c>
      <c r="D53" s="1" t="s">
        <v>797</v>
      </c>
      <c r="E53" s="1" t="s">
        <v>105</v>
      </c>
      <c r="F53" s="16" t="s">
        <v>705</v>
      </c>
      <c r="G53" s="36">
        <v>12.42</v>
      </c>
      <c r="H53" s="51">
        <v>1</v>
      </c>
      <c r="I53" s="66">
        <v>14.904</v>
      </c>
      <c r="J53" s="67">
        <v>20</v>
      </c>
      <c r="K53" s="66">
        <v>2.484</v>
      </c>
      <c r="L53" s="67" t="str">
        <f t="shared" si="2"/>
        <v>20%</v>
      </c>
      <c r="M53" s="66">
        <v>2.484</v>
      </c>
      <c r="N53" s="66">
        <v>12.42</v>
      </c>
    </row>
    <row r="54" spans="1:14" x14ac:dyDescent="0.25">
      <c r="A54">
        <v>244</v>
      </c>
      <c r="B54" s="1">
        <v>43045</v>
      </c>
      <c r="C54" s="6">
        <v>6144051313</v>
      </c>
      <c r="D54" s="1" t="s">
        <v>782</v>
      </c>
      <c r="E54" s="1" t="s">
        <v>105</v>
      </c>
      <c r="F54" s="16" t="s">
        <v>703</v>
      </c>
      <c r="G54" s="36">
        <v>15</v>
      </c>
      <c r="H54" s="51">
        <v>1</v>
      </c>
      <c r="I54" s="66">
        <v>18</v>
      </c>
      <c r="J54" s="67">
        <v>20</v>
      </c>
      <c r="K54" s="66">
        <v>3</v>
      </c>
      <c r="L54" s="67" t="str">
        <f t="shared" si="2"/>
        <v>20%</v>
      </c>
      <c r="M54" s="66">
        <v>3</v>
      </c>
      <c r="N54" s="66">
        <v>15</v>
      </c>
    </row>
    <row r="55" spans="1:14" x14ac:dyDescent="0.25">
      <c r="A55">
        <v>245</v>
      </c>
      <c r="B55" s="1">
        <v>43054</v>
      </c>
      <c r="C55" s="9" t="s">
        <v>535</v>
      </c>
      <c r="D55" s="1" t="s">
        <v>841</v>
      </c>
      <c r="E55" s="1" t="s">
        <v>105</v>
      </c>
      <c r="F55" s="16" t="s">
        <v>705</v>
      </c>
      <c r="G55" s="36">
        <v>780</v>
      </c>
      <c r="H55" s="51">
        <v>1</v>
      </c>
      <c r="I55" s="66">
        <v>351</v>
      </c>
      <c r="J55" s="67">
        <v>20</v>
      </c>
      <c r="K55" s="66">
        <v>156</v>
      </c>
      <c r="L55" s="67" t="str">
        <f t="shared" si="2"/>
        <v>20%</v>
      </c>
      <c r="M55" s="66">
        <v>156</v>
      </c>
      <c r="N55" s="66">
        <v>195</v>
      </c>
    </row>
    <row r="56" spans="1:14" x14ac:dyDescent="0.25">
      <c r="A56">
        <v>245</v>
      </c>
      <c r="B56" s="1">
        <v>43054</v>
      </c>
      <c r="C56" s="9" t="s">
        <v>535</v>
      </c>
      <c r="D56" s="1" t="s">
        <v>842</v>
      </c>
      <c r="E56" s="1" t="s">
        <v>105</v>
      </c>
      <c r="F56" s="16" t="s">
        <v>705</v>
      </c>
      <c r="G56" s="36">
        <v>-585</v>
      </c>
      <c r="H56" s="51">
        <v>1</v>
      </c>
      <c r="I56" s="66">
        <v>-585</v>
      </c>
      <c r="J56" s="67">
        <v>0</v>
      </c>
      <c r="K56" s="66">
        <v>0</v>
      </c>
      <c r="L56" s="67" t="str">
        <f t="shared" si="2"/>
        <v>0%</v>
      </c>
      <c r="M56" s="66">
        <v>0</v>
      </c>
      <c r="N56" s="66">
        <v>-585</v>
      </c>
    </row>
    <row r="57" spans="1:14" x14ac:dyDescent="0.25">
      <c r="A57">
        <v>246</v>
      </c>
      <c r="B57" s="1">
        <v>43054</v>
      </c>
      <c r="C57" s="9" t="s">
        <v>543</v>
      </c>
      <c r="D57" s="1" t="s">
        <v>834</v>
      </c>
      <c r="E57" s="1" t="s">
        <v>105</v>
      </c>
      <c r="F57" s="16" t="s">
        <v>691</v>
      </c>
      <c r="G57" s="36">
        <v>115.1</v>
      </c>
      <c r="H57" s="51">
        <v>0.27320378419841473</v>
      </c>
      <c r="I57" s="66">
        <v>37.734906673485042</v>
      </c>
      <c r="J57" s="67">
        <v>20</v>
      </c>
      <c r="K57" s="66">
        <v>23.02</v>
      </c>
      <c r="L57" s="67" t="str">
        <f t="shared" si="2"/>
        <v>20%</v>
      </c>
      <c r="M57" s="66">
        <v>6.2891511122475068</v>
      </c>
      <c r="N57" s="66">
        <v>31.445755561237533</v>
      </c>
    </row>
    <row r="58" spans="1:14" x14ac:dyDescent="0.25">
      <c r="A58">
        <v>247</v>
      </c>
      <c r="B58" s="1">
        <v>43055</v>
      </c>
      <c r="C58" s="9" t="s">
        <v>538</v>
      </c>
      <c r="D58" s="1" t="s">
        <v>850</v>
      </c>
      <c r="E58" s="1" t="s">
        <v>105</v>
      </c>
      <c r="F58" s="16" t="s">
        <v>683</v>
      </c>
      <c r="G58" s="36">
        <v>828.44</v>
      </c>
      <c r="H58" s="51">
        <v>1</v>
      </c>
      <c r="I58" s="66">
        <v>994.12800000000004</v>
      </c>
      <c r="J58" s="67">
        <v>20</v>
      </c>
      <c r="K58" s="66">
        <v>165.68800000000002</v>
      </c>
      <c r="L58" s="67" t="str">
        <f t="shared" si="2"/>
        <v>20%</v>
      </c>
      <c r="M58" s="66">
        <v>165.68800000000002</v>
      </c>
      <c r="N58" s="66">
        <v>828.44</v>
      </c>
    </row>
    <row r="59" spans="1:14" x14ac:dyDescent="0.25">
      <c r="A59">
        <v>248</v>
      </c>
      <c r="B59" s="1">
        <v>43056</v>
      </c>
      <c r="C59" s="9" t="s">
        <v>541</v>
      </c>
      <c r="D59" s="1" t="s">
        <v>799</v>
      </c>
      <c r="E59" s="1" t="s">
        <v>105</v>
      </c>
      <c r="F59" s="16" t="s">
        <v>683</v>
      </c>
      <c r="G59" s="36">
        <v>208.25</v>
      </c>
      <c r="H59" s="51">
        <v>1</v>
      </c>
      <c r="I59" s="66">
        <v>249.9</v>
      </c>
      <c r="J59" s="67">
        <v>20</v>
      </c>
      <c r="K59" s="66">
        <v>41.65</v>
      </c>
      <c r="L59" s="67" t="str">
        <f t="shared" si="2"/>
        <v>20%</v>
      </c>
      <c r="M59" s="66">
        <v>41.65</v>
      </c>
      <c r="N59" s="66">
        <v>208.25</v>
      </c>
    </row>
    <row r="60" spans="1:14" x14ac:dyDescent="0.25">
      <c r="A60">
        <v>249</v>
      </c>
      <c r="B60" s="1">
        <v>43056</v>
      </c>
      <c r="C60" s="9" t="s">
        <v>544</v>
      </c>
      <c r="D60" s="1" t="s">
        <v>799</v>
      </c>
      <c r="E60" s="1" t="s">
        <v>105</v>
      </c>
      <c r="F60" s="16" t="s">
        <v>683</v>
      </c>
      <c r="G60" s="36">
        <v>208.25</v>
      </c>
      <c r="H60" s="51">
        <v>1</v>
      </c>
      <c r="I60" s="66">
        <v>249.9</v>
      </c>
      <c r="J60" s="67">
        <v>20</v>
      </c>
      <c r="K60" s="66">
        <v>41.65</v>
      </c>
      <c r="L60" s="67" t="str">
        <f t="shared" si="2"/>
        <v>20%</v>
      </c>
      <c r="M60" s="66">
        <v>41.65</v>
      </c>
      <c r="N60" s="66">
        <v>208.25</v>
      </c>
    </row>
    <row r="61" spans="1:14" x14ac:dyDescent="0.25">
      <c r="A61">
        <v>250</v>
      </c>
      <c r="B61" s="1">
        <v>43056</v>
      </c>
      <c r="C61" s="9" t="s">
        <v>545</v>
      </c>
      <c r="D61" s="1" t="s">
        <v>800</v>
      </c>
      <c r="E61" s="1" t="s">
        <v>105</v>
      </c>
      <c r="F61" s="16" t="s">
        <v>683</v>
      </c>
      <c r="G61" s="36">
        <v>229.06</v>
      </c>
      <c r="H61" s="51">
        <v>1</v>
      </c>
      <c r="I61" s="66">
        <v>274.87200000000001</v>
      </c>
      <c r="J61" s="67">
        <v>20</v>
      </c>
      <c r="K61" s="66">
        <v>45.811999999999998</v>
      </c>
      <c r="L61" s="67" t="str">
        <f t="shared" si="2"/>
        <v>20%</v>
      </c>
      <c r="M61" s="66">
        <v>45.811999999999998</v>
      </c>
      <c r="N61" s="66">
        <v>229.06</v>
      </c>
    </row>
    <row r="62" spans="1:14" x14ac:dyDescent="0.25">
      <c r="A62">
        <v>251</v>
      </c>
      <c r="B62" s="1">
        <v>43059</v>
      </c>
      <c r="C62" s="9" t="s">
        <v>547</v>
      </c>
      <c r="D62" s="1" t="s">
        <v>799</v>
      </c>
      <c r="E62" s="1" t="s">
        <v>105</v>
      </c>
      <c r="F62" s="16" t="s">
        <v>683</v>
      </c>
      <c r="G62" s="36">
        <v>208.25</v>
      </c>
      <c r="H62" s="51">
        <v>1</v>
      </c>
      <c r="I62" s="66">
        <v>249.9</v>
      </c>
      <c r="J62" s="67">
        <v>20</v>
      </c>
      <c r="K62" s="66">
        <v>41.65</v>
      </c>
      <c r="L62" s="67" t="str">
        <f t="shared" si="2"/>
        <v>20%</v>
      </c>
      <c r="M62" s="66">
        <v>41.65</v>
      </c>
      <c r="N62" s="66">
        <v>208.25</v>
      </c>
    </row>
    <row r="63" spans="1:14" x14ac:dyDescent="0.25">
      <c r="A63">
        <v>252</v>
      </c>
      <c r="B63" s="1">
        <v>43059</v>
      </c>
      <c r="C63" s="9" t="s">
        <v>548</v>
      </c>
      <c r="D63" s="1" t="s">
        <v>851</v>
      </c>
      <c r="E63" s="1" t="s">
        <v>105</v>
      </c>
      <c r="F63" s="16" t="s">
        <v>683</v>
      </c>
      <c r="G63" s="36">
        <v>1511.77</v>
      </c>
      <c r="H63" s="51">
        <v>1</v>
      </c>
      <c r="I63" s="66">
        <v>1814.124</v>
      </c>
      <c r="J63" s="67">
        <v>20</v>
      </c>
      <c r="K63" s="66">
        <v>302.35400000000004</v>
      </c>
      <c r="L63" s="67" t="str">
        <f t="shared" si="2"/>
        <v>20%</v>
      </c>
      <c r="M63" s="66">
        <v>302.35400000000004</v>
      </c>
      <c r="N63" s="66">
        <v>1511.77</v>
      </c>
    </row>
    <row r="64" spans="1:14" x14ac:dyDescent="0.25">
      <c r="A64">
        <v>253</v>
      </c>
      <c r="B64" s="1">
        <v>43055</v>
      </c>
      <c r="C64" s="9" t="s">
        <v>551</v>
      </c>
      <c r="D64" s="1" t="s">
        <v>852</v>
      </c>
      <c r="E64" s="1" t="s">
        <v>105</v>
      </c>
      <c r="F64" s="16" t="s">
        <v>683</v>
      </c>
      <c r="G64" s="36">
        <v>464.31</v>
      </c>
      <c r="H64" s="51">
        <v>1</v>
      </c>
      <c r="I64" s="66">
        <v>557.17200000000003</v>
      </c>
      <c r="J64" s="67">
        <v>20</v>
      </c>
      <c r="K64" s="66">
        <v>92.862000000000009</v>
      </c>
      <c r="L64" s="67" t="str">
        <f t="shared" si="2"/>
        <v>20%</v>
      </c>
      <c r="M64" s="66">
        <v>92.862000000000009</v>
      </c>
      <c r="N64" s="66">
        <v>464.31</v>
      </c>
    </row>
    <row r="65" spans="1:15" x14ac:dyDescent="0.25">
      <c r="A65">
        <v>254</v>
      </c>
      <c r="B65" s="1">
        <v>43059</v>
      </c>
      <c r="C65" s="9" t="s">
        <v>553</v>
      </c>
      <c r="D65" s="1" t="s">
        <v>803</v>
      </c>
      <c r="E65" s="1" t="s">
        <v>105</v>
      </c>
      <c r="F65" s="16" t="s">
        <v>683</v>
      </c>
      <c r="G65" s="36">
        <v>150.41999999999999</v>
      </c>
      <c r="H65" s="51">
        <v>1</v>
      </c>
      <c r="I65" s="66">
        <v>180.50399999999999</v>
      </c>
      <c r="J65" s="67">
        <v>20</v>
      </c>
      <c r="K65" s="66">
        <v>30.083999999999996</v>
      </c>
      <c r="L65" s="67" t="str">
        <f t="shared" si="2"/>
        <v>20%</v>
      </c>
      <c r="M65" s="66">
        <v>30.083999999999996</v>
      </c>
      <c r="N65" s="66">
        <v>150.41999999999999</v>
      </c>
    </row>
    <row r="66" spans="1:15" x14ac:dyDescent="0.25">
      <c r="A66">
        <v>255</v>
      </c>
      <c r="B66" s="1">
        <v>43059</v>
      </c>
      <c r="C66" s="9" t="s">
        <v>555</v>
      </c>
      <c r="D66" s="1" t="s">
        <v>804</v>
      </c>
      <c r="E66" s="1" t="s">
        <v>105</v>
      </c>
      <c r="F66" s="16" t="s">
        <v>683</v>
      </c>
      <c r="G66" s="36">
        <v>108.19</v>
      </c>
      <c r="H66" s="51">
        <v>1</v>
      </c>
      <c r="I66" s="66">
        <v>129.828</v>
      </c>
      <c r="J66" s="67">
        <v>20</v>
      </c>
      <c r="K66" s="66">
        <v>21.638000000000002</v>
      </c>
      <c r="L66" s="67" t="str">
        <f t="shared" si="2"/>
        <v>20%</v>
      </c>
      <c r="M66" s="66">
        <v>21.638000000000002</v>
      </c>
      <c r="N66" s="66">
        <v>108.19</v>
      </c>
    </row>
    <row r="67" spans="1:15" x14ac:dyDescent="0.25">
      <c r="A67">
        <v>256</v>
      </c>
      <c r="B67" s="1">
        <v>43059</v>
      </c>
      <c r="C67" s="9" t="s">
        <v>557</v>
      </c>
      <c r="D67" s="1" t="s">
        <v>805</v>
      </c>
      <c r="E67" s="1" t="s">
        <v>105</v>
      </c>
      <c r="F67" s="16" t="s">
        <v>683</v>
      </c>
      <c r="G67" s="36">
        <v>30.24</v>
      </c>
      <c r="H67" s="51">
        <v>1</v>
      </c>
      <c r="I67" s="66">
        <v>36.287999999999997</v>
      </c>
      <c r="J67" s="67">
        <v>20</v>
      </c>
      <c r="K67" s="66">
        <v>6.0479999999999992</v>
      </c>
      <c r="L67" s="67" t="str">
        <f t="shared" si="2"/>
        <v>20%</v>
      </c>
      <c r="M67" s="66">
        <v>6.0479999999999992</v>
      </c>
      <c r="N67" s="66">
        <v>30.24</v>
      </c>
    </row>
    <row r="68" spans="1:15" x14ac:dyDescent="0.25">
      <c r="A68">
        <v>257</v>
      </c>
      <c r="B68" s="1">
        <v>43059</v>
      </c>
      <c r="C68" s="9" t="s">
        <v>561</v>
      </c>
      <c r="D68" s="1" t="s">
        <v>806</v>
      </c>
      <c r="E68" s="1" t="s">
        <v>105</v>
      </c>
      <c r="F68" s="16" t="s">
        <v>683</v>
      </c>
      <c r="G68" s="36">
        <v>197.97</v>
      </c>
      <c r="H68" s="51">
        <v>1</v>
      </c>
      <c r="I68" s="66">
        <v>237.56399999999999</v>
      </c>
      <c r="J68" s="67">
        <v>20</v>
      </c>
      <c r="K68" s="66">
        <v>39.594000000000001</v>
      </c>
      <c r="L68" s="67" t="str">
        <f t="shared" si="2"/>
        <v>20%</v>
      </c>
      <c r="M68" s="66">
        <v>39.594000000000001</v>
      </c>
      <c r="N68" s="66">
        <v>197.97</v>
      </c>
    </row>
    <row r="69" spans="1:15" x14ac:dyDescent="0.25">
      <c r="A69">
        <v>258</v>
      </c>
      <c r="B69" s="1">
        <v>43060</v>
      </c>
      <c r="C69" s="9" t="s">
        <v>565</v>
      </c>
      <c r="D69" s="1" t="s">
        <v>807</v>
      </c>
      <c r="E69" s="1" t="s">
        <v>105</v>
      </c>
      <c r="F69" s="16" t="s">
        <v>683</v>
      </c>
      <c r="G69" s="36">
        <v>40.32</v>
      </c>
      <c r="H69" s="51">
        <v>1</v>
      </c>
      <c r="I69" s="66">
        <v>48.384</v>
      </c>
      <c r="J69" s="67">
        <v>20</v>
      </c>
      <c r="K69" s="66">
        <v>8.0640000000000001</v>
      </c>
      <c r="L69" s="67" t="str">
        <f t="shared" si="2"/>
        <v>20%</v>
      </c>
      <c r="M69" s="66">
        <v>8.0640000000000001</v>
      </c>
      <c r="N69" s="66">
        <v>40.32</v>
      </c>
    </row>
    <row r="70" spans="1:15" x14ac:dyDescent="0.25">
      <c r="A70">
        <v>259</v>
      </c>
      <c r="B70" s="1">
        <v>43060</v>
      </c>
      <c r="C70" s="9" t="s">
        <v>567</v>
      </c>
      <c r="D70" s="1" t="s">
        <v>808</v>
      </c>
      <c r="E70" s="1" t="s">
        <v>105</v>
      </c>
      <c r="F70" s="16" t="s">
        <v>683</v>
      </c>
      <c r="G70" s="36">
        <v>171.14</v>
      </c>
      <c r="H70" s="51">
        <v>1</v>
      </c>
      <c r="I70" s="66">
        <v>205.36799999999999</v>
      </c>
      <c r="J70" s="67">
        <v>20</v>
      </c>
      <c r="K70" s="66">
        <v>34.227999999999994</v>
      </c>
      <c r="L70" s="67" t="str">
        <f t="shared" si="2"/>
        <v>20%</v>
      </c>
      <c r="M70" s="66">
        <v>34.227999999999994</v>
      </c>
      <c r="N70" s="66">
        <v>171.14</v>
      </c>
    </row>
    <row r="71" spans="1:15" x14ac:dyDescent="0.25">
      <c r="A71">
        <v>260</v>
      </c>
      <c r="B71" s="1">
        <v>43060</v>
      </c>
      <c r="C71" s="9" t="s">
        <v>569</v>
      </c>
      <c r="D71" s="1" t="s">
        <v>809</v>
      </c>
      <c r="E71" s="1" t="s">
        <v>105</v>
      </c>
      <c r="F71" s="16" t="s">
        <v>683</v>
      </c>
      <c r="G71" s="36">
        <v>17.559999999999999</v>
      </c>
      <c r="H71" s="51">
        <v>1</v>
      </c>
      <c r="I71" s="66">
        <v>21.071999999999999</v>
      </c>
      <c r="J71" s="67">
        <v>20</v>
      </c>
      <c r="K71" s="66">
        <v>3.512</v>
      </c>
      <c r="L71" s="67" t="str">
        <f t="shared" si="2"/>
        <v>20%</v>
      </c>
      <c r="M71" s="66">
        <v>3.512</v>
      </c>
      <c r="N71" s="66">
        <v>17.559999999999999</v>
      </c>
    </row>
    <row r="72" spans="1:15" x14ac:dyDescent="0.25">
      <c r="A72">
        <v>261</v>
      </c>
      <c r="B72" s="1">
        <v>43062</v>
      </c>
      <c r="C72" s="9" t="s">
        <v>571</v>
      </c>
      <c r="D72" s="1" t="s">
        <v>810</v>
      </c>
      <c r="E72" s="1" t="s">
        <v>105</v>
      </c>
      <c r="F72" s="16" t="s">
        <v>683</v>
      </c>
      <c r="G72" s="36">
        <v>8.93</v>
      </c>
      <c r="H72" s="51">
        <v>1</v>
      </c>
      <c r="I72" s="66">
        <v>10.715999999999999</v>
      </c>
      <c r="J72" s="67">
        <v>20</v>
      </c>
      <c r="K72" s="66">
        <v>1.786</v>
      </c>
      <c r="L72" s="67" t="str">
        <f t="shared" si="2"/>
        <v>20%</v>
      </c>
      <c r="M72" s="66">
        <v>1.786</v>
      </c>
      <c r="N72" s="66">
        <v>8.93</v>
      </c>
    </row>
    <row r="73" spans="1:15" x14ac:dyDescent="0.25">
      <c r="A73">
        <v>262</v>
      </c>
      <c r="B73" s="1">
        <v>43062</v>
      </c>
      <c r="C73" s="9" t="s">
        <v>573</v>
      </c>
      <c r="D73" s="1" t="s">
        <v>811</v>
      </c>
      <c r="E73" s="1" t="s">
        <v>105</v>
      </c>
      <c r="F73" s="16" t="s">
        <v>683</v>
      </c>
      <c r="G73" s="36">
        <v>238.45</v>
      </c>
      <c r="H73" s="51">
        <v>1</v>
      </c>
      <c r="I73" s="66">
        <v>286.14</v>
      </c>
      <c r="J73" s="67">
        <v>20</v>
      </c>
      <c r="K73" s="66">
        <v>47.69</v>
      </c>
      <c r="L73" s="67" t="str">
        <f t="shared" si="2"/>
        <v>20%</v>
      </c>
      <c r="M73" s="66">
        <v>47.69</v>
      </c>
      <c r="N73" s="66">
        <v>238.45</v>
      </c>
    </row>
    <row r="74" spans="1:15" x14ac:dyDescent="0.25">
      <c r="A74">
        <v>263</v>
      </c>
      <c r="B74" s="1">
        <v>43066</v>
      </c>
      <c r="C74" s="9" t="s">
        <v>575</v>
      </c>
      <c r="D74" s="1" t="s">
        <v>811</v>
      </c>
      <c r="E74" s="1" t="s">
        <v>105</v>
      </c>
      <c r="F74" s="16" t="s">
        <v>683</v>
      </c>
      <c r="G74" s="36">
        <v>238.45</v>
      </c>
      <c r="H74" s="51">
        <v>1</v>
      </c>
      <c r="I74" s="66">
        <v>286.14</v>
      </c>
      <c r="J74" s="67">
        <v>20</v>
      </c>
      <c r="K74" s="66">
        <v>47.69</v>
      </c>
      <c r="L74" s="67" t="str">
        <f t="shared" si="2"/>
        <v>20%</v>
      </c>
      <c r="M74" s="66">
        <v>47.69</v>
      </c>
      <c r="N74" s="66">
        <v>238.45</v>
      </c>
    </row>
    <row r="75" spans="1:15" x14ac:dyDescent="0.25">
      <c r="A75">
        <v>264</v>
      </c>
      <c r="B75" s="1">
        <v>43067</v>
      </c>
      <c r="C75" s="9" t="s">
        <v>576</v>
      </c>
      <c r="D75" s="1" t="s">
        <v>812</v>
      </c>
      <c r="E75" s="1" t="s">
        <v>105</v>
      </c>
      <c r="F75" s="16" t="s">
        <v>692</v>
      </c>
      <c r="G75" s="36">
        <v>58.25</v>
      </c>
      <c r="H75" s="51">
        <v>1</v>
      </c>
      <c r="I75" s="66">
        <v>69.900000000000006</v>
      </c>
      <c r="J75" s="67">
        <v>20</v>
      </c>
      <c r="K75" s="66">
        <v>11.65</v>
      </c>
      <c r="L75" s="67" t="str">
        <f t="shared" si="2"/>
        <v>20%</v>
      </c>
      <c r="M75" s="66">
        <v>11.65</v>
      </c>
      <c r="N75" s="66">
        <v>58.25</v>
      </c>
    </row>
    <row r="76" spans="1:15" x14ac:dyDescent="0.25">
      <c r="A76">
        <v>265</v>
      </c>
      <c r="B76" s="1">
        <v>43075</v>
      </c>
      <c r="C76" s="9" t="s">
        <v>581</v>
      </c>
      <c r="D76" s="1" t="s">
        <v>782</v>
      </c>
      <c r="E76" s="1" t="s">
        <v>105</v>
      </c>
      <c r="F76" s="16" t="s">
        <v>703</v>
      </c>
      <c r="G76" s="36">
        <v>15</v>
      </c>
      <c r="H76" s="51">
        <v>1</v>
      </c>
      <c r="I76" s="66">
        <v>18</v>
      </c>
      <c r="J76" s="67">
        <v>20</v>
      </c>
      <c r="K76" s="66">
        <v>3</v>
      </c>
      <c r="L76" s="67" t="str">
        <f t="shared" si="2"/>
        <v>20%</v>
      </c>
      <c r="M76" s="66">
        <v>3</v>
      </c>
      <c r="N76" s="66">
        <v>15</v>
      </c>
    </row>
    <row r="77" spans="1:15" x14ac:dyDescent="0.25">
      <c r="A77">
        <v>266</v>
      </c>
      <c r="B77" s="1">
        <v>43069</v>
      </c>
      <c r="C77" s="9" t="s">
        <v>580</v>
      </c>
      <c r="D77" s="1" t="s">
        <v>813</v>
      </c>
      <c r="E77" s="1" t="s">
        <v>105</v>
      </c>
      <c r="F77" s="16" t="s">
        <v>683</v>
      </c>
      <c r="G77" s="36">
        <v>9.15</v>
      </c>
      <c r="H77" s="51">
        <v>1</v>
      </c>
      <c r="I77" s="66">
        <v>9.15</v>
      </c>
      <c r="J77" s="67">
        <v>0</v>
      </c>
      <c r="K77" s="66">
        <v>0</v>
      </c>
      <c r="L77" s="67" t="s">
        <v>840</v>
      </c>
      <c r="M77" s="66">
        <v>0</v>
      </c>
      <c r="N77" s="66">
        <v>9.15</v>
      </c>
      <c r="O77" s="67"/>
    </row>
    <row r="78" spans="1:15" x14ac:dyDescent="0.25">
      <c r="A78">
        <v>267</v>
      </c>
      <c r="B78" s="1">
        <v>43070</v>
      </c>
      <c r="C78" s="9" t="s">
        <v>585</v>
      </c>
      <c r="D78" s="1" t="s">
        <v>814</v>
      </c>
      <c r="E78" s="1" t="s">
        <v>105</v>
      </c>
      <c r="F78" s="16" t="s">
        <v>683</v>
      </c>
      <c r="G78" s="36">
        <v>21.97</v>
      </c>
      <c r="H78" s="51">
        <v>1</v>
      </c>
      <c r="I78" s="66">
        <v>26.363999999999997</v>
      </c>
      <c r="J78" s="67">
        <v>20</v>
      </c>
      <c r="K78" s="66">
        <v>4.3940000000000001</v>
      </c>
      <c r="L78" s="67" t="str">
        <f t="shared" ref="L78:L89" si="3">J78&amp;"%"</f>
        <v>20%</v>
      </c>
      <c r="M78" s="66">
        <v>4.3940000000000001</v>
      </c>
      <c r="N78" s="66">
        <v>21.97</v>
      </c>
    </row>
    <row r="79" spans="1:15" x14ac:dyDescent="0.25">
      <c r="A79">
        <v>268</v>
      </c>
      <c r="B79" s="1">
        <v>43074</v>
      </c>
      <c r="C79" s="9" t="s">
        <v>589</v>
      </c>
      <c r="D79" s="1" t="s">
        <v>812</v>
      </c>
      <c r="E79" s="1" t="s">
        <v>105</v>
      </c>
      <c r="F79" s="16" t="s">
        <v>692</v>
      </c>
      <c r="G79" s="36">
        <v>58.25</v>
      </c>
      <c r="H79" s="51">
        <v>1</v>
      </c>
      <c r="I79" s="66">
        <v>69.900000000000006</v>
      </c>
      <c r="J79" s="67">
        <v>20</v>
      </c>
      <c r="K79" s="66">
        <v>11.65</v>
      </c>
      <c r="L79" s="67" t="str">
        <f t="shared" si="3"/>
        <v>20%</v>
      </c>
      <c r="M79" s="66">
        <v>11.65</v>
      </c>
      <c r="N79" s="66">
        <v>58.25</v>
      </c>
    </row>
    <row r="80" spans="1:15" x14ac:dyDescent="0.25">
      <c r="A80">
        <v>269</v>
      </c>
      <c r="B80" s="1">
        <v>43080</v>
      </c>
      <c r="C80" s="9" t="s">
        <v>590</v>
      </c>
      <c r="D80" s="1" t="s">
        <v>815</v>
      </c>
      <c r="E80" s="1" t="s">
        <v>105</v>
      </c>
      <c r="F80" s="16" t="s">
        <v>683</v>
      </c>
      <c r="G80" s="36">
        <v>16.68</v>
      </c>
      <c r="H80" s="51">
        <v>1</v>
      </c>
      <c r="I80" s="66">
        <v>20.015999999999998</v>
      </c>
      <c r="J80" s="67">
        <v>20</v>
      </c>
      <c r="K80" s="66">
        <v>3.3360000000000003</v>
      </c>
      <c r="L80" s="67" t="str">
        <f t="shared" si="3"/>
        <v>20%</v>
      </c>
      <c r="M80" s="66">
        <v>3.3360000000000003</v>
      </c>
      <c r="N80" s="66">
        <v>16.68</v>
      </c>
    </row>
    <row r="81" spans="1:14" x14ac:dyDescent="0.25">
      <c r="A81">
        <v>270</v>
      </c>
      <c r="B81" s="1">
        <v>43060</v>
      </c>
      <c r="C81" s="9" t="s">
        <v>592</v>
      </c>
      <c r="D81" s="1" t="s">
        <v>816</v>
      </c>
      <c r="E81" s="1" t="s">
        <v>105</v>
      </c>
      <c r="F81" s="16" t="s">
        <v>705</v>
      </c>
      <c r="G81" s="36">
        <v>11</v>
      </c>
      <c r="H81" s="51">
        <v>1</v>
      </c>
      <c r="I81" s="66">
        <v>13.2</v>
      </c>
      <c r="J81" s="67">
        <v>20</v>
      </c>
      <c r="K81" s="66">
        <v>2.2000000000000002</v>
      </c>
      <c r="L81" s="67" t="str">
        <f t="shared" si="3"/>
        <v>20%</v>
      </c>
      <c r="M81" s="66">
        <v>2.2000000000000002</v>
      </c>
      <c r="N81" s="66">
        <v>11</v>
      </c>
    </row>
    <row r="82" spans="1:14" x14ac:dyDescent="0.25">
      <c r="A82">
        <v>271</v>
      </c>
      <c r="B82" s="1">
        <v>43084</v>
      </c>
      <c r="C82" s="9" t="s">
        <v>601</v>
      </c>
      <c r="D82" s="1" t="s">
        <v>833</v>
      </c>
      <c r="E82" s="1" t="s">
        <v>105</v>
      </c>
      <c r="F82" s="16" t="s">
        <v>705</v>
      </c>
      <c r="G82" s="36">
        <v>82.5</v>
      </c>
      <c r="H82" s="51">
        <v>0.27320378419841473</v>
      </c>
      <c r="I82" s="66">
        <v>27.04717463564306</v>
      </c>
      <c r="J82" s="67">
        <v>20</v>
      </c>
      <c r="K82" s="66">
        <v>16.5</v>
      </c>
      <c r="L82" s="67" t="str">
        <f t="shared" si="3"/>
        <v>20%</v>
      </c>
      <c r="M82" s="66">
        <v>4.5078624392738433</v>
      </c>
      <c r="N82" s="66">
        <v>22.539312196369217</v>
      </c>
    </row>
    <row r="83" spans="1:14" x14ac:dyDescent="0.25">
      <c r="A83">
        <v>272</v>
      </c>
      <c r="B83" s="1">
        <v>43096</v>
      </c>
      <c r="C83" s="9" t="s">
        <v>463</v>
      </c>
      <c r="D83" s="1" t="s">
        <v>831</v>
      </c>
      <c r="E83" s="1" t="s">
        <v>105</v>
      </c>
      <c r="F83" s="16" t="s">
        <v>691</v>
      </c>
      <c r="G83" s="36">
        <v>801.77</v>
      </c>
      <c r="H83" s="51">
        <v>0.27320378419841473</v>
      </c>
      <c r="I83" s="66">
        <v>240.95125786243926</v>
      </c>
      <c r="J83" s="67">
        <v>10</v>
      </c>
      <c r="K83" s="66">
        <v>80.176999999999992</v>
      </c>
      <c r="L83" s="67" t="str">
        <f t="shared" si="3"/>
        <v>10%</v>
      </c>
      <c r="M83" s="66">
        <v>21.904659805676296</v>
      </c>
      <c r="N83" s="66">
        <v>219.04659805676297</v>
      </c>
    </row>
    <row r="84" spans="1:14" x14ac:dyDescent="0.25">
      <c r="A84">
        <v>273</v>
      </c>
      <c r="B84" s="1">
        <v>43082</v>
      </c>
      <c r="C84" s="9" t="s">
        <v>600</v>
      </c>
      <c r="D84" s="1" t="s">
        <v>817</v>
      </c>
      <c r="E84" s="1" t="s">
        <v>105</v>
      </c>
      <c r="F84" s="16" t="s">
        <v>705</v>
      </c>
      <c r="G84" s="36">
        <v>7.91</v>
      </c>
      <c r="H84" s="51">
        <v>1</v>
      </c>
      <c r="I84" s="66">
        <v>9.4920000000000009</v>
      </c>
      <c r="J84" s="67">
        <v>20</v>
      </c>
      <c r="K84" s="66">
        <v>1.5819999999999999</v>
      </c>
      <c r="L84" s="67" t="str">
        <f t="shared" si="3"/>
        <v>20%</v>
      </c>
      <c r="M84" s="66">
        <v>1.5819999999999999</v>
      </c>
      <c r="N84" s="66">
        <v>7.91</v>
      </c>
    </row>
    <row r="85" spans="1:14" x14ac:dyDescent="0.25">
      <c r="A85">
        <v>274</v>
      </c>
      <c r="B85" s="1">
        <v>43090</v>
      </c>
      <c r="C85" s="9" t="s">
        <v>602</v>
      </c>
      <c r="D85" s="1" t="s">
        <v>651</v>
      </c>
      <c r="E85" s="1" t="s">
        <v>105</v>
      </c>
      <c r="F85" s="16" t="s">
        <v>692</v>
      </c>
      <c r="G85" s="36">
        <v>18.7</v>
      </c>
      <c r="H85" s="51">
        <v>1</v>
      </c>
      <c r="I85" s="66">
        <v>22.439999999999998</v>
      </c>
      <c r="J85" s="67">
        <v>20</v>
      </c>
      <c r="K85" s="66">
        <v>3.74</v>
      </c>
      <c r="L85" s="67" t="str">
        <f t="shared" si="3"/>
        <v>20%</v>
      </c>
      <c r="M85" s="66">
        <v>3.74</v>
      </c>
      <c r="N85" s="66">
        <v>18.7</v>
      </c>
    </row>
    <row r="86" spans="1:14" x14ac:dyDescent="0.25">
      <c r="A86">
        <v>275</v>
      </c>
      <c r="B86" s="1">
        <v>43090</v>
      </c>
      <c r="C86" s="9"/>
      <c r="D86" s="1" t="s">
        <v>818</v>
      </c>
      <c r="E86" s="1" t="s">
        <v>105</v>
      </c>
      <c r="F86" s="16" t="s">
        <v>693</v>
      </c>
      <c r="G86" s="36">
        <v>75.3</v>
      </c>
      <c r="H86" s="51">
        <v>1</v>
      </c>
      <c r="I86" s="66">
        <v>90.36</v>
      </c>
      <c r="J86" s="67">
        <v>20</v>
      </c>
      <c r="K86" s="66">
        <v>15.06</v>
      </c>
      <c r="L86" s="67" t="str">
        <f t="shared" si="3"/>
        <v>20%</v>
      </c>
      <c r="M86" s="66">
        <v>15.06</v>
      </c>
      <c r="N86" s="66">
        <v>75.3</v>
      </c>
    </row>
    <row r="87" spans="1:14" x14ac:dyDescent="0.25">
      <c r="A87">
        <v>276</v>
      </c>
      <c r="B87" s="1">
        <v>43098</v>
      </c>
      <c r="C87" s="9" t="s">
        <v>605</v>
      </c>
      <c r="D87" s="1" t="s">
        <v>819</v>
      </c>
      <c r="E87" s="1" t="s">
        <v>105</v>
      </c>
      <c r="F87" s="16" t="s">
        <v>705</v>
      </c>
      <c r="G87" s="36">
        <v>825</v>
      </c>
      <c r="H87" s="51">
        <v>1</v>
      </c>
      <c r="I87" s="66">
        <v>990</v>
      </c>
      <c r="J87" s="67">
        <v>20</v>
      </c>
      <c r="K87" s="66">
        <v>165</v>
      </c>
      <c r="L87" s="67" t="str">
        <f t="shared" si="3"/>
        <v>20%</v>
      </c>
      <c r="M87" s="66">
        <v>165</v>
      </c>
      <c r="N87" s="66">
        <v>825</v>
      </c>
    </row>
    <row r="88" spans="1:14" x14ac:dyDescent="0.25">
      <c r="A88">
        <v>277</v>
      </c>
      <c r="B88" s="1">
        <v>43100</v>
      </c>
      <c r="C88" s="9"/>
      <c r="D88" s="1" t="s">
        <v>853</v>
      </c>
      <c r="E88" s="1" t="s">
        <v>105</v>
      </c>
      <c r="F88" s="16"/>
      <c r="G88" s="36"/>
      <c r="H88" s="51"/>
      <c r="I88" s="66"/>
      <c r="K88" s="66"/>
      <c r="M88" s="66"/>
      <c r="N88" s="66"/>
    </row>
    <row r="89" spans="1:14" x14ac:dyDescent="0.25">
      <c r="A89">
        <v>278</v>
      </c>
      <c r="B89" s="1">
        <v>43100</v>
      </c>
      <c r="C89" s="9" t="s">
        <v>614</v>
      </c>
      <c r="D89" s="1" t="s">
        <v>820</v>
      </c>
      <c r="E89" s="1" t="s">
        <v>105</v>
      </c>
      <c r="F89" s="16" t="s">
        <v>687</v>
      </c>
      <c r="G89" s="36">
        <v>494.334</v>
      </c>
      <c r="H89" s="51">
        <v>1</v>
      </c>
      <c r="I89" s="66">
        <v>494.33</v>
      </c>
      <c r="J89" s="67">
        <v>0</v>
      </c>
      <c r="K89" s="66">
        <v>0</v>
      </c>
      <c r="L89" s="67" t="str">
        <f t="shared" si="3"/>
        <v>0%</v>
      </c>
      <c r="M89" s="66">
        <v>0</v>
      </c>
      <c r="N89" s="66">
        <v>494.334</v>
      </c>
    </row>
    <row r="90" spans="1:14" x14ac:dyDescent="0.25">
      <c r="A90">
        <v>279</v>
      </c>
      <c r="B90" s="1">
        <v>43100</v>
      </c>
      <c r="C90" s="9"/>
      <c r="D90" s="1" t="s">
        <v>822</v>
      </c>
      <c r="E90" s="1" t="s">
        <v>105</v>
      </c>
      <c r="F90" s="16"/>
      <c r="G90" s="36"/>
      <c r="H90" s="51"/>
      <c r="I90" s="66"/>
      <c r="K90" s="66"/>
      <c r="M90" s="66"/>
      <c r="N90" s="66"/>
    </row>
    <row r="91" spans="1:14" x14ac:dyDescent="0.25">
      <c r="A91">
        <v>280</v>
      </c>
      <c r="B91" s="1">
        <v>43100</v>
      </c>
      <c r="C91" s="9"/>
      <c r="D91" s="1" t="s">
        <v>822</v>
      </c>
      <c r="E91" s="1" t="s">
        <v>105</v>
      </c>
      <c r="F91" s="16"/>
      <c r="G91" s="36"/>
      <c r="H91" s="51"/>
      <c r="I91" s="66"/>
      <c r="K91" s="66"/>
      <c r="M91" s="66"/>
      <c r="N91" s="66"/>
    </row>
    <row r="92" spans="1:14" x14ac:dyDescent="0.25">
      <c r="A92">
        <v>281</v>
      </c>
      <c r="B92" s="1">
        <v>43100</v>
      </c>
      <c r="C92" s="9"/>
      <c r="D92" s="1" t="s">
        <v>822</v>
      </c>
      <c r="E92" s="1" t="s">
        <v>105</v>
      </c>
      <c r="F92" s="16"/>
      <c r="G92" s="36"/>
      <c r="H92" s="51"/>
      <c r="I92" s="66"/>
      <c r="K92" s="66"/>
      <c r="M92" s="66"/>
      <c r="N92" s="66"/>
    </row>
    <row r="93" spans="1:14" x14ac:dyDescent="0.25">
      <c r="A93">
        <v>282</v>
      </c>
      <c r="B93" s="1">
        <v>43100</v>
      </c>
      <c r="C93" s="9"/>
      <c r="D93" s="1" t="s">
        <v>822</v>
      </c>
      <c r="E93" s="1" t="s">
        <v>105</v>
      </c>
      <c r="F93" s="16"/>
      <c r="G93" s="36"/>
      <c r="H93" s="51"/>
      <c r="I93" s="66"/>
      <c r="K93" s="66"/>
      <c r="M93" s="66"/>
      <c r="N93" s="66"/>
    </row>
    <row r="94" spans="1:14" x14ac:dyDescent="0.25">
      <c r="A94">
        <v>283</v>
      </c>
      <c r="B94" s="1">
        <v>43100</v>
      </c>
      <c r="C94" s="9"/>
      <c r="D94" s="1" t="s">
        <v>822</v>
      </c>
      <c r="E94" s="1" t="s">
        <v>105</v>
      </c>
      <c r="F94" s="16"/>
      <c r="G94" s="36"/>
      <c r="H94" s="51"/>
      <c r="I94" s="66"/>
      <c r="K94" s="66"/>
      <c r="M94" s="66"/>
      <c r="N94" s="66"/>
    </row>
    <row r="95" spans="1:14" x14ac:dyDescent="0.25">
      <c r="A95">
        <v>284</v>
      </c>
      <c r="B95" s="1">
        <v>43100</v>
      </c>
      <c r="C95" s="9"/>
      <c r="D95" s="1" t="s">
        <v>822</v>
      </c>
      <c r="E95" s="1" t="s">
        <v>105</v>
      </c>
      <c r="F95" s="16"/>
      <c r="G95" s="36"/>
      <c r="H95" s="51"/>
      <c r="I95" s="66"/>
      <c r="K95" s="66"/>
      <c r="M95" s="66"/>
      <c r="N95" s="66"/>
    </row>
    <row r="96" spans="1:14" x14ac:dyDescent="0.25">
      <c r="A96">
        <v>285</v>
      </c>
      <c r="B96" s="1">
        <v>43100</v>
      </c>
      <c r="C96" s="9"/>
      <c r="D96" s="1" t="s">
        <v>822</v>
      </c>
      <c r="E96" s="1" t="s">
        <v>105</v>
      </c>
      <c r="F96" s="16"/>
      <c r="G96" s="36"/>
      <c r="H96" s="51"/>
      <c r="I96" s="66"/>
      <c r="K96" s="66"/>
      <c r="M96" s="66"/>
      <c r="N96" s="66"/>
    </row>
    <row r="97" spans="1:14" x14ac:dyDescent="0.25">
      <c r="A97">
        <v>286</v>
      </c>
      <c r="B97" s="1">
        <v>43100</v>
      </c>
      <c r="C97" s="9"/>
      <c r="D97" s="1" t="s">
        <v>822</v>
      </c>
      <c r="E97" s="1" t="s">
        <v>105</v>
      </c>
      <c r="F97" s="16"/>
      <c r="G97" s="36"/>
      <c r="H97" s="51"/>
      <c r="I97" s="66"/>
      <c r="K97" s="66"/>
      <c r="M97" s="66"/>
      <c r="N97" s="66"/>
    </row>
    <row r="98" spans="1:14" x14ac:dyDescent="0.25">
      <c r="A98">
        <v>287</v>
      </c>
      <c r="B98" s="1">
        <v>43100</v>
      </c>
      <c r="C98" s="9"/>
      <c r="D98" s="1" t="s">
        <v>822</v>
      </c>
      <c r="E98" s="1" t="s">
        <v>105</v>
      </c>
      <c r="F98" s="16"/>
      <c r="G98" s="36"/>
      <c r="H98" s="51"/>
      <c r="I98" s="66"/>
      <c r="K98" s="66"/>
      <c r="M98" s="66"/>
      <c r="N98" s="66"/>
    </row>
    <row r="99" spans="1:14" x14ac:dyDescent="0.25">
      <c r="A99">
        <v>288</v>
      </c>
      <c r="B99" s="1">
        <v>43100</v>
      </c>
      <c r="C99" s="9"/>
      <c r="D99" s="1" t="s">
        <v>822</v>
      </c>
      <c r="E99" s="1" t="s">
        <v>105</v>
      </c>
      <c r="F99" s="16"/>
      <c r="G99" s="36"/>
      <c r="H99" s="51"/>
      <c r="I99" s="66"/>
      <c r="K99" s="66"/>
      <c r="M99" s="66"/>
      <c r="N99" s="66"/>
    </row>
    <row r="100" spans="1:14" x14ac:dyDescent="0.25">
      <c r="A100">
        <v>289</v>
      </c>
      <c r="B100" s="1">
        <v>43100</v>
      </c>
      <c r="C100" s="9"/>
      <c r="D100" s="1" t="s">
        <v>822</v>
      </c>
      <c r="E100" s="1" t="s">
        <v>105</v>
      </c>
      <c r="F100" s="16"/>
      <c r="G100" s="36"/>
      <c r="H100" s="51"/>
      <c r="I100" s="66"/>
      <c r="K100" s="66"/>
      <c r="M100" s="66"/>
      <c r="N100" s="66"/>
    </row>
    <row r="101" spans="1:14" x14ac:dyDescent="0.25">
      <c r="A101">
        <v>290</v>
      </c>
      <c r="B101" s="1">
        <v>43100</v>
      </c>
      <c r="C101" s="9"/>
      <c r="D101" s="1" t="s">
        <v>822</v>
      </c>
      <c r="E101" s="1" t="s">
        <v>105</v>
      </c>
      <c r="F101" s="16"/>
      <c r="G101" s="36"/>
      <c r="H101" s="51"/>
      <c r="I101" s="66"/>
      <c r="K101" s="66"/>
      <c r="M101" s="66"/>
      <c r="N101" s="66"/>
    </row>
    <row r="102" spans="1:14" x14ac:dyDescent="0.25">
      <c r="A102">
        <v>291</v>
      </c>
      <c r="B102" s="1">
        <v>43100</v>
      </c>
      <c r="C102" s="9"/>
      <c r="D102" s="1" t="s">
        <v>822</v>
      </c>
      <c r="E102" s="1" t="s">
        <v>105</v>
      </c>
      <c r="F102" s="16"/>
      <c r="G102" s="36"/>
      <c r="H102" s="51"/>
      <c r="I102" s="66"/>
      <c r="K102" s="66"/>
      <c r="M102" s="66"/>
      <c r="N102" s="66"/>
    </row>
    <row r="103" spans="1:14" x14ac:dyDescent="0.25">
      <c r="A103">
        <v>292</v>
      </c>
      <c r="B103" s="1">
        <v>43100</v>
      </c>
      <c r="C103" s="9"/>
      <c r="D103" s="1" t="s">
        <v>822</v>
      </c>
      <c r="E103" s="1" t="s">
        <v>105</v>
      </c>
      <c r="F103" s="16"/>
      <c r="G103" s="36"/>
      <c r="H103" s="51"/>
      <c r="I103" s="66"/>
      <c r="K103" s="66"/>
      <c r="M103" s="66"/>
      <c r="N103" s="66"/>
    </row>
    <row r="104" spans="1:14" x14ac:dyDescent="0.25">
      <c r="A104">
        <v>293</v>
      </c>
      <c r="B104" s="1">
        <v>43100</v>
      </c>
      <c r="C104" s="9"/>
      <c r="D104" s="1" t="s">
        <v>822</v>
      </c>
      <c r="E104" s="1" t="s">
        <v>105</v>
      </c>
      <c r="F104" s="16"/>
      <c r="G104" s="36"/>
      <c r="H104" s="51"/>
      <c r="I104" s="66"/>
      <c r="K104" s="66"/>
      <c r="M104" s="66"/>
      <c r="N104" s="66"/>
    </row>
    <row r="105" spans="1:14" x14ac:dyDescent="0.25">
      <c r="A105">
        <v>294</v>
      </c>
      <c r="B105" s="1">
        <v>43100</v>
      </c>
      <c r="C105" s="9"/>
      <c r="D105" s="1" t="s">
        <v>822</v>
      </c>
      <c r="E105" s="1" t="s">
        <v>105</v>
      </c>
      <c r="F105" s="16"/>
      <c r="G105" s="36"/>
      <c r="H105" s="51"/>
      <c r="I105" s="66"/>
      <c r="K105" s="66"/>
      <c r="M105" s="66"/>
      <c r="N105" s="66"/>
    </row>
    <row r="106" spans="1:14" x14ac:dyDescent="0.25">
      <c r="A106">
        <v>295</v>
      </c>
      <c r="B106" s="1">
        <v>43100</v>
      </c>
      <c r="C106" s="9"/>
      <c r="D106" s="1" t="s">
        <v>822</v>
      </c>
      <c r="E106" s="1" t="s">
        <v>105</v>
      </c>
      <c r="F106" s="16"/>
      <c r="G106" s="36"/>
      <c r="H106" s="51"/>
      <c r="I106" s="66"/>
      <c r="K106" s="66"/>
      <c r="M106" s="66"/>
      <c r="N106" s="66"/>
    </row>
    <row r="107" spans="1:14" x14ac:dyDescent="0.25">
      <c r="A107">
        <v>296</v>
      </c>
      <c r="B107" s="1">
        <v>43100</v>
      </c>
      <c r="C107" s="9"/>
      <c r="D107" s="1" t="s">
        <v>822</v>
      </c>
      <c r="E107" s="1" t="s">
        <v>105</v>
      </c>
      <c r="F107" s="16"/>
      <c r="G107" s="36"/>
      <c r="H107" s="51"/>
      <c r="I107" s="66"/>
      <c r="K107" s="66"/>
      <c r="M107" s="66"/>
      <c r="N107" s="66"/>
    </row>
    <row r="108" spans="1:14" x14ac:dyDescent="0.25">
      <c r="A108">
        <v>297</v>
      </c>
      <c r="B108" s="1">
        <v>43100</v>
      </c>
      <c r="C108" s="9"/>
      <c r="D108" s="1" t="s">
        <v>822</v>
      </c>
      <c r="E108" s="1" t="s">
        <v>105</v>
      </c>
      <c r="F108" s="16"/>
      <c r="G108" s="36"/>
      <c r="H108" s="51"/>
      <c r="I108" s="66"/>
      <c r="K108" s="66"/>
      <c r="M108" s="66"/>
      <c r="N108" s="66"/>
    </row>
    <row r="109" spans="1:14" x14ac:dyDescent="0.25">
      <c r="A109">
        <v>298</v>
      </c>
      <c r="B109" s="1">
        <v>43100</v>
      </c>
      <c r="C109" s="9"/>
      <c r="D109" s="1" t="s">
        <v>822</v>
      </c>
      <c r="E109" s="1" t="s">
        <v>105</v>
      </c>
      <c r="F109" s="16"/>
      <c r="G109" s="36"/>
      <c r="H109" s="51"/>
      <c r="I109" s="66"/>
      <c r="K109" s="66"/>
      <c r="M109" s="66"/>
      <c r="N109" s="66"/>
    </row>
    <row r="110" spans="1:14" x14ac:dyDescent="0.25">
      <c r="A110">
        <v>299</v>
      </c>
      <c r="B110" s="1">
        <v>43100</v>
      </c>
      <c r="C110" s="9"/>
      <c r="D110" s="1" t="s">
        <v>822</v>
      </c>
      <c r="E110" s="1" t="s">
        <v>105</v>
      </c>
      <c r="F110" s="16"/>
      <c r="G110" s="36"/>
      <c r="H110" s="51"/>
      <c r="I110" s="66"/>
      <c r="K110" s="66"/>
      <c r="M110" s="66"/>
      <c r="N110" s="66"/>
    </row>
    <row r="111" spans="1:14" x14ac:dyDescent="0.25">
      <c r="A111">
        <v>300</v>
      </c>
      <c r="B111" s="1">
        <v>42752</v>
      </c>
      <c r="C111" s="9" t="s">
        <v>677</v>
      </c>
      <c r="D111" t="s">
        <v>843</v>
      </c>
      <c r="E111" s="1" t="s">
        <v>105</v>
      </c>
      <c r="F111" s="16" t="s">
        <v>703</v>
      </c>
      <c r="G111" s="36">
        <f t="shared" ref="G111:G121" si="4">20.61+1.04+2.5-2.5</f>
        <v>21.65</v>
      </c>
      <c r="H111" s="51">
        <f t="shared" ref="H111:H122" si="5">2/3</f>
        <v>0.66666666666666663</v>
      </c>
      <c r="I111" s="66">
        <f>N111*(100+J111)%</f>
        <v>17.319999999999997</v>
      </c>
      <c r="J111" s="67">
        <v>20</v>
      </c>
      <c r="K111" s="66">
        <v>6.24</v>
      </c>
      <c r="L111" s="67" t="str">
        <f t="shared" ref="L111:L122" si="6">J111&amp;"%"</f>
        <v>20%</v>
      </c>
      <c r="M111" s="66">
        <v>2.1034739941118747</v>
      </c>
      <c r="N111" s="66">
        <f t="shared" ref="N111:N122" si="7">G111*H111</f>
        <v>14.433333333333332</v>
      </c>
    </row>
    <row r="112" spans="1:14" x14ac:dyDescent="0.25">
      <c r="A112">
        <v>301</v>
      </c>
      <c r="B112" s="1">
        <v>42782</v>
      </c>
      <c r="C112" s="9" t="s">
        <v>676</v>
      </c>
      <c r="D112" t="s">
        <v>843</v>
      </c>
      <c r="E112" s="1" t="s">
        <v>105</v>
      </c>
      <c r="F112" s="16" t="s">
        <v>703</v>
      </c>
      <c r="G112" s="36">
        <f t="shared" si="4"/>
        <v>21.65</v>
      </c>
      <c r="H112" s="51">
        <f t="shared" si="5"/>
        <v>0.66666666666666663</v>
      </c>
      <c r="I112" s="66">
        <f t="shared" ref="I112:I122" si="8">N112*(100+J112)%</f>
        <v>17.319999999999997</v>
      </c>
      <c r="J112" s="67">
        <v>20</v>
      </c>
      <c r="K112" s="66">
        <v>6.24</v>
      </c>
      <c r="L112" s="67" t="str">
        <f t="shared" si="6"/>
        <v>20%</v>
      </c>
      <c r="M112" s="66">
        <v>2.1034739941118747</v>
      </c>
      <c r="N112" s="66">
        <f t="shared" si="7"/>
        <v>14.433333333333332</v>
      </c>
    </row>
    <row r="113" spans="1:14" x14ac:dyDescent="0.25">
      <c r="A113">
        <v>302</v>
      </c>
      <c r="B113" s="1">
        <v>42810</v>
      </c>
      <c r="C113" s="9" t="s">
        <v>675</v>
      </c>
      <c r="D113" t="s">
        <v>843</v>
      </c>
      <c r="E113" s="1" t="s">
        <v>105</v>
      </c>
      <c r="F113" s="16" t="s">
        <v>703</v>
      </c>
      <c r="G113" s="36">
        <f t="shared" si="4"/>
        <v>21.65</v>
      </c>
      <c r="H113" s="51">
        <f t="shared" si="5"/>
        <v>0.66666666666666663</v>
      </c>
      <c r="I113" s="66">
        <f t="shared" si="8"/>
        <v>17.319999999999997</v>
      </c>
      <c r="J113" s="67">
        <v>20</v>
      </c>
      <c r="K113" s="66">
        <v>6.24</v>
      </c>
      <c r="L113" s="67" t="str">
        <f t="shared" si="6"/>
        <v>20%</v>
      </c>
      <c r="M113" s="66">
        <v>2.1034739941118747</v>
      </c>
      <c r="N113" s="66">
        <f t="shared" si="7"/>
        <v>14.433333333333332</v>
      </c>
    </row>
    <row r="114" spans="1:14" x14ac:dyDescent="0.25">
      <c r="A114">
        <v>303</v>
      </c>
      <c r="B114" s="1">
        <v>42843</v>
      </c>
      <c r="C114" s="9" t="s">
        <v>674</v>
      </c>
      <c r="D114" t="s">
        <v>843</v>
      </c>
      <c r="E114" s="1" t="s">
        <v>105</v>
      </c>
      <c r="F114" s="16" t="s">
        <v>703</v>
      </c>
      <c r="G114" s="36">
        <f t="shared" si="4"/>
        <v>21.65</v>
      </c>
      <c r="H114" s="51">
        <f t="shared" si="5"/>
        <v>0.66666666666666663</v>
      </c>
      <c r="I114" s="66">
        <f t="shared" si="8"/>
        <v>17.319999999999997</v>
      </c>
      <c r="J114" s="67">
        <v>20</v>
      </c>
      <c r="K114" s="66">
        <v>6.24</v>
      </c>
      <c r="L114" s="67" t="str">
        <f t="shared" si="6"/>
        <v>20%</v>
      </c>
      <c r="M114" s="66">
        <v>2.1034739941118747</v>
      </c>
      <c r="N114" s="66">
        <f t="shared" si="7"/>
        <v>14.433333333333332</v>
      </c>
    </row>
    <row r="115" spans="1:14" x14ac:dyDescent="0.25">
      <c r="A115">
        <v>304</v>
      </c>
      <c r="B115" s="1">
        <v>42873</v>
      </c>
      <c r="C115" s="9" t="s">
        <v>673</v>
      </c>
      <c r="D115" t="s">
        <v>843</v>
      </c>
      <c r="E115" s="1" t="s">
        <v>105</v>
      </c>
      <c r="F115" s="16" t="s">
        <v>703</v>
      </c>
      <c r="G115" s="36">
        <f t="shared" si="4"/>
        <v>21.65</v>
      </c>
      <c r="H115" s="51">
        <f t="shared" si="5"/>
        <v>0.66666666666666663</v>
      </c>
      <c r="I115" s="66">
        <f t="shared" si="8"/>
        <v>17.319999999999997</v>
      </c>
      <c r="J115" s="67">
        <v>20</v>
      </c>
      <c r="K115" s="66">
        <v>6.24</v>
      </c>
      <c r="L115" s="67" t="str">
        <f t="shared" si="6"/>
        <v>20%</v>
      </c>
      <c r="M115" s="66">
        <v>2.1034739941118747</v>
      </c>
      <c r="N115" s="66">
        <f t="shared" si="7"/>
        <v>14.433333333333332</v>
      </c>
    </row>
    <row r="116" spans="1:14" x14ac:dyDescent="0.25">
      <c r="A116">
        <v>305</v>
      </c>
      <c r="B116" s="1">
        <v>42906</v>
      </c>
      <c r="C116" s="9" t="s">
        <v>672</v>
      </c>
      <c r="D116" t="s">
        <v>843</v>
      </c>
      <c r="E116" s="1" t="s">
        <v>105</v>
      </c>
      <c r="F116" s="16" t="s">
        <v>703</v>
      </c>
      <c r="G116" s="36">
        <f t="shared" si="4"/>
        <v>21.65</v>
      </c>
      <c r="H116" s="51">
        <f t="shared" si="5"/>
        <v>0.66666666666666663</v>
      </c>
      <c r="I116" s="66">
        <f t="shared" si="8"/>
        <v>17.319999999999997</v>
      </c>
      <c r="J116" s="67">
        <v>20</v>
      </c>
      <c r="K116" s="66">
        <v>6.24</v>
      </c>
      <c r="L116" s="67" t="str">
        <f t="shared" si="6"/>
        <v>20%</v>
      </c>
      <c r="M116" s="66">
        <v>2.1034739941118747</v>
      </c>
      <c r="N116" s="66">
        <f t="shared" si="7"/>
        <v>14.433333333333332</v>
      </c>
    </row>
    <row r="117" spans="1:14" x14ac:dyDescent="0.25">
      <c r="A117">
        <v>306</v>
      </c>
      <c r="B117" s="1">
        <v>42920</v>
      </c>
      <c r="C117" s="9" t="s">
        <v>671</v>
      </c>
      <c r="D117" t="s">
        <v>843</v>
      </c>
      <c r="E117" s="1" t="s">
        <v>105</v>
      </c>
      <c r="F117" s="16" t="s">
        <v>703</v>
      </c>
      <c r="G117" s="36">
        <f t="shared" si="4"/>
        <v>21.65</v>
      </c>
      <c r="H117" s="51">
        <f t="shared" si="5"/>
        <v>0.66666666666666663</v>
      </c>
      <c r="I117" s="66">
        <f t="shared" si="8"/>
        <v>17.319999999999997</v>
      </c>
      <c r="J117" s="67">
        <v>20</v>
      </c>
      <c r="K117" s="66">
        <v>6.24</v>
      </c>
      <c r="L117" s="67" t="str">
        <f t="shared" si="6"/>
        <v>20%</v>
      </c>
      <c r="M117" s="66">
        <v>2.1034739941118747</v>
      </c>
      <c r="N117" s="66">
        <f t="shared" si="7"/>
        <v>14.433333333333332</v>
      </c>
    </row>
    <row r="118" spans="1:14" x14ac:dyDescent="0.25">
      <c r="A118">
        <v>307</v>
      </c>
      <c r="B118" s="1">
        <v>42950</v>
      </c>
      <c r="C118" s="9" t="s">
        <v>670</v>
      </c>
      <c r="D118" t="s">
        <v>843</v>
      </c>
      <c r="E118" s="1" t="s">
        <v>105</v>
      </c>
      <c r="F118" s="16" t="s">
        <v>703</v>
      </c>
      <c r="G118" s="36">
        <f t="shared" si="4"/>
        <v>21.65</v>
      </c>
      <c r="H118" s="51">
        <f t="shared" si="5"/>
        <v>0.66666666666666663</v>
      </c>
      <c r="I118" s="66">
        <f t="shared" si="8"/>
        <v>17.319999999999997</v>
      </c>
      <c r="J118" s="67">
        <v>20</v>
      </c>
      <c r="K118" s="66">
        <v>6.24</v>
      </c>
      <c r="L118" s="67" t="str">
        <f t="shared" si="6"/>
        <v>20%</v>
      </c>
      <c r="M118" s="66">
        <v>2.1034739941118747</v>
      </c>
      <c r="N118" s="66">
        <f t="shared" si="7"/>
        <v>14.433333333333332</v>
      </c>
    </row>
    <row r="119" spans="1:14" x14ac:dyDescent="0.25">
      <c r="A119">
        <v>308</v>
      </c>
      <c r="B119" s="1">
        <v>42983</v>
      </c>
      <c r="C119" s="9" t="s">
        <v>669</v>
      </c>
      <c r="D119" t="s">
        <v>843</v>
      </c>
      <c r="E119" s="1" t="s">
        <v>105</v>
      </c>
      <c r="F119" s="16" t="s">
        <v>703</v>
      </c>
      <c r="G119" s="36">
        <f t="shared" si="4"/>
        <v>21.65</v>
      </c>
      <c r="H119" s="51">
        <f t="shared" si="5"/>
        <v>0.66666666666666663</v>
      </c>
      <c r="I119" s="66">
        <f t="shared" si="8"/>
        <v>17.319999999999997</v>
      </c>
      <c r="J119" s="67">
        <v>20</v>
      </c>
      <c r="K119" s="66">
        <v>6.24</v>
      </c>
      <c r="L119" s="67" t="str">
        <f t="shared" si="6"/>
        <v>20%</v>
      </c>
      <c r="M119" s="66">
        <v>2.1034739941118747</v>
      </c>
      <c r="N119" s="66">
        <f t="shared" si="7"/>
        <v>14.433333333333332</v>
      </c>
    </row>
    <row r="120" spans="1:14" x14ac:dyDescent="0.25">
      <c r="A120">
        <v>309</v>
      </c>
      <c r="B120" s="1">
        <v>43013</v>
      </c>
      <c r="C120" s="9" t="s">
        <v>668</v>
      </c>
      <c r="D120" t="s">
        <v>843</v>
      </c>
      <c r="E120" s="1" t="s">
        <v>105</v>
      </c>
      <c r="F120" s="16" t="s">
        <v>703</v>
      </c>
      <c r="G120" s="36">
        <f t="shared" si="4"/>
        <v>21.65</v>
      </c>
      <c r="H120" s="51">
        <f t="shared" si="5"/>
        <v>0.66666666666666663</v>
      </c>
      <c r="I120" s="66">
        <f t="shared" si="8"/>
        <v>17.319999999999997</v>
      </c>
      <c r="J120" s="67">
        <v>20</v>
      </c>
      <c r="K120" s="66">
        <v>6.24</v>
      </c>
      <c r="L120" s="67" t="str">
        <f t="shared" si="6"/>
        <v>20%</v>
      </c>
      <c r="M120" s="66">
        <v>2.1034739941118747</v>
      </c>
      <c r="N120" s="66">
        <f t="shared" si="7"/>
        <v>14.433333333333332</v>
      </c>
    </row>
    <row r="121" spans="1:14" x14ac:dyDescent="0.25">
      <c r="A121">
        <v>310</v>
      </c>
      <c r="B121" s="1">
        <v>43046</v>
      </c>
      <c r="C121" s="9" t="s">
        <v>667</v>
      </c>
      <c r="D121" t="s">
        <v>843</v>
      </c>
      <c r="E121" s="1" t="s">
        <v>105</v>
      </c>
      <c r="F121" s="16" t="s">
        <v>703</v>
      </c>
      <c r="G121" s="36">
        <f t="shared" si="4"/>
        <v>21.65</v>
      </c>
      <c r="H121" s="51">
        <f t="shared" si="5"/>
        <v>0.66666666666666663</v>
      </c>
      <c r="I121" s="66">
        <f t="shared" si="8"/>
        <v>17.319999999999997</v>
      </c>
      <c r="J121" s="67">
        <v>20</v>
      </c>
      <c r="K121" s="66">
        <v>6.24</v>
      </c>
      <c r="L121" s="67" t="str">
        <f t="shared" si="6"/>
        <v>20%</v>
      </c>
      <c r="M121" s="66">
        <v>2.1034739941118747</v>
      </c>
      <c r="N121" s="66">
        <f t="shared" si="7"/>
        <v>14.433333333333332</v>
      </c>
    </row>
    <row r="122" spans="1:14" x14ac:dyDescent="0.25">
      <c r="A122">
        <v>311</v>
      </c>
      <c r="B122" s="1">
        <v>43074</v>
      </c>
      <c r="C122" s="9" t="s">
        <v>666</v>
      </c>
      <c r="D122" t="s">
        <v>843</v>
      </c>
      <c r="E122" s="1" t="s">
        <v>105</v>
      </c>
      <c r="F122" s="16" t="s">
        <v>703</v>
      </c>
      <c r="G122" s="36">
        <f>20.66+1.04+2.5-2.5</f>
        <v>21.7</v>
      </c>
      <c r="H122" s="51">
        <f t="shared" si="5"/>
        <v>0.66666666666666663</v>
      </c>
      <c r="I122" s="66">
        <f t="shared" si="8"/>
        <v>17.359999999999996</v>
      </c>
      <c r="J122" s="67">
        <v>20</v>
      </c>
      <c r="K122" s="66">
        <v>6.38</v>
      </c>
      <c r="L122" s="67" t="str">
        <f t="shared" si="6"/>
        <v>20%</v>
      </c>
      <c r="M122" s="66">
        <v>2.1390912041544956</v>
      </c>
      <c r="N122" s="66">
        <f t="shared" si="7"/>
        <v>14.466666666666665</v>
      </c>
    </row>
    <row r="123" spans="1:14" x14ac:dyDescent="0.25">
      <c r="A123" s="43">
        <v>12017001</v>
      </c>
      <c r="B123" s="1">
        <v>42789</v>
      </c>
      <c r="D123" t="s">
        <v>181</v>
      </c>
      <c r="E123" t="s">
        <v>708</v>
      </c>
      <c r="F123" s="69" t="s">
        <v>709</v>
      </c>
      <c r="I123" s="66">
        <v>50.4</v>
      </c>
      <c r="K123" s="66"/>
      <c r="L123" s="68">
        <v>0.2</v>
      </c>
      <c r="M123" s="66">
        <v>8.4</v>
      </c>
      <c r="N123" s="66">
        <v>42</v>
      </c>
    </row>
    <row r="124" spans="1:14" x14ac:dyDescent="0.25">
      <c r="A124" s="43">
        <v>12017002</v>
      </c>
      <c r="B124" s="1">
        <v>42836</v>
      </c>
      <c r="D124" t="s">
        <v>90</v>
      </c>
      <c r="E124" t="s">
        <v>708</v>
      </c>
      <c r="F124" s="69" t="s">
        <v>709</v>
      </c>
      <c r="I124" s="66">
        <v>841.5</v>
      </c>
      <c r="K124" s="66"/>
      <c r="L124" s="68">
        <v>0.2</v>
      </c>
      <c r="M124" s="66">
        <v>140.25</v>
      </c>
      <c r="N124" s="66">
        <v>701.25</v>
      </c>
    </row>
    <row r="125" spans="1:14" x14ac:dyDescent="0.25">
      <c r="A125" s="43">
        <v>12017003</v>
      </c>
      <c r="B125" s="1">
        <v>42858</v>
      </c>
      <c r="D125" t="s">
        <v>59</v>
      </c>
      <c r="E125" t="s">
        <v>708</v>
      </c>
      <c r="F125" s="69" t="s">
        <v>709</v>
      </c>
      <c r="I125" s="66">
        <v>3205.5</v>
      </c>
      <c r="K125" s="66"/>
      <c r="L125" s="68">
        <v>0.2</v>
      </c>
      <c r="M125" s="66">
        <v>534.25</v>
      </c>
      <c r="N125" s="66">
        <v>2671.25</v>
      </c>
    </row>
    <row r="126" spans="1:14" x14ac:dyDescent="0.25">
      <c r="A126" s="43">
        <v>12017004</v>
      </c>
      <c r="B126" s="1">
        <v>42999</v>
      </c>
      <c r="D126" t="s">
        <v>597</v>
      </c>
      <c r="E126" t="s">
        <v>708</v>
      </c>
      <c r="F126" s="69" t="s">
        <v>709</v>
      </c>
      <c r="I126" s="66">
        <v>34.92</v>
      </c>
      <c r="K126" s="66"/>
      <c r="L126" s="68">
        <v>0.2</v>
      </c>
      <c r="M126" s="66">
        <v>5.82</v>
      </c>
      <c r="N126" s="66">
        <v>29.1</v>
      </c>
    </row>
    <row r="127" spans="1:14" x14ac:dyDescent="0.25">
      <c r="A127">
        <v>12017005</v>
      </c>
      <c r="B127" s="1">
        <v>43039</v>
      </c>
      <c r="D127" t="s">
        <v>59</v>
      </c>
      <c r="E127" t="s">
        <v>708</v>
      </c>
      <c r="F127" s="69" t="s">
        <v>709</v>
      </c>
      <c r="I127" s="66">
        <v>2632.5</v>
      </c>
      <c r="K127" s="66"/>
      <c r="L127" s="68">
        <v>0.2</v>
      </c>
      <c r="M127" s="66">
        <v>438.75</v>
      </c>
      <c r="N127" s="66">
        <v>2193.75</v>
      </c>
    </row>
    <row r="128" spans="1:14" x14ac:dyDescent="0.25">
      <c r="A128">
        <v>12017006</v>
      </c>
      <c r="B128" s="1">
        <v>43054</v>
      </c>
      <c r="D128" t="s">
        <v>536</v>
      </c>
      <c r="E128" t="s">
        <v>708</v>
      </c>
      <c r="F128" s="69" t="s">
        <v>709</v>
      </c>
      <c r="I128" s="66">
        <v>2580.6120000000001</v>
      </c>
      <c r="K128" s="66"/>
      <c r="L128" s="68">
        <v>0.2</v>
      </c>
      <c r="M128" s="66">
        <v>430.10200000000003</v>
      </c>
      <c r="N128" s="66">
        <v>2150.5100000000002</v>
      </c>
    </row>
    <row r="129" spans="1:14" x14ac:dyDescent="0.25">
      <c r="A129">
        <v>12017007</v>
      </c>
      <c r="B129" s="1">
        <v>43067</v>
      </c>
      <c r="D129" t="s">
        <v>536</v>
      </c>
      <c r="E129" t="s">
        <v>708</v>
      </c>
      <c r="F129" s="69" t="s">
        <v>709</v>
      </c>
      <c r="I129" s="66">
        <v>625.18799999999999</v>
      </c>
      <c r="K129" s="66"/>
      <c r="L129" s="68">
        <v>0.2</v>
      </c>
      <c r="M129" s="66">
        <v>104.19799999999999</v>
      </c>
      <c r="N129" s="66">
        <v>520.99</v>
      </c>
    </row>
    <row r="130" spans="1:14" x14ac:dyDescent="0.25">
      <c r="A130">
        <v>12017008</v>
      </c>
      <c r="B130" s="1">
        <v>43091</v>
      </c>
      <c r="D130" t="s">
        <v>597</v>
      </c>
      <c r="E130" t="s">
        <v>708</v>
      </c>
      <c r="F130" s="69" t="s">
        <v>709</v>
      </c>
      <c r="I130" s="66">
        <v>720</v>
      </c>
      <c r="K130" s="66"/>
      <c r="L130" s="68">
        <v>0.2</v>
      </c>
      <c r="M130" s="66">
        <v>120</v>
      </c>
      <c r="N130" s="66">
        <v>600</v>
      </c>
    </row>
    <row r="131" spans="1:14" x14ac:dyDescent="0.25">
      <c r="A131">
        <v>12017009</v>
      </c>
      <c r="B131" s="1">
        <v>43097</v>
      </c>
      <c r="D131" t="s">
        <v>59</v>
      </c>
      <c r="E131" t="s">
        <v>708</v>
      </c>
      <c r="F131" s="69" t="s">
        <v>709</v>
      </c>
      <c r="I131" s="66">
        <v>9155.6279999999988</v>
      </c>
      <c r="K131" s="66"/>
      <c r="L131" s="68">
        <v>0.2</v>
      </c>
      <c r="M131" s="66">
        <v>1525.9379999999999</v>
      </c>
      <c r="N131" s="66">
        <v>7629.69</v>
      </c>
    </row>
    <row r="132" spans="1:14" x14ac:dyDescent="0.25">
      <c r="A132">
        <v>12017010</v>
      </c>
      <c r="B132" s="1">
        <v>43098</v>
      </c>
      <c r="D132" t="s">
        <v>536</v>
      </c>
      <c r="E132" t="s">
        <v>708</v>
      </c>
      <c r="F132" s="69" t="s">
        <v>709</v>
      </c>
      <c r="I132" s="66">
        <v>10771.404</v>
      </c>
      <c r="K132" s="66"/>
      <c r="L132" s="68">
        <v>0.2</v>
      </c>
      <c r="M132" s="66">
        <v>1795.2339999999999</v>
      </c>
      <c r="N132" s="66">
        <v>8976.17</v>
      </c>
    </row>
  </sheetData>
  <sortState xmlns:xlrd2="http://schemas.microsoft.com/office/spreadsheetml/2017/richdata2" ref="A2:N132">
    <sortCondition ref="A2:A132"/>
  </sortState>
  <conditionalFormatting sqref="B36:B44 B51 B55 B65:B78 B80:B122 B13:B15 B20:B22 B17:B18 B10:B11 B2:B8 B57:B63">
    <cfRule type="expression" dxfId="1381" priority="5">
      <formula>ISBLANK($D2)</formula>
    </cfRule>
  </conditionalFormatting>
  <conditionalFormatting sqref="B1">
    <cfRule type="expression" dxfId="1380" priority="65">
      <formula>ISBLANK($D1)</formula>
    </cfRule>
  </conditionalFormatting>
  <conditionalFormatting sqref="G1">
    <cfRule type="expression" dxfId="1379" priority="64">
      <formula>"$G$G&gt;400"</formula>
    </cfRule>
  </conditionalFormatting>
  <conditionalFormatting sqref="B29:B34">
    <cfRule type="expression" dxfId="1378" priority="63">
      <formula>ISBLANK($D29)</formula>
    </cfRule>
  </conditionalFormatting>
  <conditionalFormatting sqref="G3">
    <cfRule type="expression" dxfId="1377" priority="62">
      <formula>"$G$G&gt;400"</formula>
    </cfRule>
  </conditionalFormatting>
  <conditionalFormatting sqref="G2">
    <cfRule type="expression" dxfId="1376" priority="61">
      <formula>"$G$G&gt;400"</formula>
    </cfRule>
  </conditionalFormatting>
  <conditionalFormatting sqref="B9">
    <cfRule type="expression" dxfId="1375" priority="60">
      <formula>ISBLANK($D9)</formula>
    </cfRule>
  </conditionalFormatting>
  <conditionalFormatting sqref="G122 G36 G43:G44 G55:G56 G61 G63:G75 G77:G78 G81 G85:G86 G14:G15 G20:G21 G17:G18 G4:G5">
    <cfRule type="expression" dxfId="1374" priority="59">
      <formula>"$G$G&gt;400"</formula>
    </cfRule>
  </conditionalFormatting>
  <conditionalFormatting sqref="G6">
    <cfRule type="expression" dxfId="1373" priority="58">
      <formula>"$G$G&gt;400"</formula>
    </cfRule>
  </conditionalFormatting>
  <conditionalFormatting sqref="G7">
    <cfRule type="expression" dxfId="1372" priority="57">
      <formula>"$G$G&gt;400"</formula>
    </cfRule>
  </conditionalFormatting>
  <conditionalFormatting sqref="G8">
    <cfRule type="expression" dxfId="1371" priority="56">
      <formula>"$G$G&gt;400"</formula>
    </cfRule>
  </conditionalFormatting>
  <conditionalFormatting sqref="G9">
    <cfRule type="expression" dxfId="1370" priority="55">
      <formula>"$G$G&gt;400"</formula>
    </cfRule>
  </conditionalFormatting>
  <conditionalFormatting sqref="G10">
    <cfRule type="expression" dxfId="1369" priority="54">
      <formula>"$G$G&gt;400"</formula>
    </cfRule>
  </conditionalFormatting>
  <conditionalFormatting sqref="G11">
    <cfRule type="expression" dxfId="1368" priority="53">
      <formula>"$G$G&gt;400"</formula>
    </cfRule>
  </conditionalFormatting>
  <conditionalFormatting sqref="B12">
    <cfRule type="expression" dxfId="1367" priority="52">
      <formula>ISBLANK($D12)</formula>
    </cfRule>
  </conditionalFormatting>
  <conditionalFormatting sqref="B19">
    <cfRule type="expression" dxfId="1366" priority="51">
      <formula>ISBLANK($D19)</formula>
    </cfRule>
  </conditionalFormatting>
  <conditionalFormatting sqref="G12">
    <cfRule type="expression" dxfId="1365" priority="50">
      <formula>"$G$G&gt;400"</formula>
    </cfRule>
  </conditionalFormatting>
  <conditionalFormatting sqref="G13">
    <cfRule type="expression" dxfId="1364" priority="49">
      <formula>"$G$G&gt;400"</formula>
    </cfRule>
  </conditionalFormatting>
  <conditionalFormatting sqref="G19">
    <cfRule type="expression" dxfId="1363" priority="48">
      <formula>"$G$G&gt;400"</formula>
    </cfRule>
  </conditionalFormatting>
  <conditionalFormatting sqref="G22">
    <cfRule type="expression" dxfId="1362" priority="47">
      <formula>"$G$G&gt;400"</formula>
    </cfRule>
  </conditionalFormatting>
  <conditionalFormatting sqref="G23:G26">
    <cfRule type="expression" dxfId="1361" priority="46">
      <formula>"$G$G&gt;400"</formula>
    </cfRule>
  </conditionalFormatting>
  <conditionalFormatting sqref="B27">
    <cfRule type="expression" dxfId="1360" priority="45">
      <formula>ISBLANK($D27)</formula>
    </cfRule>
  </conditionalFormatting>
  <conditionalFormatting sqref="B28">
    <cfRule type="expression" dxfId="1359" priority="44">
      <formula>ISBLANK($D28)</formula>
    </cfRule>
  </conditionalFormatting>
  <conditionalFormatting sqref="G27">
    <cfRule type="expression" dxfId="1358" priority="43">
      <formula>"$G$G&gt;400"</formula>
    </cfRule>
  </conditionalFormatting>
  <conditionalFormatting sqref="G28">
    <cfRule type="expression" dxfId="1357" priority="42">
      <formula>"$G$G&gt;400"</formula>
    </cfRule>
  </conditionalFormatting>
  <conditionalFormatting sqref="B35">
    <cfRule type="expression" dxfId="1356" priority="41">
      <formula>ISBLANK($D35)</formula>
    </cfRule>
  </conditionalFormatting>
  <conditionalFormatting sqref="B64">
    <cfRule type="expression" dxfId="1355" priority="40">
      <formula>ISBLANK($D64)</formula>
    </cfRule>
  </conditionalFormatting>
  <conditionalFormatting sqref="B79">
    <cfRule type="expression" dxfId="1354" priority="39">
      <formula>ISBLANK($D79)</formula>
    </cfRule>
  </conditionalFormatting>
  <conditionalFormatting sqref="G29:G33">
    <cfRule type="expression" dxfId="1353" priority="38">
      <formula>"$G$G&gt;400"</formula>
    </cfRule>
  </conditionalFormatting>
  <conditionalFormatting sqref="G34">
    <cfRule type="expression" dxfId="1352" priority="37">
      <formula>"$G$G&gt;400"</formula>
    </cfRule>
  </conditionalFormatting>
  <conditionalFormatting sqref="G35">
    <cfRule type="expression" dxfId="1351" priority="36">
      <formula>"$G$G&gt;400"</formula>
    </cfRule>
  </conditionalFormatting>
  <conditionalFormatting sqref="G42">
    <cfRule type="expression" dxfId="1350" priority="35">
      <formula>"$G$G&gt;400"</formula>
    </cfRule>
  </conditionalFormatting>
  <conditionalFormatting sqref="G38">
    <cfRule type="expression" dxfId="1349" priority="34">
      <formula>"$G$G&gt;400"</formula>
    </cfRule>
  </conditionalFormatting>
  <conditionalFormatting sqref="G37">
    <cfRule type="expression" dxfId="1348" priority="33">
      <formula>"$G$G&gt;400"</formula>
    </cfRule>
  </conditionalFormatting>
  <conditionalFormatting sqref="G43">
    <cfRule type="expression" dxfId="1347" priority="32">
      <formula>"$G$G&gt;400"</formula>
    </cfRule>
  </conditionalFormatting>
  <conditionalFormatting sqref="G40">
    <cfRule type="expression" dxfId="1346" priority="31">
      <formula>"$G$G&gt;400"</formula>
    </cfRule>
  </conditionalFormatting>
  <conditionalFormatting sqref="G39">
    <cfRule type="expression" dxfId="1345" priority="30">
      <formula>"$G$G&gt;400"</formula>
    </cfRule>
  </conditionalFormatting>
  <conditionalFormatting sqref="G36">
    <cfRule type="expression" dxfId="1344" priority="29">
      <formula>"$G$G&gt;400"</formula>
    </cfRule>
  </conditionalFormatting>
  <conditionalFormatting sqref="G41">
    <cfRule type="expression" dxfId="1343" priority="28">
      <formula>"$G$G&gt;400"</formula>
    </cfRule>
  </conditionalFormatting>
  <conditionalFormatting sqref="G44">
    <cfRule type="expression" dxfId="1342" priority="27">
      <formula>"$G$G&gt;400"</formula>
    </cfRule>
  </conditionalFormatting>
  <conditionalFormatting sqref="G45">
    <cfRule type="expression" dxfId="1341" priority="26">
      <formula>"$G$G&gt;400"</formula>
    </cfRule>
  </conditionalFormatting>
  <conditionalFormatting sqref="G46">
    <cfRule type="expression" dxfId="1340" priority="25">
      <formula>"$G$G&gt;400"</formula>
    </cfRule>
  </conditionalFormatting>
  <conditionalFormatting sqref="G47">
    <cfRule type="expression" dxfId="1339" priority="24">
      <formula>"$G$G&gt;400"</formula>
    </cfRule>
  </conditionalFormatting>
  <conditionalFormatting sqref="G49">
    <cfRule type="expression" dxfId="1338" priority="23">
      <formula>"$G$G&gt;400"</formula>
    </cfRule>
  </conditionalFormatting>
  <conditionalFormatting sqref="G50">
    <cfRule type="expression" dxfId="1337" priority="22">
      <formula>"$G$G&gt;400"</formula>
    </cfRule>
  </conditionalFormatting>
  <conditionalFormatting sqref="G48">
    <cfRule type="expression" dxfId="1336" priority="21">
      <formula>"$G$G&gt;400"</formula>
    </cfRule>
  </conditionalFormatting>
  <conditionalFormatting sqref="G48">
    <cfRule type="expression" dxfId="1335" priority="20">
      <formula>"$G$G&gt;400"</formula>
    </cfRule>
  </conditionalFormatting>
  <conditionalFormatting sqref="G51">
    <cfRule type="expression" dxfId="1334" priority="19">
      <formula>"$G$G&gt;400"</formula>
    </cfRule>
  </conditionalFormatting>
  <conditionalFormatting sqref="G52">
    <cfRule type="expression" dxfId="1333" priority="18">
      <formula>"$G$G&gt;400"</formula>
    </cfRule>
  </conditionalFormatting>
  <conditionalFormatting sqref="G52">
    <cfRule type="expression" dxfId="1332" priority="17">
      <formula>"$G$G&gt;400"</formula>
    </cfRule>
  </conditionalFormatting>
  <conditionalFormatting sqref="G53">
    <cfRule type="expression" dxfId="1331" priority="16">
      <formula>"$G$G&gt;400"</formula>
    </cfRule>
  </conditionalFormatting>
  <conditionalFormatting sqref="G54">
    <cfRule type="expression" dxfId="1330" priority="15">
      <formula>"$G$G&gt;400"</formula>
    </cfRule>
  </conditionalFormatting>
  <conditionalFormatting sqref="G57">
    <cfRule type="expression" dxfId="1329" priority="14">
      <formula>"$G$G&gt;400"</formula>
    </cfRule>
  </conditionalFormatting>
  <conditionalFormatting sqref="G76">
    <cfRule type="expression" dxfId="1328" priority="13">
      <formula>"$G$G&gt;400"</formula>
    </cfRule>
  </conditionalFormatting>
  <conditionalFormatting sqref="G79">
    <cfRule type="expression" dxfId="1327" priority="12">
      <formula>"$G$G&gt;400"</formula>
    </cfRule>
  </conditionalFormatting>
  <conditionalFormatting sqref="G80">
    <cfRule type="expression" dxfId="1326" priority="11">
      <formula>"$G$G&gt;400"</formula>
    </cfRule>
  </conditionalFormatting>
  <conditionalFormatting sqref="G82">
    <cfRule type="expression" dxfId="1325" priority="10">
      <formula>"$G$G&gt;400"</formula>
    </cfRule>
  </conditionalFormatting>
  <conditionalFormatting sqref="G83:G84">
    <cfRule type="expression" dxfId="1324" priority="9">
      <formula>"$G$G&gt;400"</formula>
    </cfRule>
  </conditionalFormatting>
  <conditionalFormatting sqref="G83:G84">
    <cfRule type="expression" dxfId="1323" priority="8">
      <formula>"$G$G&gt;400"</formula>
    </cfRule>
  </conditionalFormatting>
  <conditionalFormatting sqref="G87:G88">
    <cfRule type="expression" dxfId="1322" priority="7">
      <formula>"$G$G&gt;400"</formula>
    </cfRule>
  </conditionalFormatting>
  <conditionalFormatting sqref="G89:G110">
    <cfRule type="expression" dxfId="1321" priority="6">
      <formula>"$G$G&gt;400"</formula>
    </cfRule>
  </conditionalFormatting>
  <conditionalFormatting sqref="B56">
    <cfRule type="expression" dxfId="1320" priority="4">
      <formula>ISBLANK($D56)</formula>
    </cfRule>
  </conditionalFormatting>
  <conditionalFormatting sqref="G111:G121">
    <cfRule type="expression" dxfId="1319" priority="3">
      <formula>"$G$G&gt;400"</formula>
    </cfRule>
  </conditionalFormatting>
  <conditionalFormatting sqref="B23:B26">
    <cfRule type="expression" dxfId="1318" priority="66">
      <formula>ISBLANK($B23)</formula>
    </cfRule>
  </conditionalFormatting>
  <conditionalFormatting sqref="B123:B132">
    <cfRule type="expression" dxfId="1317" priority="1">
      <formula>ISBLANK($D123)</formula>
    </cfRule>
  </conditionalFormatting>
  <dataValidations count="2">
    <dataValidation type="list" allowBlank="1" showInputMessage="1" showErrorMessage="1" sqref="F2:F122" xr:uid="{7C102755-35AB-4DC7-9EED-507454B342A0}">
      <formula1>Spesenart</formula1>
    </dataValidation>
    <dataValidation type="list" allowBlank="1" showInputMessage="1" showErrorMessage="1" sqref="F123:F132" xr:uid="{9E66C7E1-6097-4EB9-9285-446DD46B195C}">
      <formula1>INDIRECT($E123)</formula1>
    </dataValidation>
  </dataValidations>
  <pageMargins left="0.7" right="0.7" top="0.78740157499999996" bottom="0.78740157499999996" header="0.3" footer="0.3"/>
  <pageSetup paperSize="9" orientation="portrait" r:id="rId1"/>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BB514-1ECD-434A-94AF-2953F7459187}">
  <sheetPr codeName="Tabelle10"/>
  <dimension ref="A1:A4"/>
  <sheetViews>
    <sheetView workbookViewId="0">
      <selection activeCell="B6" sqref="B6"/>
    </sheetView>
  </sheetViews>
  <sheetFormatPr baseColWidth="10" defaultColWidth="11.5703125" defaultRowHeight="15" x14ac:dyDescent="0.25"/>
  <cols>
    <col min="1" max="16384" width="11.5703125" style="49"/>
  </cols>
  <sheetData>
    <row r="1" spans="1:1" x14ac:dyDescent="0.25">
      <c r="A1" s="50">
        <v>0</v>
      </c>
    </row>
    <row r="2" spans="1:1" x14ac:dyDescent="0.25">
      <c r="A2" s="50">
        <v>10</v>
      </c>
    </row>
    <row r="3" spans="1:1" x14ac:dyDescent="0.25">
      <c r="A3" s="50">
        <v>20</v>
      </c>
    </row>
    <row r="4" spans="1:1" x14ac:dyDescent="0.25">
      <c r="A4" s="50">
        <v>100</v>
      </c>
    </row>
  </sheetData>
  <sortState xmlns:xlrd2="http://schemas.microsoft.com/office/spreadsheetml/2017/richdata2" ref="A1:A4">
    <sortCondition ref="A1:A4"/>
  </sortState>
  <pageMargins left="0.7" right="0.7" top="0.78740157499999996" bottom="0.78740157499999996"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A1:K38"/>
  <sheetViews>
    <sheetView topLeftCell="A19" workbookViewId="0">
      <selection activeCell="E38" sqref="E38"/>
    </sheetView>
  </sheetViews>
  <sheetFormatPr baseColWidth="10" defaultRowHeight="15" x14ac:dyDescent="0.25"/>
  <cols>
    <col min="5" max="5" width="51.7109375" bestFit="1" customWidth="1"/>
  </cols>
  <sheetData>
    <row r="1" spans="1:11" x14ac:dyDescent="0.25">
      <c r="A1" t="s">
        <v>232</v>
      </c>
    </row>
    <row r="2" spans="1:11" s="2" customFormat="1" x14ac:dyDescent="0.25">
      <c r="A2" s="2" t="s">
        <v>231</v>
      </c>
      <c r="B2" s="2" t="s">
        <v>238</v>
      </c>
      <c r="C2" s="2" t="s">
        <v>248</v>
      </c>
      <c r="D2" s="2" t="s">
        <v>233</v>
      </c>
      <c r="E2" s="2" t="s">
        <v>234</v>
      </c>
      <c r="F2" s="2" t="s">
        <v>235</v>
      </c>
      <c r="G2" s="2" t="s">
        <v>4</v>
      </c>
      <c r="H2" s="2" t="s">
        <v>236</v>
      </c>
      <c r="I2" s="2" t="s">
        <v>237</v>
      </c>
      <c r="J2" s="2" t="s">
        <v>258</v>
      </c>
      <c r="K2" s="2" t="s">
        <v>294</v>
      </c>
    </row>
    <row r="3" spans="1:11" x14ac:dyDescent="0.25">
      <c r="A3">
        <v>1</v>
      </c>
      <c r="B3">
        <v>35</v>
      </c>
      <c r="C3" s="1">
        <v>42419</v>
      </c>
      <c r="D3" s="6">
        <f>VLOOKUP($B3,Ausgaben_bis_2018!$A:$AA,5)</f>
        <v>42250</v>
      </c>
      <c r="E3" s="6" t="str">
        <f>VLOOKUP($B3,Ausgaben_bis_2018!$A:$AA,7)</f>
        <v>BA-Computer HandelsgesmbH., Oberlaaerstraße 92, 1100 Wien: Fujitsu Celsius W530 Intel Core-i7-4790</v>
      </c>
      <c r="F3" s="6">
        <f>VLOOKUP($B3,Ausgaben_bis_2018!$A:$AA,2)</f>
        <v>0</v>
      </c>
      <c r="G3" s="6" t="b">
        <f>VLOOKUP($B3,Ausgaben_bis_2018!$A:$AA,14)</f>
        <v>0</v>
      </c>
      <c r="H3" s="6">
        <f>VLOOKUP($B3,Ausgaben_bis_2018!$A:$AA,16)</f>
        <v>1</v>
      </c>
      <c r="I3" t="s">
        <v>249</v>
      </c>
      <c r="J3">
        <v>12015006</v>
      </c>
    </row>
    <row r="4" spans="1:11" x14ac:dyDescent="0.25">
      <c r="A4">
        <v>2</v>
      </c>
      <c r="B4">
        <v>87</v>
      </c>
      <c r="C4" s="1">
        <v>42419</v>
      </c>
      <c r="D4" s="6">
        <f>VLOOKUP($B4,Ausgaben_bis_2018!$A:$AA,5)</f>
        <v>42415</v>
      </c>
      <c r="E4" s="6" t="str">
        <f>VLOOKUP($B4,Ausgaben_bis_2018!$A:$AA,7)</f>
        <v>Reichelt Elektronik GmbH &amp; Co. KG, Elektronikring 1, 26452 Sande, Deutschand: 4 TB Samsung D3 Station USB 3.0</v>
      </c>
      <c r="F4" s="6">
        <f>VLOOKUP($B4,Ausgaben_bis_2018!$A:$AA,2)</f>
        <v>0</v>
      </c>
      <c r="G4" s="6" t="b">
        <f>VLOOKUP($B4,Ausgaben_bis_2018!$A:$AA,14)</f>
        <v>0</v>
      </c>
      <c r="H4" s="6">
        <f>VLOOKUP($B4,Ausgaben_bis_2018!$A:$AA,16)</f>
        <v>1</v>
      </c>
      <c r="I4" t="s">
        <v>249</v>
      </c>
      <c r="J4">
        <v>12016004</v>
      </c>
    </row>
    <row r="5" spans="1:11" x14ac:dyDescent="0.25">
      <c r="A5">
        <v>3</v>
      </c>
      <c r="B5">
        <v>90</v>
      </c>
      <c r="C5" s="1">
        <v>42424</v>
      </c>
      <c r="D5" s="6">
        <f>VLOOKUP($B5,Ausgaben_bis_2018!$A:$AA,5)</f>
        <v>42424</v>
      </c>
      <c r="E5" s="6" t="str">
        <f>VLOOKUP($B5,Ausgaben_bis_2018!$A:$AA,7)</f>
        <v>Hartlauer Handelsges.m.b.H., Wipplingerstr. 15, 1010 Wien: cBird elektronische Kassa</v>
      </c>
      <c r="F5" s="6">
        <f>VLOOKUP($B5,Ausgaben_bis_2018!$A:$AA,2)</f>
        <v>0</v>
      </c>
      <c r="G5" s="6" t="b">
        <f>VLOOKUP($B5,Ausgaben_bis_2018!$A:$AA,14)</f>
        <v>0</v>
      </c>
      <c r="H5" s="6">
        <f>VLOOKUP($B5,Ausgaben_bis_2018!$A:$AA,16)</f>
        <v>1</v>
      </c>
      <c r="I5" t="s">
        <v>249</v>
      </c>
      <c r="J5">
        <v>12016008</v>
      </c>
    </row>
    <row r="6" spans="1:11" x14ac:dyDescent="0.25">
      <c r="A6">
        <v>4</v>
      </c>
      <c r="B6">
        <v>94</v>
      </c>
      <c r="C6" s="1">
        <v>42411</v>
      </c>
      <c r="D6" s="6">
        <f>VLOOKUP($B6,Ausgaben_bis_2018!$A:$AA,5)</f>
        <v>42436</v>
      </c>
      <c r="E6" s="6" t="str">
        <f>VLOOKUP($B6,Ausgaben_bis_2018!$A:$AA,7)</f>
        <v>Vistaprint B.V., Hudsonweg 8, 5928 LW Venlo, Niederlande: Visitenkarten 1x100</v>
      </c>
      <c r="F6" s="6">
        <f>VLOOKUP($B6,Ausgaben_bis_2018!$A:$AA,2)</f>
        <v>0</v>
      </c>
      <c r="G6" s="6" t="b">
        <f>VLOOKUP($B6,Ausgaben_bis_2018!$A:$AA,14)</f>
        <v>0</v>
      </c>
      <c r="H6" s="6">
        <f>VLOOKUP($B6,Ausgaben_bis_2018!$A:$AA,16)</f>
        <v>1</v>
      </c>
      <c r="I6" t="s">
        <v>249</v>
      </c>
    </row>
    <row r="7" spans="1:11" x14ac:dyDescent="0.25">
      <c r="A7">
        <v>5</v>
      </c>
      <c r="B7">
        <v>101</v>
      </c>
      <c r="C7" s="1">
        <v>42482</v>
      </c>
      <c r="D7" s="6">
        <f>VLOOKUP($B7,Ausgaben_bis_2018!$A:$AA,5)</f>
        <v>42485</v>
      </c>
      <c r="E7" s="6" t="str">
        <f>VLOOKUP($B7,Ausgaben_bis_2018!$A:$AA,7)</f>
        <v>Amazon EU Sàrl, 5 Rue Plaetis, L-2338, Luxemburg: Samsung CLT-P406C/ELS Toner Rainbowkit B00Ef´4F1EMK</v>
      </c>
      <c r="F7" s="6">
        <f>VLOOKUP($B7,Ausgaben_bis_2018!$A:$AA,2)</f>
        <v>0</v>
      </c>
      <c r="G7" s="6" t="b">
        <f>VLOOKUP($B7,Ausgaben_bis_2018!$A:$AA,14)</f>
        <v>0</v>
      </c>
      <c r="H7" s="6">
        <f>VLOOKUP($B7,Ausgaben_bis_2018!$A:$AA,16)</f>
        <v>1</v>
      </c>
      <c r="I7" t="s">
        <v>249</v>
      </c>
      <c r="K7" t="s">
        <v>295</v>
      </c>
    </row>
    <row r="8" spans="1:11" x14ac:dyDescent="0.25">
      <c r="A8">
        <v>6</v>
      </c>
      <c r="B8">
        <v>109</v>
      </c>
      <c r="C8" s="1">
        <v>42502</v>
      </c>
      <c r="D8" s="6">
        <f>VLOOKUP($B8,Ausgaben_bis_2018!$A:$AA,5)</f>
        <v>42500</v>
      </c>
      <c r="E8" s="6" t="str">
        <f>VLOOKUP($B8,Ausgaben_bis_2018!$A:$AA,7)</f>
        <v>Vistaprint B.V., Hudsonweg 8, 5928 LW Venlo, Niederlande: Visitenkarten 500 extradick</v>
      </c>
      <c r="F8" s="6">
        <f>VLOOKUP($B8,Ausgaben_bis_2018!$A:$AA,2)</f>
        <v>0</v>
      </c>
      <c r="G8" s="6" t="b">
        <f>VLOOKUP($B8,Ausgaben_bis_2018!$A:$AA,14)</f>
        <v>0</v>
      </c>
      <c r="H8" s="6">
        <f>VLOOKUP($B8,Ausgaben_bis_2018!$A:$AA,16)</f>
        <v>1</v>
      </c>
      <c r="I8" t="s">
        <v>249</v>
      </c>
      <c r="K8" t="s">
        <v>295</v>
      </c>
    </row>
    <row r="9" spans="1:11" x14ac:dyDescent="0.25">
      <c r="A9">
        <v>7</v>
      </c>
      <c r="B9">
        <v>115</v>
      </c>
      <c r="C9" s="1">
        <v>42515</v>
      </c>
      <c r="D9" s="6">
        <f>VLOOKUP($B9,Ausgaben_bis_2018!$A:$AA,5)</f>
        <v>42512</v>
      </c>
      <c r="E9" s="6" t="str">
        <f>VLOOKUP($B9,Ausgaben_bis_2018!$A:$AA,7)</f>
        <v>Amazon EU Sàrl, 5 Rue Plaetis, L-2338, Luxemburg: HP Display Port to VGA Adapter | B00IYETPXW</v>
      </c>
      <c r="F9" s="6">
        <f>VLOOKUP($B9,Ausgaben_bis_2018!$A:$AA,2)</f>
        <v>0</v>
      </c>
      <c r="G9" s="6" t="b">
        <f>VLOOKUP($B9,Ausgaben_bis_2018!$A:$AA,14)</f>
        <v>0</v>
      </c>
      <c r="H9" s="6">
        <f>VLOOKUP($B9,Ausgaben_bis_2018!$A:$AA,16)</f>
        <v>1</v>
      </c>
      <c r="I9" t="s">
        <v>249</v>
      </c>
      <c r="K9" t="s">
        <v>305</v>
      </c>
    </row>
    <row r="10" spans="1:11" x14ac:dyDescent="0.25">
      <c r="A10">
        <v>8</v>
      </c>
      <c r="B10">
        <v>134</v>
      </c>
      <c r="C10" s="1">
        <v>42550</v>
      </c>
      <c r="D10" s="6">
        <f>VLOOKUP($B10,Ausgaben_bis_2018!$A:$AA,5)</f>
        <v>42549</v>
      </c>
      <c r="E10" s="6" t="str">
        <f>VLOOKUP($B10,Ausgaben_bis_2018!$A:$AA,7)</f>
        <v>haym.infotec GmbH, Petersbrunnstraße 9, 5020 Salzburg: Eizo FlexScan EV2450 schwarz</v>
      </c>
      <c r="F10" s="6">
        <f>VLOOKUP($B10,Ausgaben_bis_2018!$A:$AA,2)</f>
        <v>0</v>
      </c>
      <c r="G10" s="6" t="b">
        <f>VLOOKUP($B10,Ausgaben_bis_2018!$A:$AA,14)</f>
        <v>0</v>
      </c>
      <c r="H10" s="6">
        <f>VLOOKUP($B10,Ausgaben_bis_2018!$A:$AA,16)</f>
        <v>1</v>
      </c>
      <c r="I10" t="s">
        <v>249</v>
      </c>
      <c r="K10" t="s">
        <v>370</v>
      </c>
    </row>
    <row r="11" spans="1:11" x14ac:dyDescent="0.25">
      <c r="A11">
        <v>9</v>
      </c>
      <c r="B11">
        <v>137</v>
      </c>
      <c r="C11" s="1">
        <v>42546</v>
      </c>
      <c r="D11" s="6">
        <f>VLOOKUP($B11,Ausgaben_bis_2018!$A:$AA,5)</f>
        <v>42545</v>
      </c>
      <c r="E11" s="6" t="str">
        <f>VLOOKUP($B11,Ausgaben_bis_2018!$A:$AA,7)</f>
        <v>Digital River Ireland, Ltd., Unit 153 Shannon Free Zone, Shannon, CO. Clare, Ireland: Lenovo HDMI-VGA</v>
      </c>
      <c r="F11" s="6">
        <f>VLOOKUP($B11,Ausgaben_bis_2018!$A:$AA,2)</f>
        <v>0</v>
      </c>
      <c r="G11" s="6" t="b">
        <f>VLOOKUP($B11,Ausgaben_bis_2018!$A:$AA,14)</f>
        <v>0</v>
      </c>
      <c r="H11" s="6">
        <f>VLOOKUP($B11,Ausgaben_bis_2018!$A:$AA,16)</f>
        <v>1</v>
      </c>
      <c r="I11" t="s">
        <v>249</v>
      </c>
      <c r="K11" t="s">
        <v>371</v>
      </c>
    </row>
    <row r="12" spans="1:11" x14ac:dyDescent="0.25">
      <c r="A12">
        <v>10</v>
      </c>
      <c r="B12">
        <v>138</v>
      </c>
      <c r="C12" s="1">
        <v>42542</v>
      </c>
      <c r="D12" s="6">
        <f>VLOOKUP($B12,Ausgaben_bis_2018!$A:$AA,5)</f>
        <v>42541</v>
      </c>
      <c r="E12" s="6" t="str">
        <f>VLOOKUP($B12,Ausgaben_bis_2018!$A:$AA,7)</f>
        <v>Digital River Ireland, Ltd., Unit 153 Shannon Free Zone, Shannon, CO. Clare, Ireland: ThinkPad Workstation Dock, Lenovo Mini-DP-DP-Kabel</v>
      </c>
      <c r="F12" s="6">
        <f>VLOOKUP($B12,Ausgaben_bis_2018!$A:$AA,2)</f>
        <v>0</v>
      </c>
      <c r="G12" s="6" t="b">
        <f>VLOOKUP($B12,Ausgaben_bis_2018!$A:$AA,14)</f>
        <v>0</v>
      </c>
      <c r="H12" s="6">
        <f>VLOOKUP($B12,Ausgaben_bis_2018!$A:$AA,16)</f>
        <v>1</v>
      </c>
      <c r="I12" t="s">
        <v>249</v>
      </c>
      <c r="K12" t="s">
        <v>371</v>
      </c>
    </row>
    <row r="13" spans="1:11" x14ac:dyDescent="0.25">
      <c r="A13">
        <v>11</v>
      </c>
      <c r="B13">
        <v>139</v>
      </c>
      <c r="C13" s="1">
        <v>42549</v>
      </c>
      <c r="D13" s="6">
        <f>VLOOKUP($B13,Ausgaben_bis_2018!$A:$AA,5)</f>
        <v>42547</v>
      </c>
      <c r="E13" s="6" t="str">
        <f>VLOOKUP($B13,Ausgaben_bis_2018!$A:$AA,7)</f>
        <v>Digital River Ireland, Ltd., Unit 153 Shannon Free Zone, Shannon, CO. Clare, Ireland: ThinkPad P70</v>
      </c>
      <c r="F13" s="6">
        <f>VLOOKUP($B13,Ausgaben_bis_2018!$A:$AA,2)</f>
        <v>0</v>
      </c>
      <c r="G13" s="6" t="b">
        <f>VLOOKUP($B13,Ausgaben_bis_2018!$A:$AA,14)</f>
        <v>0</v>
      </c>
      <c r="H13" s="6">
        <f>VLOOKUP($B13,Ausgaben_bis_2018!$A:$AA,16)</f>
        <v>1</v>
      </c>
      <c r="I13" t="s">
        <v>249</v>
      </c>
      <c r="K13" t="s">
        <v>371</v>
      </c>
    </row>
    <row r="14" spans="1:11" x14ac:dyDescent="0.25">
      <c r="A14">
        <v>12</v>
      </c>
      <c r="B14">
        <v>166</v>
      </c>
      <c r="C14" s="1">
        <v>42615</v>
      </c>
      <c r="D14" s="6">
        <f>VLOOKUP($B14,Ausgaben_bis_2018!$A:$AA,5)</f>
        <v>42611</v>
      </c>
      <c r="E14" s="6" t="str">
        <f>VLOOKUP($B14,Ausgaben_bis_2018!$A:$AA,7)</f>
        <v>BA-Computer HandelsgesmbH., Oberlaaerstraße 92, 1100 Wien: My Passport Ultra 4 TB Noble Blue + Versand</v>
      </c>
      <c r="F14" s="6">
        <f>VLOOKUP($B14,Ausgaben_bis_2018!$A:$AA,2)</f>
        <v>0</v>
      </c>
      <c r="G14" s="6" t="b">
        <f>VLOOKUP($B14,Ausgaben_bis_2018!$A:$AA,14)</f>
        <v>0</v>
      </c>
      <c r="H14" s="6">
        <f>VLOOKUP($B14,Ausgaben_bis_2018!$A:$AA,16)</f>
        <v>1</v>
      </c>
      <c r="I14" t="s">
        <v>249</v>
      </c>
    </row>
    <row r="15" spans="1:11" x14ac:dyDescent="0.25">
      <c r="A15">
        <v>13</v>
      </c>
      <c r="B15">
        <v>247</v>
      </c>
      <c r="C15" s="1">
        <v>42615</v>
      </c>
      <c r="D15" s="6">
        <f>VLOOKUP($B15,Ausgaben_bis_2018!$A:$AA,5)</f>
        <v>43056</v>
      </c>
      <c r="E15" s="6" t="str">
        <f>VLOOKUP($B15,Ausgaben_bis_2018!$A:$AA,7)</f>
        <v>Lemon Technologies GmbH: Dock, 8GB RAM, ThinkServer TS-150</v>
      </c>
      <c r="F15" s="6">
        <f>VLOOKUP($B15,Ausgaben_bis_2018!$A:$AA,2)</f>
        <v>0</v>
      </c>
      <c r="G15" s="6" t="b">
        <f>VLOOKUP($B15,Ausgaben_bis_2018!$A:$AA,14)</f>
        <v>0</v>
      </c>
      <c r="H15" s="6">
        <f>VLOOKUP($B15,Ausgaben_bis_2018!$A:$AA,16)</f>
        <v>1</v>
      </c>
      <c r="I15" t="s">
        <v>249</v>
      </c>
    </row>
    <row r="16" spans="1:11" x14ac:dyDescent="0.25">
      <c r="A16">
        <v>14</v>
      </c>
      <c r="B16">
        <v>248</v>
      </c>
      <c r="C16" s="1">
        <v>42615</v>
      </c>
      <c r="D16" s="6">
        <f>VLOOKUP($B16,Ausgaben_bis_2018!$A:$AA,5)</f>
        <v>43053</v>
      </c>
      <c r="E16" s="6" t="str">
        <f>VLOOKUP($B16,Ausgaben_bis_2018!$A:$AA,7)</f>
        <v>Amazon EU Sàrl, 5 Rue Plaetis, L-2338, Luxemburg: LG 27BK550Y-B</v>
      </c>
      <c r="F16" s="6">
        <f>VLOOKUP($B16,Ausgaben_bis_2018!$A:$AA,2)</f>
        <v>0</v>
      </c>
      <c r="G16" s="6" t="b">
        <f>VLOOKUP($B16,Ausgaben_bis_2018!$A:$AA,14)</f>
        <v>0</v>
      </c>
      <c r="H16" s="6">
        <f>VLOOKUP($B16,Ausgaben_bis_2018!$A:$AA,16)</f>
        <v>1</v>
      </c>
      <c r="I16" t="s">
        <v>249</v>
      </c>
    </row>
    <row r="17" spans="1:9" x14ac:dyDescent="0.25">
      <c r="A17">
        <v>15</v>
      </c>
      <c r="B17">
        <v>249</v>
      </c>
      <c r="C17" s="1">
        <v>42615</v>
      </c>
      <c r="D17" s="6">
        <f>VLOOKUP($B17,Ausgaben_bis_2018!$A:$AA,5)</f>
        <v>43053</v>
      </c>
      <c r="E17" s="6" t="str">
        <f>VLOOKUP($B17,Ausgaben_bis_2018!$A:$AA,7)</f>
        <v>Amazon EU Sàrl, 5 Rue Plaetis, L-2338, Luxemburg: LG 27BK550Y-B</v>
      </c>
      <c r="F17" s="6">
        <f>VLOOKUP($B17,Ausgaben_bis_2018!$A:$AA,2)</f>
        <v>0</v>
      </c>
      <c r="G17" s="6" t="b">
        <f>VLOOKUP($B17,Ausgaben_bis_2018!$A:$AA,14)</f>
        <v>0</v>
      </c>
      <c r="H17" s="6">
        <f>VLOOKUP($B17,Ausgaben_bis_2018!$A:$AA,16)</f>
        <v>1</v>
      </c>
      <c r="I17" t="s">
        <v>249</v>
      </c>
    </row>
    <row r="18" spans="1:9" x14ac:dyDescent="0.25">
      <c r="A18">
        <v>16</v>
      </c>
      <c r="B18">
        <v>250</v>
      </c>
      <c r="C18" s="1">
        <v>42615</v>
      </c>
      <c r="D18" s="6">
        <f>VLOOKUP($B18,Ausgaben_bis_2018!$A:$AA,5)</f>
        <v>43054</v>
      </c>
      <c r="E18" s="6" t="str">
        <f>VLOOKUP($B18,Ausgaben_bis_2018!$A:$AA,7)</f>
        <v>Amazon EU Sàrl, 5 Rue Plaetis, L-2338, Luxemburg: Switch, AP</v>
      </c>
      <c r="F18" s="6">
        <f>VLOOKUP($B18,Ausgaben_bis_2018!$A:$AA,2)</f>
        <v>0</v>
      </c>
      <c r="G18" s="6" t="b">
        <f>VLOOKUP($B18,Ausgaben_bis_2018!$A:$AA,14)</f>
        <v>0</v>
      </c>
      <c r="H18" s="6">
        <f>VLOOKUP($B18,Ausgaben_bis_2018!$A:$AA,16)</f>
        <v>1</v>
      </c>
      <c r="I18" t="s">
        <v>249</v>
      </c>
    </row>
    <row r="19" spans="1:9" x14ac:dyDescent="0.25">
      <c r="A19">
        <v>17</v>
      </c>
      <c r="B19">
        <v>251</v>
      </c>
      <c r="C19" s="1">
        <v>42615</v>
      </c>
      <c r="D19" s="6">
        <f>VLOOKUP($B19,Ausgaben_bis_2018!$A:$AA,5)</f>
        <v>43053</v>
      </c>
      <c r="E19" s="6" t="str">
        <f>VLOOKUP($B19,Ausgaben_bis_2018!$A:$AA,7)</f>
        <v>Amazon EU Sàrl, 5 Rue Plaetis, L-2338, Luxemburg: LG 27BK550Y-B</v>
      </c>
      <c r="F19" s="6">
        <f>VLOOKUP($B19,Ausgaben_bis_2018!$A:$AA,2)</f>
        <v>0</v>
      </c>
      <c r="G19" s="6" t="b">
        <f>VLOOKUP($B19,Ausgaben_bis_2018!$A:$AA,14)</f>
        <v>0</v>
      </c>
      <c r="H19" s="6">
        <f>VLOOKUP($B19,Ausgaben_bis_2018!$A:$AA,16)</f>
        <v>1</v>
      </c>
      <c r="I19" t="s">
        <v>249</v>
      </c>
    </row>
    <row r="20" spans="1:9" x14ac:dyDescent="0.25">
      <c r="A20">
        <v>18</v>
      </c>
      <c r="B20">
        <v>252</v>
      </c>
      <c r="C20" s="1">
        <v>42615</v>
      </c>
      <c r="D20" s="6">
        <f>VLOOKUP($B20,Ausgaben_bis_2018!$A:$AA,5)</f>
        <v>43053</v>
      </c>
      <c r="E20" s="6" t="str">
        <f>VLOOKUP($B20,Ausgaben_bis_2018!$A:$AA,7)</f>
        <v>Amazon EU Sàrl, 5 Rue Plaetis, L-2338, Luxemburg: Lenovo ideacentre Y700</v>
      </c>
      <c r="F20" s="6">
        <f>VLOOKUP($B20,Ausgaben_bis_2018!$A:$AA,2)</f>
        <v>0</v>
      </c>
      <c r="G20" s="6" t="b">
        <f>VLOOKUP($B20,Ausgaben_bis_2018!$A:$AA,14)</f>
        <v>0</v>
      </c>
      <c r="H20" s="6">
        <f>VLOOKUP($B20,Ausgaben_bis_2018!$A:$AA,16)</f>
        <v>1</v>
      </c>
      <c r="I20" t="s">
        <v>249</v>
      </c>
    </row>
    <row r="21" spans="1:9" x14ac:dyDescent="0.25">
      <c r="A21">
        <v>19</v>
      </c>
      <c r="B21">
        <v>253</v>
      </c>
      <c r="C21" s="1">
        <v>42615</v>
      </c>
      <c r="D21" s="6">
        <f>VLOOKUP($B21,Ausgaben_bis_2018!$A:$AA,5)</f>
        <v>43056</v>
      </c>
      <c r="E21" s="6" t="str">
        <f>VLOOKUP($B21,Ausgaben_bis_2018!$A:$AA,7)</f>
        <v>Lemon Technologies GmbH: Office, Win16Svr</v>
      </c>
      <c r="F21" s="6">
        <f>VLOOKUP($B21,Ausgaben_bis_2018!$A:$AA,2)</f>
        <v>0</v>
      </c>
      <c r="G21" s="6" t="b">
        <f>VLOOKUP($B21,Ausgaben_bis_2018!$A:$AA,14)</f>
        <v>0</v>
      </c>
      <c r="H21" s="6">
        <f>VLOOKUP($B21,Ausgaben_bis_2018!$A:$AA,16)</f>
        <v>1</v>
      </c>
      <c r="I21" t="s">
        <v>249</v>
      </c>
    </row>
    <row r="22" spans="1:9" x14ac:dyDescent="0.25">
      <c r="A22">
        <v>20</v>
      </c>
      <c r="B22">
        <v>254</v>
      </c>
      <c r="C22" s="1">
        <v>42615</v>
      </c>
      <c r="D22" s="6">
        <f>VLOOKUP($B22,Ausgaben_bis_2018!$A:$AA,5)</f>
        <v>43056</v>
      </c>
      <c r="E22" s="6" t="str">
        <f>VLOOKUP($B22,Ausgaben_bis_2018!$A:$AA,7)</f>
        <v>Amazon EU Sàrl, 5 Rue Plaetis, L-2338, Luxemburg: APC Back UPS Pro USV 900VA</v>
      </c>
      <c r="F22" s="6">
        <f>VLOOKUP($B22,Ausgaben_bis_2018!$A:$AA,2)</f>
        <v>0</v>
      </c>
      <c r="G22" s="6" t="b">
        <f>VLOOKUP($B22,Ausgaben_bis_2018!$A:$AA,14)</f>
        <v>0</v>
      </c>
      <c r="H22" s="6">
        <f>VLOOKUP($B22,Ausgaben_bis_2018!$A:$AA,16)</f>
        <v>1</v>
      </c>
      <c r="I22" t="s">
        <v>249</v>
      </c>
    </row>
    <row r="23" spans="1:9" x14ac:dyDescent="0.25">
      <c r="A23">
        <v>21</v>
      </c>
      <c r="B23">
        <v>255</v>
      </c>
      <c r="C23" s="1">
        <v>42615</v>
      </c>
      <c r="D23" s="6">
        <f>VLOOKUP($B23,Ausgaben_bis_2018!$A:$AA,5)</f>
        <v>43052</v>
      </c>
      <c r="E23" s="6" t="str">
        <f>VLOOKUP($B23,Ausgaben_bis_2018!$A:$AA,7)</f>
        <v>Amazon EU Sàrl, 5 Rue Plaetis, L-2338, Luxemburg: Acer G246HYLbid 23,8 Zoll</v>
      </c>
      <c r="F23" s="6">
        <f>VLOOKUP($B23,Ausgaben_bis_2018!$A:$AA,2)</f>
        <v>0</v>
      </c>
      <c r="G23" s="6" t="b">
        <f>VLOOKUP($B23,Ausgaben_bis_2018!$A:$AA,14)</f>
        <v>0</v>
      </c>
      <c r="H23" s="6">
        <f>VLOOKUP($B23,Ausgaben_bis_2018!$A:$AA,16)</f>
        <v>1</v>
      </c>
      <c r="I23" t="s">
        <v>249</v>
      </c>
    </row>
    <row r="24" spans="1:9" x14ac:dyDescent="0.25">
      <c r="A24">
        <v>22</v>
      </c>
      <c r="B24">
        <v>256</v>
      </c>
      <c r="C24" s="1">
        <v>42615</v>
      </c>
      <c r="D24" s="6">
        <f>VLOOKUP($B24,Ausgaben_bis_2018!$A:$AA,5)</f>
        <v>43057</v>
      </c>
      <c r="E24" s="6" t="str">
        <f>VLOOKUP($B24,Ausgaben_bis_2018!$A:$AA,7)</f>
        <v>Ganz Einfach GmbH, Wohlenbergstr 16, Hannover, 30179 DE: 3 7,5m HDMI 3f. geschirmt</v>
      </c>
      <c r="F24" s="6">
        <f>VLOOKUP($B24,Ausgaben_bis_2018!$A:$AA,2)</f>
        <v>0</v>
      </c>
      <c r="G24" s="6" t="b">
        <f>VLOOKUP($B24,Ausgaben_bis_2018!$A:$AA,14)</f>
        <v>0</v>
      </c>
      <c r="H24" s="6">
        <f>VLOOKUP($B24,Ausgaben_bis_2018!$A:$AA,16)</f>
        <v>1</v>
      </c>
      <c r="I24" t="s">
        <v>249</v>
      </c>
    </row>
    <row r="25" spans="1:9" x14ac:dyDescent="0.25">
      <c r="A25">
        <v>23</v>
      </c>
      <c r="B25">
        <v>257</v>
      </c>
      <c r="C25" s="1">
        <v>42615</v>
      </c>
      <c r="D25" s="6">
        <f>VLOOKUP($B25,Ausgaben_bis_2018!$A:$AA,5)</f>
        <v>43063</v>
      </c>
      <c r="E25" s="6" t="str">
        <f>VLOOKUP($B25,Ausgaben_bis_2018!$A:$AA,7)</f>
        <v>E.Alt KG, MTS-Shop.eu, 1140 Wien, Mühlbergstrasse 18: IPCam, TV-Wandhalterung</v>
      </c>
      <c r="F25" s="6">
        <f>VLOOKUP($B25,Ausgaben_bis_2018!$A:$AA,2)</f>
        <v>0</v>
      </c>
      <c r="G25" s="6" t="b">
        <f>VLOOKUP($B25,Ausgaben_bis_2018!$A:$AA,14)</f>
        <v>0</v>
      </c>
      <c r="H25" s="6">
        <f>VLOOKUP($B25,Ausgaben_bis_2018!$A:$AA,16)</f>
        <v>1</v>
      </c>
      <c r="I25" t="s">
        <v>249</v>
      </c>
    </row>
    <row r="26" spans="1:9" x14ac:dyDescent="0.25">
      <c r="A26">
        <v>24</v>
      </c>
      <c r="B26">
        <v>258</v>
      </c>
      <c r="C26" s="1">
        <v>42615</v>
      </c>
      <c r="D26" s="6">
        <f>VLOOKUP($B26,Ausgaben_bis_2018!$A:$AA,5)</f>
        <v>43057</v>
      </c>
      <c r="E26" s="6" t="str">
        <f>VLOOKUP($B26,Ausgaben_bis_2018!$A:$AA,7)</f>
        <v>Amazon EU Sàrl, 5 Rue Plaetis, L-2338, Luxemburg: Sony DVP-SR760HB</v>
      </c>
      <c r="F26" s="6">
        <f>VLOOKUP($B26,Ausgaben_bis_2018!$A:$AA,2)</f>
        <v>0</v>
      </c>
      <c r="G26" s="6" t="b">
        <f>VLOOKUP($B26,Ausgaben_bis_2018!$A:$AA,14)</f>
        <v>0</v>
      </c>
      <c r="H26" s="6">
        <f>VLOOKUP($B26,Ausgaben_bis_2018!$A:$AA,16)</f>
        <v>1</v>
      </c>
      <c r="I26" t="s">
        <v>249</v>
      </c>
    </row>
    <row r="27" spans="1:9" x14ac:dyDescent="0.25">
      <c r="A27">
        <v>25</v>
      </c>
      <c r="B27">
        <v>259</v>
      </c>
      <c r="C27" s="1">
        <v>42615</v>
      </c>
      <c r="D27" s="6">
        <f>VLOOKUP($B27,Ausgaben_bis_2018!$A:$AA,5)</f>
        <v>43057</v>
      </c>
      <c r="E27" s="6" t="str">
        <f>VLOOKUP($B27,Ausgaben_bis_2018!$A:$AA,7)</f>
        <v>Amazon EU Sàrl, 5 Rue Plaetis, L-2338, Luxemburg: Seagate STEL800200 8TB</v>
      </c>
      <c r="F27" s="6">
        <f>VLOOKUP($B27,Ausgaben_bis_2018!$A:$AA,2)</f>
        <v>0</v>
      </c>
      <c r="G27" s="6" t="b">
        <f>VLOOKUP($B27,Ausgaben_bis_2018!$A:$AA,14)</f>
        <v>0</v>
      </c>
      <c r="H27" s="6">
        <f>VLOOKUP($B27,Ausgaben_bis_2018!$A:$AA,16)</f>
        <v>1</v>
      </c>
      <c r="I27" t="s">
        <v>249</v>
      </c>
    </row>
    <row r="28" spans="1:9" x14ac:dyDescent="0.25">
      <c r="A28">
        <v>26</v>
      </c>
      <c r="B28">
        <v>260</v>
      </c>
      <c r="C28" s="1">
        <v>42615</v>
      </c>
      <c r="D28" s="6">
        <f>VLOOKUP($B28,Ausgaben_bis_2018!$A:$AA,5)</f>
        <v>43057</v>
      </c>
      <c r="E28" s="6" t="str">
        <f>VLOOKUP($B28,Ausgaben_bis_2018!$A:$AA,7)</f>
        <v>Amazon EU Sàrl, 5 Rue Plaetis, L-2338, Luxemburg: SP-Link TL-PoE150S</v>
      </c>
      <c r="F28" s="6">
        <f>VLOOKUP($B28,Ausgaben_bis_2018!$A:$AA,2)</f>
        <v>0</v>
      </c>
      <c r="G28" s="6" t="b">
        <f>VLOOKUP($B28,Ausgaben_bis_2018!$A:$AA,14)</f>
        <v>0</v>
      </c>
      <c r="H28" s="6">
        <f>VLOOKUP($B28,Ausgaben_bis_2018!$A:$AA,16)</f>
        <v>1</v>
      </c>
      <c r="I28" t="s">
        <v>249</v>
      </c>
    </row>
    <row r="29" spans="1:9" x14ac:dyDescent="0.25">
      <c r="A29">
        <v>27</v>
      </c>
      <c r="B29">
        <v>261</v>
      </c>
      <c r="C29" s="1">
        <v>42615</v>
      </c>
      <c r="D29" s="6">
        <f>VLOOKUP($B29,Ausgaben_bis_2018!$A:$AA,5)</f>
        <v>43057</v>
      </c>
      <c r="E29" s="6" t="str">
        <f>VLOOKUP($B29,Ausgaben_bis_2018!$A:$AA,7)</f>
        <v>Amazon EU Sàrl, 5 Rue Plaetis, L-2338, Luxemburg: LogiLink BP0004 TV-Halterung</v>
      </c>
      <c r="F29" s="6">
        <f>VLOOKUP($B29,Ausgaben_bis_2018!$A:$AA,2)</f>
        <v>0</v>
      </c>
      <c r="G29" s="6" t="b">
        <f>VLOOKUP($B29,Ausgaben_bis_2018!$A:$AA,14)</f>
        <v>0</v>
      </c>
      <c r="H29" s="6">
        <f>VLOOKUP($B29,Ausgaben_bis_2018!$A:$AA,16)</f>
        <v>1</v>
      </c>
      <c r="I29" t="s">
        <v>249</v>
      </c>
    </row>
    <row r="30" spans="1:9" x14ac:dyDescent="0.25">
      <c r="A30">
        <v>28</v>
      </c>
      <c r="B30">
        <v>262</v>
      </c>
      <c r="C30" s="1">
        <v>42615</v>
      </c>
      <c r="D30" s="6">
        <f>VLOOKUP($B30,Ausgaben_bis_2018!$A:$AA,5)</f>
        <v>43057</v>
      </c>
      <c r="E30" s="6" t="str">
        <f>VLOOKUP($B30,Ausgaben_bis_2018!$A:$AA,7)</f>
        <v>Amazon EU Sàrl, 5 Rue Plaetis, L-2338, Luxemburg: STRONG SRT 40FX4003</v>
      </c>
      <c r="F30" s="6">
        <f>VLOOKUP($B30,Ausgaben_bis_2018!$A:$AA,2)</f>
        <v>0</v>
      </c>
      <c r="G30" s="6" t="b">
        <f>VLOOKUP($B30,Ausgaben_bis_2018!$A:$AA,14)</f>
        <v>0</v>
      </c>
      <c r="H30" s="6">
        <f>VLOOKUP($B30,Ausgaben_bis_2018!$A:$AA,16)</f>
        <v>1</v>
      </c>
      <c r="I30" t="s">
        <v>249</v>
      </c>
    </row>
    <row r="31" spans="1:9" x14ac:dyDescent="0.25">
      <c r="A31">
        <v>29</v>
      </c>
      <c r="B31">
        <v>263</v>
      </c>
      <c r="C31" s="1">
        <v>42615</v>
      </c>
      <c r="D31" s="6">
        <f>VLOOKUP($B31,Ausgaben_bis_2018!$A:$AA,5)</f>
        <v>43059</v>
      </c>
      <c r="E31" s="6" t="str">
        <f>VLOOKUP($B31,Ausgaben_bis_2018!$A:$AA,7)</f>
        <v>Amazon EU Sàrl, 5 Rue Plaetis, L-2338, Luxemburg: STRONG SRT 40FX4003</v>
      </c>
      <c r="F31" s="6">
        <f>VLOOKUP($B31,Ausgaben_bis_2018!$A:$AA,2)</f>
        <v>0</v>
      </c>
      <c r="G31" s="6" t="b">
        <f>VLOOKUP($B31,Ausgaben_bis_2018!$A:$AA,14)</f>
        <v>0</v>
      </c>
      <c r="H31" s="6">
        <f>VLOOKUP($B31,Ausgaben_bis_2018!$A:$AA,16)</f>
        <v>1</v>
      </c>
      <c r="I31" t="s">
        <v>249</v>
      </c>
    </row>
    <row r="32" spans="1:9" x14ac:dyDescent="0.25">
      <c r="A32">
        <v>30</v>
      </c>
      <c r="B32">
        <v>264</v>
      </c>
      <c r="C32" s="1">
        <v>42615</v>
      </c>
      <c r="D32" s="6">
        <f>VLOOKUP($B32,Ausgaben_bis_2018!$A:$AA,5)</f>
        <v>43065</v>
      </c>
      <c r="E32" s="6" t="str">
        <f>VLOOKUP($B32,Ausgaben_bis_2018!$A:$AA,7)</f>
        <v>myKey GmbH, Embelgasse 2-8/4/441, 1050 Wien: Windows 10 Pro Key</v>
      </c>
      <c r="F32" s="6">
        <f>VLOOKUP($B32,Ausgaben_bis_2018!$A:$AA,2)</f>
        <v>0</v>
      </c>
      <c r="G32" s="6" t="b">
        <f>VLOOKUP($B32,Ausgaben_bis_2018!$A:$AA,14)</f>
        <v>0</v>
      </c>
      <c r="H32" s="6">
        <f>VLOOKUP($B32,Ausgaben_bis_2018!$A:$AA,16)</f>
        <v>1</v>
      </c>
      <c r="I32" t="s">
        <v>249</v>
      </c>
    </row>
    <row r="33" spans="1:9" x14ac:dyDescent="0.25">
      <c r="A33">
        <v>31</v>
      </c>
      <c r="B33">
        <v>266</v>
      </c>
      <c r="C33" s="1">
        <v>42615</v>
      </c>
      <c r="D33" s="6">
        <f>VLOOKUP($B33,Ausgaben_bis_2018!$A:$AA,5)</f>
        <v>43060</v>
      </c>
      <c r="E33" s="6" t="str">
        <f>VLOOKUP($B33,Ausgaben_bis_2018!$A:$AA,7)</f>
        <v>officeb2b GmbH - Stettenstr. 15 - 86482 Aystetten - (DE): LogiLink TV-Wandhalterung BP0004</v>
      </c>
      <c r="F33" s="6">
        <f>VLOOKUP($B33,Ausgaben_bis_2018!$A:$AA,2)</f>
        <v>0</v>
      </c>
      <c r="G33" s="6" t="b">
        <f>VLOOKUP($B33,Ausgaben_bis_2018!$A:$AA,14)</f>
        <v>0</v>
      </c>
      <c r="H33" s="6">
        <f>VLOOKUP($B33,Ausgaben_bis_2018!$A:$AA,16)</f>
        <v>1</v>
      </c>
      <c r="I33" t="s">
        <v>249</v>
      </c>
    </row>
    <row r="34" spans="1:9" x14ac:dyDescent="0.25">
      <c r="A34">
        <v>32</v>
      </c>
      <c r="B34">
        <v>267</v>
      </c>
      <c r="C34" s="1">
        <v>42615</v>
      </c>
      <c r="D34" s="6">
        <f>VLOOKUP($B34,Ausgaben_bis_2018!$A:$AA,5)</f>
        <v>43069</v>
      </c>
      <c r="E34" s="6" t="str">
        <f>VLOOKUP($B34,Ausgaben_bis_2018!$A:$AA,7)</f>
        <v>1attack.de Mundo del Arte GmbH: Patchkabel</v>
      </c>
      <c r="F34" s="6">
        <f>VLOOKUP($B34,Ausgaben_bis_2018!$A:$AA,2)</f>
        <v>0</v>
      </c>
      <c r="G34" s="6" t="b">
        <f>VLOOKUP($B34,Ausgaben_bis_2018!$A:$AA,14)</f>
        <v>0</v>
      </c>
      <c r="H34" s="6">
        <f>VLOOKUP($B34,Ausgaben_bis_2018!$A:$AA,16)</f>
        <v>1</v>
      </c>
      <c r="I34" t="s">
        <v>249</v>
      </c>
    </row>
    <row r="35" spans="1:9" x14ac:dyDescent="0.25">
      <c r="A35">
        <v>33</v>
      </c>
      <c r="B35">
        <v>268</v>
      </c>
      <c r="C35" s="1">
        <v>42615</v>
      </c>
      <c r="D35" s="6">
        <f>VLOOKUP($B35,Ausgaben_bis_2018!$A:$AA,5)</f>
        <v>43073</v>
      </c>
      <c r="E35" s="6" t="str">
        <f>VLOOKUP($B35,Ausgaben_bis_2018!$A:$AA,7)</f>
        <v>myKey GmbH, Embelgasse 2-8/4/441, 1050 Wien: Windows 10 Pro Key</v>
      </c>
      <c r="F35" s="6">
        <f>VLOOKUP($B35,Ausgaben_bis_2018!$A:$AA,2)</f>
        <v>0</v>
      </c>
      <c r="G35" s="6" t="b">
        <f>VLOOKUP($B35,Ausgaben_bis_2018!$A:$AA,14)</f>
        <v>0</v>
      </c>
      <c r="H35" s="6">
        <f>VLOOKUP($B35,Ausgaben_bis_2018!$A:$AA,16)</f>
        <v>1</v>
      </c>
      <c r="I35" t="s">
        <v>249</v>
      </c>
    </row>
    <row r="36" spans="1:9" x14ac:dyDescent="0.25">
      <c r="A36">
        <v>34</v>
      </c>
      <c r="B36">
        <v>269</v>
      </c>
      <c r="C36" s="1">
        <v>42615</v>
      </c>
      <c r="D36" s="6">
        <f>VLOOKUP($B36,Ausgaben_bis_2018!$A:$AA,5)</f>
        <v>43077</v>
      </c>
      <c r="E36" s="6" t="str">
        <f>VLOOKUP($B36,Ausgaben_bis_2018!$A:$AA,7)</f>
        <v>Ganz Einfach GmbH, Wohlenbergstr 16, Hannover, 30179 DE: CSL -4k UHD HDMI Splitter B01615JA3A</v>
      </c>
      <c r="F36" s="6">
        <f>VLOOKUP($B36,Ausgaben_bis_2018!$A:$AA,2)</f>
        <v>0</v>
      </c>
      <c r="G36" s="6" t="b">
        <f>VLOOKUP($B36,Ausgaben_bis_2018!$A:$AA,14)</f>
        <v>0</v>
      </c>
      <c r="H36" s="6">
        <f>VLOOKUP($B36,Ausgaben_bis_2018!$A:$AA,16)</f>
        <v>1</v>
      </c>
      <c r="I36" t="s">
        <v>249</v>
      </c>
    </row>
    <row r="37" spans="1:9" x14ac:dyDescent="0.25">
      <c r="A37">
        <v>35</v>
      </c>
      <c r="B37">
        <v>273</v>
      </c>
      <c r="C37" s="1">
        <v>42615</v>
      </c>
      <c r="D37" s="6">
        <f>VLOOKUP($B37,Ausgaben_bis_2018!$A:$AA,5)</f>
        <v>43081</v>
      </c>
      <c r="E37" s="6" t="str">
        <f>VLOOKUP($B37,Ausgaben_bis_2018!$A:$AA,7)</f>
        <v xml:space="preserve">Wall-Art-Design, Patrick Dießl, Streudorfer Str. 124, D-98663 Westhausen: </v>
      </c>
      <c r="F37" s="6">
        <f>VLOOKUP($B37,Ausgaben_bis_2018!$A:$AA,2)</f>
        <v>0</v>
      </c>
      <c r="G37" s="6" t="b">
        <f>VLOOKUP($B37,Ausgaben_bis_2018!$A:$AA,14)</f>
        <v>0</v>
      </c>
      <c r="H37" s="6">
        <f>VLOOKUP($B37,Ausgaben_bis_2018!$A:$AA,16)</f>
        <v>1</v>
      </c>
      <c r="I37" t="s">
        <v>249</v>
      </c>
    </row>
    <row r="38" spans="1:9" x14ac:dyDescent="0.25">
      <c r="A38">
        <v>36</v>
      </c>
      <c r="B38">
        <v>275</v>
      </c>
      <c r="C38" s="1">
        <v>42615</v>
      </c>
      <c r="D38" s="6">
        <f>VLOOKUP($B38,Ausgaben_bis_2018!$A:$AA,5)</f>
        <v>0</v>
      </c>
      <c r="E38" s="6" t="str">
        <f>VLOOKUP($B38,Ausgaben_bis_2018!$A:$AA,7)</f>
        <v xml:space="preserve">Vistaprint B.V., Hudsonweg 8, 5928 LW Venlo, Niederlande: </v>
      </c>
      <c r="F38" s="6">
        <f>VLOOKUP($B38,Ausgaben_bis_2018!$A:$AA,2)</f>
        <v>0</v>
      </c>
      <c r="G38" s="6" t="b">
        <f>VLOOKUP($B38,Ausgaben_bis_2018!$A:$AA,14)</f>
        <v>0</v>
      </c>
      <c r="H38" s="6">
        <f>VLOOKUP($B38,Ausgaben_bis_2018!$A:$AA,16)</f>
        <v>1</v>
      </c>
      <c r="I38" t="s">
        <v>249</v>
      </c>
    </row>
  </sheetData>
  <pageMargins left="0.7" right="0.7" top="0.78740157499999996" bottom="0.78740157499999996" header="0.3" footer="0.3"/>
  <pageSetup paperSize="9" orientation="portrait" horizontalDpi="1200" verticalDpi="12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3"/>
  <dimension ref="A1:B3"/>
  <sheetViews>
    <sheetView workbookViewId="0">
      <selection activeCell="B3" sqref="B3"/>
    </sheetView>
  </sheetViews>
  <sheetFormatPr baseColWidth="10" defaultRowHeight="15" x14ac:dyDescent="0.25"/>
  <sheetData>
    <row r="1" spans="1:2" x14ac:dyDescent="0.25">
      <c r="A1" t="s">
        <v>20</v>
      </c>
      <c r="B1">
        <v>78.22</v>
      </c>
    </row>
    <row r="2" spans="1:2" x14ac:dyDescent="0.25">
      <c r="A2" t="s">
        <v>21</v>
      </c>
      <c r="B2">
        <v>21.37</v>
      </c>
    </row>
    <row r="3" spans="1:2" x14ac:dyDescent="0.25">
      <c r="A3" s="2" t="s">
        <v>22</v>
      </c>
      <c r="B3">
        <f>B2/B1</f>
        <v>0.27320378419841473</v>
      </c>
    </row>
  </sheetData>
  <pageMargins left="0.7" right="0.7" top="0.78740157499999996" bottom="0.78740157499999996"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B971C-EDC1-4AED-90F4-1AFCA4549449}">
  <sheetPr codeName="Tabelle11"/>
  <dimension ref="A1:C27"/>
  <sheetViews>
    <sheetView workbookViewId="0">
      <selection activeCell="B2" sqref="B2"/>
    </sheetView>
  </sheetViews>
  <sheetFormatPr baseColWidth="10" defaultColWidth="11.42578125" defaultRowHeight="15" x14ac:dyDescent="0.25"/>
  <sheetData>
    <row r="1" spans="1:3" s="2" customFormat="1" x14ac:dyDescent="0.25">
      <c r="A1" s="2" t="s">
        <v>707</v>
      </c>
      <c r="B1" s="2" t="s">
        <v>706</v>
      </c>
      <c r="C1" s="2" t="s">
        <v>682</v>
      </c>
    </row>
    <row r="2" spans="1:3" x14ac:dyDescent="0.25">
      <c r="A2">
        <v>1</v>
      </c>
      <c r="B2" t="s">
        <v>105</v>
      </c>
      <c r="C2" s="55" t="s">
        <v>683</v>
      </c>
    </row>
    <row r="3" spans="1:3" x14ac:dyDescent="0.25">
      <c r="A3">
        <v>2</v>
      </c>
      <c r="B3" t="s">
        <v>105</v>
      </c>
      <c r="C3" s="55" t="s">
        <v>684</v>
      </c>
    </row>
    <row r="4" spans="1:3" x14ac:dyDescent="0.25">
      <c r="A4">
        <v>3</v>
      </c>
      <c r="B4" t="s">
        <v>105</v>
      </c>
      <c r="C4" s="55" t="s">
        <v>685</v>
      </c>
    </row>
    <row r="5" spans="1:3" x14ac:dyDescent="0.25">
      <c r="A5">
        <v>4</v>
      </c>
      <c r="B5" t="s">
        <v>105</v>
      </c>
      <c r="C5" s="55" t="s">
        <v>686</v>
      </c>
    </row>
    <row r="6" spans="1:3" x14ac:dyDescent="0.25">
      <c r="A6">
        <v>5</v>
      </c>
      <c r="B6" t="s">
        <v>105</v>
      </c>
      <c r="C6" s="55" t="s">
        <v>687</v>
      </c>
    </row>
    <row r="7" spans="1:3" x14ac:dyDescent="0.25">
      <c r="A7">
        <v>6</v>
      </c>
      <c r="B7" t="s">
        <v>105</v>
      </c>
      <c r="C7" s="55" t="s">
        <v>688</v>
      </c>
    </row>
    <row r="8" spans="1:3" x14ac:dyDescent="0.25">
      <c r="A8">
        <v>7</v>
      </c>
      <c r="B8" t="s">
        <v>105</v>
      </c>
      <c r="C8" s="55" t="s">
        <v>689</v>
      </c>
    </row>
    <row r="9" spans="1:3" x14ac:dyDescent="0.25">
      <c r="A9">
        <v>8</v>
      </c>
      <c r="B9" t="s">
        <v>105</v>
      </c>
      <c r="C9" s="55" t="s">
        <v>690</v>
      </c>
    </row>
    <row r="10" spans="1:3" x14ac:dyDescent="0.25">
      <c r="A10">
        <v>9</v>
      </c>
      <c r="B10" t="s">
        <v>105</v>
      </c>
      <c r="C10" s="55" t="s">
        <v>691</v>
      </c>
    </row>
    <row r="11" spans="1:3" x14ac:dyDescent="0.25">
      <c r="A11">
        <v>10</v>
      </c>
      <c r="B11" t="s">
        <v>105</v>
      </c>
      <c r="C11" s="55" t="s">
        <v>692</v>
      </c>
    </row>
    <row r="12" spans="1:3" x14ac:dyDescent="0.25">
      <c r="A12">
        <v>11</v>
      </c>
      <c r="B12" t="s">
        <v>105</v>
      </c>
      <c r="C12" s="55" t="s">
        <v>693</v>
      </c>
    </row>
    <row r="13" spans="1:3" x14ac:dyDescent="0.25">
      <c r="A13">
        <v>12</v>
      </c>
      <c r="B13" t="s">
        <v>105</v>
      </c>
      <c r="C13" s="55" t="s">
        <v>694</v>
      </c>
    </row>
    <row r="14" spans="1:3" x14ac:dyDescent="0.25">
      <c r="A14">
        <v>13</v>
      </c>
      <c r="B14" t="s">
        <v>105</v>
      </c>
      <c r="C14" s="55" t="s">
        <v>695</v>
      </c>
    </row>
    <row r="15" spans="1:3" x14ac:dyDescent="0.25">
      <c r="A15">
        <v>14</v>
      </c>
      <c r="B15" t="s">
        <v>105</v>
      </c>
      <c r="C15" s="55" t="s">
        <v>696</v>
      </c>
    </row>
    <row r="16" spans="1:3" x14ac:dyDescent="0.25">
      <c r="A16">
        <v>15</v>
      </c>
      <c r="B16" t="s">
        <v>105</v>
      </c>
      <c r="C16" s="55" t="s">
        <v>697</v>
      </c>
    </row>
    <row r="17" spans="1:3" x14ac:dyDescent="0.25">
      <c r="A17">
        <v>16</v>
      </c>
      <c r="B17" t="s">
        <v>105</v>
      </c>
      <c r="C17" s="55" t="s">
        <v>698</v>
      </c>
    </row>
    <row r="18" spans="1:3" x14ac:dyDescent="0.25">
      <c r="A18">
        <v>17</v>
      </c>
      <c r="B18" t="s">
        <v>105</v>
      </c>
      <c r="C18" s="55" t="s">
        <v>699</v>
      </c>
    </row>
    <row r="19" spans="1:3" x14ac:dyDescent="0.25">
      <c r="A19">
        <v>18</v>
      </c>
      <c r="B19" t="s">
        <v>105</v>
      </c>
      <c r="C19" s="55" t="s">
        <v>339</v>
      </c>
    </row>
    <row r="20" spans="1:3" x14ac:dyDescent="0.25">
      <c r="A20">
        <v>19</v>
      </c>
      <c r="B20" t="s">
        <v>105</v>
      </c>
      <c r="C20" s="55" t="s">
        <v>700</v>
      </c>
    </row>
    <row r="21" spans="1:3" x14ac:dyDescent="0.25">
      <c r="A21">
        <v>20</v>
      </c>
      <c r="B21" t="s">
        <v>105</v>
      </c>
      <c r="C21" s="55" t="s">
        <v>701</v>
      </c>
    </row>
    <row r="22" spans="1:3" x14ac:dyDescent="0.25">
      <c r="A22">
        <v>21</v>
      </c>
      <c r="B22" t="s">
        <v>105</v>
      </c>
      <c r="C22" s="55" t="s">
        <v>702</v>
      </c>
    </row>
    <row r="23" spans="1:3" x14ac:dyDescent="0.25">
      <c r="A23">
        <v>22</v>
      </c>
      <c r="B23" t="s">
        <v>105</v>
      </c>
      <c r="C23" s="55" t="s">
        <v>703</v>
      </c>
    </row>
    <row r="24" spans="1:3" x14ac:dyDescent="0.25">
      <c r="A24">
        <v>23</v>
      </c>
      <c r="B24" t="s">
        <v>105</v>
      </c>
      <c r="C24" s="55" t="s">
        <v>704</v>
      </c>
    </row>
    <row r="25" spans="1:3" x14ac:dyDescent="0.25">
      <c r="A25">
        <v>24</v>
      </c>
      <c r="B25" t="s">
        <v>105</v>
      </c>
      <c r="C25" s="55" t="s">
        <v>705</v>
      </c>
    </row>
    <row r="26" spans="1:3" x14ac:dyDescent="0.25">
      <c r="A26">
        <v>25</v>
      </c>
      <c r="B26" t="s">
        <v>708</v>
      </c>
      <c r="C26" s="55" t="s">
        <v>709</v>
      </c>
    </row>
    <row r="27" spans="1:3" x14ac:dyDescent="0.25">
      <c r="A27">
        <v>26</v>
      </c>
      <c r="B27" t="s">
        <v>708</v>
      </c>
      <c r="C27" s="55" t="s">
        <v>710</v>
      </c>
    </row>
  </sheetData>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7250D5A-9912-4FC7-8147-FA6FB00A91D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34</vt:i4>
      </vt:variant>
      <vt:variant>
        <vt:lpstr>Benannte Bereiche</vt:lpstr>
      </vt:variant>
      <vt:variant>
        <vt:i4>1</vt:i4>
      </vt:variant>
    </vt:vector>
  </HeadingPairs>
  <TitlesOfParts>
    <vt:vector size="35" baseType="lpstr">
      <vt:lpstr>Info</vt:lpstr>
      <vt:lpstr>Rechnung_Ausgang</vt:lpstr>
      <vt:lpstr>Journal_ab_2024</vt:lpstr>
      <vt:lpstr>UVA-M</vt:lpstr>
      <vt:lpstr>Vorschau JA</vt:lpstr>
      <vt:lpstr>JA Endgültig</vt:lpstr>
      <vt:lpstr>GFB</vt:lpstr>
      <vt:lpstr>A+E Export StB 2024</vt:lpstr>
      <vt:lpstr>AV</vt:lpstr>
      <vt:lpstr>FB</vt:lpstr>
      <vt:lpstr>UVA</vt:lpstr>
      <vt:lpstr>AfA</vt:lpstr>
      <vt:lpstr>SVS2</vt:lpstr>
      <vt:lpstr>SVS</vt:lpstr>
      <vt:lpstr>Journal_ab_2019</vt:lpstr>
      <vt:lpstr>Ausgaben_bis_2018</vt:lpstr>
      <vt:lpstr>2021-KBG-Abgrenzung</vt:lpstr>
      <vt:lpstr>2021-Covid-Foerder-EntschHilf</vt:lpstr>
      <vt:lpstr>A+E Export StB 2023</vt:lpstr>
      <vt:lpstr>A+E Export StB 2022</vt:lpstr>
      <vt:lpstr>A+E Export StB 2021</vt:lpstr>
      <vt:lpstr>A+E Export StB 2020</vt:lpstr>
      <vt:lpstr>A+E Export StB 2019</vt:lpstr>
      <vt:lpstr>Best Customers</vt:lpstr>
      <vt:lpstr>A_Export_Fuer_StB_2018</vt:lpstr>
      <vt:lpstr>E_Export_Fuer_StB_2018</vt:lpstr>
      <vt:lpstr>Gesamt_Export_Fuer_StB_2018</vt:lpstr>
      <vt:lpstr>A_Export_Fuer_StB_2017</vt:lpstr>
      <vt:lpstr>E_Export_Fuer_StB_2017</vt:lpstr>
      <vt:lpstr>Gesamt_Export_Fuer_StB_2017</vt:lpstr>
      <vt:lpstr>Steuersatz</vt:lpstr>
      <vt:lpstr>Wareneingangsbuch</vt:lpstr>
      <vt:lpstr>Arbeitszimmer</vt:lpstr>
      <vt:lpstr>Spesenart</vt:lpstr>
      <vt:lpstr>Spesenart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mj</dc:creator>
  <cp:lastModifiedBy>Michael Jaros</cp:lastModifiedBy>
  <cp:lastPrinted>2018-09-16T11:17:03Z</cp:lastPrinted>
  <dcterms:created xsi:type="dcterms:W3CDTF">2006-09-16T00:00:00Z</dcterms:created>
  <dcterms:modified xsi:type="dcterms:W3CDTF">2026-05-15T21:48:41Z</dcterms:modified>
</cp:coreProperties>
</file>